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drawings/drawing8.xml" ContentType="application/vnd.openxmlformats-officedocument.drawing+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6" rupBuild="25725" codeName="{51196F13-6AD0-C1B8-E2B4-A1F9AE17003E}"/>
  <workbookPr showInkAnnotation="0" saveExternalLinkValues="0" updateLinks="never" codeName="ThisWorkbook" autoCompressPictures="0"/>
  <bookViews>
    <workbookView xWindow="0" yWindow="0" windowWidth="32020" windowHeight="20060" tabRatio="781" firstSheet="1" activeTab="3"/>
  </bookViews>
  <sheets>
    <sheet name="Amendments" sheetId="46" state="hidden" r:id="rId1"/>
    <sheet name="Gases Chart" sheetId="44" r:id="rId2"/>
    <sheet name="Velocity Profile" sheetId="49" state="hidden" r:id="rId3"/>
    <sheet name="Report" sheetId="41" r:id="rId4"/>
    <sheet name="PM &amp; Metals" sheetId="22" state="hidden" r:id="rId5"/>
    <sheet name="Details" sheetId="2" r:id="rId6"/>
    <sheet name="Flows &amp; Isokinetics" sheetId="35" r:id="rId7"/>
    <sheet name="Afterflows" sheetId="3" r:id="rId8"/>
    <sheet name="PM10 &amp; 2.5" sheetId="43" r:id="rId9"/>
    <sheet name="Non-Isokinetic" sheetId="60" r:id="rId10"/>
    <sheet name="Odour" sheetId="45" r:id="rId11"/>
    <sheet name="Gases" sheetId="28" r:id="rId12"/>
    <sheet name="VOC &amp; S Gases" sheetId="30" r:id="rId13"/>
    <sheet name="ResultsExport" sheetId="59" state="hidden" r:id="rId14"/>
    <sheet name="Dioxins" sheetId="50" r:id="rId15"/>
    <sheet name="Results Entry" sheetId="58" r:id="rId16"/>
    <sheet name="PQLs" sheetId="56" state="hidden" r:id="rId17"/>
    <sheet name="Drift Test" sheetId="39" state="hidden" r:id="rId18"/>
    <sheet name="Horiba Data" sheetId="51" r:id="rId19"/>
    <sheet name="Testo, JUM &amp; MRU Data" sheetId="52" r:id="rId20"/>
    <sheet name="Thermo Data" sheetId="54" r:id="rId21"/>
    <sheet name="Compound Lists" sheetId="53" r:id="rId22"/>
    <sheet name="Nozzles" sheetId="18" r:id="rId23"/>
    <sheet name="Flowmeters" sheetId="15" r:id="rId24"/>
    <sheet name="Pitots" sheetId="48" r:id="rId25"/>
  </sheets>
  <externalReferences>
    <externalReference r:id="rId26"/>
  </externalReferences>
  <definedNames>
    <definedName name="_xlnm._FilterDatabase" localSheetId="22" hidden="1">Nozzles!$J$9:$AP$113</definedName>
    <definedName name="_xlnm._FilterDatabase" localSheetId="24" hidden="1">Pitots!$B$2:$C$130</definedName>
    <definedName name="_xlnm._FilterDatabase" localSheetId="15" hidden="1">'Results Entry'!$A$8:$A$224</definedName>
    <definedName name="AbsPress">Details!$D$69</definedName>
    <definedName name="AbsPress1">'Flows &amp; Isokinetics'!$G$4</definedName>
    <definedName name="AbsPress2">'Flows &amp; Isokinetics'!$H$4</definedName>
    <definedName name="AbsPress3">'PM10 &amp; 2.5'!$C$4</definedName>
    <definedName name="AbsPress4">'PM10 &amp; 2.5'!$E$4</definedName>
    <definedName name="AbsPressAft1">Afterflows!$D$4</definedName>
    <definedName name="AbsPressAft2">Afterflows!$F$4</definedName>
    <definedName name="AFCheck">Details!$M$10</definedName>
    <definedName name="AfterFlows">Details!$D$81:$I$81</definedName>
    <definedName name="AfterflowsCheck">Details!$N$24</definedName>
    <definedName name="AftFlowDL1">Afterflows!$E$13</definedName>
    <definedName name="AftFlowDL2">Afterflows!$E$79</definedName>
    <definedName name="AldehydeStd">Report!$P$586</definedName>
    <definedName name="AmineStd">Report!$P$588</definedName>
    <definedName name="AnalyteTable">PQLs!$B$3:$K$87</definedName>
    <definedName name="AreaEP">Details!$H$12</definedName>
    <definedName name="AreaSP">Details!$H$11</definedName>
    <definedName name="AverageAbsPress1">Details!$E$69</definedName>
    <definedName name="AverageAbsPress2">Details!$F$69</definedName>
    <definedName name="AverageAbsPress3">Details!$G$69</definedName>
    <definedName name="AverageAbsPress4">Details!$H$69</definedName>
    <definedName name="AverageBaroPress1">Details!$E$67</definedName>
    <definedName name="AverageBaroPress2">Details!$F$67</definedName>
    <definedName name="AverageBaroPress3">Details!$G$67</definedName>
    <definedName name="AverageBaroPress4">Details!$H$67</definedName>
    <definedName name="AverageFlowDis">Details!$D$63</definedName>
    <definedName name="AverageFlowDis1">Details!$E$63</definedName>
    <definedName name="AverageFlowDis2">Details!$F$63</definedName>
    <definedName name="AverageFlowDis3">Details!$G$63</definedName>
    <definedName name="AverageFlowDis4">Details!$H$63</definedName>
    <definedName name="AverageFlowDry">Details!$D$65</definedName>
    <definedName name="AverageFlowDry1">Details!$E$65</definedName>
    <definedName name="AverageFlowDry2">Details!$F$65</definedName>
    <definedName name="AverageFlowDry3">Details!$G$65</definedName>
    <definedName name="AverageFlowDry4">Details!$H$65</definedName>
    <definedName name="AverageFlowWet">Details!$D$64</definedName>
    <definedName name="AverageFlowWet1">Details!$E$64</definedName>
    <definedName name="AverageFlowWet2">Details!$F$64</definedName>
    <definedName name="AverageFlowWet3">Details!$G$64</definedName>
    <definedName name="AverageFlowWet4">Details!$H$64</definedName>
    <definedName name="AverageMeterPress">Details!$D$70</definedName>
    <definedName name="AverageMeterTemp">Details!$D$61</definedName>
    <definedName name="AverageMeterTemp1">Details!$E$61</definedName>
    <definedName name="AverageMeterTemp2">Details!$F$61</definedName>
    <definedName name="AverageMeterTemp3">Details!$G$61</definedName>
    <definedName name="AverageMeterTemp4">Details!$H$61</definedName>
    <definedName name="AverageStackTemp">Details!$D$60</definedName>
    <definedName name="AverageStackTemp1">Details!$E$60</definedName>
    <definedName name="AverageStackTemp2">Details!$F$60</definedName>
    <definedName name="AverageStackTemp3">Details!$G$60</definedName>
    <definedName name="AverageStackTemp4">Details!$H$60</definedName>
    <definedName name="AverageStaticPress1">Details!$E$68</definedName>
    <definedName name="AverageStaticPress2">Details!$F$68</definedName>
    <definedName name="AverageStaticPress3">Details!$G$68</definedName>
    <definedName name="AverageStaticPress4">Details!$H$68</definedName>
    <definedName name="AverageVelocity">Details!$D$62</definedName>
    <definedName name="AverageVelocity1">Details!$E$62</definedName>
    <definedName name="AverageVelocity2">Details!$F$62</definedName>
    <definedName name="AverageVelocity3">Details!$G$62</definedName>
    <definedName name="AverageVelocity4">Details!$H$62</definedName>
    <definedName name="AveTemp1">'[1]Flows&amp;Isokinetics'!$AL$12</definedName>
    <definedName name="AveTemp2">'[1]Flows&amp;Isokinetics (2)'!$AL$11</definedName>
    <definedName name="AveTemp3">'[1]Flows&amp;Isokinetics (3)'!$AL$11</definedName>
    <definedName name="AveTemp4">'[1]Flows&amp;Isokinetics (4)'!$AL$11</definedName>
    <definedName name="AveTemp5">'[1]Flows&amp;Isokinetics (5)'!$AL$11</definedName>
    <definedName name="AvgSqrtPa1">'Flows &amp; Isokinetics'!$X$76</definedName>
    <definedName name="AvgSqrtPa2">'Flows &amp; Isokinetics'!$X$142</definedName>
    <definedName name="AvgSqrtPa3">'PM10 &amp; 2.5'!$R$76</definedName>
    <definedName name="AvgSqrtPa4">'PM10 &amp; 2.5'!$R$142</definedName>
    <definedName name="AvgSqrtPaAft1">Afterflows!$K$75</definedName>
    <definedName name="AvgSqrtPaAft2">Afterflows!$K$141</definedName>
    <definedName name="AvgSqrtVelocityHead3">'PM10 &amp; 2.5'!$AM$32</definedName>
    <definedName name="AvgSqrtVelocityHead4">'PM10 &amp; 2.5'!$AM$98</definedName>
    <definedName name="AvMoisture">Details!$I$53</definedName>
    <definedName name="BaroPress">Details!$D$67</definedName>
    <definedName name="BaroPress1">'Flows &amp; Isokinetics'!$G$2</definedName>
    <definedName name="BaroPress2">'Flows &amp; Isokinetics'!$H$2</definedName>
    <definedName name="BaroPress3">'PM10 &amp; 2.5'!$C$2</definedName>
    <definedName name="BaroPress4">'PM10 &amp; 2.5'!$E$2</definedName>
    <definedName name="BaroPressAft1">Afterflows!$D$2</definedName>
    <definedName name="BaroPressAft2">Afterflows!$F$2</definedName>
    <definedName name="BPF">Details!$E$27</definedName>
    <definedName name="BPTable">Pitots!$E$4:$F$7</definedName>
    <definedName name="BPU">Details!$D$27</definedName>
    <definedName name="BPunits">Pitots!$E$4:$E$7</definedName>
    <definedName name="Bws">Details!$E$41</definedName>
    <definedName name="CF">Details!$E$33</definedName>
    <definedName name="Client">Details!$H$1</definedName>
    <definedName name="CO2correction">Gases!$H$4</definedName>
    <definedName name="CO2dry">Details!$E$40</definedName>
    <definedName name="CO2mw">Details!$B$40</definedName>
    <definedName name="CO2percent">Gases!$N$511</definedName>
    <definedName name="CO2wet">Details!$D$40</definedName>
    <definedName name="COdry">Details!$E$48</definedName>
    <definedName name="COmw">Details!$B$48</definedName>
    <definedName name="ConcMVTable">Pitots!$E$75:$F$79</definedName>
    <definedName name="ConcPM1">'PM &amp; Metals'!$I$13</definedName>
    <definedName name="ConcPM1b">'PM &amp; Metals'!$I$14</definedName>
    <definedName name="ConcPM2">'PM &amp; Metals'!$I$66</definedName>
    <definedName name="ConcPM2b">'PM &amp; Metals'!$I$67</definedName>
    <definedName name="ConcPM3">'PM &amp; Metals'!$I$15</definedName>
    <definedName name="ConcPM4">'PM &amp; Metals'!$I$68</definedName>
    <definedName name="ConcPM5">'PM &amp; Metals'!$I$16</definedName>
    <definedName name="ConcPM6">'PM &amp; Metals'!$I$69</definedName>
    <definedName name="ConcTable">Pitots!$H$11:$I$22</definedName>
    <definedName name="ConcUnits">Pitots!$H$11:$H$22</definedName>
    <definedName name="COppm">Gases!$L$511</definedName>
    <definedName name="CorrectCheck">Details!$N$21</definedName>
    <definedName name="CorrFactor">Gases!$H$6</definedName>
    <definedName name="CosPitchAvg1">'Flows &amp; Isokinetics'!$Z$76</definedName>
    <definedName name="CosPitchAvg2">'Flows &amp; Isokinetics'!$Z$142</definedName>
    <definedName name="CosYawAvg1">'Flows &amp; Isokinetics'!$Y$76</definedName>
    <definedName name="CosYawAvg2">'Flows &amp; Isokinetics'!$Y$142</definedName>
    <definedName name="CU">Details!$D$33</definedName>
    <definedName name="DataCheck">Details!$G$77</definedName>
    <definedName name="DataEntry">Details!$D$77</definedName>
    <definedName name="Date">Details!$C$1</definedName>
    <definedName name="DegreeFreedom">Odour!$T$5:$T$14</definedName>
    <definedName name="DewPt">Details!$I$55</definedName>
    <definedName name="DHat1">'Flows &amp; Isokinetics'!$J$4</definedName>
    <definedName name="DHat2">'Flows &amp; Isokinetics'!$K$4</definedName>
    <definedName name="DioxinCheck">Details!$N$19</definedName>
    <definedName name="Disturbance">Pitots!$K$2:$K$22</definedName>
    <definedName name="DisturbCritDown">Details!$K$17</definedName>
    <definedName name="DisturbCriteria">Pitots!$K$2:$M$22</definedName>
    <definedName name="DisturbCritUp">Details!$K$18</definedName>
    <definedName name="DisturbDistDown">Details!$J$17</definedName>
    <definedName name="DisturbDistUp">Details!$J$18</definedName>
    <definedName name="DisturbTypeDown">Details!$I$17</definedName>
    <definedName name="DisturbTypeUp">Details!$I$18</definedName>
    <definedName name="DPF">Details!$E$28</definedName>
    <definedName name="DPTable">Pitots!$E$14:$F$17</definedName>
    <definedName name="DPU">Details!$D$28</definedName>
    <definedName name="DPunits">Pitots!$E$14:$E$17</definedName>
    <definedName name="EPshape">Details!$K$12</definedName>
    <definedName name="FF">Details!$E$32</definedName>
    <definedName name="Filter1">'Flows &amp; Isokinetics'!$J$2</definedName>
    <definedName name="FlowDis1">Details!$D$86</definedName>
    <definedName name="FlowDis2">Details!$G$86</definedName>
    <definedName name="FlowDis3">Details!$F$86</definedName>
    <definedName name="FlowDis4">Details!$I$86</definedName>
    <definedName name="FlowDisAft1">Details!$E$86</definedName>
    <definedName name="FlowDisAft2">Details!$H$86</definedName>
    <definedName name="FlowDL1">'Flows &amp; Isokinetics'!$O$14</definedName>
    <definedName name="FlowDL2">'Flows &amp; Isokinetics'!$O$80</definedName>
    <definedName name="FlowDL3">'PM10 &amp; 2.5'!$D$14</definedName>
    <definedName name="FlowDL4">'PM10 &amp; 2.5'!$D$80</definedName>
    <definedName name="FlowDry1">Details!$D$88</definedName>
    <definedName name="FlowDry2">Details!$G$88</definedName>
    <definedName name="FlowDry3">Details!$F$88</definedName>
    <definedName name="FlowDry4">Details!$I$88</definedName>
    <definedName name="FlowDryAft1">Details!$E$88</definedName>
    <definedName name="FlowDryAft2">Details!$H$88</definedName>
    <definedName name="Flowmeter1">'Flows &amp; Isokinetics'!$J$3</definedName>
    <definedName name="Flowmeter2">'Flows &amp; Isokinetics'!$K$3</definedName>
    <definedName name="Flowmeter3">'PM10 &amp; 2.5'!$G$3</definedName>
    <definedName name="Flowmeter4">'PM10 &amp; 2.5'!$H$3</definedName>
    <definedName name="FlowsReport">Details!$E$13</definedName>
    <definedName name="FlowsToReport">Pitots!$AC$11:$AC$12</definedName>
    <definedName name="FlowTable">Pitots!$H$26:$I$33</definedName>
    <definedName name="FlowUnits">Pitots!$H$26:$H$33</definedName>
    <definedName name="FlowWet1">Details!$D$87</definedName>
    <definedName name="FlowWet2">Details!$G$87</definedName>
    <definedName name="FlowWet3">Details!$F$87</definedName>
    <definedName name="FlowWet4">Details!$I$87</definedName>
    <definedName name="FlowWetAft1">Details!$E$87</definedName>
    <definedName name="FlowWetAft2">Details!$H$87</definedName>
    <definedName name="FU">Details!$D$32</definedName>
    <definedName name="GasAnalyser">Gases!$C$5</definedName>
    <definedName name="GasAnalyserList">Pitots!$AC$2:$AC$5</definedName>
    <definedName name="GasesCheck">Details!$N$20</definedName>
    <definedName name="GasesReport">Details!$E$14</definedName>
    <definedName name="GDF">Gases!$L$7</definedName>
    <definedName name="H2Omw">Details!$B$41</definedName>
    <definedName name="HCgasStd" localSheetId="2">'Velocity Profile'!#REF!</definedName>
    <definedName name="HCgasStd">Report!$P$583</definedName>
    <definedName name="HourOffset">Gases!$A$19</definedName>
    <definedName name="InletCheck">Details!$N$23</definedName>
    <definedName name="IsoAnalysis">'Flows &amp; Isokinetics'!$P$4</definedName>
    <definedName name="IsoCheck">Details!$N$12</definedName>
    <definedName name="IsoCheck2">Details!$M$8</definedName>
    <definedName name="IsocyanateStd">Report!$P$589</definedName>
    <definedName name="IsokineticRate1">Details!$D$96</definedName>
    <definedName name="IsokineticRate2">Details!$G$96</definedName>
    <definedName name="IsokineticRate3">Details!$F$96</definedName>
    <definedName name="IsokineticRate4">Details!$I$96</definedName>
    <definedName name="Job">Details!$E$3</definedName>
    <definedName name="LengthTable">Pitots!$E$35:$F$38</definedName>
    <definedName name="LengthUnits">Pitots!$E$35:$E$38</definedName>
    <definedName name="LicenceLimits" localSheetId="2">'Velocity Profile'!#REF!</definedName>
    <definedName name="LicenceLimits">Report!$L$89:$M$571</definedName>
    <definedName name="LicenceNo">Details!$C$3</definedName>
    <definedName name="Location">Details!$H$3</definedName>
    <definedName name="LU">Pitots!$E$39</definedName>
    <definedName name="MassFlowrateTable">Pitots!$H$58:$I$64</definedName>
    <definedName name="MassFlowrateUnits">Pitots!$H$58:$H$64</definedName>
    <definedName name="MassRatePM1">'PM &amp; Metals'!$K$13</definedName>
    <definedName name="MassRatePM1b">'PM &amp; Metals'!$K$14</definedName>
    <definedName name="MassRatePM2">'PM &amp; Metals'!$K$66</definedName>
    <definedName name="MassRatePM2b">'PM &amp; Metals'!$K$67</definedName>
    <definedName name="MassRatePM3">'PM &amp; Metals'!$K$15</definedName>
    <definedName name="MassRatePM4">'PM &amp; Metals'!$K$68</definedName>
    <definedName name="MassRatePM5">'PM &amp; Metals'!$K$16</definedName>
    <definedName name="MassRatePM6">'PM &amp; Metals'!$K$69</definedName>
    <definedName name="MassRateTable">Pitots!$H$37:$I$47</definedName>
    <definedName name="MassRateUnits">Pitots!$H$37:$H$47</definedName>
    <definedName name="MassTable">Pitots!$E$49:$F$53</definedName>
    <definedName name="MassUnits">Pitots!$E$49:$E$53</definedName>
    <definedName name="MetalsLab">'Results Entry'!$B$136</definedName>
    <definedName name="MeterKit">Flowmeters!$B$9:$BD$9</definedName>
    <definedName name="MeterPress1">'Flows &amp; Isokinetics'!$J$14</definedName>
    <definedName name="MeterPress2">'Flows &amp; Isokinetics'!$J$80</definedName>
    <definedName name="MeterPress3">'PM10 &amp; 2.5'!$G$14</definedName>
    <definedName name="MeterPress4">'PM10 &amp; 2.5'!$G$80</definedName>
    <definedName name="MeterPressAvg1">'Flows &amp; Isokinetics'!$J$76</definedName>
    <definedName name="MeterPressAvg2">'Flows &amp; Isokinetics'!$J$142</definedName>
    <definedName name="MeterPressAvg3">'PM10 &amp; 2.5'!$G$76</definedName>
    <definedName name="MeterPressAvg4">'PM10 &amp; 2.5'!$G$142</definedName>
    <definedName name="MeterRate1">'Flows &amp; Isokinetics'!$Q$76</definedName>
    <definedName name="MeterRate2">'Flows &amp; Isokinetics'!$Q$142</definedName>
    <definedName name="MeterRate3">'PM10 &amp; 2.5'!$M$20</definedName>
    <definedName name="MeterRate4">'PM10 &amp; 2.5'!$M$86</definedName>
    <definedName name="MeterTemp1">'Flows &amp; Isokinetics'!$I$14</definedName>
    <definedName name="MeterTemp2">'Flows &amp; Isokinetics'!$I$80</definedName>
    <definedName name="MeterTemp3">'PM10 &amp; 2.5'!$F$14</definedName>
    <definedName name="MeterTemp4">'PM10 &amp; 2.5'!$F$80</definedName>
    <definedName name="MeterTempAvg1">'Flows &amp; Isokinetics'!$I$76</definedName>
    <definedName name="MeterTempAvg2">'Flows &amp; Isokinetics'!$I$142</definedName>
    <definedName name="MeterTempAvg3">'PM10 &amp; 2.5'!$F$76</definedName>
    <definedName name="MeterTempAvg4">'PM10 &amp; 2.5'!$F$142</definedName>
    <definedName name="MF">Pitots!$F$54</definedName>
    <definedName name="MFRF">Pitots!$I$66</definedName>
    <definedName name="MFRU">Pitots!$H$66</definedName>
    <definedName name="MiscStd">Report!$P$585</definedName>
    <definedName name="MoistMethods">Pitots!$AC$30:$AC$34</definedName>
    <definedName name="MoistureCont">Details!$D$41</definedName>
    <definedName name="MolecularWt">Details!$D$52</definedName>
    <definedName name="MolecularWtDry">Details!$E$52</definedName>
    <definedName name="MolecularWtWet">Details!$D$52</definedName>
    <definedName name="MolVol">Details!$E$36</definedName>
    <definedName name="mratio">'Flows &amp; Isokinetics'!$W$16</definedName>
    <definedName name="Mratio1">'Flows &amp; Isokinetics'!$AB$2</definedName>
    <definedName name="Mratio2">'Flows &amp; Isokinetics'!$AB$7</definedName>
    <definedName name="Mratio3">'PM10 &amp; 2.5'!$T$2</definedName>
    <definedName name="Mratio4">'PM10 &amp; 2.5'!$T$7</definedName>
    <definedName name="MRF">Details!$E$34</definedName>
    <definedName name="MRU">Details!$D$34</definedName>
    <definedName name="MU">Pitots!$E$54</definedName>
    <definedName name="MWC">'VOC &amp; S Gases'!$C$111</definedName>
    <definedName name="N2est">Details!$C$47</definedName>
    <definedName name="N2mw">Details!$B$47</definedName>
    <definedName name="NonIsoCheck">Details!$N$15</definedName>
    <definedName name="NonisoList">Pitots!$S$36:$S$46</definedName>
    <definedName name="NOppm">Gases!$F$511</definedName>
    <definedName name="NOxdry">Details!$E$49</definedName>
    <definedName name="NOXmw">Details!$B$49</definedName>
    <definedName name="NOxppm">Gases!$H$511</definedName>
    <definedName name="NozzleIdeal1">'Flows &amp; Isokinetics'!$W$4</definedName>
    <definedName name="NozzleIdeal2">'Flows &amp; Isokinetics'!$W$9</definedName>
    <definedName name="NozzleIdeal3">'PM10 &amp; 2.5'!$N$14</definedName>
    <definedName name="NozzleIdeal4">'PM10 &amp; 2.5'!$N$80</definedName>
    <definedName name="NozzleKitID1">'Flows &amp; Isokinetics'!$J$6</definedName>
    <definedName name="NozzleKitID2">'Flows &amp; Isokinetics'!$K$6</definedName>
    <definedName name="NozzleKitID3">'PM10 &amp; 2.5'!$G$4</definedName>
    <definedName name="NozzleKitID4">'PM10 &amp; 2.5'!$H$4</definedName>
    <definedName name="NozzleKitList">Nozzles!$J$10:$J$113</definedName>
    <definedName name="NozzleMatch1">Nozzles!$A$7</definedName>
    <definedName name="NozzleMatch2">Nozzles!$C$7</definedName>
    <definedName name="NozzleMatch3">Nozzles!$E$7</definedName>
    <definedName name="NozzleMatch4">Nozzles!$G$7</definedName>
    <definedName name="NozzleRate3">'PM10 &amp; 2.5'!$L$20</definedName>
    <definedName name="NozzleRate4">'PM10 &amp; 2.5'!$L$86</definedName>
    <definedName name="Nozzles">Nozzles!$O$10:$AC$115</definedName>
    <definedName name="NozzleSelect1">'Flows &amp; Isokinetics'!$K$14</definedName>
    <definedName name="NozzleSelect2">'Flows &amp; Isokinetics'!$K$80</definedName>
    <definedName name="NozzleSelect3">'PM10 &amp; 2.5'!$H$14</definedName>
    <definedName name="NozzleSelect4">'PM10 &amp; 2.5'!$H$80</definedName>
    <definedName name="NozzleSuggest1">'Flows &amp; Isokinetics'!$V$4</definedName>
    <definedName name="NozzleSuggest2">'Flows &amp; Isokinetics'!$V$9</definedName>
    <definedName name="NozzleSuggest3">'PM10 &amp; 2.5'!$N$15</definedName>
    <definedName name="NozzleSuggest4">'PM10 &amp; 2.5'!$N$81</definedName>
    <definedName name="NozzleVelocity3">'PM10 &amp; 2.5'!$AR$29</definedName>
    <definedName name="NozzleVelocity4">'PM10 &amp; 2.5'!$AR$95</definedName>
    <definedName name="NTPSTP">Details!$D$36</definedName>
    <definedName name="NTPWetDry">Report!#REF!</definedName>
    <definedName name="O2CO2">Gases!$H$5</definedName>
    <definedName name="O2correction">Gases!$H$2</definedName>
    <definedName name="O2dry">Details!$E$39</definedName>
    <definedName name="O2mw">Details!$B$39</definedName>
    <definedName name="O2percent">Gases!$P$511</definedName>
    <definedName name="O2wet">Details!$D$39</definedName>
    <definedName name="OdourAirTemp">Odour!$C$8</definedName>
    <definedName name="OdourCheck">Details!$N$22</definedName>
    <definedName name="OdourRateTable">Pitots!$H$51:$I$52</definedName>
    <definedName name="OdourRateUnits">Pitots!$H$51:$H$52</definedName>
    <definedName name="Operators">Details!$C$2</definedName>
    <definedName name="OPF">Details!$E$29</definedName>
    <definedName name="OPTable">Pitots!$E$21:$F$24</definedName>
    <definedName name="OPU">Details!$D$29</definedName>
    <definedName name="OPunits">Pitots!$E$21:$E$24</definedName>
    <definedName name="ORF">Details!$E$35</definedName>
    <definedName name="OrientationPort">Pitots!$Q$17:$Q$18</definedName>
    <definedName name="OrientationStack">Pitots!$Q$12:$Q$14</definedName>
    <definedName name="ORU">Details!$D$35</definedName>
    <definedName name="Other1dry">Details!$E$42</definedName>
    <definedName name="Other1est">Details!$C$42</definedName>
    <definedName name="Other1mw">Details!$B$42</definedName>
    <definedName name="Other2dry">Details!$E$43</definedName>
    <definedName name="Other2est">Details!$C$43</definedName>
    <definedName name="Other2mw">Details!$B$43</definedName>
    <definedName name="Other3dry">Details!$E$44</definedName>
    <definedName name="Other3est">Details!$C$44</definedName>
    <definedName name="Other3mw">Details!$B$44</definedName>
    <definedName name="Other4dry">Details!$E$45</definedName>
    <definedName name="Other4est">Details!$C$45</definedName>
    <definedName name="Other4mw">Details!$B$45</definedName>
    <definedName name="Other5dry">Details!$E$46</definedName>
    <definedName name="Other5est">Details!$C$46</definedName>
    <definedName name="Other5mw">Details!$B$46</definedName>
    <definedName name="Otherpercent">Gases!$R$511</definedName>
    <definedName name="Otherppm">Gases!$D$511</definedName>
    <definedName name="OxyCorrection" localSheetId="2">'Velocity Profile'!$D:$D,'Velocity Profile'!#REF!,'Velocity Profile'!$K:$K</definedName>
    <definedName name="OxyCorrection">Report!$D:$D,Report!$G:$G,Report!$J:$J</definedName>
    <definedName name="oxycorrection2">Report!$54:$55</definedName>
    <definedName name="Pascal3">'PM10 &amp; 2.5'!$C$15</definedName>
    <definedName name="Pascal4">'PM10 &amp; 2.5'!$C$81</definedName>
    <definedName name="PBF_1">'Flows &amp; Isokinetics'!$R$9</definedName>
    <definedName name="PBF_2">'PM10 &amp; 2.5'!$N$9</definedName>
    <definedName name="PBVF2">'PM10 &amp; 2.5'!$N$10</definedName>
    <definedName name="PermgasStd" localSheetId="2">'Velocity Profile'!#REF!</definedName>
    <definedName name="PermgasStd">Report!$P$582</definedName>
    <definedName name="PhenolStd">Report!$P$587</definedName>
    <definedName name="PitotCoeff1">'Flows &amp; Isokinetics'!$G$7</definedName>
    <definedName name="PitotCoeff2">'Flows &amp; Isokinetics'!$H$7</definedName>
    <definedName name="PitotCoeff3">'PM10 &amp; 2.5'!$C$7</definedName>
    <definedName name="PitotCoeff4">'PM10 &amp; 2.5'!$E$7</definedName>
    <definedName name="PitotCoeffAft1">Afterflows!$D$6</definedName>
    <definedName name="PitotCoeffAft2">Afterflows!$F$6</definedName>
    <definedName name="PitotID1">'Flows &amp; Isokinetics'!$G$6</definedName>
    <definedName name="PitotID2">'Flows &amp; Isokinetics'!$H$6</definedName>
    <definedName name="PitotID3">'PM10 &amp; 2.5'!$C$6</definedName>
    <definedName name="PitotID4">'PM10 &amp; 2.5'!$E$6</definedName>
    <definedName name="PitotIDAft1">Afterflows!$D$5</definedName>
    <definedName name="PitotIDAft2">Afterflows!$F$5</definedName>
    <definedName name="PitotList">Pitots!$B$3:$B$130</definedName>
    <definedName name="PitotTable">Pitots!$B$3:$C$130</definedName>
    <definedName name="PMlist">'PM10 &amp; 2.5'!$AS$60:$AS$65</definedName>
    <definedName name="PMtest3">'PM10 &amp; 2.5'!$L$8</definedName>
    <definedName name="PMtest4">'PM10 &amp; 2.5'!$M$8</definedName>
    <definedName name="PointsFactor">Details!$J$20</definedName>
    <definedName name="PointsMinimum">Details!$K$20</definedName>
    <definedName name="PointsRange">'Flows &amp; Isokinetics'!$E$15:$E$74</definedName>
    <definedName name="PointsRequired">Details!$K$21</definedName>
    <definedName name="PointsSampled">Details!$J$20</definedName>
    <definedName name="PointsTotal">Details!$I$21</definedName>
    <definedName name="PointsTraverse">Details!$J$21</definedName>
    <definedName name="PortDepth">Details!$J$13</definedName>
    <definedName name="PortOrientation">Details!$K$13</definedName>
    <definedName name="PortSize">Details!$I$19</definedName>
    <definedName name="PQLTable">PQLs!$D$3:$O$87</definedName>
    <definedName name="_xlnm.Print_Area" localSheetId="7">Afterflows!$B$1:$M$146</definedName>
    <definedName name="_xlnm.Print_Area" localSheetId="21">'Compound Lists'!$M$1:$U$42</definedName>
    <definedName name="_xlnm.Print_Area" localSheetId="5">Details!$A$1:$K$78</definedName>
    <definedName name="_xlnm.Print_Area" localSheetId="14">Dioxins!$A$1:$M$93</definedName>
    <definedName name="_xlnm.Print_Area" localSheetId="17">'Drift Test'!$A$1:$J$52</definedName>
    <definedName name="_xlnm.Print_Area" localSheetId="23">Flowmeters!$AF$1:$BA$9</definedName>
    <definedName name="_xlnm.Print_Area" localSheetId="6">'Flows &amp; Isokinetics'!$E$1:$R$143</definedName>
    <definedName name="_xlnm.Print_Area" localSheetId="11">Gases!$A$1:$S$526</definedName>
    <definedName name="_xlnm.Print_Area" localSheetId="22">Nozzles!$J$70:$AC$115</definedName>
    <definedName name="_xlnm.Print_Area" localSheetId="10">Odour!$A$1:$M$34</definedName>
    <definedName name="_xlnm.Print_Area" localSheetId="24">Pitots!$B$70:$C$111</definedName>
    <definedName name="_xlnm.Print_Area" localSheetId="4">'PM &amp; Metals'!$A$1:$K$117</definedName>
    <definedName name="_xlnm.Print_Area" localSheetId="8">'PM10 &amp; 2.5'!$A$1:$N$147</definedName>
    <definedName name="_xlnm.Print_Area" localSheetId="3">Report!$A$2:$K$361</definedName>
    <definedName name="_xlnm.Print_Area" localSheetId="15">'Results Entry'!$B$9:$R$220</definedName>
    <definedName name="_xlnm.Print_Area" localSheetId="2">'Velocity Profile'!$A$2:$L$214</definedName>
    <definedName name="_xlnm.Print_Area" localSheetId="12">'VOC &amp; S Gases'!$A$1:$O$219</definedName>
    <definedName name="_xlnm.Print_Titles" localSheetId="22">Nozzles!$J:$N</definedName>
    <definedName name="_xlnm.Print_Titles" localSheetId="3">Report!$1:$7</definedName>
    <definedName name="_xlnm.Print_Titles" localSheetId="2">'Velocity Profile'!$1:$8</definedName>
    <definedName name="_xlnm.Print_Titles" localSheetId="12">'VOC &amp; S Gases'!$1:$4</definedName>
    <definedName name="ProbeList">Pitots!$H$71:$H$75</definedName>
    <definedName name="ProbeTable">Pitots!$H$71:$I$75</definedName>
    <definedName name="PSACheck">Details!$N$13</definedName>
    <definedName name="Psyc1">#REF!</definedName>
    <definedName name="Psyc2">#REF!</definedName>
    <definedName name="PsycMoist1">Details!$O$70</definedName>
    <definedName name="PsycMoist2">Details!$P$70</definedName>
    <definedName name="Pws">Details!#REF!</definedName>
    <definedName name="QsLmin3">'PM10 &amp; 2.5'!$AS$19</definedName>
    <definedName name="QsLmin4">'PM10 &amp; 2.5'!$AS$85</definedName>
    <definedName name="QsM3min3">'PM10 &amp; 2.5'!$AT$19</definedName>
    <definedName name="QsM3min4">'PM10 &amp; 2.5'!$AT$85</definedName>
    <definedName name="Rado">Afterflows!$M$6</definedName>
    <definedName name="ReportVOC">'VOC &amp; S Gases'!$B$110</definedName>
    <definedName name="ReportVOClist">'Compound Lists'!$F$4:$F$7</definedName>
    <definedName name="ReportVOCtable">'Compound Lists'!$F$4:$J$7</definedName>
    <definedName name="ResultsBag" localSheetId="2">'Velocity Profile'!#REF!</definedName>
    <definedName name="ResultsBag">Report!$A$371:$K$471</definedName>
    <definedName name="ResultsCO" localSheetId="2">'Velocity Profile'!#REF!</definedName>
    <definedName name="ResultsCO">Report!$A$325:$K$325</definedName>
    <definedName name="ResultsCO2O2" localSheetId="2">'Velocity Profile'!#REF!</definedName>
    <definedName name="ResultsCO2O2">Report!$A$327:$K$330</definedName>
    <definedName name="ResultsCT" localSheetId="2">'Velocity Profile'!#REF!</definedName>
    <definedName name="ResultsCT">Report!$A$72:$K$83</definedName>
    <definedName name="ResultsDrift" localSheetId="2">'Velocity Profile'!#REF!</definedName>
    <definedName name="ResultsDrift">Report!$A$227:$K$232</definedName>
    <definedName name="ResultsEP" localSheetId="2">'Velocity Profile'!#REF!,'Velocity Profile'!$A$12:$L$12,'Velocity Profile'!#REF!</definedName>
    <definedName name="ResultsEP">Report!$A$11:$A$12,Report!$A$61</definedName>
    <definedName name="ResultsGas" localSheetId="2">'Velocity Profile'!#REF!</definedName>
    <definedName name="ResultsGas">Report!$A$317:$K$331</definedName>
    <definedName name="ResultsInlet">Report!$A$344:$K$361</definedName>
    <definedName name="ResultsM23" localSheetId="2">'Velocity Profile'!#REF!</definedName>
    <definedName name="ResultsM23">Report!$A$135:$K$226</definedName>
    <definedName name="ResultsNO" localSheetId="2">'Velocity Profile'!#REF!</definedName>
    <definedName name="ResultsNO">Report!$A$321:$K$321</definedName>
    <definedName name="ResultsNO2" localSheetId="2">'Velocity Profile'!#REF!</definedName>
    <definedName name="ResultsNO2">Report!$A$322:$K$322</definedName>
    <definedName name="ResultsNonIso" localSheetId="2">'Velocity Profile'!#REF!</definedName>
    <definedName name="ResultsNonIso">Report!$A$233:$K$316</definedName>
    <definedName name="ResultsNOx" localSheetId="2">'Velocity Profile'!#REF!</definedName>
    <definedName name="ResultsNOx">Report!$A$323:$K$323</definedName>
    <definedName name="ResultsOdour">Report!$A$332:$K$343,Report!$A$362:$K$362</definedName>
    <definedName name="ResultsOther">Report!$A$326:$K$326</definedName>
    <definedName name="ResultsSO2">Report!$A$324:$K$324</definedName>
    <definedName name="ResultsSTIR">Report!$A$66:$K$70</definedName>
    <definedName name="ResultsSubstances">Report!$A$131:$K$133</definedName>
    <definedName name="ResultsTOC">Report!$A$363:$K$370</definedName>
    <definedName name="ResultsToReport">Pitots!$AC$8:$AC$12</definedName>
    <definedName name="ResultsTPM">Report!$A$85:$K$134</definedName>
    <definedName name="ResultsTube">Report!$A$472:$M$580</definedName>
    <definedName name="Rslo">Afterflows!$M$7</definedName>
    <definedName name="SamplePlaneDim">Report!$E$9</definedName>
    <definedName name="SampleRateIdeal1">'Flows &amp; Isokinetics'!$W$5</definedName>
    <definedName name="SampleRateIdeal2">'Flows &amp; Isokinetics'!$W$10</definedName>
    <definedName name="SampleRateReq1">'Flows &amp; Isokinetics'!$V$5</definedName>
    <definedName name="SampleRateReq2">'Flows &amp; Isokinetics'!$V$10</definedName>
    <definedName name="SampleTimeReq1">'Flows &amp; Isokinetics'!$X$3</definedName>
    <definedName name="SampleTimeReq2">'Flows &amp; Isokinetics'!$X$8</definedName>
    <definedName name="SamplingAccess">Pitots!$AC$15:$AC$27</definedName>
    <definedName name="SamplingPorts">Pitots!$O$2:$O$44</definedName>
    <definedName name="SamplingRate3">'PM10 &amp; 2.5'!$AR$19</definedName>
    <definedName name="SamplingRate4">'PM10 &amp; 2.5'!$AR$85</definedName>
    <definedName name="SamplingRateAct3">'PM10 &amp; 2.5'!$AM$42</definedName>
    <definedName name="SamplingRateAct4">'PM10 &amp; 2.5'!$AM$108</definedName>
    <definedName name="SamplingRateOptimum">#REF!</definedName>
    <definedName name="SFF">Pitots!$F$72</definedName>
    <definedName name="SFlowTable">Pitots!$E$64:$F$71</definedName>
    <definedName name="SFlowUnits">Pitots!$E$64:$E$71</definedName>
    <definedName name="SFU">Pitots!$E$72</definedName>
    <definedName name="SgasStd">Report!$P$584</definedName>
    <definedName name="SigFig1">Details!$D$37</definedName>
    <definedName name="SigFig2">Details!$E$37</definedName>
    <definedName name="SigFigList">Pitots!$S$2:$S$7</definedName>
    <definedName name="SO2ppm">Gases!$J$511</definedName>
    <definedName name="SPaccess">Details!$I$16</definedName>
    <definedName name="SPheight">Details!$J$16</definedName>
    <definedName name="StackDimA">Details!$I$11</definedName>
    <definedName name="StackDimB">Details!$J$11</definedName>
    <definedName name="StackExitDimA">Details!$I$12</definedName>
    <definedName name="StackExitDimB">Details!$J$12</definedName>
    <definedName name="StackGasDensity">Details!$D$53</definedName>
    <definedName name="StackGasDensityDry">Details!$E$53</definedName>
    <definedName name="StackGasPressInHg3">'PM10 &amp; 2.5'!$AM$34</definedName>
    <definedName name="StackGasPressInHg4">'PM10 &amp; 2.5'!$AM$100</definedName>
    <definedName name="StackGasPressmmHg3">'PM10 &amp; 2.5'!$AM$35</definedName>
    <definedName name="StackGasPressmmHg4">'PM10 &amp; 2.5'!$AM$101</definedName>
    <definedName name="StackGasVelocity3">'PM10 &amp; 2.5'!$AR$20</definedName>
    <definedName name="StackGasVelocity4">'PM10 &amp; 2.5'!$AR$86</definedName>
    <definedName name="StackID">Details!$H$2</definedName>
    <definedName name="StackOrientation">Details!$I$13</definedName>
    <definedName name="StackPress1">'[1]Flows&amp;Isokinetics'!$E$22</definedName>
    <definedName name="StackPress2">'[1]Flows&amp;Isokinetics (2)'!$E$21</definedName>
    <definedName name="StackPress3">'[1]Flows&amp;Isokinetics (3)'!$E$21</definedName>
    <definedName name="StackPress4">'[1]Flows&amp;Isokinetics (4)'!$E$21</definedName>
    <definedName name="StackPress5">'[1]Flows&amp;Isokinetics (5)'!$E$21</definedName>
    <definedName name="StackShape">Details!$K$11</definedName>
    <definedName name="StackShapes">Pitots!$S$10:$S$12</definedName>
    <definedName name="StackTemp1">'Flows &amp; Isokinetics'!$H$14</definedName>
    <definedName name="StackTemp2">'Flows &amp; Isokinetics'!$H$80</definedName>
    <definedName name="StackTemp3">'PM10 &amp; 2.5'!$E$14</definedName>
    <definedName name="StackTemp4">'PM10 &amp; 2.5'!$E$80</definedName>
    <definedName name="StackTempAft1">Afterflows!$F$13</definedName>
    <definedName name="StackTempAft2">Afterflows!$F$79</definedName>
    <definedName name="StackTempAvg1">'Flows &amp; Isokinetics'!$H$76</definedName>
    <definedName name="StackTempAvg2">'Flows &amp; Isokinetics'!$H$142</definedName>
    <definedName name="StackTempAvg3">'PM10 &amp; 2.5'!$E$76</definedName>
    <definedName name="StackTempAvg4">'PM10 &amp; 2.5'!$E$142</definedName>
    <definedName name="StackTempAvgAft1">Afterflows!$F$75</definedName>
    <definedName name="StackTempAvgAft2">Afterflows!$F$141</definedName>
    <definedName name="StackTempAvgAftK1">Afterflows!$F$76</definedName>
    <definedName name="StackTempAvgAftK2">Afterflows!$F$142</definedName>
    <definedName name="StackTempAvgF3">'PM10 &amp; 2.5'!$AM$28</definedName>
    <definedName name="StackTempAvgF4">'PM10 &amp; 2.5'!$AM$94</definedName>
    <definedName name="StackTempAvgK1">'Flows &amp; Isokinetics'!$H$77</definedName>
    <definedName name="StackTempAvgK2">'Flows &amp; Isokinetics'!$H$143</definedName>
    <definedName name="StackTempAvgK3">'PM10 &amp; 2.5'!$E$77</definedName>
    <definedName name="StackTempAvgK4">'PM10 &amp; 2.5'!$E$143</definedName>
    <definedName name="StackTempAvgR3">'PM10 &amp; 2.5'!$AM$29</definedName>
    <definedName name="StackTempAvgR4">'PM10 &amp; 2.5'!$AM$95</definedName>
    <definedName name="State">Details!$K$3</definedName>
    <definedName name="StateList">Pitots!$Q$2:$Q$9</definedName>
    <definedName name="StaticPress">Details!$D$68</definedName>
    <definedName name="StaticPress1">'Flows &amp; Isokinetics'!$G$3</definedName>
    <definedName name="StaticPress2">'Flows &amp; Isokinetics'!$H$3</definedName>
    <definedName name="StaticPress3">'PM10 &amp; 2.5'!$C$3</definedName>
    <definedName name="StaticPress4">'PM10 &amp; 2.5'!$E$3</definedName>
    <definedName name="StaticPressAft1">Afterflows!$D$3</definedName>
    <definedName name="StaticPressAft2">Afterflows!$F$3</definedName>
    <definedName name="StdDev">Odour!$T$5:$V$15</definedName>
    <definedName name="SulfurgasStd" localSheetId="2">'Velocity Profile'!#REF!</definedName>
    <definedName name="SulfurgasStd">Report!#REF!</definedName>
    <definedName name="SVP">#REF!</definedName>
    <definedName name="SVP_1">Details!$O$66</definedName>
    <definedName name="SVP_2">Details!$P$66</definedName>
    <definedName name="SVP_3">Details!$Q$66</definedName>
    <definedName name="SVP_4">Details!$R$66</definedName>
    <definedName name="T">'Drift Test'!$H$9</definedName>
    <definedName name="TC">Details!$E$30</definedName>
    <definedName name="TempTable">Pitots!$E$28:$F$29</definedName>
    <definedName name="TempUnits">Pitots!$E$28:$E$29</definedName>
    <definedName name="TEQconvention">Dioxins!$W$4:$W$7</definedName>
    <definedName name="TestReason">Pitots!$U$2:$U$8</definedName>
    <definedName name="TestReport">Details!$E$12</definedName>
    <definedName name="TestsToReport">Pitots!$AC$8:$AC$10</definedName>
    <definedName name="TiF">Pitots!$F$46</definedName>
    <definedName name="TimePoint1">'Flows &amp; Isokinetics'!$L$14</definedName>
    <definedName name="TimePoint2">'Flows &amp; Isokinetics'!$L$80</definedName>
    <definedName name="TimePoint3">'PM10 &amp; 2.5'!$I$14</definedName>
    <definedName name="TimePoint4">'PM10 &amp; 2.5'!$I$80</definedName>
    <definedName name="TimeRequired1">'Flows &amp; Isokinetics'!$V$3</definedName>
    <definedName name="TimeRequired2">'Flows &amp; Isokinetics'!$V$8</definedName>
    <definedName name="TimeTable">Pitots!$E$42:$F$45</definedName>
    <definedName name="TimeUnits">Pitots!$E$42:$E$45</definedName>
    <definedName name="TiU">Pitots!$E$46</definedName>
    <definedName name="TOCGas">'Compound Lists'!$F$10:$G$13</definedName>
    <definedName name="TotalTime1">'Flows &amp; Isokinetics'!$L$77</definedName>
    <definedName name="TotalTime2">'Flows &amp; Isokinetics'!$L$143</definedName>
    <definedName name="TotalTime3">'PM10 &amp; 2.5'!$I$77</definedName>
    <definedName name="TotalTime4">'PM10 &amp; 2.5'!$I$143</definedName>
    <definedName name="TraversesRequired">Details!$K$19</definedName>
    <definedName name="TraversesSampled">Details!$J$19</definedName>
    <definedName name="TravMethod">Details!$I$20</definedName>
    <definedName name="TravMethods">Pitots!$S$15:$S$17</definedName>
    <definedName name="TRSefficiency" localSheetId="2">'Velocity Profile'!#REF!</definedName>
    <definedName name="TRSefficiency">Report!#REF!</definedName>
    <definedName name="TU">Details!$D$30</definedName>
    <definedName name="TVC">Details!$C$36</definedName>
    <definedName name="Type12Check">Details!$N$14</definedName>
    <definedName name="VelocityAverage1">'Flows &amp; Isokinetics'!$P$76</definedName>
    <definedName name="VelocityAverage2">'Flows &amp; Isokinetics'!$P$142</definedName>
    <definedName name="VelocityAverage3">'PM10 &amp; 2.5'!$S$76</definedName>
    <definedName name="VelocityAverage4">'PM10 &amp; 2.5'!$S$142</definedName>
    <definedName name="VelocityAverageAft1">Afterflows!$L$75</definedName>
    <definedName name="VelocityAverageAft2">Afterflows!$L$141</definedName>
    <definedName name="VelocityAverageSC1">'Flows &amp; Isokinetics'!$AA$76</definedName>
    <definedName name="VelocityAverageSC2">'Flows &amp; Isokinetics'!$AA$142</definedName>
    <definedName name="VelocityAverageSC3">'PM10 &amp; 2.5'!$X$76</definedName>
    <definedName name="VelocityAverageSC4">'PM10 &amp; 2.5'!$X$142</definedName>
    <definedName name="VelocityAverageSCAft1">Afterflows!$M$75</definedName>
    <definedName name="VelocityAverageSCAft2">Afterflows!$M$141</definedName>
    <definedName name="VelocityTable">Pitots!$H$4:$I$6</definedName>
    <definedName name="VelocityUnits">Pitots!$H$4:$H$6</definedName>
    <definedName name="VF">Details!$E$31</definedName>
    <definedName name="Viscosity201A3">'PM10 &amp; 2.5'!$AM$23</definedName>
    <definedName name="Viscosity201A4">'PM10 &amp; 2.5'!$AM$89</definedName>
    <definedName name="Viscosity3">'PM10 &amp; 2.5'!$AM$22</definedName>
    <definedName name="Viscosity4">'PM10 &amp; 2.5'!$AM$88</definedName>
    <definedName name="ViscosityCTM3">'PM10 &amp; 2.5'!$AM$24</definedName>
    <definedName name="ViscosityCTM4">'PM10 &amp; 2.5'!$AM$90</definedName>
    <definedName name="ViscosityM28C3">'PM10 &amp; 2.5'!$AL$22</definedName>
    <definedName name="ViscosityM28C4">'PM10 &amp; 2.5'!$AL$88</definedName>
    <definedName name="ViscosityP28C3">'PM10 &amp; 2.5'!$AN$22</definedName>
    <definedName name="ViscosityP28C4">'PM10 &amp; 2.5'!$AN$88</definedName>
    <definedName name="VND">Details!$J$62</definedName>
    <definedName name="VOCGasCheck">Details!$N$17</definedName>
    <definedName name="VOClist">'Compound Lists'!$B$5:$B$171</definedName>
    <definedName name="VOCstd1" localSheetId="2">'Velocity Profile'!#REF!</definedName>
    <definedName name="VOCstd1">Report!$P$573</definedName>
    <definedName name="VOCstd2" localSheetId="2">'Velocity Profile'!#REF!</definedName>
    <definedName name="VOCstd2">Report!$P$574</definedName>
    <definedName name="VOCstd3" localSheetId="2">'Velocity Profile'!#REF!</definedName>
    <definedName name="VOCstd3">Report!$P$575</definedName>
    <definedName name="VOCstd4" localSheetId="2">'Velocity Profile'!#REF!</definedName>
    <definedName name="VOCstd4">Report!$P$576</definedName>
    <definedName name="VOCstd5" localSheetId="2">'Velocity Profile'!#REF!</definedName>
    <definedName name="VOCstd5">Report!$P$577</definedName>
    <definedName name="VOCstd6" localSheetId="2">'Velocity Profile'!#REF!</definedName>
    <definedName name="VOCstd6">Report!$P$578</definedName>
    <definedName name="VOCtable">'Compound Lists'!$B$5:$D$171</definedName>
    <definedName name="VOCTubeCheck">Details!$N$16</definedName>
    <definedName name="VoF">Pitots!$F$61</definedName>
    <definedName name="VolumeCorrection">Pitots!$S$20:$S$22</definedName>
    <definedName name="VolumeD1">Dioxins!$J$7</definedName>
    <definedName name="VolumeD2">Dioxins!$K$7</definedName>
    <definedName name="VolumeMeter1">'PM &amp; Metals'!$B$6</definedName>
    <definedName name="VolumeMeter2">'PM &amp; Metals'!$C$6</definedName>
    <definedName name="VolumeMeter3">'PM &amp; Metals'!$D$6</definedName>
    <definedName name="VolumeMeter4">'PM &amp; Metals'!$E$6</definedName>
    <definedName name="VolumeMode">Pitots!$Q$21:$Q$23</definedName>
    <definedName name="VolumeNTP1">'PM &amp; Metals'!$B$7</definedName>
    <definedName name="VolumeNTP2">'PM &amp; Metals'!$C$7</definedName>
    <definedName name="VolumeNTP3">'PM &amp; Metals'!$D$7</definedName>
    <definedName name="VolumeNTP4">'PM &amp; Metals'!$E$7</definedName>
    <definedName name="VolumePreMeter1">'Flows &amp; Isokinetics'!$V$77</definedName>
    <definedName name="VolumePreMeter2">'Flows &amp; Isokinetics'!$V$143</definedName>
    <definedName name="VolumePreMeter3">'PM10 &amp; 2.5'!$V$77</definedName>
    <definedName name="VolumePreMeter4">'PM10 &amp; 2.5'!$V$143</definedName>
    <definedName name="VolumePreNTP1">'Flows &amp; Isokinetics'!$W$77</definedName>
    <definedName name="VolumePreNTP2">'Flows &amp; Isokinetics'!$W$143</definedName>
    <definedName name="VolumePreNTP3">'PM10 &amp; 2.5'!$W$77</definedName>
    <definedName name="VolumePreNTP4">'PM10 &amp; 2.5'!$W$143</definedName>
    <definedName name="VolumeRequired1">'Flows &amp; Isokinetics'!$V$2</definedName>
    <definedName name="VolumeRequired2">'Flows &amp; Isokinetics'!$V$7</definedName>
    <definedName name="VolumeSelect">'PM &amp; Metals'!$B$7:$E$7</definedName>
    <definedName name="VolumeT1">'PM &amp; Metals'!$I$7</definedName>
    <definedName name="VolumeT2">'PM &amp; Metals'!$J$7</definedName>
    <definedName name="VolumeTable">Pitots!$E$57:$F$60</definedName>
    <definedName name="VolumeUnits">Pitots!$E$57:$E$60</definedName>
    <definedName name="VoU">Pitots!$E$61</definedName>
    <definedName name="VU">Details!$D$31</definedName>
    <definedName name="WetBulb1">'Flows &amp; Isokinetics'!$G$5</definedName>
    <definedName name="WetBulb2">'Flows &amp; Isokinetics'!$H$5</definedName>
    <definedName name="WetBulb3">'PM10 &amp; 2.5'!$C$5</definedName>
    <definedName name="WetBulb4">'PM10 &amp; 2.5'!$E$5</definedName>
    <definedName name="WetTemp">'[1]Flows&amp;Isokinetics'!$E$19</definedName>
    <definedName name="WetTemp2">'[1]Flows&amp;Isokinetics (2)'!$E$18</definedName>
    <definedName name="WetTemp3">'[1]Flows&amp;Isokinetics (3)'!$E$18</definedName>
    <definedName name="WetTemp4">'[1]Flows&amp;Isokinetics (4)'!$E$18</definedName>
    <definedName name="WetTemp5">'[1]Flows&amp;Isokinetics (5)'!$E$18</definedName>
    <definedName name="Y2T1">'Flows &amp; Isokinetics'!$J$5</definedName>
    <definedName name="Y2T2">'Flows &amp; Isokinetics'!$K$5</definedName>
    <definedName name="YawCorr">Afterflows!$M$9</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112" i="58" l="1"/>
  <c r="A112" i="58"/>
  <c r="A113" i="58"/>
  <c r="A114" i="58"/>
  <c r="A115" i="58"/>
  <c r="A116" i="58"/>
  <c r="A117" i="58"/>
  <c r="A118" i="58"/>
  <c r="A119" i="58"/>
  <c r="A120" i="58"/>
  <c r="A121" i="58"/>
  <c r="A13" i="3"/>
  <c r="D86" i="60"/>
  <c r="D72" i="60"/>
  <c r="D58" i="60"/>
  <c r="D44" i="60"/>
  <c r="D30" i="60"/>
  <c r="W14" i="3"/>
  <c r="G15" i="35"/>
  <c r="W15" i="3"/>
  <c r="G16" i="35"/>
  <c r="W16" i="3"/>
  <c r="G17" i="35"/>
  <c r="W17" i="3"/>
  <c r="G18" i="35"/>
  <c r="W18" i="3"/>
  <c r="G19" i="35"/>
  <c r="W19" i="3"/>
  <c r="G20" i="35"/>
  <c r="A11" i="3"/>
  <c r="A10" i="3"/>
  <c r="A3" i="3"/>
  <c r="A2" i="3"/>
  <c r="D15" i="3"/>
  <c r="D16" i="3"/>
  <c r="D17" i="3"/>
  <c r="D18" i="3"/>
  <c r="D19" i="3"/>
  <c r="W20" i="3"/>
  <c r="D20" i="3"/>
  <c r="W21" i="3"/>
  <c r="D21" i="3"/>
  <c r="W22" i="3"/>
  <c r="D22" i="3"/>
  <c r="W23" i="3"/>
  <c r="D23" i="3"/>
  <c r="W24" i="3"/>
  <c r="D24" i="3"/>
  <c r="W25" i="3"/>
  <c r="D25" i="3"/>
  <c r="W26" i="3"/>
  <c r="D26" i="3"/>
  <c r="W27" i="3"/>
  <c r="D27" i="3"/>
  <c r="W28" i="3"/>
  <c r="D28" i="3"/>
  <c r="W29" i="3"/>
  <c r="D29" i="3"/>
  <c r="W30" i="3"/>
  <c r="D30" i="3"/>
  <c r="W31" i="3"/>
  <c r="D31" i="3"/>
  <c r="W32" i="3"/>
  <c r="D32" i="3"/>
  <c r="W33" i="3"/>
  <c r="D33" i="3"/>
  <c r="W34" i="3"/>
  <c r="D34" i="3"/>
  <c r="W35" i="3"/>
  <c r="D35" i="3"/>
  <c r="W36" i="3"/>
  <c r="D36" i="3"/>
  <c r="W37" i="3"/>
  <c r="D37" i="3"/>
  <c r="D14" i="3"/>
  <c r="A79" i="3"/>
  <c r="A17" i="35"/>
  <c r="B14" i="35"/>
  <c r="A14" i="35"/>
  <c r="B6" i="35"/>
  <c r="B7" i="35"/>
  <c r="A8" i="35"/>
  <c r="A2" i="35"/>
  <c r="B3" i="35"/>
  <c r="B8" i="35"/>
  <c r="B9" i="35"/>
  <c r="B10" i="35"/>
  <c r="B11" i="35"/>
  <c r="B2" i="35"/>
  <c r="A3" i="35"/>
  <c r="A6" i="35"/>
  <c r="A7" i="35"/>
  <c r="A9" i="35"/>
  <c r="A10" i="35"/>
  <c r="A11" i="35"/>
  <c r="W101" i="3"/>
  <c r="G102" i="35"/>
  <c r="C80" i="35"/>
  <c r="W81" i="3"/>
  <c r="G82" i="35"/>
  <c r="W82" i="3"/>
  <c r="G83" i="35"/>
  <c r="W83" i="3"/>
  <c r="G84" i="35"/>
  <c r="W84" i="3"/>
  <c r="G85" i="35"/>
  <c r="W85" i="3"/>
  <c r="G86" i="35"/>
  <c r="W86" i="3"/>
  <c r="G87" i="35"/>
  <c r="W87" i="3"/>
  <c r="G88" i="35"/>
  <c r="W88" i="3"/>
  <c r="G89" i="35"/>
  <c r="W89" i="3"/>
  <c r="G90" i="35"/>
  <c r="W90" i="3"/>
  <c r="G91" i="35"/>
  <c r="W91" i="3"/>
  <c r="G92" i="35"/>
  <c r="W92" i="3"/>
  <c r="G93" i="35"/>
  <c r="W93" i="3"/>
  <c r="G94" i="35"/>
  <c r="W94" i="3"/>
  <c r="G95" i="35"/>
  <c r="W95" i="3"/>
  <c r="G96" i="35"/>
  <c r="W96" i="3"/>
  <c r="G97" i="35"/>
  <c r="W97" i="3"/>
  <c r="G98" i="35"/>
  <c r="W98" i="3"/>
  <c r="G99" i="35"/>
  <c r="W99" i="3"/>
  <c r="G100" i="35"/>
  <c r="W100" i="3"/>
  <c r="G101" i="35"/>
  <c r="W102" i="3"/>
  <c r="G103" i="35"/>
  <c r="W103" i="3"/>
  <c r="G104" i="35"/>
  <c r="W80" i="3"/>
  <c r="G81" i="35"/>
  <c r="H16" i="35"/>
  <c r="G21" i="35"/>
  <c r="G22" i="35"/>
  <c r="G23" i="35"/>
  <c r="G24" i="35"/>
  <c r="G25" i="35"/>
  <c r="G26" i="35"/>
  <c r="G27" i="35"/>
  <c r="G28" i="35"/>
  <c r="G29" i="35"/>
  <c r="G30" i="35"/>
  <c r="G31" i="35"/>
  <c r="G32" i="35"/>
  <c r="G33" i="35"/>
  <c r="G34" i="35"/>
  <c r="G35" i="35"/>
  <c r="G36" i="35"/>
  <c r="G37" i="35"/>
  <c r="G38" i="35"/>
  <c r="C14" i="35"/>
  <c r="C10" i="35"/>
  <c r="C9" i="35"/>
  <c r="C8" i="35"/>
  <c r="C6" i="35"/>
  <c r="C3" i="35"/>
  <c r="C2" i="35"/>
  <c r="N119" i="58"/>
  <c r="AQ119" i="58"/>
  <c r="AW119" i="58"/>
  <c r="Q119" i="58"/>
  <c r="S119" i="58"/>
  <c r="R119" i="58"/>
  <c r="O119" i="58"/>
  <c r="AK119" i="58"/>
  <c r="AJ119" i="58"/>
  <c r="AL119" i="58"/>
  <c r="BF119" i="58"/>
  <c r="BE119" i="58"/>
  <c r="BD119" i="58"/>
  <c r="BC119" i="58"/>
  <c r="BB119" i="58"/>
  <c r="BA119" i="58"/>
  <c r="AZ119" i="58"/>
  <c r="AY119" i="58"/>
  <c r="AV119" i="58"/>
  <c r="AU119" i="58"/>
  <c r="AT119" i="58"/>
  <c r="AS119" i="58"/>
  <c r="AP119" i="58"/>
  <c r="AO119" i="58"/>
  <c r="AN119" i="58"/>
  <c r="AM119" i="58"/>
  <c r="AW117" i="58"/>
  <c r="AS115" i="58"/>
  <c r="G117" i="58"/>
  <c r="J115" i="58"/>
  <c r="I115" i="58"/>
  <c r="H115" i="58"/>
  <c r="G115" i="58"/>
  <c r="F115" i="58"/>
  <c r="E119" i="58"/>
  <c r="H97" i="58"/>
  <c r="I97" i="58"/>
  <c r="L97" i="58"/>
  <c r="M97" i="58"/>
  <c r="P119" i="58"/>
  <c r="BO119" i="58"/>
  <c r="BJ119" i="58"/>
  <c r="BG119" i="58"/>
  <c r="BI119" i="58"/>
  <c r="BH119" i="58"/>
  <c r="BK119" i="58"/>
  <c r="BL119" i="58"/>
  <c r="BM119" i="58"/>
  <c r="BN119" i="58"/>
  <c r="B98" i="60"/>
  <c r="B97" i="60"/>
  <c r="B96" i="60"/>
  <c r="B95" i="60"/>
  <c r="I317" i="41"/>
  <c r="C317" i="41"/>
  <c r="F317" i="41"/>
  <c r="A78" i="60" a="1"/>
  <c r="A78" i="60"/>
  <c r="A79" i="60" a="1"/>
  <c r="A79" i="60"/>
  <c r="A80" i="60" a="1"/>
  <c r="A80" i="60"/>
  <c r="A81" i="60" a="1"/>
  <c r="A81" i="60"/>
  <c r="A82" i="60" a="1"/>
  <c r="A82" i="60"/>
  <c r="A83" i="60" a="1"/>
  <c r="A83" i="60"/>
  <c r="A84" i="60" a="1"/>
  <c r="A84" i="60"/>
  <c r="A85" i="60" a="1"/>
  <c r="A85" i="60"/>
  <c r="A77" i="60" a="1"/>
  <c r="A77" i="60"/>
  <c r="A64" i="60" a="1"/>
  <c r="A64" i="60"/>
  <c r="A65" i="60" a="1"/>
  <c r="A65" i="60"/>
  <c r="A66" i="60" a="1"/>
  <c r="A66" i="60"/>
  <c r="A67" i="60" a="1"/>
  <c r="A67" i="60"/>
  <c r="A68" i="60" a="1"/>
  <c r="A68" i="60"/>
  <c r="A69" i="60" a="1"/>
  <c r="A69" i="60"/>
  <c r="A70" i="60" a="1"/>
  <c r="A70" i="60"/>
  <c r="A71" i="60" a="1"/>
  <c r="A71" i="60"/>
  <c r="A63" i="60" a="1"/>
  <c r="A63" i="60"/>
  <c r="A50" i="60" a="1"/>
  <c r="A50" i="60"/>
  <c r="A51" i="60" a="1"/>
  <c r="A51" i="60"/>
  <c r="A52" i="60" a="1"/>
  <c r="A52" i="60"/>
  <c r="A53" i="60" a="1"/>
  <c r="A53" i="60"/>
  <c r="A54" i="60" a="1"/>
  <c r="A54" i="60"/>
  <c r="A55" i="60" a="1"/>
  <c r="A55" i="60"/>
  <c r="A56" i="60" a="1"/>
  <c r="A56" i="60"/>
  <c r="A57" i="60" a="1"/>
  <c r="A57" i="60"/>
  <c r="A49" i="60" a="1"/>
  <c r="A49" i="60"/>
  <c r="A35" i="60" a="1"/>
  <c r="A35" i="60"/>
  <c r="A36" i="60" a="1"/>
  <c r="A36" i="60"/>
  <c r="A37" i="60" a="1"/>
  <c r="A37" i="60"/>
  <c r="A38" i="60" a="1"/>
  <c r="A38" i="60"/>
  <c r="A39" i="60" a="1"/>
  <c r="A39" i="60"/>
  <c r="A40" i="60" a="1"/>
  <c r="A40" i="60"/>
  <c r="A41" i="60" a="1"/>
  <c r="A41" i="60"/>
  <c r="A42" i="60" a="1"/>
  <c r="A42" i="60"/>
  <c r="A43" i="60" a="1"/>
  <c r="A43" i="60"/>
  <c r="A303" i="41"/>
  <c r="A289" i="41"/>
  <c r="A275" i="41"/>
  <c r="A261" i="41"/>
  <c r="A247" i="41"/>
  <c r="D98" i="60"/>
  <c r="C98" i="60"/>
  <c r="C97" i="60"/>
  <c r="D97" i="60"/>
  <c r="AC24" i="58"/>
  <c r="Y99" i="58"/>
  <c r="Z99" i="58"/>
  <c r="AB99" i="58"/>
  <c r="V99" i="58"/>
  <c r="AC99" i="58"/>
  <c r="Y82" i="58"/>
  <c r="Z82" i="58"/>
  <c r="AB82" i="58"/>
  <c r="V82" i="58"/>
  <c r="AC82" i="58"/>
  <c r="Y65" i="58"/>
  <c r="Z65" i="58"/>
  <c r="AB65" i="58"/>
  <c r="V65" i="58"/>
  <c r="AC65" i="58"/>
  <c r="Y48" i="58"/>
  <c r="Z48" i="58"/>
  <c r="AB48" i="58"/>
  <c r="V48" i="58"/>
  <c r="AC48" i="58"/>
  <c r="Y31" i="58"/>
  <c r="Z31" i="58"/>
  <c r="AB31" i="58"/>
  <c r="V31" i="58"/>
  <c r="AC31" i="58"/>
  <c r="Z24" i="58"/>
  <c r="W24" i="58"/>
  <c r="W99" i="58"/>
  <c r="W82" i="58"/>
  <c r="W65" i="58"/>
  <c r="W48" i="58"/>
  <c r="W31" i="58"/>
  <c r="A94" i="41"/>
  <c r="A93" i="41"/>
  <c r="C15" i="43"/>
  <c r="C16" i="43"/>
  <c r="A92" i="41"/>
  <c r="A91" i="41"/>
  <c r="A90" i="41"/>
  <c r="U223" i="58"/>
  <c r="AC176" i="58"/>
  <c r="U176" i="58"/>
  <c r="Z176" i="58"/>
  <c r="D16" i="60"/>
  <c r="A2" i="60"/>
  <c r="B138" i="58" a="1"/>
  <c r="B138" i="58"/>
  <c r="A95" i="41"/>
  <c r="A8" i="60" a="1"/>
  <c r="A8" i="60"/>
  <c r="A238" i="41"/>
  <c r="A9" i="60" a="1"/>
  <c r="A9" i="60"/>
  <c r="A239" i="41"/>
  <c r="A10" i="60" a="1"/>
  <c r="A10" i="60"/>
  <c r="A240" i="41"/>
  <c r="A11" i="60" a="1"/>
  <c r="A11" i="60"/>
  <c r="A241" i="41"/>
  <c r="A12" i="60" a="1"/>
  <c r="A12" i="60"/>
  <c r="A242" i="41"/>
  <c r="A13" i="60" a="1"/>
  <c r="A13" i="60"/>
  <c r="A243" i="41"/>
  <c r="A14" i="60" a="1"/>
  <c r="A14" i="60"/>
  <c r="A244" i="41"/>
  <c r="A15" i="60" a="1"/>
  <c r="A15" i="60"/>
  <c r="A245" i="41"/>
  <c r="A7" i="60" a="1"/>
  <c r="A7" i="60"/>
  <c r="A237" i="41"/>
  <c r="A22" i="60" a="1"/>
  <c r="A22" i="60"/>
  <c r="A252" i="41"/>
  <c r="A23" i="60" a="1"/>
  <c r="A23" i="60"/>
  <c r="A253" i="41"/>
  <c r="A24" i="60" a="1"/>
  <c r="A24" i="60"/>
  <c r="A254" i="41"/>
  <c r="A25" i="60" a="1"/>
  <c r="A25" i="60"/>
  <c r="A255" i="41"/>
  <c r="A26" i="60" a="1"/>
  <c r="A26" i="60"/>
  <c r="A256" i="41"/>
  <c r="A27" i="60" a="1"/>
  <c r="A27" i="60"/>
  <c r="A257" i="41"/>
  <c r="A28" i="60" a="1"/>
  <c r="A28" i="60"/>
  <c r="A258" i="41"/>
  <c r="A29" i="60" a="1"/>
  <c r="A29" i="60"/>
  <c r="A259" i="41"/>
  <c r="A21" i="60" a="1"/>
  <c r="A21" i="60"/>
  <c r="A251" i="41"/>
  <c r="F1" i="60"/>
  <c r="C3" i="60"/>
  <c r="C2" i="60"/>
  <c r="C1" i="60"/>
  <c r="B84" i="60"/>
  <c r="B83" i="60"/>
  <c r="B82" i="60"/>
  <c r="B81" i="60"/>
  <c r="B70" i="60"/>
  <c r="B69" i="60"/>
  <c r="B68" i="60"/>
  <c r="B67" i="60"/>
  <c r="B56" i="60"/>
  <c r="B55" i="60"/>
  <c r="B54" i="60"/>
  <c r="B53" i="60"/>
  <c r="B41" i="60"/>
  <c r="B40" i="60"/>
  <c r="B39" i="60"/>
  <c r="B42" i="60"/>
  <c r="B28" i="60"/>
  <c r="B27" i="60"/>
  <c r="B26" i="60"/>
  <c r="B25" i="60"/>
  <c r="AD136" i="58"/>
  <c r="Z136" i="58"/>
  <c r="B139" i="58" a="1"/>
  <c r="B139" i="58"/>
  <c r="A96" i="41"/>
  <c r="B140" i="58" a="1"/>
  <c r="B140" i="58"/>
  <c r="A97" i="41"/>
  <c r="B141" i="58" a="1"/>
  <c r="B141" i="58"/>
  <c r="A98" i="41"/>
  <c r="B142" i="58" a="1"/>
  <c r="B142" i="58"/>
  <c r="A99" i="41"/>
  <c r="B143" i="58" a="1"/>
  <c r="B143" i="58"/>
  <c r="A100" i="41"/>
  <c r="B144" i="58" a="1"/>
  <c r="B144" i="58"/>
  <c r="A101" i="41"/>
  <c r="B145" i="58" a="1"/>
  <c r="B145" i="58"/>
  <c r="A102" i="41"/>
  <c r="B146" i="58" a="1"/>
  <c r="B146" i="58"/>
  <c r="A103" i="41"/>
  <c r="B147" i="58" a="1"/>
  <c r="B147" i="58"/>
  <c r="A104" i="41"/>
  <c r="B148" i="58" a="1"/>
  <c r="B148" i="58"/>
  <c r="A105" i="41"/>
  <c r="B149" i="58" a="1"/>
  <c r="B149" i="58"/>
  <c r="A106" i="41"/>
  <c r="B150" i="58" a="1"/>
  <c r="B150" i="58"/>
  <c r="A107" i="41"/>
  <c r="B151" i="58" a="1"/>
  <c r="B151" i="58"/>
  <c r="A108" i="41"/>
  <c r="B152" i="58" a="1"/>
  <c r="B152" i="58"/>
  <c r="A109" i="41"/>
  <c r="B153" i="58" a="1"/>
  <c r="B153" i="58"/>
  <c r="A110" i="41"/>
  <c r="B154" i="58" a="1"/>
  <c r="B154" i="58"/>
  <c r="A111" i="41"/>
  <c r="B155" i="58" a="1"/>
  <c r="B155" i="58"/>
  <c r="A112" i="41"/>
  <c r="B156" i="58" a="1"/>
  <c r="B156" i="58"/>
  <c r="A113" i="41"/>
  <c r="B157" i="58" a="1"/>
  <c r="B157" i="58"/>
  <c r="A114" i="41"/>
  <c r="B158" i="58" a="1"/>
  <c r="B158" i="58"/>
  <c r="A115" i="41"/>
  <c r="B159" i="58" a="1"/>
  <c r="B159" i="58"/>
  <c r="A116" i="41"/>
  <c r="B160" i="58" a="1"/>
  <c r="B160" i="58"/>
  <c r="A117" i="41"/>
  <c r="B161" i="58" a="1"/>
  <c r="B161" i="58"/>
  <c r="A118" i="41"/>
  <c r="B162" i="58" a="1"/>
  <c r="B162" i="58"/>
  <c r="A119" i="41"/>
  <c r="B163" i="58" a="1"/>
  <c r="B163" i="58"/>
  <c r="A120" i="41"/>
  <c r="B164" i="58" a="1"/>
  <c r="B164" i="58"/>
  <c r="A121" i="41"/>
  <c r="B165" i="58" a="1"/>
  <c r="B165" i="58"/>
  <c r="A122" i="41"/>
  <c r="B166" i="58" a="1"/>
  <c r="B166" i="58"/>
  <c r="A123" i="41"/>
  <c r="B167" i="58" a="1"/>
  <c r="B167" i="58"/>
  <c r="A124" i="41"/>
  <c r="B168" i="58" a="1"/>
  <c r="B168" i="58"/>
  <c r="A125" i="41"/>
  <c r="B169" i="58" a="1"/>
  <c r="B169" i="58"/>
  <c r="A126" i="41"/>
  <c r="B170" i="58" a="1"/>
  <c r="B170" i="58"/>
  <c r="A127" i="41"/>
  <c r="B171" i="58" a="1"/>
  <c r="B171" i="58"/>
  <c r="A128" i="41"/>
  <c r="B172" i="58" a="1"/>
  <c r="B172" i="58"/>
  <c r="A129" i="41"/>
  <c r="B173" i="58" a="1"/>
  <c r="B173" i="58"/>
  <c r="A130" i="41"/>
  <c r="AH124" i="58"/>
  <c r="AA124" i="58"/>
  <c r="AA125" i="58"/>
  <c r="AI99" i="58"/>
  <c r="AI82" i="58"/>
  <c r="AI65" i="58"/>
  <c r="AI48" i="58"/>
  <c r="AI31" i="58"/>
  <c r="AI14" i="58"/>
  <c r="Y14" i="58"/>
  <c r="V14" i="58"/>
  <c r="AC14" i="58"/>
  <c r="B14" i="60"/>
  <c r="D55" i="60"/>
  <c r="C69" i="60"/>
  <c r="D69" i="60"/>
  <c r="C84" i="60"/>
  <c r="D70" i="60"/>
  <c r="C55" i="60"/>
  <c r="D83" i="60"/>
  <c r="D84" i="60"/>
  <c r="C70" i="60"/>
  <c r="C83" i="60"/>
  <c r="W170" i="58"/>
  <c r="W172" i="58"/>
  <c r="W168" i="58"/>
  <c r="W173" i="58"/>
  <c r="W169" i="58"/>
  <c r="W171" i="58"/>
  <c r="W167" i="58"/>
  <c r="AB136" i="58"/>
  <c r="B13" i="60"/>
  <c r="B12" i="60"/>
  <c r="B11" i="60"/>
  <c r="BD109" i="58"/>
  <c r="BC109" i="58"/>
  <c r="BB109" i="58"/>
  <c r="BA109" i="58"/>
  <c r="AZ109" i="58"/>
  <c r="AY109" i="58"/>
  <c r="AX109" i="58"/>
  <c r="AW109" i="58"/>
  <c r="BD108" i="58"/>
  <c r="BC108" i="58"/>
  <c r="BB108" i="58"/>
  <c r="BA108" i="58"/>
  <c r="AZ108" i="58"/>
  <c r="AY108" i="58"/>
  <c r="AX108" i="58"/>
  <c r="AW108" i="58"/>
  <c r="BD107" i="58"/>
  <c r="BC107" i="58"/>
  <c r="BB107" i="58"/>
  <c r="BA107" i="58"/>
  <c r="AZ107" i="58"/>
  <c r="AY107" i="58"/>
  <c r="AX107" i="58"/>
  <c r="AW107" i="58"/>
  <c r="BD106" i="58"/>
  <c r="BC106" i="58"/>
  <c r="BB106" i="58"/>
  <c r="BA106" i="58"/>
  <c r="AZ106" i="58"/>
  <c r="AY106" i="58"/>
  <c r="AX106" i="58"/>
  <c r="AW106" i="58"/>
  <c r="BD105" i="58"/>
  <c r="BC105" i="58"/>
  <c r="BB105" i="58"/>
  <c r="BA105" i="58"/>
  <c r="AZ105" i="58"/>
  <c r="AY105" i="58"/>
  <c r="AX105" i="58"/>
  <c r="AW105" i="58"/>
  <c r="BD104" i="58"/>
  <c r="BC104" i="58"/>
  <c r="BB104" i="58"/>
  <c r="BA104" i="58"/>
  <c r="AZ104" i="58"/>
  <c r="AY104" i="58"/>
  <c r="AX104" i="58"/>
  <c r="AW104" i="58"/>
  <c r="BD103" i="58"/>
  <c r="BC103" i="58"/>
  <c r="BB103" i="58"/>
  <c r="BA103" i="58"/>
  <c r="AZ103" i="58"/>
  <c r="AY103" i="58"/>
  <c r="AX103" i="58"/>
  <c r="AW103" i="58"/>
  <c r="BD102" i="58"/>
  <c r="BC102" i="58"/>
  <c r="BB102" i="58"/>
  <c r="BA102" i="58"/>
  <c r="AZ102" i="58"/>
  <c r="AY102" i="58"/>
  <c r="AX102" i="58"/>
  <c r="AW102" i="58"/>
  <c r="BD101" i="58"/>
  <c r="BC101" i="58"/>
  <c r="BB101" i="58"/>
  <c r="BA101" i="58"/>
  <c r="AZ101" i="58"/>
  <c r="AY101" i="58"/>
  <c r="AX101" i="58"/>
  <c r="AW101" i="58"/>
  <c r="BD92" i="58"/>
  <c r="BC92" i="58"/>
  <c r="BB92" i="58"/>
  <c r="BA92" i="58"/>
  <c r="AZ92" i="58"/>
  <c r="AY92" i="58"/>
  <c r="AX92" i="58"/>
  <c r="AW92" i="58"/>
  <c r="BD91" i="58"/>
  <c r="BC91" i="58"/>
  <c r="BB91" i="58"/>
  <c r="BA91" i="58"/>
  <c r="AZ91" i="58"/>
  <c r="AY91" i="58"/>
  <c r="AX91" i="58"/>
  <c r="AW91" i="58"/>
  <c r="BD90" i="58"/>
  <c r="BC90" i="58"/>
  <c r="BB90" i="58"/>
  <c r="BA90" i="58"/>
  <c r="AZ90" i="58"/>
  <c r="AY90" i="58"/>
  <c r="AX90" i="58"/>
  <c r="AW90" i="58"/>
  <c r="BD89" i="58"/>
  <c r="BC89" i="58"/>
  <c r="BB89" i="58"/>
  <c r="BA89" i="58"/>
  <c r="AZ89" i="58"/>
  <c r="AY89" i="58"/>
  <c r="AX89" i="58"/>
  <c r="AW89" i="58"/>
  <c r="BD88" i="58"/>
  <c r="BC88" i="58"/>
  <c r="BB88" i="58"/>
  <c r="BA88" i="58"/>
  <c r="AZ88" i="58"/>
  <c r="AY88" i="58"/>
  <c r="AX88" i="58"/>
  <c r="AW88" i="58"/>
  <c r="BD87" i="58"/>
  <c r="BC87" i="58"/>
  <c r="BB87" i="58"/>
  <c r="BA87" i="58"/>
  <c r="AZ87" i="58"/>
  <c r="AY87" i="58"/>
  <c r="AX87" i="58"/>
  <c r="AW87" i="58"/>
  <c r="BD86" i="58"/>
  <c r="BC86" i="58"/>
  <c r="BB86" i="58"/>
  <c r="BA86" i="58"/>
  <c r="AZ86" i="58"/>
  <c r="AY86" i="58"/>
  <c r="AX86" i="58"/>
  <c r="AW86" i="58"/>
  <c r="BD85" i="58"/>
  <c r="BC85" i="58"/>
  <c r="BB85" i="58"/>
  <c r="BA85" i="58"/>
  <c r="AZ85" i="58"/>
  <c r="AY85" i="58"/>
  <c r="AX85" i="58"/>
  <c r="AW85" i="58"/>
  <c r="BD84" i="58"/>
  <c r="BC84" i="58"/>
  <c r="BB84" i="58"/>
  <c r="BA84" i="58"/>
  <c r="AZ84" i="58"/>
  <c r="AY84" i="58"/>
  <c r="AX84" i="58"/>
  <c r="AW84" i="58"/>
  <c r="BD75" i="58"/>
  <c r="BC75" i="58"/>
  <c r="BB75" i="58"/>
  <c r="BA75" i="58"/>
  <c r="AZ75" i="58"/>
  <c r="AY75" i="58"/>
  <c r="AX75" i="58"/>
  <c r="AW75" i="58"/>
  <c r="BD74" i="58"/>
  <c r="BC74" i="58"/>
  <c r="BB74" i="58"/>
  <c r="BA74" i="58"/>
  <c r="AZ74" i="58"/>
  <c r="AY74" i="58"/>
  <c r="AX74" i="58"/>
  <c r="AW74" i="58"/>
  <c r="BD73" i="58"/>
  <c r="BC73" i="58"/>
  <c r="BB73" i="58"/>
  <c r="BA73" i="58"/>
  <c r="AZ73" i="58"/>
  <c r="AY73" i="58"/>
  <c r="AX73" i="58"/>
  <c r="AW73" i="58"/>
  <c r="BD72" i="58"/>
  <c r="BC72" i="58"/>
  <c r="BB72" i="58"/>
  <c r="BA72" i="58"/>
  <c r="AZ72" i="58"/>
  <c r="AY72" i="58"/>
  <c r="AX72" i="58"/>
  <c r="AW72" i="58"/>
  <c r="BD71" i="58"/>
  <c r="BC71" i="58"/>
  <c r="BB71" i="58"/>
  <c r="BA71" i="58"/>
  <c r="AZ71" i="58"/>
  <c r="AY71" i="58"/>
  <c r="AX71" i="58"/>
  <c r="AW71" i="58"/>
  <c r="BD70" i="58"/>
  <c r="BC70" i="58"/>
  <c r="BB70" i="58"/>
  <c r="BA70" i="58"/>
  <c r="AZ70" i="58"/>
  <c r="AY70" i="58"/>
  <c r="AX70" i="58"/>
  <c r="AW70" i="58"/>
  <c r="BD69" i="58"/>
  <c r="BC69" i="58"/>
  <c r="BB69" i="58"/>
  <c r="BA69" i="58"/>
  <c r="AZ69" i="58"/>
  <c r="AY69" i="58"/>
  <c r="AX69" i="58"/>
  <c r="AW69" i="58"/>
  <c r="BD68" i="58"/>
  <c r="BC68" i="58"/>
  <c r="BB68" i="58"/>
  <c r="BA68" i="58"/>
  <c r="AZ68" i="58"/>
  <c r="AY68" i="58"/>
  <c r="AX68" i="58"/>
  <c r="AW68" i="58"/>
  <c r="BD67" i="58"/>
  <c r="BC67" i="58"/>
  <c r="BB67" i="58"/>
  <c r="BA67" i="58"/>
  <c r="AZ67" i="58"/>
  <c r="AY67" i="58"/>
  <c r="AX67" i="58"/>
  <c r="AW67" i="58"/>
  <c r="BD58" i="58"/>
  <c r="BC58" i="58"/>
  <c r="BB58" i="58"/>
  <c r="BA58" i="58"/>
  <c r="AZ58" i="58"/>
  <c r="AY58" i="58"/>
  <c r="AX58" i="58"/>
  <c r="AW58" i="58"/>
  <c r="BD57" i="58"/>
  <c r="BC57" i="58"/>
  <c r="BB57" i="58"/>
  <c r="BA57" i="58"/>
  <c r="AZ57" i="58"/>
  <c r="AY57" i="58"/>
  <c r="AX57" i="58"/>
  <c r="AW57" i="58"/>
  <c r="BD56" i="58"/>
  <c r="BC56" i="58"/>
  <c r="BB56" i="58"/>
  <c r="BA56" i="58"/>
  <c r="AZ56" i="58"/>
  <c r="AY56" i="58"/>
  <c r="AX56" i="58"/>
  <c r="AW56" i="58"/>
  <c r="BD55" i="58"/>
  <c r="BC55" i="58"/>
  <c r="BB55" i="58"/>
  <c r="BA55" i="58"/>
  <c r="AZ55" i="58"/>
  <c r="AY55" i="58"/>
  <c r="AX55" i="58"/>
  <c r="AW55" i="58"/>
  <c r="BD54" i="58"/>
  <c r="BC54" i="58"/>
  <c r="BB54" i="58"/>
  <c r="BA54" i="58"/>
  <c r="AZ54" i="58"/>
  <c r="AY54" i="58"/>
  <c r="AX54" i="58"/>
  <c r="AW54" i="58"/>
  <c r="BD53" i="58"/>
  <c r="BC53" i="58"/>
  <c r="BB53" i="58"/>
  <c r="BA53" i="58"/>
  <c r="AZ53" i="58"/>
  <c r="AY53" i="58"/>
  <c r="AX53" i="58"/>
  <c r="AW53" i="58"/>
  <c r="BD52" i="58"/>
  <c r="BC52" i="58"/>
  <c r="BB52" i="58"/>
  <c r="BA52" i="58"/>
  <c r="AZ52" i="58"/>
  <c r="AY52" i="58"/>
  <c r="AX52" i="58"/>
  <c r="AW52" i="58"/>
  <c r="BD51" i="58"/>
  <c r="BC51" i="58"/>
  <c r="BB51" i="58"/>
  <c r="BA51" i="58"/>
  <c r="AZ51" i="58"/>
  <c r="AY51" i="58"/>
  <c r="AX51" i="58"/>
  <c r="AW51" i="58"/>
  <c r="BD50" i="58"/>
  <c r="BC50" i="58"/>
  <c r="BB50" i="58"/>
  <c r="BA50" i="58"/>
  <c r="AZ50" i="58"/>
  <c r="AY50" i="58"/>
  <c r="AX50" i="58"/>
  <c r="AW50" i="58"/>
  <c r="BD41" i="58"/>
  <c r="BC41" i="58"/>
  <c r="BB41" i="58"/>
  <c r="BA41" i="58"/>
  <c r="AZ41" i="58"/>
  <c r="AY41" i="58"/>
  <c r="AX41" i="58"/>
  <c r="AW41" i="58"/>
  <c r="BD40" i="58"/>
  <c r="BC40" i="58"/>
  <c r="BB40" i="58"/>
  <c r="BA40" i="58"/>
  <c r="AZ40" i="58"/>
  <c r="AY40" i="58"/>
  <c r="AX40" i="58"/>
  <c r="AW40" i="58"/>
  <c r="BD39" i="58"/>
  <c r="BC39" i="58"/>
  <c r="BB39" i="58"/>
  <c r="BA39" i="58"/>
  <c r="AZ39" i="58"/>
  <c r="AY39" i="58"/>
  <c r="AX39" i="58"/>
  <c r="AW39" i="58"/>
  <c r="BD38" i="58"/>
  <c r="BC38" i="58"/>
  <c r="BB38" i="58"/>
  <c r="BA38" i="58"/>
  <c r="AZ38" i="58"/>
  <c r="AY38" i="58"/>
  <c r="AX38" i="58"/>
  <c r="AW38" i="58"/>
  <c r="BD37" i="58"/>
  <c r="BC37" i="58"/>
  <c r="BB37" i="58"/>
  <c r="BA37" i="58"/>
  <c r="AZ37" i="58"/>
  <c r="AY37" i="58"/>
  <c r="AX37" i="58"/>
  <c r="AW37" i="58"/>
  <c r="BD36" i="58"/>
  <c r="BC36" i="58"/>
  <c r="BB36" i="58"/>
  <c r="BA36" i="58"/>
  <c r="AZ36" i="58"/>
  <c r="AY36" i="58"/>
  <c r="AX36" i="58"/>
  <c r="AW36" i="58"/>
  <c r="BD35" i="58"/>
  <c r="BC35" i="58"/>
  <c r="BB35" i="58"/>
  <c r="BA35" i="58"/>
  <c r="AZ35" i="58"/>
  <c r="AY35" i="58"/>
  <c r="AX35" i="58"/>
  <c r="AW35" i="58"/>
  <c r="BD34" i="58"/>
  <c r="BC34" i="58"/>
  <c r="BB34" i="58"/>
  <c r="BA34" i="58"/>
  <c r="AZ34" i="58"/>
  <c r="AY34" i="58"/>
  <c r="AX34" i="58"/>
  <c r="AW34" i="58"/>
  <c r="BD33" i="58"/>
  <c r="BC33" i="58"/>
  <c r="BB33" i="58"/>
  <c r="BA33" i="58"/>
  <c r="AZ33" i="58"/>
  <c r="AY33" i="58"/>
  <c r="AX33" i="58"/>
  <c r="AW33" i="58"/>
  <c r="BD24" i="58"/>
  <c r="BC24" i="58"/>
  <c r="BB24" i="58"/>
  <c r="BA24" i="58"/>
  <c r="AZ24" i="58"/>
  <c r="AY24" i="58"/>
  <c r="AX24" i="58"/>
  <c r="AW24" i="58"/>
  <c r="BD23" i="58"/>
  <c r="BC23" i="58"/>
  <c r="BB23" i="58"/>
  <c r="BA23" i="58"/>
  <c r="AZ23" i="58"/>
  <c r="AY23" i="58"/>
  <c r="AX23" i="58"/>
  <c r="AW23" i="58"/>
  <c r="BD22" i="58"/>
  <c r="BC22" i="58"/>
  <c r="BB22" i="58"/>
  <c r="BA22" i="58"/>
  <c r="AZ22" i="58"/>
  <c r="AY22" i="58"/>
  <c r="AX22" i="58"/>
  <c r="AW22" i="58"/>
  <c r="BD21" i="58"/>
  <c r="BC21" i="58"/>
  <c r="BB21" i="58"/>
  <c r="BA21" i="58"/>
  <c r="AZ21" i="58"/>
  <c r="AY21" i="58"/>
  <c r="AX21" i="58"/>
  <c r="AW21" i="58"/>
  <c r="BD20" i="58"/>
  <c r="BC20" i="58"/>
  <c r="BB20" i="58"/>
  <c r="BA20" i="58"/>
  <c r="AZ20" i="58"/>
  <c r="AY20" i="58"/>
  <c r="AX20" i="58"/>
  <c r="AW20" i="58"/>
  <c r="BD19" i="58"/>
  <c r="BC19" i="58"/>
  <c r="BB19" i="58"/>
  <c r="BA19" i="58"/>
  <c r="AZ19" i="58"/>
  <c r="AY19" i="58"/>
  <c r="AX19" i="58"/>
  <c r="AW19" i="58"/>
  <c r="BD18" i="58"/>
  <c r="BC18" i="58"/>
  <c r="BB18" i="58"/>
  <c r="BA18" i="58"/>
  <c r="AZ18" i="58"/>
  <c r="AY18" i="58"/>
  <c r="AX18" i="58"/>
  <c r="AW18" i="58"/>
  <c r="BD17" i="58"/>
  <c r="BC17" i="58"/>
  <c r="BB17" i="58"/>
  <c r="BA17" i="58"/>
  <c r="AZ17" i="58"/>
  <c r="AY17" i="58"/>
  <c r="AX17" i="58"/>
  <c r="AW17" i="58"/>
  <c r="BD16" i="58"/>
  <c r="BC16" i="58"/>
  <c r="BB16" i="58"/>
  <c r="BA16" i="58"/>
  <c r="AZ16" i="58"/>
  <c r="AY16" i="58"/>
  <c r="AX16" i="58"/>
  <c r="AW16" i="58"/>
  <c r="D56" i="60"/>
  <c r="C56" i="60"/>
  <c r="BB220" i="58"/>
  <c r="BA220" i="58"/>
  <c r="AZ220" i="58"/>
  <c r="AY220" i="58"/>
  <c r="AX220" i="58"/>
  <c r="AW220" i="58"/>
  <c r="AV220" i="58"/>
  <c r="BB219" i="58"/>
  <c r="BA219" i="58"/>
  <c r="AZ219" i="58"/>
  <c r="AY219" i="58"/>
  <c r="AX219" i="58"/>
  <c r="AW219" i="58"/>
  <c r="AV219" i="58"/>
  <c r="BB218" i="58"/>
  <c r="BA218" i="58"/>
  <c r="AZ218" i="58"/>
  <c r="AY218" i="58"/>
  <c r="AX218" i="58"/>
  <c r="AW218" i="58"/>
  <c r="AV218" i="58"/>
  <c r="BB217" i="58"/>
  <c r="BA217" i="58"/>
  <c r="AZ217" i="58"/>
  <c r="AY217" i="58"/>
  <c r="AX217" i="58"/>
  <c r="AW217" i="58"/>
  <c r="AV217" i="58"/>
  <c r="BB216" i="58"/>
  <c r="BA216" i="58"/>
  <c r="AZ216" i="58"/>
  <c r="AY216" i="58"/>
  <c r="AX216" i="58"/>
  <c r="AW216" i="58"/>
  <c r="AV216" i="58"/>
  <c r="BB215" i="58"/>
  <c r="BA215" i="58"/>
  <c r="AZ215" i="58"/>
  <c r="AY215" i="58"/>
  <c r="AX215" i="58"/>
  <c r="AW215" i="58"/>
  <c r="AV215" i="58"/>
  <c r="BB214" i="58"/>
  <c r="BA214" i="58"/>
  <c r="AZ214" i="58"/>
  <c r="AY214" i="58"/>
  <c r="AX214" i="58"/>
  <c r="AW214" i="58"/>
  <c r="AV214" i="58"/>
  <c r="BB213" i="58"/>
  <c r="BA213" i="58"/>
  <c r="AZ213" i="58"/>
  <c r="AY213" i="58"/>
  <c r="AX213" i="58"/>
  <c r="AW213" i="58"/>
  <c r="AV213" i="58"/>
  <c r="BB212" i="58"/>
  <c r="BA212" i="58"/>
  <c r="AZ212" i="58"/>
  <c r="AY212" i="58"/>
  <c r="AX212" i="58"/>
  <c r="AW212" i="58"/>
  <c r="AV212" i="58"/>
  <c r="BB211" i="58"/>
  <c r="BA211" i="58"/>
  <c r="AZ211" i="58"/>
  <c r="AY211" i="58"/>
  <c r="AX211" i="58"/>
  <c r="AW211" i="58"/>
  <c r="AV211" i="58"/>
  <c r="BB210" i="58"/>
  <c r="BA210" i="58"/>
  <c r="AZ210" i="58"/>
  <c r="AY210" i="58"/>
  <c r="AX210" i="58"/>
  <c r="AW210" i="58"/>
  <c r="AV210" i="58"/>
  <c r="BB209" i="58"/>
  <c r="BA209" i="58"/>
  <c r="AZ209" i="58"/>
  <c r="AY209" i="58"/>
  <c r="AX209" i="58"/>
  <c r="AW209" i="58"/>
  <c r="AV209" i="58"/>
  <c r="BB208" i="58"/>
  <c r="BA208" i="58"/>
  <c r="AZ208" i="58"/>
  <c r="AY208" i="58"/>
  <c r="AX208" i="58"/>
  <c r="AW208" i="58"/>
  <c r="AV208" i="58"/>
  <c r="BB207" i="58"/>
  <c r="BA207" i="58"/>
  <c r="AZ207" i="58"/>
  <c r="AY207" i="58"/>
  <c r="AX207" i="58"/>
  <c r="AW207" i="58"/>
  <c r="AV207" i="58"/>
  <c r="BB206" i="58"/>
  <c r="BA206" i="58"/>
  <c r="AZ206" i="58"/>
  <c r="AY206" i="58"/>
  <c r="AX206" i="58"/>
  <c r="AW206" i="58"/>
  <c r="AV206" i="58"/>
  <c r="BB205" i="58"/>
  <c r="BA205" i="58"/>
  <c r="AZ205" i="58"/>
  <c r="AY205" i="58"/>
  <c r="AX205" i="58"/>
  <c r="AW205" i="58"/>
  <c r="AV205" i="58"/>
  <c r="BB204" i="58"/>
  <c r="BA204" i="58"/>
  <c r="AZ204" i="58"/>
  <c r="AY204" i="58"/>
  <c r="AX204" i="58"/>
  <c r="AW204" i="58"/>
  <c r="AV204" i="58"/>
  <c r="BB203" i="58"/>
  <c r="BA203" i="58"/>
  <c r="AZ203" i="58"/>
  <c r="AY203" i="58"/>
  <c r="AX203" i="58"/>
  <c r="AW203" i="58"/>
  <c r="AV203" i="58"/>
  <c r="BB202" i="58"/>
  <c r="BA202" i="58"/>
  <c r="AZ202" i="58"/>
  <c r="AY202" i="58"/>
  <c r="AX202" i="58"/>
  <c r="AW202" i="58"/>
  <c r="AV202" i="58"/>
  <c r="BB201" i="58"/>
  <c r="BA201" i="58"/>
  <c r="AZ201" i="58"/>
  <c r="AY201" i="58"/>
  <c r="AX201" i="58"/>
  <c r="AW201" i="58"/>
  <c r="AV201" i="58"/>
  <c r="BB200" i="58"/>
  <c r="BA200" i="58"/>
  <c r="AZ200" i="58"/>
  <c r="AY200" i="58"/>
  <c r="AX200" i="58"/>
  <c r="AW200" i="58"/>
  <c r="AV200" i="58"/>
  <c r="BB199" i="58"/>
  <c r="BA199" i="58"/>
  <c r="AZ199" i="58"/>
  <c r="AY199" i="58"/>
  <c r="AX199" i="58"/>
  <c r="AW199" i="58"/>
  <c r="AV199" i="58"/>
  <c r="BB198" i="58"/>
  <c r="BA198" i="58"/>
  <c r="AZ198" i="58"/>
  <c r="AY198" i="58"/>
  <c r="AX198" i="58"/>
  <c r="AW198" i="58"/>
  <c r="AV198" i="58"/>
  <c r="BB197" i="58"/>
  <c r="BA197" i="58"/>
  <c r="AZ197" i="58"/>
  <c r="AY197" i="58"/>
  <c r="AX197" i="58"/>
  <c r="AW197" i="58"/>
  <c r="AV197" i="58"/>
  <c r="BB196" i="58"/>
  <c r="BA196" i="58"/>
  <c r="AZ196" i="58"/>
  <c r="AY196" i="58"/>
  <c r="AX196" i="58"/>
  <c r="AW196" i="58"/>
  <c r="AV196" i="58"/>
  <c r="BB195" i="58"/>
  <c r="BA195" i="58"/>
  <c r="AZ195" i="58"/>
  <c r="AY195" i="58"/>
  <c r="AX195" i="58"/>
  <c r="AW195" i="58"/>
  <c r="AV195" i="58"/>
  <c r="BB194" i="58"/>
  <c r="BA194" i="58"/>
  <c r="AZ194" i="58"/>
  <c r="AY194" i="58"/>
  <c r="AX194" i="58"/>
  <c r="AW194" i="58"/>
  <c r="AV194" i="58"/>
  <c r="BB193" i="58"/>
  <c r="BA193" i="58"/>
  <c r="AZ193" i="58"/>
  <c r="AY193" i="58"/>
  <c r="AX193" i="58"/>
  <c r="AW193" i="58"/>
  <c r="AV193" i="58"/>
  <c r="BB192" i="58"/>
  <c r="BA192" i="58"/>
  <c r="AZ192" i="58"/>
  <c r="AY192" i="58"/>
  <c r="AX192" i="58"/>
  <c r="AW192" i="58"/>
  <c r="AV192" i="58"/>
  <c r="BB191" i="58"/>
  <c r="BA191" i="58"/>
  <c r="AZ191" i="58"/>
  <c r="AY191" i="58"/>
  <c r="AX191" i="58"/>
  <c r="AW191" i="58"/>
  <c r="AV191" i="58"/>
  <c r="BB190" i="58"/>
  <c r="BA190" i="58"/>
  <c r="AZ190" i="58"/>
  <c r="AY190" i="58"/>
  <c r="AX190" i="58"/>
  <c r="AW190" i="58"/>
  <c r="AV190" i="58"/>
  <c r="BB189" i="58"/>
  <c r="BA189" i="58"/>
  <c r="AZ189" i="58"/>
  <c r="AY189" i="58"/>
  <c r="AX189" i="58"/>
  <c r="AW189" i="58"/>
  <c r="AV189" i="58"/>
  <c r="BB188" i="58"/>
  <c r="BA188" i="58"/>
  <c r="AZ188" i="58"/>
  <c r="AY188" i="58"/>
  <c r="AX188" i="58"/>
  <c r="AW188" i="58"/>
  <c r="AV188" i="58"/>
  <c r="BB187" i="58"/>
  <c r="BA187" i="58"/>
  <c r="AZ187" i="58"/>
  <c r="AY187" i="58"/>
  <c r="AX187" i="58"/>
  <c r="AW187" i="58"/>
  <c r="AV187" i="58"/>
  <c r="BB186" i="58"/>
  <c r="BA186" i="58"/>
  <c r="AZ186" i="58"/>
  <c r="AY186" i="58"/>
  <c r="AX186" i="58"/>
  <c r="AW186" i="58"/>
  <c r="AV186" i="58"/>
  <c r="BB185" i="58"/>
  <c r="BA185" i="58"/>
  <c r="AZ185" i="58"/>
  <c r="AY185" i="58"/>
  <c r="AX185" i="58"/>
  <c r="AW185" i="58"/>
  <c r="AV185" i="58"/>
  <c r="AX138" i="58"/>
  <c r="AY138" i="58"/>
  <c r="AZ138" i="58"/>
  <c r="BA138" i="58"/>
  <c r="BB138" i="58"/>
  <c r="AX139" i="58"/>
  <c r="AY139" i="58"/>
  <c r="AZ139" i="58"/>
  <c r="BA139" i="58"/>
  <c r="BB139" i="58"/>
  <c r="AX140" i="58"/>
  <c r="AY140" i="58"/>
  <c r="AZ140" i="58"/>
  <c r="BA140" i="58"/>
  <c r="BB140" i="58"/>
  <c r="AX141" i="58"/>
  <c r="AY141" i="58"/>
  <c r="AZ141" i="58"/>
  <c r="BA141" i="58"/>
  <c r="BB141" i="58"/>
  <c r="AX142" i="58"/>
  <c r="AY142" i="58"/>
  <c r="AZ142" i="58"/>
  <c r="BA142" i="58"/>
  <c r="BB142" i="58"/>
  <c r="AX143" i="58"/>
  <c r="AY143" i="58"/>
  <c r="AZ143" i="58"/>
  <c r="BA143" i="58"/>
  <c r="BB143" i="58"/>
  <c r="AX144" i="58"/>
  <c r="AY144" i="58"/>
  <c r="AZ144" i="58"/>
  <c r="BA144" i="58"/>
  <c r="BB144" i="58"/>
  <c r="AX145" i="58"/>
  <c r="AY145" i="58"/>
  <c r="AZ145" i="58"/>
  <c r="BA145" i="58"/>
  <c r="BB145" i="58"/>
  <c r="AX146" i="58"/>
  <c r="AY146" i="58"/>
  <c r="AZ146" i="58"/>
  <c r="BA146" i="58"/>
  <c r="BB146" i="58"/>
  <c r="AX147" i="58"/>
  <c r="AY147" i="58"/>
  <c r="AZ147" i="58"/>
  <c r="BA147" i="58"/>
  <c r="BB147" i="58"/>
  <c r="AX148" i="58"/>
  <c r="AY148" i="58"/>
  <c r="AZ148" i="58"/>
  <c r="BA148" i="58"/>
  <c r="BB148" i="58"/>
  <c r="AX149" i="58"/>
  <c r="AY149" i="58"/>
  <c r="AZ149" i="58"/>
  <c r="BA149" i="58"/>
  <c r="BB149" i="58"/>
  <c r="AX150" i="58"/>
  <c r="AY150" i="58"/>
  <c r="AZ150" i="58"/>
  <c r="BA150" i="58"/>
  <c r="BB150" i="58"/>
  <c r="AX151" i="58"/>
  <c r="AY151" i="58"/>
  <c r="AZ151" i="58"/>
  <c r="BA151" i="58"/>
  <c r="BB151" i="58"/>
  <c r="AX152" i="58"/>
  <c r="AY152" i="58"/>
  <c r="AZ152" i="58"/>
  <c r="BA152" i="58"/>
  <c r="BB152" i="58"/>
  <c r="AX153" i="58"/>
  <c r="AY153" i="58"/>
  <c r="AZ153" i="58"/>
  <c r="BA153" i="58"/>
  <c r="BB153" i="58"/>
  <c r="AX154" i="58"/>
  <c r="AY154" i="58"/>
  <c r="AZ154" i="58"/>
  <c r="BA154" i="58"/>
  <c r="BB154" i="58"/>
  <c r="AX155" i="58"/>
  <c r="AY155" i="58"/>
  <c r="AZ155" i="58"/>
  <c r="BA155" i="58"/>
  <c r="BB155" i="58"/>
  <c r="AX156" i="58"/>
  <c r="AY156" i="58"/>
  <c r="AZ156" i="58"/>
  <c r="BA156" i="58"/>
  <c r="BB156" i="58"/>
  <c r="AX157" i="58"/>
  <c r="AY157" i="58"/>
  <c r="AZ157" i="58"/>
  <c r="BA157" i="58"/>
  <c r="BB157" i="58"/>
  <c r="AX158" i="58"/>
  <c r="AY158" i="58"/>
  <c r="AZ158" i="58"/>
  <c r="BA158" i="58"/>
  <c r="BB158" i="58"/>
  <c r="AX159" i="58"/>
  <c r="AY159" i="58"/>
  <c r="AZ159" i="58"/>
  <c r="BA159" i="58"/>
  <c r="BB159" i="58"/>
  <c r="AX160" i="58"/>
  <c r="AY160" i="58"/>
  <c r="AZ160" i="58"/>
  <c r="BA160" i="58"/>
  <c r="BB160" i="58"/>
  <c r="AX161" i="58"/>
  <c r="AY161" i="58"/>
  <c r="AZ161" i="58"/>
  <c r="BA161" i="58"/>
  <c r="BB161" i="58"/>
  <c r="AX162" i="58"/>
  <c r="AY162" i="58"/>
  <c r="AZ162" i="58"/>
  <c r="BA162" i="58"/>
  <c r="BB162" i="58"/>
  <c r="AX163" i="58"/>
  <c r="AY163" i="58"/>
  <c r="AZ163" i="58"/>
  <c r="BA163" i="58"/>
  <c r="BB163" i="58"/>
  <c r="AX164" i="58"/>
  <c r="AY164" i="58"/>
  <c r="AZ164" i="58"/>
  <c r="BA164" i="58"/>
  <c r="BB164" i="58"/>
  <c r="AX165" i="58"/>
  <c r="AY165" i="58"/>
  <c r="AZ165" i="58"/>
  <c r="BA165" i="58"/>
  <c r="BB165" i="58"/>
  <c r="AX166" i="58"/>
  <c r="AY166" i="58"/>
  <c r="AZ166" i="58"/>
  <c r="BA166" i="58"/>
  <c r="BB166" i="58"/>
  <c r="AX167" i="58"/>
  <c r="AY167" i="58"/>
  <c r="AZ167" i="58"/>
  <c r="BA167" i="58"/>
  <c r="BB167" i="58"/>
  <c r="AX168" i="58"/>
  <c r="AY168" i="58"/>
  <c r="AZ168" i="58"/>
  <c r="BA168" i="58"/>
  <c r="BB168" i="58"/>
  <c r="AX169" i="58"/>
  <c r="AY169" i="58"/>
  <c r="AZ169" i="58"/>
  <c r="BA169" i="58"/>
  <c r="BB169" i="58"/>
  <c r="AX170" i="58"/>
  <c r="AY170" i="58"/>
  <c r="AZ170" i="58"/>
  <c r="BA170" i="58"/>
  <c r="BB170" i="58"/>
  <c r="AX171" i="58"/>
  <c r="AY171" i="58"/>
  <c r="AZ171" i="58"/>
  <c r="BA171" i="58"/>
  <c r="BB171" i="58"/>
  <c r="AX172" i="58"/>
  <c r="AY172" i="58"/>
  <c r="AZ172" i="58"/>
  <c r="BA172" i="58"/>
  <c r="BB172" i="58"/>
  <c r="AX173" i="58"/>
  <c r="AY173" i="58"/>
  <c r="AZ173" i="58"/>
  <c r="BA173" i="58"/>
  <c r="BB173" i="58"/>
  <c r="AV138" i="58"/>
  <c r="AV139" i="58"/>
  <c r="AV140" i="58"/>
  <c r="AV141" i="58"/>
  <c r="AV142" i="58"/>
  <c r="AV143" i="58"/>
  <c r="AV144" i="58"/>
  <c r="AV145" i="58"/>
  <c r="AV146" i="58"/>
  <c r="AV147" i="58"/>
  <c r="AV148" i="58"/>
  <c r="AV149" i="58"/>
  <c r="AV150" i="58"/>
  <c r="AV151" i="58"/>
  <c r="AV152" i="58"/>
  <c r="AV153" i="58"/>
  <c r="AV154" i="58"/>
  <c r="AV155" i="58"/>
  <c r="AV156" i="58"/>
  <c r="AV157" i="58"/>
  <c r="AV158" i="58"/>
  <c r="AV159" i="58"/>
  <c r="AV160" i="58"/>
  <c r="AV161" i="58"/>
  <c r="AV162" i="58"/>
  <c r="AV163" i="58"/>
  <c r="AV164" i="58"/>
  <c r="AV165" i="58"/>
  <c r="AV166" i="58"/>
  <c r="AV167" i="58"/>
  <c r="AV168" i="58"/>
  <c r="AV169" i="58"/>
  <c r="AV170" i="58"/>
  <c r="AV171" i="58"/>
  <c r="AV172" i="58"/>
  <c r="AV173" i="58"/>
  <c r="AW173" i="58"/>
  <c r="AW172" i="58"/>
  <c r="AW171" i="58"/>
  <c r="AW170" i="58"/>
  <c r="AW169" i="58"/>
  <c r="AW168" i="58"/>
  <c r="AW167" i="58"/>
  <c r="AW166" i="58"/>
  <c r="AW165" i="58"/>
  <c r="AW164" i="58"/>
  <c r="AW163" i="58"/>
  <c r="AW162" i="58"/>
  <c r="AW161" i="58"/>
  <c r="AW160" i="58"/>
  <c r="AW159" i="58"/>
  <c r="AW158" i="58"/>
  <c r="AW157" i="58"/>
  <c r="AW156" i="58"/>
  <c r="AW155" i="58"/>
  <c r="AW154" i="58"/>
  <c r="AW153" i="58"/>
  <c r="AW152" i="58"/>
  <c r="AW151" i="58"/>
  <c r="AW150" i="58"/>
  <c r="AW149" i="58"/>
  <c r="AW148" i="58"/>
  <c r="AW147" i="58"/>
  <c r="AW146" i="58"/>
  <c r="AW145" i="58"/>
  <c r="AW144" i="58"/>
  <c r="AW143" i="58"/>
  <c r="AW142" i="58"/>
  <c r="AW141" i="58"/>
  <c r="AW140" i="58"/>
  <c r="AW138" i="58"/>
  <c r="AW139" i="58"/>
  <c r="R173" i="58"/>
  <c r="R172" i="58"/>
  <c r="R171" i="58"/>
  <c r="R170" i="58"/>
  <c r="R169" i="58"/>
  <c r="R168" i="58"/>
  <c r="R167" i="58"/>
  <c r="K41" i="56"/>
  <c r="J43" i="56"/>
  <c r="K43" i="56"/>
  <c r="J44" i="56"/>
  <c r="K44" i="56"/>
  <c r="J45" i="56"/>
  <c r="K45" i="56"/>
  <c r="J46" i="56"/>
  <c r="K46" i="56"/>
  <c r="J47" i="56"/>
  <c r="K47" i="56"/>
  <c r="J48" i="56"/>
  <c r="K48" i="56"/>
  <c r="J49" i="56"/>
  <c r="K49" i="56"/>
  <c r="J50" i="56"/>
  <c r="K50" i="56"/>
  <c r="J51" i="56"/>
  <c r="K51" i="56"/>
  <c r="J52" i="56"/>
  <c r="K52" i="56"/>
  <c r="J53" i="56"/>
  <c r="K53" i="56"/>
  <c r="J54" i="56"/>
  <c r="K54" i="56"/>
  <c r="J55" i="56"/>
  <c r="K55" i="56"/>
  <c r="J56" i="56"/>
  <c r="K56" i="56"/>
  <c r="J57" i="56"/>
  <c r="K57" i="56"/>
  <c r="J58" i="56"/>
  <c r="K58" i="56"/>
  <c r="J59" i="56"/>
  <c r="K59" i="56"/>
  <c r="J60" i="56"/>
  <c r="K60" i="56"/>
  <c r="J61" i="56"/>
  <c r="K61" i="56"/>
  <c r="J62" i="56"/>
  <c r="K62" i="56"/>
  <c r="J63" i="56"/>
  <c r="K63" i="56"/>
  <c r="J64" i="56"/>
  <c r="K64" i="56"/>
  <c r="J65" i="56"/>
  <c r="K65" i="56"/>
  <c r="J66" i="56"/>
  <c r="K66" i="56"/>
  <c r="J67" i="56"/>
  <c r="K67" i="56"/>
  <c r="J68" i="56"/>
  <c r="K68" i="56"/>
  <c r="J69" i="56"/>
  <c r="K69" i="56"/>
  <c r="J70" i="56"/>
  <c r="K70" i="56"/>
  <c r="K42" i="56"/>
  <c r="J42" i="56"/>
  <c r="B187" i="58"/>
  <c r="B188" i="58"/>
  <c r="B189" i="58"/>
  <c r="B190" i="58"/>
  <c r="B191" i="58"/>
  <c r="B192" i="58"/>
  <c r="W192" i="58"/>
  <c r="B193" i="58"/>
  <c r="W193" i="58"/>
  <c r="B194" i="58"/>
  <c r="W194" i="58"/>
  <c r="B195" i="58"/>
  <c r="W195" i="58"/>
  <c r="B196" i="58"/>
  <c r="W196" i="58"/>
  <c r="B197" i="58"/>
  <c r="W197" i="58"/>
  <c r="B198" i="58"/>
  <c r="W198" i="58"/>
  <c r="B199" i="58"/>
  <c r="W199" i="58"/>
  <c r="B200" i="58"/>
  <c r="W200" i="58"/>
  <c r="B201" i="58"/>
  <c r="W201" i="58"/>
  <c r="B202" i="58"/>
  <c r="W202" i="58"/>
  <c r="B203" i="58"/>
  <c r="W203" i="58"/>
  <c r="B204" i="58"/>
  <c r="W204" i="58"/>
  <c r="B205" i="58"/>
  <c r="W205" i="58"/>
  <c r="B206" i="58"/>
  <c r="W206" i="58"/>
  <c r="B207" i="58"/>
  <c r="W207" i="58"/>
  <c r="B208" i="58"/>
  <c r="W208" i="58"/>
  <c r="B209" i="58"/>
  <c r="W209" i="58"/>
  <c r="B210" i="58"/>
  <c r="W210" i="58"/>
  <c r="B211" i="58"/>
  <c r="W211" i="58"/>
  <c r="B212" i="58"/>
  <c r="W212" i="58"/>
  <c r="B213" i="58"/>
  <c r="W213" i="58"/>
  <c r="B214" i="58"/>
  <c r="B215" i="58"/>
  <c r="B216" i="58"/>
  <c r="B217" i="58"/>
  <c r="B218" i="58"/>
  <c r="B219" i="58"/>
  <c r="B220" i="58"/>
  <c r="B186" i="58"/>
  <c r="B185" i="58"/>
  <c r="R214" i="58"/>
  <c r="W214" i="58"/>
  <c r="R215" i="58"/>
  <c r="W215" i="58"/>
  <c r="R217" i="58"/>
  <c r="W217" i="58"/>
  <c r="R216" i="58"/>
  <c r="W216" i="58"/>
  <c r="R220" i="58"/>
  <c r="W220" i="58"/>
  <c r="R219" i="58"/>
  <c r="W219" i="58"/>
  <c r="R218" i="58"/>
  <c r="W218" i="58"/>
  <c r="R7" i="28"/>
  <c r="Z5" i="28"/>
  <c r="Z6" i="28"/>
  <c r="V7" i="28"/>
  <c r="L12" i="30"/>
  <c r="L13" i="30"/>
  <c r="L14" i="30"/>
  <c r="L15" i="30"/>
  <c r="L16" i="30"/>
  <c r="L17" i="30"/>
  <c r="L18" i="30"/>
  <c r="L19" i="30"/>
  <c r="L20" i="30"/>
  <c r="L21" i="30"/>
  <c r="L22" i="30"/>
  <c r="L23" i="30"/>
  <c r="L24" i="30"/>
  <c r="L25" i="30"/>
  <c r="L26" i="30"/>
  <c r="L27" i="30"/>
  <c r="L28" i="30"/>
  <c r="L29" i="30"/>
  <c r="L30" i="30"/>
  <c r="L31" i="30"/>
  <c r="L32" i="30"/>
  <c r="L33" i="30"/>
  <c r="L34" i="30"/>
  <c r="L35" i="30"/>
  <c r="L36" i="30"/>
  <c r="L37" i="30"/>
  <c r="L38" i="30"/>
  <c r="L39" i="30"/>
  <c r="L40" i="30"/>
  <c r="L41" i="30"/>
  <c r="L42" i="30"/>
  <c r="L43" i="30"/>
  <c r="L44" i="30"/>
  <c r="L45" i="30"/>
  <c r="L46" i="30"/>
  <c r="L47" i="30"/>
  <c r="L48" i="30"/>
  <c r="L49" i="30"/>
  <c r="L50" i="30"/>
  <c r="L51" i="30"/>
  <c r="L52" i="30"/>
  <c r="L53" i="30"/>
  <c r="L54" i="30"/>
  <c r="L55" i="30"/>
  <c r="L56" i="30"/>
  <c r="L57" i="30"/>
  <c r="L58" i="30"/>
  <c r="L59" i="30"/>
  <c r="L60" i="30"/>
  <c r="L61" i="30"/>
  <c r="L62" i="30"/>
  <c r="L63" i="30"/>
  <c r="L64" i="30"/>
  <c r="L65" i="30"/>
  <c r="L66" i="30"/>
  <c r="L67" i="30"/>
  <c r="L68" i="30"/>
  <c r="L69" i="30"/>
  <c r="L70" i="30"/>
  <c r="L71" i="30"/>
  <c r="L72" i="30"/>
  <c r="L73" i="30"/>
  <c r="L74" i="30"/>
  <c r="L75" i="30"/>
  <c r="L76" i="30"/>
  <c r="L77" i="30"/>
  <c r="L78" i="30"/>
  <c r="L79" i="30"/>
  <c r="L80" i="30"/>
  <c r="L81" i="30"/>
  <c r="L82" i="30"/>
  <c r="L83" i="30"/>
  <c r="L84" i="30"/>
  <c r="L85" i="30"/>
  <c r="L86" i="30"/>
  <c r="L87" i="30"/>
  <c r="L88" i="30"/>
  <c r="L89" i="30"/>
  <c r="L90" i="30"/>
  <c r="L91" i="30"/>
  <c r="L92" i="30"/>
  <c r="L93" i="30"/>
  <c r="L94" i="30"/>
  <c r="L95" i="30"/>
  <c r="L96" i="30"/>
  <c r="L97" i="30"/>
  <c r="L98" i="30"/>
  <c r="L99" i="30"/>
  <c r="L100" i="30"/>
  <c r="L101" i="30"/>
  <c r="L102" i="30"/>
  <c r="L103" i="30"/>
  <c r="L104" i="30"/>
  <c r="L105" i="30"/>
  <c r="L106" i="30"/>
  <c r="D35" i="2"/>
  <c r="D32" i="2"/>
  <c r="I41" i="2"/>
  <c r="I42" i="2"/>
  <c r="I43" i="2"/>
  <c r="I44" i="2"/>
  <c r="I45" i="2"/>
  <c r="J45" i="2"/>
  <c r="J44" i="2"/>
  <c r="J43" i="2"/>
  <c r="J42" i="2"/>
  <c r="B6" i="59"/>
  <c r="B5" i="59"/>
  <c r="A2" i="59"/>
  <c r="E62" i="59"/>
  <c r="E70" i="59"/>
  <c r="D62" i="59"/>
  <c r="D70" i="59"/>
  <c r="C62" i="59"/>
  <c r="C70" i="59"/>
  <c r="B62" i="59"/>
  <c r="B70" i="59"/>
  <c r="E52" i="59"/>
  <c r="E60" i="59"/>
  <c r="D52" i="59"/>
  <c r="D60" i="59"/>
  <c r="C52" i="59"/>
  <c r="C60" i="59"/>
  <c r="B52" i="59"/>
  <c r="B60" i="59"/>
  <c r="D42" i="59"/>
  <c r="D50" i="59"/>
  <c r="C42" i="59"/>
  <c r="C50" i="59"/>
  <c r="B42" i="59"/>
  <c r="B50" i="59"/>
  <c r="E42" i="59"/>
  <c r="E50" i="59"/>
  <c r="E32" i="59"/>
  <c r="E40" i="59"/>
  <c r="D32" i="59"/>
  <c r="D40" i="59"/>
  <c r="C32" i="59"/>
  <c r="C40" i="59"/>
  <c r="B32" i="59"/>
  <c r="B40" i="59"/>
  <c r="E22" i="59"/>
  <c r="E30" i="59"/>
  <c r="D22" i="59"/>
  <c r="D30" i="59"/>
  <c r="C22" i="59"/>
  <c r="C30" i="59"/>
  <c r="B22" i="59"/>
  <c r="B30" i="59"/>
  <c r="E12" i="59"/>
  <c r="E15" i="59"/>
  <c r="D12" i="59"/>
  <c r="D14" i="59"/>
  <c r="C12" i="59"/>
  <c r="C13" i="59"/>
  <c r="B12" i="59"/>
  <c r="B20"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D72" i="59"/>
  <c r="D73" i="59"/>
  <c r="D74" i="59"/>
  <c r="D75" i="59"/>
  <c r="D76" i="59"/>
  <c r="D77" i="59"/>
  <c r="D78" i="59"/>
  <c r="D79" i="59"/>
  <c r="D80" i="59"/>
  <c r="D81" i="59"/>
  <c r="D82" i="59"/>
  <c r="D83" i="59"/>
  <c r="D84" i="59"/>
  <c r="D85" i="59"/>
  <c r="D86" i="59"/>
  <c r="D87" i="59"/>
  <c r="D88" i="59"/>
  <c r="D89" i="59"/>
  <c r="D90" i="59"/>
  <c r="D91" i="59"/>
  <c r="D92" i="59"/>
  <c r="D93" i="59"/>
  <c r="D94" i="59"/>
  <c r="D95" i="59"/>
  <c r="D96" i="59"/>
  <c r="D97" i="59"/>
  <c r="D98" i="59"/>
  <c r="D99" i="59"/>
  <c r="D100" i="59"/>
  <c r="D101" i="59"/>
  <c r="D102" i="59"/>
  <c r="D103" i="59"/>
  <c r="D104" i="59"/>
  <c r="D105" i="59"/>
  <c r="D106" i="59"/>
  <c r="D107" i="59"/>
  <c r="D108" i="59"/>
  <c r="D109" i="59"/>
  <c r="D110" i="59"/>
  <c r="D111" i="59"/>
  <c r="C72" i="59"/>
  <c r="C73" i="59"/>
  <c r="C74" i="59"/>
  <c r="C75" i="59"/>
  <c r="C76" i="59"/>
  <c r="C77" i="59"/>
  <c r="C78" i="59"/>
  <c r="C79" i="59"/>
  <c r="C80" i="59"/>
  <c r="C81" i="59"/>
  <c r="C82" i="59"/>
  <c r="C83" i="59"/>
  <c r="C84" i="59"/>
  <c r="C85" i="59"/>
  <c r="C86" i="59"/>
  <c r="C87" i="59"/>
  <c r="C88" i="59"/>
  <c r="C89" i="59"/>
  <c r="C90" i="59"/>
  <c r="C91" i="59"/>
  <c r="C92" i="59"/>
  <c r="C93" i="59"/>
  <c r="C94" i="59"/>
  <c r="C95" i="59"/>
  <c r="C96" i="59"/>
  <c r="C97" i="59"/>
  <c r="C98" i="59"/>
  <c r="C99" i="59"/>
  <c r="C100" i="59"/>
  <c r="C101" i="59"/>
  <c r="C102" i="59"/>
  <c r="C103" i="59"/>
  <c r="C104" i="59"/>
  <c r="C105" i="59"/>
  <c r="C106" i="59"/>
  <c r="C107" i="59"/>
  <c r="C108" i="59"/>
  <c r="C109" i="59"/>
  <c r="C110" i="59"/>
  <c r="C111" i="59"/>
  <c r="B72" i="59"/>
  <c r="B73" i="59"/>
  <c r="B74" i="59"/>
  <c r="B75" i="59"/>
  <c r="B76" i="59"/>
  <c r="B77" i="59"/>
  <c r="B78" i="59"/>
  <c r="B79" i="59"/>
  <c r="B80" i="59"/>
  <c r="B81" i="59"/>
  <c r="B82" i="59"/>
  <c r="B83" i="59"/>
  <c r="B84" i="59"/>
  <c r="B85" i="59"/>
  <c r="B86" i="59"/>
  <c r="B87" i="59"/>
  <c r="B88" i="59"/>
  <c r="B89" i="59"/>
  <c r="B90" i="59"/>
  <c r="B91" i="59"/>
  <c r="B92" i="59"/>
  <c r="B93" i="59"/>
  <c r="B94" i="59"/>
  <c r="B95" i="59"/>
  <c r="B96" i="59"/>
  <c r="B97" i="59"/>
  <c r="B98" i="59"/>
  <c r="B99" i="59"/>
  <c r="B100" i="59"/>
  <c r="B101" i="59"/>
  <c r="B102" i="59"/>
  <c r="B103" i="59"/>
  <c r="B104" i="59"/>
  <c r="B105" i="59"/>
  <c r="B106" i="59"/>
  <c r="B107" i="59"/>
  <c r="B108" i="59"/>
  <c r="B109" i="59"/>
  <c r="B110" i="59"/>
  <c r="B111" i="59"/>
  <c r="C2" i="59"/>
  <c r="B2" i="59"/>
  <c r="AG99" i="58"/>
  <c r="AG100" i="58"/>
  <c r="AE99" i="58"/>
  <c r="I62" i="59"/>
  <c r="AE14" i="58"/>
  <c r="I12" i="59"/>
  <c r="B63" i="59"/>
  <c r="B64" i="59"/>
  <c r="B65" i="59"/>
  <c r="B66" i="59"/>
  <c r="B67" i="59"/>
  <c r="B68" i="59"/>
  <c r="B69" i="59"/>
  <c r="C63" i="59"/>
  <c r="C64" i="59"/>
  <c r="C65" i="59"/>
  <c r="C66" i="59"/>
  <c r="C67" i="59"/>
  <c r="C68" i="59"/>
  <c r="C69" i="59"/>
  <c r="D63" i="59"/>
  <c r="D64" i="59"/>
  <c r="D65" i="59"/>
  <c r="D66" i="59"/>
  <c r="D67" i="59"/>
  <c r="D68" i="59"/>
  <c r="D69" i="59"/>
  <c r="E63" i="59"/>
  <c r="E64" i="59"/>
  <c r="E65" i="59"/>
  <c r="E66" i="59"/>
  <c r="E67" i="59"/>
  <c r="E68" i="59"/>
  <c r="E69" i="59"/>
  <c r="D53" i="59"/>
  <c r="D54" i="59"/>
  <c r="D55" i="59"/>
  <c r="D56" i="59"/>
  <c r="D57" i="59"/>
  <c r="D58" i="59"/>
  <c r="D59" i="59"/>
  <c r="E53" i="59"/>
  <c r="E54" i="59"/>
  <c r="E55" i="59"/>
  <c r="E56" i="59"/>
  <c r="E57" i="59"/>
  <c r="E58" i="59"/>
  <c r="E59" i="59"/>
  <c r="B53" i="59"/>
  <c r="B54" i="59"/>
  <c r="B55" i="59"/>
  <c r="B56" i="59"/>
  <c r="B57" i="59"/>
  <c r="B58" i="59"/>
  <c r="B59" i="59"/>
  <c r="C53" i="59"/>
  <c r="C54" i="59"/>
  <c r="C55" i="59"/>
  <c r="C56" i="59"/>
  <c r="C57" i="59"/>
  <c r="C58" i="59"/>
  <c r="C59" i="59"/>
  <c r="D43" i="59"/>
  <c r="D44" i="59"/>
  <c r="D45" i="59"/>
  <c r="D46" i="59"/>
  <c r="D47" i="59"/>
  <c r="D48" i="59"/>
  <c r="D49" i="59"/>
  <c r="E43" i="59"/>
  <c r="E44" i="59"/>
  <c r="E45" i="59"/>
  <c r="E46" i="59"/>
  <c r="E47" i="59"/>
  <c r="E48" i="59"/>
  <c r="E49" i="59"/>
  <c r="B43" i="59"/>
  <c r="B44" i="59"/>
  <c r="B45" i="59"/>
  <c r="B46" i="59"/>
  <c r="B47" i="59"/>
  <c r="B48" i="59"/>
  <c r="B49" i="59"/>
  <c r="C43" i="59"/>
  <c r="C44" i="59"/>
  <c r="C45" i="59"/>
  <c r="C46" i="59"/>
  <c r="C47" i="59"/>
  <c r="C48" i="59"/>
  <c r="C49" i="59"/>
  <c r="D33" i="59"/>
  <c r="D34" i="59"/>
  <c r="D35" i="59"/>
  <c r="D36" i="59"/>
  <c r="D37" i="59"/>
  <c r="D38" i="59"/>
  <c r="D39" i="59"/>
  <c r="E33" i="59"/>
  <c r="E34" i="59"/>
  <c r="E35" i="59"/>
  <c r="E36" i="59"/>
  <c r="E37" i="59"/>
  <c r="E38" i="59"/>
  <c r="E39" i="59"/>
  <c r="B33" i="59"/>
  <c r="B34" i="59"/>
  <c r="B35" i="59"/>
  <c r="B36" i="59"/>
  <c r="B37" i="59"/>
  <c r="B38" i="59"/>
  <c r="B39" i="59"/>
  <c r="C33" i="59"/>
  <c r="C34" i="59"/>
  <c r="C35" i="59"/>
  <c r="C36" i="59"/>
  <c r="C37" i="59"/>
  <c r="C38" i="59"/>
  <c r="C39" i="59"/>
  <c r="D23" i="59"/>
  <c r="D24" i="59"/>
  <c r="D25" i="59"/>
  <c r="D26" i="59"/>
  <c r="D27" i="59"/>
  <c r="D28" i="59"/>
  <c r="D29" i="59"/>
  <c r="E23" i="59"/>
  <c r="E24" i="59"/>
  <c r="E25" i="59"/>
  <c r="E26" i="59"/>
  <c r="E27" i="59"/>
  <c r="E28" i="59"/>
  <c r="E29" i="59"/>
  <c r="B23" i="59"/>
  <c r="B24" i="59"/>
  <c r="B25" i="59"/>
  <c r="B26" i="59"/>
  <c r="B27" i="59"/>
  <c r="B28" i="59"/>
  <c r="B29" i="59"/>
  <c r="C23" i="59"/>
  <c r="C24" i="59"/>
  <c r="C25" i="59"/>
  <c r="C26" i="59"/>
  <c r="C27" i="59"/>
  <c r="C28" i="59"/>
  <c r="C29" i="59"/>
  <c r="E14" i="59"/>
  <c r="C14" i="59"/>
  <c r="E18" i="59"/>
  <c r="C18" i="59"/>
  <c r="E20" i="59"/>
  <c r="E16" i="59"/>
  <c r="C20" i="59"/>
  <c r="C16" i="59"/>
  <c r="B13" i="59"/>
  <c r="B17" i="59"/>
  <c r="D19" i="59"/>
  <c r="D15" i="59"/>
  <c r="B14" i="59"/>
  <c r="B18" i="59"/>
  <c r="D20" i="59"/>
  <c r="C19" i="59"/>
  <c r="E17" i="59"/>
  <c r="D16" i="59"/>
  <c r="C15" i="59"/>
  <c r="E13" i="59"/>
  <c r="B15" i="59"/>
  <c r="B19" i="59"/>
  <c r="D17" i="59"/>
  <c r="D13" i="59"/>
  <c r="B16" i="59"/>
  <c r="E19" i="59"/>
  <c r="D18" i="59"/>
  <c r="C17" i="59"/>
  <c r="I18" i="59"/>
  <c r="I14" i="59"/>
  <c r="I20" i="59"/>
  <c r="I16" i="59"/>
  <c r="I19" i="59"/>
  <c r="I15" i="59"/>
  <c r="I17" i="59"/>
  <c r="I13" i="59"/>
  <c r="I68" i="59"/>
  <c r="I64" i="59"/>
  <c r="I67" i="59"/>
  <c r="I63" i="59"/>
  <c r="I69" i="59"/>
  <c r="I70" i="59"/>
  <c r="I65" i="59"/>
  <c r="I66" i="59"/>
  <c r="A13" i="41"/>
  <c r="A131" i="41"/>
  <c r="A132" i="41"/>
  <c r="A133" i="41"/>
  <c r="A76" i="22"/>
  <c r="M32" i="22"/>
  <c r="M33" i="22"/>
  <c r="M34" i="22"/>
  <c r="M35" i="22"/>
  <c r="M36" i="22"/>
  <c r="M37" i="22"/>
  <c r="M38" i="22"/>
  <c r="M39" i="22"/>
  <c r="M40" i="22"/>
  <c r="M41" i="22"/>
  <c r="M42" i="22"/>
  <c r="M43" i="22"/>
  <c r="M44" i="22"/>
  <c r="M45" i="22"/>
  <c r="M46" i="22"/>
  <c r="M47" i="22"/>
  <c r="M48" i="22"/>
  <c r="M49" i="22"/>
  <c r="M50" i="22"/>
  <c r="M51" i="22"/>
  <c r="M52" i="22"/>
  <c r="M53" i="22"/>
  <c r="M54" i="22"/>
  <c r="M55" i="22"/>
  <c r="M56" i="22"/>
  <c r="M57" i="22"/>
  <c r="E25" i="45"/>
  <c r="E24" i="45"/>
  <c r="E12" i="45"/>
  <c r="E11" i="45"/>
  <c r="J508" i="28"/>
  <c r="I508" i="28"/>
  <c r="H508" i="28"/>
  <c r="G508" i="28"/>
  <c r="F508" i="28"/>
  <c r="E508" i="28"/>
  <c r="D508" i="28"/>
  <c r="R508" i="28"/>
  <c r="D5" i="3"/>
  <c r="A5" i="3"/>
  <c r="R507" i="28"/>
  <c r="R8" i="28"/>
  <c r="A499" i="52"/>
  <c r="A498" i="52"/>
  <c r="A497" i="52"/>
  <c r="A496" i="52"/>
  <c r="A495" i="52"/>
  <c r="A494" i="52"/>
  <c r="A493" i="52"/>
  <c r="A492" i="52"/>
  <c r="A491" i="52"/>
  <c r="A490" i="52"/>
  <c r="A489" i="52"/>
  <c r="A488" i="52"/>
  <c r="A487" i="52"/>
  <c r="A486" i="52"/>
  <c r="A485" i="52"/>
  <c r="A484" i="52"/>
  <c r="A483" i="52"/>
  <c r="A482" i="52"/>
  <c r="A481" i="52"/>
  <c r="A480" i="52"/>
  <c r="A479" i="52"/>
  <c r="A478" i="52"/>
  <c r="A477" i="52"/>
  <c r="A476" i="52"/>
  <c r="A475" i="52"/>
  <c r="A474" i="52"/>
  <c r="A473" i="52"/>
  <c r="A472" i="52"/>
  <c r="A471" i="52"/>
  <c r="A470" i="52"/>
  <c r="A469" i="52"/>
  <c r="A468" i="52"/>
  <c r="A467" i="52"/>
  <c r="A466" i="52"/>
  <c r="A465" i="52"/>
  <c r="A464" i="52"/>
  <c r="A463" i="52"/>
  <c r="A462" i="52"/>
  <c r="A461" i="52"/>
  <c r="A460" i="52"/>
  <c r="A459" i="52"/>
  <c r="A458" i="52"/>
  <c r="A457" i="52"/>
  <c r="A456" i="52"/>
  <c r="A455" i="52"/>
  <c r="A454" i="52"/>
  <c r="A453" i="52"/>
  <c r="A452" i="52"/>
  <c r="A451" i="52"/>
  <c r="A450" i="52"/>
  <c r="A449" i="52"/>
  <c r="A448" i="52"/>
  <c r="A447" i="52"/>
  <c r="A446" i="52"/>
  <c r="A445" i="52"/>
  <c r="A444" i="52"/>
  <c r="A443" i="52"/>
  <c r="A442" i="52"/>
  <c r="A441" i="52"/>
  <c r="A440" i="52"/>
  <c r="A439" i="52"/>
  <c r="A438" i="52"/>
  <c r="A437" i="52"/>
  <c r="A436" i="52"/>
  <c r="A435" i="52"/>
  <c r="A434" i="52"/>
  <c r="A433" i="52"/>
  <c r="A432" i="52"/>
  <c r="A431" i="52"/>
  <c r="A430" i="52"/>
  <c r="A429" i="52"/>
  <c r="A428" i="52"/>
  <c r="A427" i="52"/>
  <c r="A426" i="52"/>
  <c r="A425" i="52"/>
  <c r="A424" i="52"/>
  <c r="A423" i="52"/>
  <c r="A422" i="52"/>
  <c r="A421" i="52"/>
  <c r="A420" i="52"/>
  <c r="A419" i="52"/>
  <c r="A418" i="52"/>
  <c r="A417" i="52"/>
  <c r="A416" i="52"/>
  <c r="A415" i="52"/>
  <c r="A414" i="52"/>
  <c r="A413" i="52"/>
  <c r="A412" i="52"/>
  <c r="A411" i="52"/>
  <c r="A410" i="52"/>
  <c r="A409" i="52"/>
  <c r="A408" i="52"/>
  <c r="A407" i="52"/>
  <c r="A406" i="52"/>
  <c r="A405" i="52"/>
  <c r="A404" i="52"/>
  <c r="A403" i="52"/>
  <c r="A402" i="52"/>
  <c r="A401" i="52"/>
  <c r="A400" i="52"/>
  <c r="A399" i="52"/>
  <c r="A398" i="52"/>
  <c r="A397" i="52"/>
  <c r="A396" i="52"/>
  <c r="A395" i="52"/>
  <c r="A394" i="52"/>
  <c r="A393" i="52"/>
  <c r="A392" i="52"/>
  <c r="A391" i="52"/>
  <c r="A390" i="52"/>
  <c r="A389" i="52"/>
  <c r="A388" i="52"/>
  <c r="A387" i="52"/>
  <c r="A386" i="52"/>
  <c r="A385" i="52"/>
  <c r="A384" i="52"/>
  <c r="A383" i="52"/>
  <c r="A382" i="52"/>
  <c r="A381" i="52"/>
  <c r="A380" i="52"/>
  <c r="A379" i="52"/>
  <c r="A378" i="52"/>
  <c r="A377" i="52"/>
  <c r="A376" i="52"/>
  <c r="A375" i="52"/>
  <c r="A374" i="52"/>
  <c r="A373" i="52"/>
  <c r="A372" i="52"/>
  <c r="A371" i="52"/>
  <c r="A370" i="52"/>
  <c r="A369" i="52"/>
  <c r="A368" i="52"/>
  <c r="A367" i="52"/>
  <c r="A366" i="52"/>
  <c r="A365" i="52"/>
  <c r="A364" i="52"/>
  <c r="A363" i="52"/>
  <c r="A362" i="52"/>
  <c r="A361" i="52"/>
  <c r="A360" i="52"/>
  <c r="A359" i="52"/>
  <c r="A358" i="52"/>
  <c r="A357" i="52"/>
  <c r="A356" i="52"/>
  <c r="A355" i="52"/>
  <c r="A354" i="52"/>
  <c r="A353" i="52"/>
  <c r="A352" i="52"/>
  <c r="A351" i="52"/>
  <c r="A350" i="52"/>
  <c r="A349" i="52"/>
  <c r="A348" i="52"/>
  <c r="A347" i="52"/>
  <c r="A346" i="52"/>
  <c r="A345" i="52"/>
  <c r="A344" i="52"/>
  <c r="A343" i="52"/>
  <c r="A342" i="52"/>
  <c r="A341" i="52"/>
  <c r="A340" i="52"/>
  <c r="A339" i="52"/>
  <c r="A338" i="52"/>
  <c r="A337" i="52"/>
  <c r="A336" i="52"/>
  <c r="A335" i="52"/>
  <c r="A334" i="52"/>
  <c r="A333" i="52"/>
  <c r="A332" i="52"/>
  <c r="A331" i="52"/>
  <c r="A330" i="52"/>
  <c r="A329" i="52"/>
  <c r="A328" i="52"/>
  <c r="A327" i="52"/>
  <c r="A326" i="52"/>
  <c r="A325" i="52"/>
  <c r="A324" i="52"/>
  <c r="A323" i="52"/>
  <c r="A322" i="52"/>
  <c r="A321" i="52"/>
  <c r="A320" i="52"/>
  <c r="A319" i="52"/>
  <c r="A318" i="52"/>
  <c r="A317" i="52"/>
  <c r="A316" i="52"/>
  <c r="A315" i="52"/>
  <c r="A314" i="52"/>
  <c r="A313" i="52"/>
  <c r="A312" i="52"/>
  <c r="A311" i="52"/>
  <c r="A310" i="52"/>
  <c r="A309" i="52"/>
  <c r="A308" i="52"/>
  <c r="A307" i="52"/>
  <c r="A306" i="52"/>
  <c r="A305" i="52"/>
  <c r="A304" i="52"/>
  <c r="A303" i="52"/>
  <c r="A302" i="52"/>
  <c r="A301" i="52"/>
  <c r="A300" i="52"/>
  <c r="A299" i="52"/>
  <c r="A298" i="52"/>
  <c r="A297" i="52"/>
  <c r="A296" i="52"/>
  <c r="A295" i="52"/>
  <c r="A294" i="52"/>
  <c r="A293" i="52"/>
  <c r="A292" i="52"/>
  <c r="A291" i="52"/>
  <c r="A290" i="52"/>
  <c r="A289" i="52"/>
  <c r="A288" i="52"/>
  <c r="A287" i="52"/>
  <c r="A286" i="52"/>
  <c r="A285" i="52"/>
  <c r="A284" i="52"/>
  <c r="A283" i="52"/>
  <c r="A282" i="52"/>
  <c r="A281" i="52"/>
  <c r="A280" i="52"/>
  <c r="A279" i="52"/>
  <c r="A278" i="52"/>
  <c r="A277" i="52"/>
  <c r="A276" i="52"/>
  <c r="A275" i="52"/>
  <c r="A274" i="52"/>
  <c r="A273" i="52"/>
  <c r="A272" i="52"/>
  <c r="A271" i="52"/>
  <c r="A270" i="52"/>
  <c r="A269" i="52"/>
  <c r="A268" i="52"/>
  <c r="A267" i="52"/>
  <c r="A266" i="52"/>
  <c r="A265" i="52"/>
  <c r="A264" i="52"/>
  <c r="A263" i="52"/>
  <c r="A262" i="52"/>
  <c r="A261" i="52"/>
  <c r="A260" i="52"/>
  <c r="A259" i="52"/>
  <c r="A258" i="52"/>
  <c r="A257" i="52"/>
  <c r="A256" i="52"/>
  <c r="A255" i="52"/>
  <c r="A254" i="52"/>
  <c r="A253" i="52"/>
  <c r="A252" i="52"/>
  <c r="A251" i="52"/>
  <c r="A250" i="52"/>
  <c r="A249" i="52"/>
  <c r="A248" i="52"/>
  <c r="A247" i="52"/>
  <c r="A246" i="52"/>
  <c r="A245" i="52"/>
  <c r="A244" i="52"/>
  <c r="A243" i="52"/>
  <c r="A242" i="52"/>
  <c r="A241" i="52"/>
  <c r="A240" i="52"/>
  <c r="A239" i="52"/>
  <c r="A238" i="52"/>
  <c r="A237" i="52"/>
  <c r="A236" i="52"/>
  <c r="A235" i="52"/>
  <c r="A234" i="52"/>
  <c r="A233" i="52"/>
  <c r="A232" i="52"/>
  <c r="A231" i="52"/>
  <c r="A230" i="52"/>
  <c r="A229" i="52"/>
  <c r="A228" i="52"/>
  <c r="A227" i="52"/>
  <c r="A226" i="52"/>
  <c r="A225" i="52"/>
  <c r="A224" i="52"/>
  <c r="A223" i="52"/>
  <c r="A222" i="52"/>
  <c r="A221" i="52"/>
  <c r="A220" i="52"/>
  <c r="A219" i="52"/>
  <c r="A218" i="52"/>
  <c r="A217" i="52"/>
  <c r="A216" i="52"/>
  <c r="A215" i="52"/>
  <c r="A214" i="52"/>
  <c r="A213" i="52"/>
  <c r="A212" i="52"/>
  <c r="A211" i="52"/>
  <c r="A210" i="52"/>
  <c r="A209" i="52"/>
  <c r="A208" i="52"/>
  <c r="A207" i="52"/>
  <c r="A206" i="52"/>
  <c r="A205" i="52"/>
  <c r="A204" i="52"/>
  <c r="A203" i="52"/>
  <c r="A202" i="52"/>
  <c r="A201" i="52"/>
  <c r="A200" i="52"/>
  <c r="A199" i="52"/>
  <c r="A198" i="52"/>
  <c r="A197" i="52"/>
  <c r="A196" i="52"/>
  <c r="A195" i="52"/>
  <c r="A194" i="52"/>
  <c r="A193" i="52"/>
  <c r="A192" i="52"/>
  <c r="A191" i="52"/>
  <c r="A190" i="52"/>
  <c r="A189" i="52"/>
  <c r="A188" i="52"/>
  <c r="A187" i="52"/>
  <c r="A186" i="52"/>
  <c r="A185" i="52"/>
  <c r="A184" i="52"/>
  <c r="A183" i="52"/>
  <c r="A182" i="52"/>
  <c r="A181" i="52"/>
  <c r="A180" i="52"/>
  <c r="A179" i="52"/>
  <c r="A178" i="52"/>
  <c r="A177" i="52"/>
  <c r="A176" i="52"/>
  <c r="A175" i="52"/>
  <c r="A174" i="52"/>
  <c r="A173" i="52"/>
  <c r="A172" i="52"/>
  <c r="A171" i="52"/>
  <c r="A170" i="52"/>
  <c r="A169" i="52"/>
  <c r="A168" i="52"/>
  <c r="A167" i="52"/>
  <c r="A166" i="52"/>
  <c r="A165" i="52"/>
  <c r="A164" i="52"/>
  <c r="A163" i="52"/>
  <c r="A162" i="52"/>
  <c r="A161" i="52"/>
  <c r="A160" i="52"/>
  <c r="A159" i="52"/>
  <c r="A158" i="52"/>
  <c r="A157" i="52"/>
  <c r="A156" i="52"/>
  <c r="A155" i="52"/>
  <c r="A154" i="52"/>
  <c r="A153" i="52"/>
  <c r="A152" i="52"/>
  <c r="A151" i="52"/>
  <c r="A150" i="52"/>
  <c r="A149" i="52"/>
  <c r="A148" i="52"/>
  <c r="A147" i="52"/>
  <c r="A146" i="52"/>
  <c r="A145" i="52"/>
  <c r="A144" i="52"/>
  <c r="A143" i="52"/>
  <c r="A142" i="52"/>
  <c r="A141" i="52"/>
  <c r="A140" i="52"/>
  <c r="A139" i="52"/>
  <c r="A138" i="52"/>
  <c r="A137" i="52"/>
  <c r="A136" i="52"/>
  <c r="A135" i="52"/>
  <c r="A134" i="52"/>
  <c r="A133" i="52"/>
  <c r="A132" i="52"/>
  <c r="A131" i="52"/>
  <c r="A130" i="52"/>
  <c r="A129" i="52"/>
  <c r="A128" i="52"/>
  <c r="A127" i="52"/>
  <c r="A126" i="52"/>
  <c r="A125" i="52"/>
  <c r="A124" i="52"/>
  <c r="A123" i="52"/>
  <c r="A122" i="52"/>
  <c r="A121" i="52"/>
  <c r="A120" i="52"/>
  <c r="A119" i="52"/>
  <c r="A118" i="52"/>
  <c r="A117" i="52"/>
  <c r="A116" i="52"/>
  <c r="A115" i="52"/>
  <c r="A114" i="52"/>
  <c r="A113" i="52"/>
  <c r="A112" i="52"/>
  <c r="A111" i="52"/>
  <c r="A110" i="52"/>
  <c r="A109" i="52"/>
  <c r="A108" i="52"/>
  <c r="A107" i="52"/>
  <c r="A106" i="52"/>
  <c r="A105" i="52"/>
  <c r="A104" i="52"/>
  <c r="A103" i="52"/>
  <c r="A102" i="52"/>
  <c r="A101" i="52"/>
  <c r="A100" i="52"/>
  <c r="A99" i="52"/>
  <c r="A98" i="52"/>
  <c r="A97" i="52"/>
  <c r="A96" i="52"/>
  <c r="A95" i="52"/>
  <c r="A94" i="52"/>
  <c r="A93" i="52"/>
  <c r="A92" i="52"/>
  <c r="A91" i="52"/>
  <c r="A90" i="52"/>
  <c r="A89" i="52"/>
  <c r="A88" i="52"/>
  <c r="A87" i="52"/>
  <c r="A86" i="52"/>
  <c r="A85" i="52"/>
  <c r="A84" i="52"/>
  <c r="A83" i="52"/>
  <c r="A82" i="52"/>
  <c r="A81" i="52"/>
  <c r="A80" i="52"/>
  <c r="A79" i="52"/>
  <c r="A78" i="52"/>
  <c r="A77" i="52"/>
  <c r="A76" i="52"/>
  <c r="A75" i="52"/>
  <c r="A74" i="52"/>
  <c r="A73" i="52"/>
  <c r="A72" i="52"/>
  <c r="A71" i="52"/>
  <c r="A70" i="52"/>
  <c r="A69" i="52"/>
  <c r="A68" i="52"/>
  <c r="A67" i="52"/>
  <c r="A66" i="52"/>
  <c r="A65" i="52"/>
  <c r="A64" i="52"/>
  <c r="A63" i="52"/>
  <c r="A62" i="52"/>
  <c r="A61" i="52"/>
  <c r="A60" i="52"/>
  <c r="A59" i="52"/>
  <c r="A58" i="52"/>
  <c r="A57" i="52"/>
  <c r="A56" i="52"/>
  <c r="A55" i="52"/>
  <c r="A54" i="52"/>
  <c r="A53" i="52"/>
  <c r="A52" i="52"/>
  <c r="A51" i="52"/>
  <c r="A50" i="52"/>
  <c r="A49" i="52"/>
  <c r="A48" i="52"/>
  <c r="A47" i="52"/>
  <c r="A46" i="52"/>
  <c r="A45" i="52"/>
  <c r="A44" i="52"/>
  <c r="A43" i="52"/>
  <c r="A42" i="52"/>
  <c r="A41" i="52"/>
  <c r="A40" i="52"/>
  <c r="A39" i="52"/>
  <c r="A38" i="52"/>
  <c r="A37" i="52"/>
  <c r="A36" i="52"/>
  <c r="A35" i="52"/>
  <c r="A34" i="52"/>
  <c r="A33" i="52"/>
  <c r="A32" i="52"/>
  <c r="A31" i="52"/>
  <c r="A30" i="52"/>
  <c r="A29" i="52"/>
  <c r="A28" i="52"/>
  <c r="A27" i="52"/>
  <c r="A26" i="52"/>
  <c r="A25" i="52"/>
  <c r="A24" i="52"/>
  <c r="A23" i="52"/>
  <c r="A22" i="52"/>
  <c r="A21" i="52"/>
  <c r="A20" i="52"/>
  <c r="Y499" i="52"/>
  <c r="Y498" i="52"/>
  <c r="Y497" i="52"/>
  <c r="Y496" i="52"/>
  <c r="Y495" i="52"/>
  <c r="Y494" i="52"/>
  <c r="Y493" i="52"/>
  <c r="Y492" i="52"/>
  <c r="Y491" i="52"/>
  <c r="Y490" i="52"/>
  <c r="Y489" i="52"/>
  <c r="Y488" i="52"/>
  <c r="Y487" i="52"/>
  <c r="Y486" i="52"/>
  <c r="Y485" i="52"/>
  <c r="Y484" i="52"/>
  <c r="Y483" i="52"/>
  <c r="Y482" i="52"/>
  <c r="Y481" i="52"/>
  <c r="Y480" i="52"/>
  <c r="Y479" i="52"/>
  <c r="Y478" i="52"/>
  <c r="Y477" i="52"/>
  <c r="Y476" i="52"/>
  <c r="Y475" i="52"/>
  <c r="Y474" i="52"/>
  <c r="Y473" i="52"/>
  <c r="Y472" i="52"/>
  <c r="Y471" i="52"/>
  <c r="Y470" i="52"/>
  <c r="Y469" i="52"/>
  <c r="Y468" i="52"/>
  <c r="Y467" i="52"/>
  <c r="Y466" i="52"/>
  <c r="Y465" i="52"/>
  <c r="Y464" i="52"/>
  <c r="Y463" i="52"/>
  <c r="Y462" i="52"/>
  <c r="Y461" i="52"/>
  <c r="Y460" i="52"/>
  <c r="Y459" i="52"/>
  <c r="Y458" i="52"/>
  <c r="Y457" i="52"/>
  <c r="Y456" i="52"/>
  <c r="Y455" i="52"/>
  <c r="Y454" i="52"/>
  <c r="Y453" i="52"/>
  <c r="Y452" i="52"/>
  <c r="Y451" i="52"/>
  <c r="Y450" i="52"/>
  <c r="Y449" i="52"/>
  <c r="Y448" i="52"/>
  <c r="Y447" i="52"/>
  <c r="Y446" i="52"/>
  <c r="Y445" i="52"/>
  <c r="Y444" i="52"/>
  <c r="Y443" i="52"/>
  <c r="Y442" i="52"/>
  <c r="Y441" i="52"/>
  <c r="Y440" i="52"/>
  <c r="Y439" i="52"/>
  <c r="Y438" i="52"/>
  <c r="Y437" i="52"/>
  <c r="Y436" i="52"/>
  <c r="Y435" i="52"/>
  <c r="Y434" i="52"/>
  <c r="Y433" i="52"/>
  <c r="Y432" i="52"/>
  <c r="Y431" i="52"/>
  <c r="Y430" i="52"/>
  <c r="Y429" i="52"/>
  <c r="Y428" i="52"/>
  <c r="Y427" i="52"/>
  <c r="Y426" i="52"/>
  <c r="Y425" i="52"/>
  <c r="Y424" i="52"/>
  <c r="Y423" i="52"/>
  <c r="Y422" i="52"/>
  <c r="Y421" i="52"/>
  <c r="Y420" i="52"/>
  <c r="Y419" i="52"/>
  <c r="Y418" i="52"/>
  <c r="Y417" i="52"/>
  <c r="Y416" i="52"/>
  <c r="Y415" i="52"/>
  <c r="Y414" i="52"/>
  <c r="Y413" i="52"/>
  <c r="Y412" i="52"/>
  <c r="Y411" i="52"/>
  <c r="Y410" i="52"/>
  <c r="Y409" i="52"/>
  <c r="Y408" i="52"/>
  <c r="Y407" i="52"/>
  <c r="Y406" i="52"/>
  <c r="Y405" i="52"/>
  <c r="Y404" i="52"/>
  <c r="Y403" i="52"/>
  <c r="Y402" i="52"/>
  <c r="Y401" i="52"/>
  <c r="Y400" i="52"/>
  <c r="Y399" i="52"/>
  <c r="Y398" i="52"/>
  <c r="Y397" i="52"/>
  <c r="Y396" i="52"/>
  <c r="Y395" i="52"/>
  <c r="Y394" i="52"/>
  <c r="Y393" i="52"/>
  <c r="Y392" i="52"/>
  <c r="Y391" i="52"/>
  <c r="Y390" i="52"/>
  <c r="Y389" i="52"/>
  <c r="Y388" i="52"/>
  <c r="Y387" i="52"/>
  <c r="Y386" i="52"/>
  <c r="Y385" i="52"/>
  <c r="Y384" i="52"/>
  <c r="Y383" i="52"/>
  <c r="Y382" i="52"/>
  <c r="Y381" i="52"/>
  <c r="Y380" i="52"/>
  <c r="Y379" i="52"/>
  <c r="Y378" i="52"/>
  <c r="Y377" i="52"/>
  <c r="Y376" i="52"/>
  <c r="Y375" i="52"/>
  <c r="Y374" i="52"/>
  <c r="Y373" i="52"/>
  <c r="Y372" i="52"/>
  <c r="Y371" i="52"/>
  <c r="Y370" i="52"/>
  <c r="Y369" i="52"/>
  <c r="Y368" i="52"/>
  <c r="Y367" i="52"/>
  <c r="Y366" i="52"/>
  <c r="Y365" i="52"/>
  <c r="Y364" i="52"/>
  <c r="Y363" i="52"/>
  <c r="Y362" i="52"/>
  <c r="Y361" i="52"/>
  <c r="Y360" i="52"/>
  <c r="Y359" i="52"/>
  <c r="Y358" i="52"/>
  <c r="Y357" i="52"/>
  <c r="Y356" i="52"/>
  <c r="Y355" i="52"/>
  <c r="Y354" i="52"/>
  <c r="Y353" i="52"/>
  <c r="Y352" i="52"/>
  <c r="Y351" i="52"/>
  <c r="Y350" i="52"/>
  <c r="Y349" i="52"/>
  <c r="Y348" i="52"/>
  <c r="Y347" i="52"/>
  <c r="Y346" i="52"/>
  <c r="Y345" i="52"/>
  <c r="Y344" i="52"/>
  <c r="Y343" i="52"/>
  <c r="Y342" i="52"/>
  <c r="Y341" i="52"/>
  <c r="Y340" i="52"/>
  <c r="Y339" i="52"/>
  <c r="Y338" i="52"/>
  <c r="Y337" i="52"/>
  <c r="Y336" i="52"/>
  <c r="Y335" i="52"/>
  <c r="Y334" i="52"/>
  <c r="Y333" i="52"/>
  <c r="Y332" i="52"/>
  <c r="Y331" i="52"/>
  <c r="Y330" i="52"/>
  <c r="Y329" i="52"/>
  <c r="Y328" i="52"/>
  <c r="Y327" i="52"/>
  <c r="Y326" i="52"/>
  <c r="Y325" i="52"/>
  <c r="Y324" i="52"/>
  <c r="Y323" i="52"/>
  <c r="Y322" i="52"/>
  <c r="Y321" i="52"/>
  <c r="Y320" i="52"/>
  <c r="Y319" i="52"/>
  <c r="Y318" i="52"/>
  <c r="Y317" i="52"/>
  <c r="Y316" i="52"/>
  <c r="Y315" i="52"/>
  <c r="Y314" i="52"/>
  <c r="Y313" i="52"/>
  <c r="Y312" i="52"/>
  <c r="Y311" i="52"/>
  <c r="Y310" i="52"/>
  <c r="Y309" i="52"/>
  <c r="Y308" i="52"/>
  <c r="Y307" i="52"/>
  <c r="Y306" i="52"/>
  <c r="Y305" i="52"/>
  <c r="Y304" i="52"/>
  <c r="Y303" i="52"/>
  <c r="Y302" i="52"/>
  <c r="Y301" i="52"/>
  <c r="Y300" i="52"/>
  <c r="Y299" i="52"/>
  <c r="Y298" i="52"/>
  <c r="Y297" i="52"/>
  <c r="Y296" i="52"/>
  <c r="Y295" i="52"/>
  <c r="Y294" i="52"/>
  <c r="Y293" i="52"/>
  <c r="Y292" i="52"/>
  <c r="Y291" i="52"/>
  <c r="Y290" i="52"/>
  <c r="Y289" i="52"/>
  <c r="Y288" i="52"/>
  <c r="Y287" i="52"/>
  <c r="Y286" i="52"/>
  <c r="Y285" i="52"/>
  <c r="Y284" i="52"/>
  <c r="Y283" i="52"/>
  <c r="Y282" i="52"/>
  <c r="Y281" i="52"/>
  <c r="Y280" i="52"/>
  <c r="Y279" i="52"/>
  <c r="Y278" i="52"/>
  <c r="Y277" i="52"/>
  <c r="Y276" i="52"/>
  <c r="Y275" i="52"/>
  <c r="Y274" i="52"/>
  <c r="Y273" i="52"/>
  <c r="Y272" i="52"/>
  <c r="Y271" i="52"/>
  <c r="Y270" i="52"/>
  <c r="Y269" i="52"/>
  <c r="Y268" i="52"/>
  <c r="Y267" i="52"/>
  <c r="Y266" i="52"/>
  <c r="Y265" i="52"/>
  <c r="Y264" i="52"/>
  <c r="Y263" i="52"/>
  <c r="Y262" i="52"/>
  <c r="Y261" i="52"/>
  <c r="Y260" i="52"/>
  <c r="Y259" i="52"/>
  <c r="Y258" i="52"/>
  <c r="Y257" i="52"/>
  <c r="Y256" i="52"/>
  <c r="Y255" i="52"/>
  <c r="Y254" i="52"/>
  <c r="Y253" i="52"/>
  <c r="Y252" i="52"/>
  <c r="Y251" i="52"/>
  <c r="Y250" i="52"/>
  <c r="Y249" i="52"/>
  <c r="Y248" i="52"/>
  <c r="Y247" i="52"/>
  <c r="Y246" i="52"/>
  <c r="Y245" i="52"/>
  <c r="Y244" i="52"/>
  <c r="Y243" i="52"/>
  <c r="Y242" i="52"/>
  <c r="Y241" i="52"/>
  <c r="Y240" i="52"/>
  <c r="Y239" i="52"/>
  <c r="Y238" i="52"/>
  <c r="Y237" i="52"/>
  <c r="Y236" i="52"/>
  <c r="Y235" i="52"/>
  <c r="Y234" i="52"/>
  <c r="Y233" i="52"/>
  <c r="Y232" i="52"/>
  <c r="Y231" i="52"/>
  <c r="Y230" i="52"/>
  <c r="Y229" i="52"/>
  <c r="Y228" i="52"/>
  <c r="Y227" i="52"/>
  <c r="Y226" i="52"/>
  <c r="Y225" i="52"/>
  <c r="Y224" i="52"/>
  <c r="Y223" i="52"/>
  <c r="Y222" i="52"/>
  <c r="Y221" i="52"/>
  <c r="Y220" i="52"/>
  <c r="Y219" i="52"/>
  <c r="Y218" i="52"/>
  <c r="Y217" i="52"/>
  <c r="Y216" i="52"/>
  <c r="Y215" i="52"/>
  <c r="Y214" i="52"/>
  <c r="Y213" i="52"/>
  <c r="Y212" i="52"/>
  <c r="Y211" i="52"/>
  <c r="Y210" i="52"/>
  <c r="Y209" i="52"/>
  <c r="Y208" i="52"/>
  <c r="Y207" i="52"/>
  <c r="Y206" i="52"/>
  <c r="Y205" i="52"/>
  <c r="Y204" i="52"/>
  <c r="Y203" i="52"/>
  <c r="Y202" i="52"/>
  <c r="Y201" i="52"/>
  <c r="Y200" i="52"/>
  <c r="Y199" i="52"/>
  <c r="Y198" i="52"/>
  <c r="Y197" i="52"/>
  <c r="Y196" i="52"/>
  <c r="Y195" i="52"/>
  <c r="Y194" i="52"/>
  <c r="Y193" i="52"/>
  <c r="Y192" i="52"/>
  <c r="Y191" i="52"/>
  <c r="Y190" i="52"/>
  <c r="Y189" i="52"/>
  <c r="Y188" i="52"/>
  <c r="Y187" i="52"/>
  <c r="Y186" i="52"/>
  <c r="Y185" i="52"/>
  <c r="Y184" i="52"/>
  <c r="Y183" i="52"/>
  <c r="Y182" i="52"/>
  <c r="Y181" i="52"/>
  <c r="Y180" i="52"/>
  <c r="Y179" i="52"/>
  <c r="Y178" i="52"/>
  <c r="Y177" i="52"/>
  <c r="Y176" i="52"/>
  <c r="Y175" i="52"/>
  <c r="Y174" i="52"/>
  <c r="Y173" i="52"/>
  <c r="Y172" i="52"/>
  <c r="Y171" i="52"/>
  <c r="Y170" i="52"/>
  <c r="Y169" i="52"/>
  <c r="Y168" i="52"/>
  <c r="Y167" i="52"/>
  <c r="Y166" i="52"/>
  <c r="Y165" i="52"/>
  <c r="Y164" i="52"/>
  <c r="Y163" i="52"/>
  <c r="Y162" i="52"/>
  <c r="Y161" i="52"/>
  <c r="Y160" i="52"/>
  <c r="Y159" i="52"/>
  <c r="Y158" i="52"/>
  <c r="Y157" i="52"/>
  <c r="Y156" i="52"/>
  <c r="Y155" i="52"/>
  <c r="Y154" i="52"/>
  <c r="Y153" i="52"/>
  <c r="Y152" i="52"/>
  <c r="Y151" i="52"/>
  <c r="Y150" i="52"/>
  <c r="Y149" i="52"/>
  <c r="Y148" i="52"/>
  <c r="Y147" i="52"/>
  <c r="Y146" i="52"/>
  <c r="Y145" i="52"/>
  <c r="Y144" i="52"/>
  <c r="Y143" i="52"/>
  <c r="Y142" i="52"/>
  <c r="Y141" i="52"/>
  <c r="Y140" i="52"/>
  <c r="Y139" i="52"/>
  <c r="Y138" i="52"/>
  <c r="Y137" i="52"/>
  <c r="Y136" i="52"/>
  <c r="Y135" i="52"/>
  <c r="Y134" i="52"/>
  <c r="Y133" i="52"/>
  <c r="Y132" i="52"/>
  <c r="Y131" i="52"/>
  <c r="Y130" i="52"/>
  <c r="Y129" i="52"/>
  <c r="Y128" i="52"/>
  <c r="Y127" i="52"/>
  <c r="Y126" i="52"/>
  <c r="Y125" i="52"/>
  <c r="Y124" i="52"/>
  <c r="Y123" i="52"/>
  <c r="Y122" i="52"/>
  <c r="Y121" i="52"/>
  <c r="Y120" i="52"/>
  <c r="Y119" i="52"/>
  <c r="Y118" i="52"/>
  <c r="Y117" i="52"/>
  <c r="Y116" i="52"/>
  <c r="Y115" i="52"/>
  <c r="Y114" i="52"/>
  <c r="Y113" i="52"/>
  <c r="Y112" i="52"/>
  <c r="Y111" i="52"/>
  <c r="Y110" i="52"/>
  <c r="Y109" i="52"/>
  <c r="Y108" i="52"/>
  <c r="Y107" i="52"/>
  <c r="Y106" i="52"/>
  <c r="Y105" i="52"/>
  <c r="Y104" i="52"/>
  <c r="Y103" i="52"/>
  <c r="Y102" i="52"/>
  <c r="Y101" i="52"/>
  <c r="Y100" i="52"/>
  <c r="Y99" i="52"/>
  <c r="Y98" i="52"/>
  <c r="Y97" i="52"/>
  <c r="Y96" i="52"/>
  <c r="Y95" i="52"/>
  <c r="Y94" i="52"/>
  <c r="Y93" i="52"/>
  <c r="Y92" i="52"/>
  <c r="Y91" i="52"/>
  <c r="Y90" i="52"/>
  <c r="Y89" i="52"/>
  <c r="Y88" i="52"/>
  <c r="Y87" i="52"/>
  <c r="Y86" i="52"/>
  <c r="Y85" i="52"/>
  <c r="Y84" i="52"/>
  <c r="Y83" i="52"/>
  <c r="Y82" i="52"/>
  <c r="Y81" i="52"/>
  <c r="Y80" i="52"/>
  <c r="Y79" i="52"/>
  <c r="Y78" i="52"/>
  <c r="Y77" i="52"/>
  <c r="Y76" i="52"/>
  <c r="Y75" i="52"/>
  <c r="Y74" i="52"/>
  <c r="Y73" i="52"/>
  <c r="Y72" i="52"/>
  <c r="Y71" i="52"/>
  <c r="Y70" i="52"/>
  <c r="Y69" i="52"/>
  <c r="Y68" i="52"/>
  <c r="Y67" i="52"/>
  <c r="Y66" i="52"/>
  <c r="Y65" i="52"/>
  <c r="Y64" i="52"/>
  <c r="Y63" i="52"/>
  <c r="Y62" i="52"/>
  <c r="Y61" i="52"/>
  <c r="Y60" i="52"/>
  <c r="Y59" i="52"/>
  <c r="Y58" i="52"/>
  <c r="Y57" i="52"/>
  <c r="Y56" i="52"/>
  <c r="Y55" i="52"/>
  <c r="Y54" i="52"/>
  <c r="Y53" i="52"/>
  <c r="Y52" i="52"/>
  <c r="Y51" i="52"/>
  <c r="Y50" i="52"/>
  <c r="Y49" i="52"/>
  <c r="Y48" i="52"/>
  <c r="Y47" i="52"/>
  <c r="Y46" i="52"/>
  <c r="Y45" i="52"/>
  <c r="Y44" i="52"/>
  <c r="Y43" i="52"/>
  <c r="Y42" i="52"/>
  <c r="Y41" i="52"/>
  <c r="Y40" i="52"/>
  <c r="Y39" i="52"/>
  <c r="Y38" i="52"/>
  <c r="Y37" i="52"/>
  <c r="Y36" i="52"/>
  <c r="Y35" i="52"/>
  <c r="Y34" i="52"/>
  <c r="Y33" i="52"/>
  <c r="Y32" i="52"/>
  <c r="Y31" i="52"/>
  <c r="Y30" i="52"/>
  <c r="Y29" i="52"/>
  <c r="Y28" i="52"/>
  <c r="Y27" i="52"/>
  <c r="Y26" i="52"/>
  <c r="Y25" i="52"/>
  <c r="Y24" i="52"/>
  <c r="Y23" i="52"/>
  <c r="Y22" i="52"/>
  <c r="Y21" i="52"/>
  <c r="Y20" i="52"/>
  <c r="J41" i="2"/>
  <c r="J40" i="2"/>
  <c r="I40" i="2"/>
  <c r="A23" i="41"/>
  <c r="A24" i="41"/>
  <c r="A25" i="41"/>
  <c r="A26" i="41"/>
  <c r="W110" i="30"/>
  <c r="A363" i="41"/>
  <c r="A370" i="41"/>
  <c r="B4" i="41"/>
  <c r="L20" i="45"/>
  <c r="L7" i="45"/>
  <c r="L117" i="30"/>
  <c r="L118" i="30"/>
  <c r="L119" i="30"/>
  <c r="L120" i="30"/>
  <c r="L121" i="30"/>
  <c r="L122" i="30"/>
  <c r="L123" i="30"/>
  <c r="L124" i="30"/>
  <c r="L125" i="30"/>
  <c r="L126" i="30"/>
  <c r="L127" i="30"/>
  <c r="L128" i="30"/>
  <c r="L129" i="30"/>
  <c r="L130" i="30"/>
  <c r="L131" i="30"/>
  <c r="L132" i="30"/>
  <c r="L133" i="30"/>
  <c r="L134" i="30"/>
  <c r="L135" i="30"/>
  <c r="L136" i="30"/>
  <c r="L137" i="30"/>
  <c r="L138" i="30"/>
  <c r="L139" i="30"/>
  <c r="L140" i="30"/>
  <c r="L141" i="30"/>
  <c r="L142" i="30"/>
  <c r="L143" i="30"/>
  <c r="L144" i="30"/>
  <c r="L145" i="30"/>
  <c r="L146" i="30"/>
  <c r="L147" i="30"/>
  <c r="L148" i="30"/>
  <c r="L149" i="30"/>
  <c r="L150" i="30"/>
  <c r="L151" i="30"/>
  <c r="L152" i="30"/>
  <c r="L153" i="30"/>
  <c r="L154" i="30"/>
  <c r="L155" i="30"/>
  <c r="L156" i="30"/>
  <c r="L157" i="30"/>
  <c r="L158" i="30"/>
  <c r="L159" i="30"/>
  <c r="L160" i="30"/>
  <c r="L161" i="30"/>
  <c r="L162" i="30"/>
  <c r="L163" i="30"/>
  <c r="L164" i="30"/>
  <c r="L165" i="30"/>
  <c r="L166" i="30"/>
  <c r="L167" i="30"/>
  <c r="L168" i="30"/>
  <c r="L169" i="30"/>
  <c r="L170" i="30"/>
  <c r="L171" i="30"/>
  <c r="L172" i="30"/>
  <c r="L173" i="30"/>
  <c r="L174" i="30"/>
  <c r="L175" i="30"/>
  <c r="L176" i="30"/>
  <c r="L177" i="30"/>
  <c r="L178" i="30"/>
  <c r="L179" i="30"/>
  <c r="L180" i="30"/>
  <c r="L181" i="30"/>
  <c r="L182" i="30"/>
  <c r="L183" i="30"/>
  <c r="L184" i="30"/>
  <c r="L185" i="30"/>
  <c r="L186" i="30"/>
  <c r="L187" i="30"/>
  <c r="L188" i="30"/>
  <c r="L189" i="30"/>
  <c r="L190" i="30"/>
  <c r="L191" i="30"/>
  <c r="L192" i="30"/>
  <c r="L193" i="30"/>
  <c r="L194" i="30"/>
  <c r="L195" i="30"/>
  <c r="L196" i="30"/>
  <c r="L197" i="30"/>
  <c r="L198" i="30"/>
  <c r="L199" i="30"/>
  <c r="L200" i="30"/>
  <c r="L201" i="30"/>
  <c r="L202" i="30"/>
  <c r="L203" i="30"/>
  <c r="L204" i="30"/>
  <c r="L205" i="30"/>
  <c r="L206" i="30"/>
  <c r="L207" i="30"/>
  <c r="L208" i="30"/>
  <c r="L209" i="30"/>
  <c r="L210" i="30"/>
  <c r="L211" i="30"/>
  <c r="L116" i="30"/>
  <c r="H117" i="30"/>
  <c r="H118" i="30"/>
  <c r="H119" i="30"/>
  <c r="H120" i="30"/>
  <c r="H121" i="30"/>
  <c r="H122" i="30"/>
  <c r="H123" i="30"/>
  <c r="H124" i="30"/>
  <c r="H125" i="30"/>
  <c r="H126" i="30"/>
  <c r="H127" i="30"/>
  <c r="H128" i="30"/>
  <c r="H129" i="30"/>
  <c r="H130" i="30"/>
  <c r="H131" i="30"/>
  <c r="H132" i="30"/>
  <c r="H133" i="30"/>
  <c r="H134" i="30"/>
  <c r="H135" i="30"/>
  <c r="H136" i="30"/>
  <c r="H137" i="30"/>
  <c r="H138" i="30"/>
  <c r="H139" i="30"/>
  <c r="H140" i="30"/>
  <c r="H141" i="30"/>
  <c r="H142" i="30"/>
  <c r="H143" i="30"/>
  <c r="H144" i="30"/>
  <c r="H145" i="30"/>
  <c r="H146" i="30"/>
  <c r="H147" i="30"/>
  <c r="H148" i="30"/>
  <c r="H149" i="30"/>
  <c r="H150" i="30"/>
  <c r="H151" i="30"/>
  <c r="H152" i="30"/>
  <c r="H153" i="30"/>
  <c r="H154" i="30"/>
  <c r="H155" i="30"/>
  <c r="H156" i="30"/>
  <c r="H157" i="30"/>
  <c r="H158" i="30"/>
  <c r="H159" i="30"/>
  <c r="H160" i="30"/>
  <c r="H161" i="30"/>
  <c r="H162" i="30"/>
  <c r="H163" i="30"/>
  <c r="H164" i="30"/>
  <c r="H165" i="30"/>
  <c r="H166" i="30"/>
  <c r="H167" i="30"/>
  <c r="H168" i="30"/>
  <c r="H169" i="30"/>
  <c r="H170" i="30"/>
  <c r="H171" i="30"/>
  <c r="H172" i="30"/>
  <c r="H173" i="30"/>
  <c r="H174" i="30"/>
  <c r="H175" i="30"/>
  <c r="H176" i="30"/>
  <c r="H177" i="30"/>
  <c r="H178" i="30"/>
  <c r="H179" i="30"/>
  <c r="H180" i="30"/>
  <c r="H181" i="30"/>
  <c r="H182" i="30"/>
  <c r="H183" i="30"/>
  <c r="H184" i="30"/>
  <c r="H185" i="30"/>
  <c r="H186" i="30"/>
  <c r="H187" i="30"/>
  <c r="H188" i="30"/>
  <c r="H189" i="30"/>
  <c r="H190" i="30"/>
  <c r="H191" i="30"/>
  <c r="H192" i="30"/>
  <c r="H193" i="30"/>
  <c r="H194" i="30"/>
  <c r="H195" i="30"/>
  <c r="H196" i="30"/>
  <c r="H197" i="30"/>
  <c r="H198" i="30"/>
  <c r="H199" i="30"/>
  <c r="H200" i="30"/>
  <c r="H201" i="30"/>
  <c r="H202" i="30"/>
  <c r="H203" i="30"/>
  <c r="H204" i="30"/>
  <c r="H205" i="30"/>
  <c r="H206" i="30"/>
  <c r="H207" i="30"/>
  <c r="H208" i="30"/>
  <c r="H209" i="30"/>
  <c r="H210" i="30"/>
  <c r="H211" i="30"/>
  <c r="H116" i="30"/>
  <c r="V101" i="58"/>
  <c r="Y101" i="58"/>
  <c r="BS220" i="58"/>
  <c r="BR220" i="58"/>
  <c r="BQ220" i="58"/>
  <c r="BP220" i="58"/>
  <c r="BO220" i="58"/>
  <c r="BN220" i="58"/>
  <c r="BM220" i="58"/>
  <c r="BS219" i="58"/>
  <c r="BR219" i="58"/>
  <c r="BQ219" i="58"/>
  <c r="BP219" i="58"/>
  <c r="BO219" i="58"/>
  <c r="BN219" i="58"/>
  <c r="BM219" i="58"/>
  <c r="BS218" i="58"/>
  <c r="BR218" i="58"/>
  <c r="BQ218" i="58"/>
  <c r="BP218" i="58"/>
  <c r="BO218" i="58"/>
  <c r="BN218" i="58"/>
  <c r="BM218" i="58"/>
  <c r="BS217" i="58"/>
  <c r="BR217" i="58"/>
  <c r="BQ217" i="58"/>
  <c r="BP217" i="58"/>
  <c r="BO217" i="58"/>
  <c r="BN217" i="58"/>
  <c r="BM217" i="58"/>
  <c r="BS216" i="58"/>
  <c r="BR216" i="58"/>
  <c r="BQ216" i="58"/>
  <c r="BP216" i="58"/>
  <c r="BO216" i="58"/>
  <c r="BN216" i="58"/>
  <c r="BM216" i="58"/>
  <c r="BS215" i="58"/>
  <c r="BR215" i="58"/>
  <c r="BQ215" i="58"/>
  <c r="BP215" i="58"/>
  <c r="BO215" i="58"/>
  <c r="BN215" i="58"/>
  <c r="BM215" i="58"/>
  <c r="BS214" i="58"/>
  <c r="BR214" i="58"/>
  <c r="BQ214" i="58"/>
  <c r="BP214" i="58"/>
  <c r="BO214" i="58"/>
  <c r="BN214" i="58"/>
  <c r="BM214" i="58"/>
  <c r="BS213" i="58"/>
  <c r="BR213" i="58"/>
  <c r="BQ213" i="58"/>
  <c r="BP213" i="58"/>
  <c r="BO213" i="58"/>
  <c r="BN213" i="58"/>
  <c r="BM213" i="58"/>
  <c r="BS212" i="58"/>
  <c r="BR212" i="58"/>
  <c r="BQ212" i="58"/>
  <c r="BP212" i="58"/>
  <c r="BO212" i="58"/>
  <c r="BN212" i="58"/>
  <c r="BM212" i="58"/>
  <c r="BS211" i="58"/>
  <c r="BR211" i="58"/>
  <c r="BQ211" i="58"/>
  <c r="BP211" i="58"/>
  <c r="BO211" i="58"/>
  <c r="BN211" i="58"/>
  <c r="BM211" i="58"/>
  <c r="BS210" i="58"/>
  <c r="BR210" i="58"/>
  <c r="BQ210" i="58"/>
  <c r="BP210" i="58"/>
  <c r="BO210" i="58"/>
  <c r="BN210" i="58"/>
  <c r="BM210" i="58"/>
  <c r="BS209" i="58"/>
  <c r="BR209" i="58"/>
  <c r="BQ209" i="58"/>
  <c r="BP209" i="58"/>
  <c r="BO209" i="58"/>
  <c r="BN209" i="58"/>
  <c r="BM209" i="58"/>
  <c r="BS208" i="58"/>
  <c r="BR208" i="58"/>
  <c r="BQ208" i="58"/>
  <c r="BP208" i="58"/>
  <c r="BO208" i="58"/>
  <c r="BN208" i="58"/>
  <c r="BM208" i="58"/>
  <c r="BS207" i="58"/>
  <c r="BR207" i="58"/>
  <c r="BQ207" i="58"/>
  <c r="BP207" i="58"/>
  <c r="BO207" i="58"/>
  <c r="BN207" i="58"/>
  <c r="BM207" i="58"/>
  <c r="BS206" i="58"/>
  <c r="BR206" i="58"/>
  <c r="BQ206" i="58"/>
  <c r="BP206" i="58"/>
  <c r="BO206" i="58"/>
  <c r="BN206" i="58"/>
  <c r="BM206" i="58"/>
  <c r="BS205" i="58"/>
  <c r="BR205" i="58"/>
  <c r="BQ205" i="58"/>
  <c r="BP205" i="58"/>
  <c r="BO205" i="58"/>
  <c r="BN205" i="58"/>
  <c r="BM205" i="58"/>
  <c r="BS204" i="58"/>
  <c r="BR204" i="58"/>
  <c r="BQ204" i="58"/>
  <c r="BP204" i="58"/>
  <c r="BO204" i="58"/>
  <c r="BN204" i="58"/>
  <c r="BM204" i="58"/>
  <c r="BS203" i="58"/>
  <c r="BR203" i="58"/>
  <c r="BQ203" i="58"/>
  <c r="BP203" i="58"/>
  <c r="BO203" i="58"/>
  <c r="BN203" i="58"/>
  <c r="BM203" i="58"/>
  <c r="BS202" i="58"/>
  <c r="BR202" i="58"/>
  <c r="BQ202" i="58"/>
  <c r="BP202" i="58"/>
  <c r="BO202" i="58"/>
  <c r="BN202" i="58"/>
  <c r="BM202" i="58"/>
  <c r="BS201" i="58"/>
  <c r="BR201" i="58"/>
  <c r="BQ201" i="58"/>
  <c r="BP201" i="58"/>
  <c r="BO201" i="58"/>
  <c r="BN201" i="58"/>
  <c r="BM201" i="58"/>
  <c r="BS200" i="58"/>
  <c r="BR200" i="58"/>
  <c r="BQ200" i="58"/>
  <c r="BP200" i="58"/>
  <c r="BO200" i="58"/>
  <c r="BN200" i="58"/>
  <c r="BM200" i="58"/>
  <c r="BS199" i="58"/>
  <c r="BR199" i="58"/>
  <c r="BQ199" i="58"/>
  <c r="BP199" i="58"/>
  <c r="BO199" i="58"/>
  <c r="BN199" i="58"/>
  <c r="BM199" i="58"/>
  <c r="BS198" i="58"/>
  <c r="BR198" i="58"/>
  <c r="BQ198" i="58"/>
  <c r="BP198" i="58"/>
  <c r="BO198" i="58"/>
  <c r="BN198" i="58"/>
  <c r="BM198" i="58"/>
  <c r="BS197" i="58"/>
  <c r="BR197" i="58"/>
  <c r="BQ197" i="58"/>
  <c r="BP197" i="58"/>
  <c r="BO197" i="58"/>
  <c r="BN197" i="58"/>
  <c r="BM197" i="58"/>
  <c r="BS196" i="58"/>
  <c r="BR196" i="58"/>
  <c r="BQ196" i="58"/>
  <c r="BP196" i="58"/>
  <c r="BO196" i="58"/>
  <c r="BN196" i="58"/>
  <c r="BM196" i="58"/>
  <c r="BS195" i="58"/>
  <c r="BR195" i="58"/>
  <c r="BQ195" i="58"/>
  <c r="BP195" i="58"/>
  <c r="BO195" i="58"/>
  <c r="BN195" i="58"/>
  <c r="BM195" i="58"/>
  <c r="BS194" i="58"/>
  <c r="BR194" i="58"/>
  <c r="BQ194" i="58"/>
  <c r="BP194" i="58"/>
  <c r="BO194" i="58"/>
  <c r="BN194" i="58"/>
  <c r="BM194" i="58"/>
  <c r="BS193" i="58"/>
  <c r="BR193" i="58"/>
  <c r="BQ193" i="58"/>
  <c r="BP193" i="58"/>
  <c r="BO193" i="58"/>
  <c r="BN193" i="58"/>
  <c r="BM193" i="58"/>
  <c r="BS192" i="58"/>
  <c r="BR192" i="58"/>
  <c r="BQ192" i="58"/>
  <c r="BP192" i="58"/>
  <c r="BO192" i="58"/>
  <c r="BN192" i="58"/>
  <c r="BM192" i="58"/>
  <c r="BS191" i="58"/>
  <c r="BR191" i="58"/>
  <c r="BQ191" i="58"/>
  <c r="BP191" i="58"/>
  <c r="BO191" i="58"/>
  <c r="BN191" i="58"/>
  <c r="BM191" i="58"/>
  <c r="BS190" i="58"/>
  <c r="BR190" i="58"/>
  <c r="BQ190" i="58"/>
  <c r="BP190" i="58"/>
  <c r="BO190" i="58"/>
  <c r="BN190" i="58"/>
  <c r="BM190" i="58"/>
  <c r="BS189" i="58"/>
  <c r="BR189" i="58"/>
  <c r="BQ189" i="58"/>
  <c r="BP189" i="58"/>
  <c r="BO189" i="58"/>
  <c r="BN189" i="58"/>
  <c r="BM189" i="58"/>
  <c r="BS188" i="58"/>
  <c r="BR188" i="58"/>
  <c r="BQ188" i="58"/>
  <c r="BP188" i="58"/>
  <c r="BO188" i="58"/>
  <c r="BN188" i="58"/>
  <c r="BM188" i="58"/>
  <c r="BS187" i="58"/>
  <c r="BR187" i="58"/>
  <c r="BQ187" i="58"/>
  <c r="BP187" i="58"/>
  <c r="BO187" i="58"/>
  <c r="BN187" i="58"/>
  <c r="BM187" i="58"/>
  <c r="BS186" i="58"/>
  <c r="BR186" i="58"/>
  <c r="BQ186" i="58"/>
  <c r="BP186" i="58"/>
  <c r="BO186" i="58"/>
  <c r="BM186" i="58"/>
  <c r="BO185" i="58"/>
  <c r="BP185" i="58"/>
  <c r="BQ185" i="58"/>
  <c r="BR185" i="58"/>
  <c r="BS185" i="58"/>
  <c r="BM185" i="58"/>
  <c r="BS173" i="58"/>
  <c r="BR173" i="58"/>
  <c r="BQ173" i="58"/>
  <c r="BP173" i="58"/>
  <c r="BO173" i="58"/>
  <c r="BN173" i="58"/>
  <c r="BM173" i="58"/>
  <c r="BS172" i="58"/>
  <c r="BR172" i="58"/>
  <c r="BQ172" i="58"/>
  <c r="BP172" i="58"/>
  <c r="BO172" i="58"/>
  <c r="BN172" i="58"/>
  <c r="BM172" i="58"/>
  <c r="BS171" i="58"/>
  <c r="BR171" i="58"/>
  <c r="BQ171" i="58"/>
  <c r="BP171" i="58"/>
  <c r="BO171" i="58"/>
  <c r="BN171" i="58"/>
  <c r="BM171" i="58"/>
  <c r="BS170" i="58"/>
  <c r="BR170" i="58"/>
  <c r="BQ170" i="58"/>
  <c r="BP170" i="58"/>
  <c r="BO170" i="58"/>
  <c r="BN170" i="58"/>
  <c r="BM170" i="58"/>
  <c r="BS169" i="58"/>
  <c r="BR169" i="58"/>
  <c r="BQ169" i="58"/>
  <c r="BP169" i="58"/>
  <c r="BO169" i="58"/>
  <c r="BN169" i="58"/>
  <c r="BM169" i="58"/>
  <c r="BS168" i="58"/>
  <c r="BR168" i="58"/>
  <c r="BQ168" i="58"/>
  <c r="BP168" i="58"/>
  <c r="BO168" i="58"/>
  <c r="BN168" i="58"/>
  <c r="BM168" i="58"/>
  <c r="BS167" i="58"/>
  <c r="BR167" i="58"/>
  <c r="BQ167" i="58"/>
  <c r="BP167" i="58"/>
  <c r="BO167" i="58"/>
  <c r="BN167" i="58"/>
  <c r="BM167" i="58"/>
  <c r="BS166" i="58"/>
  <c r="BR166" i="58"/>
  <c r="BQ166" i="58"/>
  <c r="BP166" i="58"/>
  <c r="BO166" i="58"/>
  <c r="BN166" i="58"/>
  <c r="BM166" i="58"/>
  <c r="BS165" i="58"/>
  <c r="BR165" i="58"/>
  <c r="BQ165" i="58"/>
  <c r="BP165" i="58"/>
  <c r="BO165" i="58"/>
  <c r="BN165" i="58"/>
  <c r="BM165" i="58"/>
  <c r="BS164" i="58"/>
  <c r="BR164" i="58"/>
  <c r="BQ164" i="58"/>
  <c r="BP164" i="58"/>
  <c r="BO164" i="58"/>
  <c r="BN164" i="58"/>
  <c r="BM164" i="58"/>
  <c r="BS163" i="58"/>
  <c r="BR163" i="58"/>
  <c r="BQ163" i="58"/>
  <c r="BP163" i="58"/>
  <c r="BO163" i="58"/>
  <c r="BN163" i="58"/>
  <c r="BM163" i="58"/>
  <c r="BS162" i="58"/>
  <c r="BR162" i="58"/>
  <c r="BQ162" i="58"/>
  <c r="BP162" i="58"/>
  <c r="BO162" i="58"/>
  <c r="BN162" i="58"/>
  <c r="BM162" i="58"/>
  <c r="BS161" i="58"/>
  <c r="BR161" i="58"/>
  <c r="BQ161" i="58"/>
  <c r="BP161" i="58"/>
  <c r="BO161" i="58"/>
  <c r="BN161" i="58"/>
  <c r="BM161" i="58"/>
  <c r="BS160" i="58"/>
  <c r="BR160" i="58"/>
  <c r="BQ160" i="58"/>
  <c r="BP160" i="58"/>
  <c r="BO160" i="58"/>
  <c r="BN160" i="58"/>
  <c r="BM160" i="58"/>
  <c r="BS159" i="58"/>
  <c r="BR159" i="58"/>
  <c r="BQ159" i="58"/>
  <c r="BP159" i="58"/>
  <c r="BO159" i="58"/>
  <c r="BN159" i="58"/>
  <c r="BM159" i="58"/>
  <c r="BS158" i="58"/>
  <c r="BR158" i="58"/>
  <c r="BQ158" i="58"/>
  <c r="BP158" i="58"/>
  <c r="BO158" i="58"/>
  <c r="BN158" i="58"/>
  <c r="BM158" i="58"/>
  <c r="BS157" i="58"/>
  <c r="BR157" i="58"/>
  <c r="BQ157" i="58"/>
  <c r="BP157" i="58"/>
  <c r="BO157" i="58"/>
  <c r="BN157" i="58"/>
  <c r="BM157" i="58"/>
  <c r="BS156" i="58"/>
  <c r="BR156" i="58"/>
  <c r="BQ156" i="58"/>
  <c r="BP156" i="58"/>
  <c r="BO156" i="58"/>
  <c r="BN156" i="58"/>
  <c r="BM156" i="58"/>
  <c r="BS155" i="58"/>
  <c r="BR155" i="58"/>
  <c r="BQ155" i="58"/>
  <c r="BP155" i="58"/>
  <c r="BO155" i="58"/>
  <c r="BN155" i="58"/>
  <c r="BM155" i="58"/>
  <c r="BS154" i="58"/>
  <c r="BR154" i="58"/>
  <c r="BQ154" i="58"/>
  <c r="BP154" i="58"/>
  <c r="BO154" i="58"/>
  <c r="BN154" i="58"/>
  <c r="BM154" i="58"/>
  <c r="BS153" i="58"/>
  <c r="BR153" i="58"/>
  <c r="BQ153" i="58"/>
  <c r="BP153" i="58"/>
  <c r="BO153" i="58"/>
  <c r="BN153" i="58"/>
  <c r="BM153" i="58"/>
  <c r="BS152" i="58"/>
  <c r="BR152" i="58"/>
  <c r="BQ152" i="58"/>
  <c r="BP152" i="58"/>
  <c r="BO152" i="58"/>
  <c r="BN152" i="58"/>
  <c r="BM152" i="58"/>
  <c r="BS151" i="58"/>
  <c r="BR151" i="58"/>
  <c r="BQ151" i="58"/>
  <c r="BP151" i="58"/>
  <c r="BO151" i="58"/>
  <c r="BN151" i="58"/>
  <c r="BM151" i="58"/>
  <c r="BS150" i="58"/>
  <c r="BR150" i="58"/>
  <c r="BQ150" i="58"/>
  <c r="BP150" i="58"/>
  <c r="BO150" i="58"/>
  <c r="BN150" i="58"/>
  <c r="BM150" i="58"/>
  <c r="BS149" i="58"/>
  <c r="BR149" i="58"/>
  <c r="BQ149" i="58"/>
  <c r="BP149" i="58"/>
  <c r="BO149" i="58"/>
  <c r="BN149" i="58"/>
  <c r="BM149" i="58"/>
  <c r="BS148" i="58"/>
  <c r="BR148" i="58"/>
  <c r="BQ148" i="58"/>
  <c r="BP148" i="58"/>
  <c r="BO148" i="58"/>
  <c r="BN148" i="58"/>
  <c r="BM148" i="58"/>
  <c r="BS147" i="58"/>
  <c r="BR147" i="58"/>
  <c r="BQ147" i="58"/>
  <c r="BP147" i="58"/>
  <c r="BO147" i="58"/>
  <c r="BN147" i="58"/>
  <c r="BM147" i="58"/>
  <c r="BS146" i="58"/>
  <c r="BR146" i="58"/>
  <c r="BQ146" i="58"/>
  <c r="BP146" i="58"/>
  <c r="BO146" i="58"/>
  <c r="BN146" i="58"/>
  <c r="BM146" i="58"/>
  <c r="BS145" i="58"/>
  <c r="BR145" i="58"/>
  <c r="BQ145" i="58"/>
  <c r="BP145" i="58"/>
  <c r="BO145" i="58"/>
  <c r="BN145" i="58"/>
  <c r="BM145" i="58"/>
  <c r="BS144" i="58"/>
  <c r="BR144" i="58"/>
  <c r="BQ144" i="58"/>
  <c r="BP144" i="58"/>
  <c r="BO144" i="58"/>
  <c r="BN144" i="58"/>
  <c r="BM144" i="58"/>
  <c r="BS143" i="58"/>
  <c r="BR143" i="58"/>
  <c r="BQ143" i="58"/>
  <c r="BP143" i="58"/>
  <c r="BO143" i="58"/>
  <c r="BN143" i="58"/>
  <c r="BM143" i="58"/>
  <c r="BS142" i="58"/>
  <c r="BR142" i="58"/>
  <c r="BQ142" i="58"/>
  <c r="BP142" i="58"/>
  <c r="BO142" i="58"/>
  <c r="BN142" i="58"/>
  <c r="BM142" i="58"/>
  <c r="BS141" i="58"/>
  <c r="BR141" i="58"/>
  <c r="BQ141" i="58"/>
  <c r="BP141" i="58"/>
  <c r="BO141" i="58"/>
  <c r="BN141" i="58"/>
  <c r="BM141" i="58"/>
  <c r="BS140" i="58"/>
  <c r="BR140" i="58"/>
  <c r="BQ140" i="58"/>
  <c r="BP140" i="58"/>
  <c r="BO140" i="58"/>
  <c r="BN140" i="58"/>
  <c r="BM140" i="58"/>
  <c r="BS139" i="58"/>
  <c r="BR139" i="58"/>
  <c r="BQ139" i="58"/>
  <c r="BP139" i="58"/>
  <c r="BO139" i="58"/>
  <c r="BM139" i="58"/>
  <c r="BO138" i="58"/>
  <c r="BP138" i="58"/>
  <c r="BQ138" i="58"/>
  <c r="BR138" i="58"/>
  <c r="BS138" i="58"/>
  <c r="BM138" i="58"/>
  <c r="K33" i="56"/>
  <c r="K16" i="56"/>
  <c r="K15" i="56"/>
  <c r="K9" i="56"/>
  <c r="K4" i="56"/>
  <c r="K3" i="56"/>
  <c r="AE101" i="58"/>
  <c r="AB101" i="58"/>
  <c r="AG101" i="58"/>
  <c r="Y183" i="58"/>
  <c r="Y136" i="58"/>
  <c r="I76" i="59"/>
  <c r="I77" i="59"/>
  <c r="I78" i="59"/>
  <c r="I79" i="59"/>
  <c r="I80" i="59"/>
  <c r="I81" i="59"/>
  <c r="I82" i="59"/>
  <c r="I83" i="59"/>
  <c r="I84" i="59"/>
  <c r="I85" i="59"/>
  <c r="I86" i="59"/>
  <c r="I87" i="59"/>
  <c r="I88" i="59"/>
  <c r="I89" i="59"/>
  <c r="I90" i="59"/>
  <c r="I91" i="59"/>
  <c r="I92" i="59"/>
  <c r="I93" i="59"/>
  <c r="I94" i="59"/>
  <c r="I95" i="59"/>
  <c r="I96" i="59"/>
  <c r="I97" i="59"/>
  <c r="I98" i="59"/>
  <c r="I99" i="59"/>
  <c r="I100" i="59"/>
  <c r="I101" i="59"/>
  <c r="I102" i="59"/>
  <c r="I103" i="59"/>
  <c r="I104" i="59"/>
  <c r="I105" i="59"/>
  <c r="I106" i="59"/>
  <c r="I107" i="59"/>
  <c r="I108" i="59"/>
  <c r="I109" i="59"/>
  <c r="I110" i="59"/>
  <c r="I111" i="59"/>
  <c r="AF124" i="58"/>
  <c r="AF125" i="58"/>
  <c r="AD124" i="58"/>
  <c r="AE100" i="58"/>
  <c r="AG82" i="58"/>
  <c r="AG83" i="58"/>
  <c r="AE82" i="58"/>
  <c r="AG65" i="58"/>
  <c r="AG66" i="58"/>
  <c r="AE65" i="58"/>
  <c r="AG48" i="58"/>
  <c r="AG49" i="58"/>
  <c r="AE48" i="58"/>
  <c r="AG31" i="58"/>
  <c r="AG32" i="58"/>
  <c r="AE31" i="58"/>
  <c r="AG14" i="58"/>
  <c r="AG15" i="58"/>
  <c r="AE15" i="58"/>
  <c r="AE32" i="58"/>
  <c r="I22" i="59"/>
  <c r="AE66" i="58"/>
  <c r="I42" i="59"/>
  <c r="AE49" i="58"/>
  <c r="I32" i="59"/>
  <c r="AE83" i="58"/>
  <c r="I52" i="59"/>
  <c r="AD125" i="58"/>
  <c r="I72" i="59"/>
  <c r="I73" i="59"/>
  <c r="I74" i="59"/>
  <c r="I75" i="59"/>
  <c r="C134" i="28"/>
  <c r="C248" i="28"/>
  <c r="C457" i="28"/>
  <c r="C436" i="28"/>
  <c r="C154" i="28"/>
  <c r="C112" i="28"/>
  <c r="C189" i="28"/>
  <c r="C393" i="28"/>
  <c r="C201" i="28"/>
  <c r="C329" i="28"/>
  <c r="C35" i="28"/>
  <c r="C172" i="28"/>
  <c r="C135" i="28"/>
  <c r="C27" i="28"/>
  <c r="C416" i="28"/>
  <c r="C410" i="28"/>
  <c r="C325" i="28"/>
  <c r="C186" i="28"/>
  <c r="C161" i="28"/>
  <c r="C206" i="28"/>
  <c r="C357" i="28"/>
  <c r="C405" i="28"/>
  <c r="C240" i="28"/>
  <c r="C123" i="28"/>
  <c r="C80" i="28"/>
  <c r="C451" i="28"/>
  <c r="C143" i="28"/>
  <c r="C255" i="28"/>
  <c r="C279" i="28"/>
  <c r="C268" i="28"/>
  <c r="C147" i="28"/>
  <c r="C272" i="28"/>
  <c r="C130" i="28"/>
  <c r="C215" i="28"/>
  <c r="C86" i="28"/>
  <c r="C113" i="28"/>
  <c r="C174" i="28"/>
  <c r="C286" i="28"/>
  <c r="C216" i="28"/>
  <c r="C489" i="28"/>
  <c r="C319" i="28"/>
  <c r="C264" i="28"/>
  <c r="C366" i="28"/>
  <c r="C413" i="28"/>
  <c r="C275" i="28"/>
  <c r="C137" i="28"/>
  <c r="C359" i="28"/>
  <c r="C473" i="28"/>
  <c r="C323" i="28"/>
  <c r="C409" i="28"/>
  <c r="C302" i="28"/>
  <c r="C120" i="28"/>
  <c r="C501" i="28"/>
  <c r="C111" i="28"/>
  <c r="C466" i="28"/>
  <c r="C392" i="28"/>
  <c r="C463" i="28"/>
  <c r="C210" i="28"/>
  <c r="C64" i="28"/>
  <c r="C119" i="28"/>
  <c r="C81" i="28"/>
  <c r="C160" i="28"/>
  <c r="C273" i="28"/>
  <c r="C358" i="28"/>
  <c r="C277" i="28"/>
  <c r="C214" i="28"/>
  <c r="C148" i="28"/>
  <c r="C432" i="28"/>
  <c r="C30" i="28"/>
  <c r="C141" i="28"/>
  <c r="C262" i="28"/>
  <c r="C129" i="28"/>
  <c r="C352" i="28"/>
  <c r="C332" i="28"/>
  <c r="C239" i="28"/>
  <c r="C431" i="28"/>
  <c r="C304" i="28"/>
  <c r="C72" i="28"/>
  <c r="C44" i="28"/>
  <c r="C397" i="28"/>
  <c r="C505" i="28"/>
  <c r="C190" i="28"/>
  <c r="C105" i="28"/>
  <c r="C418" i="28"/>
  <c r="C195" i="28"/>
  <c r="C179" i="28"/>
  <c r="C241" i="28"/>
  <c r="C133" i="28"/>
  <c r="C490" i="28"/>
  <c r="C245" i="28"/>
  <c r="C243" i="28"/>
  <c r="C269" i="28"/>
  <c r="C144" i="28"/>
  <c r="C455" i="28"/>
  <c r="C183" i="28"/>
  <c r="C169" i="28"/>
  <c r="C66" i="28"/>
  <c r="C205" i="28"/>
  <c r="C439" i="28"/>
  <c r="C419" i="28"/>
  <c r="C219" i="28"/>
  <c r="C110" i="28"/>
  <c r="C503" i="28"/>
  <c r="C425" i="28"/>
  <c r="C165" i="28"/>
  <c r="C348" i="28"/>
  <c r="C333" i="28"/>
  <c r="C469" i="28"/>
  <c r="C229" i="28"/>
  <c r="C461" i="28"/>
  <c r="C187" i="28"/>
  <c r="C458" i="28"/>
  <c r="C303" i="28"/>
  <c r="C204" i="28"/>
  <c r="C321" i="28"/>
  <c r="C234" i="28"/>
  <c r="C232" i="28"/>
  <c r="C236" i="28"/>
  <c r="C339" i="28"/>
  <c r="C484" i="28"/>
  <c r="C483" i="28"/>
  <c r="C427" i="28"/>
  <c r="C327" i="28"/>
  <c r="C308" i="28"/>
  <c r="C84" i="28"/>
  <c r="C343" i="28"/>
  <c r="C313" i="28"/>
  <c r="C225" i="28"/>
  <c r="C452" i="28"/>
  <c r="C48" i="28"/>
  <c r="C449" i="28"/>
  <c r="C34" i="28"/>
  <c r="C132" i="28"/>
  <c r="C494" i="28"/>
  <c r="C307" i="28"/>
  <c r="C191" i="28"/>
  <c r="C420" i="28"/>
  <c r="C65" i="28"/>
  <c r="C259" i="28"/>
  <c r="C142" i="28"/>
  <c r="C227" i="28"/>
  <c r="C479" i="28"/>
  <c r="C403" i="28"/>
  <c r="C379" i="28"/>
  <c r="C43" i="28"/>
  <c r="C162" i="28"/>
  <c r="C500" i="28"/>
  <c r="C61" i="28"/>
  <c r="C412" i="28"/>
  <c r="C433" i="28"/>
  <c r="C145" i="28"/>
  <c r="C263" i="28"/>
  <c r="C475" i="28"/>
  <c r="C242" i="28"/>
  <c r="C310" i="28"/>
  <c r="C345" i="28"/>
  <c r="C388" i="28"/>
  <c r="C106" i="28"/>
  <c r="C315" i="28"/>
  <c r="C488" i="28"/>
  <c r="C261" i="28"/>
  <c r="C170" i="28"/>
  <c r="C400" i="28"/>
  <c r="C87" i="28"/>
  <c r="C188" i="28"/>
  <c r="C97" i="28"/>
  <c r="C96" i="28"/>
  <c r="C378" i="28"/>
  <c r="C437" i="28"/>
  <c r="C40" i="28"/>
  <c r="C211" i="28"/>
  <c r="C152" i="28"/>
  <c r="C70" i="28"/>
  <c r="C495" i="28"/>
  <c r="C320" i="28"/>
  <c r="C180" i="28"/>
  <c r="C382" i="28"/>
  <c r="C75" i="28"/>
  <c r="C474" i="28"/>
  <c r="C371" i="28"/>
  <c r="C92" i="28"/>
  <c r="C468" i="28"/>
  <c r="C377" i="28"/>
  <c r="C381" i="28"/>
  <c r="C448" i="28"/>
  <c r="C39" i="28"/>
  <c r="C116" i="28"/>
  <c r="C233" i="28"/>
  <c r="C126" i="28"/>
  <c r="C167" i="28"/>
  <c r="C460" i="28"/>
  <c r="C342" i="28"/>
  <c r="C32" i="28"/>
  <c r="C36" i="28"/>
  <c r="C224" i="28"/>
  <c r="C250" i="28"/>
  <c r="C462" i="28"/>
  <c r="C47" i="28"/>
  <c r="C29" i="28"/>
  <c r="C317" i="28"/>
  <c r="C499" i="28"/>
  <c r="C124" i="28"/>
  <c r="C114" i="28"/>
  <c r="C122" i="28"/>
  <c r="C340" i="28"/>
  <c r="C355" i="28"/>
  <c r="C288" i="28"/>
  <c r="C480" i="28"/>
  <c r="C347" i="28"/>
  <c r="C354" i="28"/>
  <c r="C98" i="28"/>
  <c r="C305" i="28"/>
  <c r="C487" i="28"/>
  <c r="C318" i="28"/>
  <c r="C171" i="28"/>
  <c r="C306" i="28"/>
  <c r="C364" i="28"/>
  <c r="C213" i="28"/>
  <c r="C83" i="28"/>
  <c r="C391" i="28"/>
  <c r="C175" i="28"/>
  <c r="C295" i="28"/>
  <c r="C139" i="28"/>
  <c r="C395" i="28"/>
  <c r="C349" i="28"/>
  <c r="C442" i="28"/>
  <c r="C223" i="28"/>
  <c r="C31" i="28"/>
  <c r="C453" i="28"/>
  <c r="C274" i="28"/>
  <c r="C128" i="28"/>
  <c r="C428" i="28"/>
  <c r="C365" i="28"/>
  <c r="C471" i="28"/>
  <c r="C285" i="28"/>
  <c r="C108" i="28"/>
  <c r="C256" i="28"/>
  <c r="C260" i="28"/>
  <c r="C446" i="28"/>
  <c r="C417" i="28"/>
  <c r="C73" i="28"/>
  <c r="C311" i="28"/>
  <c r="C283" i="28"/>
  <c r="C54" i="28"/>
  <c r="C55" i="28"/>
  <c r="C477" i="28"/>
  <c r="C493" i="28"/>
  <c r="C289" i="28"/>
  <c r="C316" i="28"/>
  <c r="C353" i="28"/>
  <c r="C309" i="28"/>
  <c r="C150" i="28"/>
  <c r="C326" i="28"/>
  <c r="C363" i="28"/>
  <c r="C368" i="28"/>
  <c r="C386" i="28"/>
  <c r="C443" i="28"/>
  <c r="C299" i="28"/>
  <c r="C287" i="28"/>
  <c r="C257" i="28"/>
  <c r="C212" i="28"/>
  <c r="C385" i="28"/>
  <c r="C155" i="28"/>
  <c r="C331" i="28"/>
  <c r="C434" i="28"/>
  <c r="C338" i="28"/>
  <c r="C324" i="28"/>
  <c r="C91" i="28"/>
  <c r="C220" i="28"/>
  <c r="C282" i="28"/>
  <c r="C291" i="28"/>
  <c r="C402" i="28"/>
  <c r="C99" i="28"/>
  <c r="C281" i="28"/>
  <c r="C192" i="28"/>
  <c r="C193" i="28"/>
  <c r="C76" i="28"/>
  <c r="C115" i="28"/>
  <c r="C41" i="28"/>
  <c r="C56" i="28"/>
  <c r="C491" i="28"/>
  <c r="C293" i="28"/>
  <c r="C45" i="28"/>
  <c r="C184" i="28"/>
  <c r="C394" i="28"/>
  <c r="C208" i="28"/>
  <c r="C102" i="28"/>
  <c r="C101" i="28"/>
  <c r="C380" i="28"/>
  <c r="C247" i="28"/>
  <c r="C344" i="28"/>
  <c r="C464" i="28"/>
  <c r="C203" i="28"/>
  <c r="C276" i="28"/>
  <c r="C157" i="28"/>
  <c r="C502" i="28"/>
  <c r="C497" i="28"/>
  <c r="C373" i="28"/>
  <c r="C28" i="28"/>
  <c r="C178" i="28"/>
  <c r="C222" i="28"/>
  <c r="C267" i="28"/>
  <c r="C194" i="28"/>
  <c r="C249" i="28"/>
  <c r="C297" i="28"/>
  <c r="C430" i="28"/>
  <c r="C335" i="28"/>
  <c r="C235" i="28"/>
  <c r="C254" i="28"/>
  <c r="C470" i="28"/>
  <c r="C104" i="28"/>
  <c r="C440" i="28"/>
  <c r="C168" i="28"/>
  <c r="C59" i="28"/>
  <c r="C69" i="28"/>
  <c r="C398" i="28"/>
  <c r="C46" i="28"/>
  <c r="C485" i="28"/>
  <c r="C301" i="28"/>
  <c r="C140" i="28"/>
  <c r="C465" i="28"/>
  <c r="C94" i="28"/>
  <c r="C67" i="28"/>
  <c r="C294" i="28"/>
  <c r="C296" i="28"/>
  <c r="C74" i="28"/>
  <c r="C330" i="28"/>
  <c r="C228" i="28"/>
  <c r="C88" i="28"/>
  <c r="C42" i="28"/>
  <c r="C401" i="28"/>
  <c r="C435" i="28"/>
  <c r="C78" i="28"/>
  <c r="C429" i="28"/>
  <c r="C53" i="28"/>
  <c r="C390" i="28"/>
  <c r="C422" i="28"/>
  <c r="C218" i="28"/>
  <c r="C163" i="28"/>
  <c r="C314" i="28"/>
  <c r="C383" i="28"/>
  <c r="C334" i="28"/>
  <c r="C406" i="28"/>
  <c r="C93" i="28"/>
  <c r="C26" i="28"/>
  <c r="C156" i="28"/>
  <c r="C482" i="28"/>
  <c r="C270" i="28"/>
  <c r="C196" i="28"/>
  <c r="C341" i="28"/>
  <c r="C280" i="28"/>
  <c r="C38" i="28"/>
  <c r="C58" i="28"/>
  <c r="C415" i="28"/>
  <c r="C89" i="28"/>
  <c r="C375" i="28"/>
  <c r="C450" i="28"/>
  <c r="C258" i="28"/>
  <c r="C90" i="28"/>
  <c r="C459" i="28"/>
  <c r="C351" i="28"/>
  <c r="C423" i="28"/>
  <c r="C118" i="28"/>
  <c r="C202" i="28"/>
  <c r="C68" i="28"/>
  <c r="C136" i="28"/>
  <c r="C226" i="28"/>
  <c r="C138" i="28"/>
  <c r="C404" i="28"/>
  <c r="C361" i="28"/>
  <c r="C407" i="28"/>
  <c r="C103" i="28"/>
  <c r="C221" i="28"/>
  <c r="C328" i="28"/>
  <c r="C71" i="28"/>
  <c r="C62" i="28"/>
  <c r="C414" i="28"/>
  <c r="C300" i="28"/>
  <c r="C246" i="28"/>
  <c r="C266" i="28"/>
  <c r="C52" i="28"/>
  <c r="C312" i="28"/>
  <c r="C374" i="28"/>
  <c r="C173" i="28"/>
  <c r="C346" i="28"/>
  <c r="C57" i="28"/>
  <c r="C199" i="28"/>
  <c r="C151" i="28"/>
  <c r="C50" i="28"/>
  <c r="C486" i="28"/>
  <c r="C33" i="28"/>
  <c r="C396" i="28"/>
  <c r="C369" i="28"/>
  <c r="C337" i="28"/>
  <c r="C447" i="28"/>
  <c r="C350" i="28"/>
  <c r="C37" i="28"/>
  <c r="C176" i="28"/>
  <c r="C217" i="28"/>
  <c r="C85" i="28"/>
  <c r="C82" i="28"/>
  <c r="C131" i="28"/>
  <c r="C185" i="28"/>
  <c r="C200" i="28"/>
  <c r="C271" i="28"/>
  <c r="C244" i="28"/>
  <c r="C107" i="28"/>
  <c r="C336" i="28"/>
  <c r="C496" i="28"/>
  <c r="C478" i="28"/>
  <c r="C207" i="28"/>
  <c r="C166" i="28"/>
  <c r="C322" i="28"/>
  <c r="C158" i="28"/>
  <c r="C411" i="28"/>
  <c r="C125" i="28"/>
  <c r="C198" i="28"/>
  <c r="C372" i="28"/>
  <c r="C109" i="28"/>
  <c r="C438" i="28"/>
  <c r="C444" i="28"/>
  <c r="C127" i="28"/>
  <c r="C421" i="28"/>
  <c r="C209" i="28"/>
  <c r="C117" i="28"/>
  <c r="C182" i="28"/>
  <c r="C63" i="28"/>
  <c r="C153" i="28"/>
  <c r="C251" i="28"/>
  <c r="C100" i="28"/>
  <c r="C492" i="28"/>
  <c r="C149" i="28"/>
  <c r="C399" i="28"/>
  <c r="C60" i="28"/>
  <c r="C441" i="28"/>
  <c r="C298" i="28"/>
  <c r="C426" i="28"/>
  <c r="C231" i="28"/>
  <c r="C481" i="28"/>
  <c r="C79" i="28"/>
  <c r="C253" i="28"/>
  <c r="C77" i="28"/>
  <c r="C445" i="28"/>
  <c r="C121" i="28"/>
  <c r="C476" i="28"/>
  <c r="C230" i="28"/>
  <c r="C181" i="28"/>
  <c r="C177" i="28"/>
  <c r="C356" i="28"/>
  <c r="C252" i="28"/>
  <c r="C360" i="28"/>
  <c r="C164" i="28"/>
  <c r="C384" i="28"/>
  <c r="C284" i="28"/>
  <c r="C238" i="28"/>
  <c r="C370" i="28"/>
  <c r="C387" i="28"/>
  <c r="C389" i="28"/>
  <c r="C49" i="28"/>
  <c r="C237" i="28"/>
  <c r="C467" i="28"/>
  <c r="C408" i="28"/>
  <c r="C454" i="28"/>
  <c r="C498" i="28"/>
  <c r="C376" i="28"/>
  <c r="C472" i="28"/>
  <c r="C362" i="28"/>
  <c r="C278" i="28"/>
  <c r="C197" i="28"/>
  <c r="C456" i="28"/>
  <c r="C292" i="28"/>
  <c r="C367" i="28"/>
  <c r="C504" i="28"/>
  <c r="C265" i="28"/>
  <c r="C51" i="28"/>
  <c r="C95" i="28"/>
  <c r="C290" i="28"/>
  <c r="C424" i="28"/>
  <c r="C159" i="28"/>
  <c r="C146" i="28"/>
  <c r="I59" i="59"/>
  <c r="I55" i="59"/>
  <c r="I60" i="59"/>
  <c r="I56" i="59"/>
  <c r="I53" i="59"/>
  <c r="I58" i="59"/>
  <c r="I54" i="59"/>
  <c r="I57" i="59"/>
  <c r="I50" i="59"/>
  <c r="I46" i="59"/>
  <c r="I47" i="59"/>
  <c r="I43" i="59"/>
  <c r="I44" i="59"/>
  <c r="I48" i="59"/>
  <c r="I49" i="59"/>
  <c r="I45" i="59"/>
  <c r="I37" i="59"/>
  <c r="I38" i="59"/>
  <c r="I35" i="59"/>
  <c r="I34" i="59"/>
  <c r="I36" i="59"/>
  <c r="I33" i="59"/>
  <c r="I39" i="59"/>
  <c r="I40" i="59"/>
  <c r="I27" i="59"/>
  <c r="I23" i="59"/>
  <c r="I28" i="59"/>
  <c r="I24" i="59"/>
  <c r="I29" i="59"/>
  <c r="I25" i="59"/>
  <c r="I30" i="59"/>
  <c r="I26" i="59"/>
  <c r="A68" i="22"/>
  <c r="A69" i="22"/>
  <c r="A16" i="22"/>
  <c r="A15" i="22"/>
  <c r="L16" i="22"/>
  <c r="L15" i="22"/>
  <c r="L69" i="22"/>
  <c r="L68" i="22"/>
  <c r="I69" i="22"/>
  <c r="K69" i="22"/>
  <c r="I68" i="22"/>
  <c r="K68" i="22"/>
  <c r="A71" i="22"/>
  <c r="A70" i="22"/>
  <c r="A18" i="22"/>
  <c r="A17" i="22"/>
  <c r="Q128" i="58"/>
  <c r="Q129" i="58"/>
  <c r="P220" i="58"/>
  <c r="O220" i="58"/>
  <c r="N220" i="58"/>
  <c r="P219" i="58"/>
  <c r="O219" i="58"/>
  <c r="N219" i="58"/>
  <c r="P218" i="58"/>
  <c r="O218" i="58"/>
  <c r="N218" i="58"/>
  <c r="P217" i="58"/>
  <c r="O217" i="58"/>
  <c r="N217" i="58"/>
  <c r="P216" i="58"/>
  <c r="O216" i="58"/>
  <c r="N216" i="58"/>
  <c r="P215" i="58"/>
  <c r="O215" i="58"/>
  <c r="N215" i="58"/>
  <c r="P214" i="58"/>
  <c r="O214" i="58"/>
  <c r="N214" i="58"/>
  <c r="P213" i="58"/>
  <c r="O213" i="58"/>
  <c r="N213" i="58"/>
  <c r="P212" i="58"/>
  <c r="O212" i="58"/>
  <c r="N212" i="58"/>
  <c r="P211" i="58"/>
  <c r="O211" i="58"/>
  <c r="N211" i="58"/>
  <c r="P210" i="58"/>
  <c r="O210" i="58"/>
  <c r="N210" i="58"/>
  <c r="P209" i="58"/>
  <c r="O209" i="58"/>
  <c r="N209" i="58"/>
  <c r="P208" i="58"/>
  <c r="O208" i="58"/>
  <c r="N208" i="58"/>
  <c r="P207" i="58"/>
  <c r="O207" i="58"/>
  <c r="N207" i="58"/>
  <c r="P206" i="58"/>
  <c r="O206" i="58"/>
  <c r="N206" i="58"/>
  <c r="P205" i="58"/>
  <c r="O205" i="58"/>
  <c r="N205" i="58"/>
  <c r="P204" i="58"/>
  <c r="O204" i="58"/>
  <c r="N204" i="58"/>
  <c r="P203" i="58"/>
  <c r="O203" i="58"/>
  <c r="N203" i="58"/>
  <c r="P202" i="58"/>
  <c r="O202" i="58"/>
  <c r="N202" i="58"/>
  <c r="P201" i="58"/>
  <c r="O201" i="58"/>
  <c r="N201" i="58"/>
  <c r="P200" i="58"/>
  <c r="O200" i="58"/>
  <c r="N200" i="58"/>
  <c r="P199" i="58"/>
  <c r="O199" i="58"/>
  <c r="N199" i="58"/>
  <c r="P198" i="58"/>
  <c r="O198" i="58"/>
  <c r="N198" i="58"/>
  <c r="P197" i="58"/>
  <c r="O197" i="58"/>
  <c r="N197" i="58"/>
  <c r="P196" i="58"/>
  <c r="O196" i="58"/>
  <c r="N196" i="58"/>
  <c r="P195" i="58"/>
  <c r="O195" i="58"/>
  <c r="N195" i="58"/>
  <c r="P194" i="58"/>
  <c r="O194" i="58"/>
  <c r="N194" i="58"/>
  <c r="P193" i="58"/>
  <c r="O193" i="58"/>
  <c r="N193" i="58"/>
  <c r="P192" i="58"/>
  <c r="O192" i="58"/>
  <c r="N192" i="58"/>
  <c r="P191" i="58"/>
  <c r="O191" i="58"/>
  <c r="N191" i="58"/>
  <c r="P190" i="58"/>
  <c r="O190" i="58"/>
  <c r="N190" i="58"/>
  <c r="P189" i="58"/>
  <c r="O189" i="58"/>
  <c r="N189" i="58"/>
  <c r="P188" i="58"/>
  <c r="O188" i="58"/>
  <c r="N188" i="58"/>
  <c r="P187" i="58"/>
  <c r="O187" i="58"/>
  <c r="N187" i="58"/>
  <c r="P186" i="58"/>
  <c r="O186" i="58"/>
  <c r="N186" i="58"/>
  <c r="P185" i="58"/>
  <c r="O185" i="58"/>
  <c r="N185" i="58"/>
  <c r="P184" i="58"/>
  <c r="O184" i="58"/>
  <c r="N184" i="58"/>
  <c r="P183" i="58"/>
  <c r="O183" i="58"/>
  <c r="N183" i="58"/>
  <c r="P182" i="58"/>
  <c r="O182" i="58"/>
  <c r="N182" i="58"/>
  <c r="N181" i="58"/>
  <c r="P180" i="58"/>
  <c r="O180" i="58"/>
  <c r="N180" i="58"/>
  <c r="Y13" i="28"/>
  <c r="X13" i="28"/>
  <c r="W13" i="28"/>
  <c r="Z14" i="28"/>
  <c r="X16" i="28"/>
  <c r="X15" i="28"/>
  <c r="Y16" i="28"/>
  <c r="Y15" i="28"/>
  <c r="W16" i="28"/>
  <c r="W15" i="28"/>
  <c r="A97" i="22"/>
  <c r="A98" i="22"/>
  <c r="A99" i="22"/>
  <c r="A100" i="22"/>
  <c r="A101" i="22"/>
  <c r="A102" i="22"/>
  <c r="A103" i="22"/>
  <c r="A104" i="22"/>
  <c r="A105" i="22"/>
  <c r="A106" i="22"/>
  <c r="A107" i="22"/>
  <c r="A108" i="22"/>
  <c r="A109" i="22"/>
  <c r="A110" i="22"/>
  <c r="A77" i="22"/>
  <c r="A78" i="22"/>
  <c r="A79" i="22"/>
  <c r="A80" i="22"/>
  <c r="A81" i="22"/>
  <c r="A82" i="22"/>
  <c r="A83" i="22"/>
  <c r="A84" i="22"/>
  <c r="A85" i="22"/>
  <c r="A86" i="22"/>
  <c r="A87" i="22"/>
  <c r="A88" i="22"/>
  <c r="A89" i="22"/>
  <c r="A90" i="22"/>
  <c r="A91" i="22"/>
  <c r="A92" i="22"/>
  <c r="A93" i="22"/>
  <c r="A94" i="22"/>
  <c r="A95" i="22"/>
  <c r="A96" i="22"/>
  <c r="A75" i="22"/>
  <c r="V102" i="58"/>
  <c r="Y102" i="58"/>
  <c r="V103" i="58"/>
  <c r="Y103" i="58"/>
  <c r="V104" i="58"/>
  <c r="Y104" i="58"/>
  <c r="V105" i="58"/>
  <c r="Y105" i="58"/>
  <c r="V106" i="58"/>
  <c r="Y106" i="58"/>
  <c r="V107" i="58"/>
  <c r="Y107" i="58"/>
  <c r="V108" i="58"/>
  <c r="Y108" i="58"/>
  <c r="V109" i="58"/>
  <c r="Y109" i="58"/>
  <c r="V85" i="58"/>
  <c r="Y85" i="58"/>
  <c r="V86" i="58"/>
  <c r="Y86" i="58"/>
  <c r="V87" i="58"/>
  <c r="Y87" i="58"/>
  <c r="V88" i="58"/>
  <c r="Y88" i="58"/>
  <c r="V89" i="58"/>
  <c r="Y89" i="58"/>
  <c r="V90" i="58"/>
  <c r="Y90" i="58"/>
  <c r="V91" i="58"/>
  <c r="Y91" i="58"/>
  <c r="V92" i="58"/>
  <c r="Y92" i="58"/>
  <c r="Y84" i="58"/>
  <c r="V84" i="58"/>
  <c r="V68" i="58"/>
  <c r="Y68" i="58"/>
  <c r="V69" i="58"/>
  <c r="Y69" i="58"/>
  <c r="V70" i="58"/>
  <c r="Y70" i="58"/>
  <c r="V71" i="58"/>
  <c r="Y71" i="58"/>
  <c r="V72" i="58"/>
  <c r="Y72" i="58"/>
  <c r="V73" i="58"/>
  <c r="Y73" i="58"/>
  <c r="V74" i="58"/>
  <c r="Y74" i="58"/>
  <c r="V75" i="58"/>
  <c r="Y75" i="58"/>
  <c r="V67" i="58"/>
  <c r="Y67" i="58"/>
  <c r="V51" i="58"/>
  <c r="Y51" i="58"/>
  <c r="V52" i="58"/>
  <c r="Y52" i="58"/>
  <c r="V53" i="58"/>
  <c r="Y53" i="58"/>
  <c r="V54" i="58"/>
  <c r="Y54" i="58"/>
  <c r="V55" i="58"/>
  <c r="Y55" i="58"/>
  <c r="V56" i="58"/>
  <c r="Y56" i="58"/>
  <c r="V57" i="58"/>
  <c r="Y57" i="58"/>
  <c r="V58" i="58"/>
  <c r="Y58" i="58"/>
  <c r="V50" i="58"/>
  <c r="Y50" i="58"/>
  <c r="Y34" i="58"/>
  <c r="Y35" i="58"/>
  <c r="Y36" i="58"/>
  <c r="Y37" i="58"/>
  <c r="Y38" i="58"/>
  <c r="Y39" i="58"/>
  <c r="Y40" i="58"/>
  <c r="Y41" i="58"/>
  <c r="V34" i="58"/>
  <c r="AB34" i="58"/>
  <c r="V35" i="58"/>
  <c r="AB35" i="58"/>
  <c r="V36" i="58"/>
  <c r="AB36" i="58"/>
  <c r="V37" i="58"/>
  <c r="AB37" i="58"/>
  <c r="V38" i="58"/>
  <c r="AB38" i="58"/>
  <c r="V39" i="58"/>
  <c r="V40" i="58"/>
  <c r="AB40" i="58"/>
  <c r="V41" i="58"/>
  <c r="AB41" i="58"/>
  <c r="Y17" i="58"/>
  <c r="Y18" i="58"/>
  <c r="Y19" i="58"/>
  <c r="Y20" i="58"/>
  <c r="Y21" i="58"/>
  <c r="Y22" i="58"/>
  <c r="Y23" i="58"/>
  <c r="Y24" i="58"/>
  <c r="Y16" i="58"/>
  <c r="AG16" i="58"/>
  <c r="Y33" i="58"/>
  <c r="V33" i="58"/>
  <c r="V17" i="58"/>
  <c r="V18" i="58"/>
  <c r="V19" i="58"/>
  <c r="V20" i="58"/>
  <c r="V21" i="58"/>
  <c r="V22" i="58"/>
  <c r="V23" i="58"/>
  <c r="V24" i="58"/>
  <c r="AB39" i="58"/>
  <c r="AB24" i="58"/>
  <c r="AI24" i="58"/>
  <c r="AB20" i="58"/>
  <c r="AB50" i="58"/>
  <c r="AB57" i="58"/>
  <c r="AB55" i="58"/>
  <c r="AB53" i="58"/>
  <c r="AB51" i="58"/>
  <c r="AB75" i="58"/>
  <c r="AB73" i="58"/>
  <c r="AB71" i="58"/>
  <c r="AB69" i="58"/>
  <c r="AB91" i="58"/>
  <c r="AB89" i="58"/>
  <c r="AB87" i="58"/>
  <c r="AB85" i="58"/>
  <c r="AB108" i="58"/>
  <c r="AB106" i="58"/>
  <c r="AB104" i="58"/>
  <c r="AB102" i="58"/>
  <c r="AB23" i="58"/>
  <c r="AB19" i="58"/>
  <c r="AB22" i="58"/>
  <c r="AB56" i="58"/>
  <c r="AB52" i="58"/>
  <c r="AB74" i="58"/>
  <c r="AB70" i="58"/>
  <c r="AB92" i="58"/>
  <c r="AB88" i="58"/>
  <c r="AB86" i="58"/>
  <c r="AB109" i="58"/>
  <c r="AB107" i="58"/>
  <c r="AB105" i="58"/>
  <c r="AB103" i="58"/>
  <c r="AB21" i="58"/>
  <c r="AB17" i="58"/>
  <c r="AB84" i="58"/>
  <c r="AB18" i="58"/>
  <c r="AB58" i="58"/>
  <c r="AB54" i="58"/>
  <c r="AB67" i="58"/>
  <c r="AB72" i="58"/>
  <c r="AB68" i="58"/>
  <c r="AB90" i="58"/>
  <c r="AB33" i="58"/>
  <c r="T93" i="22"/>
  <c r="T89" i="22"/>
  <c r="T80" i="22"/>
  <c r="T77" i="22"/>
  <c r="T82" i="22"/>
  <c r="T92" i="22"/>
  <c r="T88" i="22"/>
  <c r="T79" i="22"/>
  <c r="T91" i="22"/>
  <c r="T87" i="22"/>
  <c r="T95" i="22"/>
  <c r="T78" i="22"/>
  <c r="T94" i="22"/>
  <c r="T90" i="22"/>
  <c r="T81" i="22"/>
  <c r="AG22" i="58"/>
  <c r="AG39" i="58"/>
  <c r="AG58" i="58"/>
  <c r="AG56" i="58"/>
  <c r="AG52" i="58"/>
  <c r="AG72" i="58"/>
  <c r="AG68" i="58"/>
  <c r="AG90" i="58"/>
  <c r="AG86" i="58"/>
  <c r="AG108" i="58"/>
  <c r="AG104" i="58"/>
  <c r="AG17" i="58"/>
  <c r="AG34" i="58"/>
  <c r="AG24" i="58"/>
  <c r="AG37" i="58"/>
  <c r="AG55" i="58"/>
  <c r="AG53" i="58"/>
  <c r="AG75" i="58"/>
  <c r="AG71" i="58"/>
  <c r="AG69" i="58"/>
  <c r="AG91" i="58"/>
  <c r="AG89" i="58"/>
  <c r="AG87" i="58"/>
  <c r="AG85" i="58"/>
  <c r="AG109" i="58"/>
  <c r="AG107" i="58"/>
  <c r="AG105" i="58"/>
  <c r="AG103" i="58"/>
  <c r="AG33" i="58"/>
  <c r="AG18" i="58"/>
  <c r="AG35" i="58"/>
  <c r="AG54" i="58"/>
  <c r="AG67" i="58"/>
  <c r="AG74" i="58"/>
  <c r="AG70" i="58"/>
  <c r="AG92" i="58"/>
  <c r="AG88" i="58"/>
  <c r="AG106" i="58"/>
  <c r="AG102" i="58"/>
  <c r="AG21" i="58"/>
  <c r="AG38" i="58"/>
  <c r="AG20" i="58"/>
  <c r="AG41" i="58"/>
  <c r="AG50" i="58"/>
  <c r="AG57" i="58"/>
  <c r="AG51" i="58"/>
  <c r="AG73" i="58"/>
  <c r="AG23" i="58"/>
  <c r="AG19" i="58"/>
  <c r="AG40" i="58"/>
  <c r="AG36" i="58"/>
  <c r="AG84" i="58"/>
  <c r="AE23" i="58"/>
  <c r="AE19" i="58"/>
  <c r="AE39" i="58"/>
  <c r="AE35" i="58"/>
  <c r="AE22" i="58"/>
  <c r="AE18" i="58"/>
  <c r="AE38" i="58"/>
  <c r="AE34" i="58"/>
  <c r="AE58" i="58"/>
  <c r="AE56" i="58"/>
  <c r="AE54" i="58"/>
  <c r="AE52" i="58"/>
  <c r="AE67" i="58"/>
  <c r="AE74" i="58"/>
  <c r="AE72" i="58"/>
  <c r="AE70" i="58"/>
  <c r="AE68" i="58"/>
  <c r="AE92" i="58"/>
  <c r="AE90" i="58"/>
  <c r="AE88" i="58"/>
  <c r="AE86" i="58"/>
  <c r="AE108" i="58"/>
  <c r="AE106" i="58"/>
  <c r="AE104" i="58"/>
  <c r="AE102" i="58"/>
  <c r="AE21" i="58"/>
  <c r="AE17" i="58"/>
  <c r="AE41" i="58"/>
  <c r="AE37" i="58"/>
  <c r="AE84" i="58"/>
  <c r="AE24" i="58"/>
  <c r="AE20" i="58"/>
  <c r="AE33" i="58"/>
  <c r="AE40" i="58"/>
  <c r="AE36" i="58"/>
  <c r="AE50" i="58"/>
  <c r="AE57" i="58"/>
  <c r="AE55" i="58"/>
  <c r="AE53" i="58"/>
  <c r="AE51" i="58"/>
  <c r="AE75" i="58"/>
  <c r="AE73" i="58"/>
  <c r="AE71" i="58"/>
  <c r="AE69" i="58"/>
  <c r="AE91" i="58"/>
  <c r="AE89" i="58"/>
  <c r="AE87" i="58"/>
  <c r="AE85" i="58"/>
  <c r="AE109" i="58"/>
  <c r="AE107" i="58"/>
  <c r="AE105" i="58"/>
  <c r="AE103" i="58"/>
  <c r="AB15" i="28"/>
  <c r="AB16" i="28"/>
  <c r="AA16" i="28"/>
  <c r="AA15" i="28"/>
  <c r="BL173" i="58"/>
  <c r="BK173" i="58"/>
  <c r="BL172" i="58"/>
  <c r="BK172" i="58"/>
  <c r="BL171" i="58"/>
  <c r="BK171" i="58"/>
  <c r="BL170" i="58"/>
  <c r="BK170" i="58"/>
  <c r="BL169" i="58"/>
  <c r="BK169" i="58"/>
  <c r="BL168" i="58"/>
  <c r="BK168" i="58"/>
  <c r="BL167" i="58"/>
  <c r="BK167" i="58"/>
  <c r="BL166" i="58"/>
  <c r="BK166" i="58"/>
  <c r="BL165" i="58"/>
  <c r="BK165" i="58"/>
  <c r="BL164" i="58"/>
  <c r="BK164" i="58"/>
  <c r="BL163" i="58"/>
  <c r="BK163" i="58"/>
  <c r="BL162" i="58"/>
  <c r="BK162" i="58"/>
  <c r="BL161" i="58"/>
  <c r="BK161" i="58"/>
  <c r="BL160" i="58"/>
  <c r="BK160" i="58"/>
  <c r="BL159" i="58"/>
  <c r="BK159" i="58"/>
  <c r="BL158" i="58"/>
  <c r="BK158" i="58"/>
  <c r="BL157" i="58"/>
  <c r="BK157" i="58"/>
  <c r="BL156" i="58"/>
  <c r="BK156" i="58"/>
  <c r="BL155" i="58"/>
  <c r="BK155" i="58"/>
  <c r="BL154" i="58"/>
  <c r="BK154" i="58"/>
  <c r="BL153" i="58"/>
  <c r="BK153" i="58"/>
  <c r="BL152" i="58"/>
  <c r="BK152" i="58"/>
  <c r="BL151" i="58"/>
  <c r="BK151" i="58"/>
  <c r="BL150" i="58"/>
  <c r="BK150" i="58"/>
  <c r="BL149" i="58"/>
  <c r="BK149" i="58"/>
  <c r="BL148" i="58"/>
  <c r="BK148" i="58"/>
  <c r="BL147" i="58"/>
  <c r="BK147" i="58"/>
  <c r="BL146" i="58"/>
  <c r="BK146" i="58"/>
  <c r="BL145" i="58"/>
  <c r="BK145" i="58"/>
  <c r="BL144" i="58"/>
  <c r="BK144" i="58"/>
  <c r="BL143" i="58"/>
  <c r="BK143" i="58"/>
  <c r="BL142" i="58"/>
  <c r="BK142" i="58"/>
  <c r="BL141" i="58"/>
  <c r="BK141" i="58"/>
  <c r="BL140" i="58"/>
  <c r="BK140" i="58"/>
  <c r="BL139" i="58"/>
  <c r="BK139" i="58"/>
  <c r="BL220" i="58"/>
  <c r="BK220" i="58"/>
  <c r="BL219" i="58"/>
  <c r="BK219" i="58"/>
  <c r="BL218" i="58"/>
  <c r="BK218" i="58"/>
  <c r="BL217" i="58"/>
  <c r="BK217" i="58"/>
  <c r="BL216" i="58"/>
  <c r="BK216" i="58"/>
  <c r="BL215" i="58"/>
  <c r="BK215" i="58"/>
  <c r="BL214" i="58"/>
  <c r="BK214" i="58"/>
  <c r="BL213" i="58"/>
  <c r="BK213" i="58"/>
  <c r="BL212" i="58"/>
  <c r="BK212" i="58"/>
  <c r="BL211" i="58"/>
  <c r="BK211" i="58"/>
  <c r="BL210" i="58"/>
  <c r="BK210" i="58"/>
  <c r="BL209" i="58"/>
  <c r="BK209" i="58"/>
  <c r="BL208" i="58"/>
  <c r="BK208" i="58"/>
  <c r="BL207" i="58"/>
  <c r="BK207" i="58"/>
  <c r="BL206" i="58"/>
  <c r="BK206" i="58"/>
  <c r="BL205" i="58"/>
  <c r="BK205" i="58"/>
  <c r="BL204" i="58"/>
  <c r="BK204" i="58"/>
  <c r="BL203" i="58"/>
  <c r="BK203" i="58"/>
  <c r="BL202" i="58"/>
  <c r="BK202" i="58"/>
  <c r="BL201" i="58"/>
  <c r="BK201" i="58"/>
  <c r="BL200" i="58"/>
  <c r="BK200" i="58"/>
  <c r="BL199" i="58"/>
  <c r="BK199" i="58"/>
  <c r="BL198" i="58"/>
  <c r="BK198" i="58"/>
  <c r="BL197" i="58"/>
  <c r="BK197" i="58"/>
  <c r="BL196" i="58"/>
  <c r="BK196" i="58"/>
  <c r="BL195" i="58"/>
  <c r="BK195" i="58"/>
  <c r="BL194" i="58"/>
  <c r="BK194" i="58"/>
  <c r="BL193" i="58"/>
  <c r="BK193" i="58"/>
  <c r="BL192" i="58"/>
  <c r="BK192" i="58"/>
  <c r="BL191" i="58"/>
  <c r="BK191" i="58"/>
  <c r="BL190" i="58"/>
  <c r="BK190" i="58"/>
  <c r="BL189" i="58"/>
  <c r="BK189" i="58"/>
  <c r="BL188" i="58"/>
  <c r="BK188" i="58"/>
  <c r="BL187" i="58"/>
  <c r="BK187" i="58"/>
  <c r="BL186" i="58"/>
  <c r="BK186" i="58"/>
  <c r="BL185" i="58"/>
  <c r="BK185" i="58"/>
  <c r="H3" i="35"/>
  <c r="AL126" i="58"/>
  <c r="AX126" i="58"/>
  <c r="E125" i="58"/>
  <c r="D129" i="58"/>
  <c r="AL129" i="58"/>
  <c r="D128" i="58"/>
  <c r="AL128" i="58"/>
  <c r="AX128" i="58"/>
  <c r="D127" i="58"/>
  <c r="AL127" i="58"/>
  <c r="AV127" i="58"/>
  <c r="AP126" i="58"/>
  <c r="AT126" i="58"/>
  <c r="AP127" i="58"/>
  <c r="AP128" i="58"/>
  <c r="AT128" i="58"/>
  <c r="AP129" i="58"/>
  <c r="AO129" i="58"/>
  <c r="AN129" i="58"/>
  <c r="AR129" i="58"/>
  <c r="AM129" i="58"/>
  <c r="AO128" i="58"/>
  <c r="AN128" i="58"/>
  <c r="AM128" i="58"/>
  <c r="AO127" i="58"/>
  <c r="AS127" i="58"/>
  <c r="AN127" i="58"/>
  <c r="AR127" i="58"/>
  <c r="AM127" i="58"/>
  <c r="AQ127" i="58"/>
  <c r="AO126" i="58"/>
  <c r="AS126" i="58"/>
  <c r="AN126" i="58"/>
  <c r="AM126" i="58"/>
  <c r="AQ126" i="58"/>
  <c r="G124" i="58"/>
  <c r="I124" i="58"/>
  <c r="F124" i="58"/>
  <c r="H124" i="58"/>
  <c r="L124" i="58"/>
  <c r="A14" i="22"/>
  <c r="K124" i="58"/>
  <c r="A89" i="41"/>
  <c r="H111" i="22"/>
  <c r="H113" i="22"/>
  <c r="H112" i="22"/>
  <c r="AA18" i="28"/>
  <c r="AB18" i="28"/>
  <c r="AT127" i="58"/>
  <c r="AR128" i="58"/>
  <c r="AT129" i="58"/>
  <c r="AR126" i="58"/>
  <c r="AX129" i="58"/>
  <c r="AV129" i="58"/>
  <c r="AW126" i="58"/>
  <c r="AW127" i="58"/>
  <c r="AV126" i="58"/>
  <c r="AX127" i="58"/>
  <c r="AU126" i="58"/>
  <c r="AU127" i="58"/>
  <c r="AV128" i="58"/>
  <c r="B126" i="58"/>
  <c r="A72" i="59"/>
  <c r="B128" i="58"/>
  <c r="A74" i="59"/>
  <c r="B127" i="58"/>
  <c r="A73" i="59"/>
  <c r="B129" i="58"/>
  <c r="A75" i="59"/>
  <c r="M181" i="58"/>
  <c r="L181" i="58"/>
  <c r="K181" i="58"/>
  <c r="J181" i="58"/>
  <c r="I181" i="58"/>
  <c r="H181" i="58"/>
  <c r="BJ219" i="58"/>
  <c r="BH219" i="58"/>
  <c r="BJ217" i="58"/>
  <c r="BH217" i="58"/>
  <c r="BJ215" i="58"/>
  <c r="BH215" i="58"/>
  <c r="BJ213" i="58"/>
  <c r="BH213" i="58"/>
  <c r="BJ211" i="58"/>
  <c r="BH211" i="58"/>
  <c r="BJ209" i="58"/>
  <c r="BH209" i="58"/>
  <c r="BJ207" i="58"/>
  <c r="BH207" i="58"/>
  <c r="BJ205" i="58"/>
  <c r="BH205" i="58"/>
  <c r="BJ203" i="58"/>
  <c r="BH203" i="58"/>
  <c r="BJ201" i="58"/>
  <c r="BH201" i="58"/>
  <c r="BJ199" i="58"/>
  <c r="BH199" i="58"/>
  <c r="BJ197" i="58"/>
  <c r="BH197" i="58"/>
  <c r="BJ195" i="58"/>
  <c r="BH195" i="58"/>
  <c r="BJ193" i="58"/>
  <c r="BH193" i="58"/>
  <c r="BJ191" i="58"/>
  <c r="BH191" i="58"/>
  <c r="BJ189" i="58"/>
  <c r="BH189" i="58"/>
  <c r="BJ187" i="58"/>
  <c r="BH187" i="58"/>
  <c r="BJ220" i="58"/>
  <c r="BI220" i="58"/>
  <c r="BH220" i="58"/>
  <c r="BG220" i="58"/>
  <c r="BI219" i="58"/>
  <c r="BG219" i="58"/>
  <c r="BJ218" i="58"/>
  <c r="BI218" i="58"/>
  <c r="BH218" i="58"/>
  <c r="BG218" i="58"/>
  <c r="BI217" i="58"/>
  <c r="BG217" i="58"/>
  <c r="BJ216" i="58"/>
  <c r="BI216" i="58"/>
  <c r="BH216" i="58"/>
  <c r="BG216" i="58"/>
  <c r="BI215" i="58"/>
  <c r="BG215" i="58"/>
  <c r="BJ214" i="58"/>
  <c r="BI214" i="58"/>
  <c r="BH214" i="58"/>
  <c r="BG214" i="58"/>
  <c r="BI213" i="58"/>
  <c r="BG213" i="58"/>
  <c r="BJ212" i="58"/>
  <c r="BI212" i="58"/>
  <c r="BH212" i="58"/>
  <c r="BG212" i="58"/>
  <c r="BI211" i="58"/>
  <c r="BG211" i="58"/>
  <c r="BJ210" i="58"/>
  <c r="BI210" i="58"/>
  <c r="BH210" i="58"/>
  <c r="BG210" i="58"/>
  <c r="BI209" i="58"/>
  <c r="BG209" i="58"/>
  <c r="BJ208" i="58"/>
  <c r="BI208" i="58"/>
  <c r="BH208" i="58"/>
  <c r="BG208" i="58"/>
  <c r="BI207" i="58"/>
  <c r="BG207" i="58"/>
  <c r="BJ206" i="58"/>
  <c r="BI206" i="58"/>
  <c r="BH206" i="58"/>
  <c r="BG206" i="58"/>
  <c r="BI205" i="58"/>
  <c r="BG205" i="58"/>
  <c r="BJ204" i="58"/>
  <c r="BI204" i="58"/>
  <c r="BH204" i="58"/>
  <c r="BG204" i="58"/>
  <c r="BI203" i="58"/>
  <c r="BG203" i="58"/>
  <c r="BJ202" i="58"/>
  <c r="BI202" i="58"/>
  <c r="BH202" i="58"/>
  <c r="BG202" i="58"/>
  <c r="BI201" i="58"/>
  <c r="BG201" i="58"/>
  <c r="BJ200" i="58"/>
  <c r="BI200" i="58"/>
  <c r="BH200" i="58"/>
  <c r="BG200" i="58"/>
  <c r="BI199" i="58"/>
  <c r="BG199" i="58"/>
  <c r="BJ198" i="58"/>
  <c r="BI198" i="58"/>
  <c r="BH198" i="58"/>
  <c r="BG198" i="58"/>
  <c r="BI197" i="58"/>
  <c r="BG197" i="58"/>
  <c r="BJ196" i="58"/>
  <c r="BI196" i="58"/>
  <c r="BH196" i="58"/>
  <c r="BG196" i="58"/>
  <c r="BI195" i="58"/>
  <c r="BG195" i="58"/>
  <c r="BJ194" i="58"/>
  <c r="BI194" i="58"/>
  <c r="BH194" i="58"/>
  <c r="BG194" i="58"/>
  <c r="BI193" i="58"/>
  <c r="BG193" i="58"/>
  <c r="BJ192" i="58"/>
  <c r="BI192" i="58"/>
  <c r="BH192" i="58"/>
  <c r="BG192" i="58"/>
  <c r="BI191" i="58"/>
  <c r="BG191" i="58"/>
  <c r="BJ190" i="58"/>
  <c r="BI190" i="58"/>
  <c r="BH190" i="58"/>
  <c r="BG190" i="58"/>
  <c r="BI189" i="58"/>
  <c r="BG189" i="58"/>
  <c r="BJ188" i="58"/>
  <c r="BI188" i="58"/>
  <c r="BH188" i="58"/>
  <c r="BG188" i="58"/>
  <c r="BI187" i="58"/>
  <c r="BG187" i="58"/>
  <c r="BJ186" i="58"/>
  <c r="BI186" i="58"/>
  <c r="BH186" i="58"/>
  <c r="AU220" i="58"/>
  <c r="BE220" i="58"/>
  <c r="AT220" i="58"/>
  <c r="BD220" i="58"/>
  <c r="AS220" i="58"/>
  <c r="BC220" i="58"/>
  <c r="AR220" i="58"/>
  <c r="AQ220" i="58"/>
  <c r="AP220" i="58"/>
  <c r="AO220" i="58"/>
  <c r="AN220" i="58"/>
  <c r="AM220" i="58"/>
  <c r="AL220" i="58"/>
  <c r="AU219" i="58"/>
  <c r="BE219" i="58"/>
  <c r="AT219" i="58"/>
  <c r="BD219" i="58"/>
  <c r="AS219" i="58"/>
  <c r="BC219" i="58"/>
  <c r="AR219" i="58"/>
  <c r="AQ219" i="58"/>
  <c r="AP219" i="58"/>
  <c r="AO219" i="58"/>
  <c r="AN219" i="58"/>
  <c r="AM219" i="58"/>
  <c r="AL219" i="58"/>
  <c r="AU218" i="58"/>
  <c r="BE218" i="58"/>
  <c r="AT218" i="58"/>
  <c r="BD218" i="58"/>
  <c r="AS218" i="58"/>
  <c r="BC218" i="58"/>
  <c r="AR218" i="58"/>
  <c r="AQ218" i="58"/>
  <c r="AP218" i="58"/>
  <c r="AO218" i="58"/>
  <c r="AN218" i="58"/>
  <c r="AM218" i="58"/>
  <c r="AL218" i="58"/>
  <c r="AU217" i="58"/>
  <c r="BE217" i="58"/>
  <c r="AT217" i="58"/>
  <c r="BD217" i="58"/>
  <c r="AS217" i="58"/>
  <c r="BC217" i="58"/>
  <c r="AR217" i="58"/>
  <c r="AQ217" i="58"/>
  <c r="AP217" i="58"/>
  <c r="AO217" i="58"/>
  <c r="AN217" i="58"/>
  <c r="AM217" i="58"/>
  <c r="AL217" i="58"/>
  <c r="AU216" i="58"/>
  <c r="BE216" i="58"/>
  <c r="AT216" i="58"/>
  <c r="BD216" i="58"/>
  <c r="AS216" i="58"/>
  <c r="BC216" i="58"/>
  <c r="AR216" i="58"/>
  <c r="AQ216" i="58"/>
  <c r="AP216" i="58"/>
  <c r="AO216" i="58"/>
  <c r="AN216" i="58"/>
  <c r="AM216" i="58"/>
  <c r="AL216" i="58"/>
  <c r="AU215" i="58"/>
  <c r="BE215" i="58"/>
  <c r="AT215" i="58"/>
  <c r="BD215" i="58"/>
  <c r="AS215" i="58"/>
  <c r="BC215" i="58"/>
  <c r="AR215" i="58"/>
  <c r="AQ215" i="58"/>
  <c r="AP215" i="58"/>
  <c r="AO215" i="58"/>
  <c r="AN215" i="58"/>
  <c r="AM215" i="58"/>
  <c r="AL215" i="58"/>
  <c r="AU214" i="58"/>
  <c r="BE214" i="58"/>
  <c r="AT214" i="58"/>
  <c r="BD214" i="58"/>
  <c r="AS214" i="58"/>
  <c r="BC214" i="58"/>
  <c r="AR214" i="58"/>
  <c r="AQ214" i="58"/>
  <c r="AP214" i="58"/>
  <c r="AO214" i="58"/>
  <c r="AN214" i="58"/>
  <c r="AM214" i="58"/>
  <c r="AL214" i="58"/>
  <c r="AU213" i="58"/>
  <c r="BE213" i="58"/>
  <c r="AT213" i="58"/>
  <c r="BD213" i="58"/>
  <c r="AS213" i="58"/>
  <c r="BC213" i="58"/>
  <c r="AR213" i="58"/>
  <c r="AQ213" i="58"/>
  <c r="AP213" i="58"/>
  <c r="AO213" i="58"/>
  <c r="AN213" i="58"/>
  <c r="AM213" i="58"/>
  <c r="AL213" i="58"/>
  <c r="AU212" i="58"/>
  <c r="BE212" i="58"/>
  <c r="AT212" i="58"/>
  <c r="BD212" i="58"/>
  <c r="AS212" i="58"/>
  <c r="BC212" i="58"/>
  <c r="AR212" i="58"/>
  <c r="AQ212" i="58"/>
  <c r="AP212" i="58"/>
  <c r="AO212" i="58"/>
  <c r="AN212" i="58"/>
  <c r="AM212" i="58"/>
  <c r="AL212" i="58"/>
  <c r="AU211" i="58"/>
  <c r="BE211" i="58"/>
  <c r="AT211" i="58"/>
  <c r="BD211" i="58"/>
  <c r="AS211" i="58"/>
  <c r="BC211" i="58"/>
  <c r="AR211" i="58"/>
  <c r="AQ211" i="58"/>
  <c r="AP211" i="58"/>
  <c r="AO211" i="58"/>
  <c r="AN211" i="58"/>
  <c r="AM211" i="58"/>
  <c r="AL211" i="58"/>
  <c r="AU210" i="58"/>
  <c r="BE210" i="58"/>
  <c r="AT210" i="58"/>
  <c r="BD210" i="58"/>
  <c r="AS210" i="58"/>
  <c r="BC210" i="58"/>
  <c r="AR210" i="58"/>
  <c r="AQ210" i="58"/>
  <c r="AP210" i="58"/>
  <c r="AO210" i="58"/>
  <c r="AN210" i="58"/>
  <c r="AM210" i="58"/>
  <c r="AL210" i="58"/>
  <c r="AU209" i="58"/>
  <c r="BE209" i="58"/>
  <c r="AT209" i="58"/>
  <c r="BD209" i="58"/>
  <c r="AS209" i="58"/>
  <c r="BC209" i="58"/>
  <c r="AR209" i="58"/>
  <c r="AQ209" i="58"/>
  <c r="AP209" i="58"/>
  <c r="AO209" i="58"/>
  <c r="AN209" i="58"/>
  <c r="AM209" i="58"/>
  <c r="AL209" i="58"/>
  <c r="AU208" i="58"/>
  <c r="BE208" i="58"/>
  <c r="AT208" i="58"/>
  <c r="BD208" i="58"/>
  <c r="AS208" i="58"/>
  <c r="BC208" i="58"/>
  <c r="AR208" i="58"/>
  <c r="AQ208" i="58"/>
  <c r="AP208" i="58"/>
  <c r="AO208" i="58"/>
  <c r="AN208" i="58"/>
  <c r="AM208" i="58"/>
  <c r="AL208" i="58"/>
  <c r="AU207" i="58"/>
  <c r="BE207" i="58"/>
  <c r="AT207" i="58"/>
  <c r="BD207" i="58"/>
  <c r="AS207" i="58"/>
  <c r="BC207" i="58"/>
  <c r="AR207" i="58"/>
  <c r="AQ207" i="58"/>
  <c r="AP207" i="58"/>
  <c r="AO207" i="58"/>
  <c r="AN207" i="58"/>
  <c r="AM207" i="58"/>
  <c r="AL207" i="58"/>
  <c r="AU206" i="58"/>
  <c r="BE206" i="58"/>
  <c r="AT206" i="58"/>
  <c r="BD206" i="58"/>
  <c r="AS206" i="58"/>
  <c r="BC206" i="58"/>
  <c r="AR206" i="58"/>
  <c r="AQ206" i="58"/>
  <c r="AP206" i="58"/>
  <c r="AO206" i="58"/>
  <c r="AN206" i="58"/>
  <c r="AM206" i="58"/>
  <c r="AL206" i="58"/>
  <c r="AU205" i="58"/>
  <c r="BE205" i="58"/>
  <c r="AT205" i="58"/>
  <c r="BD205" i="58"/>
  <c r="AS205" i="58"/>
  <c r="BC205" i="58"/>
  <c r="AR205" i="58"/>
  <c r="AQ205" i="58"/>
  <c r="AP205" i="58"/>
  <c r="AO205" i="58"/>
  <c r="AN205" i="58"/>
  <c r="AM205" i="58"/>
  <c r="AL205" i="58"/>
  <c r="AU204" i="58"/>
  <c r="BE204" i="58"/>
  <c r="AT204" i="58"/>
  <c r="BD204" i="58"/>
  <c r="AS204" i="58"/>
  <c r="BC204" i="58"/>
  <c r="AR204" i="58"/>
  <c r="AQ204" i="58"/>
  <c r="AP204" i="58"/>
  <c r="AO204" i="58"/>
  <c r="AN204" i="58"/>
  <c r="AM204" i="58"/>
  <c r="AL204" i="58"/>
  <c r="AU203" i="58"/>
  <c r="BE203" i="58"/>
  <c r="AT203" i="58"/>
  <c r="BD203" i="58"/>
  <c r="AS203" i="58"/>
  <c r="BC203" i="58"/>
  <c r="AR203" i="58"/>
  <c r="AQ203" i="58"/>
  <c r="AP203" i="58"/>
  <c r="AO203" i="58"/>
  <c r="AN203" i="58"/>
  <c r="AM203" i="58"/>
  <c r="AL203" i="58"/>
  <c r="AU202" i="58"/>
  <c r="BE202" i="58"/>
  <c r="AT202" i="58"/>
  <c r="BD202" i="58"/>
  <c r="AS202" i="58"/>
  <c r="BC202" i="58"/>
  <c r="AR202" i="58"/>
  <c r="AQ202" i="58"/>
  <c r="AP202" i="58"/>
  <c r="AO202" i="58"/>
  <c r="AN202" i="58"/>
  <c r="AM202" i="58"/>
  <c r="AL202" i="58"/>
  <c r="AU201" i="58"/>
  <c r="BE201" i="58"/>
  <c r="AT201" i="58"/>
  <c r="BD201" i="58"/>
  <c r="AS201" i="58"/>
  <c r="BC201" i="58"/>
  <c r="AR201" i="58"/>
  <c r="AQ201" i="58"/>
  <c r="AP201" i="58"/>
  <c r="AO201" i="58"/>
  <c r="AN201" i="58"/>
  <c r="AM201" i="58"/>
  <c r="AL201" i="58"/>
  <c r="AU200" i="58"/>
  <c r="BE200" i="58"/>
  <c r="AT200" i="58"/>
  <c r="BD200" i="58"/>
  <c r="AS200" i="58"/>
  <c r="BC200" i="58"/>
  <c r="AR200" i="58"/>
  <c r="AQ200" i="58"/>
  <c r="AP200" i="58"/>
  <c r="AO200" i="58"/>
  <c r="AN200" i="58"/>
  <c r="AM200" i="58"/>
  <c r="AL200" i="58"/>
  <c r="AU199" i="58"/>
  <c r="BE199" i="58"/>
  <c r="AT199" i="58"/>
  <c r="BD199" i="58"/>
  <c r="AS199" i="58"/>
  <c r="BC199" i="58"/>
  <c r="AR199" i="58"/>
  <c r="AQ199" i="58"/>
  <c r="AP199" i="58"/>
  <c r="AO199" i="58"/>
  <c r="AN199" i="58"/>
  <c r="AM199" i="58"/>
  <c r="AL199" i="58"/>
  <c r="AU198" i="58"/>
  <c r="BE198" i="58"/>
  <c r="AT198" i="58"/>
  <c r="BD198" i="58"/>
  <c r="AS198" i="58"/>
  <c r="BC198" i="58"/>
  <c r="AR198" i="58"/>
  <c r="AQ198" i="58"/>
  <c r="AP198" i="58"/>
  <c r="AO198" i="58"/>
  <c r="AN198" i="58"/>
  <c r="AM198" i="58"/>
  <c r="AL198" i="58"/>
  <c r="AU197" i="58"/>
  <c r="BE197" i="58"/>
  <c r="AT197" i="58"/>
  <c r="BD197" i="58"/>
  <c r="AS197" i="58"/>
  <c r="BC197" i="58"/>
  <c r="AR197" i="58"/>
  <c r="AQ197" i="58"/>
  <c r="AP197" i="58"/>
  <c r="AO197" i="58"/>
  <c r="AN197" i="58"/>
  <c r="AM197" i="58"/>
  <c r="AL197" i="58"/>
  <c r="AU196" i="58"/>
  <c r="BE196" i="58"/>
  <c r="AT196" i="58"/>
  <c r="BD196" i="58"/>
  <c r="AS196" i="58"/>
  <c r="BC196" i="58"/>
  <c r="AR196" i="58"/>
  <c r="AQ196" i="58"/>
  <c r="AP196" i="58"/>
  <c r="AO196" i="58"/>
  <c r="AN196" i="58"/>
  <c r="AM196" i="58"/>
  <c r="AL196" i="58"/>
  <c r="AU195" i="58"/>
  <c r="BE195" i="58"/>
  <c r="AT195" i="58"/>
  <c r="BD195" i="58"/>
  <c r="AS195" i="58"/>
  <c r="BC195" i="58"/>
  <c r="AR195" i="58"/>
  <c r="AQ195" i="58"/>
  <c r="AP195" i="58"/>
  <c r="AO195" i="58"/>
  <c r="AN195" i="58"/>
  <c r="AM195" i="58"/>
  <c r="AL195" i="58"/>
  <c r="AU194" i="58"/>
  <c r="BE194" i="58"/>
  <c r="AT194" i="58"/>
  <c r="BD194" i="58"/>
  <c r="AS194" i="58"/>
  <c r="BC194" i="58"/>
  <c r="AR194" i="58"/>
  <c r="AQ194" i="58"/>
  <c r="AP194" i="58"/>
  <c r="AO194" i="58"/>
  <c r="AN194" i="58"/>
  <c r="AM194" i="58"/>
  <c r="AL194" i="58"/>
  <c r="AU193" i="58"/>
  <c r="BE193" i="58"/>
  <c r="AT193" i="58"/>
  <c r="BD193" i="58"/>
  <c r="AS193" i="58"/>
  <c r="BC193" i="58"/>
  <c r="AR193" i="58"/>
  <c r="AQ193" i="58"/>
  <c r="AP193" i="58"/>
  <c r="AO193" i="58"/>
  <c r="AN193" i="58"/>
  <c r="AM193" i="58"/>
  <c r="AL193" i="58"/>
  <c r="AU192" i="58"/>
  <c r="BE192" i="58"/>
  <c r="AT192" i="58"/>
  <c r="BD192" i="58"/>
  <c r="AS192" i="58"/>
  <c r="BC192" i="58"/>
  <c r="AR192" i="58"/>
  <c r="AQ192" i="58"/>
  <c r="AP192" i="58"/>
  <c r="AO192" i="58"/>
  <c r="AN192" i="58"/>
  <c r="AM192" i="58"/>
  <c r="AL192" i="58"/>
  <c r="AU191" i="58"/>
  <c r="BE191" i="58"/>
  <c r="AT191" i="58"/>
  <c r="BD191" i="58"/>
  <c r="AS191" i="58"/>
  <c r="BC191" i="58"/>
  <c r="AR191" i="58"/>
  <c r="AQ191" i="58"/>
  <c r="AP191" i="58"/>
  <c r="AO191" i="58"/>
  <c r="AN191" i="58"/>
  <c r="AM191" i="58"/>
  <c r="AL191" i="58"/>
  <c r="AU190" i="58"/>
  <c r="BE190" i="58"/>
  <c r="AT190" i="58"/>
  <c r="BD190" i="58"/>
  <c r="AS190" i="58"/>
  <c r="BC190" i="58"/>
  <c r="AR190" i="58"/>
  <c r="AQ190" i="58"/>
  <c r="AP190" i="58"/>
  <c r="AO190" i="58"/>
  <c r="AN190" i="58"/>
  <c r="AM190" i="58"/>
  <c r="AL190" i="58"/>
  <c r="AU189" i="58"/>
  <c r="BE189" i="58"/>
  <c r="AT189" i="58"/>
  <c r="BD189" i="58"/>
  <c r="AS189" i="58"/>
  <c r="BC189" i="58"/>
  <c r="AR189" i="58"/>
  <c r="AQ189" i="58"/>
  <c r="AP189" i="58"/>
  <c r="AO189" i="58"/>
  <c r="AN189" i="58"/>
  <c r="AM189" i="58"/>
  <c r="AL189" i="58"/>
  <c r="AU188" i="58"/>
  <c r="BE188" i="58"/>
  <c r="AT188" i="58"/>
  <c r="BD188" i="58"/>
  <c r="AS188" i="58"/>
  <c r="BC188" i="58"/>
  <c r="AR188" i="58"/>
  <c r="AQ188" i="58"/>
  <c r="AP188" i="58"/>
  <c r="AO188" i="58"/>
  <c r="AN188" i="58"/>
  <c r="AM188" i="58"/>
  <c r="AL188" i="58"/>
  <c r="AU187" i="58"/>
  <c r="BE187" i="58"/>
  <c r="AT187" i="58"/>
  <c r="BD187" i="58"/>
  <c r="AS187" i="58"/>
  <c r="BC187" i="58"/>
  <c r="AR187" i="58"/>
  <c r="AQ187" i="58"/>
  <c r="AP187" i="58"/>
  <c r="AO187" i="58"/>
  <c r="AN187" i="58"/>
  <c r="AM187" i="58"/>
  <c r="AL187" i="58"/>
  <c r="AU186" i="58"/>
  <c r="BE186" i="58"/>
  <c r="AT186" i="58"/>
  <c r="BD186" i="58"/>
  <c r="AS186" i="58"/>
  <c r="BC186" i="58"/>
  <c r="AR186" i="58"/>
  <c r="AQ186" i="58"/>
  <c r="AP186" i="58"/>
  <c r="AO186" i="58"/>
  <c r="AN186" i="58"/>
  <c r="AM186" i="58"/>
  <c r="AL186" i="58"/>
  <c r="BH185" i="58"/>
  <c r="AU185" i="58"/>
  <c r="BE185" i="58"/>
  <c r="AT185" i="58"/>
  <c r="BD185" i="58"/>
  <c r="AS185" i="58"/>
  <c r="BC185" i="58"/>
  <c r="AR185" i="58"/>
  <c r="AQ185" i="58"/>
  <c r="AP185" i="58"/>
  <c r="AO185" i="58"/>
  <c r="AN185" i="58"/>
  <c r="AM185" i="58"/>
  <c r="AL185" i="58"/>
  <c r="L183" i="58"/>
  <c r="I183" i="58"/>
  <c r="AV181" i="58"/>
  <c r="G180" i="58"/>
  <c r="G133" i="58"/>
  <c r="BV109" i="58"/>
  <c r="BU109" i="58"/>
  <c r="BT109" i="58"/>
  <c r="BS109" i="58"/>
  <c r="BR109" i="58"/>
  <c r="BQ109" i="58"/>
  <c r="BP109" i="58"/>
  <c r="BO109" i="58"/>
  <c r="BV108" i="58"/>
  <c r="BU108" i="58"/>
  <c r="BT108" i="58"/>
  <c r="BS108" i="58"/>
  <c r="BR108" i="58"/>
  <c r="BQ108" i="58"/>
  <c r="BP108" i="58"/>
  <c r="BO108" i="58"/>
  <c r="BV107" i="58"/>
  <c r="BU107" i="58"/>
  <c r="BT107" i="58"/>
  <c r="BS107" i="58"/>
  <c r="BR107" i="58"/>
  <c r="BQ107" i="58"/>
  <c r="BP107" i="58"/>
  <c r="BO107" i="58"/>
  <c r="BV106" i="58"/>
  <c r="BU106" i="58"/>
  <c r="BT106" i="58"/>
  <c r="BS106" i="58"/>
  <c r="BR106" i="58"/>
  <c r="BQ106" i="58"/>
  <c r="BP106" i="58"/>
  <c r="BO106" i="58"/>
  <c r="BV105" i="58"/>
  <c r="BU105" i="58"/>
  <c r="BT105" i="58"/>
  <c r="BS105" i="58"/>
  <c r="BR105" i="58"/>
  <c r="BQ105" i="58"/>
  <c r="BP105" i="58"/>
  <c r="BO105" i="58"/>
  <c r="BV104" i="58"/>
  <c r="BU104" i="58"/>
  <c r="BT104" i="58"/>
  <c r="BS104" i="58"/>
  <c r="BR104" i="58"/>
  <c r="BQ104" i="58"/>
  <c r="BP104" i="58"/>
  <c r="BO104" i="58"/>
  <c r="BV103" i="58"/>
  <c r="BU103" i="58"/>
  <c r="BT103" i="58"/>
  <c r="BS103" i="58"/>
  <c r="BR103" i="58"/>
  <c r="BQ103" i="58"/>
  <c r="BP103" i="58"/>
  <c r="BO103" i="58"/>
  <c r="BV102" i="58"/>
  <c r="BU102" i="58"/>
  <c r="BT102" i="58"/>
  <c r="BS102" i="58"/>
  <c r="BR102" i="58"/>
  <c r="BQ102" i="58"/>
  <c r="BP102" i="58"/>
  <c r="BO102" i="58"/>
  <c r="BV101" i="58"/>
  <c r="BU101" i="58"/>
  <c r="BT101" i="58"/>
  <c r="BS101" i="58"/>
  <c r="BR101" i="58"/>
  <c r="BQ101" i="58"/>
  <c r="BP101" i="58"/>
  <c r="BO101" i="58"/>
  <c r="BV92" i="58"/>
  <c r="BU92" i="58"/>
  <c r="BT92" i="58"/>
  <c r="BS92" i="58"/>
  <c r="BR92" i="58"/>
  <c r="BQ92" i="58"/>
  <c r="BP92" i="58"/>
  <c r="BO92" i="58"/>
  <c r="BV91" i="58"/>
  <c r="BU91" i="58"/>
  <c r="BT91" i="58"/>
  <c r="BS91" i="58"/>
  <c r="BR91" i="58"/>
  <c r="BQ91" i="58"/>
  <c r="BP91" i="58"/>
  <c r="BO91" i="58"/>
  <c r="BV90" i="58"/>
  <c r="BU90" i="58"/>
  <c r="BT90" i="58"/>
  <c r="BS90" i="58"/>
  <c r="BR90" i="58"/>
  <c r="BQ90" i="58"/>
  <c r="BP90" i="58"/>
  <c r="BO90" i="58"/>
  <c r="BV89" i="58"/>
  <c r="BU89" i="58"/>
  <c r="BT89" i="58"/>
  <c r="BS89" i="58"/>
  <c r="BR89" i="58"/>
  <c r="BQ89" i="58"/>
  <c r="BP89" i="58"/>
  <c r="BO89" i="58"/>
  <c r="BV88" i="58"/>
  <c r="BU88" i="58"/>
  <c r="BT88" i="58"/>
  <c r="BS88" i="58"/>
  <c r="BR88" i="58"/>
  <c r="BQ88" i="58"/>
  <c r="BP88" i="58"/>
  <c r="BO88" i="58"/>
  <c r="BV87" i="58"/>
  <c r="BU87" i="58"/>
  <c r="BT87" i="58"/>
  <c r="BS87" i="58"/>
  <c r="BR87" i="58"/>
  <c r="BQ87" i="58"/>
  <c r="BP87" i="58"/>
  <c r="BO87" i="58"/>
  <c r="BV86" i="58"/>
  <c r="BU86" i="58"/>
  <c r="BT86" i="58"/>
  <c r="BS86" i="58"/>
  <c r="BR86" i="58"/>
  <c r="BQ86" i="58"/>
  <c r="BP86" i="58"/>
  <c r="BO86" i="58"/>
  <c r="BV85" i="58"/>
  <c r="BU85" i="58"/>
  <c r="BT85" i="58"/>
  <c r="BS85" i="58"/>
  <c r="BR85" i="58"/>
  <c r="BQ85" i="58"/>
  <c r="BP85" i="58"/>
  <c r="BO85" i="58"/>
  <c r="BV84" i="58"/>
  <c r="BU84" i="58"/>
  <c r="BT84" i="58"/>
  <c r="BS84" i="58"/>
  <c r="BR84" i="58"/>
  <c r="BQ84" i="58"/>
  <c r="BP84" i="58"/>
  <c r="BO84" i="58"/>
  <c r="BV75" i="58"/>
  <c r="BU75" i="58"/>
  <c r="BT75" i="58"/>
  <c r="BS75" i="58"/>
  <c r="BR75" i="58"/>
  <c r="BQ75" i="58"/>
  <c r="BP75" i="58"/>
  <c r="BO75" i="58"/>
  <c r="BV74" i="58"/>
  <c r="BU74" i="58"/>
  <c r="BT74" i="58"/>
  <c r="BS74" i="58"/>
  <c r="BR74" i="58"/>
  <c r="BQ74" i="58"/>
  <c r="BP74" i="58"/>
  <c r="BO74" i="58"/>
  <c r="BV73" i="58"/>
  <c r="BU73" i="58"/>
  <c r="BT73" i="58"/>
  <c r="BS73" i="58"/>
  <c r="BR73" i="58"/>
  <c r="BQ73" i="58"/>
  <c r="BP73" i="58"/>
  <c r="BO73" i="58"/>
  <c r="BV72" i="58"/>
  <c r="BU72" i="58"/>
  <c r="BT72" i="58"/>
  <c r="BS72" i="58"/>
  <c r="BR72" i="58"/>
  <c r="BQ72" i="58"/>
  <c r="BP72" i="58"/>
  <c r="BO72" i="58"/>
  <c r="BV71" i="58"/>
  <c r="BU71" i="58"/>
  <c r="BT71" i="58"/>
  <c r="BS71" i="58"/>
  <c r="BR71" i="58"/>
  <c r="BQ71" i="58"/>
  <c r="BP71" i="58"/>
  <c r="BO71" i="58"/>
  <c r="BV70" i="58"/>
  <c r="BU70" i="58"/>
  <c r="BT70" i="58"/>
  <c r="BS70" i="58"/>
  <c r="BR70" i="58"/>
  <c r="BQ70" i="58"/>
  <c r="BP70" i="58"/>
  <c r="BO70" i="58"/>
  <c r="BV69" i="58"/>
  <c r="BU69" i="58"/>
  <c r="BT69" i="58"/>
  <c r="BS69" i="58"/>
  <c r="BR69" i="58"/>
  <c r="BQ69" i="58"/>
  <c r="BP69" i="58"/>
  <c r="BO69" i="58"/>
  <c r="BV68" i="58"/>
  <c r="BU68" i="58"/>
  <c r="BT68" i="58"/>
  <c r="BS68" i="58"/>
  <c r="BR68" i="58"/>
  <c r="BQ68" i="58"/>
  <c r="BP68" i="58"/>
  <c r="BO68" i="58"/>
  <c r="BV67" i="58"/>
  <c r="BU67" i="58"/>
  <c r="BT67" i="58"/>
  <c r="BS67" i="58"/>
  <c r="BR67" i="58"/>
  <c r="BQ67" i="58"/>
  <c r="BP67" i="58"/>
  <c r="BO67" i="58"/>
  <c r="BV58" i="58"/>
  <c r="BU58" i="58"/>
  <c r="BT58" i="58"/>
  <c r="BS58" i="58"/>
  <c r="BR58" i="58"/>
  <c r="BQ58" i="58"/>
  <c r="BP58" i="58"/>
  <c r="BO58" i="58"/>
  <c r="BV57" i="58"/>
  <c r="BU57" i="58"/>
  <c r="BT57" i="58"/>
  <c r="BS57" i="58"/>
  <c r="BR57" i="58"/>
  <c r="BQ57" i="58"/>
  <c r="BP57" i="58"/>
  <c r="BO57" i="58"/>
  <c r="BV56" i="58"/>
  <c r="BU56" i="58"/>
  <c r="BT56" i="58"/>
  <c r="BS56" i="58"/>
  <c r="BR56" i="58"/>
  <c r="BQ56" i="58"/>
  <c r="BP56" i="58"/>
  <c r="BO56" i="58"/>
  <c r="BV55" i="58"/>
  <c r="BU55" i="58"/>
  <c r="BT55" i="58"/>
  <c r="BS55" i="58"/>
  <c r="BR55" i="58"/>
  <c r="BQ55" i="58"/>
  <c r="BP55" i="58"/>
  <c r="BO55" i="58"/>
  <c r="BV54" i="58"/>
  <c r="BU54" i="58"/>
  <c r="BT54" i="58"/>
  <c r="BS54" i="58"/>
  <c r="BR54" i="58"/>
  <c r="BQ54" i="58"/>
  <c r="BP54" i="58"/>
  <c r="BO54" i="58"/>
  <c r="BV53" i="58"/>
  <c r="BU53" i="58"/>
  <c r="BT53" i="58"/>
  <c r="BS53" i="58"/>
  <c r="BR53" i="58"/>
  <c r="BQ53" i="58"/>
  <c r="BP53" i="58"/>
  <c r="BO53" i="58"/>
  <c r="BV52" i="58"/>
  <c r="BU52" i="58"/>
  <c r="BT52" i="58"/>
  <c r="BS52" i="58"/>
  <c r="BR52" i="58"/>
  <c r="BQ52" i="58"/>
  <c r="BP52" i="58"/>
  <c r="BO52" i="58"/>
  <c r="BV51" i="58"/>
  <c r="BU51" i="58"/>
  <c r="BT51" i="58"/>
  <c r="BS51" i="58"/>
  <c r="BR51" i="58"/>
  <c r="BQ51" i="58"/>
  <c r="BP51" i="58"/>
  <c r="BO51" i="58"/>
  <c r="BV50" i="58"/>
  <c r="BU50" i="58"/>
  <c r="BT50" i="58"/>
  <c r="BS50" i="58"/>
  <c r="BR50" i="58"/>
  <c r="BQ50" i="58"/>
  <c r="BP50" i="58"/>
  <c r="BO50" i="58"/>
  <c r="BV41" i="58"/>
  <c r="BU41" i="58"/>
  <c r="BT41" i="58"/>
  <c r="BS41" i="58"/>
  <c r="BR41" i="58"/>
  <c r="BQ41" i="58"/>
  <c r="BP41" i="58"/>
  <c r="BO41" i="58"/>
  <c r="BV40" i="58"/>
  <c r="BU40" i="58"/>
  <c r="BT40" i="58"/>
  <c r="BS40" i="58"/>
  <c r="BR40" i="58"/>
  <c r="BQ40" i="58"/>
  <c r="BP40" i="58"/>
  <c r="BO40" i="58"/>
  <c r="BV39" i="58"/>
  <c r="BU39" i="58"/>
  <c r="BT39" i="58"/>
  <c r="BS39" i="58"/>
  <c r="BR39" i="58"/>
  <c r="BQ39" i="58"/>
  <c r="BP39" i="58"/>
  <c r="BO39" i="58"/>
  <c r="BV38" i="58"/>
  <c r="BU38" i="58"/>
  <c r="BT38" i="58"/>
  <c r="BS38" i="58"/>
  <c r="BR38" i="58"/>
  <c r="BQ38" i="58"/>
  <c r="BP38" i="58"/>
  <c r="BO38" i="58"/>
  <c r="BV37" i="58"/>
  <c r="BU37" i="58"/>
  <c r="BT37" i="58"/>
  <c r="BS37" i="58"/>
  <c r="BR37" i="58"/>
  <c r="BQ37" i="58"/>
  <c r="BP37" i="58"/>
  <c r="BO37" i="58"/>
  <c r="BV36" i="58"/>
  <c r="BU36" i="58"/>
  <c r="BT36" i="58"/>
  <c r="BS36" i="58"/>
  <c r="BR36" i="58"/>
  <c r="BQ36" i="58"/>
  <c r="BP36" i="58"/>
  <c r="BO36" i="58"/>
  <c r="BV35" i="58"/>
  <c r="BU35" i="58"/>
  <c r="BT35" i="58"/>
  <c r="BS35" i="58"/>
  <c r="BR35" i="58"/>
  <c r="BQ35" i="58"/>
  <c r="BP35" i="58"/>
  <c r="BO35" i="58"/>
  <c r="BV34" i="58"/>
  <c r="BU34" i="58"/>
  <c r="BT34" i="58"/>
  <c r="BS34" i="58"/>
  <c r="BR34" i="58"/>
  <c r="BQ34" i="58"/>
  <c r="BP34" i="58"/>
  <c r="BO34" i="58"/>
  <c r="BV33" i="58"/>
  <c r="BU33" i="58"/>
  <c r="BT33" i="58"/>
  <c r="BS33" i="58"/>
  <c r="BR33" i="58"/>
  <c r="BQ33" i="58"/>
  <c r="BP33" i="58"/>
  <c r="BO33" i="58"/>
  <c r="BR16" i="58"/>
  <c r="BS16" i="58"/>
  <c r="BT16" i="58"/>
  <c r="BU16" i="58"/>
  <c r="BV16" i="58"/>
  <c r="BP17" i="58"/>
  <c r="BQ17" i="58"/>
  <c r="BR17" i="58"/>
  <c r="BS17" i="58"/>
  <c r="BT17" i="58"/>
  <c r="BU17" i="58"/>
  <c r="BV17" i="58"/>
  <c r="BP18" i="58"/>
  <c r="BQ18" i="58"/>
  <c r="BR18" i="58"/>
  <c r="BS18" i="58"/>
  <c r="BT18" i="58"/>
  <c r="BU18" i="58"/>
  <c r="BV18" i="58"/>
  <c r="BP19" i="58"/>
  <c r="BQ19" i="58"/>
  <c r="BR19" i="58"/>
  <c r="BS19" i="58"/>
  <c r="BT19" i="58"/>
  <c r="BU19" i="58"/>
  <c r="BV19" i="58"/>
  <c r="BP20" i="58"/>
  <c r="BQ20" i="58"/>
  <c r="BR20" i="58"/>
  <c r="BS20" i="58"/>
  <c r="BT20" i="58"/>
  <c r="BU20" i="58"/>
  <c r="BV20" i="58"/>
  <c r="BP21" i="58"/>
  <c r="BQ21" i="58"/>
  <c r="BR21" i="58"/>
  <c r="BS21" i="58"/>
  <c r="BT21" i="58"/>
  <c r="BU21" i="58"/>
  <c r="BV21" i="58"/>
  <c r="BP22" i="58"/>
  <c r="BQ22" i="58"/>
  <c r="BR22" i="58"/>
  <c r="BS22" i="58"/>
  <c r="BT22" i="58"/>
  <c r="BU22" i="58"/>
  <c r="BV22" i="58"/>
  <c r="BP23" i="58"/>
  <c r="BQ23" i="58"/>
  <c r="BR23" i="58"/>
  <c r="BS23" i="58"/>
  <c r="BT23" i="58"/>
  <c r="BU23" i="58"/>
  <c r="BV23" i="58"/>
  <c r="BP24" i="58"/>
  <c r="BQ24" i="58"/>
  <c r="BR24" i="58"/>
  <c r="BS24" i="58"/>
  <c r="BT24" i="58"/>
  <c r="BU24" i="58"/>
  <c r="BV24" i="58"/>
  <c r="BO24" i="58"/>
  <c r="BO23" i="58"/>
  <c r="BO22" i="58"/>
  <c r="BO21" i="58"/>
  <c r="BO20" i="58"/>
  <c r="BO19" i="58"/>
  <c r="BO18" i="58"/>
  <c r="BO17" i="58"/>
  <c r="BO16" i="58"/>
  <c r="A111" i="59"/>
  <c r="A110" i="59"/>
  <c r="A109" i="59"/>
  <c r="A108" i="59"/>
  <c r="A107" i="59"/>
  <c r="A106" i="59"/>
  <c r="A105" i="59"/>
  <c r="A104" i="59"/>
  <c r="A103" i="59"/>
  <c r="A102" i="59"/>
  <c r="A101" i="59"/>
  <c r="A100" i="59"/>
  <c r="A99" i="59"/>
  <c r="A98" i="59"/>
  <c r="A97" i="59"/>
  <c r="A96" i="59"/>
  <c r="A95" i="59"/>
  <c r="A94" i="59"/>
  <c r="A93" i="59"/>
  <c r="A92" i="59"/>
  <c r="A91" i="59"/>
  <c r="A90" i="59"/>
  <c r="A89" i="59"/>
  <c r="A88" i="59"/>
  <c r="A87" i="59"/>
  <c r="A86" i="59"/>
  <c r="A85" i="59"/>
  <c r="A84" i="59"/>
  <c r="A83" i="59"/>
  <c r="A82" i="59"/>
  <c r="A81" i="59"/>
  <c r="A80" i="59"/>
  <c r="A79" i="59"/>
  <c r="A78" i="59"/>
  <c r="A77" i="59"/>
  <c r="A76" i="59"/>
  <c r="AU138" i="58"/>
  <c r="BE138" i="58"/>
  <c r="AU139" i="58"/>
  <c r="BE139" i="58"/>
  <c r="AU140" i="58"/>
  <c r="BE140" i="58"/>
  <c r="AU141" i="58"/>
  <c r="BE141" i="58"/>
  <c r="AU142" i="58"/>
  <c r="BE142" i="58"/>
  <c r="AU143" i="58"/>
  <c r="BE143" i="58"/>
  <c r="AU144" i="58"/>
  <c r="BE144" i="58"/>
  <c r="AU145" i="58"/>
  <c r="BE145" i="58"/>
  <c r="AU146" i="58"/>
  <c r="BE146" i="58"/>
  <c r="AU147" i="58"/>
  <c r="BE147" i="58"/>
  <c r="AU148" i="58"/>
  <c r="BE148" i="58"/>
  <c r="AU149" i="58"/>
  <c r="BE149" i="58"/>
  <c r="AU150" i="58"/>
  <c r="BE150" i="58"/>
  <c r="AU151" i="58"/>
  <c r="BE151" i="58"/>
  <c r="AU152" i="58"/>
  <c r="BE152" i="58"/>
  <c r="AU153" i="58"/>
  <c r="BE153" i="58"/>
  <c r="AU154" i="58"/>
  <c r="BE154" i="58"/>
  <c r="AU155" i="58"/>
  <c r="BE155" i="58"/>
  <c r="AU156" i="58"/>
  <c r="BE156" i="58"/>
  <c r="AU157" i="58"/>
  <c r="BE157" i="58"/>
  <c r="AU158" i="58"/>
  <c r="BE158" i="58"/>
  <c r="AU159" i="58"/>
  <c r="BE159" i="58"/>
  <c r="AU160" i="58"/>
  <c r="BE160" i="58"/>
  <c r="AU161" i="58"/>
  <c r="BE161" i="58"/>
  <c r="AU162" i="58"/>
  <c r="BE162" i="58"/>
  <c r="AU163" i="58"/>
  <c r="BE163" i="58"/>
  <c r="AU164" i="58"/>
  <c r="BE164" i="58"/>
  <c r="AU165" i="58"/>
  <c r="BE165" i="58"/>
  <c r="AU166" i="58"/>
  <c r="BE166" i="58"/>
  <c r="AU167" i="58"/>
  <c r="BE167" i="58"/>
  <c r="AU168" i="58"/>
  <c r="BE168" i="58"/>
  <c r="AU169" i="58"/>
  <c r="BE169" i="58"/>
  <c r="AU170" i="58"/>
  <c r="BE170" i="58"/>
  <c r="AU171" i="58"/>
  <c r="BE171" i="58"/>
  <c r="AU172" i="58"/>
  <c r="BE172" i="58"/>
  <c r="AU173" i="58"/>
  <c r="BE173" i="58"/>
  <c r="AL141" i="58"/>
  <c r="AM141" i="58"/>
  <c r="AN141" i="58"/>
  <c r="AO141" i="58"/>
  <c r="AP141" i="58"/>
  <c r="AQ141" i="58"/>
  <c r="AR141" i="58"/>
  <c r="AS141" i="58"/>
  <c r="BC141" i="58"/>
  <c r="AT141" i="58"/>
  <c r="BD141" i="58"/>
  <c r="AL142" i="58"/>
  <c r="AM142" i="58"/>
  <c r="AN142" i="58"/>
  <c r="AO142" i="58"/>
  <c r="AP142" i="58"/>
  <c r="AQ142" i="58"/>
  <c r="AR142" i="58"/>
  <c r="AS142" i="58"/>
  <c r="BC142" i="58"/>
  <c r="AT142" i="58"/>
  <c r="BD142" i="58"/>
  <c r="AL143" i="58"/>
  <c r="AM143" i="58"/>
  <c r="AN143" i="58"/>
  <c r="AO143" i="58"/>
  <c r="AP143" i="58"/>
  <c r="AQ143" i="58"/>
  <c r="AR143" i="58"/>
  <c r="AS143" i="58"/>
  <c r="BC143" i="58"/>
  <c r="AT143" i="58"/>
  <c r="BD143" i="58"/>
  <c r="AL144" i="58"/>
  <c r="AM144" i="58"/>
  <c r="AN144" i="58"/>
  <c r="AO144" i="58"/>
  <c r="AP144" i="58"/>
  <c r="AQ144" i="58"/>
  <c r="AR144" i="58"/>
  <c r="AS144" i="58"/>
  <c r="BC144" i="58"/>
  <c r="AT144" i="58"/>
  <c r="BD144" i="58"/>
  <c r="AL145" i="58"/>
  <c r="AM145" i="58"/>
  <c r="AN145" i="58"/>
  <c r="AO145" i="58"/>
  <c r="AP145" i="58"/>
  <c r="AQ145" i="58"/>
  <c r="AR145" i="58"/>
  <c r="AS145" i="58"/>
  <c r="BC145" i="58"/>
  <c r="AT145" i="58"/>
  <c r="BD145" i="58"/>
  <c r="AL146" i="58"/>
  <c r="AM146" i="58"/>
  <c r="AN146" i="58"/>
  <c r="AO146" i="58"/>
  <c r="AP146" i="58"/>
  <c r="AQ146" i="58"/>
  <c r="AR146" i="58"/>
  <c r="AS146" i="58"/>
  <c r="BC146" i="58"/>
  <c r="AT146" i="58"/>
  <c r="BD146" i="58"/>
  <c r="AL147" i="58"/>
  <c r="AM147" i="58"/>
  <c r="AN147" i="58"/>
  <c r="AO147" i="58"/>
  <c r="AP147" i="58"/>
  <c r="AQ147" i="58"/>
  <c r="AR147" i="58"/>
  <c r="AS147" i="58"/>
  <c r="BC147" i="58"/>
  <c r="AT147" i="58"/>
  <c r="BD147" i="58"/>
  <c r="AL148" i="58"/>
  <c r="AM148" i="58"/>
  <c r="AN148" i="58"/>
  <c r="AO148" i="58"/>
  <c r="AP148" i="58"/>
  <c r="AQ148" i="58"/>
  <c r="AR148" i="58"/>
  <c r="AS148" i="58"/>
  <c r="BC148" i="58"/>
  <c r="AT148" i="58"/>
  <c r="BD148" i="58"/>
  <c r="AL149" i="58"/>
  <c r="AM149" i="58"/>
  <c r="AN149" i="58"/>
  <c r="AO149" i="58"/>
  <c r="AP149" i="58"/>
  <c r="AQ149" i="58"/>
  <c r="AR149" i="58"/>
  <c r="AS149" i="58"/>
  <c r="BC149" i="58"/>
  <c r="AT149" i="58"/>
  <c r="BD149" i="58"/>
  <c r="AL150" i="58"/>
  <c r="AM150" i="58"/>
  <c r="AN150" i="58"/>
  <c r="AO150" i="58"/>
  <c r="AP150" i="58"/>
  <c r="AQ150" i="58"/>
  <c r="AR150" i="58"/>
  <c r="AS150" i="58"/>
  <c r="BC150" i="58"/>
  <c r="AT150" i="58"/>
  <c r="BD150" i="58"/>
  <c r="AL151" i="58"/>
  <c r="AM151" i="58"/>
  <c r="AN151" i="58"/>
  <c r="AO151" i="58"/>
  <c r="AP151" i="58"/>
  <c r="AQ151" i="58"/>
  <c r="AR151" i="58"/>
  <c r="AS151" i="58"/>
  <c r="BC151" i="58"/>
  <c r="AT151" i="58"/>
  <c r="BD151" i="58"/>
  <c r="AL152" i="58"/>
  <c r="AM152" i="58"/>
  <c r="AN152" i="58"/>
  <c r="AO152" i="58"/>
  <c r="AP152" i="58"/>
  <c r="AQ152" i="58"/>
  <c r="AR152" i="58"/>
  <c r="AS152" i="58"/>
  <c r="BC152" i="58"/>
  <c r="AT152" i="58"/>
  <c r="BD152" i="58"/>
  <c r="AL153" i="58"/>
  <c r="AM153" i="58"/>
  <c r="AN153" i="58"/>
  <c r="AO153" i="58"/>
  <c r="AP153" i="58"/>
  <c r="AQ153" i="58"/>
  <c r="AR153" i="58"/>
  <c r="AS153" i="58"/>
  <c r="BC153" i="58"/>
  <c r="AT153" i="58"/>
  <c r="BD153" i="58"/>
  <c r="AL154" i="58"/>
  <c r="AM154" i="58"/>
  <c r="AN154" i="58"/>
  <c r="AO154" i="58"/>
  <c r="AP154" i="58"/>
  <c r="AQ154" i="58"/>
  <c r="AR154" i="58"/>
  <c r="AS154" i="58"/>
  <c r="BC154" i="58"/>
  <c r="AT154" i="58"/>
  <c r="BD154" i="58"/>
  <c r="AL155" i="58"/>
  <c r="AM155" i="58"/>
  <c r="AN155" i="58"/>
  <c r="AO155" i="58"/>
  <c r="AP155" i="58"/>
  <c r="AQ155" i="58"/>
  <c r="AR155" i="58"/>
  <c r="AS155" i="58"/>
  <c r="BC155" i="58"/>
  <c r="AT155" i="58"/>
  <c r="BD155" i="58"/>
  <c r="AL156" i="58"/>
  <c r="AM156" i="58"/>
  <c r="AN156" i="58"/>
  <c r="AO156" i="58"/>
  <c r="AP156" i="58"/>
  <c r="AQ156" i="58"/>
  <c r="AR156" i="58"/>
  <c r="AS156" i="58"/>
  <c r="BC156" i="58"/>
  <c r="AT156" i="58"/>
  <c r="BD156" i="58"/>
  <c r="AL157" i="58"/>
  <c r="AM157" i="58"/>
  <c r="AN157" i="58"/>
  <c r="AO157" i="58"/>
  <c r="AP157" i="58"/>
  <c r="AQ157" i="58"/>
  <c r="AR157" i="58"/>
  <c r="AS157" i="58"/>
  <c r="BC157" i="58"/>
  <c r="AT157" i="58"/>
  <c r="BD157" i="58"/>
  <c r="AL158" i="58"/>
  <c r="AM158" i="58"/>
  <c r="AN158" i="58"/>
  <c r="AO158" i="58"/>
  <c r="AP158" i="58"/>
  <c r="AQ158" i="58"/>
  <c r="AR158" i="58"/>
  <c r="AS158" i="58"/>
  <c r="BC158" i="58"/>
  <c r="AT158" i="58"/>
  <c r="BD158" i="58"/>
  <c r="AL159" i="58"/>
  <c r="AM159" i="58"/>
  <c r="AN159" i="58"/>
  <c r="AO159" i="58"/>
  <c r="AP159" i="58"/>
  <c r="AQ159" i="58"/>
  <c r="AR159" i="58"/>
  <c r="AS159" i="58"/>
  <c r="BC159" i="58"/>
  <c r="AT159" i="58"/>
  <c r="BD159" i="58"/>
  <c r="AL160" i="58"/>
  <c r="AM160" i="58"/>
  <c r="AN160" i="58"/>
  <c r="AO160" i="58"/>
  <c r="AP160" i="58"/>
  <c r="AQ160" i="58"/>
  <c r="AR160" i="58"/>
  <c r="AS160" i="58"/>
  <c r="BC160" i="58"/>
  <c r="AT160" i="58"/>
  <c r="BD160" i="58"/>
  <c r="AL161" i="58"/>
  <c r="AM161" i="58"/>
  <c r="AN161" i="58"/>
  <c r="AO161" i="58"/>
  <c r="AP161" i="58"/>
  <c r="AQ161" i="58"/>
  <c r="AR161" i="58"/>
  <c r="AS161" i="58"/>
  <c r="BC161" i="58"/>
  <c r="AT161" i="58"/>
  <c r="BD161" i="58"/>
  <c r="AL162" i="58"/>
  <c r="AM162" i="58"/>
  <c r="AN162" i="58"/>
  <c r="AO162" i="58"/>
  <c r="AP162" i="58"/>
  <c r="AQ162" i="58"/>
  <c r="AR162" i="58"/>
  <c r="AS162" i="58"/>
  <c r="BC162" i="58"/>
  <c r="AT162" i="58"/>
  <c r="BD162" i="58"/>
  <c r="AL163" i="58"/>
  <c r="AM163" i="58"/>
  <c r="AN163" i="58"/>
  <c r="AO163" i="58"/>
  <c r="AP163" i="58"/>
  <c r="AQ163" i="58"/>
  <c r="AR163" i="58"/>
  <c r="AS163" i="58"/>
  <c r="BC163" i="58"/>
  <c r="AT163" i="58"/>
  <c r="BD163" i="58"/>
  <c r="AL164" i="58"/>
  <c r="AM164" i="58"/>
  <c r="AN164" i="58"/>
  <c r="AO164" i="58"/>
  <c r="AP164" i="58"/>
  <c r="AQ164" i="58"/>
  <c r="AR164" i="58"/>
  <c r="AS164" i="58"/>
  <c r="BC164" i="58"/>
  <c r="AT164" i="58"/>
  <c r="BD164" i="58"/>
  <c r="AL165" i="58"/>
  <c r="AM165" i="58"/>
  <c r="AN165" i="58"/>
  <c r="AO165" i="58"/>
  <c r="AP165" i="58"/>
  <c r="AQ165" i="58"/>
  <c r="AR165" i="58"/>
  <c r="AS165" i="58"/>
  <c r="BC165" i="58"/>
  <c r="AT165" i="58"/>
  <c r="BD165" i="58"/>
  <c r="AL166" i="58"/>
  <c r="AM166" i="58"/>
  <c r="AN166" i="58"/>
  <c r="AO166" i="58"/>
  <c r="AP166" i="58"/>
  <c r="AQ166" i="58"/>
  <c r="AR166" i="58"/>
  <c r="AS166" i="58"/>
  <c r="BC166" i="58"/>
  <c r="AT166" i="58"/>
  <c r="BD166" i="58"/>
  <c r="AL167" i="58"/>
  <c r="AM167" i="58"/>
  <c r="AN167" i="58"/>
  <c r="AO167" i="58"/>
  <c r="AP167" i="58"/>
  <c r="AQ167" i="58"/>
  <c r="AR167" i="58"/>
  <c r="AS167" i="58"/>
  <c r="BC167" i="58"/>
  <c r="AT167" i="58"/>
  <c r="BD167" i="58"/>
  <c r="AL168" i="58"/>
  <c r="AM168" i="58"/>
  <c r="AN168" i="58"/>
  <c r="AO168" i="58"/>
  <c r="AP168" i="58"/>
  <c r="AQ168" i="58"/>
  <c r="AR168" i="58"/>
  <c r="AS168" i="58"/>
  <c r="BC168" i="58"/>
  <c r="AT168" i="58"/>
  <c r="BD168" i="58"/>
  <c r="AL169" i="58"/>
  <c r="AM169" i="58"/>
  <c r="AN169" i="58"/>
  <c r="AO169" i="58"/>
  <c r="AP169" i="58"/>
  <c r="AQ169" i="58"/>
  <c r="AR169" i="58"/>
  <c r="AS169" i="58"/>
  <c r="BC169" i="58"/>
  <c r="AT169" i="58"/>
  <c r="BD169" i="58"/>
  <c r="AL170" i="58"/>
  <c r="AM170" i="58"/>
  <c r="AN170" i="58"/>
  <c r="AO170" i="58"/>
  <c r="AP170" i="58"/>
  <c r="AQ170" i="58"/>
  <c r="AR170" i="58"/>
  <c r="AS170" i="58"/>
  <c r="BC170" i="58"/>
  <c r="AT170" i="58"/>
  <c r="BD170" i="58"/>
  <c r="AL171" i="58"/>
  <c r="AM171" i="58"/>
  <c r="AN171" i="58"/>
  <c r="AO171" i="58"/>
  <c r="AP171" i="58"/>
  <c r="AQ171" i="58"/>
  <c r="AR171" i="58"/>
  <c r="AS171" i="58"/>
  <c r="BC171" i="58"/>
  <c r="AT171" i="58"/>
  <c r="BD171" i="58"/>
  <c r="I136" i="58"/>
  <c r="P134" i="58"/>
  <c r="P181" i="58"/>
  <c r="AT173" i="58"/>
  <c r="BD173" i="58"/>
  <c r="AS173" i="58"/>
  <c r="BC173" i="58"/>
  <c r="AR173" i="58"/>
  <c r="AQ173" i="58"/>
  <c r="AP173" i="58"/>
  <c r="AO173" i="58"/>
  <c r="AN173" i="58"/>
  <c r="AM173" i="58"/>
  <c r="AL173" i="58"/>
  <c r="AT172" i="58"/>
  <c r="BD172" i="58"/>
  <c r="AS172" i="58"/>
  <c r="BC172" i="58"/>
  <c r="AR172" i="58"/>
  <c r="AQ172" i="58"/>
  <c r="AP172" i="58"/>
  <c r="AO172" i="58"/>
  <c r="AN172" i="58"/>
  <c r="AM172" i="58"/>
  <c r="AL172" i="58"/>
  <c r="AT140" i="58"/>
  <c r="BD140" i="58"/>
  <c r="AS140" i="58"/>
  <c r="BC140" i="58"/>
  <c r="AR140" i="58"/>
  <c r="AQ140" i="58"/>
  <c r="AP140" i="58"/>
  <c r="AO140" i="58"/>
  <c r="AN140" i="58"/>
  <c r="AM140" i="58"/>
  <c r="AL140" i="58"/>
  <c r="AT139" i="58"/>
  <c r="BD139" i="58"/>
  <c r="AS139" i="58"/>
  <c r="BC139" i="58"/>
  <c r="AR139" i="58"/>
  <c r="AQ139" i="58"/>
  <c r="AP139" i="58"/>
  <c r="AO139" i="58"/>
  <c r="AN139" i="58"/>
  <c r="AM139" i="58"/>
  <c r="AL139" i="58"/>
  <c r="AT138" i="58"/>
  <c r="BD138" i="58"/>
  <c r="AS138" i="58"/>
  <c r="BC138" i="58"/>
  <c r="AR138" i="58"/>
  <c r="BL138" i="58"/>
  <c r="AQ138" i="58"/>
  <c r="BK138" i="58"/>
  <c r="AP138" i="58"/>
  <c r="AO138" i="58"/>
  <c r="AN138" i="58"/>
  <c r="AM138" i="58"/>
  <c r="AL138" i="58"/>
  <c r="L136" i="58"/>
  <c r="AV134" i="58"/>
  <c r="O134" i="58"/>
  <c r="O181" i="58"/>
  <c r="M134" i="58"/>
  <c r="L134" i="58"/>
  <c r="K134" i="58"/>
  <c r="J134" i="58"/>
  <c r="I134" i="58"/>
  <c r="H134" i="58"/>
  <c r="G99" i="58"/>
  <c r="N97" i="58"/>
  <c r="K97" i="58"/>
  <c r="J97" i="58"/>
  <c r="G97" i="58"/>
  <c r="F97" i="58"/>
  <c r="G82" i="58"/>
  <c r="N80" i="58"/>
  <c r="M80" i="58"/>
  <c r="L80" i="58"/>
  <c r="K80" i="58"/>
  <c r="J80" i="58"/>
  <c r="I80" i="58"/>
  <c r="H80" i="58"/>
  <c r="G80" i="58"/>
  <c r="F80" i="58"/>
  <c r="G65" i="58"/>
  <c r="N63" i="58"/>
  <c r="M63" i="58"/>
  <c r="L63" i="58"/>
  <c r="K63" i="58"/>
  <c r="J63" i="58"/>
  <c r="I63" i="58"/>
  <c r="H63" i="58"/>
  <c r="G63" i="58"/>
  <c r="F63" i="58"/>
  <c r="G48" i="58"/>
  <c r="N46" i="58"/>
  <c r="M46" i="58"/>
  <c r="L46" i="58"/>
  <c r="K46" i="58"/>
  <c r="J46" i="58"/>
  <c r="I46" i="58"/>
  <c r="H46" i="58"/>
  <c r="G46" i="58"/>
  <c r="F46" i="58"/>
  <c r="G31" i="58"/>
  <c r="N29" i="58"/>
  <c r="M29" i="58"/>
  <c r="L29" i="58"/>
  <c r="K29" i="58"/>
  <c r="J29" i="58"/>
  <c r="I29" i="58"/>
  <c r="H29" i="58"/>
  <c r="G29" i="58"/>
  <c r="F29" i="58"/>
  <c r="G14" i="58"/>
  <c r="N12" i="58"/>
  <c r="M12" i="58"/>
  <c r="L12" i="58"/>
  <c r="K12" i="58"/>
  <c r="J12" i="58"/>
  <c r="I12" i="58"/>
  <c r="H12" i="58"/>
  <c r="G12" i="58"/>
  <c r="F12" i="58"/>
  <c r="BN109" i="58"/>
  <c r="BM109" i="58"/>
  <c r="BL109" i="58"/>
  <c r="BK109" i="58"/>
  <c r="BJ109" i="58"/>
  <c r="BI109" i="58"/>
  <c r="BH109" i="58"/>
  <c r="BG109" i="58"/>
  <c r="AU109" i="58"/>
  <c r="BE109" i="58"/>
  <c r="AT109" i="58"/>
  <c r="AS109" i="58"/>
  <c r="AR109" i="58"/>
  <c r="AQ109" i="58"/>
  <c r="AP109" i="58"/>
  <c r="AO109" i="58"/>
  <c r="AN109" i="58"/>
  <c r="AM109" i="58"/>
  <c r="B109" i="58"/>
  <c r="BN108" i="58"/>
  <c r="BM108" i="58"/>
  <c r="BL108" i="58"/>
  <c r="BK108" i="58"/>
  <c r="BJ108" i="58"/>
  <c r="BI108" i="58"/>
  <c r="BH108" i="58"/>
  <c r="BG108" i="58"/>
  <c r="AU108" i="58"/>
  <c r="BE108" i="58"/>
  <c r="AT108" i="58"/>
  <c r="AS108" i="58"/>
  <c r="AR108" i="58"/>
  <c r="AQ108" i="58"/>
  <c r="AP108" i="58"/>
  <c r="AO108" i="58"/>
  <c r="AN108" i="58"/>
  <c r="AM108" i="58"/>
  <c r="B108" i="58"/>
  <c r="BN107" i="58"/>
  <c r="BM107" i="58"/>
  <c r="BL107" i="58"/>
  <c r="BK107" i="58"/>
  <c r="BJ107" i="58"/>
  <c r="BI107" i="58"/>
  <c r="BH107" i="58"/>
  <c r="BG107" i="58"/>
  <c r="AU107" i="58"/>
  <c r="BE107" i="58"/>
  <c r="AT107" i="58"/>
  <c r="AS107" i="58"/>
  <c r="AR107" i="58"/>
  <c r="AQ107" i="58"/>
  <c r="AP107" i="58"/>
  <c r="AO107" i="58"/>
  <c r="AN107" i="58"/>
  <c r="AM107" i="58"/>
  <c r="B107" i="58"/>
  <c r="BN106" i="58"/>
  <c r="BM106" i="58"/>
  <c r="BL106" i="58"/>
  <c r="BK106" i="58"/>
  <c r="BJ106" i="58"/>
  <c r="BI106" i="58"/>
  <c r="BH106" i="58"/>
  <c r="BG106" i="58"/>
  <c r="AU106" i="58"/>
  <c r="BE106" i="58"/>
  <c r="AT106" i="58"/>
  <c r="AS106" i="58"/>
  <c r="AR106" i="58"/>
  <c r="AQ106" i="58"/>
  <c r="AP106" i="58"/>
  <c r="AO106" i="58"/>
  <c r="AN106" i="58"/>
  <c r="AM106" i="58"/>
  <c r="B106" i="58"/>
  <c r="BN105" i="58"/>
  <c r="BM105" i="58"/>
  <c r="BL105" i="58"/>
  <c r="BK105" i="58"/>
  <c r="BJ105" i="58"/>
  <c r="BI105" i="58"/>
  <c r="BH105" i="58"/>
  <c r="BG105" i="58"/>
  <c r="AU105" i="58"/>
  <c r="BE105" i="58"/>
  <c r="AT105" i="58"/>
  <c r="AS105" i="58"/>
  <c r="AR105" i="58"/>
  <c r="AQ105" i="58"/>
  <c r="AP105" i="58"/>
  <c r="AO105" i="58"/>
  <c r="AN105" i="58"/>
  <c r="AM105" i="58"/>
  <c r="B105" i="58"/>
  <c r="BN104" i="58"/>
  <c r="BM104" i="58"/>
  <c r="BL104" i="58"/>
  <c r="BK104" i="58"/>
  <c r="BJ104" i="58"/>
  <c r="BI104" i="58"/>
  <c r="BH104" i="58"/>
  <c r="BG104" i="58"/>
  <c r="AU104" i="58"/>
  <c r="BE104" i="58"/>
  <c r="AT104" i="58"/>
  <c r="AS104" i="58"/>
  <c r="AR104" i="58"/>
  <c r="AQ104" i="58"/>
  <c r="AP104" i="58"/>
  <c r="AO104" i="58"/>
  <c r="AN104" i="58"/>
  <c r="AM104" i="58"/>
  <c r="B104" i="58"/>
  <c r="BN103" i="58"/>
  <c r="BM103" i="58"/>
  <c r="BL103" i="58"/>
  <c r="BK103" i="58"/>
  <c r="BJ103" i="58"/>
  <c r="BI103" i="58"/>
  <c r="BH103" i="58"/>
  <c r="BG103" i="58"/>
  <c r="AU103" i="58"/>
  <c r="BE103" i="58"/>
  <c r="AT103" i="58"/>
  <c r="AS103" i="58"/>
  <c r="AR103" i="58"/>
  <c r="AQ103" i="58"/>
  <c r="AP103" i="58"/>
  <c r="AO103" i="58"/>
  <c r="AN103" i="58"/>
  <c r="AM103" i="58"/>
  <c r="B103" i="58"/>
  <c r="BN102" i="58"/>
  <c r="BM102" i="58"/>
  <c r="BL102" i="58"/>
  <c r="BK102" i="58"/>
  <c r="BJ102" i="58"/>
  <c r="BI102" i="58"/>
  <c r="BH102" i="58"/>
  <c r="BG102" i="58"/>
  <c r="AU102" i="58"/>
  <c r="BE102" i="58"/>
  <c r="AT102" i="58"/>
  <c r="AS102" i="58"/>
  <c r="AR102" i="58"/>
  <c r="AQ102" i="58"/>
  <c r="AP102" i="58"/>
  <c r="AO102" i="58"/>
  <c r="AN102" i="58"/>
  <c r="AM102" i="58"/>
  <c r="B102" i="58"/>
  <c r="BN101" i="58"/>
  <c r="BM101" i="58"/>
  <c r="BL101" i="58"/>
  <c r="BK101" i="58"/>
  <c r="BJ101" i="58"/>
  <c r="BI101" i="58"/>
  <c r="BH101" i="58"/>
  <c r="BG101" i="58"/>
  <c r="AU101" i="58"/>
  <c r="BE101" i="58"/>
  <c r="AT101" i="58"/>
  <c r="AS101" i="58"/>
  <c r="AR101" i="58"/>
  <c r="AQ101" i="58"/>
  <c r="AP101" i="58"/>
  <c r="AO101" i="58"/>
  <c r="AN101" i="58"/>
  <c r="AM101" i="58"/>
  <c r="B101" i="58"/>
  <c r="C101" i="58"/>
  <c r="BE99" i="58"/>
  <c r="AW97" i="58"/>
  <c r="B97" i="58"/>
  <c r="BN92" i="58"/>
  <c r="BM92" i="58"/>
  <c r="BL92" i="58"/>
  <c r="BK92" i="58"/>
  <c r="BJ92" i="58"/>
  <c r="BI92" i="58"/>
  <c r="BH92" i="58"/>
  <c r="BG92" i="58"/>
  <c r="AU92" i="58"/>
  <c r="BE92" i="58"/>
  <c r="AT92" i="58"/>
  <c r="AS92" i="58"/>
  <c r="AR92" i="58"/>
  <c r="AQ92" i="58"/>
  <c r="AP92" i="58"/>
  <c r="AO92" i="58"/>
  <c r="AN92" i="58"/>
  <c r="AM92" i="58"/>
  <c r="B92" i="58"/>
  <c r="BN91" i="58"/>
  <c r="BM91" i="58"/>
  <c r="BL91" i="58"/>
  <c r="BK91" i="58"/>
  <c r="BJ91" i="58"/>
  <c r="BI91" i="58"/>
  <c r="BH91" i="58"/>
  <c r="BG91" i="58"/>
  <c r="AU91" i="58"/>
  <c r="BE91" i="58"/>
  <c r="AT91" i="58"/>
  <c r="AS91" i="58"/>
  <c r="AR91" i="58"/>
  <c r="AQ91" i="58"/>
  <c r="AP91" i="58"/>
  <c r="AO91" i="58"/>
  <c r="AN91" i="58"/>
  <c r="AM91" i="58"/>
  <c r="B91" i="58"/>
  <c r="BN90" i="58"/>
  <c r="BM90" i="58"/>
  <c r="BL90" i="58"/>
  <c r="BK90" i="58"/>
  <c r="BJ90" i="58"/>
  <c r="BI90" i="58"/>
  <c r="BH90" i="58"/>
  <c r="BG90" i="58"/>
  <c r="AU90" i="58"/>
  <c r="BE90" i="58"/>
  <c r="AT90" i="58"/>
  <c r="AS90" i="58"/>
  <c r="AR90" i="58"/>
  <c r="AQ90" i="58"/>
  <c r="AP90" i="58"/>
  <c r="AO90" i="58"/>
  <c r="AN90" i="58"/>
  <c r="AM90" i="58"/>
  <c r="B90" i="58"/>
  <c r="BN89" i="58"/>
  <c r="BM89" i="58"/>
  <c r="BL89" i="58"/>
  <c r="BK89" i="58"/>
  <c r="BJ89" i="58"/>
  <c r="BI89" i="58"/>
  <c r="BH89" i="58"/>
  <c r="BG89" i="58"/>
  <c r="AU89" i="58"/>
  <c r="BE89" i="58"/>
  <c r="AT89" i="58"/>
  <c r="AS89" i="58"/>
  <c r="AR89" i="58"/>
  <c r="AQ89" i="58"/>
  <c r="AP89" i="58"/>
  <c r="AO89" i="58"/>
  <c r="AN89" i="58"/>
  <c r="AM89" i="58"/>
  <c r="B89" i="58"/>
  <c r="BN88" i="58"/>
  <c r="BM88" i="58"/>
  <c r="BL88" i="58"/>
  <c r="BK88" i="58"/>
  <c r="BJ88" i="58"/>
  <c r="BI88" i="58"/>
  <c r="BH88" i="58"/>
  <c r="BG88" i="58"/>
  <c r="AU88" i="58"/>
  <c r="BE88" i="58"/>
  <c r="AT88" i="58"/>
  <c r="AS88" i="58"/>
  <c r="AR88" i="58"/>
  <c r="AQ88" i="58"/>
  <c r="AP88" i="58"/>
  <c r="AO88" i="58"/>
  <c r="AN88" i="58"/>
  <c r="AM88" i="58"/>
  <c r="B88" i="58"/>
  <c r="BN87" i="58"/>
  <c r="BM87" i="58"/>
  <c r="BL87" i="58"/>
  <c r="BK87" i="58"/>
  <c r="BJ87" i="58"/>
  <c r="BI87" i="58"/>
  <c r="BH87" i="58"/>
  <c r="BG87" i="58"/>
  <c r="AU87" i="58"/>
  <c r="BE87" i="58"/>
  <c r="AT87" i="58"/>
  <c r="AS87" i="58"/>
  <c r="AR87" i="58"/>
  <c r="AQ87" i="58"/>
  <c r="AP87" i="58"/>
  <c r="AO87" i="58"/>
  <c r="AN87" i="58"/>
  <c r="AM87" i="58"/>
  <c r="B87" i="58"/>
  <c r="BN86" i="58"/>
  <c r="BM86" i="58"/>
  <c r="BL86" i="58"/>
  <c r="BK86" i="58"/>
  <c r="BJ86" i="58"/>
  <c r="BI86" i="58"/>
  <c r="BH86" i="58"/>
  <c r="BG86" i="58"/>
  <c r="AU86" i="58"/>
  <c r="BE86" i="58"/>
  <c r="AT86" i="58"/>
  <c r="AS86" i="58"/>
  <c r="AR86" i="58"/>
  <c r="AQ86" i="58"/>
  <c r="AP86" i="58"/>
  <c r="AO86" i="58"/>
  <c r="AN86" i="58"/>
  <c r="AM86" i="58"/>
  <c r="B86" i="58"/>
  <c r="BN85" i="58"/>
  <c r="BM85" i="58"/>
  <c r="BL85" i="58"/>
  <c r="BK85" i="58"/>
  <c r="BJ85" i="58"/>
  <c r="BI85" i="58"/>
  <c r="BH85" i="58"/>
  <c r="BG85" i="58"/>
  <c r="AU85" i="58"/>
  <c r="BE85" i="58"/>
  <c r="AT85" i="58"/>
  <c r="AS85" i="58"/>
  <c r="AR85" i="58"/>
  <c r="AQ85" i="58"/>
  <c r="AP85" i="58"/>
  <c r="AO85" i="58"/>
  <c r="AN85" i="58"/>
  <c r="AM85" i="58"/>
  <c r="B85" i="58"/>
  <c r="BN84" i="58"/>
  <c r="BM84" i="58"/>
  <c r="BL84" i="58"/>
  <c r="BK84" i="58"/>
  <c r="BJ84" i="58"/>
  <c r="BI84" i="58"/>
  <c r="BH84" i="58"/>
  <c r="BG84" i="58"/>
  <c r="AU84" i="58"/>
  <c r="BE84" i="58"/>
  <c r="AT84" i="58"/>
  <c r="AS84" i="58"/>
  <c r="AR84" i="58"/>
  <c r="AQ84" i="58"/>
  <c r="AP84" i="58"/>
  <c r="AO84" i="58"/>
  <c r="AN84" i="58"/>
  <c r="AM84" i="58"/>
  <c r="B84" i="58"/>
  <c r="BE82" i="58"/>
  <c r="AW80" i="58"/>
  <c r="B80" i="58"/>
  <c r="BN75" i="58"/>
  <c r="BM75" i="58"/>
  <c r="BL75" i="58"/>
  <c r="BK75" i="58"/>
  <c r="BJ75" i="58"/>
  <c r="BI75" i="58"/>
  <c r="BH75" i="58"/>
  <c r="BG75" i="58"/>
  <c r="AU75" i="58"/>
  <c r="BE75" i="58"/>
  <c r="AT75" i="58"/>
  <c r="AS75" i="58"/>
  <c r="AR75" i="58"/>
  <c r="AQ75" i="58"/>
  <c r="AP75" i="58"/>
  <c r="AO75" i="58"/>
  <c r="AN75" i="58"/>
  <c r="AM75" i="58"/>
  <c r="B75" i="58"/>
  <c r="BN74" i="58"/>
  <c r="BM74" i="58"/>
  <c r="BL74" i="58"/>
  <c r="BK74" i="58"/>
  <c r="BJ74" i="58"/>
  <c r="BI74" i="58"/>
  <c r="BH74" i="58"/>
  <c r="BG74" i="58"/>
  <c r="AU74" i="58"/>
  <c r="BE74" i="58"/>
  <c r="AT74" i="58"/>
  <c r="AS74" i="58"/>
  <c r="AR74" i="58"/>
  <c r="AQ74" i="58"/>
  <c r="AP74" i="58"/>
  <c r="AO74" i="58"/>
  <c r="AN74" i="58"/>
  <c r="AM74" i="58"/>
  <c r="B74" i="58"/>
  <c r="BN73" i="58"/>
  <c r="BM73" i="58"/>
  <c r="BL73" i="58"/>
  <c r="BK73" i="58"/>
  <c r="BJ73" i="58"/>
  <c r="BI73" i="58"/>
  <c r="BH73" i="58"/>
  <c r="BG73" i="58"/>
  <c r="AU73" i="58"/>
  <c r="BE73" i="58"/>
  <c r="AT73" i="58"/>
  <c r="AS73" i="58"/>
  <c r="AR73" i="58"/>
  <c r="AQ73" i="58"/>
  <c r="AP73" i="58"/>
  <c r="AO73" i="58"/>
  <c r="AN73" i="58"/>
  <c r="AM73" i="58"/>
  <c r="B73" i="58"/>
  <c r="BN72" i="58"/>
  <c r="BM72" i="58"/>
  <c r="BL72" i="58"/>
  <c r="BK72" i="58"/>
  <c r="BJ72" i="58"/>
  <c r="BI72" i="58"/>
  <c r="BH72" i="58"/>
  <c r="BG72" i="58"/>
  <c r="AU72" i="58"/>
  <c r="BE72" i="58"/>
  <c r="AT72" i="58"/>
  <c r="AS72" i="58"/>
  <c r="AR72" i="58"/>
  <c r="AQ72" i="58"/>
  <c r="AP72" i="58"/>
  <c r="AO72" i="58"/>
  <c r="AN72" i="58"/>
  <c r="AM72" i="58"/>
  <c r="B72" i="58"/>
  <c r="BN71" i="58"/>
  <c r="BM71" i="58"/>
  <c r="BL71" i="58"/>
  <c r="BK71" i="58"/>
  <c r="BJ71" i="58"/>
  <c r="BI71" i="58"/>
  <c r="BH71" i="58"/>
  <c r="BG71" i="58"/>
  <c r="AU71" i="58"/>
  <c r="BE71" i="58"/>
  <c r="AT71" i="58"/>
  <c r="AS71" i="58"/>
  <c r="AR71" i="58"/>
  <c r="AQ71" i="58"/>
  <c r="AP71" i="58"/>
  <c r="AO71" i="58"/>
  <c r="AN71" i="58"/>
  <c r="AM71" i="58"/>
  <c r="B71" i="58"/>
  <c r="BN70" i="58"/>
  <c r="BM70" i="58"/>
  <c r="BL70" i="58"/>
  <c r="BK70" i="58"/>
  <c r="BJ70" i="58"/>
  <c r="BI70" i="58"/>
  <c r="BH70" i="58"/>
  <c r="BG70" i="58"/>
  <c r="AU70" i="58"/>
  <c r="BE70" i="58"/>
  <c r="AT70" i="58"/>
  <c r="AS70" i="58"/>
  <c r="AR70" i="58"/>
  <c r="AQ70" i="58"/>
  <c r="AP70" i="58"/>
  <c r="AO70" i="58"/>
  <c r="AN70" i="58"/>
  <c r="AM70" i="58"/>
  <c r="B70" i="58"/>
  <c r="BN69" i="58"/>
  <c r="BM69" i="58"/>
  <c r="BL69" i="58"/>
  <c r="BK69" i="58"/>
  <c r="BJ69" i="58"/>
  <c r="BI69" i="58"/>
  <c r="BH69" i="58"/>
  <c r="BG69" i="58"/>
  <c r="AU69" i="58"/>
  <c r="BE69" i="58"/>
  <c r="AT69" i="58"/>
  <c r="AS69" i="58"/>
  <c r="AR69" i="58"/>
  <c r="AQ69" i="58"/>
  <c r="AP69" i="58"/>
  <c r="AO69" i="58"/>
  <c r="AN69" i="58"/>
  <c r="AM69" i="58"/>
  <c r="B69" i="58"/>
  <c r="BN68" i="58"/>
  <c r="BM68" i="58"/>
  <c r="BL68" i="58"/>
  <c r="BK68" i="58"/>
  <c r="BJ68" i="58"/>
  <c r="BI68" i="58"/>
  <c r="BH68" i="58"/>
  <c r="BG68" i="58"/>
  <c r="AU68" i="58"/>
  <c r="BE68" i="58"/>
  <c r="AT68" i="58"/>
  <c r="AS68" i="58"/>
  <c r="AR68" i="58"/>
  <c r="AQ68" i="58"/>
  <c r="AP68" i="58"/>
  <c r="AO68" i="58"/>
  <c r="AN68" i="58"/>
  <c r="AM68" i="58"/>
  <c r="B68" i="58"/>
  <c r="BN67" i="58"/>
  <c r="BM67" i="58"/>
  <c r="BL67" i="58"/>
  <c r="BK67" i="58"/>
  <c r="BJ67" i="58"/>
  <c r="BI67" i="58"/>
  <c r="BH67" i="58"/>
  <c r="BG67" i="58"/>
  <c r="AU67" i="58"/>
  <c r="BE67" i="58"/>
  <c r="AT67" i="58"/>
  <c r="AS67" i="58"/>
  <c r="AR67" i="58"/>
  <c r="AQ67" i="58"/>
  <c r="AP67" i="58"/>
  <c r="AO67" i="58"/>
  <c r="AN67" i="58"/>
  <c r="AM67" i="58"/>
  <c r="B67" i="58"/>
  <c r="BE65" i="58"/>
  <c r="AW63" i="58"/>
  <c r="B63" i="58"/>
  <c r="BN58" i="58"/>
  <c r="BM58" i="58"/>
  <c r="BL58" i="58"/>
  <c r="BK58" i="58"/>
  <c r="BJ58" i="58"/>
  <c r="BI58" i="58"/>
  <c r="BH58" i="58"/>
  <c r="BG58" i="58"/>
  <c r="AU58" i="58"/>
  <c r="BE58" i="58"/>
  <c r="AT58" i="58"/>
  <c r="AS58" i="58"/>
  <c r="AR58" i="58"/>
  <c r="AQ58" i="58"/>
  <c r="AP58" i="58"/>
  <c r="AO58" i="58"/>
  <c r="AN58" i="58"/>
  <c r="AM58" i="58"/>
  <c r="B58" i="58"/>
  <c r="BN57" i="58"/>
  <c r="BM57" i="58"/>
  <c r="BL57" i="58"/>
  <c r="BK57" i="58"/>
  <c r="BJ57" i="58"/>
  <c r="BI57" i="58"/>
  <c r="BH57" i="58"/>
  <c r="BG57" i="58"/>
  <c r="AU57" i="58"/>
  <c r="BE57" i="58"/>
  <c r="AT57" i="58"/>
  <c r="AS57" i="58"/>
  <c r="AR57" i="58"/>
  <c r="AQ57" i="58"/>
  <c r="AP57" i="58"/>
  <c r="AO57" i="58"/>
  <c r="AN57" i="58"/>
  <c r="AM57" i="58"/>
  <c r="B57" i="58"/>
  <c r="BN56" i="58"/>
  <c r="BM56" i="58"/>
  <c r="BL56" i="58"/>
  <c r="BK56" i="58"/>
  <c r="BJ56" i="58"/>
  <c r="BI56" i="58"/>
  <c r="BH56" i="58"/>
  <c r="BG56" i="58"/>
  <c r="AU56" i="58"/>
  <c r="BE56" i="58"/>
  <c r="AT56" i="58"/>
  <c r="AS56" i="58"/>
  <c r="AR56" i="58"/>
  <c r="AQ56" i="58"/>
  <c r="AP56" i="58"/>
  <c r="AO56" i="58"/>
  <c r="AN56" i="58"/>
  <c r="AM56" i="58"/>
  <c r="B56" i="58"/>
  <c r="BN55" i="58"/>
  <c r="BM55" i="58"/>
  <c r="BL55" i="58"/>
  <c r="BK55" i="58"/>
  <c r="BJ55" i="58"/>
  <c r="BI55" i="58"/>
  <c r="BH55" i="58"/>
  <c r="BG55" i="58"/>
  <c r="AU55" i="58"/>
  <c r="BE55" i="58"/>
  <c r="AT55" i="58"/>
  <c r="AS55" i="58"/>
  <c r="AR55" i="58"/>
  <c r="AQ55" i="58"/>
  <c r="AP55" i="58"/>
  <c r="AO55" i="58"/>
  <c r="AN55" i="58"/>
  <c r="AM55" i="58"/>
  <c r="B55" i="58"/>
  <c r="BN54" i="58"/>
  <c r="BM54" i="58"/>
  <c r="BL54" i="58"/>
  <c r="BK54" i="58"/>
  <c r="BJ54" i="58"/>
  <c r="BI54" i="58"/>
  <c r="BH54" i="58"/>
  <c r="BG54" i="58"/>
  <c r="AU54" i="58"/>
  <c r="BE54" i="58"/>
  <c r="AT54" i="58"/>
  <c r="AS54" i="58"/>
  <c r="AR54" i="58"/>
  <c r="AQ54" i="58"/>
  <c r="AP54" i="58"/>
  <c r="AO54" i="58"/>
  <c r="AN54" i="58"/>
  <c r="AM54" i="58"/>
  <c r="B54" i="58"/>
  <c r="BN53" i="58"/>
  <c r="BM53" i="58"/>
  <c r="BL53" i="58"/>
  <c r="BK53" i="58"/>
  <c r="BJ53" i="58"/>
  <c r="BI53" i="58"/>
  <c r="BH53" i="58"/>
  <c r="BG53" i="58"/>
  <c r="AU53" i="58"/>
  <c r="BE53" i="58"/>
  <c r="AT53" i="58"/>
  <c r="AS53" i="58"/>
  <c r="AR53" i="58"/>
  <c r="AQ53" i="58"/>
  <c r="AP53" i="58"/>
  <c r="AO53" i="58"/>
  <c r="AN53" i="58"/>
  <c r="AM53" i="58"/>
  <c r="B53" i="58"/>
  <c r="BN52" i="58"/>
  <c r="BM52" i="58"/>
  <c r="BL52" i="58"/>
  <c r="BK52" i="58"/>
  <c r="BJ52" i="58"/>
  <c r="BI52" i="58"/>
  <c r="BH52" i="58"/>
  <c r="BG52" i="58"/>
  <c r="AU52" i="58"/>
  <c r="BE52" i="58"/>
  <c r="AT52" i="58"/>
  <c r="AS52" i="58"/>
  <c r="AR52" i="58"/>
  <c r="AQ52" i="58"/>
  <c r="AP52" i="58"/>
  <c r="AO52" i="58"/>
  <c r="AN52" i="58"/>
  <c r="AM52" i="58"/>
  <c r="B52" i="58"/>
  <c r="BN51" i="58"/>
  <c r="BM51" i="58"/>
  <c r="BL51" i="58"/>
  <c r="BK51" i="58"/>
  <c r="BJ51" i="58"/>
  <c r="BI51" i="58"/>
  <c r="BH51" i="58"/>
  <c r="BG51" i="58"/>
  <c r="AU51" i="58"/>
  <c r="BE51" i="58"/>
  <c r="AT51" i="58"/>
  <c r="AS51" i="58"/>
  <c r="AR51" i="58"/>
  <c r="AQ51" i="58"/>
  <c r="AP51" i="58"/>
  <c r="AO51" i="58"/>
  <c r="AN51" i="58"/>
  <c r="AM51" i="58"/>
  <c r="B51" i="58"/>
  <c r="BN50" i="58"/>
  <c r="BM50" i="58"/>
  <c r="BL50" i="58"/>
  <c r="BK50" i="58"/>
  <c r="BJ50" i="58"/>
  <c r="BI50" i="58"/>
  <c r="BH50" i="58"/>
  <c r="BG50" i="58"/>
  <c r="AU50" i="58"/>
  <c r="BE50" i="58"/>
  <c r="AT50" i="58"/>
  <c r="AS50" i="58"/>
  <c r="AR50" i="58"/>
  <c r="AQ50" i="58"/>
  <c r="AP50" i="58"/>
  <c r="AO50" i="58"/>
  <c r="AN50" i="58"/>
  <c r="AM50" i="58"/>
  <c r="B50" i="58"/>
  <c r="BE48" i="58"/>
  <c r="AW46" i="58"/>
  <c r="B46" i="58"/>
  <c r="BN41" i="58"/>
  <c r="BM41" i="58"/>
  <c r="BL41" i="58"/>
  <c r="BK41" i="58"/>
  <c r="BJ41" i="58"/>
  <c r="BI41" i="58"/>
  <c r="BH41" i="58"/>
  <c r="BG41" i="58"/>
  <c r="AU41" i="58"/>
  <c r="BE41" i="58"/>
  <c r="AT41" i="58"/>
  <c r="AS41" i="58"/>
  <c r="AR41" i="58"/>
  <c r="AQ41" i="58"/>
  <c r="AP41" i="58"/>
  <c r="AO41" i="58"/>
  <c r="AN41" i="58"/>
  <c r="AM41" i="58"/>
  <c r="B41" i="58"/>
  <c r="AC41" i="58"/>
  <c r="BN40" i="58"/>
  <c r="BM40" i="58"/>
  <c r="BL40" i="58"/>
  <c r="BK40" i="58"/>
  <c r="BJ40" i="58"/>
  <c r="BI40" i="58"/>
  <c r="BH40" i="58"/>
  <c r="BG40" i="58"/>
  <c r="AU40" i="58"/>
  <c r="BE40" i="58"/>
  <c r="AT40" i="58"/>
  <c r="AS40" i="58"/>
  <c r="AR40" i="58"/>
  <c r="AQ40" i="58"/>
  <c r="AP40" i="58"/>
  <c r="AO40" i="58"/>
  <c r="AN40" i="58"/>
  <c r="AM40" i="58"/>
  <c r="B40" i="58"/>
  <c r="AC40" i="58"/>
  <c r="BN39" i="58"/>
  <c r="BM39" i="58"/>
  <c r="BL39" i="58"/>
  <c r="BK39" i="58"/>
  <c r="BJ39" i="58"/>
  <c r="BI39" i="58"/>
  <c r="BH39" i="58"/>
  <c r="BG39" i="58"/>
  <c r="AU39" i="58"/>
  <c r="BE39" i="58"/>
  <c r="AT39" i="58"/>
  <c r="AS39" i="58"/>
  <c r="AR39" i="58"/>
  <c r="AQ39" i="58"/>
  <c r="AP39" i="58"/>
  <c r="AO39" i="58"/>
  <c r="AN39" i="58"/>
  <c r="AM39" i="58"/>
  <c r="B39" i="58"/>
  <c r="AC39" i="58"/>
  <c r="BN38" i="58"/>
  <c r="BM38" i="58"/>
  <c r="BL38" i="58"/>
  <c r="BK38" i="58"/>
  <c r="BJ38" i="58"/>
  <c r="BI38" i="58"/>
  <c r="BH38" i="58"/>
  <c r="BG38" i="58"/>
  <c r="AU38" i="58"/>
  <c r="BE38" i="58"/>
  <c r="AT38" i="58"/>
  <c r="AS38" i="58"/>
  <c r="AR38" i="58"/>
  <c r="AQ38" i="58"/>
  <c r="AP38" i="58"/>
  <c r="AO38" i="58"/>
  <c r="AN38" i="58"/>
  <c r="AM38" i="58"/>
  <c r="B38" i="58"/>
  <c r="AC38" i="58"/>
  <c r="BN37" i="58"/>
  <c r="BM37" i="58"/>
  <c r="BL37" i="58"/>
  <c r="BK37" i="58"/>
  <c r="BJ37" i="58"/>
  <c r="BI37" i="58"/>
  <c r="BH37" i="58"/>
  <c r="BG37" i="58"/>
  <c r="AU37" i="58"/>
  <c r="BE37" i="58"/>
  <c r="AT37" i="58"/>
  <c r="AS37" i="58"/>
  <c r="AR37" i="58"/>
  <c r="AQ37" i="58"/>
  <c r="AP37" i="58"/>
  <c r="AO37" i="58"/>
  <c r="AN37" i="58"/>
  <c r="AM37" i="58"/>
  <c r="B37" i="58"/>
  <c r="AC37" i="58"/>
  <c r="BN36" i="58"/>
  <c r="BM36" i="58"/>
  <c r="BL36" i="58"/>
  <c r="BK36" i="58"/>
  <c r="BI36" i="58"/>
  <c r="BH36" i="58"/>
  <c r="BG36" i="58"/>
  <c r="BJ36" i="58"/>
  <c r="AU36" i="58"/>
  <c r="BE36" i="58"/>
  <c r="AT36" i="58"/>
  <c r="AS36" i="58"/>
  <c r="AR36" i="58"/>
  <c r="AQ36" i="58"/>
  <c r="AP36" i="58"/>
  <c r="AO36" i="58"/>
  <c r="AN36" i="58"/>
  <c r="AM36" i="58"/>
  <c r="B36" i="58"/>
  <c r="BN35" i="58"/>
  <c r="BM35" i="58"/>
  <c r="BL35" i="58"/>
  <c r="BK35" i="58"/>
  <c r="BJ35" i="58"/>
  <c r="BI35" i="58"/>
  <c r="BH35" i="58"/>
  <c r="BG35" i="58"/>
  <c r="AU35" i="58"/>
  <c r="BE35" i="58"/>
  <c r="AT35" i="58"/>
  <c r="AS35" i="58"/>
  <c r="AR35" i="58"/>
  <c r="AQ35" i="58"/>
  <c r="AP35" i="58"/>
  <c r="AO35" i="58"/>
  <c r="AN35" i="58"/>
  <c r="AM35" i="58"/>
  <c r="B35" i="58"/>
  <c r="BN34" i="58"/>
  <c r="BM34" i="58"/>
  <c r="BL34" i="58"/>
  <c r="BK34" i="58"/>
  <c r="BJ34" i="58"/>
  <c r="BI34" i="58"/>
  <c r="BH34" i="58"/>
  <c r="BG34" i="58"/>
  <c r="AU34" i="58"/>
  <c r="BE34" i="58"/>
  <c r="AT34" i="58"/>
  <c r="AS34" i="58"/>
  <c r="AR34" i="58"/>
  <c r="AQ34" i="58"/>
  <c r="AP34" i="58"/>
  <c r="AO34" i="58"/>
  <c r="AN34" i="58"/>
  <c r="AM34" i="58"/>
  <c r="B34" i="58"/>
  <c r="BN33" i="58"/>
  <c r="BM33" i="58"/>
  <c r="BL33" i="58"/>
  <c r="BK33" i="58"/>
  <c r="BJ33" i="58"/>
  <c r="BI33" i="58"/>
  <c r="BH33" i="58"/>
  <c r="BG33" i="58"/>
  <c r="AU33" i="58"/>
  <c r="BE33" i="58"/>
  <c r="AT33" i="58"/>
  <c r="AS33" i="58"/>
  <c r="AR33" i="58"/>
  <c r="AQ33" i="58"/>
  <c r="AP33" i="58"/>
  <c r="AO33" i="58"/>
  <c r="AN33" i="58"/>
  <c r="AM33" i="58"/>
  <c r="B33" i="58"/>
  <c r="BE31" i="58"/>
  <c r="AW29" i="58"/>
  <c r="B29" i="58"/>
  <c r="A23" i="59"/>
  <c r="A25" i="59"/>
  <c r="A27" i="59"/>
  <c r="Z38" i="58"/>
  <c r="W38" i="58"/>
  <c r="AI38" i="58"/>
  <c r="A29" i="59"/>
  <c r="W40" i="58"/>
  <c r="AI40" i="58"/>
  <c r="Z40" i="58"/>
  <c r="A42" i="59"/>
  <c r="A44" i="59"/>
  <c r="A46" i="59"/>
  <c r="A48" i="59"/>
  <c r="A50" i="59"/>
  <c r="W75" i="58"/>
  <c r="AI75" i="58"/>
  <c r="Z75" i="58"/>
  <c r="AC75" i="58"/>
  <c r="A63" i="59"/>
  <c r="Z102" i="58"/>
  <c r="W102" i="58"/>
  <c r="AC102" i="58"/>
  <c r="A65" i="59"/>
  <c r="AC104" i="58"/>
  <c r="Z104" i="58"/>
  <c r="W104" i="58"/>
  <c r="A67" i="59"/>
  <c r="Z106" i="58"/>
  <c r="W106" i="58"/>
  <c r="AC106" i="58"/>
  <c r="A69" i="59"/>
  <c r="W108" i="58"/>
  <c r="AC108" i="58"/>
  <c r="Z108" i="58"/>
  <c r="A33" i="59"/>
  <c r="A35" i="59"/>
  <c r="A37" i="59"/>
  <c r="AC55" i="58"/>
  <c r="Z55" i="58"/>
  <c r="W55" i="58"/>
  <c r="A39" i="59"/>
  <c r="Z57" i="58"/>
  <c r="W57" i="58"/>
  <c r="AC57" i="58"/>
  <c r="A52" i="59"/>
  <c r="Z84" i="58"/>
  <c r="W84" i="58"/>
  <c r="AC84" i="58"/>
  <c r="A54" i="59"/>
  <c r="W86" i="58"/>
  <c r="AI86" i="58"/>
  <c r="AC86" i="58"/>
  <c r="Z86" i="58"/>
  <c r="A56" i="59"/>
  <c r="Z88" i="58"/>
  <c r="AC88" i="58"/>
  <c r="W88" i="58"/>
  <c r="A58" i="59"/>
  <c r="Z90" i="58"/>
  <c r="W90" i="58"/>
  <c r="AC90" i="58"/>
  <c r="A60" i="59"/>
  <c r="Z92" i="58"/>
  <c r="W92" i="58"/>
  <c r="AC92" i="58"/>
  <c r="A22" i="59"/>
  <c r="A24" i="59"/>
  <c r="A26" i="59"/>
  <c r="W37" i="58"/>
  <c r="AI37" i="58"/>
  <c r="Z37" i="58"/>
  <c r="A28" i="59"/>
  <c r="Z39" i="58"/>
  <c r="W39" i="58"/>
  <c r="A30" i="59"/>
  <c r="Z41" i="58"/>
  <c r="W41" i="58"/>
  <c r="A43" i="59"/>
  <c r="A45" i="59"/>
  <c r="A47" i="59"/>
  <c r="A49" i="59"/>
  <c r="AC74" i="58"/>
  <c r="Z74" i="58"/>
  <c r="W74" i="58"/>
  <c r="AI74" i="58"/>
  <c r="A62" i="59"/>
  <c r="W101" i="58"/>
  <c r="Z101" i="58"/>
  <c r="AC101" i="58"/>
  <c r="A64" i="59"/>
  <c r="AC103" i="58"/>
  <c r="W103" i="58"/>
  <c r="Z103" i="58"/>
  <c r="A66" i="59"/>
  <c r="W105" i="58"/>
  <c r="AC105" i="58"/>
  <c r="Z105" i="58"/>
  <c r="A68" i="59"/>
  <c r="AC107" i="58"/>
  <c r="Z107" i="58"/>
  <c r="W107" i="58"/>
  <c r="A70" i="59"/>
  <c r="W109" i="58"/>
  <c r="AC109" i="58"/>
  <c r="Z109" i="58"/>
  <c r="A32" i="59"/>
  <c r="A34" i="59"/>
  <c r="A36" i="59"/>
  <c r="AC54" i="58"/>
  <c r="Z54" i="58"/>
  <c r="W54" i="58"/>
  <c r="AI54" i="58"/>
  <c r="A38" i="59"/>
  <c r="W56" i="58"/>
  <c r="AC56" i="58"/>
  <c r="Z56" i="58"/>
  <c r="A40" i="59"/>
  <c r="W58" i="58"/>
  <c r="AC58" i="58"/>
  <c r="Z58" i="58"/>
  <c r="A53" i="59"/>
  <c r="AC85" i="58"/>
  <c r="Z85" i="58"/>
  <c r="W85" i="58"/>
  <c r="AI85" i="58"/>
  <c r="A55" i="59"/>
  <c r="W87" i="58"/>
  <c r="AC87" i="58"/>
  <c r="Z87" i="58"/>
  <c r="A57" i="59"/>
  <c r="AC89" i="58"/>
  <c r="Z89" i="58"/>
  <c r="W89" i="58"/>
  <c r="AI89" i="58"/>
  <c r="A59" i="59"/>
  <c r="W91" i="58"/>
  <c r="AC91" i="58"/>
  <c r="Z91" i="58"/>
  <c r="C33" i="58"/>
  <c r="AJ33" i="58"/>
  <c r="D33" i="58"/>
  <c r="E33" i="58"/>
  <c r="C72" i="58"/>
  <c r="AJ72" i="58"/>
  <c r="D72" i="58"/>
  <c r="E72" i="58"/>
  <c r="C103" i="58"/>
  <c r="AJ103" i="58"/>
  <c r="D103" i="58"/>
  <c r="E103" i="58"/>
  <c r="C144" i="58"/>
  <c r="AG144" i="58"/>
  <c r="D144" i="58"/>
  <c r="A156" i="58"/>
  <c r="C156" i="58"/>
  <c r="AG156" i="58"/>
  <c r="D156" i="58"/>
  <c r="C168" i="58"/>
  <c r="AG168" i="58"/>
  <c r="D168" i="58"/>
  <c r="A50" i="58"/>
  <c r="C50" i="58"/>
  <c r="AJ50" i="58"/>
  <c r="D50" i="58"/>
  <c r="E50" i="58"/>
  <c r="C54" i="58"/>
  <c r="AJ54" i="58"/>
  <c r="D54" i="58"/>
  <c r="E54" i="58"/>
  <c r="C85" i="58"/>
  <c r="AJ85" i="58"/>
  <c r="D85" i="58"/>
  <c r="E85" i="58"/>
  <c r="D89" i="58"/>
  <c r="E89" i="58"/>
  <c r="C89" i="58"/>
  <c r="AJ89" i="58"/>
  <c r="C141" i="58"/>
  <c r="AG141" i="58"/>
  <c r="D141" i="58"/>
  <c r="A153" i="58"/>
  <c r="C153" i="58"/>
  <c r="AG153" i="58"/>
  <c r="D153" i="58"/>
  <c r="A161" i="58"/>
  <c r="C161" i="58"/>
  <c r="AG161" i="58"/>
  <c r="D161" i="58"/>
  <c r="C173" i="58"/>
  <c r="AG173" i="58"/>
  <c r="D173" i="58"/>
  <c r="A34" i="58"/>
  <c r="C34" i="58"/>
  <c r="AJ34" i="58"/>
  <c r="D34" i="58"/>
  <c r="E34" i="58"/>
  <c r="C40" i="58"/>
  <c r="AJ40" i="58"/>
  <c r="D40" i="58"/>
  <c r="E40" i="58"/>
  <c r="O69" i="58"/>
  <c r="D69" i="58"/>
  <c r="E69" i="58"/>
  <c r="C69" i="58"/>
  <c r="AJ69" i="58"/>
  <c r="C104" i="58"/>
  <c r="AJ104" i="58"/>
  <c r="D104" i="58"/>
  <c r="E104" i="58"/>
  <c r="O106" i="58"/>
  <c r="C106" i="58"/>
  <c r="AJ106" i="58"/>
  <c r="D106" i="58"/>
  <c r="E106" i="58"/>
  <c r="C138" i="58"/>
  <c r="AG138" i="58"/>
  <c r="D138" i="58"/>
  <c r="C142" i="58"/>
  <c r="AG142" i="58"/>
  <c r="D142" i="58"/>
  <c r="C146" i="58"/>
  <c r="AG146" i="58"/>
  <c r="D146" i="58"/>
  <c r="C150" i="58"/>
  <c r="AG150" i="58"/>
  <c r="D150" i="58"/>
  <c r="C154" i="58"/>
  <c r="AG154" i="58"/>
  <c r="D154" i="58"/>
  <c r="AH154" i="58"/>
  <c r="C158" i="58"/>
  <c r="AG158" i="58"/>
  <c r="D158" i="58"/>
  <c r="C162" i="58"/>
  <c r="AG162" i="58"/>
  <c r="D162" i="58"/>
  <c r="C166" i="58"/>
  <c r="AG166" i="58"/>
  <c r="D166" i="58"/>
  <c r="C170" i="58"/>
  <c r="AG170" i="58"/>
  <c r="D170" i="58"/>
  <c r="D35" i="58"/>
  <c r="E35" i="58"/>
  <c r="C35" i="58"/>
  <c r="AJ35" i="58"/>
  <c r="C37" i="58"/>
  <c r="AJ37" i="58"/>
  <c r="D37" i="58"/>
  <c r="E37" i="58"/>
  <c r="C39" i="58"/>
  <c r="AJ39" i="58"/>
  <c r="D39" i="58"/>
  <c r="E39" i="58"/>
  <c r="D41" i="58"/>
  <c r="E41" i="58"/>
  <c r="C41" i="58"/>
  <c r="AJ41" i="58"/>
  <c r="C68" i="58"/>
  <c r="AJ68" i="58"/>
  <c r="D68" i="58"/>
  <c r="E68" i="58"/>
  <c r="C70" i="58"/>
  <c r="AJ70" i="58"/>
  <c r="D70" i="58"/>
  <c r="E70" i="58"/>
  <c r="C74" i="58"/>
  <c r="AJ74" i="58"/>
  <c r="D74" i="58"/>
  <c r="E74" i="58"/>
  <c r="D101" i="58"/>
  <c r="E101" i="58"/>
  <c r="AJ101" i="58"/>
  <c r="C105" i="58"/>
  <c r="AJ105" i="58"/>
  <c r="D105" i="58"/>
  <c r="E105" i="58"/>
  <c r="D107" i="58"/>
  <c r="E107" i="58"/>
  <c r="C107" i="58"/>
  <c r="AJ107" i="58"/>
  <c r="D109" i="58"/>
  <c r="E109" i="58"/>
  <c r="C109" i="58"/>
  <c r="AJ109" i="58"/>
  <c r="A140" i="58"/>
  <c r="C140" i="58"/>
  <c r="AG140" i="58"/>
  <c r="D140" i="58"/>
  <c r="AH140" i="58"/>
  <c r="C148" i="58"/>
  <c r="AG148" i="58"/>
  <c r="D148" i="58"/>
  <c r="C152" i="58"/>
  <c r="AG152" i="58"/>
  <c r="D152" i="58"/>
  <c r="AH152" i="58"/>
  <c r="A160" i="58"/>
  <c r="C160" i="58"/>
  <c r="AG160" i="58"/>
  <c r="D160" i="58"/>
  <c r="A164" i="58"/>
  <c r="C164" i="58"/>
  <c r="AG164" i="58"/>
  <c r="D164" i="58"/>
  <c r="C172" i="58"/>
  <c r="AG172" i="58"/>
  <c r="D172" i="58"/>
  <c r="C52" i="58"/>
  <c r="AJ52" i="58"/>
  <c r="D52" i="58"/>
  <c r="E52" i="58"/>
  <c r="C56" i="58"/>
  <c r="AJ56" i="58"/>
  <c r="D56" i="58"/>
  <c r="E56" i="58"/>
  <c r="C58" i="58"/>
  <c r="AJ58" i="58"/>
  <c r="D58" i="58"/>
  <c r="E58" i="58"/>
  <c r="C87" i="58"/>
  <c r="AJ87" i="58"/>
  <c r="D87" i="58"/>
  <c r="E87" i="58"/>
  <c r="C91" i="58"/>
  <c r="AJ91" i="58"/>
  <c r="D91" i="58"/>
  <c r="E91" i="58"/>
  <c r="C145" i="58"/>
  <c r="AG145" i="58"/>
  <c r="D145" i="58"/>
  <c r="D149" i="58"/>
  <c r="C149" i="58"/>
  <c r="AG149" i="58"/>
  <c r="A157" i="58"/>
  <c r="C157" i="58"/>
  <c r="AG157" i="58"/>
  <c r="D157" i="58"/>
  <c r="AH157" i="58"/>
  <c r="D165" i="58"/>
  <c r="C165" i="58"/>
  <c r="AG165" i="58"/>
  <c r="D169" i="58"/>
  <c r="C169" i="58"/>
  <c r="AG169" i="58"/>
  <c r="C36" i="58"/>
  <c r="AJ36" i="58"/>
  <c r="D36" i="58"/>
  <c r="E36" i="58"/>
  <c r="C38" i="58"/>
  <c r="AJ38" i="58"/>
  <c r="D38" i="58"/>
  <c r="E38" i="58"/>
  <c r="C67" i="58"/>
  <c r="D67" i="58"/>
  <c r="E67" i="58"/>
  <c r="O71" i="58"/>
  <c r="C71" i="58"/>
  <c r="AJ71" i="58"/>
  <c r="D71" i="58"/>
  <c r="E71" i="58"/>
  <c r="C73" i="58"/>
  <c r="AJ73" i="58"/>
  <c r="D73" i="58"/>
  <c r="E73" i="58"/>
  <c r="D75" i="58"/>
  <c r="E75" i="58"/>
  <c r="C75" i="58"/>
  <c r="AJ75" i="58"/>
  <c r="C102" i="58"/>
  <c r="AJ102" i="58"/>
  <c r="D102" i="58"/>
  <c r="E102" i="58"/>
  <c r="D108" i="58"/>
  <c r="E108" i="58"/>
  <c r="C108" i="58"/>
  <c r="AJ108" i="58"/>
  <c r="C51" i="58"/>
  <c r="AJ51" i="58"/>
  <c r="D51" i="58"/>
  <c r="E51" i="58"/>
  <c r="O53" i="58"/>
  <c r="C53" i="58"/>
  <c r="AJ53" i="58"/>
  <c r="D53" i="58"/>
  <c r="E53" i="58"/>
  <c r="C55" i="58"/>
  <c r="AJ55" i="58"/>
  <c r="D55" i="58"/>
  <c r="E55" i="58"/>
  <c r="D57" i="58"/>
  <c r="E57" i="58"/>
  <c r="C57" i="58"/>
  <c r="AJ57" i="58"/>
  <c r="C84" i="58"/>
  <c r="AJ84" i="58"/>
  <c r="D84" i="58"/>
  <c r="E84" i="58"/>
  <c r="C86" i="58"/>
  <c r="AJ86" i="58"/>
  <c r="D86" i="58"/>
  <c r="E86" i="58"/>
  <c r="C88" i="58"/>
  <c r="AJ88" i="58"/>
  <c r="D88" i="58"/>
  <c r="E88" i="58"/>
  <c r="C90" i="58"/>
  <c r="AJ90" i="58"/>
  <c r="D90" i="58"/>
  <c r="E90" i="58"/>
  <c r="C92" i="58"/>
  <c r="AJ92" i="58"/>
  <c r="D92" i="58"/>
  <c r="E92" i="58"/>
  <c r="C139" i="58"/>
  <c r="AG139" i="58"/>
  <c r="D139" i="58"/>
  <c r="C143" i="58"/>
  <c r="AG143" i="58"/>
  <c r="D143" i="58"/>
  <c r="C147" i="58"/>
  <c r="AG147" i="58"/>
  <c r="D147" i="58"/>
  <c r="C151" i="58"/>
  <c r="AG151" i="58"/>
  <c r="D151" i="58"/>
  <c r="D155" i="58"/>
  <c r="C155" i="58"/>
  <c r="AG155" i="58"/>
  <c r="A159" i="58"/>
  <c r="D159" i="58"/>
  <c r="AH159" i="58"/>
  <c r="C159" i="58"/>
  <c r="AG159" i="58"/>
  <c r="C163" i="58"/>
  <c r="AG163" i="58"/>
  <c r="D163" i="58"/>
  <c r="C167" i="58"/>
  <c r="AG167" i="58"/>
  <c r="D167" i="58"/>
  <c r="C171" i="58"/>
  <c r="AG171" i="58"/>
  <c r="D171" i="58"/>
  <c r="X18" i="28"/>
  <c r="A126" i="58"/>
  <c r="A128" i="58"/>
  <c r="A129" i="58"/>
  <c r="A127" i="58"/>
  <c r="BE127" i="58"/>
  <c r="BF126" i="58"/>
  <c r="BE128" i="58"/>
  <c r="BE126" i="58"/>
  <c r="BF129" i="58"/>
  <c r="BF127" i="58"/>
  <c r="BF128" i="58"/>
  <c r="BE129" i="58"/>
  <c r="BB129" i="58"/>
  <c r="BB127" i="58"/>
  <c r="BB128" i="58"/>
  <c r="BA127" i="58"/>
  <c r="BA128" i="58"/>
  <c r="BA129" i="58"/>
  <c r="BB126" i="58"/>
  <c r="BA126" i="58"/>
  <c r="BI185" i="58"/>
  <c r="BJ185" i="58"/>
  <c r="BF202" i="58"/>
  <c r="BF206" i="58"/>
  <c r="BF204" i="58"/>
  <c r="BF213" i="58"/>
  <c r="A51" i="58"/>
  <c r="O55" i="58"/>
  <c r="P70" i="58"/>
  <c r="P74" i="58"/>
  <c r="P85" i="58"/>
  <c r="A104" i="58"/>
  <c r="A108" i="58"/>
  <c r="A154" i="58"/>
  <c r="A168" i="58"/>
  <c r="A165" i="58"/>
  <c r="A169" i="58"/>
  <c r="A163" i="58"/>
  <c r="A162" i="58"/>
  <c r="A146" i="58"/>
  <c r="A158" i="58"/>
  <c r="A142" i="58"/>
  <c r="A150" i="58"/>
  <c r="A166" i="58"/>
  <c r="A171" i="58"/>
  <c r="A152" i="58"/>
  <c r="A148" i="58"/>
  <c r="A144" i="58"/>
  <c r="A167" i="58"/>
  <c r="A155" i="58"/>
  <c r="A151" i="58"/>
  <c r="A147" i="58"/>
  <c r="A143" i="58"/>
  <c r="A149" i="58"/>
  <c r="A145" i="58"/>
  <c r="A141" i="58"/>
  <c r="A138" i="58"/>
  <c r="A139" i="58"/>
  <c r="A170" i="58"/>
  <c r="A172" i="58"/>
  <c r="A173" i="58"/>
  <c r="A75" i="58"/>
  <c r="O58" i="58"/>
  <c r="Q71" i="58"/>
  <c r="Q52" i="58"/>
  <c r="BZ52" i="58"/>
  <c r="A103" i="58"/>
  <c r="O90" i="58"/>
  <c r="P36" i="58"/>
  <c r="BW34" i="58"/>
  <c r="BY34" i="58"/>
  <c r="A58" i="58"/>
  <c r="CE74" i="58"/>
  <c r="A85" i="58"/>
  <c r="A33" i="58"/>
  <c r="A55" i="58"/>
  <c r="BZ68" i="58"/>
  <c r="BW68" i="58"/>
  <c r="A69" i="58"/>
  <c r="BX69" i="58"/>
  <c r="BW69" i="58"/>
  <c r="BX70" i="58"/>
  <c r="BW70" i="58"/>
  <c r="BY70" i="58"/>
  <c r="A71" i="58"/>
  <c r="O35" i="58"/>
  <c r="BX35" i="58"/>
  <c r="BX40" i="58"/>
  <c r="BZ40" i="58"/>
  <c r="BW40" i="58"/>
  <c r="CE41" i="58"/>
  <c r="BZ54" i="58"/>
  <c r="CE73" i="58"/>
  <c r="BZ90" i="58"/>
  <c r="BX33" i="58"/>
  <c r="BZ33" i="58"/>
  <c r="BW33" i="58"/>
  <c r="BY33" i="58"/>
  <c r="BZ37" i="58"/>
  <c r="A54" i="58"/>
  <c r="O54" i="58"/>
  <c r="BX67" i="58"/>
  <c r="CE71" i="58"/>
  <c r="BZ71" i="58"/>
  <c r="BW71" i="58"/>
  <c r="BY71" i="58"/>
  <c r="BX89" i="58"/>
  <c r="BZ89" i="58"/>
  <c r="BW89" i="58"/>
  <c r="BY89" i="58"/>
  <c r="A90" i="58"/>
  <c r="BX106" i="58"/>
  <c r="BY107" i="58"/>
  <c r="BZ35" i="58"/>
  <c r="BX54" i="58"/>
  <c r="BW54" i="58"/>
  <c r="BZ36" i="58"/>
  <c r="BW36" i="58"/>
  <c r="BY36" i="58"/>
  <c r="A38" i="58"/>
  <c r="O38" i="58"/>
  <c r="Q38" i="58"/>
  <c r="BZ75" i="58"/>
  <c r="BW75" i="58"/>
  <c r="BY75" i="58"/>
  <c r="Q85" i="58"/>
  <c r="BW85" i="58"/>
  <c r="BY85" i="58"/>
  <c r="A86" i="58"/>
  <c r="BZ86" i="58"/>
  <c r="BZ105" i="58"/>
  <c r="Q40" i="58"/>
  <c r="BY40" i="58"/>
  <c r="O72" i="58"/>
  <c r="BX86" i="58"/>
  <c r="A87" i="58"/>
  <c r="P92" i="58"/>
  <c r="Q34" i="58"/>
  <c r="BX53" i="58"/>
  <c r="BZ53" i="58"/>
  <c r="BW53" i="58"/>
  <c r="BY53" i="58"/>
  <c r="BY54" i="58"/>
  <c r="O57" i="58"/>
  <c r="Q70" i="58"/>
  <c r="BZ70" i="58"/>
  <c r="BX75" i="58"/>
  <c r="Q75" i="58"/>
  <c r="Q88" i="58"/>
  <c r="BX103" i="58"/>
  <c r="A40" i="58"/>
  <c r="P56" i="58"/>
  <c r="A68" i="58"/>
  <c r="O68" i="58"/>
  <c r="O107" i="58"/>
  <c r="A107" i="58"/>
  <c r="A36" i="58"/>
  <c r="BX39" i="58"/>
  <c r="BZ39" i="58"/>
  <c r="BY39" i="58"/>
  <c r="BZ50" i="58"/>
  <c r="BY50" i="58"/>
  <c r="BY51" i="58"/>
  <c r="Q55" i="58"/>
  <c r="BZ55" i="58"/>
  <c r="O73" i="58"/>
  <c r="A73" i="58"/>
  <c r="A84" i="58"/>
  <c r="Q84" i="58"/>
  <c r="BW84" i="58"/>
  <c r="BY87" i="58"/>
  <c r="A91" i="58"/>
  <c r="BY91" i="58"/>
  <c r="A101" i="58"/>
  <c r="BX51" i="58"/>
  <c r="BY55" i="58"/>
  <c r="BY58" i="58"/>
  <c r="BX68" i="58"/>
  <c r="BY68" i="58"/>
  <c r="CE69" i="58"/>
  <c r="BX72" i="58"/>
  <c r="Q73" i="58"/>
  <c r="BY73" i="58"/>
  <c r="BY74" i="58"/>
  <c r="CE75" i="58"/>
  <c r="BW86" i="58"/>
  <c r="BZ87" i="58"/>
  <c r="Q91" i="58"/>
  <c r="BZ92" i="58"/>
  <c r="BX101" i="58"/>
  <c r="Q101" i="58"/>
  <c r="BZ101" i="58"/>
  <c r="BW101" i="58"/>
  <c r="BY101" i="58"/>
  <c r="BX102" i="58"/>
  <c r="BW103" i="58"/>
  <c r="BZ104" i="58"/>
  <c r="BW104" i="58"/>
  <c r="BY104" i="58"/>
  <c r="BW105" i="58"/>
  <c r="BW106" i="58"/>
  <c r="BX38" i="58"/>
  <c r="BZ38" i="58"/>
  <c r="BW38" i="58"/>
  <c r="BY38" i="58"/>
  <c r="A39" i="58"/>
  <c r="O39" i="58"/>
  <c r="BW41" i="58"/>
  <c r="BY41" i="58"/>
  <c r="BZ51" i="58"/>
  <c r="CE55" i="58"/>
  <c r="Q56" i="58"/>
  <c r="BZ56" i="58"/>
  <c r="BX57" i="58"/>
  <c r="BZ57" i="58"/>
  <c r="BW57" i="58"/>
  <c r="BY57" i="58"/>
  <c r="Q74" i="58"/>
  <c r="BZ74" i="58"/>
  <c r="BY86" i="58"/>
  <c r="Q87" i="58"/>
  <c r="O89" i="58"/>
  <c r="A89" i="58"/>
  <c r="CE92" i="58"/>
  <c r="O102" i="58"/>
  <c r="A102" i="58"/>
  <c r="BZ103" i="58"/>
  <c r="BY103" i="58"/>
  <c r="A106" i="58"/>
  <c r="CE106" i="58"/>
  <c r="Q106" i="58"/>
  <c r="CE109" i="58"/>
  <c r="Q109" i="58"/>
  <c r="Q105" i="58"/>
  <c r="BZ108" i="58"/>
  <c r="BY108" i="58"/>
  <c r="BX107" i="58"/>
  <c r="BW39" i="58"/>
  <c r="BZ41" i="58"/>
  <c r="BW51" i="58"/>
  <c r="BX55" i="58"/>
  <c r="BW55" i="58"/>
  <c r="BZ67" i="58"/>
  <c r="BW67" i="58"/>
  <c r="BY67" i="58"/>
  <c r="Q69" i="58"/>
  <c r="BZ69" i="58"/>
  <c r="BY69" i="58"/>
  <c r="BZ72" i="58"/>
  <c r="BW72" i="58"/>
  <c r="BY72" i="58"/>
  <c r="BX73" i="58"/>
  <c r="BZ73" i="58"/>
  <c r="BW73" i="58"/>
  <c r="BX74" i="58"/>
  <c r="BW74" i="58"/>
  <c r="CE84" i="58"/>
  <c r="BY84" i="58"/>
  <c r="O85" i="58"/>
  <c r="CE85" i="58"/>
  <c r="BW87" i="58"/>
  <c r="BX88" i="58"/>
  <c r="BZ88" i="58"/>
  <c r="BW88" i="58"/>
  <c r="BY88" i="58"/>
  <c r="BX91" i="58"/>
  <c r="BZ91" i="58"/>
  <c r="BW91" i="58"/>
  <c r="BW92" i="58"/>
  <c r="BY92" i="58"/>
  <c r="BY102" i="58"/>
  <c r="BX109" i="58"/>
  <c r="BZ109" i="58"/>
  <c r="BW109" i="58"/>
  <c r="BY109" i="58"/>
  <c r="CE102" i="58"/>
  <c r="CE103" i="58"/>
  <c r="Q103" i="58"/>
  <c r="A105" i="58"/>
  <c r="O105" i="58"/>
  <c r="BW102" i="58"/>
  <c r="CE101" i="58"/>
  <c r="Q102" i="58"/>
  <c r="BX104" i="58"/>
  <c r="BX108" i="58"/>
  <c r="BW108" i="58"/>
  <c r="A109" i="58"/>
  <c r="O109" i="58"/>
  <c r="BW107" i="58"/>
  <c r="BZ102" i="58"/>
  <c r="O103" i="58"/>
  <c r="O104" i="58"/>
  <c r="Q104" i="58"/>
  <c r="CE104" i="58"/>
  <c r="BX105" i="58"/>
  <c r="BY105" i="58"/>
  <c r="CE105" i="58"/>
  <c r="BZ106" i="58"/>
  <c r="BY106" i="58"/>
  <c r="CE107" i="58"/>
  <c r="Q107" i="58"/>
  <c r="BZ107" i="58"/>
  <c r="O108" i="58"/>
  <c r="Q108" i="58"/>
  <c r="CE108" i="58"/>
  <c r="BX84" i="58"/>
  <c r="CE88" i="58"/>
  <c r="CE89" i="58"/>
  <c r="CE90" i="58"/>
  <c r="Q90" i="58"/>
  <c r="BZ85" i="58"/>
  <c r="O86" i="58"/>
  <c r="O87" i="58"/>
  <c r="A88" i="58"/>
  <c r="O88" i="58"/>
  <c r="Q89" i="58"/>
  <c r="BX85" i="58"/>
  <c r="BZ84" i="58"/>
  <c r="CE86" i="58"/>
  <c r="Q86" i="58"/>
  <c r="BX87" i="58"/>
  <c r="CE87" i="58"/>
  <c r="BW90" i="58"/>
  <c r="BY90" i="58"/>
  <c r="BX90" i="58"/>
  <c r="A92" i="58"/>
  <c r="O92" i="58"/>
  <c r="CE91" i="58"/>
  <c r="BX92" i="58"/>
  <c r="O91" i="58"/>
  <c r="Q92" i="58"/>
  <c r="P75" i="58"/>
  <c r="A67" i="58"/>
  <c r="CE70" i="58"/>
  <c r="BX71" i="58"/>
  <c r="A72" i="58"/>
  <c r="O75" i="58"/>
  <c r="O70" i="58"/>
  <c r="O74" i="58"/>
  <c r="Q67" i="58"/>
  <c r="CE67" i="58"/>
  <c r="Q68" i="58"/>
  <c r="CE68" i="58"/>
  <c r="A70" i="58"/>
  <c r="Q72" i="58"/>
  <c r="CE72" i="58"/>
  <c r="A74" i="58"/>
  <c r="CE58" i="58"/>
  <c r="Q58" i="58"/>
  <c r="BW50" i="58"/>
  <c r="BX52" i="58"/>
  <c r="BW52" i="58"/>
  <c r="BY52" i="58"/>
  <c r="P54" i="58"/>
  <c r="CE54" i="58"/>
  <c r="Q54" i="58"/>
  <c r="BX50" i="58"/>
  <c r="O51" i="58"/>
  <c r="A52" i="58"/>
  <c r="O52" i="58"/>
  <c r="Q53" i="58"/>
  <c r="BX56" i="58"/>
  <c r="BW56" i="58"/>
  <c r="BY56" i="58"/>
  <c r="P52" i="58"/>
  <c r="CE53" i="58"/>
  <c r="A56" i="58"/>
  <c r="O56" i="58"/>
  <c r="Q57" i="58"/>
  <c r="CE57" i="58"/>
  <c r="BZ58" i="58"/>
  <c r="BW58" i="58"/>
  <c r="BX58" i="58"/>
  <c r="CE52" i="58"/>
  <c r="CE56" i="58"/>
  <c r="Q50" i="58"/>
  <c r="CE50" i="58"/>
  <c r="Q51" i="58"/>
  <c r="CE51" i="58"/>
  <c r="A53" i="58"/>
  <c r="A57" i="58"/>
  <c r="CE33" i="58"/>
  <c r="BX36" i="58"/>
  <c r="CE36" i="58"/>
  <c r="P38" i="58"/>
  <c r="CE38" i="58"/>
  <c r="Q33" i="58"/>
  <c r="BW35" i="58"/>
  <c r="Q36" i="58"/>
  <c r="BW37" i="58"/>
  <c r="BY37" i="58"/>
  <c r="BX34" i="58"/>
  <c r="BZ34" i="58"/>
  <c r="CE34" i="58"/>
  <c r="CE35" i="58"/>
  <c r="Q35" i="58"/>
  <c r="BY35" i="58"/>
  <c r="A37" i="58"/>
  <c r="O37" i="58"/>
  <c r="CE37" i="58"/>
  <c r="A35" i="58"/>
  <c r="P37" i="58"/>
  <c r="BX37" i="58"/>
  <c r="CE40" i="58"/>
  <c r="O41" i="58"/>
  <c r="BX41" i="58"/>
  <c r="O36" i="58"/>
  <c r="Q39" i="58"/>
  <c r="CE39" i="58"/>
  <c r="O40" i="58"/>
  <c r="A41" i="58"/>
  <c r="Q37" i="58"/>
  <c r="Q41" i="58"/>
  <c r="BJ16" i="58"/>
  <c r="BM16" i="58"/>
  <c r="BN16" i="58"/>
  <c r="BH17" i="58"/>
  <c r="BI17" i="58"/>
  <c r="BJ17" i="58"/>
  <c r="BK17" i="58"/>
  <c r="BL17" i="58"/>
  <c r="BM17" i="58"/>
  <c r="BN17" i="58"/>
  <c r="BH18" i="58"/>
  <c r="BI18" i="58"/>
  <c r="BJ18" i="58"/>
  <c r="BK18" i="58"/>
  <c r="BL18" i="58"/>
  <c r="BM18" i="58"/>
  <c r="BN18" i="58"/>
  <c r="BH19" i="58"/>
  <c r="BI19" i="58"/>
  <c r="BJ19" i="58"/>
  <c r="BK19" i="58"/>
  <c r="BL19" i="58"/>
  <c r="BM19" i="58"/>
  <c r="BN19" i="58"/>
  <c r="BH20" i="58"/>
  <c r="BI20" i="58"/>
  <c r="BJ20" i="58"/>
  <c r="BK20" i="58"/>
  <c r="BL20" i="58"/>
  <c r="BM20" i="58"/>
  <c r="BN20" i="58"/>
  <c r="BH21" i="58"/>
  <c r="BI21" i="58"/>
  <c r="BJ21" i="58"/>
  <c r="BK21" i="58"/>
  <c r="BL21" i="58"/>
  <c r="BM21" i="58"/>
  <c r="BN21" i="58"/>
  <c r="BH22" i="58"/>
  <c r="BI22" i="58"/>
  <c r="BJ22" i="58"/>
  <c r="BK22" i="58"/>
  <c r="BL22" i="58"/>
  <c r="BM22" i="58"/>
  <c r="BN22" i="58"/>
  <c r="BH23" i="58"/>
  <c r="BI23" i="58"/>
  <c r="BJ23" i="58"/>
  <c r="BK23" i="58"/>
  <c r="BL23" i="58"/>
  <c r="BM23" i="58"/>
  <c r="BN23" i="58"/>
  <c r="BH24" i="58"/>
  <c r="BI24" i="58"/>
  <c r="BJ24" i="58"/>
  <c r="BK24" i="58"/>
  <c r="BL24" i="58"/>
  <c r="BM24" i="58"/>
  <c r="BN24" i="58"/>
  <c r="BG24" i="58"/>
  <c r="BG23" i="58"/>
  <c r="BG22" i="58"/>
  <c r="BG21" i="58"/>
  <c r="BG20" i="58"/>
  <c r="BG19" i="58"/>
  <c r="BG18" i="58"/>
  <c r="BG17" i="58"/>
  <c r="BE14" i="58"/>
  <c r="AW12" i="58"/>
  <c r="BK16" i="58"/>
  <c r="BL16" i="58"/>
  <c r="AN16" i="58"/>
  <c r="AO16" i="58"/>
  <c r="AP16" i="58"/>
  <c r="AQ16" i="58"/>
  <c r="AR16" i="58"/>
  <c r="AS16" i="58"/>
  <c r="AT16" i="58"/>
  <c r="AU16" i="58"/>
  <c r="AN17" i="58"/>
  <c r="AO17" i="58"/>
  <c r="AP17" i="58"/>
  <c r="AQ17" i="58"/>
  <c r="AR17" i="58"/>
  <c r="AS17" i="58"/>
  <c r="AT17" i="58"/>
  <c r="AU17" i="58"/>
  <c r="AN18" i="58"/>
  <c r="AO18" i="58"/>
  <c r="AP18" i="58"/>
  <c r="AQ18" i="58"/>
  <c r="AR18" i="58"/>
  <c r="AS18" i="58"/>
  <c r="AT18" i="58"/>
  <c r="AU18" i="58"/>
  <c r="AN19" i="58"/>
  <c r="AO19" i="58"/>
  <c r="AP19" i="58"/>
  <c r="AQ19" i="58"/>
  <c r="AR19" i="58"/>
  <c r="AS19" i="58"/>
  <c r="AT19" i="58"/>
  <c r="AU19" i="58"/>
  <c r="AN20" i="58"/>
  <c r="AO20" i="58"/>
  <c r="AP20" i="58"/>
  <c r="AQ20" i="58"/>
  <c r="AR20" i="58"/>
  <c r="AS20" i="58"/>
  <c r="AT20" i="58"/>
  <c r="AU20" i="58"/>
  <c r="AN21" i="58"/>
  <c r="AO21" i="58"/>
  <c r="AP21" i="58"/>
  <c r="AQ21" i="58"/>
  <c r="AR21" i="58"/>
  <c r="AS21" i="58"/>
  <c r="AT21" i="58"/>
  <c r="AU21" i="58"/>
  <c r="AN22" i="58"/>
  <c r="AO22" i="58"/>
  <c r="AP22" i="58"/>
  <c r="AQ22" i="58"/>
  <c r="AR22" i="58"/>
  <c r="AS22" i="58"/>
  <c r="AT22" i="58"/>
  <c r="AU22" i="58"/>
  <c r="AN23" i="58"/>
  <c r="AO23" i="58"/>
  <c r="AP23" i="58"/>
  <c r="AQ23" i="58"/>
  <c r="AR23" i="58"/>
  <c r="AS23" i="58"/>
  <c r="AT23" i="58"/>
  <c r="AU23" i="58"/>
  <c r="AN24" i="58"/>
  <c r="AO24" i="58"/>
  <c r="AP24" i="58"/>
  <c r="AQ24" i="58"/>
  <c r="AR24" i="58"/>
  <c r="AS24" i="58"/>
  <c r="AT24" i="58"/>
  <c r="AU24" i="58"/>
  <c r="AI107" i="58"/>
  <c r="AI101" i="58"/>
  <c r="AI108" i="58"/>
  <c r="AI91" i="58"/>
  <c r="AI87" i="58"/>
  <c r="AI58" i="58"/>
  <c r="AI56" i="58"/>
  <c r="AI52" i="58"/>
  <c r="AI109" i="58"/>
  <c r="AI105" i="58"/>
  <c r="AI88" i="58"/>
  <c r="AI55" i="58"/>
  <c r="AI104" i="58"/>
  <c r="AI73" i="58"/>
  <c r="AI41" i="58"/>
  <c r="AI39" i="58"/>
  <c r="AI92" i="58"/>
  <c r="AI90" i="58"/>
  <c r="AI84" i="58"/>
  <c r="AI57" i="58"/>
  <c r="AI53" i="58"/>
  <c r="AI51" i="58"/>
  <c r="AI106" i="58"/>
  <c r="AI102" i="58"/>
  <c r="AI103" i="58"/>
  <c r="AI72" i="58"/>
  <c r="AK92" i="58"/>
  <c r="AL92" i="58"/>
  <c r="AK51" i="58"/>
  <c r="AL51" i="58"/>
  <c r="F139" i="58"/>
  <c r="E139" i="58"/>
  <c r="F171" i="58"/>
  <c r="E171" i="58"/>
  <c r="F163" i="58"/>
  <c r="E163" i="58"/>
  <c r="F169" i="58"/>
  <c r="E169" i="58"/>
  <c r="F145" i="58"/>
  <c r="E145" i="58"/>
  <c r="F172" i="58"/>
  <c r="E172" i="58"/>
  <c r="F152" i="58"/>
  <c r="E152" i="58"/>
  <c r="F140" i="58"/>
  <c r="E140" i="58"/>
  <c r="F173" i="58"/>
  <c r="E173" i="58"/>
  <c r="F141" i="58"/>
  <c r="E141" i="58"/>
  <c r="F144" i="58"/>
  <c r="E144" i="58"/>
  <c r="F154" i="58"/>
  <c r="E154" i="58"/>
  <c r="F146" i="58"/>
  <c r="E146" i="58"/>
  <c r="F156" i="58"/>
  <c r="E156" i="58"/>
  <c r="AH146" i="58"/>
  <c r="AK146" i="58"/>
  <c r="AK70" i="58"/>
  <c r="AL70" i="58"/>
  <c r="F167" i="58"/>
  <c r="E167" i="58"/>
  <c r="F155" i="58"/>
  <c r="E155" i="58"/>
  <c r="F165" i="58"/>
  <c r="E165" i="58"/>
  <c r="F164" i="58"/>
  <c r="E164" i="58"/>
  <c r="F148" i="58"/>
  <c r="E148" i="58"/>
  <c r="F161" i="58"/>
  <c r="E161" i="58"/>
  <c r="F147" i="58"/>
  <c r="E147" i="58"/>
  <c r="F160" i="58"/>
  <c r="E160" i="58"/>
  <c r="F170" i="58"/>
  <c r="E170" i="58"/>
  <c r="F162" i="58"/>
  <c r="E162" i="58"/>
  <c r="E138" i="58"/>
  <c r="F138" i="58"/>
  <c r="F153" i="58"/>
  <c r="E153" i="58"/>
  <c r="AH156" i="58"/>
  <c r="AK156" i="58"/>
  <c r="AH162" i="58"/>
  <c r="AK162" i="58"/>
  <c r="AK36" i="58"/>
  <c r="AL36" i="58"/>
  <c r="F159" i="58"/>
  <c r="E159" i="58"/>
  <c r="F151" i="58"/>
  <c r="E151" i="58"/>
  <c r="F143" i="58"/>
  <c r="E143" i="58"/>
  <c r="F157" i="58"/>
  <c r="E157" i="58"/>
  <c r="F149" i="58"/>
  <c r="E149" i="58"/>
  <c r="E166" i="58"/>
  <c r="F166" i="58"/>
  <c r="E158" i="58"/>
  <c r="F158" i="58"/>
  <c r="E150" i="58"/>
  <c r="F150" i="58"/>
  <c r="E142" i="58"/>
  <c r="F142" i="58"/>
  <c r="F168" i="58"/>
  <c r="E168" i="58"/>
  <c r="AK88" i="58"/>
  <c r="AL88" i="58"/>
  <c r="AH171" i="58"/>
  <c r="AK171" i="58"/>
  <c r="AH163" i="58"/>
  <c r="AK163" i="58"/>
  <c r="AH161" i="58"/>
  <c r="AK161" i="58"/>
  <c r="AK53" i="58"/>
  <c r="AL53" i="58"/>
  <c r="AH149" i="58"/>
  <c r="AK149" i="58"/>
  <c r="AK86" i="58"/>
  <c r="AL86" i="58"/>
  <c r="AK38" i="58"/>
  <c r="AL38" i="58"/>
  <c r="AH144" i="58"/>
  <c r="AK144" i="58"/>
  <c r="AH139" i="58"/>
  <c r="AK139" i="58"/>
  <c r="AK102" i="58"/>
  <c r="AL102" i="58"/>
  <c r="AK107" i="58"/>
  <c r="AL107" i="58"/>
  <c r="AH165" i="58"/>
  <c r="AK165" i="58"/>
  <c r="AK40" i="58"/>
  <c r="AL40" i="58"/>
  <c r="AK54" i="58"/>
  <c r="AL54" i="58"/>
  <c r="AK71" i="58"/>
  <c r="AL71" i="58"/>
  <c r="AK55" i="58"/>
  <c r="AL55" i="58"/>
  <c r="AK67" i="58"/>
  <c r="AK58" i="58"/>
  <c r="AL58" i="58"/>
  <c r="AK41" i="58"/>
  <c r="AL41" i="58"/>
  <c r="AH169" i="58"/>
  <c r="AK169" i="58"/>
  <c r="AH160" i="58"/>
  <c r="AK160" i="58"/>
  <c r="AK35" i="58"/>
  <c r="AL35" i="58"/>
  <c r="AH151" i="58"/>
  <c r="AK151" i="58"/>
  <c r="AH168" i="58"/>
  <c r="AK168" i="58"/>
  <c r="AK75" i="58"/>
  <c r="AL75" i="58"/>
  <c r="AH142" i="58"/>
  <c r="AK142" i="58"/>
  <c r="AK74" i="58"/>
  <c r="AL74" i="58"/>
  <c r="AK87" i="58"/>
  <c r="AL87" i="58"/>
  <c r="AK68" i="58"/>
  <c r="AL68" i="58"/>
  <c r="AH173" i="58"/>
  <c r="AK173" i="58"/>
  <c r="AK33" i="58"/>
  <c r="AK89" i="58"/>
  <c r="AL89" i="58"/>
  <c r="AK50" i="58"/>
  <c r="AL50" i="58"/>
  <c r="AH164" i="58"/>
  <c r="AK164" i="58"/>
  <c r="AH138" i="58"/>
  <c r="AK104" i="58"/>
  <c r="AL104" i="58"/>
  <c r="AK109" i="58"/>
  <c r="AL109" i="58"/>
  <c r="AH155" i="58"/>
  <c r="AK155" i="58"/>
  <c r="AK90" i="58"/>
  <c r="AL90" i="58"/>
  <c r="AK57" i="58"/>
  <c r="AL57" i="58"/>
  <c r="AK73" i="58"/>
  <c r="AL73" i="58"/>
  <c r="AK91" i="58"/>
  <c r="AL91" i="58"/>
  <c r="AH158" i="58"/>
  <c r="AK158" i="58"/>
  <c r="AK72" i="58"/>
  <c r="AL72" i="58"/>
  <c r="AH166" i="58"/>
  <c r="AK166" i="58"/>
  <c r="AK34" i="58"/>
  <c r="AH172" i="58"/>
  <c r="AK172" i="58"/>
  <c r="AH143" i="58"/>
  <c r="AK143" i="58"/>
  <c r="AH167" i="58"/>
  <c r="AK167" i="58"/>
  <c r="AH153" i="58"/>
  <c r="AK153" i="58"/>
  <c r="AK56" i="58"/>
  <c r="AL56" i="58"/>
  <c r="AK37" i="58"/>
  <c r="AL37" i="58"/>
  <c r="AH141" i="58"/>
  <c r="AK141" i="58"/>
  <c r="AK108" i="58"/>
  <c r="AL108" i="58"/>
  <c r="AK85" i="58"/>
  <c r="AL85" i="58"/>
  <c r="AK69" i="58"/>
  <c r="AL69" i="58"/>
  <c r="AK39" i="58"/>
  <c r="AL39" i="58"/>
  <c r="AH147" i="58"/>
  <c r="AK147" i="58"/>
  <c r="AH145" i="58"/>
  <c r="AK145" i="58"/>
  <c r="AH148" i="58"/>
  <c r="AK148" i="58"/>
  <c r="AK105" i="58"/>
  <c r="AL105" i="58"/>
  <c r="AH170" i="58"/>
  <c r="AK170" i="58"/>
  <c r="AH150" i="58"/>
  <c r="AK150" i="58"/>
  <c r="AK103" i="58"/>
  <c r="AL103" i="58"/>
  <c r="AJ67" i="58"/>
  <c r="AL67" i="58"/>
  <c r="AK52" i="58"/>
  <c r="AL52" i="58"/>
  <c r="AK84" i="58"/>
  <c r="AL84" i="58"/>
  <c r="AK106" i="58"/>
  <c r="AL106" i="58"/>
  <c r="AK101" i="58"/>
  <c r="AL101" i="58"/>
  <c r="U19" i="28"/>
  <c r="AA19" i="28"/>
  <c r="AB19" i="28"/>
  <c r="Z19" i="28"/>
  <c r="Y19" i="28"/>
  <c r="X19" i="28"/>
  <c r="W19" i="28"/>
  <c r="BG128" i="58"/>
  <c r="A125" i="58"/>
  <c r="A124" i="58"/>
  <c r="A123" i="58"/>
  <c r="A122" i="58"/>
  <c r="A111" i="58"/>
  <c r="A110" i="58"/>
  <c r="BG129" i="58"/>
  <c r="BG127" i="58"/>
  <c r="BG126" i="58"/>
  <c r="BC127" i="58"/>
  <c r="BC128" i="58"/>
  <c r="BC129" i="58"/>
  <c r="BC126" i="58"/>
  <c r="U126" i="58"/>
  <c r="BT220" i="58"/>
  <c r="BT217" i="58"/>
  <c r="S220" i="58"/>
  <c r="S213" i="58"/>
  <c r="BU204" i="58"/>
  <c r="BT210" i="58"/>
  <c r="S206" i="58"/>
  <c r="BF207" i="58"/>
  <c r="BU213" i="58"/>
  <c r="S218" i="58"/>
  <c r="S185" i="58"/>
  <c r="BT218" i="58"/>
  <c r="BF218" i="58"/>
  <c r="BU218" i="58"/>
  <c r="BF215" i="58"/>
  <c r="BF197" i="58"/>
  <c r="BF210" i="58"/>
  <c r="BU210" i="58"/>
  <c r="S186" i="58"/>
  <c r="S193" i="58"/>
  <c r="BF220" i="58"/>
  <c r="BU220" i="58"/>
  <c r="S210" i="58"/>
  <c r="BU206" i="58"/>
  <c r="S217" i="58"/>
  <c r="S209" i="58"/>
  <c r="S203" i="58"/>
  <c r="S195" i="58"/>
  <c r="BF188" i="58"/>
  <c r="S201" i="58"/>
  <c r="BF186" i="58"/>
  <c r="S214" i="58"/>
  <c r="S204" i="58"/>
  <c r="S202" i="58"/>
  <c r="BT213" i="58"/>
  <c r="BT214" i="58"/>
  <c r="BF214" i="58"/>
  <c r="BU214" i="58"/>
  <c r="BT206" i="58"/>
  <c r="BF217" i="58"/>
  <c r="BU217" i="58"/>
  <c r="S207" i="58"/>
  <c r="BT204" i="58"/>
  <c r="BU202" i="58"/>
  <c r="BF211" i="58"/>
  <c r="BG144" i="58"/>
  <c r="BH147" i="58"/>
  <c r="BI147" i="58"/>
  <c r="BJ150" i="58"/>
  <c r="BJ147" i="58"/>
  <c r="AK157" i="58"/>
  <c r="BH144" i="58"/>
  <c r="BI144" i="58"/>
  <c r="AK154" i="58"/>
  <c r="BJ144" i="58"/>
  <c r="BH141" i="58"/>
  <c r="BG141" i="58"/>
  <c r="BG150" i="58"/>
  <c r="BH150" i="58"/>
  <c r="BG147" i="58"/>
  <c r="BI150" i="58"/>
  <c r="AK159" i="58"/>
  <c r="AK140" i="58"/>
  <c r="AK152" i="58"/>
  <c r="CC87" i="58"/>
  <c r="P102" i="58"/>
  <c r="P71" i="58"/>
  <c r="P53" i="58"/>
  <c r="P91" i="58"/>
  <c r="P40" i="58"/>
  <c r="P104" i="58"/>
  <c r="A132" i="58"/>
  <c r="A134" i="58"/>
  <c r="A136" i="58"/>
  <c r="A137" i="58"/>
  <c r="A133" i="58"/>
  <c r="A135" i="58"/>
  <c r="A131" i="58"/>
  <c r="CC86" i="58"/>
  <c r="X86" i="58"/>
  <c r="H54" i="59"/>
  <c r="CC41" i="58"/>
  <c r="X41" i="58"/>
  <c r="H30" i="59"/>
  <c r="CA67" i="58"/>
  <c r="U67" i="58"/>
  <c r="CA84" i="58"/>
  <c r="CB84" i="58"/>
  <c r="CC37" i="58"/>
  <c r="CD37" i="58"/>
  <c r="CC35" i="58"/>
  <c r="X35" i="58"/>
  <c r="H24" i="59"/>
  <c r="CA103" i="58"/>
  <c r="CB103" i="58"/>
  <c r="CA40" i="58"/>
  <c r="U40" i="58"/>
  <c r="CA41" i="58"/>
  <c r="CB41" i="58"/>
  <c r="CC92" i="58"/>
  <c r="CC85" i="58"/>
  <c r="X85" i="58"/>
  <c r="H53" i="59"/>
  <c r="CA75" i="58"/>
  <c r="CC107" i="58"/>
  <c r="X107" i="58"/>
  <c r="H68" i="59"/>
  <c r="CC68" i="58"/>
  <c r="CC56" i="58"/>
  <c r="X56" i="58"/>
  <c r="H38" i="59"/>
  <c r="CA71" i="58"/>
  <c r="U71" i="58"/>
  <c r="CA92" i="58"/>
  <c r="U92" i="58"/>
  <c r="CC105" i="58"/>
  <c r="CC73" i="58"/>
  <c r="CC34" i="58"/>
  <c r="CD34" i="58"/>
  <c r="CC106" i="58"/>
  <c r="CA70" i="58"/>
  <c r="CC55" i="58"/>
  <c r="X55" i="58"/>
  <c r="H37" i="59"/>
  <c r="CA86" i="58"/>
  <c r="U86" i="58"/>
  <c r="CA54" i="58"/>
  <c r="U54" i="58"/>
  <c r="CA69" i="58"/>
  <c r="CB69" i="58"/>
  <c r="CC52" i="58"/>
  <c r="X52" i="58"/>
  <c r="H34" i="59"/>
  <c r="CC90" i="58"/>
  <c r="P89" i="58"/>
  <c r="CA102" i="58"/>
  <c r="CB102" i="58"/>
  <c r="CC102" i="58"/>
  <c r="X102" i="58"/>
  <c r="H63" i="59"/>
  <c r="CC74" i="58"/>
  <c r="CC70" i="58"/>
  <c r="X70" i="58"/>
  <c r="H45" i="59"/>
  <c r="CA106" i="58"/>
  <c r="U106" i="58"/>
  <c r="P106" i="58"/>
  <c r="CA55" i="58"/>
  <c r="CB55" i="58"/>
  <c r="CA51" i="58"/>
  <c r="CB51" i="58"/>
  <c r="CC39" i="58"/>
  <c r="CD39" i="58"/>
  <c r="CA34" i="58"/>
  <c r="CB34" i="58"/>
  <c r="CA68" i="58"/>
  <c r="CA107" i="58"/>
  <c r="U107" i="58"/>
  <c r="A78" i="58"/>
  <c r="CC75" i="58"/>
  <c r="X75" i="58"/>
  <c r="H50" i="59"/>
  <c r="P57" i="58"/>
  <c r="A99" i="58"/>
  <c r="CC40" i="58"/>
  <c r="CD40" i="58"/>
  <c r="CC89" i="58"/>
  <c r="CC33" i="58"/>
  <c r="X33" i="58"/>
  <c r="H22" i="59"/>
  <c r="A98" i="58"/>
  <c r="CA52" i="58"/>
  <c r="CB52" i="58"/>
  <c r="CA108" i="58"/>
  <c r="CB108" i="58"/>
  <c r="P103" i="58"/>
  <c r="CA109" i="58"/>
  <c r="U109" i="58"/>
  <c r="CA74" i="58"/>
  <c r="CC69" i="58"/>
  <c r="X69" i="58"/>
  <c r="H44" i="59"/>
  <c r="CC67" i="58"/>
  <c r="X67" i="58"/>
  <c r="H42" i="59"/>
  <c r="CC108" i="58"/>
  <c r="X108" i="58"/>
  <c r="H69" i="59"/>
  <c r="CA72" i="58"/>
  <c r="CC53" i="58"/>
  <c r="CC36" i="58"/>
  <c r="CA89" i="58"/>
  <c r="CC71" i="58"/>
  <c r="X71" i="58"/>
  <c r="H46" i="59"/>
  <c r="CA33" i="58"/>
  <c r="CA37" i="58"/>
  <c r="CB37" i="58"/>
  <c r="CA35" i="58"/>
  <c r="U35" i="58"/>
  <c r="CA36" i="58"/>
  <c r="CB36" i="58"/>
  <c r="A45" i="58"/>
  <c r="CA85" i="58"/>
  <c r="U85" i="58"/>
  <c r="CA88" i="58"/>
  <c r="CC57" i="58"/>
  <c r="X57" i="58"/>
  <c r="H39" i="59"/>
  <c r="CC104" i="58"/>
  <c r="X104" i="58"/>
  <c r="H65" i="59"/>
  <c r="CC101" i="58"/>
  <c r="X101" i="58"/>
  <c r="H62" i="59"/>
  <c r="CC54" i="58"/>
  <c r="CA53" i="58"/>
  <c r="Q23" i="58"/>
  <c r="Q19" i="58"/>
  <c r="A32" i="58"/>
  <c r="A30" i="58"/>
  <c r="CC58" i="58"/>
  <c r="X58" i="58"/>
  <c r="H40" i="59"/>
  <c r="A47" i="58"/>
  <c r="CA87" i="58"/>
  <c r="CB87" i="58"/>
  <c r="A94" i="58"/>
  <c r="A93" i="58"/>
  <c r="CC91" i="58"/>
  <c r="X91" i="58"/>
  <c r="H59" i="59"/>
  <c r="CC103" i="58"/>
  <c r="X103" i="58"/>
  <c r="H64" i="59"/>
  <c r="CC51" i="58"/>
  <c r="X51" i="58"/>
  <c r="H33" i="59"/>
  <c r="CA91" i="58"/>
  <c r="CC88" i="58"/>
  <c r="X88" i="58"/>
  <c r="H56" i="59"/>
  <c r="CC72" i="58"/>
  <c r="X72" i="58"/>
  <c r="H47" i="59"/>
  <c r="CA57" i="58"/>
  <c r="CC38" i="58"/>
  <c r="CA50" i="58"/>
  <c r="CB50" i="58"/>
  <c r="CC84" i="58"/>
  <c r="CA105" i="58"/>
  <c r="CB105" i="58"/>
  <c r="CA104" i="58"/>
  <c r="CB104" i="58"/>
  <c r="CC109" i="58"/>
  <c r="X109" i="58"/>
  <c r="H70" i="59"/>
  <c r="CA73" i="58"/>
  <c r="CA38" i="58"/>
  <c r="CA101" i="58"/>
  <c r="CC50" i="58"/>
  <c r="X50" i="58"/>
  <c r="H32" i="59"/>
  <c r="CA39" i="58"/>
  <c r="P108" i="58"/>
  <c r="A96" i="58"/>
  <c r="A97" i="58"/>
  <c r="P107" i="58"/>
  <c r="A100" i="58"/>
  <c r="P109" i="58"/>
  <c r="P105" i="58"/>
  <c r="A95" i="58"/>
  <c r="P90" i="58"/>
  <c r="P86" i="58"/>
  <c r="A79" i="58"/>
  <c r="A82" i="58"/>
  <c r="A83" i="58"/>
  <c r="P88" i="58"/>
  <c r="A77" i="58"/>
  <c r="A76" i="58"/>
  <c r="P87" i="58"/>
  <c r="CA90" i="58"/>
  <c r="A81" i="58"/>
  <c r="A80" i="58"/>
  <c r="A65" i="58"/>
  <c r="A61" i="58"/>
  <c r="A62" i="58"/>
  <c r="A66" i="58"/>
  <c r="A64" i="58"/>
  <c r="A60" i="58"/>
  <c r="A59" i="58"/>
  <c r="A63" i="58"/>
  <c r="P69" i="58"/>
  <c r="P72" i="58"/>
  <c r="P68" i="58"/>
  <c r="P73" i="58"/>
  <c r="P58" i="58"/>
  <c r="CA56" i="58"/>
  <c r="A44" i="58"/>
  <c r="P55" i="58"/>
  <c r="P51" i="58"/>
  <c r="CA58" i="58"/>
  <c r="A49" i="58"/>
  <c r="A46" i="58"/>
  <c r="A43" i="58"/>
  <c r="A42" i="58"/>
  <c r="A48" i="58"/>
  <c r="P35" i="58"/>
  <c r="P41" i="58"/>
  <c r="A28" i="58"/>
  <c r="P39" i="58"/>
  <c r="A27" i="58"/>
  <c r="A26" i="58"/>
  <c r="A25" i="58"/>
  <c r="A31" i="58"/>
  <c r="A29" i="58"/>
  <c r="Q21" i="58"/>
  <c r="Q17" i="58"/>
  <c r="Q22" i="58"/>
  <c r="Q20" i="58"/>
  <c r="Q18" i="58"/>
  <c r="Q24" i="58"/>
  <c r="CE24" i="58"/>
  <c r="CE20" i="58"/>
  <c r="CE23" i="58"/>
  <c r="CE19" i="58"/>
  <c r="CE22" i="58"/>
  <c r="CE18" i="58"/>
  <c r="CE21" i="58"/>
  <c r="CE17" i="58"/>
  <c r="BW17" i="58"/>
  <c r="BW21" i="58"/>
  <c r="BW22" i="58"/>
  <c r="BW19" i="58"/>
  <c r="BW23" i="58"/>
  <c r="BW18" i="58"/>
  <c r="BW20" i="58"/>
  <c r="BW24" i="58"/>
  <c r="A130" i="58"/>
  <c r="A174" i="58"/>
  <c r="AA35" i="58"/>
  <c r="G67" i="59"/>
  <c r="G70" i="59"/>
  <c r="AA109" i="58"/>
  <c r="G68" i="59"/>
  <c r="AA107" i="58"/>
  <c r="G36" i="59"/>
  <c r="G60" i="59"/>
  <c r="G53" i="59"/>
  <c r="AA85" i="58"/>
  <c r="G54" i="59"/>
  <c r="AA86" i="58"/>
  <c r="G46" i="59"/>
  <c r="AA71" i="58"/>
  <c r="G42" i="59"/>
  <c r="AA67" i="58"/>
  <c r="G24" i="59"/>
  <c r="G29" i="59"/>
  <c r="BN139" i="58"/>
  <c r="BG139" i="58"/>
  <c r="CD105" i="58"/>
  <c r="X105" i="58"/>
  <c r="H66" i="59"/>
  <c r="CD53" i="58"/>
  <c r="X53" i="58"/>
  <c r="H35" i="59"/>
  <c r="CD54" i="58"/>
  <c r="X54" i="58"/>
  <c r="H36" i="59"/>
  <c r="CD68" i="58"/>
  <c r="X68" i="58"/>
  <c r="H43" i="59"/>
  <c r="BH128" i="58"/>
  <c r="Y128" i="58"/>
  <c r="X128" i="58"/>
  <c r="CD106" i="58"/>
  <c r="X106" i="58"/>
  <c r="H67" i="59"/>
  <c r="CD74" i="58"/>
  <c r="X74" i="58"/>
  <c r="H49" i="59"/>
  <c r="CD73" i="58"/>
  <c r="X73" i="58"/>
  <c r="H48" i="59"/>
  <c r="CD87" i="58"/>
  <c r="X87" i="58"/>
  <c r="H55" i="59"/>
  <c r="CD89" i="58"/>
  <c r="X89" i="58"/>
  <c r="H57" i="59"/>
  <c r="CD84" i="58"/>
  <c r="X84" i="58"/>
  <c r="H52" i="59"/>
  <c r="CD92" i="58"/>
  <c r="X92" i="58"/>
  <c r="H60" i="59"/>
  <c r="CD90" i="58"/>
  <c r="X90" i="58"/>
  <c r="H58" i="59"/>
  <c r="BD129" i="58"/>
  <c r="V129" i="58"/>
  <c r="U129" i="58"/>
  <c r="BD128" i="58"/>
  <c r="V128" i="58"/>
  <c r="U128" i="58"/>
  <c r="BD127" i="58"/>
  <c r="V127" i="58"/>
  <c r="U127" i="58"/>
  <c r="BD126" i="58"/>
  <c r="V126" i="58"/>
  <c r="BH126" i="58"/>
  <c r="Y126" i="58"/>
  <c r="Z126" i="58"/>
  <c r="X126" i="58"/>
  <c r="BH127" i="58"/>
  <c r="Y127" i="58"/>
  <c r="Z127" i="58"/>
  <c r="X127" i="58"/>
  <c r="BH129" i="58"/>
  <c r="Y129" i="58"/>
  <c r="X129" i="58"/>
  <c r="BV218" i="58"/>
  <c r="BW218" i="58"/>
  <c r="BV217" i="58"/>
  <c r="BW217" i="58"/>
  <c r="BV220" i="58"/>
  <c r="U220" i="58"/>
  <c r="BV204" i="58"/>
  <c r="U204" i="58"/>
  <c r="BV214" i="58"/>
  <c r="U214" i="58"/>
  <c r="S219" i="58"/>
  <c r="S189" i="58"/>
  <c r="S211" i="58"/>
  <c r="S215" i="58"/>
  <c r="S187" i="58"/>
  <c r="BV206" i="58"/>
  <c r="U206" i="58"/>
  <c r="BV210" i="58"/>
  <c r="U210" i="58"/>
  <c r="BT208" i="58"/>
  <c r="BF208" i="58"/>
  <c r="BU208" i="58"/>
  <c r="BT193" i="58"/>
  <c r="BF193" i="58"/>
  <c r="BU193" i="58"/>
  <c r="BT201" i="58"/>
  <c r="BF201" i="58"/>
  <c r="BU201" i="58"/>
  <c r="BT209" i="58"/>
  <c r="BF209" i="58"/>
  <c r="BU209" i="58"/>
  <c r="BT197" i="58"/>
  <c r="BT199" i="58"/>
  <c r="BF199" i="58"/>
  <c r="BU199" i="58"/>
  <c r="BU211" i="58"/>
  <c r="BT216" i="58"/>
  <c r="BF216" i="58"/>
  <c r="BU216" i="58"/>
  <c r="BU188" i="58"/>
  <c r="BT195" i="58"/>
  <c r="BF195" i="58"/>
  <c r="BU195" i="58"/>
  <c r="BT187" i="58"/>
  <c r="BF187" i="58"/>
  <c r="BU187" i="58"/>
  <c r="BU215" i="58"/>
  <c r="BT215" i="58"/>
  <c r="BT205" i="58"/>
  <c r="BF205" i="58"/>
  <c r="BU205" i="58"/>
  <c r="BV213" i="58"/>
  <c r="S188" i="58"/>
  <c r="S197" i="58"/>
  <c r="S208" i="58"/>
  <c r="BT202" i="58"/>
  <c r="BV202" i="58"/>
  <c r="BT203" i="58"/>
  <c r="BF203" i="58"/>
  <c r="BU203" i="58"/>
  <c r="S205" i="58"/>
  <c r="BU197" i="58"/>
  <c r="BT189" i="58"/>
  <c r="BF189" i="58"/>
  <c r="BU189" i="58"/>
  <c r="BU207" i="58"/>
  <c r="S190" i="58"/>
  <c r="BT219" i="58"/>
  <c r="BF219" i="58"/>
  <c r="BU219" i="58"/>
  <c r="BT191" i="58"/>
  <c r="BF191" i="58"/>
  <c r="BU191" i="58"/>
  <c r="S191" i="58"/>
  <c r="S199" i="58"/>
  <c r="S198" i="58"/>
  <c r="BT188" i="58"/>
  <c r="BT211" i="58"/>
  <c r="S216" i="58"/>
  <c r="BT207" i="58"/>
  <c r="BH166" i="58"/>
  <c r="BT147" i="58"/>
  <c r="BI156" i="58"/>
  <c r="BJ141" i="58"/>
  <c r="BF169" i="58"/>
  <c r="BT144" i="58"/>
  <c r="BH172" i="58"/>
  <c r="BJ169" i="58"/>
  <c r="BI141" i="58"/>
  <c r="BG153" i="58"/>
  <c r="BJ153" i="58"/>
  <c r="BH145" i="58"/>
  <c r="BI145" i="58"/>
  <c r="BI151" i="58"/>
  <c r="BJ140" i="58"/>
  <c r="BI165" i="58"/>
  <c r="BI139" i="58"/>
  <c r="BH161" i="58"/>
  <c r="BI161" i="58"/>
  <c r="BI146" i="58"/>
  <c r="BG152" i="58"/>
  <c r="BI154" i="58"/>
  <c r="BJ163" i="58"/>
  <c r="BG143" i="58"/>
  <c r="BH168" i="58"/>
  <c r="BT150" i="58"/>
  <c r="BI163" i="58"/>
  <c r="BH156" i="58"/>
  <c r="BJ170" i="58"/>
  <c r="BG170" i="58"/>
  <c r="BI155" i="58"/>
  <c r="BG142" i="58"/>
  <c r="BI158" i="58"/>
  <c r="BI149" i="58"/>
  <c r="BG149" i="58"/>
  <c r="BG140" i="58"/>
  <c r="BH143" i="58"/>
  <c r="BJ168" i="58"/>
  <c r="BH165" i="58"/>
  <c r="BJ157" i="58"/>
  <c r="BJ164" i="58"/>
  <c r="BH148" i="58"/>
  <c r="BJ148" i="58"/>
  <c r="BH173" i="58"/>
  <c r="BJ173" i="58"/>
  <c r="BH152" i="58"/>
  <c r="BG154" i="58"/>
  <c r="BJ154" i="58"/>
  <c r="BJ143" i="58"/>
  <c r="BF162" i="58"/>
  <c r="BG171" i="58"/>
  <c r="BI171" i="58"/>
  <c r="BH171" i="58"/>
  <c r="BJ171" i="58"/>
  <c r="BG172" i="58"/>
  <c r="BI172" i="58"/>
  <c r="BJ172" i="58"/>
  <c r="BF156" i="58"/>
  <c r="BF146" i="58"/>
  <c r="BJ166" i="58"/>
  <c r="BG166" i="58"/>
  <c r="BI168" i="58"/>
  <c r="BG168" i="58"/>
  <c r="BJ167" i="58"/>
  <c r="BG167" i="58"/>
  <c r="BH167" i="58"/>
  <c r="BI167" i="58"/>
  <c r="BJ160" i="58"/>
  <c r="BI160" i="58"/>
  <c r="BH160" i="58"/>
  <c r="BJ159" i="58"/>
  <c r="BJ139" i="58"/>
  <c r="BH139" i="58"/>
  <c r="BJ145" i="58"/>
  <c r="BG145" i="58"/>
  <c r="BG146" i="58"/>
  <c r="BJ151" i="58"/>
  <c r="BH151" i="58"/>
  <c r="BH140" i="58"/>
  <c r="BI162" i="58"/>
  <c r="BG162" i="58"/>
  <c r="BJ156" i="58"/>
  <c r="BI159" i="58"/>
  <c r="S150" i="58"/>
  <c r="BF141" i="58"/>
  <c r="BF144" i="58"/>
  <c r="BU144" i="58"/>
  <c r="BH169" i="58"/>
  <c r="BH154" i="58"/>
  <c r="BH162" i="58"/>
  <c r="BJ162" i="58"/>
  <c r="BF150" i="58"/>
  <c r="BU150" i="58"/>
  <c r="BH157" i="58"/>
  <c r="BI157" i="58"/>
  <c r="BG157" i="58"/>
  <c r="BJ161" i="58"/>
  <c r="BG161" i="58"/>
  <c r="BI152" i="58"/>
  <c r="BJ152" i="58"/>
  <c r="BH146" i="58"/>
  <c r="BG151" i="58"/>
  <c r="BI140" i="58"/>
  <c r="BG165" i="58"/>
  <c r="BJ165" i="58"/>
  <c r="BG159" i="58"/>
  <c r="S147" i="58"/>
  <c r="BH163" i="58"/>
  <c r="S144" i="58"/>
  <c r="BG169" i="58"/>
  <c r="BI143" i="58"/>
  <c r="BI153" i="58"/>
  <c r="BH153" i="58"/>
  <c r="BH170" i="58"/>
  <c r="BI170" i="58"/>
  <c r="BI148" i="58"/>
  <c r="BG148" i="58"/>
  <c r="BG173" i="58"/>
  <c r="BI173" i="58"/>
  <c r="BF140" i="58"/>
  <c r="BF143" i="58"/>
  <c r="BH164" i="58"/>
  <c r="BI164" i="58"/>
  <c r="BG164" i="58"/>
  <c r="BH155" i="58"/>
  <c r="BJ155" i="58"/>
  <c r="BG155" i="58"/>
  <c r="BH142" i="58"/>
  <c r="BJ142" i="58"/>
  <c r="BI142" i="58"/>
  <c r="BG158" i="58"/>
  <c r="BH158" i="58"/>
  <c r="BJ158" i="58"/>
  <c r="BJ149" i="58"/>
  <c r="BH149" i="58"/>
  <c r="BJ146" i="58"/>
  <c r="BF147" i="58"/>
  <c r="BU147" i="58"/>
  <c r="BG163" i="58"/>
  <c r="CD86" i="58"/>
  <c r="X37" i="58"/>
  <c r="H26" i="59"/>
  <c r="CD41" i="58"/>
  <c r="U105" i="58"/>
  <c r="CB67" i="58"/>
  <c r="U84" i="58"/>
  <c r="U69" i="58"/>
  <c r="CD85" i="58"/>
  <c r="U103" i="58"/>
  <c r="CD35" i="58"/>
  <c r="CB40" i="58"/>
  <c r="U41" i="58"/>
  <c r="AA41" i="58"/>
  <c r="U36" i="58"/>
  <c r="CD58" i="58"/>
  <c r="CD107" i="58"/>
  <c r="CD52" i="58"/>
  <c r="CB71" i="58"/>
  <c r="CB107" i="58"/>
  <c r="X34" i="58"/>
  <c r="H23" i="59"/>
  <c r="U104" i="58"/>
  <c r="CB86" i="58"/>
  <c r="X40" i="58"/>
  <c r="H29" i="59"/>
  <c r="U34" i="58"/>
  <c r="CD56" i="58"/>
  <c r="U55" i="58"/>
  <c r="U75" i="58"/>
  <c r="CB75" i="58"/>
  <c r="CB70" i="58"/>
  <c r="U70" i="58"/>
  <c r="CB35" i="58"/>
  <c r="CB54" i="58"/>
  <c r="CB92" i="58"/>
  <c r="CB85" i="58"/>
  <c r="U108" i="58"/>
  <c r="U102" i="58"/>
  <c r="X39" i="58"/>
  <c r="H28" i="59"/>
  <c r="U37" i="58"/>
  <c r="CD55" i="58"/>
  <c r="U51" i="58"/>
  <c r="CD102" i="58"/>
  <c r="CB106" i="58"/>
  <c r="CD70" i="58"/>
  <c r="CD57" i="58"/>
  <c r="U52" i="58"/>
  <c r="CD33" i="58"/>
  <c r="CB68" i="58"/>
  <c r="U68" i="58"/>
  <c r="CD75" i="58"/>
  <c r="CD104" i="58"/>
  <c r="CD36" i="58"/>
  <c r="X36" i="58"/>
  <c r="H25" i="59"/>
  <c r="CD108" i="58"/>
  <c r="U53" i="58"/>
  <c r="CB53" i="58"/>
  <c r="CB33" i="58"/>
  <c r="U33" i="58"/>
  <c r="AA33" i="58"/>
  <c r="CD67" i="58"/>
  <c r="U50" i="58"/>
  <c r="U87" i="58"/>
  <c r="CB109" i="58"/>
  <c r="U88" i="58"/>
  <c r="CB88" i="58"/>
  <c r="CD71" i="58"/>
  <c r="CD69" i="58"/>
  <c r="CD101" i="58"/>
  <c r="CB89" i="58"/>
  <c r="U89" i="58"/>
  <c r="U72" i="58"/>
  <c r="CB72" i="58"/>
  <c r="CB74" i="58"/>
  <c r="U74" i="58"/>
  <c r="CB38" i="58"/>
  <c r="U38" i="58"/>
  <c r="CD72" i="58"/>
  <c r="CD51" i="58"/>
  <c r="CD103" i="58"/>
  <c r="CB39" i="58"/>
  <c r="U39" i="58"/>
  <c r="CB73" i="58"/>
  <c r="U73" i="58"/>
  <c r="CD38" i="58"/>
  <c r="X38" i="58"/>
  <c r="H27" i="59"/>
  <c r="CD88" i="58"/>
  <c r="CD91" i="58"/>
  <c r="CD50" i="58"/>
  <c r="CD109" i="58"/>
  <c r="CB91" i="58"/>
  <c r="U91" i="58"/>
  <c r="CB101" i="58"/>
  <c r="U101" i="58"/>
  <c r="CB57" i="58"/>
  <c r="U57" i="58"/>
  <c r="U90" i="58"/>
  <c r="CB90" i="58"/>
  <c r="U56" i="58"/>
  <c r="CB56" i="58"/>
  <c r="U58" i="58"/>
  <c r="CB58" i="58"/>
  <c r="AB126" i="58"/>
  <c r="AC126" i="58"/>
  <c r="W126" i="58"/>
  <c r="W128" i="58"/>
  <c r="AB128" i="58"/>
  <c r="AC128" i="58"/>
  <c r="W127" i="58"/>
  <c r="AB127" i="58"/>
  <c r="AC127" i="58"/>
  <c r="AB129" i="58"/>
  <c r="AC129" i="58"/>
  <c r="W129" i="58"/>
  <c r="CA203" i="58"/>
  <c r="AE126" i="58"/>
  <c r="AA126" i="58"/>
  <c r="A177" i="58"/>
  <c r="A176" i="58"/>
  <c r="A175" i="58"/>
  <c r="AA128" i="58"/>
  <c r="AA34" i="58"/>
  <c r="AA39" i="58"/>
  <c r="AA127" i="58"/>
  <c r="AA129" i="58"/>
  <c r="AA37" i="58"/>
  <c r="G32" i="59"/>
  <c r="AA50" i="58"/>
  <c r="G69" i="59"/>
  <c r="AA108" i="58"/>
  <c r="G50" i="59"/>
  <c r="AA75" i="58"/>
  <c r="G52" i="59"/>
  <c r="AA84" i="58"/>
  <c r="AA54" i="58"/>
  <c r="G62" i="59"/>
  <c r="AA101" i="58"/>
  <c r="G40" i="59"/>
  <c r="AA58" i="58"/>
  <c r="G58" i="59"/>
  <c r="AA90" i="58"/>
  <c r="AA38" i="58"/>
  <c r="G56" i="59"/>
  <c r="AA88" i="58"/>
  <c r="G35" i="59"/>
  <c r="AA53" i="58"/>
  <c r="G45" i="59"/>
  <c r="AA70" i="58"/>
  <c r="G37" i="59"/>
  <c r="AA55" i="58"/>
  <c r="AA36" i="58"/>
  <c r="G64" i="59"/>
  <c r="AA103" i="58"/>
  <c r="G59" i="59"/>
  <c r="AA91" i="58"/>
  <c r="G48" i="59"/>
  <c r="AA73" i="58"/>
  <c r="G34" i="59"/>
  <c r="AA52" i="58"/>
  <c r="G65" i="59"/>
  <c r="AA104" i="58"/>
  <c r="G66" i="59"/>
  <c r="AA105" i="58"/>
  <c r="AA92" i="58"/>
  <c r="AA106" i="58"/>
  <c r="G39" i="59"/>
  <c r="AA57" i="58"/>
  <c r="G47" i="59"/>
  <c r="AA72" i="58"/>
  <c r="G38" i="59"/>
  <c r="AA56" i="58"/>
  <c r="G49" i="59"/>
  <c r="AA74" i="58"/>
  <c r="G57" i="59"/>
  <c r="AA89" i="58"/>
  <c r="G55" i="59"/>
  <c r="AA87" i="58"/>
  <c r="G43" i="59"/>
  <c r="AA68" i="58"/>
  <c r="G33" i="59"/>
  <c r="AA51" i="58"/>
  <c r="G63" i="59"/>
  <c r="AA102" i="58"/>
  <c r="G44" i="59"/>
  <c r="AA69" i="58"/>
  <c r="AA40" i="58"/>
  <c r="G23" i="59"/>
  <c r="G28" i="59"/>
  <c r="G27" i="59"/>
  <c r="G26" i="59"/>
  <c r="G25" i="59"/>
  <c r="G22" i="59"/>
  <c r="G30" i="59"/>
  <c r="BW214" i="58"/>
  <c r="U218" i="58"/>
  <c r="BV205" i="58"/>
  <c r="BW205" i="58"/>
  <c r="BW204" i="58"/>
  <c r="BV209" i="58"/>
  <c r="BW209" i="58"/>
  <c r="BW210" i="58"/>
  <c r="BV193" i="58"/>
  <c r="U193" i="58"/>
  <c r="BV203" i="58"/>
  <c r="BW203" i="58"/>
  <c r="BV187" i="58"/>
  <c r="U187" i="58"/>
  <c r="BW220" i="58"/>
  <c r="BV207" i="58"/>
  <c r="U207" i="58"/>
  <c r="BT139" i="58"/>
  <c r="BT169" i="58"/>
  <c r="BV211" i="58"/>
  <c r="BW211" i="58"/>
  <c r="U217" i="58"/>
  <c r="BV216" i="58"/>
  <c r="BW216" i="58"/>
  <c r="BV201" i="58"/>
  <c r="U201" i="58"/>
  <c r="BV197" i="58"/>
  <c r="BW197" i="58"/>
  <c r="BW206" i="58"/>
  <c r="BW202" i="58"/>
  <c r="U202" i="58"/>
  <c r="BT200" i="58"/>
  <c r="BF200" i="58"/>
  <c r="BU200" i="58"/>
  <c r="BT212" i="58"/>
  <c r="BF212" i="58"/>
  <c r="BU212" i="58"/>
  <c r="BV219" i="58"/>
  <c r="BT196" i="58"/>
  <c r="BF196" i="58"/>
  <c r="BU196" i="58"/>
  <c r="U213" i="58"/>
  <c r="BW213" i="58"/>
  <c r="BV215" i="58"/>
  <c r="BT194" i="58"/>
  <c r="BF194" i="58"/>
  <c r="BU194" i="58"/>
  <c r="BV195" i="58"/>
  <c r="BV199" i="58"/>
  <c r="S200" i="58"/>
  <c r="BV208" i="58"/>
  <c r="BT198" i="58"/>
  <c r="BF198" i="58"/>
  <c r="BU198" i="58"/>
  <c r="S194" i="58"/>
  <c r="BT192" i="58"/>
  <c r="BF192" i="58"/>
  <c r="BU192" i="58"/>
  <c r="BV191" i="58"/>
  <c r="BT190" i="58"/>
  <c r="BF190" i="58"/>
  <c r="BU190" i="58"/>
  <c r="BV189" i="58"/>
  <c r="S196" i="58"/>
  <c r="BV188" i="58"/>
  <c r="S192" i="58"/>
  <c r="S212" i="58"/>
  <c r="S163" i="58"/>
  <c r="BT159" i="58"/>
  <c r="BT148" i="58"/>
  <c r="BT162" i="58"/>
  <c r="BT156" i="58"/>
  <c r="BG156" i="58"/>
  <c r="BU156" i="58"/>
  <c r="BU141" i="58"/>
  <c r="BT163" i="58"/>
  <c r="BT172" i="58"/>
  <c r="BT164" i="58"/>
  <c r="BT155" i="58"/>
  <c r="BT166" i="58"/>
  <c r="BT146" i="58"/>
  <c r="S141" i="58"/>
  <c r="S146" i="58"/>
  <c r="BI169" i="58"/>
  <c r="S169" i="58"/>
  <c r="BT141" i="58"/>
  <c r="BU140" i="58"/>
  <c r="BT173" i="58"/>
  <c r="BT149" i="58"/>
  <c r="BT151" i="58"/>
  <c r="BT168" i="58"/>
  <c r="BT160" i="58"/>
  <c r="BF151" i="58"/>
  <c r="BU151" i="58"/>
  <c r="BH159" i="58"/>
  <c r="BG160" i="58"/>
  <c r="BI166" i="58"/>
  <c r="S166" i="58"/>
  <c r="BT171" i="58"/>
  <c r="BT154" i="58"/>
  <c r="BT158" i="58"/>
  <c r="BT143" i="58"/>
  <c r="BT161" i="58"/>
  <c r="BT145" i="58"/>
  <c r="S143" i="58"/>
  <c r="BU146" i="58"/>
  <c r="BT142" i="58"/>
  <c r="BT170" i="58"/>
  <c r="BT165" i="58"/>
  <c r="BT157" i="58"/>
  <c r="BT167" i="58"/>
  <c r="BT140" i="58"/>
  <c r="BT152" i="58"/>
  <c r="BT153" i="58"/>
  <c r="BU143" i="58"/>
  <c r="S173" i="58"/>
  <c r="BU162" i="58"/>
  <c r="S154" i="58"/>
  <c r="BV144" i="58"/>
  <c r="S170" i="58"/>
  <c r="S153" i="58"/>
  <c r="S149" i="58"/>
  <c r="S158" i="58"/>
  <c r="S151" i="58"/>
  <c r="S172" i="58"/>
  <c r="BF142" i="58"/>
  <c r="BF155" i="58"/>
  <c r="BU155" i="58"/>
  <c r="BF163" i="58"/>
  <c r="BU163" i="58"/>
  <c r="S145" i="58"/>
  <c r="S171" i="58"/>
  <c r="BF158" i="58"/>
  <c r="BU158" i="58"/>
  <c r="S155" i="58"/>
  <c r="S164" i="58"/>
  <c r="S148" i="58"/>
  <c r="BF157" i="58"/>
  <c r="BU157" i="58"/>
  <c r="S157" i="58"/>
  <c r="BV150" i="58"/>
  <c r="S140" i="58"/>
  <c r="BF145" i="58"/>
  <c r="BU145" i="58"/>
  <c r="S139" i="58"/>
  <c r="S159" i="58"/>
  <c r="BF167" i="58"/>
  <c r="BU167" i="58"/>
  <c r="BF168" i="58"/>
  <c r="BU168" i="58"/>
  <c r="BF166" i="58"/>
  <c r="BF172" i="58"/>
  <c r="BF171" i="58"/>
  <c r="BU171" i="58"/>
  <c r="BF149" i="58"/>
  <c r="BU149" i="58"/>
  <c r="BF170" i="58"/>
  <c r="BU170" i="58"/>
  <c r="BF153" i="58"/>
  <c r="BU153" i="58"/>
  <c r="S165" i="58"/>
  <c r="BF148" i="58"/>
  <c r="BU148" i="58"/>
  <c r="BF152" i="58"/>
  <c r="BU152" i="58"/>
  <c r="S161" i="58"/>
  <c r="S156" i="58"/>
  <c r="BF139" i="58"/>
  <c r="BU139" i="58"/>
  <c r="S167" i="58"/>
  <c r="S168" i="58"/>
  <c r="BF164" i="58"/>
  <c r="BF154" i="58"/>
  <c r="BV147" i="58"/>
  <c r="S142" i="58"/>
  <c r="BF159" i="58"/>
  <c r="BF173" i="58"/>
  <c r="S152" i="58"/>
  <c r="BF161" i="58"/>
  <c r="BU161" i="58"/>
  <c r="S162" i="58"/>
  <c r="BF165" i="58"/>
  <c r="BU165" i="58"/>
  <c r="BF160" i="58"/>
  <c r="S160" i="58"/>
  <c r="CA202" i="58"/>
  <c r="CA204" i="58"/>
  <c r="CA193" i="58"/>
  <c r="CA190" i="58"/>
  <c r="BW193" i="58"/>
  <c r="U205" i="58"/>
  <c r="BV141" i="58"/>
  <c r="U141" i="58"/>
  <c r="U209" i="58"/>
  <c r="BU169" i="58"/>
  <c r="BV169" i="58"/>
  <c r="U169" i="58"/>
  <c r="BW207" i="58"/>
  <c r="BW187" i="58"/>
  <c r="BV151" i="58"/>
  <c r="BW151" i="58"/>
  <c r="U211" i="58"/>
  <c r="U197" i="58"/>
  <c r="BW201" i="58"/>
  <c r="BU160" i="58"/>
  <c r="BV160" i="58"/>
  <c r="U203" i="58"/>
  <c r="U216" i="58"/>
  <c r="BV140" i="58"/>
  <c r="U140" i="58"/>
  <c r="BV192" i="58"/>
  <c r="BW192" i="58"/>
  <c r="BV196" i="58"/>
  <c r="BW196" i="58"/>
  <c r="BV190" i="58"/>
  <c r="U208" i="58"/>
  <c r="BW208" i="58"/>
  <c r="BV194" i="58"/>
  <c r="BW188" i="58"/>
  <c r="U188" i="58"/>
  <c r="U219" i="58"/>
  <c r="BW219" i="58"/>
  <c r="U189" i="58"/>
  <c r="BW189" i="58"/>
  <c r="U195" i="58"/>
  <c r="BW195" i="58"/>
  <c r="U191" i="58"/>
  <c r="BW191" i="58"/>
  <c r="BV198" i="58"/>
  <c r="U199" i="58"/>
  <c r="BW199" i="58"/>
  <c r="U215" i="58"/>
  <c r="BW215" i="58"/>
  <c r="BV212" i="58"/>
  <c r="BV200" i="58"/>
  <c r="BU166" i="58"/>
  <c r="BV166" i="58"/>
  <c r="BW166" i="58"/>
  <c r="BU159" i="58"/>
  <c r="BV159" i="58"/>
  <c r="BU164" i="58"/>
  <c r="BV164" i="58"/>
  <c r="BW164" i="58"/>
  <c r="BU172" i="58"/>
  <c r="BV172" i="58"/>
  <c r="BU173" i="58"/>
  <c r="BV173" i="58"/>
  <c r="BW173" i="58"/>
  <c r="BU142" i="58"/>
  <c r="BV142" i="58"/>
  <c r="BU154" i="58"/>
  <c r="BV154" i="58"/>
  <c r="BW154" i="58"/>
  <c r="BV145" i="58"/>
  <c r="BW145" i="58"/>
  <c r="BW144" i="58"/>
  <c r="U144" i="58"/>
  <c r="BV143" i="58"/>
  <c r="U143" i="58"/>
  <c r="BV148" i="58"/>
  <c r="U148" i="58"/>
  <c r="BV171" i="58"/>
  <c r="BW171" i="58"/>
  <c r="BV168" i="58"/>
  <c r="U168" i="58"/>
  <c r="BV163" i="58"/>
  <c r="BW163" i="58"/>
  <c r="BV167" i="58"/>
  <c r="BW167" i="58"/>
  <c r="BV149" i="58"/>
  <c r="U149" i="58"/>
  <c r="BV146" i="58"/>
  <c r="BV162" i="58"/>
  <c r="BV152" i="58"/>
  <c r="BV170" i="58"/>
  <c r="BV157" i="58"/>
  <c r="BW147" i="58"/>
  <c r="U147" i="58"/>
  <c r="BV161" i="58"/>
  <c r="BW150" i="58"/>
  <c r="U150" i="58"/>
  <c r="BV155" i="58"/>
  <c r="BV165" i="58"/>
  <c r="BV156" i="58"/>
  <c r="BV139" i="58"/>
  <c r="BV153" i="58"/>
  <c r="BV158" i="58"/>
  <c r="CA153" i="58"/>
  <c r="CA201" i="58"/>
  <c r="CA154" i="58"/>
  <c r="CA199" i="58"/>
  <c r="CA205" i="58"/>
  <c r="Z140" i="58"/>
  <c r="CA143" i="58"/>
  <c r="Z144" i="58"/>
  <c r="Z150" i="58"/>
  <c r="Z169" i="58"/>
  <c r="Z168" i="58"/>
  <c r="Z141" i="58"/>
  <c r="Z148" i="58"/>
  <c r="BW141" i="58"/>
  <c r="U151" i="58"/>
  <c r="BW168" i="58"/>
  <c r="BW169" i="58"/>
  <c r="BW140" i="58"/>
  <c r="U166" i="58"/>
  <c r="U163" i="58"/>
  <c r="BW143" i="58"/>
  <c r="U192" i="58"/>
  <c r="U196" i="58"/>
  <c r="BW190" i="58"/>
  <c r="U190" i="58"/>
  <c r="BW198" i="58"/>
  <c r="U198" i="58"/>
  <c r="BW200" i="58"/>
  <c r="U200" i="58"/>
  <c r="BW212" i="58"/>
  <c r="U212" i="58"/>
  <c r="BW194" i="58"/>
  <c r="U194" i="58"/>
  <c r="U154" i="58"/>
  <c r="U145" i="58"/>
  <c r="BW149" i="58"/>
  <c r="U142" i="58"/>
  <c r="BW142" i="58"/>
  <c r="U172" i="58"/>
  <c r="BW172" i="58"/>
  <c r="U159" i="58"/>
  <c r="BW159" i="58"/>
  <c r="BW148" i="58"/>
  <c r="U173" i="58"/>
  <c r="U164" i="58"/>
  <c r="U171" i="58"/>
  <c r="U167" i="58"/>
  <c r="BW158" i="58"/>
  <c r="U158" i="58"/>
  <c r="BW153" i="58"/>
  <c r="U153" i="58"/>
  <c r="BW155" i="58"/>
  <c r="U155" i="58"/>
  <c r="BW170" i="58"/>
  <c r="U170" i="58"/>
  <c r="BW162" i="58"/>
  <c r="U162" i="58"/>
  <c r="BW139" i="58"/>
  <c r="U139" i="58"/>
  <c r="BW165" i="58"/>
  <c r="U165" i="58"/>
  <c r="U157" i="58"/>
  <c r="BW157" i="58"/>
  <c r="BW152" i="58"/>
  <c r="U152" i="58"/>
  <c r="BW160" i="58"/>
  <c r="U160" i="58"/>
  <c r="BW156" i="58"/>
  <c r="U156" i="58"/>
  <c r="U161" i="58"/>
  <c r="BW161" i="58"/>
  <c r="BW146" i="58"/>
  <c r="U146" i="58"/>
  <c r="Z163" i="58"/>
  <c r="CA206" i="58"/>
  <c r="Z149" i="58"/>
  <c r="Z171" i="58"/>
  <c r="CA191" i="58"/>
  <c r="Z170" i="58"/>
  <c r="Z167" i="58"/>
  <c r="CA144" i="58"/>
  <c r="CA192" i="58"/>
  <c r="Z166" i="58"/>
  <c r="CA145" i="58"/>
  <c r="Z161" i="58"/>
  <c r="Z146" i="58"/>
  <c r="Z156" i="58"/>
  <c r="Z152" i="58"/>
  <c r="CA159" i="58"/>
  <c r="Z162" i="58"/>
  <c r="Z158" i="58"/>
  <c r="Z159" i="58"/>
  <c r="Z143" i="58"/>
  <c r="Z173" i="58"/>
  <c r="Z172" i="58"/>
  <c r="Z147" i="58"/>
  <c r="CA200" i="58"/>
  <c r="CA207" i="58"/>
  <c r="U222" i="58"/>
  <c r="Z155" i="58"/>
  <c r="CA146" i="58"/>
  <c r="Z164" i="58"/>
  <c r="CA158" i="58"/>
  <c r="Z142" i="58"/>
  <c r="CA152" i="58"/>
  <c r="Z160" i="58"/>
  <c r="CA157" i="58"/>
  <c r="Z157" i="58"/>
  <c r="CA156" i="58"/>
  <c r="Z154" i="58"/>
  <c r="CA155" i="58"/>
  <c r="Z153" i="58"/>
  <c r="Z145" i="58"/>
  <c r="Z151" i="58"/>
  <c r="CA142" i="58"/>
  <c r="Z165" i="58"/>
  <c r="B17" i="58"/>
  <c r="AM17" i="58"/>
  <c r="BE17" i="58"/>
  <c r="B18" i="58"/>
  <c r="AM18" i="58"/>
  <c r="BE18" i="58"/>
  <c r="B19" i="58"/>
  <c r="AM19" i="58"/>
  <c r="BE19" i="58"/>
  <c r="B20" i="58"/>
  <c r="AM20" i="58"/>
  <c r="BE20" i="58"/>
  <c r="B21" i="58"/>
  <c r="AM21" i="58"/>
  <c r="BE21" i="58"/>
  <c r="B22" i="58"/>
  <c r="AM22" i="58"/>
  <c r="BE22" i="58"/>
  <c r="B23" i="58"/>
  <c r="AM23" i="58"/>
  <c r="BE23" i="58"/>
  <c r="A20" i="59"/>
  <c r="AM24" i="58"/>
  <c r="BE24" i="58"/>
  <c r="A15" i="59"/>
  <c r="AC19" i="58"/>
  <c r="Z19" i="58"/>
  <c r="W19" i="58"/>
  <c r="AI19" i="58"/>
  <c r="A16" i="59"/>
  <c r="Z20" i="58"/>
  <c r="AC20" i="58"/>
  <c r="W20" i="58"/>
  <c r="AI20" i="58"/>
  <c r="A17" i="59"/>
  <c r="AC21" i="58"/>
  <c r="W21" i="58"/>
  <c r="Z21" i="58"/>
  <c r="A13" i="59"/>
  <c r="AC17" i="58"/>
  <c r="W17" i="58"/>
  <c r="Z17" i="58"/>
  <c r="A19" i="59"/>
  <c r="AC23" i="58"/>
  <c r="Z23" i="58"/>
  <c r="W23" i="58"/>
  <c r="AI23" i="58"/>
  <c r="A18" i="59"/>
  <c r="W22" i="58"/>
  <c r="AC22" i="58"/>
  <c r="Z22" i="58"/>
  <c r="A14" i="59"/>
  <c r="W18" i="58"/>
  <c r="AI18" i="58"/>
  <c r="Z18" i="58"/>
  <c r="AC18" i="58"/>
  <c r="CA147" i="58"/>
  <c r="H58" i="22"/>
  <c r="CA160" i="58"/>
  <c r="C24" i="58"/>
  <c r="AJ24" i="58"/>
  <c r="D24" i="58"/>
  <c r="C20" i="58"/>
  <c r="AJ20" i="58"/>
  <c r="D20" i="58"/>
  <c r="C21" i="58"/>
  <c r="AJ21" i="58"/>
  <c r="D21" i="58"/>
  <c r="C22" i="58"/>
  <c r="AJ22" i="58"/>
  <c r="D22" i="58"/>
  <c r="C18" i="58"/>
  <c r="AJ18" i="58"/>
  <c r="D18" i="58"/>
  <c r="D23" i="58"/>
  <c r="C23" i="58"/>
  <c r="AJ23" i="58"/>
  <c r="D19" i="58"/>
  <c r="C19" i="58"/>
  <c r="AJ19" i="58"/>
  <c r="C17" i="58"/>
  <c r="AJ17" i="58"/>
  <c r="D17" i="58"/>
  <c r="A18" i="58"/>
  <c r="A23" i="58"/>
  <c r="A19" i="58"/>
  <c r="A22" i="58"/>
  <c r="A20" i="58"/>
  <c r="A24" i="58"/>
  <c r="A21" i="58"/>
  <c r="A17" i="58"/>
  <c r="BY24" i="58"/>
  <c r="AI17" i="58"/>
  <c r="AI21" i="58"/>
  <c r="AI22" i="58"/>
  <c r="H60" i="22"/>
  <c r="U175" i="58"/>
  <c r="M58" i="22"/>
  <c r="U174" i="58"/>
  <c r="M60" i="22"/>
  <c r="H59" i="22"/>
  <c r="L59" i="22"/>
  <c r="M59" i="22"/>
  <c r="E21" i="58"/>
  <c r="AK21" i="58"/>
  <c r="AL21" i="58"/>
  <c r="E17" i="58"/>
  <c r="AK17" i="58"/>
  <c r="E22" i="58"/>
  <c r="AK22" i="58"/>
  <c r="AL22" i="58"/>
  <c r="E20" i="58"/>
  <c r="AK20" i="58"/>
  <c r="AL20" i="58"/>
  <c r="E24" i="58"/>
  <c r="AK24" i="58"/>
  <c r="AL24" i="58"/>
  <c r="E19" i="58"/>
  <c r="AK19" i="58"/>
  <c r="AL19" i="58"/>
  <c r="E23" i="58"/>
  <c r="AK23" i="58"/>
  <c r="AL23" i="58"/>
  <c r="E18" i="58"/>
  <c r="AK18" i="58"/>
  <c r="AL18" i="58"/>
  <c r="BZ17" i="58"/>
  <c r="BZ21" i="58"/>
  <c r="BZ23" i="58"/>
  <c r="BZ19" i="58"/>
  <c r="BX24" i="58"/>
  <c r="CA24" i="58"/>
  <c r="BZ24" i="58"/>
  <c r="CC24" i="58"/>
  <c r="CD24" i="58"/>
  <c r="BX18" i="58"/>
  <c r="BY23" i="58"/>
  <c r="BY18" i="58"/>
  <c r="BX20" i="58"/>
  <c r="BX21" i="58"/>
  <c r="BX23" i="58"/>
  <c r="BZ22" i="58"/>
  <c r="BZ20" i="58"/>
  <c r="BZ18" i="58"/>
  <c r="BY17" i="58"/>
  <c r="BY21" i="58"/>
  <c r="BX17" i="58"/>
  <c r="BX22" i="58"/>
  <c r="BY22" i="58"/>
  <c r="BY20" i="58"/>
  <c r="BX19" i="58"/>
  <c r="BY19" i="58"/>
  <c r="Z175" i="58"/>
  <c r="U24" i="58"/>
  <c r="CB24" i="58"/>
  <c r="X24" i="58"/>
  <c r="CA20" i="58"/>
  <c r="CB20" i="58"/>
  <c r="CC17" i="58"/>
  <c r="CD17" i="58"/>
  <c r="CA17" i="58"/>
  <c r="CC20" i="58"/>
  <c r="CD20" i="58"/>
  <c r="CA19" i="58"/>
  <c r="CB19" i="58"/>
  <c r="CC23" i="58"/>
  <c r="CD23" i="58"/>
  <c r="CC22" i="58"/>
  <c r="CD22" i="58"/>
  <c r="CA23" i="58"/>
  <c r="CB23" i="58"/>
  <c r="CA18" i="58"/>
  <c r="CB18" i="58"/>
  <c r="CA22" i="58"/>
  <c r="CB22" i="58"/>
  <c r="CC18" i="58"/>
  <c r="CD18" i="58"/>
  <c r="CC21" i="58"/>
  <c r="CD21" i="58"/>
  <c r="CC19" i="58"/>
  <c r="CD19" i="58"/>
  <c r="CA21" i="58"/>
  <c r="CB21" i="58"/>
  <c r="AA24" i="58"/>
  <c r="G20" i="59"/>
  <c r="H20" i="59"/>
  <c r="U17" i="58"/>
  <c r="CB17" i="58"/>
  <c r="U18" i="58"/>
  <c r="U20" i="58"/>
  <c r="U23" i="58"/>
  <c r="U21" i="58"/>
  <c r="U22" i="58"/>
  <c r="U19" i="58"/>
  <c r="X23" i="58"/>
  <c r="X22" i="58"/>
  <c r="X21" i="58"/>
  <c r="X20" i="58"/>
  <c r="X19" i="58"/>
  <c r="X18" i="58"/>
  <c r="X17" i="58"/>
  <c r="A364" i="41"/>
  <c r="M33" i="30"/>
  <c r="I33"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83" i="30"/>
  <c r="H84" i="30"/>
  <c r="H85" i="30"/>
  <c r="H86" i="30"/>
  <c r="H87" i="30"/>
  <c r="H88" i="30"/>
  <c r="H89" i="30"/>
  <c r="H90" i="30"/>
  <c r="H91" i="30"/>
  <c r="H92" i="30"/>
  <c r="H93" i="30"/>
  <c r="H94" i="30"/>
  <c r="H95" i="30"/>
  <c r="H96" i="30"/>
  <c r="H97" i="30"/>
  <c r="H98" i="30"/>
  <c r="H99" i="30"/>
  <c r="H100" i="30"/>
  <c r="H101" i="30"/>
  <c r="H102" i="30"/>
  <c r="H103" i="30"/>
  <c r="H104" i="30"/>
  <c r="H105" i="30"/>
  <c r="H106" i="30"/>
  <c r="AA23" i="58"/>
  <c r="AA17" i="58"/>
  <c r="AA20" i="58"/>
  <c r="AA19" i="58"/>
  <c r="AA22" i="58"/>
  <c r="AA18" i="58"/>
  <c r="AA21" i="58"/>
  <c r="H16" i="59"/>
  <c r="G15" i="59"/>
  <c r="G16" i="59"/>
  <c r="H13" i="59"/>
  <c r="H17" i="59"/>
  <c r="G18" i="59"/>
  <c r="G14" i="59"/>
  <c r="H14" i="59"/>
  <c r="H18" i="59"/>
  <c r="G17" i="59"/>
  <c r="H15" i="59"/>
  <c r="H19" i="59"/>
  <c r="G19" i="59"/>
  <c r="G13" i="59"/>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I149" i="30"/>
  <c r="I150" i="30"/>
  <c r="I151" i="30"/>
  <c r="I152" i="30"/>
  <c r="I153" i="30"/>
  <c r="I154" i="30"/>
  <c r="I155" i="30"/>
  <c r="I156" i="30"/>
  <c r="I157" i="30"/>
  <c r="I158" i="30"/>
  <c r="I159" i="30"/>
  <c r="I160" i="30"/>
  <c r="I161" i="30"/>
  <c r="I162" i="30"/>
  <c r="I163" i="30"/>
  <c r="I164" i="30"/>
  <c r="I165" i="30"/>
  <c r="I166" i="30"/>
  <c r="I167" i="30"/>
  <c r="I168" i="30"/>
  <c r="I169" i="30"/>
  <c r="I170" i="30"/>
  <c r="I171" i="30"/>
  <c r="I172" i="30"/>
  <c r="I173" i="30"/>
  <c r="I174" i="30"/>
  <c r="I175" i="30"/>
  <c r="I176" i="30"/>
  <c r="I177" i="30"/>
  <c r="I178" i="30"/>
  <c r="I179" i="30"/>
  <c r="I180" i="30"/>
  <c r="I181" i="30"/>
  <c r="I182" i="30"/>
  <c r="I183" i="30"/>
  <c r="I184" i="30"/>
  <c r="I185" i="30"/>
  <c r="I186" i="30"/>
  <c r="I187" i="30"/>
  <c r="I188" i="30"/>
  <c r="I189" i="30"/>
  <c r="I190" i="30"/>
  <c r="I191" i="30"/>
  <c r="I192" i="30"/>
  <c r="I193" i="30"/>
  <c r="I194" i="30"/>
  <c r="I195" i="30"/>
  <c r="I196" i="30"/>
  <c r="I197" i="30"/>
  <c r="I198" i="30"/>
  <c r="I199" i="30"/>
  <c r="I200" i="30"/>
  <c r="I201" i="30"/>
  <c r="I202" i="30"/>
  <c r="I203" i="30"/>
  <c r="I204" i="30"/>
  <c r="I205" i="30"/>
  <c r="I206" i="30"/>
  <c r="I207" i="30"/>
  <c r="I208" i="30"/>
  <c r="I209" i="30"/>
  <c r="I210" i="30"/>
  <c r="I211" i="30"/>
  <c r="I116" i="30"/>
  <c r="H216" i="30"/>
  <c r="K216" i="30"/>
  <c r="L216" i="30"/>
  <c r="O216" i="30"/>
  <c r="E11" i="41"/>
  <c r="D14" i="43"/>
  <c r="C8" i="43"/>
  <c r="O14" i="35"/>
  <c r="BE16" i="58"/>
  <c r="AM16" i="58"/>
  <c r="BG16" i="58"/>
  <c r="B12" i="58"/>
  <c r="B16" i="58"/>
  <c r="E9" i="41"/>
  <c r="C4" i="59"/>
  <c r="A12" i="59"/>
  <c r="Z16" i="58"/>
  <c r="D16" i="58"/>
  <c r="E16" i="58"/>
  <c r="C16" i="58"/>
  <c r="AJ16" i="58"/>
  <c r="A16" i="58"/>
  <c r="A15" i="58"/>
  <c r="AK16" i="58"/>
  <c r="A9" i="58"/>
  <c r="A13" i="58"/>
  <c r="A10" i="58"/>
  <c r="A14" i="58"/>
  <c r="A11" i="58"/>
  <c r="A12" i="58"/>
  <c r="G64" i="50"/>
  <c r="E64" i="50"/>
  <c r="C64" i="50"/>
  <c r="G44" i="50"/>
  <c r="E44" i="50"/>
  <c r="C44" i="50"/>
  <c r="G11" i="50"/>
  <c r="E11" i="50"/>
  <c r="C11" i="50"/>
  <c r="C74" i="22"/>
  <c r="C65" i="22"/>
  <c r="C12" i="22"/>
  <c r="C21" i="22"/>
  <c r="F115" i="30"/>
  <c r="C115" i="30"/>
  <c r="G10" i="30"/>
  <c r="E10" i="30"/>
  <c r="C7" i="43"/>
  <c r="I48" i="48"/>
  <c r="BZ16" i="58"/>
  <c r="BY16" i="58"/>
  <c r="O88" i="50"/>
  <c r="O87" i="50"/>
  <c r="O86" i="50"/>
  <c r="O85" i="50"/>
  <c r="O84" i="50"/>
  <c r="O83" i="50"/>
  <c r="O82" i="50"/>
  <c r="O81" i="50"/>
  <c r="O80" i="50"/>
  <c r="O79" i="50"/>
  <c r="O78" i="50"/>
  <c r="O77" i="50"/>
  <c r="O76" i="50"/>
  <c r="O75" i="50"/>
  <c r="O74" i="50"/>
  <c r="O73" i="50"/>
  <c r="O72" i="50"/>
  <c r="O71" i="50"/>
  <c r="O70" i="50"/>
  <c r="O69" i="50"/>
  <c r="O68" i="50"/>
  <c r="O67" i="50"/>
  <c r="O66" i="50"/>
  <c r="O65" i="50"/>
  <c r="O60" i="50"/>
  <c r="O59" i="50"/>
  <c r="O58" i="50"/>
  <c r="O57" i="50"/>
  <c r="O56" i="50"/>
  <c r="O55" i="50"/>
  <c r="O54" i="50"/>
  <c r="O53" i="50"/>
  <c r="O52" i="50"/>
  <c r="O51" i="50"/>
  <c r="O50" i="50"/>
  <c r="O49" i="50"/>
  <c r="O48" i="50"/>
  <c r="O47" i="50"/>
  <c r="O46" i="50"/>
  <c r="O45" i="50"/>
  <c r="O40" i="50"/>
  <c r="O39" i="50"/>
  <c r="O38" i="50"/>
  <c r="O37" i="50"/>
  <c r="O36" i="50"/>
  <c r="O35" i="50"/>
  <c r="O34" i="50"/>
  <c r="O33" i="50"/>
  <c r="O32" i="50"/>
  <c r="O31" i="50"/>
  <c r="O30" i="50"/>
  <c r="O29" i="50"/>
  <c r="O28" i="50"/>
  <c r="O27" i="50"/>
  <c r="O26" i="50"/>
  <c r="O25" i="50"/>
  <c r="O24" i="50"/>
  <c r="O23" i="50"/>
  <c r="O22" i="50"/>
  <c r="O21" i="50"/>
  <c r="O20" i="50"/>
  <c r="O19" i="50"/>
  <c r="O18" i="50"/>
  <c r="O17" i="50"/>
  <c r="O16" i="50"/>
  <c r="O15" i="50"/>
  <c r="O14" i="50"/>
  <c r="O13" i="50"/>
  <c r="O12" i="50"/>
  <c r="M31" i="22"/>
  <c r="M30" i="22"/>
  <c r="M29" i="22"/>
  <c r="M28" i="22"/>
  <c r="M27" i="22"/>
  <c r="M26" i="22"/>
  <c r="M25" i="22"/>
  <c r="M24" i="22"/>
  <c r="M23" i="22"/>
  <c r="M22" i="22"/>
  <c r="M16" i="22"/>
  <c r="M15" i="22"/>
  <c r="M14" i="22"/>
  <c r="M13" i="22"/>
  <c r="Q211" i="30"/>
  <c r="Q210" i="30"/>
  <c r="Q209" i="30"/>
  <c r="Q208" i="30"/>
  <c r="Q207" i="30"/>
  <c r="Q206" i="30"/>
  <c r="Q205" i="30"/>
  <c r="Q204" i="30"/>
  <c r="Q203" i="30"/>
  <c r="Q202" i="30"/>
  <c r="Q201" i="30"/>
  <c r="Q200" i="30"/>
  <c r="Q199" i="30"/>
  <c r="Q198" i="30"/>
  <c r="Q197" i="30"/>
  <c r="Q196" i="30"/>
  <c r="Q195" i="30"/>
  <c r="Q194" i="30"/>
  <c r="Q193" i="30"/>
  <c r="Q192" i="30"/>
  <c r="Q191" i="30"/>
  <c r="Q190" i="30"/>
  <c r="Q189" i="30"/>
  <c r="Q188" i="30"/>
  <c r="Q187" i="30"/>
  <c r="Q186" i="30"/>
  <c r="Q185" i="30"/>
  <c r="Q184" i="30"/>
  <c r="Q183" i="30"/>
  <c r="Q182" i="30"/>
  <c r="Q181" i="30"/>
  <c r="Q180" i="30"/>
  <c r="Q179" i="30"/>
  <c r="Q178" i="30"/>
  <c r="Q177" i="30"/>
  <c r="Q176" i="30"/>
  <c r="Q175" i="30"/>
  <c r="Q174" i="30"/>
  <c r="Q173" i="30"/>
  <c r="Q172" i="30"/>
  <c r="Q171" i="30"/>
  <c r="Q170" i="30"/>
  <c r="Q169" i="30"/>
  <c r="Q168" i="30"/>
  <c r="Q167" i="30"/>
  <c r="Q166" i="30"/>
  <c r="Q165" i="30"/>
  <c r="Q164" i="30"/>
  <c r="Q163" i="30"/>
  <c r="Q162" i="30"/>
  <c r="Q161" i="30"/>
  <c r="Q160" i="30"/>
  <c r="Q159" i="30"/>
  <c r="Q158" i="30"/>
  <c r="Q157" i="30"/>
  <c r="Q156" i="30"/>
  <c r="Q155" i="30"/>
  <c r="Q154" i="30"/>
  <c r="Q153" i="30"/>
  <c r="Q152" i="30"/>
  <c r="Q151" i="30"/>
  <c r="Q150" i="30"/>
  <c r="Q149" i="30"/>
  <c r="Q148" i="30"/>
  <c r="Q147" i="30"/>
  <c r="Q146" i="30"/>
  <c r="Q145" i="30"/>
  <c r="Q144" i="30"/>
  <c r="Q143" i="30"/>
  <c r="Q142" i="30"/>
  <c r="Q141" i="30"/>
  <c r="Q140" i="30"/>
  <c r="Q139" i="30"/>
  <c r="Q138" i="30"/>
  <c r="Q137" i="30"/>
  <c r="Q136" i="30"/>
  <c r="Q135" i="30"/>
  <c r="Q134" i="30"/>
  <c r="Q133" i="30"/>
  <c r="Q132" i="30"/>
  <c r="Q131" i="30"/>
  <c r="Q130" i="30"/>
  <c r="Q129" i="30"/>
  <c r="Q128" i="30"/>
  <c r="Q127" i="30"/>
  <c r="Q126" i="30"/>
  <c r="Q125" i="30"/>
  <c r="Q124" i="30"/>
  <c r="Q123" i="30"/>
  <c r="Q122" i="30"/>
  <c r="Q121" i="30"/>
  <c r="Q120" i="30"/>
  <c r="Q119" i="30"/>
  <c r="Q118" i="30"/>
  <c r="Q117" i="30"/>
  <c r="Q116" i="30"/>
  <c r="Q34" i="30"/>
  <c r="Q33" i="30"/>
  <c r="Q32" i="30"/>
  <c r="Q31" i="30"/>
  <c r="Q30" i="30"/>
  <c r="Q29" i="30"/>
  <c r="Q28" i="30"/>
  <c r="Q27" i="30"/>
  <c r="Q26" i="30"/>
  <c r="Q25" i="30"/>
  <c r="Q24" i="30"/>
  <c r="Q23" i="30"/>
  <c r="Q22" i="30"/>
  <c r="Q21" i="30"/>
  <c r="Q20" i="30"/>
  <c r="Q19" i="30"/>
  <c r="Q18" i="30"/>
  <c r="Q17" i="30"/>
  <c r="Q16" i="30"/>
  <c r="Q15" i="30"/>
  <c r="Q14" i="30"/>
  <c r="Q13" i="30"/>
  <c r="Q12" i="30"/>
  <c r="Q11" i="30"/>
  <c r="O29" i="45"/>
  <c r="O16" i="45"/>
  <c r="R17" i="28"/>
  <c r="P17" i="28"/>
  <c r="N17" i="28"/>
  <c r="L17" i="28"/>
  <c r="J17" i="28"/>
  <c r="F17" i="28"/>
  <c r="D17" i="28"/>
  <c r="R10" i="28"/>
  <c r="P10" i="28"/>
  <c r="N10" i="28"/>
  <c r="L10" i="28"/>
  <c r="J10" i="28"/>
  <c r="F10" i="28"/>
  <c r="D10" i="28"/>
  <c r="H10" i="28"/>
  <c r="R9" i="28"/>
  <c r="A326" i="41"/>
  <c r="H44" i="2"/>
  <c r="K45" i="2"/>
  <c r="K44" i="2"/>
  <c r="F45" i="2"/>
  <c r="F44" i="2"/>
  <c r="E13" i="41"/>
  <c r="A19" i="41"/>
  <c r="H5" i="28"/>
  <c r="Q64" i="2"/>
  <c r="E5" i="43"/>
  <c r="R64" i="2"/>
  <c r="AD47" i="18"/>
  <c r="AE47" i="18"/>
  <c r="AF47" i="18"/>
  <c r="AG47" i="18"/>
  <c r="AH47" i="18"/>
  <c r="AI47" i="18"/>
  <c r="AJ47" i="18"/>
  <c r="AD71" i="18"/>
  <c r="AE71" i="18"/>
  <c r="AF71" i="18"/>
  <c r="AG71" i="18"/>
  <c r="AH71" i="18"/>
  <c r="AI71" i="18"/>
  <c r="AJ71" i="18"/>
  <c r="AD54" i="18"/>
  <c r="AE54" i="18"/>
  <c r="AF54" i="18"/>
  <c r="AG54" i="18"/>
  <c r="AH54" i="18"/>
  <c r="AI54" i="18"/>
  <c r="AJ54" i="18"/>
  <c r="AD72" i="18"/>
  <c r="AE72" i="18"/>
  <c r="AF72" i="18"/>
  <c r="AG72" i="18"/>
  <c r="AH72" i="18"/>
  <c r="AI72" i="18"/>
  <c r="AJ72" i="18"/>
  <c r="AD55" i="18"/>
  <c r="AE55" i="18"/>
  <c r="AF55" i="18"/>
  <c r="AG55" i="18"/>
  <c r="AH55" i="18"/>
  <c r="AI55" i="18"/>
  <c r="AJ55" i="18"/>
  <c r="F17" i="41"/>
  <c r="F16" i="41"/>
  <c r="L14" i="35"/>
  <c r="A16" i="35"/>
  <c r="A2" i="18"/>
  <c r="A3" i="18"/>
  <c r="D90" i="2"/>
  <c r="H2" i="35"/>
  <c r="G90" i="2"/>
  <c r="N9" i="43"/>
  <c r="N10" i="43"/>
  <c r="G4" i="35"/>
  <c r="O62" i="2"/>
  <c r="G7" i="35"/>
  <c r="C7" i="35"/>
  <c r="W3" i="35"/>
  <c r="X3" i="35"/>
  <c r="W5" i="35"/>
  <c r="R9" i="35"/>
  <c r="C332" i="41"/>
  <c r="C337" i="41"/>
  <c r="K16" i="45"/>
  <c r="H16" i="45"/>
  <c r="H18" i="45"/>
  <c r="K29" i="45"/>
  <c r="K31" i="45"/>
  <c r="H29" i="45"/>
  <c r="H31" i="45"/>
  <c r="T4" i="45"/>
  <c r="T17" i="45"/>
  <c r="V27" i="45"/>
  <c r="U27" i="45"/>
  <c r="V26" i="45"/>
  <c r="U26" i="45"/>
  <c r="V25" i="45"/>
  <c r="U25" i="45"/>
  <c r="V24" i="45"/>
  <c r="U24" i="45"/>
  <c r="V23" i="45"/>
  <c r="U23" i="45"/>
  <c r="V22" i="45"/>
  <c r="U22" i="45"/>
  <c r="V21" i="45"/>
  <c r="U21" i="45"/>
  <c r="V20" i="45"/>
  <c r="U20" i="45"/>
  <c r="V19" i="45"/>
  <c r="U19" i="45"/>
  <c r="V18" i="45"/>
  <c r="U18" i="45"/>
  <c r="I332" i="41"/>
  <c r="F332" i="41"/>
  <c r="P349" i="41"/>
  <c r="A334" i="41"/>
  <c r="I8" i="48"/>
  <c r="E31" i="2"/>
  <c r="D28" i="2"/>
  <c r="H6" i="35"/>
  <c r="E2" i="43"/>
  <c r="R29" i="45"/>
  <c r="O25" i="45"/>
  <c r="O64" i="2"/>
  <c r="F90" i="2"/>
  <c r="E6" i="43"/>
  <c r="D80" i="43"/>
  <c r="C1" i="45"/>
  <c r="H9" i="30"/>
  <c r="K4" i="35"/>
  <c r="BD5" i="15"/>
  <c r="AA3" i="35"/>
  <c r="J4" i="35"/>
  <c r="BD4" i="15"/>
  <c r="AA2" i="35"/>
  <c r="AB7" i="35"/>
  <c r="J5" i="35"/>
  <c r="BD7" i="15"/>
  <c r="S82" i="35"/>
  <c r="S83" i="35"/>
  <c r="S84" i="35"/>
  <c r="S85" i="35"/>
  <c r="S86" i="35"/>
  <c r="S87" i="35"/>
  <c r="S88" i="35"/>
  <c r="S89" i="35"/>
  <c r="S90" i="35"/>
  <c r="S91" i="35"/>
  <c r="S92" i="35"/>
  <c r="S93" i="35"/>
  <c r="S94" i="35"/>
  <c r="S95" i="35"/>
  <c r="S96" i="35"/>
  <c r="S97" i="35"/>
  <c r="S98" i="35"/>
  <c r="S99" i="35"/>
  <c r="S100" i="35"/>
  <c r="S101" i="35"/>
  <c r="S102" i="35"/>
  <c r="S103" i="35"/>
  <c r="S104" i="35"/>
  <c r="S16" i="35"/>
  <c r="S18" i="35"/>
  <c r="S20" i="35"/>
  <c r="S24" i="35"/>
  <c r="S28" i="35"/>
  <c r="S30" i="35"/>
  <c r="S32" i="35"/>
  <c r="S38" i="35"/>
  <c r="E8" i="48"/>
  <c r="F8" i="48"/>
  <c r="E27" i="2"/>
  <c r="H8" i="48"/>
  <c r="E25" i="48"/>
  <c r="F25" i="48"/>
  <c r="E29" i="2"/>
  <c r="F39" i="48"/>
  <c r="F46" i="48"/>
  <c r="F54" i="48"/>
  <c r="F61" i="48"/>
  <c r="I66" i="48"/>
  <c r="F72" i="48"/>
  <c r="C2" i="18"/>
  <c r="C3" i="18"/>
  <c r="E2" i="18"/>
  <c r="E3" i="18"/>
  <c r="G2" i="18"/>
  <c r="G3" i="18"/>
  <c r="G5" i="18"/>
  <c r="AD84" i="18"/>
  <c r="AE84" i="18"/>
  <c r="AF84" i="18"/>
  <c r="AG84" i="18"/>
  <c r="AH84" i="18"/>
  <c r="AD66" i="18"/>
  <c r="AE66" i="18"/>
  <c r="AF66" i="18"/>
  <c r="AG66" i="18"/>
  <c r="AH66" i="18"/>
  <c r="AD67" i="18"/>
  <c r="AE67" i="18"/>
  <c r="AF67" i="18"/>
  <c r="AG67" i="18"/>
  <c r="AH67" i="18"/>
  <c r="AD10" i="18"/>
  <c r="AE10" i="18"/>
  <c r="AF10" i="18"/>
  <c r="AG10" i="18"/>
  <c r="AH10" i="18"/>
  <c r="AI10" i="18"/>
  <c r="AJ10" i="18"/>
  <c r="AD11" i="18"/>
  <c r="AE11" i="18"/>
  <c r="AF11" i="18"/>
  <c r="AG11" i="18"/>
  <c r="AH11" i="18"/>
  <c r="AI11" i="18"/>
  <c r="AJ11" i="18"/>
  <c r="AD12" i="18"/>
  <c r="AE12" i="18"/>
  <c r="AF12" i="18"/>
  <c r="AG12" i="18"/>
  <c r="AH12" i="18"/>
  <c r="AI12" i="18"/>
  <c r="AJ12" i="18"/>
  <c r="AK12" i="18"/>
  <c r="AL12" i="18"/>
  <c r="AM12" i="18"/>
  <c r="AN12" i="18"/>
  <c r="AO12" i="18"/>
  <c r="AD13" i="18"/>
  <c r="AE13" i="18"/>
  <c r="AF13" i="18"/>
  <c r="AG13" i="18"/>
  <c r="AH13" i="18"/>
  <c r="AI13" i="18"/>
  <c r="AJ13" i="18"/>
  <c r="AK13" i="18"/>
  <c r="AL13" i="18"/>
  <c r="AM13" i="18"/>
  <c r="AN13" i="18"/>
  <c r="AO13" i="18"/>
  <c r="AD14" i="18"/>
  <c r="AE14" i="18"/>
  <c r="AF14" i="18"/>
  <c r="AG14" i="18"/>
  <c r="AH14" i="18"/>
  <c r="AI14" i="18"/>
  <c r="AJ14" i="18"/>
  <c r="AD15" i="18"/>
  <c r="AE15" i="18"/>
  <c r="AF15" i="18"/>
  <c r="AG15" i="18"/>
  <c r="AH15" i="18"/>
  <c r="AD16" i="18"/>
  <c r="AE16" i="18"/>
  <c r="AF16" i="18"/>
  <c r="AG16" i="18"/>
  <c r="AH16" i="18"/>
  <c r="AD68" i="18"/>
  <c r="AE68" i="18"/>
  <c r="AF68" i="18"/>
  <c r="AG68" i="18"/>
  <c r="AH68" i="18"/>
  <c r="AD78" i="18"/>
  <c r="AE78" i="18"/>
  <c r="AF78" i="18"/>
  <c r="AG78" i="18"/>
  <c r="AD79" i="18"/>
  <c r="AE79" i="18"/>
  <c r="AF79" i="18"/>
  <c r="AG79" i="18"/>
  <c r="AH79" i="18"/>
  <c r="AD73" i="18"/>
  <c r="AE73" i="18"/>
  <c r="AF73" i="18"/>
  <c r="AG73" i="18"/>
  <c r="AH73" i="18"/>
  <c r="AD69" i="18"/>
  <c r="AE69" i="18"/>
  <c r="AF69" i="18"/>
  <c r="AD17" i="18"/>
  <c r="AE17" i="18"/>
  <c r="AF17" i="18"/>
  <c r="AG17" i="18"/>
  <c r="AD18" i="18"/>
  <c r="AE18" i="18"/>
  <c r="AF18" i="18"/>
  <c r="AG18" i="18"/>
  <c r="AH18" i="18"/>
  <c r="AD19" i="18"/>
  <c r="AE19" i="18"/>
  <c r="AF19" i="18"/>
  <c r="AG19" i="18"/>
  <c r="AD20" i="18"/>
  <c r="AE20" i="18"/>
  <c r="AF20" i="18"/>
  <c r="AG20" i="18"/>
  <c r="AD21" i="18"/>
  <c r="AE21" i="18"/>
  <c r="AF21" i="18"/>
  <c r="AG21" i="18"/>
  <c r="AH21" i="18"/>
  <c r="AI21" i="18"/>
  <c r="AJ21" i="18"/>
  <c r="AK21" i="18"/>
  <c r="AL21" i="18"/>
  <c r="AM21" i="18"/>
  <c r="AN21" i="18"/>
  <c r="AO21" i="18"/>
  <c r="AP21" i="18"/>
  <c r="AD22" i="18"/>
  <c r="AE22" i="18"/>
  <c r="AF22" i="18"/>
  <c r="AG22" i="18"/>
  <c r="AD23" i="18"/>
  <c r="AE23" i="18"/>
  <c r="AF23" i="18"/>
  <c r="AG23" i="18"/>
  <c r="AH23" i="18"/>
  <c r="AI23" i="18"/>
  <c r="AJ23" i="18"/>
  <c r="AK23" i="18"/>
  <c r="AL23" i="18"/>
  <c r="AM23" i="18"/>
  <c r="AN23" i="18"/>
  <c r="AO23" i="18"/>
  <c r="AP23" i="18"/>
  <c r="AD24" i="18"/>
  <c r="AE24" i="18"/>
  <c r="AF24" i="18"/>
  <c r="AG24" i="18"/>
  <c r="AH24" i="18"/>
  <c r="AI24" i="18"/>
  <c r="AJ24" i="18"/>
  <c r="AK24" i="18"/>
  <c r="AL24" i="18"/>
  <c r="AM24" i="18"/>
  <c r="AN24" i="18"/>
  <c r="AD25" i="18"/>
  <c r="AE25" i="18"/>
  <c r="AF25" i="18"/>
  <c r="AG25" i="18"/>
  <c r="AH25" i="18"/>
  <c r="AI25" i="18"/>
  <c r="AJ25" i="18"/>
  <c r="AK25" i="18"/>
  <c r="AL25" i="18"/>
  <c r="AM25" i="18"/>
  <c r="AN25" i="18"/>
  <c r="AO25" i="18"/>
  <c r="AD26" i="18"/>
  <c r="AE26" i="18"/>
  <c r="AD74" i="18"/>
  <c r="AE74" i="18"/>
  <c r="AF74" i="18"/>
  <c r="AD27" i="18"/>
  <c r="AE27" i="18"/>
  <c r="AF27" i="18"/>
  <c r="AG27" i="18"/>
  <c r="AH27" i="18"/>
  <c r="AI27" i="18"/>
  <c r="AD28" i="18"/>
  <c r="AE28" i="18"/>
  <c r="AF28" i="18"/>
  <c r="AG28" i="18"/>
  <c r="AH28" i="18"/>
  <c r="AD29" i="18"/>
  <c r="AE29" i="18"/>
  <c r="AF29" i="18"/>
  <c r="AG29" i="18"/>
  <c r="AH29" i="18"/>
  <c r="AI29" i="18"/>
  <c r="AD30" i="18"/>
  <c r="AE30" i="18"/>
  <c r="AF30" i="18"/>
  <c r="AD31" i="18"/>
  <c r="AD32" i="18"/>
  <c r="AE32" i="18"/>
  <c r="AF32" i="18"/>
  <c r="AG32" i="18"/>
  <c r="AH32" i="18"/>
  <c r="AD75" i="18"/>
  <c r="AE75" i="18"/>
  <c r="AF75" i="18"/>
  <c r="AD80" i="18"/>
  <c r="AE80" i="18"/>
  <c r="AF80" i="18"/>
  <c r="AG80" i="18"/>
  <c r="AH80" i="18"/>
  <c r="AD81" i="18"/>
  <c r="AE81" i="18"/>
  <c r="AF81" i="18"/>
  <c r="AG81" i="18"/>
  <c r="AH81" i="18"/>
  <c r="AD33" i="18"/>
  <c r="AE33" i="18"/>
  <c r="AD82" i="18"/>
  <c r="AE82" i="18"/>
  <c r="AF82" i="18"/>
  <c r="AG82" i="18"/>
  <c r="AH82" i="18"/>
  <c r="AI82" i="18"/>
  <c r="AD83" i="18"/>
  <c r="AE83" i="18"/>
  <c r="AF83" i="18"/>
  <c r="AG83" i="18"/>
  <c r="AH83" i="18"/>
  <c r="AI83" i="18"/>
  <c r="AD34" i="18"/>
  <c r="AE34" i="18"/>
  <c r="AF34" i="18"/>
  <c r="AG34" i="18"/>
  <c r="AH34" i="18"/>
  <c r="AI34" i="18"/>
  <c r="AD35" i="18"/>
  <c r="AE35" i="18"/>
  <c r="AD36" i="18"/>
  <c r="AE36" i="18"/>
  <c r="AF36" i="18"/>
  <c r="AG36" i="18"/>
  <c r="AD37" i="18"/>
  <c r="AE37" i="18"/>
  <c r="AF37" i="18"/>
  <c r="AD38" i="18"/>
  <c r="AE38" i="18"/>
  <c r="AD62" i="18"/>
  <c r="AE62" i="18"/>
  <c r="AF62" i="18"/>
  <c r="AG62" i="18"/>
  <c r="AH62" i="18"/>
  <c r="AI62" i="18"/>
  <c r="AJ62" i="18"/>
  <c r="AD39" i="18"/>
  <c r="AE39" i="18"/>
  <c r="AF39" i="18"/>
  <c r="AG39" i="18"/>
  <c r="AH39" i="18"/>
  <c r="AI39" i="18"/>
  <c r="AJ39" i="18"/>
  <c r="AK39" i="18"/>
  <c r="AD40" i="18"/>
  <c r="AE40" i="18"/>
  <c r="AF40" i="18"/>
  <c r="AG40" i="18"/>
  <c r="AH40" i="18"/>
  <c r="AI40" i="18"/>
  <c r="AJ40" i="18"/>
  <c r="AD60" i="18"/>
  <c r="AE60" i="18"/>
  <c r="AF60" i="18"/>
  <c r="AG60" i="18"/>
  <c r="AH60" i="18"/>
  <c r="AD41" i="18"/>
  <c r="AE41" i="18"/>
  <c r="AF41" i="18"/>
  <c r="AG41" i="18"/>
  <c r="AH41" i="18"/>
  <c r="AI41" i="18"/>
  <c r="AJ41" i="18"/>
  <c r="AD42" i="18"/>
  <c r="AE42" i="18"/>
  <c r="AF42" i="18"/>
  <c r="AG42" i="18"/>
  <c r="AH42" i="18"/>
  <c r="AI42" i="18"/>
  <c r="AJ42" i="18"/>
  <c r="AD61" i="18"/>
  <c r="AE61" i="18"/>
  <c r="AF61" i="18"/>
  <c r="AG61" i="18"/>
  <c r="AH61" i="18"/>
  <c r="AI61" i="18"/>
  <c r="AJ61" i="18"/>
  <c r="AD63" i="18"/>
  <c r="AE63" i="18"/>
  <c r="AF63" i="18"/>
  <c r="AG63" i="18"/>
  <c r="AH63" i="18"/>
  <c r="AI63" i="18"/>
  <c r="AJ63" i="18"/>
  <c r="AD43" i="18"/>
  <c r="AE43" i="18"/>
  <c r="AF43" i="18"/>
  <c r="AG43" i="18"/>
  <c r="AH43" i="18"/>
  <c r="AD44" i="18"/>
  <c r="AE44" i="18"/>
  <c r="AF44" i="18"/>
  <c r="AG44" i="18"/>
  <c r="AH44" i="18"/>
  <c r="AI44" i="18"/>
  <c r="AJ44" i="18"/>
  <c r="AK44" i="18"/>
  <c r="AL44" i="18"/>
  <c r="AM44" i="18"/>
  <c r="AN44" i="18"/>
  <c r="AD45" i="18"/>
  <c r="AE45" i="18"/>
  <c r="AD46" i="18"/>
  <c r="AE46" i="18"/>
  <c r="AF46" i="18"/>
  <c r="AG46" i="18"/>
  <c r="AH46" i="18"/>
  <c r="AI46" i="18"/>
  <c r="AJ46" i="18"/>
  <c r="AD86" i="18"/>
  <c r="AE86" i="18"/>
  <c r="AF86" i="18"/>
  <c r="AG86" i="18"/>
  <c r="AH86" i="18"/>
  <c r="AI86" i="18"/>
  <c r="AJ86" i="18"/>
  <c r="AD88" i="18"/>
  <c r="AE88" i="18"/>
  <c r="AF88" i="18"/>
  <c r="AG88" i="18"/>
  <c r="AH88" i="18"/>
  <c r="AI88" i="18"/>
  <c r="AJ88" i="18"/>
  <c r="AD70" i="18"/>
  <c r="AE70" i="18"/>
  <c r="AF70" i="18"/>
  <c r="AG70" i="18"/>
  <c r="AH70" i="18"/>
  <c r="AI70" i="18"/>
  <c r="AJ70" i="18"/>
  <c r="AD87" i="18"/>
  <c r="AE87" i="18"/>
  <c r="AF87" i="18"/>
  <c r="AG87" i="18"/>
  <c r="AH87" i="18"/>
  <c r="AI87" i="18"/>
  <c r="AJ87" i="18"/>
  <c r="AD58" i="18"/>
  <c r="AE58" i="18"/>
  <c r="AF58" i="18"/>
  <c r="AG58" i="18"/>
  <c r="AH58" i="18"/>
  <c r="AI58" i="18"/>
  <c r="AJ58" i="18"/>
  <c r="AD59" i="18"/>
  <c r="AE59" i="18"/>
  <c r="AF59" i="18"/>
  <c r="AG59" i="18"/>
  <c r="AH59" i="18"/>
  <c r="AI59" i="18"/>
  <c r="AJ59" i="18"/>
  <c r="AD89" i="18"/>
  <c r="AE89" i="18"/>
  <c r="AF89" i="18"/>
  <c r="AG89" i="18"/>
  <c r="AH89" i="18"/>
  <c r="AI89" i="18"/>
  <c r="AJ89" i="18"/>
  <c r="AD90" i="18"/>
  <c r="AE90" i="18"/>
  <c r="AF90" i="18"/>
  <c r="AG90" i="18"/>
  <c r="AH90" i="18"/>
  <c r="AI90" i="18"/>
  <c r="AJ90" i="18"/>
  <c r="AD57" i="18"/>
  <c r="AE57" i="18"/>
  <c r="AF57" i="18"/>
  <c r="AG57" i="18"/>
  <c r="AH57" i="18"/>
  <c r="AI57" i="18"/>
  <c r="AJ57" i="18"/>
  <c r="AD56" i="18"/>
  <c r="AE56" i="18"/>
  <c r="AF56" i="18"/>
  <c r="AG56" i="18"/>
  <c r="AH56" i="18"/>
  <c r="AI56" i="18"/>
  <c r="AJ56" i="18"/>
  <c r="AD76" i="18"/>
  <c r="AE76" i="18"/>
  <c r="AF76" i="18"/>
  <c r="AG76" i="18"/>
  <c r="AH76" i="18"/>
  <c r="AI76" i="18"/>
  <c r="AJ76" i="18"/>
  <c r="AD77" i="18"/>
  <c r="AE77" i="18"/>
  <c r="AF77" i="18"/>
  <c r="AG77" i="18"/>
  <c r="AH77" i="18"/>
  <c r="AI77" i="18"/>
  <c r="AJ77" i="18"/>
  <c r="AD64" i="18"/>
  <c r="AE64" i="18"/>
  <c r="AF64" i="18"/>
  <c r="AG64" i="18"/>
  <c r="AH64" i="18"/>
  <c r="AI64" i="18"/>
  <c r="AJ64" i="18"/>
  <c r="AD91" i="18"/>
  <c r="AE91" i="18"/>
  <c r="AF91" i="18"/>
  <c r="AG91" i="18"/>
  <c r="AH91" i="18"/>
  <c r="AI91" i="18"/>
  <c r="AJ91" i="18"/>
  <c r="AD92" i="18"/>
  <c r="AE92" i="18"/>
  <c r="AF92" i="18"/>
  <c r="AG92" i="18"/>
  <c r="AH92" i="18"/>
  <c r="AI92" i="18"/>
  <c r="AJ92" i="18"/>
  <c r="AD93" i="18"/>
  <c r="AE93" i="18"/>
  <c r="AF93" i="18"/>
  <c r="AG93" i="18"/>
  <c r="AH93" i="18"/>
  <c r="AI93" i="18"/>
  <c r="AJ93" i="18"/>
  <c r="AD94" i="18"/>
  <c r="AE94" i="18"/>
  <c r="AF94" i="18"/>
  <c r="AG94" i="18"/>
  <c r="AH94" i="18"/>
  <c r="AI94" i="18"/>
  <c r="AJ94" i="18"/>
  <c r="AD95" i="18"/>
  <c r="AE95" i="18"/>
  <c r="AF95" i="18"/>
  <c r="AG95" i="18"/>
  <c r="AH95" i="18"/>
  <c r="AI95" i="18"/>
  <c r="AJ95" i="18"/>
  <c r="AD96" i="18"/>
  <c r="AE96" i="18"/>
  <c r="AF96" i="18"/>
  <c r="AG96" i="18"/>
  <c r="AH96" i="18"/>
  <c r="AI96" i="18"/>
  <c r="AJ96" i="18"/>
  <c r="AD97" i="18"/>
  <c r="AE97" i="18"/>
  <c r="AF97" i="18"/>
  <c r="AG97" i="18"/>
  <c r="AH97" i="18"/>
  <c r="AI97" i="18"/>
  <c r="AJ97" i="18"/>
  <c r="AD50" i="18"/>
  <c r="AE50" i="18"/>
  <c r="AF50" i="18"/>
  <c r="AG50" i="18"/>
  <c r="AH50" i="18"/>
  <c r="AI50" i="18"/>
  <c r="AJ50" i="18"/>
  <c r="AD98" i="18"/>
  <c r="AE98" i="18"/>
  <c r="AF98" i="18"/>
  <c r="AG98" i="18"/>
  <c r="AH98" i="18"/>
  <c r="AI98" i="18"/>
  <c r="AJ98" i="18"/>
  <c r="AD99" i="18"/>
  <c r="AE99" i="18"/>
  <c r="AF99" i="18"/>
  <c r="AG99" i="18"/>
  <c r="AH99" i="18"/>
  <c r="AI99" i="18"/>
  <c r="AJ99" i="18"/>
  <c r="AD100" i="18"/>
  <c r="AE100" i="18"/>
  <c r="AF100" i="18"/>
  <c r="AG100" i="18"/>
  <c r="AH100" i="18"/>
  <c r="AI100" i="18"/>
  <c r="AJ100" i="18"/>
  <c r="AD101" i="18"/>
  <c r="AE101" i="18"/>
  <c r="AF101" i="18"/>
  <c r="AG101" i="18"/>
  <c r="AH101" i="18"/>
  <c r="AI101" i="18"/>
  <c r="AJ101" i="18"/>
  <c r="AD51" i="18"/>
  <c r="AE51" i="18"/>
  <c r="AF51" i="18"/>
  <c r="AG51" i="18"/>
  <c r="AH51" i="18"/>
  <c r="AI51" i="18"/>
  <c r="AJ51" i="18"/>
  <c r="AD65" i="18"/>
  <c r="AE65" i="18"/>
  <c r="AF65" i="18"/>
  <c r="AG65" i="18"/>
  <c r="AH65" i="18"/>
  <c r="AI65" i="18"/>
  <c r="AJ65" i="18"/>
  <c r="AD102" i="18"/>
  <c r="AE102" i="18"/>
  <c r="AF102" i="18"/>
  <c r="AG102" i="18"/>
  <c r="AH102" i="18"/>
  <c r="AI102" i="18"/>
  <c r="AJ102" i="18"/>
  <c r="AD103" i="18"/>
  <c r="AE103" i="18"/>
  <c r="AF103" i="18"/>
  <c r="AG103" i="18"/>
  <c r="AH103" i="18"/>
  <c r="AI103" i="18"/>
  <c r="AJ103" i="18"/>
  <c r="AD104" i="18"/>
  <c r="AE104" i="18"/>
  <c r="AF104" i="18"/>
  <c r="AG104" i="18"/>
  <c r="AH104" i="18"/>
  <c r="AI104" i="18"/>
  <c r="AJ104" i="18"/>
  <c r="AD105" i="18"/>
  <c r="AE105" i="18"/>
  <c r="AF105" i="18"/>
  <c r="AG105" i="18"/>
  <c r="AH105" i="18"/>
  <c r="AI105" i="18"/>
  <c r="AJ105" i="18"/>
  <c r="AD106" i="18"/>
  <c r="AE106" i="18"/>
  <c r="AF106" i="18"/>
  <c r="AG106" i="18"/>
  <c r="AH106" i="18"/>
  <c r="AI106" i="18"/>
  <c r="AJ106" i="18"/>
  <c r="AD85" i="18"/>
  <c r="AE85" i="18"/>
  <c r="AF85" i="18"/>
  <c r="AG85" i="18"/>
  <c r="AH85" i="18"/>
  <c r="AI85" i="18"/>
  <c r="AJ85" i="18"/>
  <c r="AD52" i="18"/>
  <c r="AE52" i="18"/>
  <c r="AF52" i="18"/>
  <c r="AG52" i="18"/>
  <c r="AH52" i="18"/>
  <c r="AI52" i="18"/>
  <c r="AJ52" i="18"/>
  <c r="AD53" i="18"/>
  <c r="AE53" i="18"/>
  <c r="AF53" i="18"/>
  <c r="AG53" i="18"/>
  <c r="AH53" i="18"/>
  <c r="AI53" i="18"/>
  <c r="AJ53" i="18"/>
  <c r="AK53" i="18"/>
  <c r="AL53" i="18"/>
  <c r="AM53" i="18"/>
  <c r="AN53" i="18"/>
  <c r="AO53" i="18"/>
  <c r="AD48" i="18"/>
  <c r="AE48" i="18"/>
  <c r="AF48" i="18"/>
  <c r="AG48" i="18"/>
  <c r="AH48" i="18"/>
  <c r="AI48" i="18"/>
  <c r="AJ48" i="18"/>
  <c r="AK48" i="18"/>
  <c r="AL48" i="18"/>
  <c r="AM48" i="18"/>
  <c r="AN48" i="18"/>
  <c r="AO48" i="18"/>
  <c r="AD49" i="18"/>
  <c r="AE49" i="18"/>
  <c r="AF49" i="18"/>
  <c r="AG49" i="18"/>
  <c r="AH49" i="18"/>
  <c r="AI49" i="18"/>
  <c r="AJ49" i="18"/>
  <c r="AK49" i="18"/>
  <c r="AL49" i="18"/>
  <c r="AM49" i="18"/>
  <c r="AN49" i="18"/>
  <c r="AO49" i="18"/>
  <c r="AD107" i="18"/>
  <c r="AE107" i="18"/>
  <c r="AF107" i="18"/>
  <c r="AG107" i="18"/>
  <c r="AH107" i="18"/>
  <c r="AI107" i="18"/>
  <c r="AJ107" i="18"/>
  <c r="AK107" i="18"/>
  <c r="AL107" i="18"/>
  <c r="AM107" i="18"/>
  <c r="AN107" i="18"/>
  <c r="AO107" i="18"/>
  <c r="AD108" i="18"/>
  <c r="AE108" i="18"/>
  <c r="AF108" i="18"/>
  <c r="AG108" i="18"/>
  <c r="AH108" i="18"/>
  <c r="AI108" i="18"/>
  <c r="AJ108" i="18"/>
  <c r="AK108" i="18"/>
  <c r="AL108" i="18"/>
  <c r="AM108" i="18"/>
  <c r="AN108" i="18"/>
  <c r="AO108" i="18"/>
  <c r="AD109" i="18"/>
  <c r="AE109" i="18"/>
  <c r="AF109" i="18"/>
  <c r="AG109" i="18"/>
  <c r="AH109" i="18"/>
  <c r="AI109" i="18"/>
  <c r="AJ109" i="18"/>
  <c r="AK109" i="18"/>
  <c r="AL109" i="18"/>
  <c r="AM109" i="18"/>
  <c r="AN109" i="18"/>
  <c r="AO109" i="18"/>
  <c r="AD110" i="18"/>
  <c r="AE110" i="18"/>
  <c r="AF110" i="18"/>
  <c r="AG110" i="18"/>
  <c r="AH110" i="18"/>
  <c r="AI110" i="18"/>
  <c r="AJ110" i="18"/>
  <c r="AK110" i="18"/>
  <c r="AL110" i="18"/>
  <c r="AM110" i="18"/>
  <c r="AN110" i="18"/>
  <c r="AO110" i="18"/>
  <c r="AD111" i="18"/>
  <c r="AE111" i="18"/>
  <c r="AF111" i="18"/>
  <c r="AD112" i="18"/>
  <c r="AE112" i="18"/>
  <c r="AF112" i="18"/>
  <c r="AD113" i="18"/>
  <c r="M21" i="53"/>
  <c r="N21" i="53"/>
  <c r="O21" i="53"/>
  <c r="P21" i="53"/>
  <c r="Q21" i="53"/>
  <c r="R21" i="53"/>
  <c r="S21" i="53"/>
  <c r="T21" i="53"/>
  <c r="M42" i="53"/>
  <c r="N42" i="53"/>
  <c r="O42" i="53"/>
  <c r="P42" i="53"/>
  <c r="Q42" i="53"/>
  <c r="R42" i="53"/>
  <c r="N45" i="53"/>
  <c r="S42" i="53"/>
  <c r="T42" i="53"/>
  <c r="A19" i="54"/>
  <c r="A20" i="54"/>
  <c r="A21" i="54"/>
  <c r="A22" i="54"/>
  <c r="A23" i="54"/>
  <c r="A24" i="54"/>
  <c r="A25" i="54"/>
  <c r="A26" i="54"/>
  <c r="A27" i="54"/>
  <c r="A28" i="54"/>
  <c r="A29" i="54"/>
  <c r="A30" i="54"/>
  <c r="A31" i="54"/>
  <c r="A32" i="54"/>
  <c r="A33" i="54"/>
  <c r="A34" i="54"/>
  <c r="A35" i="54"/>
  <c r="A36" i="54"/>
  <c r="A37" i="54"/>
  <c r="A38" i="54"/>
  <c r="A39" i="54"/>
  <c r="A40" i="54"/>
  <c r="A41" i="54"/>
  <c r="A42" i="54"/>
  <c r="A43" i="54"/>
  <c r="A44" i="54"/>
  <c r="A45" i="54"/>
  <c r="A46" i="54"/>
  <c r="A47" i="54"/>
  <c r="A48" i="54"/>
  <c r="A49" i="54"/>
  <c r="A50" i="54"/>
  <c r="A51" i="54"/>
  <c r="A52" i="54"/>
  <c r="A53" i="54"/>
  <c r="A54" i="54"/>
  <c r="A55" i="54"/>
  <c r="A56" i="54"/>
  <c r="A57" i="54"/>
  <c r="A58" i="54"/>
  <c r="A59" i="54"/>
  <c r="A60" i="54"/>
  <c r="A61" i="54"/>
  <c r="A62" i="54"/>
  <c r="A63" i="54"/>
  <c r="A64" i="54"/>
  <c r="A65" i="54"/>
  <c r="A66" i="54"/>
  <c r="A67" i="54"/>
  <c r="A68" i="54"/>
  <c r="A69" i="54"/>
  <c r="A70" i="54"/>
  <c r="A71" i="54"/>
  <c r="A72" i="54"/>
  <c r="A73" i="54"/>
  <c r="A74" i="54"/>
  <c r="A75" i="54"/>
  <c r="A76" i="54"/>
  <c r="A77" i="54"/>
  <c r="A78" i="54"/>
  <c r="A79" i="54"/>
  <c r="A80" i="54"/>
  <c r="A81" i="54"/>
  <c r="A82" i="54"/>
  <c r="A83" i="54"/>
  <c r="A84" i="54"/>
  <c r="A85" i="54"/>
  <c r="A86" i="54"/>
  <c r="A87" i="54"/>
  <c r="A88" i="54"/>
  <c r="A89" i="54"/>
  <c r="A90" i="54"/>
  <c r="A91" i="54"/>
  <c r="A92" i="54"/>
  <c r="A93" i="54"/>
  <c r="A94" i="54"/>
  <c r="A95" i="54"/>
  <c r="A96" i="54"/>
  <c r="A97" i="54"/>
  <c r="A98" i="54"/>
  <c r="A99" i="54"/>
  <c r="A100" i="54"/>
  <c r="A101" i="54"/>
  <c r="A102" i="54"/>
  <c r="A103" i="54"/>
  <c r="A104" i="54"/>
  <c r="A105" i="54"/>
  <c r="A106" i="54"/>
  <c r="A107" i="54"/>
  <c r="A108" i="54"/>
  <c r="A109" i="54"/>
  <c r="A110" i="54"/>
  <c r="A111" i="54"/>
  <c r="A112" i="54"/>
  <c r="A113" i="54"/>
  <c r="A114" i="54"/>
  <c r="A115" i="54"/>
  <c r="A116" i="54"/>
  <c r="A117" i="54"/>
  <c r="A118" i="54"/>
  <c r="A119" i="54"/>
  <c r="A120" i="54"/>
  <c r="A121" i="54"/>
  <c r="A122" i="54"/>
  <c r="A123" i="54"/>
  <c r="A124" i="54"/>
  <c r="A125" i="54"/>
  <c r="A126" i="54"/>
  <c r="A127" i="54"/>
  <c r="A128" i="54"/>
  <c r="A129" i="54"/>
  <c r="A130" i="54"/>
  <c r="A131" i="54"/>
  <c r="A132" i="54"/>
  <c r="A133" i="54"/>
  <c r="A134" i="54"/>
  <c r="A135" i="54"/>
  <c r="A136" i="54"/>
  <c r="A137" i="54"/>
  <c r="A138" i="54"/>
  <c r="A139" i="54"/>
  <c r="A140" i="54"/>
  <c r="A141" i="54"/>
  <c r="A142" i="54"/>
  <c r="A143" i="54"/>
  <c r="A144" i="54"/>
  <c r="A145" i="54"/>
  <c r="A146" i="54"/>
  <c r="A147" i="54"/>
  <c r="A148" i="54"/>
  <c r="A149" i="54"/>
  <c r="A150" i="54"/>
  <c r="A151" i="54"/>
  <c r="A152" i="54"/>
  <c r="A153" i="54"/>
  <c r="A154" i="54"/>
  <c r="A155" i="54"/>
  <c r="A156" i="54"/>
  <c r="A157" i="54"/>
  <c r="A158" i="54"/>
  <c r="A159" i="54"/>
  <c r="A160" i="54"/>
  <c r="A161" i="54"/>
  <c r="A162" i="54"/>
  <c r="A163" i="54"/>
  <c r="A164" i="54"/>
  <c r="A165" i="54"/>
  <c r="A166" i="54"/>
  <c r="A167" i="54"/>
  <c r="A168" i="54"/>
  <c r="A169" i="54"/>
  <c r="A170" i="54"/>
  <c r="A171" i="54"/>
  <c r="A172" i="54"/>
  <c r="A173" i="54"/>
  <c r="A174" i="54"/>
  <c r="A175" i="54"/>
  <c r="A176" i="54"/>
  <c r="A177" i="54"/>
  <c r="A178" i="54"/>
  <c r="A179" i="54"/>
  <c r="A180" i="54"/>
  <c r="A181" i="54"/>
  <c r="A182" i="54"/>
  <c r="A183" i="54"/>
  <c r="A184" i="54"/>
  <c r="A185" i="54"/>
  <c r="A186" i="54"/>
  <c r="A187" i="54"/>
  <c r="A188" i="54"/>
  <c r="A189" i="54"/>
  <c r="A190" i="54"/>
  <c r="A191" i="54"/>
  <c r="A192" i="54"/>
  <c r="A193" i="54"/>
  <c r="A194" i="54"/>
  <c r="A195" i="54"/>
  <c r="A196" i="54"/>
  <c r="A197" i="54"/>
  <c r="A198" i="54"/>
  <c r="A199" i="54"/>
  <c r="A200" i="54"/>
  <c r="A201" i="54"/>
  <c r="A202" i="54"/>
  <c r="A203" i="54"/>
  <c r="A204" i="54"/>
  <c r="A205" i="54"/>
  <c r="A206" i="54"/>
  <c r="A207" i="54"/>
  <c r="A208" i="54"/>
  <c r="A209" i="54"/>
  <c r="A210" i="54"/>
  <c r="A211" i="54"/>
  <c r="A212" i="54"/>
  <c r="A213" i="54"/>
  <c r="A214" i="54"/>
  <c r="A215" i="54"/>
  <c r="A216" i="54"/>
  <c r="A217" i="54"/>
  <c r="A218" i="54"/>
  <c r="A219" i="54"/>
  <c r="A220" i="54"/>
  <c r="A221" i="54"/>
  <c r="A222" i="54"/>
  <c r="A223" i="54"/>
  <c r="A224" i="54"/>
  <c r="A225" i="54"/>
  <c r="A226" i="54"/>
  <c r="A227" i="54"/>
  <c r="A228" i="54"/>
  <c r="A229" i="54"/>
  <c r="A230" i="54"/>
  <c r="A231" i="54"/>
  <c r="A232" i="54"/>
  <c r="A233" i="54"/>
  <c r="A234" i="54"/>
  <c r="A235" i="54"/>
  <c r="A236" i="54"/>
  <c r="A237" i="54"/>
  <c r="A238" i="54"/>
  <c r="A239" i="54"/>
  <c r="A240" i="54"/>
  <c r="A241" i="54"/>
  <c r="A242" i="54"/>
  <c r="A243" i="54"/>
  <c r="A244" i="54"/>
  <c r="A245" i="54"/>
  <c r="A246" i="54"/>
  <c r="A247" i="54"/>
  <c r="A248" i="54"/>
  <c r="A249" i="54"/>
  <c r="A250" i="54"/>
  <c r="A251" i="54"/>
  <c r="A252" i="54"/>
  <c r="A253" i="54"/>
  <c r="A254" i="54"/>
  <c r="A255" i="54"/>
  <c r="A256" i="54"/>
  <c r="A257" i="54"/>
  <c r="A258" i="54"/>
  <c r="A259" i="54"/>
  <c r="A260" i="54"/>
  <c r="A261" i="54"/>
  <c r="A262" i="54"/>
  <c r="A263" i="54"/>
  <c r="A264" i="54"/>
  <c r="A265" i="54"/>
  <c r="A266" i="54"/>
  <c r="A267" i="54"/>
  <c r="A268" i="54"/>
  <c r="A269" i="54"/>
  <c r="A270" i="54"/>
  <c r="A271" i="54"/>
  <c r="A272" i="54"/>
  <c r="A273" i="54"/>
  <c r="A274" i="54"/>
  <c r="A275" i="54"/>
  <c r="A276" i="54"/>
  <c r="A277" i="54"/>
  <c r="A278" i="54"/>
  <c r="A279" i="54"/>
  <c r="A280" i="54"/>
  <c r="A281" i="54"/>
  <c r="A282" i="54"/>
  <c r="A283" i="54"/>
  <c r="A284" i="54"/>
  <c r="A285" i="54"/>
  <c r="A286" i="54"/>
  <c r="A287" i="54"/>
  <c r="A288" i="54"/>
  <c r="A289" i="54"/>
  <c r="A290" i="54"/>
  <c r="A291" i="54"/>
  <c r="A292" i="54"/>
  <c r="A293" i="54"/>
  <c r="A294" i="54"/>
  <c r="A295" i="54"/>
  <c r="A296" i="54"/>
  <c r="A297" i="54"/>
  <c r="A298" i="54"/>
  <c r="A299" i="54"/>
  <c r="A300" i="54"/>
  <c r="A301" i="54"/>
  <c r="A302" i="54"/>
  <c r="A303" i="54"/>
  <c r="A304" i="54"/>
  <c r="A305" i="54"/>
  <c r="A306" i="54"/>
  <c r="A307" i="54"/>
  <c r="A308" i="54"/>
  <c r="A309" i="54"/>
  <c r="A310" i="54"/>
  <c r="A311" i="54"/>
  <c r="A312" i="54"/>
  <c r="A313" i="54"/>
  <c r="A314" i="54"/>
  <c r="A315" i="54"/>
  <c r="A316" i="54"/>
  <c r="A317" i="54"/>
  <c r="A318" i="54"/>
  <c r="A319" i="54"/>
  <c r="A320" i="54"/>
  <c r="A321" i="54"/>
  <c r="A322" i="54"/>
  <c r="A323" i="54"/>
  <c r="A324" i="54"/>
  <c r="A325" i="54"/>
  <c r="A326" i="54"/>
  <c r="A327" i="54"/>
  <c r="A328" i="54"/>
  <c r="A329" i="54"/>
  <c r="A330" i="54"/>
  <c r="A331" i="54"/>
  <c r="A332" i="54"/>
  <c r="A333" i="54"/>
  <c r="A334" i="54"/>
  <c r="A335" i="54"/>
  <c r="A336" i="54"/>
  <c r="A337" i="54"/>
  <c r="A338" i="54"/>
  <c r="A339" i="54"/>
  <c r="A340" i="54"/>
  <c r="A341" i="54"/>
  <c r="A342" i="54"/>
  <c r="A343" i="54"/>
  <c r="A344" i="54"/>
  <c r="A345" i="54"/>
  <c r="A346" i="54"/>
  <c r="A347" i="54"/>
  <c r="A348" i="54"/>
  <c r="A349" i="54"/>
  <c r="A350" i="54"/>
  <c r="A351" i="54"/>
  <c r="A352" i="54"/>
  <c r="A353" i="54"/>
  <c r="A354" i="54"/>
  <c r="A355" i="54"/>
  <c r="A356" i="54"/>
  <c r="A357" i="54"/>
  <c r="A358" i="54"/>
  <c r="A359" i="54"/>
  <c r="A360" i="54"/>
  <c r="A361" i="54"/>
  <c r="A362" i="54"/>
  <c r="A363" i="54"/>
  <c r="A364" i="54"/>
  <c r="A365" i="54"/>
  <c r="A366" i="54"/>
  <c r="A367" i="54"/>
  <c r="A368" i="54"/>
  <c r="A369" i="54"/>
  <c r="A370" i="54"/>
  <c r="A371" i="54"/>
  <c r="A372" i="54"/>
  <c r="A373" i="54"/>
  <c r="A374" i="54"/>
  <c r="A375" i="54"/>
  <c r="A376" i="54"/>
  <c r="A377" i="54"/>
  <c r="A378" i="54"/>
  <c r="A379" i="54"/>
  <c r="A380" i="54"/>
  <c r="A381" i="54"/>
  <c r="A382" i="54"/>
  <c r="A383" i="54"/>
  <c r="A384" i="54"/>
  <c r="A385" i="54"/>
  <c r="A386" i="54"/>
  <c r="A387" i="54"/>
  <c r="A388" i="54"/>
  <c r="A389" i="54"/>
  <c r="A390" i="54"/>
  <c r="A391" i="54"/>
  <c r="A392" i="54"/>
  <c r="A393" i="54"/>
  <c r="A394" i="54"/>
  <c r="A395" i="54"/>
  <c r="A396" i="54"/>
  <c r="A397" i="54"/>
  <c r="A398" i="54"/>
  <c r="A399" i="54"/>
  <c r="A400" i="54"/>
  <c r="A401" i="54"/>
  <c r="A402" i="54"/>
  <c r="A403" i="54"/>
  <c r="A404" i="54"/>
  <c r="A405" i="54"/>
  <c r="A406" i="54"/>
  <c r="A407" i="54"/>
  <c r="A408" i="54"/>
  <c r="A409" i="54"/>
  <c r="A410" i="54"/>
  <c r="A411" i="54"/>
  <c r="A412" i="54"/>
  <c r="A413" i="54"/>
  <c r="A414" i="54"/>
  <c r="A415" i="54"/>
  <c r="A416" i="54"/>
  <c r="A417" i="54"/>
  <c r="A418" i="54"/>
  <c r="A419" i="54"/>
  <c r="A420" i="54"/>
  <c r="A421" i="54"/>
  <c r="A422" i="54"/>
  <c r="A423" i="54"/>
  <c r="A424" i="54"/>
  <c r="A425" i="54"/>
  <c r="A426" i="54"/>
  <c r="A427" i="54"/>
  <c r="A428" i="54"/>
  <c r="A429" i="54"/>
  <c r="A430" i="54"/>
  <c r="A431" i="54"/>
  <c r="A432" i="54"/>
  <c r="A433" i="54"/>
  <c r="A434" i="54"/>
  <c r="A435" i="54"/>
  <c r="A436" i="54"/>
  <c r="A437" i="54"/>
  <c r="A438" i="54"/>
  <c r="A439" i="54"/>
  <c r="A440" i="54"/>
  <c r="A441" i="54"/>
  <c r="A442" i="54"/>
  <c r="A443" i="54"/>
  <c r="A444" i="54"/>
  <c r="A445" i="54"/>
  <c r="A446" i="54"/>
  <c r="A447" i="54"/>
  <c r="A448" i="54"/>
  <c r="A449" i="54"/>
  <c r="A450" i="54"/>
  <c r="A451" i="54"/>
  <c r="A452" i="54"/>
  <c r="A453" i="54"/>
  <c r="A454" i="54"/>
  <c r="A455" i="54"/>
  <c r="A456" i="54"/>
  <c r="A457" i="54"/>
  <c r="A458" i="54"/>
  <c r="A459" i="54"/>
  <c r="A460" i="54"/>
  <c r="A461" i="54"/>
  <c r="A462" i="54"/>
  <c r="A463" i="54"/>
  <c r="A464" i="54"/>
  <c r="A465" i="54"/>
  <c r="A466" i="54"/>
  <c r="A467" i="54"/>
  <c r="A468" i="54"/>
  <c r="A469" i="54"/>
  <c r="A470" i="54"/>
  <c r="A471" i="54"/>
  <c r="A472" i="54"/>
  <c r="A473" i="54"/>
  <c r="A474" i="54"/>
  <c r="A475" i="54"/>
  <c r="A476" i="54"/>
  <c r="A477" i="54"/>
  <c r="A478" i="54"/>
  <c r="A479" i="54"/>
  <c r="A480" i="54"/>
  <c r="A481" i="54"/>
  <c r="A482" i="54"/>
  <c r="A483" i="54"/>
  <c r="A484" i="54"/>
  <c r="A485" i="54"/>
  <c r="A486" i="54"/>
  <c r="A487" i="54"/>
  <c r="A488" i="54"/>
  <c r="A489" i="54"/>
  <c r="A490" i="54"/>
  <c r="A491" i="54"/>
  <c r="A492" i="54"/>
  <c r="A493" i="54"/>
  <c r="A494" i="54"/>
  <c r="A495" i="54"/>
  <c r="A496" i="54"/>
  <c r="A497" i="54"/>
  <c r="A498" i="54"/>
  <c r="B20" i="52"/>
  <c r="B21" i="52"/>
  <c r="B22" i="52"/>
  <c r="B23" i="52"/>
  <c r="B24" i="52"/>
  <c r="B25" i="52"/>
  <c r="B26" i="52"/>
  <c r="B27" i="52"/>
  <c r="B28" i="52"/>
  <c r="B29" i="52"/>
  <c r="B30" i="52"/>
  <c r="B31" i="52"/>
  <c r="B32" i="52"/>
  <c r="B33" i="52"/>
  <c r="B34" i="52"/>
  <c r="B35" i="52"/>
  <c r="B36" i="52"/>
  <c r="B37" i="52"/>
  <c r="B38" i="52"/>
  <c r="B39" i="52"/>
  <c r="B40" i="52"/>
  <c r="B41" i="52"/>
  <c r="B42" i="52"/>
  <c r="B43" i="52"/>
  <c r="B44" i="52"/>
  <c r="B45" i="52"/>
  <c r="B46" i="52"/>
  <c r="B47" i="52"/>
  <c r="B48" i="52"/>
  <c r="B49" i="52"/>
  <c r="B50" i="52"/>
  <c r="B51" i="52"/>
  <c r="B52" i="52"/>
  <c r="B53" i="52"/>
  <c r="B54" i="52"/>
  <c r="B55" i="52"/>
  <c r="B56" i="52"/>
  <c r="B57" i="52"/>
  <c r="B58" i="52"/>
  <c r="B59" i="52"/>
  <c r="B60" i="52"/>
  <c r="B61" i="52"/>
  <c r="B62" i="52"/>
  <c r="B63" i="52"/>
  <c r="B64" i="52"/>
  <c r="B65" i="52"/>
  <c r="B66" i="52"/>
  <c r="B67" i="52"/>
  <c r="B68" i="52"/>
  <c r="B69" i="52"/>
  <c r="B70" i="52"/>
  <c r="B71" i="52"/>
  <c r="B72" i="52"/>
  <c r="B73" i="52"/>
  <c r="B74" i="52"/>
  <c r="B75" i="52"/>
  <c r="B76" i="52"/>
  <c r="B77" i="52"/>
  <c r="B78" i="52"/>
  <c r="B79" i="52"/>
  <c r="B80" i="52"/>
  <c r="B81" i="52"/>
  <c r="B82" i="52"/>
  <c r="B83" i="52"/>
  <c r="B84" i="52"/>
  <c r="B85" i="52"/>
  <c r="B86" i="52"/>
  <c r="B87" i="52"/>
  <c r="B88" i="52"/>
  <c r="B89" i="52"/>
  <c r="B90" i="52"/>
  <c r="B91" i="52"/>
  <c r="B92" i="52"/>
  <c r="B93" i="52"/>
  <c r="B94" i="52"/>
  <c r="B95" i="52"/>
  <c r="B96" i="52"/>
  <c r="B97" i="52"/>
  <c r="B98" i="52"/>
  <c r="B99" i="52"/>
  <c r="B100" i="52"/>
  <c r="B101" i="52"/>
  <c r="B102" i="52"/>
  <c r="B103" i="52"/>
  <c r="B104" i="52"/>
  <c r="B105" i="52"/>
  <c r="B106" i="52"/>
  <c r="B107" i="52"/>
  <c r="B108" i="52"/>
  <c r="B109" i="52"/>
  <c r="B110" i="52"/>
  <c r="B111" i="52"/>
  <c r="B112" i="52"/>
  <c r="B113" i="52"/>
  <c r="B114" i="52"/>
  <c r="B115" i="52"/>
  <c r="B116" i="52"/>
  <c r="B117" i="52"/>
  <c r="B118" i="52"/>
  <c r="B119" i="52"/>
  <c r="B120" i="52"/>
  <c r="B121" i="52"/>
  <c r="B122" i="52"/>
  <c r="B123" i="52"/>
  <c r="B124" i="52"/>
  <c r="B125" i="52"/>
  <c r="B126" i="52"/>
  <c r="B127" i="52"/>
  <c r="B128" i="52"/>
  <c r="B129" i="52"/>
  <c r="B130" i="52"/>
  <c r="B131" i="52"/>
  <c r="B132" i="52"/>
  <c r="B133" i="52"/>
  <c r="B134" i="52"/>
  <c r="B135" i="52"/>
  <c r="B136" i="52"/>
  <c r="B137" i="52"/>
  <c r="B138" i="52"/>
  <c r="B139" i="52"/>
  <c r="B140" i="52"/>
  <c r="B141" i="52"/>
  <c r="B142" i="52"/>
  <c r="B143" i="52"/>
  <c r="B144" i="52"/>
  <c r="B145" i="52"/>
  <c r="B146" i="52"/>
  <c r="B147" i="52"/>
  <c r="B148" i="52"/>
  <c r="B149" i="52"/>
  <c r="B150" i="52"/>
  <c r="B151" i="52"/>
  <c r="B152" i="52"/>
  <c r="B153" i="52"/>
  <c r="B154" i="52"/>
  <c r="B155" i="52"/>
  <c r="B156" i="52"/>
  <c r="B157" i="52"/>
  <c r="B158" i="52"/>
  <c r="B159" i="52"/>
  <c r="B160" i="52"/>
  <c r="B161" i="52"/>
  <c r="B162" i="52"/>
  <c r="B163" i="52"/>
  <c r="B164" i="52"/>
  <c r="B165" i="52"/>
  <c r="B166" i="52"/>
  <c r="B167" i="52"/>
  <c r="B168" i="52"/>
  <c r="B169" i="52"/>
  <c r="B170" i="52"/>
  <c r="B171" i="52"/>
  <c r="B172" i="52"/>
  <c r="B173" i="52"/>
  <c r="B174" i="52"/>
  <c r="B175" i="52"/>
  <c r="B176" i="52"/>
  <c r="B177" i="52"/>
  <c r="B178" i="52"/>
  <c r="B179" i="52"/>
  <c r="B180" i="52"/>
  <c r="B181" i="52"/>
  <c r="B182" i="52"/>
  <c r="B183" i="52"/>
  <c r="B184" i="52"/>
  <c r="B185" i="52"/>
  <c r="B186" i="52"/>
  <c r="B187" i="52"/>
  <c r="B188" i="52"/>
  <c r="B189" i="52"/>
  <c r="B190" i="52"/>
  <c r="B191" i="52"/>
  <c r="B192" i="52"/>
  <c r="B193" i="52"/>
  <c r="B194" i="52"/>
  <c r="B195" i="52"/>
  <c r="B196" i="52"/>
  <c r="B197" i="52"/>
  <c r="B198" i="52"/>
  <c r="B199" i="52"/>
  <c r="B200" i="52"/>
  <c r="B201" i="52"/>
  <c r="B202" i="52"/>
  <c r="B203" i="52"/>
  <c r="B204" i="52"/>
  <c r="B205" i="52"/>
  <c r="B206" i="52"/>
  <c r="B207" i="52"/>
  <c r="B208" i="52"/>
  <c r="B209" i="52"/>
  <c r="B210" i="52"/>
  <c r="B211" i="52"/>
  <c r="B212" i="52"/>
  <c r="B213" i="52"/>
  <c r="B214" i="52"/>
  <c r="B215" i="52"/>
  <c r="B216" i="52"/>
  <c r="B217" i="52"/>
  <c r="B218" i="52"/>
  <c r="B219" i="52"/>
  <c r="B220" i="52"/>
  <c r="B221" i="52"/>
  <c r="B222" i="52"/>
  <c r="B223" i="52"/>
  <c r="B224" i="52"/>
  <c r="B225" i="52"/>
  <c r="B226" i="52"/>
  <c r="B227" i="52"/>
  <c r="B228" i="52"/>
  <c r="B229" i="52"/>
  <c r="B230" i="52"/>
  <c r="B231" i="52"/>
  <c r="B232" i="52"/>
  <c r="B233" i="52"/>
  <c r="B234" i="52"/>
  <c r="B235" i="52"/>
  <c r="B236" i="52"/>
  <c r="B237" i="52"/>
  <c r="B238" i="52"/>
  <c r="B239" i="52"/>
  <c r="B240" i="52"/>
  <c r="B241" i="52"/>
  <c r="B242" i="52"/>
  <c r="B243" i="52"/>
  <c r="B244" i="52"/>
  <c r="B245" i="52"/>
  <c r="B246" i="52"/>
  <c r="B247" i="52"/>
  <c r="B248" i="52"/>
  <c r="B249" i="52"/>
  <c r="B250" i="52"/>
  <c r="B251" i="52"/>
  <c r="B252" i="52"/>
  <c r="B253" i="52"/>
  <c r="B254" i="52"/>
  <c r="B255" i="52"/>
  <c r="B256" i="52"/>
  <c r="B257" i="52"/>
  <c r="B258" i="52"/>
  <c r="B259" i="52"/>
  <c r="B260" i="52"/>
  <c r="B261" i="52"/>
  <c r="B262" i="52"/>
  <c r="B263" i="52"/>
  <c r="B264" i="52"/>
  <c r="B265" i="52"/>
  <c r="B266" i="52"/>
  <c r="B267" i="52"/>
  <c r="B268" i="52"/>
  <c r="B269" i="52"/>
  <c r="B270" i="52"/>
  <c r="B271" i="52"/>
  <c r="B272" i="52"/>
  <c r="B273" i="52"/>
  <c r="B274" i="52"/>
  <c r="B275" i="52"/>
  <c r="B276" i="52"/>
  <c r="B277" i="52"/>
  <c r="B278" i="52"/>
  <c r="B279" i="52"/>
  <c r="B280" i="52"/>
  <c r="B281" i="52"/>
  <c r="B282" i="52"/>
  <c r="B283" i="52"/>
  <c r="B284" i="52"/>
  <c r="B285" i="52"/>
  <c r="B286" i="52"/>
  <c r="B287" i="52"/>
  <c r="B288" i="52"/>
  <c r="B289" i="52"/>
  <c r="B290" i="52"/>
  <c r="B291" i="52"/>
  <c r="B292" i="52"/>
  <c r="B293" i="52"/>
  <c r="B294" i="52"/>
  <c r="B295" i="52"/>
  <c r="B296" i="52"/>
  <c r="B297" i="52"/>
  <c r="B298" i="52"/>
  <c r="B299" i="52"/>
  <c r="B300" i="52"/>
  <c r="B301" i="52"/>
  <c r="B302" i="52"/>
  <c r="B303" i="52"/>
  <c r="B304" i="52"/>
  <c r="B305" i="52"/>
  <c r="B306" i="52"/>
  <c r="B307" i="52"/>
  <c r="B308" i="52"/>
  <c r="B309" i="52"/>
  <c r="B310" i="52"/>
  <c r="B311" i="52"/>
  <c r="B312" i="52"/>
  <c r="B313" i="52"/>
  <c r="B314" i="52"/>
  <c r="B315" i="52"/>
  <c r="B316" i="52"/>
  <c r="B317" i="52"/>
  <c r="B318" i="52"/>
  <c r="B319" i="52"/>
  <c r="B320" i="52"/>
  <c r="B321" i="52"/>
  <c r="B322" i="52"/>
  <c r="B323" i="52"/>
  <c r="B324" i="52"/>
  <c r="B325" i="52"/>
  <c r="B326" i="52"/>
  <c r="B327" i="52"/>
  <c r="B328" i="52"/>
  <c r="B329" i="52"/>
  <c r="B330" i="52"/>
  <c r="B331" i="52"/>
  <c r="B332" i="52"/>
  <c r="B333" i="52"/>
  <c r="B334" i="52"/>
  <c r="B335" i="52"/>
  <c r="B336" i="52"/>
  <c r="B337" i="52"/>
  <c r="B338" i="52"/>
  <c r="B339" i="52"/>
  <c r="B340" i="52"/>
  <c r="B341" i="52"/>
  <c r="B342" i="52"/>
  <c r="B343" i="52"/>
  <c r="B344" i="52"/>
  <c r="B345" i="52"/>
  <c r="B346" i="52"/>
  <c r="B347" i="52"/>
  <c r="B348" i="52"/>
  <c r="B349" i="52"/>
  <c r="B350" i="52"/>
  <c r="B351" i="52"/>
  <c r="B352" i="52"/>
  <c r="B353" i="52"/>
  <c r="B354" i="52"/>
  <c r="B355" i="52"/>
  <c r="B356" i="52"/>
  <c r="B357" i="52"/>
  <c r="B358" i="52"/>
  <c r="B359" i="52"/>
  <c r="B360" i="52"/>
  <c r="B361" i="52"/>
  <c r="B362" i="52"/>
  <c r="B363" i="52"/>
  <c r="B364" i="52"/>
  <c r="B365" i="52"/>
  <c r="B366" i="52"/>
  <c r="B367" i="52"/>
  <c r="B368" i="52"/>
  <c r="B369" i="52"/>
  <c r="B370" i="52"/>
  <c r="B371" i="52"/>
  <c r="B372" i="52"/>
  <c r="B373" i="52"/>
  <c r="B374" i="52"/>
  <c r="B375" i="52"/>
  <c r="B376" i="52"/>
  <c r="B377" i="52"/>
  <c r="B378" i="52"/>
  <c r="B379" i="52"/>
  <c r="B380" i="52"/>
  <c r="B381" i="52"/>
  <c r="B382" i="52"/>
  <c r="B383" i="52"/>
  <c r="B384" i="52"/>
  <c r="B385" i="52"/>
  <c r="B386" i="52"/>
  <c r="B387" i="52"/>
  <c r="B388" i="52"/>
  <c r="B389" i="52"/>
  <c r="B390" i="52"/>
  <c r="B391" i="52"/>
  <c r="B392" i="52"/>
  <c r="B393" i="52"/>
  <c r="B394" i="52"/>
  <c r="B395" i="52"/>
  <c r="B396" i="52"/>
  <c r="B397" i="52"/>
  <c r="B398" i="52"/>
  <c r="B399" i="52"/>
  <c r="B400" i="52"/>
  <c r="B401" i="52"/>
  <c r="B402" i="52"/>
  <c r="B403" i="52"/>
  <c r="B404" i="52"/>
  <c r="B405" i="52"/>
  <c r="B406" i="52"/>
  <c r="B407" i="52"/>
  <c r="B408" i="52"/>
  <c r="B409" i="52"/>
  <c r="B410" i="52"/>
  <c r="B411" i="52"/>
  <c r="B412" i="52"/>
  <c r="B413" i="52"/>
  <c r="B414" i="52"/>
  <c r="B415" i="52"/>
  <c r="B416" i="52"/>
  <c r="B417" i="52"/>
  <c r="B418" i="52"/>
  <c r="B419" i="52"/>
  <c r="B420" i="52"/>
  <c r="B421" i="52"/>
  <c r="B422" i="52"/>
  <c r="B423" i="52"/>
  <c r="B424" i="52"/>
  <c r="B425" i="52"/>
  <c r="B426" i="52"/>
  <c r="B427" i="52"/>
  <c r="B428" i="52"/>
  <c r="B429" i="52"/>
  <c r="B430" i="52"/>
  <c r="B431" i="52"/>
  <c r="B432" i="52"/>
  <c r="B433" i="52"/>
  <c r="B434" i="52"/>
  <c r="B435" i="52"/>
  <c r="B436" i="52"/>
  <c r="B437" i="52"/>
  <c r="B438" i="52"/>
  <c r="B439" i="52"/>
  <c r="B440" i="52"/>
  <c r="B441" i="52"/>
  <c r="B442" i="52"/>
  <c r="B443" i="52"/>
  <c r="B444" i="52"/>
  <c r="B445" i="52"/>
  <c r="B446" i="52"/>
  <c r="B447" i="52"/>
  <c r="B448" i="52"/>
  <c r="B449" i="52"/>
  <c r="B450" i="52"/>
  <c r="B451" i="52"/>
  <c r="B452" i="52"/>
  <c r="B453" i="52"/>
  <c r="B454" i="52"/>
  <c r="B455" i="52"/>
  <c r="B456" i="52"/>
  <c r="B457" i="52"/>
  <c r="B458" i="52"/>
  <c r="B459" i="52"/>
  <c r="B460" i="52"/>
  <c r="B461" i="52"/>
  <c r="B462" i="52"/>
  <c r="B463" i="52"/>
  <c r="B464" i="52"/>
  <c r="B465" i="52"/>
  <c r="B466" i="52"/>
  <c r="B467" i="52"/>
  <c r="B468" i="52"/>
  <c r="B469" i="52"/>
  <c r="B470" i="52"/>
  <c r="B471" i="52"/>
  <c r="B472" i="52"/>
  <c r="B473" i="52"/>
  <c r="B474" i="52"/>
  <c r="B475" i="52"/>
  <c r="B476" i="52"/>
  <c r="B477" i="52"/>
  <c r="B478" i="52"/>
  <c r="B479" i="52"/>
  <c r="B480" i="52"/>
  <c r="B481" i="52"/>
  <c r="B482" i="52"/>
  <c r="B483" i="52"/>
  <c r="B484" i="52"/>
  <c r="B485" i="52"/>
  <c r="B486" i="52"/>
  <c r="B487" i="52"/>
  <c r="B488" i="52"/>
  <c r="B489" i="52"/>
  <c r="B490" i="52"/>
  <c r="B491" i="52"/>
  <c r="B492" i="52"/>
  <c r="B493" i="52"/>
  <c r="B494" i="52"/>
  <c r="B495" i="52"/>
  <c r="B496" i="52"/>
  <c r="B497" i="52"/>
  <c r="B498" i="52"/>
  <c r="B499" i="52"/>
  <c r="A19" i="51"/>
  <c r="A20" i="51"/>
  <c r="A21" i="51"/>
  <c r="A22" i="51"/>
  <c r="A23" i="51"/>
  <c r="A24" i="51"/>
  <c r="A25" i="51"/>
  <c r="A26" i="51"/>
  <c r="A27" i="51"/>
  <c r="A28" i="51"/>
  <c r="A29" i="51"/>
  <c r="A30" i="51"/>
  <c r="A31" i="51"/>
  <c r="A32" i="51"/>
  <c r="A33" i="51"/>
  <c r="A34" i="51"/>
  <c r="A35" i="51"/>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64" i="51"/>
  <c r="A65" i="51"/>
  <c r="A66" i="51"/>
  <c r="A67" i="51"/>
  <c r="A68" i="51"/>
  <c r="A69" i="51"/>
  <c r="A70" i="51"/>
  <c r="A71" i="51"/>
  <c r="A72" i="51"/>
  <c r="A73" i="51"/>
  <c r="A74" i="51"/>
  <c r="A75" i="51"/>
  <c r="A76" i="51"/>
  <c r="A77" i="51"/>
  <c r="A78" i="51"/>
  <c r="A79" i="51"/>
  <c r="A80" i="51"/>
  <c r="A81" i="51"/>
  <c r="A82" i="51"/>
  <c r="A83" i="51"/>
  <c r="A84" i="51"/>
  <c r="A85" i="51"/>
  <c r="A86" i="51"/>
  <c r="A87" i="51"/>
  <c r="A88" i="51"/>
  <c r="A89" i="51"/>
  <c r="A90" i="51"/>
  <c r="A91" i="51"/>
  <c r="A92" i="51"/>
  <c r="A93" i="51"/>
  <c r="A94" i="51"/>
  <c r="A95" i="51"/>
  <c r="A96" i="51"/>
  <c r="A97" i="51"/>
  <c r="A98" i="51"/>
  <c r="A99" i="51"/>
  <c r="A100" i="51"/>
  <c r="A101" i="51"/>
  <c r="A102" i="51"/>
  <c r="A103" i="51"/>
  <c r="A104" i="51"/>
  <c r="A105" i="51"/>
  <c r="A106" i="51"/>
  <c r="A107" i="51"/>
  <c r="A108" i="51"/>
  <c r="A109" i="51"/>
  <c r="A110" i="51"/>
  <c r="A111" i="51"/>
  <c r="A112" i="51"/>
  <c r="A113" i="51"/>
  <c r="A114" i="51"/>
  <c r="A115" i="51"/>
  <c r="A116" i="51"/>
  <c r="A117" i="51"/>
  <c r="A118" i="51"/>
  <c r="A119" i="51"/>
  <c r="A120" i="51"/>
  <c r="A121" i="51"/>
  <c r="A122" i="51"/>
  <c r="A123" i="51"/>
  <c r="A124" i="51"/>
  <c r="A125" i="51"/>
  <c r="A126" i="51"/>
  <c r="A127" i="51"/>
  <c r="A128" i="51"/>
  <c r="A129" i="51"/>
  <c r="A130" i="51"/>
  <c r="A131" i="51"/>
  <c r="A132" i="51"/>
  <c r="A133" i="51"/>
  <c r="A134" i="51"/>
  <c r="A135" i="51"/>
  <c r="A136" i="51"/>
  <c r="A137" i="51"/>
  <c r="A138" i="51"/>
  <c r="A139" i="51"/>
  <c r="A140" i="51"/>
  <c r="A141" i="51"/>
  <c r="A142" i="51"/>
  <c r="A143" i="51"/>
  <c r="A144" i="51"/>
  <c r="A145" i="51"/>
  <c r="A146" i="51"/>
  <c r="A147" i="51"/>
  <c r="A148" i="51"/>
  <c r="A149" i="51"/>
  <c r="A150" i="51"/>
  <c r="A151" i="51"/>
  <c r="A152" i="51"/>
  <c r="A153" i="51"/>
  <c r="A154" i="51"/>
  <c r="A155" i="51"/>
  <c r="A156" i="51"/>
  <c r="A157" i="51"/>
  <c r="A158" i="51"/>
  <c r="A159" i="51"/>
  <c r="A160" i="51"/>
  <c r="A161" i="51"/>
  <c r="A162" i="51"/>
  <c r="A163" i="51"/>
  <c r="A164" i="51"/>
  <c r="A165" i="51"/>
  <c r="A166" i="51"/>
  <c r="A167" i="51"/>
  <c r="A168" i="51"/>
  <c r="A169" i="51"/>
  <c r="A170" i="51"/>
  <c r="A171" i="51"/>
  <c r="A172" i="51"/>
  <c r="A173" i="51"/>
  <c r="A174" i="51"/>
  <c r="A175" i="51"/>
  <c r="A176" i="51"/>
  <c r="A177" i="51"/>
  <c r="A178" i="51"/>
  <c r="A179" i="51"/>
  <c r="A180" i="51"/>
  <c r="A181" i="51"/>
  <c r="A182" i="51"/>
  <c r="A183" i="51"/>
  <c r="A184" i="51"/>
  <c r="A185" i="51"/>
  <c r="A186" i="51"/>
  <c r="A187" i="51"/>
  <c r="A188" i="51"/>
  <c r="A189" i="51"/>
  <c r="A190" i="51"/>
  <c r="A191" i="51"/>
  <c r="A192" i="51"/>
  <c r="A193" i="51"/>
  <c r="A194" i="51"/>
  <c r="A195" i="51"/>
  <c r="A196" i="51"/>
  <c r="A197" i="51"/>
  <c r="A198" i="51"/>
  <c r="A199" i="51"/>
  <c r="A200" i="51"/>
  <c r="A201" i="51"/>
  <c r="A202" i="51"/>
  <c r="A203" i="51"/>
  <c r="A204" i="51"/>
  <c r="A205" i="51"/>
  <c r="A206" i="51"/>
  <c r="A207" i="51"/>
  <c r="A208" i="51"/>
  <c r="A209" i="51"/>
  <c r="A210" i="51"/>
  <c r="A211" i="51"/>
  <c r="A212" i="51"/>
  <c r="A213" i="51"/>
  <c r="A214" i="51"/>
  <c r="A215" i="51"/>
  <c r="A216" i="51"/>
  <c r="A217" i="51"/>
  <c r="A218" i="51"/>
  <c r="A219" i="51"/>
  <c r="A220" i="51"/>
  <c r="A221" i="51"/>
  <c r="A222" i="51"/>
  <c r="A223" i="51"/>
  <c r="A224" i="51"/>
  <c r="A225" i="51"/>
  <c r="A226" i="51"/>
  <c r="A227" i="51"/>
  <c r="A228" i="51"/>
  <c r="A229" i="51"/>
  <c r="A230" i="51"/>
  <c r="A231" i="51"/>
  <c r="A232" i="51"/>
  <c r="A233" i="51"/>
  <c r="A234" i="51"/>
  <c r="A235" i="51"/>
  <c r="A236" i="51"/>
  <c r="A237" i="51"/>
  <c r="A238" i="51"/>
  <c r="A239" i="51"/>
  <c r="A240" i="51"/>
  <c r="A241" i="51"/>
  <c r="A242" i="51"/>
  <c r="A243" i="51"/>
  <c r="A244" i="51"/>
  <c r="A245" i="51"/>
  <c r="A246" i="51"/>
  <c r="A247" i="51"/>
  <c r="A248" i="51"/>
  <c r="A249" i="51"/>
  <c r="A250" i="51"/>
  <c r="A251" i="51"/>
  <c r="A252" i="51"/>
  <c r="A253" i="51"/>
  <c r="A254" i="51"/>
  <c r="A255" i="51"/>
  <c r="A256" i="51"/>
  <c r="A257" i="51"/>
  <c r="A258" i="51"/>
  <c r="A259" i="51"/>
  <c r="A260" i="51"/>
  <c r="A261" i="51"/>
  <c r="A262" i="51"/>
  <c r="A263" i="51"/>
  <c r="A264" i="51"/>
  <c r="A265" i="51"/>
  <c r="A266" i="51"/>
  <c r="A267" i="51"/>
  <c r="A268" i="51"/>
  <c r="A269" i="51"/>
  <c r="A270" i="51"/>
  <c r="A271" i="51"/>
  <c r="A272" i="51"/>
  <c r="A273" i="51"/>
  <c r="A274" i="51"/>
  <c r="A275" i="51"/>
  <c r="A276" i="51"/>
  <c r="A277" i="51"/>
  <c r="A278" i="51"/>
  <c r="A279" i="51"/>
  <c r="A280" i="51"/>
  <c r="A281" i="51"/>
  <c r="A282" i="51"/>
  <c r="A283" i="51"/>
  <c r="A284" i="51"/>
  <c r="A285" i="51"/>
  <c r="A286" i="51"/>
  <c r="A287" i="51"/>
  <c r="A288" i="51"/>
  <c r="A289" i="51"/>
  <c r="A290" i="51"/>
  <c r="A291" i="51"/>
  <c r="A292" i="51"/>
  <c r="A293" i="51"/>
  <c r="A294" i="51"/>
  <c r="A295" i="51"/>
  <c r="A296" i="51"/>
  <c r="A297" i="51"/>
  <c r="A298" i="51"/>
  <c r="A299" i="51"/>
  <c r="A300" i="51"/>
  <c r="A301" i="51"/>
  <c r="A302" i="51"/>
  <c r="A303" i="51"/>
  <c r="A304" i="51"/>
  <c r="A305" i="51"/>
  <c r="A306" i="51"/>
  <c r="A307" i="51"/>
  <c r="A308" i="51"/>
  <c r="A309" i="51"/>
  <c r="A310" i="51"/>
  <c r="A311" i="51"/>
  <c r="A312" i="51"/>
  <c r="A313" i="51"/>
  <c r="A314" i="51"/>
  <c r="A315" i="51"/>
  <c r="A316" i="51"/>
  <c r="A317" i="51"/>
  <c r="A318" i="51"/>
  <c r="A319" i="51"/>
  <c r="A320" i="51"/>
  <c r="A321" i="51"/>
  <c r="A322" i="51"/>
  <c r="A323" i="51"/>
  <c r="A324" i="51"/>
  <c r="A325" i="51"/>
  <c r="A326" i="51"/>
  <c r="A327" i="51"/>
  <c r="A328" i="51"/>
  <c r="A329" i="51"/>
  <c r="A330" i="51"/>
  <c r="A331" i="51"/>
  <c r="A332" i="51"/>
  <c r="A333" i="51"/>
  <c r="A334" i="51"/>
  <c r="A335" i="51"/>
  <c r="A336" i="51"/>
  <c r="A337" i="51"/>
  <c r="A338" i="51"/>
  <c r="A339" i="51"/>
  <c r="A340" i="51"/>
  <c r="A341" i="51"/>
  <c r="A342" i="51"/>
  <c r="A343" i="51"/>
  <c r="A344" i="51"/>
  <c r="A345" i="51"/>
  <c r="A346" i="51"/>
  <c r="A347" i="51"/>
  <c r="A348" i="51"/>
  <c r="A349" i="51"/>
  <c r="A350" i="51"/>
  <c r="A351" i="51"/>
  <c r="A352" i="51"/>
  <c r="A353" i="51"/>
  <c r="A354" i="51"/>
  <c r="A355" i="51"/>
  <c r="A356" i="51"/>
  <c r="A357" i="51"/>
  <c r="A358" i="51"/>
  <c r="A359" i="51"/>
  <c r="A360" i="51"/>
  <c r="A361" i="51"/>
  <c r="A362" i="51"/>
  <c r="A363" i="51"/>
  <c r="A364" i="51"/>
  <c r="A365" i="51"/>
  <c r="A366" i="51"/>
  <c r="A367" i="51"/>
  <c r="A368" i="51"/>
  <c r="A369" i="51"/>
  <c r="A370" i="51"/>
  <c r="A371" i="51"/>
  <c r="A372" i="51"/>
  <c r="A373" i="51"/>
  <c r="A374" i="51"/>
  <c r="A375" i="51"/>
  <c r="A376" i="51"/>
  <c r="A377" i="51"/>
  <c r="A378" i="51"/>
  <c r="A379" i="51"/>
  <c r="A380" i="51"/>
  <c r="A381" i="51"/>
  <c r="A382" i="51"/>
  <c r="A383" i="51"/>
  <c r="A384" i="51"/>
  <c r="A385" i="51"/>
  <c r="A386" i="51"/>
  <c r="A387" i="51"/>
  <c r="A388" i="51"/>
  <c r="A389" i="51"/>
  <c r="A390" i="51"/>
  <c r="A391" i="51"/>
  <c r="A392" i="51"/>
  <c r="A393" i="51"/>
  <c r="A394" i="51"/>
  <c r="A395" i="51"/>
  <c r="A396" i="51"/>
  <c r="A397" i="51"/>
  <c r="A398" i="51"/>
  <c r="A399" i="51"/>
  <c r="A400" i="51"/>
  <c r="A401" i="51"/>
  <c r="A402" i="51"/>
  <c r="A403" i="51"/>
  <c r="A404" i="51"/>
  <c r="A405" i="51"/>
  <c r="A406" i="51"/>
  <c r="A407" i="51"/>
  <c r="A408" i="51"/>
  <c r="A409" i="51"/>
  <c r="A410" i="51"/>
  <c r="A411" i="51"/>
  <c r="A412" i="51"/>
  <c r="A413" i="51"/>
  <c r="A414" i="51"/>
  <c r="A415" i="51"/>
  <c r="A416" i="51"/>
  <c r="A417" i="51"/>
  <c r="A418" i="51"/>
  <c r="A419" i="51"/>
  <c r="A420" i="51"/>
  <c r="A421" i="51"/>
  <c r="A422" i="51"/>
  <c r="A423" i="51"/>
  <c r="A424" i="51"/>
  <c r="A425" i="51"/>
  <c r="A426" i="51"/>
  <c r="A427" i="51"/>
  <c r="A428" i="51"/>
  <c r="A429" i="51"/>
  <c r="A430" i="51"/>
  <c r="A431" i="51"/>
  <c r="A432" i="51"/>
  <c r="A433" i="51"/>
  <c r="A434" i="51"/>
  <c r="A435" i="51"/>
  <c r="A436" i="51"/>
  <c r="A437" i="51"/>
  <c r="A438" i="51"/>
  <c r="A439" i="51"/>
  <c r="A440" i="51"/>
  <c r="A441" i="51"/>
  <c r="A442" i="51"/>
  <c r="A443" i="51"/>
  <c r="A444" i="51"/>
  <c r="A445" i="51"/>
  <c r="A446" i="51"/>
  <c r="A447" i="51"/>
  <c r="A448" i="51"/>
  <c r="A449" i="51"/>
  <c r="A450" i="51"/>
  <c r="A451" i="51"/>
  <c r="A452" i="51"/>
  <c r="A453" i="51"/>
  <c r="A454" i="51"/>
  <c r="A455" i="51"/>
  <c r="A456" i="51"/>
  <c r="A457" i="51"/>
  <c r="A458" i="51"/>
  <c r="A459" i="51"/>
  <c r="A460" i="51"/>
  <c r="A461" i="51"/>
  <c r="A462" i="51"/>
  <c r="A463" i="51"/>
  <c r="A464" i="51"/>
  <c r="A465" i="51"/>
  <c r="A466" i="51"/>
  <c r="A467" i="51"/>
  <c r="A468" i="51"/>
  <c r="A469" i="51"/>
  <c r="A470" i="51"/>
  <c r="A471" i="51"/>
  <c r="A472" i="51"/>
  <c r="A473" i="51"/>
  <c r="A474" i="51"/>
  <c r="A475" i="51"/>
  <c r="A476" i="51"/>
  <c r="A477" i="51"/>
  <c r="A478" i="51"/>
  <c r="A479" i="51"/>
  <c r="A480" i="51"/>
  <c r="A481" i="51"/>
  <c r="A482" i="51"/>
  <c r="A483" i="51"/>
  <c r="A484" i="51"/>
  <c r="A485" i="51"/>
  <c r="A486" i="51"/>
  <c r="A487" i="51"/>
  <c r="A488" i="51"/>
  <c r="A489" i="51"/>
  <c r="A490" i="51"/>
  <c r="A491" i="51"/>
  <c r="A492" i="51"/>
  <c r="A493" i="51"/>
  <c r="A494" i="51"/>
  <c r="A495" i="51"/>
  <c r="A496" i="51"/>
  <c r="A497" i="51"/>
  <c r="A498" i="51"/>
  <c r="L1" i="28"/>
  <c r="H2" i="28"/>
  <c r="L2" i="28"/>
  <c r="L3" i="28"/>
  <c r="H4" i="28"/>
  <c r="H55" i="41"/>
  <c r="N7" i="28"/>
  <c r="D18" i="28"/>
  <c r="F18" i="28"/>
  <c r="J18" i="28"/>
  <c r="L18" i="28"/>
  <c r="N18" i="28"/>
  <c r="P18" i="28"/>
  <c r="R18" i="28"/>
  <c r="D19" i="28"/>
  <c r="F19" i="28"/>
  <c r="J19" i="28"/>
  <c r="L19" i="28"/>
  <c r="N19" i="28"/>
  <c r="P19" i="28"/>
  <c r="R19" i="28"/>
  <c r="D21" i="28"/>
  <c r="D20" i="28"/>
  <c r="F21" i="28"/>
  <c r="F20" i="28"/>
  <c r="H21" i="28"/>
  <c r="H20" i="28"/>
  <c r="J21" i="28"/>
  <c r="J20" i="28"/>
  <c r="L21" i="28"/>
  <c r="L20" i="28"/>
  <c r="N21" i="28"/>
  <c r="N20" i="28"/>
  <c r="O21" i="28"/>
  <c r="O20" i="28"/>
  <c r="P21" i="28"/>
  <c r="P20" i="28"/>
  <c r="R21" i="28"/>
  <c r="R20" i="28"/>
  <c r="S21" i="28"/>
  <c r="S20" i="28"/>
  <c r="D506" i="28"/>
  <c r="F506" i="28"/>
  <c r="H506" i="28"/>
  <c r="J506" i="28"/>
  <c r="L506" i="28"/>
  <c r="N506" i="28"/>
  <c r="P506" i="28"/>
  <c r="R506" i="28"/>
  <c r="P508" i="28"/>
  <c r="Q21" i="28"/>
  <c r="A517" i="28"/>
  <c r="J1" i="30"/>
  <c r="G2" i="30"/>
  <c r="J2" i="30"/>
  <c r="J3" i="30"/>
  <c r="Q6" i="30"/>
  <c r="V11" i="30"/>
  <c r="W11" i="30"/>
  <c r="V12" i="30"/>
  <c r="W12" i="30"/>
  <c r="J13" i="30"/>
  <c r="V13" i="30"/>
  <c r="W13" i="30"/>
  <c r="O14" i="30"/>
  <c r="V14" i="30"/>
  <c r="W14" i="30"/>
  <c r="V15" i="30"/>
  <c r="W15" i="30"/>
  <c r="J16" i="30"/>
  <c r="O16" i="30"/>
  <c r="V16" i="30"/>
  <c r="W16" i="30"/>
  <c r="J17" i="30"/>
  <c r="O17" i="30"/>
  <c r="V17" i="30"/>
  <c r="W17" i="30"/>
  <c r="J18" i="30"/>
  <c r="N18" i="30"/>
  <c r="V18" i="30"/>
  <c r="W18" i="30"/>
  <c r="O19" i="30"/>
  <c r="V19" i="30"/>
  <c r="W19" i="30"/>
  <c r="N20" i="30"/>
  <c r="V20" i="30"/>
  <c r="W20" i="30"/>
  <c r="J21" i="30"/>
  <c r="N21" i="30"/>
  <c r="V21" i="30"/>
  <c r="W21" i="30"/>
  <c r="V22" i="30"/>
  <c r="W22" i="30"/>
  <c r="N23" i="30"/>
  <c r="V23" i="30"/>
  <c r="W23" i="30"/>
  <c r="N24" i="30"/>
  <c r="V24" i="30"/>
  <c r="W24" i="30"/>
  <c r="V25" i="30"/>
  <c r="W25" i="30"/>
  <c r="V26" i="30"/>
  <c r="W26" i="30"/>
  <c r="J27" i="30"/>
  <c r="N27" i="30"/>
  <c r="V27" i="30"/>
  <c r="W27" i="30"/>
  <c r="V28" i="30"/>
  <c r="W28" i="30"/>
  <c r="V29" i="30"/>
  <c r="W29" i="30"/>
  <c r="N30" i="30"/>
  <c r="V30" i="30"/>
  <c r="W30" i="30"/>
  <c r="J31" i="30"/>
  <c r="N31" i="30"/>
  <c r="V31" i="30"/>
  <c r="W31" i="30"/>
  <c r="V32" i="30"/>
  <c r="W32" i="30"/>
  <c r="O33" i="30"/>
  <c r="N34" i="30"/>
  <c r="V34" i="30"/>
  <c r="W34" i="30"/>
  <c r="O35" i="30"/>
  <c r="Q35" i="30"/>
  <c r="V35" i="30"/>
  <c r="W35" i="30"/>
  <c r="K36" i="30"/>
  <c r="O36" i="30"/>
  <c r="Q36" i="30"/>
  <c r="V36" i="30"/>
  <c r="W36" i="30"/>
  <c r="J37" i="30"/>
  <c r="N37" i="30"/>
  <c r="Q37" i="30"/>
  <c r="V37" i="30"/>
  <c r="W37" i="30"/>
  <c r="J38" i="30"/>
  <c r="O38" i="30"/>
  <c r="Q38" i="30"/>
  <c r="V38" i="30"/>
  <c r="W38" i="30"/>
  <c r="N39" i="30"/>
  <c r="Q39" i="30"/>
  <c r="V39" i="30"/>
  <c r="W39" i="30"/>
  <c r="J40" i="30"/>
  <c r="O40" i="30"/>
  <c r="Q40" i="30"/>
  <c r="V40" i="30"/>
  <c r="W40" i="30"/>
  <c r="K41" i="30"/>
  <c r="O41" i="30"/>
  <c r="Q41" i="30"/>
  <c r="V41" i="30"/>
  <c r="W41" i="30"/>
  <c r="J42" i="30"/>
  <c r="N42" i="30"/>
  <c r="Q42" i="30"/>
  <c r="V42" i="30"/>
  <c r="W42" i="30"/>
  <c r="K43" i="30"/>
  <c r="O43" i="30"/>
  <c r="Q43" i="30"/>
  <c r="V43" i="30"/>
  <c r="W43" i="30"/>
  <c r="Q44" i="30"/>
  <c r="V44" i="30"/>
  <c r="W44" i="30"/>
  <c r="K45" i="30"/>
  <c r="N45" i="30"/>
  <c r="Q45" i="30"/>
  <c r="V45" i="30"/>
  <c r="W45" i="30"/>
  <c r="J46" i="30"/>
  <c r="N46" i="30"/>
  <c r="Q46" i="30"/>
  <c r="V46" i="30"/>
  <c r="W46" i="30"/>
  <c r="K47" i="30"/>
  <c r="Q47" i="30"/>
  <c r="V47" i="30"/>
  <c r="W47" i="30"/>
  <c r="O48" i="30"/>
  <c r="Q48" i="30"/>
  <c r="V48" i="30"/>
  <c r="W48" i="30"/>
  <c r="K49" i="30"/>
  <c r="O49" i="30"/>
  <c r="Q49" i="30"/>
  <c r="V49" i="30"/>
  <c r="W49" i="30"/>
  <c r="J50" i="30"/>
  <c r="Q50" i="30"/>
  <c r="V50" i="30"/>
  <c r="W50" i="30"/>
  <c r="K51" i="30"/>
  <c r="N51" i="30"/>
  <c r="Q51" i="30"/>
  <c r="V51" i="30"/>
  <c r="W51" i="30"/>
  <c r="J52" i="30"/>
  <c r="N52" i="30"/>
  <c r="Q52" i="30"/>
  <c r="V52" i="30"/>
  <c r="W52" i="30"/>
  <c r="J53" i="30"/>
  <c r="N53" i="30"/>
  <c r="Q53" i="30"/>
  <c r="V53" i="30"/>
  <c r="W53" i="30"/>
  <c r="J54" i="30"/>
  <c r="O54" i="30"/>
  <c r="Q54" i="30"/>
  <c r="V54" i="30"/>
  <c r="W54" i="30"/>
  <c r="J55" i="30"/>
  <c r="N55" i="30"/>
  <c r="Q55" i="30"/>
  <c r="V55" i="30"/>
  <c r="W55" i="30"/>
  <c r="N56" i="30"/>
  <c r="Q56" i="30"/>
  <c r="V56" i="30"/>
  <c r="W56" i="30"/>
  <c r="N57" i="30"/>
  <c r="Q57" i="30"/>
  <c r="V57" i="30"/>
  <c r="W57" i="30"/>
  <c r="N58" i="30"/>
  <c r="Q58" i="30"/>
  <c r="V58" i="30"/>
  <c r="W58" i="30"/>
  <c r="O59" i="30"/>
  <c r="Q59" i="30"/>
  <c r="V59" i="30"/>
  <c r="W59" i="30"/>
  <c r="J60" i="30"/>
  <c r="O60" i="30"/>
  <c r="Q60" i="30"/>
  <c r="V60" i="30"/>
  <c r="W60" i="30"/>
  <c r="J61" i="30"/>
  <c r="N61" i="30"/>
  <c r="Q61" i="30"/>
  <c r="V61" i="30"/>
  <c r="W61" i="30"/>
  <c r="N62" i="30"/>
  <c r="Q62" i="30"/>
  <c r="V62" i="30"/>
  <c r="W62" i="30"/>
  <c r="J63" i="30"/>
  <c r="O63" i="30"/>
  <c r="Q63" i="30"/>
  <c r="V63" i="30"/>
  <c r="W63" i="30"/>
  <c r="K64" i="30"/>
  <c r="O64" i="30"/>
  <c r="Q64" i="30"/>
  <c r="V64" i="30"/>
  <c r="W64" i="30"/>
  <c r="K65" i="30"/>
  <c r="Q65" i="30"/>
  <c r="V65" i="30"/>
  <c r="W65" i="30"/>
  <c r="K66" i="30"/>
  <c r="O66" i="30"/>
  <c r="Q66" i="30"/>
  <c r="V66" i="30"/>
  <c r="W66" i="30"/>
  <c r="K67" i="30"/>
  <c r="O67" i="30"/>
  <c r="Q67" i="30"/>
  <c r="V67" i="30"/>
  <c r="W67" i="30"/>
  <c r="N68" i="30"/>
  <c r="Q68" i="30"/>
  <c r="V68" i="30"/>
  <c r="W68" i="30"/>
  <c r="Q69" i="30"/>
  <c r="V69" i="30"/>
  <c r="W69" i="30"/>
  <c r="N70" i="30"/>
  <c r="Q70" i="30"/>
  <c r="V70" i="30"/>
  <c r="W70" i="30"/>
  <c r="O71" i="30"/>
  <c r="Q71" i="30"/>
  <c r="V71" i="30"/>
  <c r="W71" i="30"/>
  <c r="Q72" i="30"/>
  <c r="V72" i="30"/>
  <c r="W72" i="30"/>
  <c r="N73" i="30"/>
  <c r="Q73" i="30"/>
  <c r="V73" i="30"/>
  <c r="W73" i="30"/>
  <c r="K74" i="30"/>
  <c r="N74" i="30"/>
  <c r="Q74" i="30"/>
  <c r="V74" i="30"/>
  <c r="W74" i="30"/>
  <c r="J75" i="30"/>
  <c r="N75" i="30"/>
  <c r="Q75" i="30"/>
  <c r="V75" i="30"/>
  <c r="W75" i="30"/>
  <c r="J76" i="30"/>
  <c r="Q76" i="30"/>
  <c r="V76" i="30"/>
  <c r="W76" i="30"/>
  <c r="N77" i="30"/>
  <c r="Q77" i="30"/>
  <c r="V77" i="30"/>
  <c r="W77" i="30"/>
  <c r="Q78" i="30"/>
  <c r="V78" i="30"/>
  <c r="W78" i="30"/>
  <c r="J79" i="30"/>
  <c r="O79" i="30"/>
  <c r="Q79" i="30"/>
  <c r="V79" i="30"/>
  <c r="W79" i="30"/>
  <c r="J80" i="30"/>
  <c r="Q80" i="30"/>
  <c r="V80" i="30"/>
  <c r="W80" i="30"/>
  <c r="N81" i="30"/>
  <c r="Q81" i="30"/>
  <c r="V81" i="30"/>
  <c r="W81" i="30"/>
  <c r="J82" i="30"/>
  <c r="O82" i="30"/>
  <c r="Q82" i="30"/>
  <c r="V82" i="30"/>
  <c r="W82" i="30"/>
  <c r="K83" i="30"/>
  <c r="N83" i="30"/>
  <c r="Q83" i="30"/>
  <c r="V83" i="30"/>
  <c r="W83" i="30"/>
  <c r="J84" i="30"/>
  <c r="O84" i="30"/>
  <c r="Q84" i="30"/>
  <c r="V84" i="30"/>
  <c r="W84" i="30"/>
  <c r="K85" i="30"/>
  <c r="N85" i="30"/>
  <c r="Q85" i="30"/>
  <c r="V85" i="30"/>
  <c r="W85" i="30"/>
  <c r="N86" i="30"/>
  <c r="Q86" i="30"/>
  <c r="V86" i="30"/>
  <c r="W86" i="30"/>
  <c r="K87" i="30"/>
  <c r="O87" i="30"/>
  <c r="Q87" i="30"/>
  <c r="V87" i="30"/>
  <c r="W87" i="30"/>
  <c r="N88" i="30"/>
  <c r="Q88" i="30"/>
  <c r="V88" i="30"/>
  <c r="W88" i="30"/>
  <c r="J89" i="30"/>
  <c r="O89" i="30"/>
  <c r="Q89" i="30"/>
  <c r="V89" i="30"/>
  <c r="W89" i="30"/>
  <c r="J90" i="30"/>
  <c r="Q90" i="30"/>
  <c r="V90" i="30"/>
  <c r="W90" i="30"/>
  <c r="K91" i="30"/>
  <c r="N91" i="30"/>
  <c r="Q91" i="30"/>
  <c r="V91" i="30"/>
  <c r="W91" i="30"/>
  <c r="N92" i="30"/>
  <c r="Q92" i="30"/>
  <c r="V92" i="30"/>
  <c r="W92" i="30"/>
  <c r="K93" i="30"/>
  <c r="O93" i="30"/>
  <c r="Q93" i="30"/>
  <c r="V93" i="30"/>
  <c r="W93" i="30"/>
  <c r="K94" i="30"/>
  <c r="Q94" i="30"/>
  <c r="V94" i="30"/>
  <c r="W94" i="30"/>
  <c r="J95" i="30"/>
  <c r="Q95" i="30"/>
  <c r="V95" i="30"/>
  <c r="W95" i="30"/>
  <c r="J96" i="30"/>
  <c r="O96" i="30"/>
  <c r="Q96" i="30"/>
  <c r="V96" i="30"/>
  <c r="W96" i="30"/>
  <c r="J97" i="30"/>
  <c r="O97" i="30"/>
  <c r="Q97" i="30"/>
  <c r="V97" i="30"/>
  <c r="W97" i="30"/>
  <c r="O98" i="30"/>
  <c r="Q98" i="30"/>
  <c r="V98" i="30"/>
  <c r="W98" i="30"/>
  <c r="J99" i="30"/>
  <c r="N99" i="30"/>
  <c r="Q99" i="30"/>
  <c r="V99" i="30"/>
  <c r="W99" i="30"/>
  <c r="J100" i="30"/>
  <c r="N100" i="30"/>
  <c r="Q100" i="30"/>
  <c r="V100" i="30"/>
  <c r="W100" i="30"/>
  <c r="Q101" i="30"/>
  <c r="V101" i="30"/>
  <c r="W101" i="30"/>
  <c r="K102" i="30"/>
  <c r="N102" i="30"/>
  <c r="Q102" i="30"/>
  <c r="V102" i="30"/>
  <c r="W102" i="30"/>
  <c r="J103" i="30"/>
  <c r="O103" i="30"/>
  <c r="Q103" i="30"/>
  <c r="V103" i="30"/>
  <c r="W103" i="30"/>
  <c r="J104" i="30"/>
  <c r="O104" i="30"/>
  <c r="Q104" i="30"/>
  <c r="V104" i="30"/>
  <c r="W104" i="30"/>
  <c r="K105" i="30"/>
  <c r="Q105" i="30"/>
  <c r="V105" i="30"/>
  <c r="W105" i="30"/>
  <c r="J106" i="30"/>
  <c r="Q106" i="30"/>
  <c r="V106" i="30"/>
  <c r="W106" i="30"/>
  <c r="K109" i="30"/>
  <c r="K110" i="30"/>
  <c r="C111" i="30"/>
  <c r="K111" i="30"/>
  <c r="Q111" i="30"/>
  <c r="K112" i="30"/>
  <c r="D114" i="30"/>
  <c r="G114" i="30"/>
  <c r="J116" i="30"/>
  <c r="K116" i="30"/>
  <c r="N116" i="30"/>
  <c r="O116" i="30"/>
  <c r="R116" i="30"/>
  <c r="S116" i="30"/>
  <c r="V116" i="30"/>
  <c r="W116" i="30"/>
  <c r="J117" i="30"/>
  <c r="K117" i="30"/>
  <c r="N117" i="30"/>
  <c r="O117" i="30"/>
  <c r="R117" i="30"/>
  <c r="S117" i="30"/>
  <c r="V117" i="30"/>
  <c r="W117" i="30"/>
  <c r="J118" i="30"/>
  <c r="K118" i="30"/>
  <c r="N118" i="30"/>
  <c r="O118" i="30"/>
  <c r="R118" i="30"/>
  <c r="S118" i="30"/>
  <c r="V118" i="30"/>
  <c r="W118" i="30"/>
  <c r="J119" i="30"/>
  <c r="K119" i="30"/>
  <c r="N119" i="30"/>
  <c r="O119" i="30"/>
  <c r="R119" i="30"/>
  <c r="S119" i="30"/>
  <c r="V119" i="30"/>
  <c r="W119" i="30"/>
  <c r="J120" i="30"/>
  <c r="K120" i="30"/>
  <c r="N120" i="30"/>
  <c r="O120" i="30"/>
  <c r="R120" i="30"/>
  <c r="S120" i="30"/>
  <c r="V120" i="30"/>
  <c r="W120" i="30"/>
  <c r="J121" i="30"/>
  <c r="K121" i="30"/>
  <c r="N121" i="30"/>
  <c r="O121" i="30"/>
  <c r="R121" i="30"/>
  <c r="S121" i="30"/>
  <c r="V121" i="30"/>
  <c r="W121" i="30"/>
  <c r="J122" i="30"/>
  <c r="K122" i="30"/>
  <c r="N122" i="30"/>
  <c r="O122" i="30"/>
  <c r="R122" i="30"/>
  <c r="S122" i="30"/>
  <c r="V122" i="30"/>
  <c r="W122" i="30"/>
  <c r="J123" i="30"/>
  <c r="K123" i="30"/>
  <c r="N123" i="30"/>
  <c r="O123" i="30"/>
  <c r="R123" i="30"/>
  <c r="S123" i="30"/>
  <c r="V123" i="30"/>
  <c r="W123" i="30"/>
  <c r="J124" i="30"/>
  <c r="K124" i="30"/>
  <c r="N124" i="30"/>
  <c r="O124" i="30"/>
  <c r="R124" i="30"/>
  <c r="S124" i="30"/>
  <c r="V124" i="30"/>
  <c r="W124" i="30"/>
  <c r="J125" i="30"/>
  <c r="K125" i="30"/>
  <c r="N125" i="30"/>
  <c r="O125" i="30"/>
  <c r="R125" i="30"/>
  <c r="S125" i="30"/>
  <c r="V125" i="30"/>
  <c r="W125" i="30"/>
  <c r="J126" i="30"/>
  <c r="K126" i="30"/>
  <c r="N126" i="30"/>
  <c r="O126" i="30"/>
  <c r="R126" i="30"/>
  <c r="S126" i="30"/>
  <c r="V126" i="30"/>
  <c r="W126" i="30"/>
  <c r="J127" i="30"/>
  <c r="K127" i="30"/>
  <c r="N127" i="30"/>
  <c r="O127" i="30"/>
  <c r="R127" i="30"/>
  <c r="S127" i="30"/>
  <c r="V127" i="30"/>
  <c r="W127" i="30"/>
  <c r="J128" i="30"/>
  <c r="K128" i="30"/>
  <c r="N128" i="30"/>
  <c r="O128" i="30"/>
  <c r="R128" i="30"/>
  <c r="S128" i="30"/>
  <c r="V128" i="30"/>
  <c r="W128" i="30"/>
  <c r="J129" i="30"/>
  <c r="K129" i="30"/>
  <c r="N129" i="30"/>
  <c r="O129" i="30"/>
  <c r="R129" i="30"/>
  <c r="S129" i="30"/>
  <c r="V129" i="30"/>
  <c r="W129" i="30"/>
  <c r="J130" i="30"/>
  <c r="K130" i="30"/>
  <c r="N130" i="30"/>
  <c r="O130" i="30"/>
  <c r="R130" i="30"/>
  <c r="S130" i="30"/>
  <c r="V130" i="30"/>
  <c r="W130" i="30"/>
  <c r="J131" i="30"/>
  <c r="K131" i="30"/>
  <c r="N131" i="30"/>
  <c r="O131" i="30"/>
  <c r="R131" i="30"/>
  <c r="S131" i="30"/>
  <c r="V131" i="30"/>
  <c r="W131" i="30"/>
  <c r="J132" i="30"/>
  <c r="K132" i="30"/>
  <c r="N132" i="30"/>
  <c r="O132" i="30"/>
  <c r="R132" i="30"/>
  <c r="S132" i="30"/>
  <c r="V132" i="30"/>
  <c r="W132" i="30"/>
  <c r="J133" i="30"/>
  <c r="K133" i="30"/>
  <c r="N133" i="30"/>
  <c r="O133" i="30"/>
  <c r="R133" i="30"/>
  <c r="S133" i="30"/>
  <c r="V133" i="30"/>
  <c r="W133" i="30"/>
  <c r="J134" i="30"/>
  <c r="K134" i="30"/>
  <c r="N134" i="30"/>
  <c r="O134" i="30"/>
  <c r="R134" i="30"/>
  <c r="S134" i="30"/>
  <c r="V134" i="30"/>
  <c r="W134" i="30"/>
  <c r="J135" i="30"/>
  <c r="K135" i="30"/>
  <c r="N135" i="30"/>
  <c r="O135" i="30"/>
  <c r="R135" i="30"/>
  <c r="S135" i="30"/>
  <c r="V135" i="30"/>
  <c r="W135" i="30"/>
  <c r="J136" i="30"/>
  <c r="K136" i="30"/>
  <c r="N136" i="30"/>
  <c r="O136" i="30"/>
  <c r="R136" i="30"/>
  <c r="S136" i="30"/>
  <c r="V136" i="30"/>
  <c r="W136" i="30"/>
  <c r="J137" i="30"/>
  <c r="K137" i="30"/>
  <c r="N137" i="30"/>
  <c r="O137" i="30"/>
  <c r="R137" i="30"/>
  <c r="S137" i="30"/>
  <c r="V137" i="30"/>
  <c r="W137" i="30"/>
  <c r="J138" i="30"/>
  <c r="K138" i="30"/>
  <c r="N138" i="30"/>
  <c r="O138" i="30"/>
  <c r="R138" i="30"/>
  <c r="S138" i="30"/>
  <c r="V138" i="30"/>
  <c r="W138" i="30"/>
  <c r="J139" i="30"/>
  <c r="K139" i="30"/>
  <c r="N139" i="30"/>
  <c r="O139" i="30"/>
  <c r="R139" i="30"/>
  <c r="S139" i="30"/>
  <c r="V139" i="30"/>
  <c r="W139" i="30"/>
  <c r="J140" i="30"/>
  <c r="K140" i="30"/>
  <c r="N140" i="30"/>
  <c r="O140" i="30"/>
  <c r="R140" i="30"/>
  <c r="S140" i="30"/>
  <c r="V140" i="30"/>
  <c r="W140" i="30"/>
  <c r="J141" i="30"/>
  <c r="K141" i="30"/>
  <c r="N141" i="30"/>
  <c r="O141" i="30"/>
  <c r="R141" i="30"/>
  <c r="S141" i="30"/>
  <c r="V141" i="30"/>
  <c r="W141" i="30"/>
  <c r="J142" i="30"/>
  <c r="K142" i="30"/>
  <c r="N142" i="30"/>
  <c r="O142" i="30"/>
  <c r="R142" i="30"/>
  <c r="S142" i="30"/>
  <c r="V142" i="30"/>
  <c r="W142" i="30"/>
  <c r="J143" i="30"/>
  <c r="K143" i="30"/>
  <c r="N143" i="30"/>
  <c r="O143" i="30"/>
  <c r="R143" i="30"/>
  <c r="S143" i="30"/>
  <c r="V143" i="30"/>
  <c r="W143" i="30"/>
  <c r="J144" i="30"/>
  <c r="K144" i="30"/>
  <c r="N144" i="30"/>
  <c r="O144" i="30"/>
  <c r="R144" i="30"/>
  <c r="S144" i="30"/>
  <c r="V144" i="30"/>
  <c r="W144" i="30"/>
  <c r="J145" i="30"/>
  <c r="K145" i="30"/>
  <c r="N145" i="30"/>
  <c r="O145" i="30"/>
  <c r="R145" i="30"/>
  <c r="S145" i="30"/>
  <c r="V145" i="30"/>
  <c r="W145" i="30"/>
  <c r="J146" i="30"/>
  <c r="K146" i="30"/>
  <c r="N146" i="30"/>
  <c r="O146" i="30"/>
  <c r="R146" i="30"/>
  <c r="S146" i="30"/>
  <c r="V146" i="30"/>
  <c r="W146" i="30"/>
  <c r="J147" i="30"/>
  <c r="K147" i="30"/>
  <c r="N147" i="30"/>
  <c r="O147" i="30"/>
  <c r="R147" i="30"/>
  <c r="S147" i="30"/>
  <c r="V147" i="30"/>
  <c r="W147" i="30"/>
  <c r="J148" i="30"/>
  <c r="K148" i="30"/>
  <c r="N148" i="30"/>
  <c r="O148" i="30"/>
  <c r="R148" i="30"/>
  <c r="S148" i="30"/>
  <c r="V148" i="30"/>
  <c r="W148" i="30"/>
  <c r="J149" i="30"/>
  <c r="K149" i="30"/>
  <c r="N149" i="30"/>
  <c r="O149" i="30"/>
  <c r="R149" i="30"/>
  <c r="S149" i="30"/>
  <c r="V149" i="30"/>
  <c r="W149" i="30"/>
  <c r="J150" i="30"/>
  <c r="K150" i="30"/>
  <c r="N150" i="30"/>
  <c r="O150" i="30"/>
  <c r="R150" i="30"/>
  <c r="S150" i="30"/>
  <c r="V150" i="30"/>
  <c r="W150" i="30"/>
  <c r="J151" i="30"/>
  <c r="K151" i="30"/>
  <c r="N151" i="30"/>
  <c r="O151" i="30"/>
  <c r="R151" i="30"/>
  <c r="S151" i="30"/>
  <c r="V151" i="30"/>
  <c r="W151" i="30"/>
  <c r="J152" i="30"/>
  <c r="K152" i="30"/>
  <c r="N152" i="30"/>
  <c r="O152" i="30"/>
  <c r="R152" i="30"/>
  <c r="S152" i="30"/>
  <c r="V152" i="30"/>
  <c r="W152" i="30"/>
  <c r="J153" i="30"/>
  <c r="K153" i="30"/>
  <c r="N153" i="30"/>
  <c r="O153" i="30"/>
  <c r="R153" i="30"/>
  <c r="S153" i="30"/>
  <c r="V153" i="30"/>
  <c r="W153" i="30"/>
  <c r="J154" i="30"/>
  <c r="K154" i="30"/>
  <c r="N154" i="30"/>
  <c r="O154" i="30"/>
  <c r="R154" i="30"/>
  <c r="S154" i="30"/>
  <c r="V154" i="30"/>
  <c r="W154" i="30"/>
  <c r="J155" i="30"/>
  <c r="K155" i="30"/>
  <c r="N155" i="30"/>
  <c r="O155" i="30"/>
  <c r="R155" i="30"/>
  <c r="S155" i="30"/>
  <c r="V155" i="30"/>
  <c r="W155" i="30"/>
  <c r="J156" i="30"/>
  <c r="K156" i="30"/>
  <c r="N156" i="30"/>
  <c r="O156" i="30"/>
  <c r="R156" i="30"/>
  <c r="S156" i="30"/>
  <c r="V156" i="30"/>
  <c r="W156" i="30"/>
  <c r="J157" i="30"/>
  <c r="K157" i="30"/>
  <c r="O157" i="30"/>
  <c r="N157" i="30"/>
  <c r="R157" i="30"/>
  <c r="S157" i="30"/>
  <c r="V157" i="30"/>
  <c r="W157" i="30"/>
  <c r="J158" i="30"/>
  <c r="K158" i="30"/>
  <c r="N158" i="30"/>
  <c r="O158" i="30"/>
  <c r="R158" i="30"/>
  <c r="S158" i="30"/>
  <c r="V158" i="30"/>
  <c r="W158" i="30"/>
  <c r="J159" i="30"/>
  <c r="K159" i="30"/>
  <c r="N159" i="30"/>
  <c r="O159" i="30"/>
  <c r="R159" i="30"/>
  <c r="S159" i="30"/>
  <c r="V159" i="30"/>
  <c r="W159" i="30"/>
  <c r="J160" i="30"/>
  <c r="K160" i="30"/>
  <c r="N160" i="30"/>
  <c r="O160" i="30"/>
  <c r="R160" i="30"/>
  <c r="S160" i="30"/>
  <c r="V160" i="30"/>
  <c r="W160" i="30"/>
  <c r="J161" i="30"/>
  <c r="K161" i="30"/>
  <c r="N161" i="30"/>
  <c r="O161" i="30"/>
  <c r="R161" i="30"/>
  <c r="S161" i="30"/>
  <c r="V161" i="30"/>
  <c r="W161" i="30"/>
  <c r="J162" i="30"/>
  <c r="K162" i="30"/>
  <c r="N162" i="30"/>
  <c r="O162" i="30"/>
  <c r="R162" i="30"/>
  <c r="S162" i="30"/>
  <c r="V162" i="30"/>
  <c r="W162" i="30"/>
  <c r="J163" i="30"/>
  <c r="K163" i="30"/>
  <c r="N163" i="30"/>
  <c r="O163" i="30"/>
  <c r="R163" i="30"/>
  <c r="S163" i="30"/>
  <c r="V163" i="30"/>
  <c r="W163" i="30"/>
  <c r="J164" i="30"/>
  <c r="K164" i="30"/>
  <c r="N164" i="30"/>
  <c r="O164" i="30"/>
  <c r="R164" i="30"/>
  <c r="S164" i="30"/>
  <c r="V164" i="30"/>
  <c r="W164" i="30"/>
  <c r="J165" i="30"/>
  <c r="K165" i="30"/>
  <c r="N165" i="30"/>
  <c r="O165" i="30"/>
  <c r="R165" i="30"/>
  <c r="S165" i="30"/>
  <c r="V165" i="30"/>
  <c r="W165" i="30"/>
  <c r="J166" i="30"/>
  <c r="K166" i="30"/>
  <c r="N166" i="30"/>
  <c r="O166" i="30"/>
  <c r="R166" i="30"/>
  <c r="S166" i="30"/>
  <c r="V166" i="30"/>
  <c r="W166" i="30"/>
  <c r="J167" i="30"/>
  <c r="K167" i="30"/>
  <c r="N167" i="30"/>
  <c r="O167" i="30"/>
  <c r="R167" i="30"/>
  <c r="S167" i="30"/>
  <c r="V167" i="30"/>
  <c r="W167" i="30"/>
  <c r="J168" i="30"/>
  <c r="K168" i="30"/>
  <c r="O168" i="30"/>
  <c r="N168" i="30"/>
  <c r="R168" i="30"/>
  <c r="S168" i="30"/>
  <c r="V168" i="30"/>
  <c r="W168" i="30"/>
  <c r="J169" i="30"/>
  <c r="K169" i="30"/>
  <c r="N169" i="30"/>
  <c r="O169" i="30"/>
  <c r="R169" i="30"/>
  <c r="S169" i="30"/>
  <c r="V169" i="30"/>
  <c r="W169" i="30"/>
  <c r="J170" i="30"/>
  <c r="K170" i="30"/>
  <c r="N170" i="30"/>
  <c r="O170" i="30"/>
  <c r="R170" i="30"/>
  <c r="S170" i="30"/>
  <c r="V170" i="30"/>
  <c r="W170" i="30"/>
  <c r="J171" i="30"/>
  <c r="K171" i="30"/>
  <c r="N171" i="30"/>
  <c r="O171" i="30"/>
  <c r="R171" i="30"/>
  <c r="S171" i="30"/>
  <c r="V171" i="30"/>
  <c r="W171" i="30"/>
  <c r="J172" i="30"/>
  <c r="K172" i="30"/>
  <c r="N172" i="30"/>
  <c r="O172" i="30"/>
  <c r="R172" i="30"/>
  <c r="S172" i="30"/>
  <c r="V172" i="30"/>
  <c r="W172" i="30"/>
  <c r="J173" i="30"/>
  <c r="K173" i="30"/>
  <c r="N173" i="30"/>
  <c r="O173" i="30"/>
  <c r="R173" i="30"/>
  <c r="S173" i="30"/>
  <c r="V173" i="30"/>
  <c r="W173" i="30"/>
  <c r="J174" i="30"/>
  <c r="K174" i="30"/>
  <c r="N174" i="30"/>
  <c r="O174" i="30"/>
  <c r="R174" i="30"/>
  <c r="S174" i="30"/>
  <c r="V174" i="30"/>
  <c r="W174" i="30"/>
  <c r="J175" i="30"/>
  <c r="K175" i="30"/>
  <c r="N175" i="30"/>
  <c r="O175" i="30"/>
  <c r="R175" i="30"/>
  <c r="S175" i="30"/>
  <c r="V175" i="30"/>
  <c r="W175" i="30"/>
  <c r="J176" i="30"/>
  <c r="K176" i="30"/>
  <c r="N176" i="30"/>
  <c r="O176" i="30"/>
  <c r="R176" i="30"/>
  <c r="S176" i="30"/>
  <c r="V176" i="30"/>
  <c r="W176" i="30"/>
  <c r="J177" i="30"/>
  <c r="K177" i="30"/>
  <c r="N177" i="30"/>
  <c r="O177" i="30"/>
  <c r="R177" i="30"/>
  <c r="S177" i="30"/>
  <c r="V177" i="30"/>
  <c r="W177" i="30"/>
  <c r="J178" i="30"/>
  <c r="K178" i="30"/>
  <c r="N178" i="30"/>
  <c r="O178" i="30"/>
  <c r="R178" i="30"/>
  <c r="S178" i="30"/>
  <c r="V178" i="30"/>
  <c r="W178" i="30"/>
  <c r="J179" i="30"/>
  <c r="K179" i="30"/>
  <c r="N179" i="30"/>
  <c r="O179" i="30"/>
  <c r="R179" i="30"/>
  <c r="S179" i="30"/>
  <c r="V179" i="30"/>
  <c r="W179" i="30"/>
  <c r="J180" i="30"/>
  <c r="K180" i="30"/>
  <c r="N180" i="30"/>
  <c r="O180" i="30"/>
  <c r="R180" i="30"/>
  <c r="S180" i="30"/>
  <c r="V180" i="30"/>
  <c r="W180" i="30"/>
  <c r="J181" i="30"/>
  <c r="K181" i="30"/>
  <c r="N181" i="30"/>
  <c r="O181" i="30"/>
  <c r="R181" i="30"/>
  <c r="S181" i="30"/>
  <c r="V181" i="30"/>
  <c r="W181" i="30"/>
  <c r="J182" i="30"/>
  <c r="K182" i="30"/>
  <c r="N182" i="30"/>
  <c r="O182" i="30"/>
  <c r="R182" i="30"/>
  <c r="S182" i="30"/>
  <c r="V182" i="30"/>
  <c r="W182" i="30"/>
  <c r="J183" i="30"/>
  <c r="K183" i="30"/>
  <c r="N183" i="30"/>
  <c r="O183" i="30"/>
  <c r="R183" i="30"/>
  <c r="S183" i="30"/>
  <c r="V183" i="30"/>
  <c r="W183" i="30"/>
  <c r="J184" i="30"/>
  <c r="K184" i="30"/>
  <c r="N184" i="30"/>
  <c r="O184" i="30"/>
  <c r="R184" i="30"/>
  <c r="S184" i="30"/>
  <c r="V184" i="30"/>
  <c r="W184" i="30"/>
  <c r="J185" i="30"/>
  <c r="K185" i="30"/>
  <c r="N185" i="30"/>
  <c r="O185" i="30"/>
  <c r="R185" i="30"/>
  <c r="S185" i="30"/>
  <c r="V185" i="30"/>
  <c r="W185" i="30"/>
  <c r="J186" i="30"/>
  <c r="K186" i="30"/>
  <c r="N186" i="30"/>
  <c r="O186" i="30"/>
  <c r="R186" i="30"/>
  <c r="S186" i="30"/>
  <c r="V186" i="30"/>
  <c r="W186" i="30"/>
  <c r="J187" i="30"/>
  <c r="K187" i="30"/>
  <c r="N187" i="30"/>
  <c r="O187" i="30"/>
  <c r="R187" i="30"/>
  <c r="S187" i="30"/>
  <c r="V187" i="30"/>
  <c r="W187" i="30"/>
  <c r="J188" i="30"/>
  <c r="K188" i="30"/>
  <c r="N188" i="30"/>
  <c r="O188" i="30"/>
  <c r="R188" i="30"/>
  <c r="S188" i="30"/>
  <c r="V188" i="30"/>
  <c r="W188" i="30"/>
  <c r="J189" i="30"/>
  <c r="K189" i="30"/>
  <c r="N189" i="30"/>
  <c r="O189" i="30"/>
  <c r="R189" i="30"/>
  <c r="S189" i="30"/>
  <c r="V189" i="30"/>
  <c r="W189" i="30"/>
  <c r="J190" i="30"/>
  <c r="K190" i="30"/>
  <c r="N190" i="30"/>
  <c r="O190" i="30"/>
  <c r="R190" i="30"/>
  <c r="S190" i="30"/>
  <c r="V190" i="30"/>
  <c r="W190" i="30"/>
  <c r="J191" i="30"/>
  <c r="K191" i="30"/>
  <c r="N191" i="30"/>
  <c r="O191" i="30"/>
  <c r="R191" i="30"/>
  <c r="S191" i="30"/>
  <c r="V191" i="30"/>
  <c r="W191" i="30"/>
  <c r="J192" i="30"/>
  <c r="K192" i="30"/>
  <c r="N192" i="30"/>
  <c r="O192" i="30"/>
  <c r="R192" i="30"/>
  <c r="S192" i="30"/>
  <c r="V192" i="30"/>
  <c r="W192" i="30"/>
  <c r="J193" i="30"/>
  <c r="K193" i="30"/>
  <c r="N193" i="30"/>
  <c r="O193" i="30"/>
  <c r="R193" i="30"/>
  <c r="S193" i="30"/>
  <c r="V193" i="30"/>
  <c r="W193" i="30"/>
  <c r="J194" i="30"/>
  <c r="K194" i="30"/>
  <c r="N194" i="30"/>
  <c r="O194" i="30"/>
  <c r="R194" i="30"/>
  <c r="S194" i="30"/>
  <c r="V194" i="30"/>
  <c r="W194" i="30"/>
  <c r="J195" i="30"/>
  <c r="K195" i="30"/>
  <c r="N195" i="30"/>
  <c r="O195" i="30"/>
  <c r="R195" i="30"/>
  <c r="S195" i="30"/>
  <c r="V195" i="30"/>
  <c r="W195" i="30"/>
  <c r="J196" i="30"/>
  <c r="K196" i="30"/>
  <c r="N196" i="30"/>
  <c r="O196" i="30"/>
  <c r="R196" i="30"/>
  <c r="S196" i="30"/>
  <c r="V196" i="30"/>
  <c r="W196" i="30"/>
  <c r="J197" i="30"/>
  <c r="K197" i="30"/>
  <c r="N197" i="30"/>
  <c r="O197" i="30"/>
  <c r="R197" i="30"/>
  <c r="S197" i="30"/>
  <c r="V197" i="30"/>
  <c r="W197" i="30"/>
  <c r="J198" i="30"/>
  <c r="K198" i="30"/>
  <c r="N198" i="30"/>
  <c r="O198" i="30"/>
  <c r="R198" i="30"/>
  <c r="S198" i="30"/>
  <c r="V198" i="30"/>
  <c r="W198" i="30"/>
  <c r="J199" i="30"/>
  <c r="K199" i="30"/>
  <c r="N199" i="30"/>
  <c r="O199" i="30"/>
  <c r="R199" i="30"/>
  <c r="S199" i="30"/>
  <c r="V199" i="30"/>
  <c r="W199" i="30"/>
  <c r="J200" i="30"/>
  <c r="K200" i="30"/>
  <c r="N200" i="30"/>
  <c r="O200" i="30"/>
  <c r="R200" i="30"/>
  <c r="S200" i="30"/>
  <c r="V200" i="30"/>
  <c r="W200" i="30"/>
  <c r="J201" i="30"/>
  <c r="K201" i="30"/>
  <c r="N201" i="30"/>
  <c r="O201" i="30"/>
  <c r="R201" i="30"/>
  <c r="S201" i="30"/>
  <c r="V201" i="30"/>
  <c r="W201" i="30"/>
  <c r="J202" i="30"/>
  <c r="K202" i="30"/>
  <c r="N202" i="30"/>
  <c r="O202" i="30"/>
  <c r="R202" i="30"/>
  <c r="S202" i="30"/>
  <c r="V202" i="30"/>
  <c r="W202" i="30"/>
  <c r="J203" i="30"/>
  <c r="K203" i="30"/>
  <c r="N203" i="30"/>
  <c r="O203" i="30"/>
  <c r="R203" i="30"/>
  <c r="S203" i="30"/>
  <c r="V203" i="30"/>
  <c r="W203" i="30"/>
  <c r="J204" i="30"/>
  <c r="K204" i="30"/>
  <c r="N204" i="30"/>
  <c r="O204" i="30"/>
  <c r="R204" i="30"/>
  <c r="S204" i="30"/>
  <c r="V204" i="30"/>
  <c r="W204" i="30"/>
  <c r="J205" i="30"/>
  <c r="K205" i="30"/>
  <c r="N205" i="30"/>
  <c r="O205" i="30"/>
  <c r="R205" i="30"/>
  <c r="S205" i="30"/>
  <c r="V205" i="30"/>
  <c r="W205" i="30"/>
  <c r="J206" i="30"/>
  <c r="K206" i="30"/>
  <c r="N206" i="30"/>
  <c r="O206" i="30"/>
  <c r="R206" i="30"/>
  <c r="S206" i="30"/>
  <c r="V206" i="30"/>
  <c r="W206" i="30"/>
  <c r="J207" i="30"/>
  <c r="K207" i="30"/>
  <c r="N207" i="30"/>
  <c r="O207" i="30"/>
  <c r="R207" i="30"/>
  <c r="S207" i="30"/>
  <c r="V207" i="30"/>
  <c r="W207" i="30"/>
  <c r="J208" i="30"/>
  <c r="K208" i="30"/>
  <c r="N208" i="30"/>
  <c r="O208" i="30"/>
  <c r="R208" i="30"/>
  <c r="S208" i="30"/>
  <c r="V208" i="30"/>
  <c r="W208" i="30"/>
  <c r="J209" i="30"/>
  <c r="K209" i="30"/>
  <c r="N209" i="30"/>
  <c r="O209" i="30"/>
  <c r="R209" i="30"/>
  <c r="S209" i="30"/>
  <c r="V209" i="30"/>
  <c r="W209" i="30"/>
  <c r="J210" i="30"/>
  <c r="K210" i="30"/>
  <c r="N210" i="30"/>
  <c r="O210" i="30"/>
  <c r="R210" i="30"/>
  <c r="S210" i="30"/>
  <c r="V210" i="30"/>
  <c r="W210" i="30"/>
  <c r="J211" i="30"/>
  <c r="K211" i="30"/>
  <c r="N211" i="30"/>
  <c r="O211" i="30"/>
  <c r="R211" i="30"/>
  <c r="S211" i="30"/>
  <c r="V211" i="30"/>
  <c r="W211" i="30"/>
  <c r="D213" i="30"/>
  <c r="D215" i="30"/>
  <c r="D216" i="30"/>
  <c r="C1" i="39"/>
  <c r="F1" i="39"/>
  <c r="C2" i="39"/>
  <c r="F2" i="39"/>
  <c r="C3" i="39"/>
  <c r="F3" i="39"/>
  <c r="I3" i="39"/>
  <c r="G8" i="39"/>
  <c r="G28" i="39"/>
  <c r="I28" i="39"/>
  <c r="H8" i="39"/>
  <c r="H28" i="39"/>
  <c r="G9" i="39"/>
  <c r="I9" i="39"/>
  <c r="H9" i="39"/>
  <c r="G10" i="39"/>
  <c r="I10" i="39"/>
  <c r="H10" i="39"/>
  <c r="C11" i="39"/>
  <c r="C12" i="39"/>
  <c r="G11" i="39"/>
  <c r="I11" i="39"/>
  <c r="H11" i="39"/>
  <c r="G12" i="39"/>
  <c r="I12" i="39"/>
  <c r="H12" i="39"/>
  <c r="I14" i="39"/>
  <c r="I16" i="39"/>
  <c r="G17" i="39"/>
  <c r="C29" i="39"/>
  <c r="C30" i="39"/>
  <c r="I32" i="39"/>
  <c r="I33" i="39"/>
  <c r="I34" i="39"/>
  <c r="I36" i="39"/>
  <c r="I37" i="39"/>
  <c r="I39" i="39"/>
  <c r="B40" i="39"/>
  <c r="G29" i="39"/>
  <c r="I29" i="39"/>
  <c r="C40" i="39"/>
  <c r="I40" i="39"/>
  <c r="G43" i="39"/>
  <c r="H43" i="39"/>
  <c r="I43" i="39"/>
  <c r="B49" i="39"/>
  <c r="J1" i="45"/>
  <c r="J2" i="45"/>
  <c r="J3" i="45"/>
  <c r="G4" i="45"/>
  <c r="U5" i="45"/>
  <c r="V5" i="45"/>
  <c r="U6" i="45"/>
  <c r="V6" i="45"/>
  <c r="U7" i="45"/>
  <c r="V7" i="45"/>
  <c r="U8" i="45"/>
  <c r="V8" i="45"/>
  <c r="O12" i="45"/>
  <c r="U9" i="45"/>
  <c r="V9" i="45"/>
  <c r="U10" i="45"/>
  <c r="V10" i="45"/>
  <c r="U11" i="45"/>
  <c r="V11" i="45"/>
  <c r="U12" i="45"/>
  <c r="V12" i="45"/>
  <c r="U13" i="45"/>
  <c r="V13" i="45"/>
  <c r="U14" i="45"/>
  <c r="V14" i="45"/>
  <c r="D1" i="50"/>
  <c r="I1" i="50"/>
  <c r="I2" i="50"/>
  <c r="B3" i="50"/>
  <c r="B4" i="50"/>
  <c r="C3" i="50"/>
  <c r="D3" i="50"/>
  <c r="E3" i="50"/>
  <c r="I3" i="50"/>
  <c r="C4" i="50"/>
  <c r="D4" i="50"/>
  <c r="E4" i="50"/>
  <c r="A7" i="50"/>
  <c r="J9" i="50"/>
  <c r="Q9" i="50"/>
  <c r="D10" i="50"/>
  <c r="F10" i="50"/>
  <c r="I10" i="50"/>
  <c r="J10" i="50"/>
  <c r="K10" i="50"/>
  <c r="L10" i="50"/>
  <c r="M10" i="50"/>
  <c r="P10" i="50"/>
  <c r="Q10" i="50"/>
  <c r="R10" i="50"/>
  <c r="S10" i="50"/>
  <c r="T10" i="50"/>
  <c r="D12" i="50"/>
  <c r="J12" i="50"/>
  <c r="Q12" i="50"/>
  <c r="E12" i="50"/>
  <c r="G12" i="50"/>
  <c r="K12" i="50"/>
  <c r="P12" i="50"/>
  <c r="V12" i="50"/>
  <c r="D13" i="50"/>
  <c r="J13" i="50"/>
  <c r="K13" i="50"/>
  <c r="M13" i="50"/>
  <c r="P13" i="50"/>
  <c r="V13" i="50"/>
  <c r="D14" i="50"/>
  <c r="E14" i="50"/>
  <c r="F14" i="50"/>
  <c r="J14" i="50"/>
  <c r="P14" i="50"/>
  <c r="V14" i="50"/>
  <c r="D15" i="50"/>
  <c r="J15" i="50"/>
  <c r="K15" i="50"/>
  <c r="M15" i="50"/>
  <c r="P15" i="50"/>
  <c r="V15" i="50"/>
  <c r="D16" i="50"/>
  <c r="J16" i="50"/>
  <c r="K16" i="50"/>
  <c r="M16" i="50"/>
  <c r="P16" i="50"/>
  <c r="V16" i="50"/>
  <c r="D17" i="50"/>
  <c r="E17" i="50"/>
  <c r="F17" i="50"/>
  <c r="J17" i="50"/>
  <c r="K17" i="50"/>
  <c r="P17" i="50"/>
  <c r="V17" i="50"/>
  <c r="D18" i="50"/>
  <c r="E18" i="50"/>
  <c r="F18" i="50"/>
  <c r="J18" i="50"/>
  <c r="P18" i="50"/>
  <c r="V18" i="50"/>
  <c r="D19" i="50"/>
  <c r="E19" i="50"/>
  <c r="G19" i="50"/>
  <c r="J19" i="50"/>
  <c r="K19" i="50"/>
  <c r="L19" i="50"/>
  <c r="P19" i="50"/>
  <c r="V19" i="50"/>
  <c r="D20" i="50"/>
  <c r="J20" i="50"/>
  <c r="K20" i="50"/>
  <c r="P20" i="50"/>
  <c r="V20" i="50"/>
  <c r="D21" i="50"/>
  <c r="E21" i="50"/>
  <c r="G21" i="50"/>
  <c r="J21" i="50"/>
  <c r="K21" i="50"/>
  <c r="L21" i="50"/>
  <c r="P21" i="50"/>
  <c r="V21" i="50"/>
  <c r="D22" i="50"/>
  <c r="J22" i="50"/>
  <c r="K22" i="50"/>
  <c r="L22" i="50"/>
  <c r="P22" i="50"/>
  <c r="V22" i="50"/>
  <c r="D23" i="50"/>
  <c r="E23" i="50"/>
  <c r="J23" i="50"/>
  <c r="K23" i="50"/>
  <c r="M23" i="50"/>
  <c r="P23" i="50"/>
  <c r="V23" i="50"/>
  <c r="D24" i="50"/>
  <c r="J24" i="50"/>
  <c r="P24" i="50"/>
  <c r="V24" i="50"/>
  <c r="D25" i="50"/>
  <c r="J25" i="50"/>
  <c r="P25" i="50"/>
  <c r="V25" i="50"/>
  <c r="D26" i="50"/>
  <c r="J26" i="50"/>
  <c r="Q26" i="50"/>
  <c r="K26" i="50"/>
  <c r="P26" i="50"/>
  <c r="V26" i="50"/>
  <c r="D27" i="50"/>
  <c r="E27" i="50"/>
  <c r="G27" i="50"/>
  <c r="J27" i="50"/>
  <c r="P27" i="50"/>
  <c r="V27" i="50"/>
  <c r="D28" i="50"/>
  <c r="J28" i="50"/>
  <c r="K28" i="50"/>
  <c r="P28" i="50"/>
  <c r="V28" i="50"/>
  <c r="E29" i="50"/>
  <c r="F29" i="50"/>
  <c r="K29" i="50"/>
  <c r="P29" i="50"/>
  <c r="V29" i="50"/>
  <c r="E30" i="50"/>
  <c r="G30" i="50"/>
  <c r="K30" i="50"/>
  <c r="L30" i="50"/>
  <c r="P30" i="50"/>
  <c r="V30" i="50"/>
  <c r="E31" i="50"/>
  <c r="K31" i="50"/>
  <c r="P31" i="50"/>
  <c r="V31" i="50"/>
  <c r="E32" i="50"/>
  <c r="F32" i="50"/>
  <c r="K32" i="50"/>
  <c r="P32" i="50"/>
  <c r="V32" i="50"/>
  <c r="E33" i="50"/>
  <c r="K33" i="50"/>
  <c r="M33" i="50"/>
  <c r="P33" i="50"/>
  <c r="V33" i="50"/>
  <c r="E34" i="50"/>
  <c r="F34" i="50"/>
  <c r="K34" i="50"/>
  <c r="P34" i="50"/>
  <c r="V34" i="50"/>
  <c r="E35" i="50"/>
  <c r="G35" i="50"/>
  <c r="K35" i="50"/>
  <c r="L35" i="50"/>
  <c r="P35" i="50"/>
  <c r="V35" i="50"/>
  <c r="E36" i="50"/>
  <c r="F36" i="50"/>
  <c r="K36" i="50"/>
  <c r="L36" i="50"/>
  <c r="P36" i="50"/>
  <c r="V36" i="50"/>
  <c r="C37" i="50"/>
  <c r="I37" i="50"/>
  <c r="V37" i="50"/>
  <c r="C38" i="50"/>
  <c r="I38" i="50"/>
  <c r="C40" i="50"/>
  <c r="C39" i="50"/>
  <c r="I40" i="50"/>
  <c r="J42" i="50"/>
  <c r="Q42" i="50"/>
  <c r="D43" i="50"/>
  <c r="F43" i="50"/>
  <c r="I43" i="50"/>
  <c r="J43" i="50"/>
  <c r="K43" i="50"/>
  <c r="L43" i="50"/>
  <c r="M43" i="50"/>
  <c r="P43" i="50"/>
  <c r="Q43" i="50"/>
  <c r="R43" i="50"/>
  <c r="S43" i="50"/>
  <c r="T43" i="50"/>
  <c r="D45" i="50"/>
  <c r="E45" i="50"/>
  <c r="J45" i="50"/>
  <c r="K45" i="50"/>
  <c r="M45" i="50"/>
  <c r="P45" i="50"/>
  <c r="V45" i="50"/>
  <c r="D46" i="50"/>
  <c r="E46" i="50"/>
  <c r="J46" i="50"/>
  <c r="K46" i="50"/>
  <c r="M46" i="50"/>
  <c r="P46" i="50"/>
  <c r="V46" i="50"/>
  <c r="D47" i="50"/>
  <c r="J47" i="50"/>
  <c r="K47" i="50"/>
  <c r="P47" i="50"/>
  <c r="V47" i="50"/>
  <c r="D48" i="50"/>
  <c r="E48" i="50"/>
  <c r="F48" i="50"/>
  <c r="J48" i="50"/>
  <c r="P48" i="50"/>
  <c r="V48" i="50"/>
  <c r="D49" i="50"/>
  <c r="E49" i="50"/>
  <c r="F49" i="50"/>
  <c r="J49" i="50"/>
  <c r="Q49" i="50"/>
  <c r="P49" i="50"/>
  <c r="V49" i="50"/>
  <c r="D50" i="50"/>
  <c r="J50" i="50"/>
  <c r="Q50" i="50"/>
  <c r="K50" i="50"/>
  <c r="P50" i="50"/>
  <c r="V50" i="50"/>
  <c r="D51" i="50"/>
  <c r="E51" i="50"/>
  <c r="F51" i="50"/>
  <c r="J51" i="50"/>
  <c r="P51" i="50"/>
  <c r="V51" i="50"/>
  <c r="D52" i="50"/>
  <c r="J52" i="50"/>
  <c r="K52" i="50"/>
  <c r="M52" i="50"/>
  <c r="P52" i="50"/>
  <c r="V52" i="50"/>
  <c r="D53" i="50"/>
  <c r="J53" i="50"/>
  <c r="Q53" i="50"/>
  <c r="P53" i="50"/>
  <c r="V53" i="50"/>
  <c r="D54" i="50"/>
  <c r="E54" i="50"/>
  <c r="G54" i="50"/>
  <c r="J54" i="50"/>
  <c r="K54" i="50"/>
  <c r="L54" i="50"/>
  <c r="P54" i="50"/>
  <c r="V54" i="50"/>
  <c r="D55" i="50"/>
  <c r="E55" i="50"/>
  <c r="J55" i="50"/>
  <c r="K55" i="50"/>
  <c r="L55" i="50"/>
  <c r="P55" i="50"/>
  <c r="V55" i="50"/>
  <c r="D56" i="50"/>
  <c r="J56" i="50"/>
  <c r="K56" i="50"/>
  <c r="M56" i="50"/>
  <c r="P56" i="50"/>
  <c r="V56" i="50"/>
  <c r="C57" i="50"/>
  <c r="I57" i="50"/>
  <c r="C58" i="50"/>
  <c r="I58" i="50"/>
  <c r="C60" i="50"/>
  <c r="I60" i="50"/>
  <c r="J62" i="50"/>
  <c r="Q62" i="50"/>
  <c r="D63" i="50"/>
  <c r="F63" i="50"/>
  <c r="I63" i="50"/>
  <c r="J63" i="50"/>
  <c r="K63" i="50"/>
  <c r="L63" i="50"/>
  <c r="M63" i="50"/>
  <c r="P63" i="50"/>
  <c r="Q63" i="50"/>
  <c r="R63" i="50"/>
  <c r="S63" i="50"/>
  <c r="T63" i="50"/>
  <c r="D65" i="50"/>
  <c r="D66" i="50"/>
  <c r="D67" i="50"/>
  <c r="D68" i="50"/>
  <c r="D69" i="50"/>
  <c r="D70" i="50"/>
  <c r="D71" i="50"/>
  <c r="D72" i="50"/>
  <c r="D73" i="50"/>
  <c r="D74" i="50"/>
  <c r="D75" i="50"/>
  <c r="D76" i="50"/>
  <c r="D77" i="50"/>
  <c r="D78" i="50"/>
  <c r="D79" i="50"/>
  <c r="D80" i="50"/>
  <c r="D81" i="50"/>
  <c r="D82" i="50"/>
  <c r="D83" i="50"/>
  <c r="D86" i="50"/>
  <c r="E65" i="50"/>
  <c r="J65" i="50"/>
  <c r="K65" i="50"/>
  <c r="M65" i="50"/>
  <c r="P65" i="50"/>
  <c r="E66" i="50"/>
  <c r="F66" i="50"/>
  <c r="J66" i="50"/>
  <c r="K66" i="50"/>
  <c r="L66" i="50"/>
  <c r="P66" i="50"/>
  <c r="E67" i="50"/>
  <c r="J67" i="50"/>
  <c r="K67" i="50"/>
  <c r="L67" i="50"/>
  <c r="P67" i="50"/>
  <c r="E68" i="50"/>
  <c r="J68" i="50"/>
  <c r="K68" i="50"/>
  <c r="M68" i="50"/>
  <c r="P68" i="50"/>
  <c r="E69" i="50"/>
  <c r="J69" i="50"/>
  <c r="K69" i="50"/>
  <c r="P69" i="50"/>
  <c r="E70" i="50"/>
  <c r="F70" i="50"/>
  <c r="J70" i="50"/>
  <c r="Q70" i="50"/>
  <c r="K70" i="50"/>
  <c r="M70" i="50"/>
  <c r="P70" i="50"/>
  <c r="E71" i="50"/>
  <c r="J71" i="50"/>
  <c r="K71" i="50"/>
  <c r="L71" i="50"/>
  <c r="P71" i="50"/>
  <c r="Q71" i="50"/>
  <c r="E72" i="50"/>
  <c r="G72" i="50"/>
  <c r="J72" i="50"/>
  <c r="K72" i="50"/>
  <c r="P72" i="50"/>
  <c r="Q72" i="50"/>
  <c r="E73" i="50"/>
  <c r="F73" i="50"/>
  <c r="J73" i="50"/>
  <c r="Q73" i="50"/>
  <c r="K73" i="50"/>
  <c r="P73" i="50"/>
  <c r="E74" i="50"/>
  <c r="G74" i="50"/>
  <c r="J74" i="50"/>
  <c r="Q74" i="50"/>
  <c r="K74" i="50"/>
  <c r="P74" i="50"/>
  <c r="E75" i="50"/>
  <c r="J75" i="50"/>
  <c r="K75" i="50"/>
  <c r="L75" i="50"/>
  <c r="P75" i="50"/>
  <c r="Q75" i="50"/>
  <c r="E76" i="50"/>
  <c r="J76" i="50"/>
  <c r="K76" i="50"/>
  <c r="M76" i="50"/>
  <c r="P76" i="50"/>
  <c r="Q76" i="50"/>
  <c r="E77" i="50"/>
  <c r="F77" i="50"/>
  <c r="J77" i="50"/>
  <c r="K77" i="50"/>
  <c r="P77" i="50"/>
  <c r="Q77" i="50"/>
  <c r="E78" i="50"/>
  <c r="G78" i="50"/>
  <c r="J78" i="50"/>
  <c r="K78" i="50"/>
  <c r="P78" i="50"/>
  <c r="E79" i="50"/>
  <c r="J79" i="50"/>
  <c r="K79" i="50"/>
  <c r="P79" i="50"/>
  <c r="E80" i="50"/>
  <c r="F80" i="50"/>
  <c r="J80" i="50"/>
  <c r="K80" i="50"/>
  <c r="P80" i="50"/>
  <c r="E81" i="50"/>
  <c r="G81" i="50"/>
  <c r="J81" i="50"/>
  <c r="K81" i="50"/>
  <c r="M81" i="50"/>
  <c r="P81" i="50"/>
  <c r="J82" i="50"/>
  <c r="Q82" i="50"/>
  <c r="E82" i="50"/>
  <c r="K82" i="50"/>
  <c r="P82" i="50"/>
  <c r="E83" i="50"/>
  <c r="G83" i="50"/>
  <c r="J83" i="50"/>
  <c r="K83" i="50"/>
  <c r="M83" i="50"/>
  <c r="P83" i="50"/>
  <c r="C84" i="50"/>
  <c r="I84" i="50"/>
  <c r="P84" i="50"/>
  <c r="C85" i="50"/>
  <c r="I85" i="50"/>
  <c r="D1" i="22"/>
  <c r="H1" i="22"/>
  <c r="H2" i="22"/>
  <c r="B3" i="22"/>
  <c r="C3" i="22"/>
  <c r="D3" i="22"/>
  <c r="E3" i="22"/>
  <c r="H3" i="22"/>
  <c r="B4" i="22"/>
  <c r="C4" i="22"/>
  <c r="D4" i="22"/>
  <c r="E4" i="22"/>
  <c r="A7" i="22"/>
  <c r="D11" i="22"/>
  <c r="E11" i="22"/>
  <c r="F11" i="22"/>
  <c r="G11" i="22"/>
  <c r="A13" i="22"/>
  <c r="H13" i="22"/>
  <c r="I14" i="22"/>
  <c r="D20" i="22"/>
  <c r="E20" i="22"/>
  <c r="F20" i="22"/>
  <c r="G20" i="22"/>
  <c r="H20" i="22"/>
  <c r="I35" i="22"/>
  <c r="K35" i="22"/>
  <c r="I36" i="22"/>
  <c r="I37" i="22"/>
  <c r="J37" i="22"/>
  <c r="I38" i="22"/>
  <c r="K38" i="22"/>
  <c r="I39" i="22"/>
  <c r="K39" i="22"/>
  <c r="I40" i="22"/>
  <c r="J40" i="22"/>
  <c r="I41" i="22"/>
  <c r="I42" i="22"/>
  <c r="J42" i="22"/>
  <c r="I43" i="22"/>
  <c r="J43" i="22"/>
  <c r="I44" i="22"/>
  <c r="I45" i="22"/>
  <c r="K45" i="22"/>
  <c r="I46" i="22"/>
  <c r="J46" i="22"/>
  <c r="I47" i="22"/>
  <c r="J47" i="22"/>
  <c r="I48" i="22"/>
  <c r="J48" i="22"/>
  <c r="I49" i="22"/>
  <c r="K49" i="22"/>
  <c r="I50" i="22"/>
  <c r="J50" i="22"/>
  <c r="I51" i="22"/>
  <c r="I52" i="22"/>
  <c r="J52" i="22"/>
  <c r="I53" i="22"/>
  <c r="J53" i="22"/>
  <c r="I54" i="22"/>
  <c r="J54" i="22"/>
  <c r="I55" i="22"/>
  <c r="I56" i="22"/>
  <c r="J56" i="22"/>
  <c r="I57" i="22"/>
  <c r="K57" i="22"/>
  <c r="D64" i="22"/>
  <c r="E64" i="22"/>
  <c r="F64" i="22"/>
  <c r="G64" i="22"/>
  <c r="I66" i="22"/>
  <c r="I67" i="22"/>
  <c r="J67" i="22"/>
  <c r="J69" i="22"/>
  <c r="D73" i="22"/>
  <c r="E73" i="22"/>
  <c r="F73" i="22"/>
  <c r="G73" i="22"/>
  <c r="H73" i="22"/>
  <c r="I88" i="22"/>
  <c r="I89" i="22"/>
  <c r="I90" i="22"/>
  <c r="J90" i="22"/>
  <c r="I91" i="22"/>
  <c r="K91" i="22"/>
  <c r="I92" i="22"/>
  <c r="J92" i="22"/>
  <c r="I93" i="22"/>
  <c r="I94" i="22"/>
  <c r="I95" i="22"/>
  <c r="I96" i="22"/>
  <c r="J96" i="22"/>
  <c r="I97" i="22"/>
  <c r="K97" i="22"/>
  <c r="I98" i="22"/>
  <c r="I99" i="22"/>
  <c r="J99" i="22"/>
  <c r="I100" i="22"/>
  <c r="J100" i="22"/>
  <c r="I101" i="22"/>
  <c r="K101" i="22"/>
  <c r="I102" i="22"/>
  <c r="I103" i="22"/>
  <c r="I104" i="22"/>
  <c r="J104" i="22"/>
  <c r="I105" i="22"/>
  <c r="I106" i="22"/>
  <c r="J106" i="22"/>
  <c r="I107" i="22"/>
  <c r="K107" i="22"/>
  <c r="I108" i="22"/>
  <c r="I109" i="22"/>
  <c r="K109" i="22"/>
  <c r="I110" i="22"/>
  <c r="J110" i="22"/>
  <c r="L1" i="43"/>
  <c r="S1" i="43"/>
  <c r="L2" i="43"/>
  <c r="S2" i="43"/>
  <c r="T2" i="43"/>
  <c r="E3" i="43"/>
  <c r="I91" i="2"/>
  <c r="L3" i="43"/>
  <c r="S3" i="43"/>
  <c r="S4" i="43"/>
  <c r="S5" i="43"/>
  <c r="S6" i="43"/>
  <c r="E8" i="43"/>
  <c r="S7" i="43"/>
  <c r="T7" i="43"/>
  <c r="E9" i="43"/>
  <c r="S8" i="43"/>
  <c r="E10" i="43"/>
  <c r="I10" i="43"/>
  <c r="S9" i="43"/>
  <c r="S10" i="43"/>
  <c r="C13" i="43"/>
  <c r="U13" i="43"/>
  <c r="AR18" i="43"/>
  <c r="AR46" i="43"/>
  <c r="AR53" i="43"/>
  <c r="E75" i="43"/>
  <c r="F75" i="43"/>
  <c r="G75" i="43"/>
  <c r="H75" i="43"/>
  <c r="I75" i="43"/>
  <c r="J75" i="43"/>
  <c r="K75" i="43"/>
  <c r="S75" i="43"/>
  <c r="W75" i="43"/>
  <c r="AA75" i="43"/>
  <c r="AB75" i="43"/>
  <c r="AC75" i="43"/>
  <c r="AD75" i="43"/>
  <c r="AE75" i="43"/>
  <c r="AF75" i="43"/>
  <c r="AG75" i="43"/>
  <c r="AH75" i="43"/>
  <c r="U79" i="43"/>
  <c r="AR84" i="43"/>
  <c r="AR112" i="43"/>
  <c r="AR119" i="43"/>
  <c r="E141" i="43"/>
  <c r="F141" i="43"/>
  <c r="G141" i="43"/>
  <c r="H141" i="43"/>
  <c r="I141" i="43"/>
  <c r="J141" i="43"/>
  <c r="K141" i="43"/>
  <c r="S141" i="43"/>
  <c r="W141" i="43"/>
  <c r="AA141" i="43"/>
  <c r="AB141" i="43"/>
  <c r="AC141" i="43"/>
  <c r="AD141" i="43"/>
  <c r="AE141" i="43"/>
  <c r="AF141" i="43"/>
  <c r="AG141" i="43"/>
  <c r="AH141" i="43"/>
  <c r="K1" i="3"/>
  <c r="H2" i="3"/>
  <c r="I2" i="3"/>
  <c r="K2" i="3"/>
  <c r="F3" i="3"/>
  <c r="H91" i="2"/>
  <c r="H3" i="3"/>
  <c r="I3" i="3"/>
  <c r="K3" i="3"/>
  <c r="H4" i="3"/>
  <c r="I4" i="3"/>
  <c r="H5" i="3"/>
  <c r="I5" i="3"/>
  <c r="H6" i="3"/>
  <c r="I6" i="3"/>
  <c r="D7" i="3"/>
  <c r="A7" i="3"/>
  <c r="H7" i="3"/>
  <c r="I7" i="3"/>
  <c r="D8" i="3"/>
  <c r="A8" i="3"/>
  <c r="H8" i="3"/>
  <c r="I8" i="3"/>
  <c r="D9" i="3"/>
  <c r="A9" i="3"/>
  <c r="D12" i="3"/>
  <c r="D74" i="3"/>
  <c r="V14" i="3"/>
  <c r="X14" i="3"/>
  <c r="Z14" i="3"/>
  <c r="V15" i="3"/>
  <c r="X15" i="3"/>
  <c r="Z15" i="3"/>
  <c r="V16" i="3"/>
  <c r="X16" i="3"/>
  <c r="Z16" i="3"/>
  <c r="V17" i="3"/>
  <c r="Y17" i="3"/>
  <c r="AA17" i="3"/>
  <c r="AB17" i="3"/>
  <c r="X17" i="3"/>
  <c r="Z17" i="3"/>
  <c r="V18" i="3"/>
  <c r="C19" i="43"/>
  <c r="X18" i="3"/>
  <c r="Z18" i="3"/>
  <c r="V19" i="3"/>
  <c r="I20" i="35"/>
  <c r="X19" i="3"/>
  <c r="Z19" i="3"/>
  <c r="V20" i="3"/>
  <c r="X20" i="3"/>
  <c r="Z20" i="3"/>
  <c r="V21" i="3"/>
  <c r="X21" i="3"/>
  <c r="Z21" i="3"/>
  <c r="V22" i="3"/>
  <c r="C23" i="43"/>
  <c r="J23" i="43"/>
  <c r="D161" i="49"/>
  <c r="X22" i="3"/>
  <c r="Z22" i="3"/>
  <c r="V23" i="3"/>
  <c r="C24" i="43"/>
  <c r="F24" i="43"/>
  <c r="X23" i="3"/>
  <c r="Z23" i="3"/>
  <c r="V24" i="3"/>
  <c r="X24" i="3"/>
  <c r="Z24" i="3"/>
  <c r="V25" i="3"/>
  <c r="C26" i="43"/>
  <c r="X25" i="3"/>
  <c r="Z25" i="3"/>
  <c r="V26" i="3"/>
  <c r="I27" i="35"/>
  <c r="X26" i="3"/>
  <c r="Y26" i="3"/>
  <c r="AA26" i="3"/>
  <c r="AB26" i="3"/>
  <c r="Z26" i="3"/>
  <c r="V27" i="3"/>
  <c r="X27" i="3"/>
  <c r="Z27" i="3"/>
  <c r="V28" i="3"/>
  <c r="X28" i="3"/>
  <c r="Z28" i="3"/>
  <c r="V29" i="3"/>
  <c r="Y29" i="3"/>
  <c r="AA29" i="3"/>
  <c r="AB29" i="3"/>
  <c r="X29" i="3"/>
  <c r="Z29" i="3"/>
  <c r="V30" i="3"/>
  <c r="Y30" i="3"/>
  <c r="AA30" i="3"/>
  <c r="AB30" i="3"/>
  <c r="X30" i="3"/>
  <c r="Z30" i="3"/>
  <c r="V31" i="3"/>
  <c r="J32" i="35"/>
  <c r="G40" i="49"/>
  <c r="X31" i="3"/>
  <c r="Z31" i="3"/>
  <c r="V32" i="3"/>
  <c r="Z33" i="35"/>
  <c r="X32" i="3"/>
  <c r="Z32" i="3"/>
  <c r="V33" i="3"/>
  <c r="C34" i="43"/>
  <c r="G34" i="43"/>
  <c r="X33" i="3"/>
  <c r="Z33" i="3"/>
  <c r="V34" i="3"/>
  <c r="Y34" i="3"/>
  <c r="AA34" i="3"/>
  <c r="AB34" i="3"/>
  <c r="X34" i="3"/>
  <c r="Z34" i="3"/>
  <c r="V35" i="3"/>
  <c r="X35" i="3"/>
  <c r="Z35" i="3"/>
  <c r="V36" i="3"/>
  <c r="X36" i="3"/>
  <c r="Z36" i="3"/>
  <c r="V37" i="3"/>
  <c r="C38" i="43"/>
  <c r="X37" i="3"/>
  <c r="Z37" i="3"/>
  <c r="V38" i="3"/>
  <c r="W38" i="3"/>
  <c r="D38" i="3"/>
  <c r="X38" i="3"/>
  <c r="Z38" i="3"/>
  <c r="V39" i="3"/>
  <c r="W39" i="3"/>
  <c r="D39" i="3"/>
  <c r="X39" i="3"/>
  <c r="Z39" i="3"/>
  <c r="V40" i="3"/>
  <c r="W40" i="3"/>
  <c r="X40" i="3"/>
  <c r="Z40" i="3"/>
  <c r="V41" i="3"/>
  <c r="W41" i="3"/>
  <c r="D41" i="3"/>
  <c r="X41" i="3"/>
  <c r="Z41" i="3"/>
  <c r="V42" i="3"/>
  <c r="W42" i="3"/>
  <c r="X42" i="3"/>
  <c r="Z42" i="3"/>
  <c r="V43" i="3"/>
  <c r="W43" i="3"/>
  <c r="X43" i="3"/>
  <c r="Z43" i="3"/>
  <c r="V44" i="3"/>
  <c r="W44" i="3"/>
  <c r="D44" i="3"/>
  <c r="X44" i="3"/>
  <c r="Z44" i="3"/>
  <c r="V45" i="3"/>
  <c r="W45" i="3"/>
  <c r="D45" i="3"/>
  <c r="X45" i="3"/>
  <c r="Z45" i="3"/>
  <c r="V46" i="3"/>
  <c r="W46" i="3"/>
  <c r="X46" i="3"/>
  <c r="Z46" i="3"/>
  <c r="V47" i="3"/>
  <c r="W47" i="3"/>
  <c r="D47" i="3"/>
  <c r="X47" i="3"/>
  <c r="Z47" i="3"/>
  <c r="V48" i="3"/>
  <c r="W48" i="3"/>
  <c r="X48" i="3"/>
  <c r="Z48" i="3"/>
  <c r="V49" i="3"/>
  <c r="W49" i="3"/>
  <c r="D49" i="3"/>
  <c r="X49" i="3"/>
  <c r="Z49" i="3"/>
  <c r="V50" i="3"/>
  <c r="W50" i="3"/>
  <c r="D50" i="3"/>
  <c r="X50" i="3"/>
  <c r="Z50" i="3"/>
  <c r="V51" i="3"/>
  <c r="W51" i="3"/>
  <c r="D51" i="3"/>
  <c r="X51" i="3"/>
  <c r="Z51" i="3"/>
  <c r="V52" i="3"/>
  <c r="W52" i="3"/>
  <c r="D52" i="3"/>
  <c r="X52" i="3"/>
  <c r="Z52" i="3"/>
  <c r="V53" i="3"/>
  <c r="W53" i="3"/>
  <c r="X53" i="3"/>
  <c r="Z53" i="3"/>
  <c r="V54" i="3"/>
  <c r="W54" i="3"/>
  <c r="D54" i="3"/>
  <c r="X54" i="3"/>
  <c r="Z54" i="3"/>
  <c r="V55" i="3"/>
  <c r="W55" i="3"/>
  <c r="D55" i="3"/>
  <c r="X55" i="3"/>
  <c r="Z55" i="3"/>
  <c r="V56" i="3"/>
  <c r="W56" i="3"/>
  <c r="X56" i="3"/>
  <c r="Z56" i="3"/>
  <c r="V57" i="3"/>
  <c r="W57" i="3"/>
  <c r="D57" i="3"/>
  <c r="X57" i="3"/>
  <c r="Z57" i="3"/>
  <c r="V58" i="3"/>
  <c r="W58" i="3"/>
  <c r="D58" i="3"/>
  <c r="X58" i="3"/>
  <c r="Z58" i="3"/>
  <c r="V59" i="3"/>
  <c r="W59" i="3"/>
  <c r="D59" i="3"/>
  <c r="X59" i="3"/>
  <c r="Z59" i="3"/>
  <c r="V60" i="3"/>
  <c r="W60" i="3"/>
  <c r="X60" i="3"/>
  <c r="Z60" i="3"/>
  <c r="V61" i="3"/>
  <c r="W61" i="3"/>
  <c r="D61" i="3"/>
  <c r="X61" i="3"/>
  <c r="Z61" i="3"/>
  <c r="V62" i="3"/>
  <c r="W62" i="3"/>
  <c r="D62" i="3"/>
  <c r="X62" i="3"/>
  <c r="Z62" i="3"/>
  <c r="V63" i="3"/>
  <c r="W63" i="3"/>
  <c r="D63" i="3"/>
  <c r="X63" i="3"/>
  <c r="Z63" i="3"/>
  <c r="V64" i="3"/>
  <c r="W64" i="3"/>
  <c r="X64" i="3"/>
  <c r="Z64" i="3"/>
  <c r="V65" i="3"/>
  <c r="W65" i="3"/>
  <c r="D65" i="3"/>
  <c r="X65" i="3"/>
  <c r="Z65" i="3"/>
  <c r="V66" i="3"/>
  <c r="W66" i="3"/>
  <c r="X66" i="3"/>
  <c r="Z66" i="3"/>
  <c r="V67" i="3"/>
  <c r="W67" i="3"/>
  <c r="D67" i="3"/>
  <c r="X67" i="3"/>
  <c r="Z67" i="3"/>
  <c r="V68" i="3"/>
  <c r="W68" i="3"/>
  <c r="X68" i="3"/>
  <c r="Z68" i="3"/>
  <c r="V69" i="3"/>
  <c r="W69" i="3"/>
  <c r="D69" i="3"/>
  <c r="X69" i="3"/>
  <c r="Z69" i="3"/>
  <c r="V70" i="3"/>
  <c r="W70" i="3"/>
  <c r="X70" i="3"/>
  <c r="Z70" i="3"/>
  <c r="V71" i="3"/>
  <c r="W71" i="3"/>
  <c r="D71" i="3"/>
  <c r="X71" i="3"/>
  <c r="Z71" i="3"/>
  <c r="V72" i="3"/>
  <c r="W72" i="3"/>
  <c r="D72" i="3"/>
  <c r="X72" i="3"/>
  <c r="Z72" i="3"/>
  <c r="V73" i="3"/>
  <c r="W73" i="3"/>
  <c r="X73" i="3"/>
  <c r="Z73" i="3"/>
  <c r="F74" i="3"/>
  <c r="G74" i="3"/>
  <c r="H74" i="3"/>
  <c r="I74" i="3"/>
  <c r="J74" i="3"/>
  <c r="L74" i="3"/>
  <c r="Q74" i="3"/>
  <c r="R74" i="3"/>
  <c r="S74" i="3"/>
  <c r="T74" i="3"/>
  <c r="V74" i="3"/>
  <c r="W74" i="3"/>
  <c r="X74" i="3"/>
  <c r="Y74" i="3"/>
  <c r="Z74" i="3"/>
  <c r="AA74" i="3"/>
  <c r="AB74" i="3"/>
  <c r="I75" i="3"/>
  <c r="J75" i="3"/>
  <c r="Q75" i="3"/>
  <c r="R75" i="3"/>
  <c r="S75" i="3"/>
  <c r="T75" i="3"/>
  <c r="V80" i="3"/>
  <c r="X80" i="3"/>
  <c r="Z80" i="3"/>
  <c r="V81" i="3"/>
  <c r="X81" i="3"/>
  <c r="Z81" i="3"/>
  <c r="V82" i="3"/>
  <c r="Y82" i="3"/>
  <c r="AA82" i="3"/>
  <c r="AB82" i="3"/>
  <c r="X82" i="3"/>
  <c r="Z82" i="3"/>
  <c r="V83" i="3"/>
  <c r="X83" i="3"/>
  <c r="Z83" i="3"/>
  <c r="V84" i="3"/>
  <c r="X84" i="3"/>
  <c r="Z84" i="3"/>
  <c r="V85" i="3"/>
  <c r="X85" i="3"/>
  <c r="Z85" i="3"/>
  <c r="D86" i="3"/>
  <c r="V86" i="3"/>
  <c r="X86" i="3"/>
  <c r="Z86" i="3"/>
  <c r="V87" i="3"/>
  <c r="C88" i="43"/>
  <c r="E88" i="43"/>
  <c r="H160" i="49"/>
  <c r="X87" i="3"/>
  <c r="Z87" i="3"/>
  <c r="V88" i="3"/>
  <c r="X88" i="3"/>
  <c r="Z88" i="3"/>
  <c r="V89" i="3"/>
  <c r="X89" i="3"/>
  <c r="Z89" i="3"/>
  <c r="V90" i="3"/>
  <c r="X90" i="3"/>
  <c r="Z90" i="3"/>
  <c r="D91" i="3"/>
  <c r="V91" i="3"/>
  <c r="X91" i="3"/>
  <c r="Y91" i="3"/>
  <c r="AA91" i="3"/>
  <c r="AB91" i="3"/>
  <c r="Z91" i="3"/>
  <c r="V92" i="3"/>
  <c r="I93" i="35"/>
  <c r="X92" i="3"/>
  <c r="Z92" i="3"/>
  <c r="V93" i="3"/>
  <c r="C94" i="43"/>
  <c r="H94" i="43"/>
  <c r="X93" i="3"/>
  <c r="Z93" i="3"/>
  <c r="V94" i="3"/>
  <c r="C95" i="43"/>
  <c r="X94" i="3"/>
  <c r="Z94" i="3"/>
  <c r="V95" i="3"/>
  <c r="C96" i="43"/>
  <c r="X95" i="3"/>
  <c r="Z95" i="3"/>
  <c r="V96" i="3"/>
  <c r="I97" i="35"/>
  <c r="X96" i="3"/>
  <c r="Z96" i="3"/>
  <c r="V97" i="3"/>
  <c r="C98" i="43"/>
  <c r="X97" i="3"/>
  <c r="Z97" i="3"/>
  <c r="V98" i="3"/>
  <c r="D98" i="3"/>
  <c r="X98" i="3"/>
  <c r="Z98" i="3"/>
  <c r="V99" i="3"/>
  <c r="C100" i="43"/>
  <c r="X99" i="3"/>
  <c r="Z99" i="3"/>
  <c r="V100" i="3"/>
  <c r="D100" i="3"/>
  <c r="X100" i="3"/>
  <c r="Z100" i="3"/>
  <c r="V101" i="3"/>
  <c r="C102" i="43"/>
  <c r="F102" i="43"/>
  <c r="D101" i="3"/>
  <c r="X101" i="3"/>
  <c r="Y101" i="3"/>
  <c r="AA101" i="3"/>
  <c r="AB101" i="3"/>
  <c r="Z101" i="3"/>
  <c r="V102" i="3"/>
  <c r="I103" i="35"/>
  <c r="X102" i="3"/>
  <c r="Z102" i="3"/>
  <c r="V103" i="3"/>
  <c r="D103" i="3"/>
  <c r="X103" i="3"/>
  <c r="Z103" i="3"/>
  <c r="V104" i="3"/>
  <c r="W104" i="3"/>
  <c r="X104" i="3"/>
  <c r="Z104" i="3"/>
  <c r="V105" i="3"/>
  <c r="W105" i="3"/>
  <c r="G106" i="35"/>
  <c r="X105" i="3"/>
  <c r="Z105" i="3"/>
  <c r="V106" i="3"/>
  <c r="W106" i="3"/>
  <c r="X106" i="3"/>
  <c r="Z106" i="3"/>
  <c r="V107" i="3"/>
  <c r="W107" i="3"/>
  <c r="X107" i="3"/>
  <c r="Z107" i="3"/>
  <c r="V108" i="3"/>
  <c r="W108" i="3"/>
  <c r="X108" i="3"/>
  <c r="Z108" i="3"/>
  <c r="V109" i="3"/>
  <c r="W109" i="3"/>
  <c r="G110" i="35"/>
  <c r="X109" i="3"/>
  <c r="Z109" i="3"/>
  <c r="V110" i="3"/>
  <c r="W110" i="3"/>
  <c r="X110" i="3"/>
  <c r="Z110" i="3"/>
  <c r="V111" i="3"/>
  <c r="W111" i="3"/>
  <c r="X111" i="3"/>
  <c r="Z111" i="3"/>
  <c r="V112" i="3"/>
  <c r="W112" i="3"/>
  <c r="X112" i="3"/>
  <c r="Z112" i="3"/>
  <c r="V113" i="3"/>
  <c r="W113" i="3"/>
  <c r="X113" i="3"/>
  <c r="Z113" i="3"/>
  <c r="V114" i="3"/>
  <c r="W114" i="3"/>
  <c r="X114" i="3"/>
  <c r="Z114" i="3"/>
  <c r="V115" i="3"/>
  <c r="W115" i="3"/>
  <c r="X115" i="3"/>
  <c r="Z115" i="3"/>
  <c r="V116" i="3"/>
  <c r="W116" i="3"/>
  <c r="X116" i="3"/>
  <c r="Z116" i="3"/>
  <c r="V117" i="3"/>
  <c r="W117" i="3"/>
  <c r="X117" i="3"/>
  <c r="Z117" i="3"/>
  <c r="V118" i="3"/>
  <c r="W118" i="3"/>
  <c r="X118" i="3"/>
  <c r="Z118" i="3"/>
  <c r="V119" i="3"/>
  <c r="W119" i="3"/>
  <c r="X119" i="3"/>
  <c r="Z119" i="3"/>
  <c r="V120" i="3"/>
  <c r="W120" i="3"/>
  <c r="X120" i="3"/>
  <c r="Z120" i="3"/>
  <c r="V121" i="3"/>
  <c r="W121" i="3"/>
  <c r="G122" i="35"/>
  <c r="X121" i="3"/>
  <c r="Z121" i="3"/>
  <c r="V122" i="3"/>
  <c r="W122" i="3"/>
  <c r="X122" i="3"/>
  <c r="Z122" i="3"/>
  <c r="V123" i="3"/>
  <c r="W123" i="3"/>
  <c r="X123" i="3"/>
  <c r="Z123" i="3"/>
  <c r="V124" i="3"/>
  <c r="W124" i="3"/>
  <c r="X124" i="3"/>
  <c r="Z124" i="3"/>
  <c r="V125" i="3"/>
  <c r="W125" i="3"/>
  <c r="X125" i="3"/>
  <c r="Z125" i="3"/>
  <c r="V126" i="3"/>
  <c r="W126" i="3"/>
  <c r="X126" i="3"/>
  <c r="Z126" i="3"/>
  <c r="V127" i="3"/>
  <c r="W127" i="3"/>
  <c r="X127" i="3"/>
  <c r="Z127" i="3"/>
  <c r="V128" i="3"/>
  <c r="W128" i="3"/>
  <c r="X128" i="3"/>
  <c r="Z128" i="3"/>
  <c r="V129" i="3"/>
  <c r="W129" i="3"/>
  <c r="G130" i="35"/>
  <c r="X129" i="3"/>
  <c r="Z129" i="3"/>
  <c r="V130" i="3"/>
  <c r="W130" i="3"/>
  <c r="D130" i="3"/>
  <c r="X130" i="3"/>
  <c r="Z130" i="3"/>
  <c r="V131" i="3"/>
  <c r="W131" i="3"/>
  <c r="X131" i="3"/>
  <c r="Z131" i="3"/>
  <c r="V132" i="3"/>
  <c r="W132" i="3"/>
  <c r="X132" i="3"/>
  <c r="Z132" i="3"/>
  <c r="V133" i="3"/>
  <c r="W133" i="3"/>
  <c r="G134" i="35"/>
  <c r="X133" i="3"/>
  <c r="Z133" i="3"/>
  <c r="V134" i="3"/>
  <c r="W134" i="3"/>
  <c r="X134" i="3"/>
  <c r="Z134" i="3"/>
  <c r="V135" i="3"/>
  <c r="W135" i="3"/>
  <c r="G136" i="35"/>
  <c r="X135" i="3"/>
  <c r="Z135" i="3"/>
  <c r="V136" i="3"/>
  <c r="W136" i="3"/>
  <c r="G137" i="35"/>
  <c r="X136" i="3"/>
  <c r="Z136" i="3"/>
  <c r="V137" i="3"/>
  <c r="W137" i="3"/>
  <c r="G138" i="35"/>
  <c r="X137" i="3"/>
  <c r="Z137" i="3"/>
  <c r="V138" i="3"/>
  <c r="W138" i="3"/>
  <c r="X138" i="3"/>
  <c r="Z138" i="3"/>
  <c r="V139" i="3"/>
  <c r="W139" i="3"/>
  <c r="G140" i="35"/>
  <c r="X139" i="3"/>
  <c r="Z139" i="3"/>
  <c r="F140" i="3"/>
  <c r="G140" i="3"/>
  <c r="H140" i="3"/>
  <c r="I140" i="3"/>
  <c r="J140" i="3"/>
  <c r="L140" i="3"/>
  <c r="Q140" i="3"/>
  <c r="R140" i="3"/>
  <c r="S140" i="3"/>
  <c r="T140" i="3"/>
  <c r="V140" i="3"/>
  <c r="W140" i="3"/>
  <c r="X140" i="3"/>
  <c r="Y140" i="3"/>
  <c r="Z140" i="3"/>
  <c r="AA140" i="3"/>
  <c r="AB140" i="3"/>
  <c r="I141" i="3"/>
  <c r="J141" i="3"/>
  <c r="Q141" i="3"/>
  <c r="R141" i="3"/>
  <c r="S141" i="3"/>
  <c r="T141" i="3"/>
  <c r="P1" i="35"/>
  <c r="AA1" i="35"/>
  <c r="R14" i="35"/>
  <c r="P2" i="35"/>
  <c r="G91" i="2"/>
  <c r="P3" i="35"/>
  <c r="AA8" i="35"/>
  <c r="AA4" i="35"/>
  <c r="H5" i="35"/>
  <c r="P64" i="2"/>
  <c r="AA5" i="35"/>
  <c r="K5" i="35"/>
  <c r="BD8" i="15"/>
  <c r="AA6" i="35"/>
  <c r="R80" i="35"/>
  <c r="U7" i="35"/>
  <c r="H8" i="35"/>
  <c r="F7" i="3"/>
  <c r="U8" i="35"/>
  <c r="W8" i="35"/>
  <c r="X8" i="35"/>
  <c r="W10" i="35"/>
  <c r="H9" i="35"/>
  <c r="F8" i="3"/>
  <c r="L9" i="35"/>
  <c r="U9" i="35"/>
  <c r="AA9" i="35"/>
  <c r="H10" i="35"/>
  <c r="F9" i="3"/>
  <c r="U10" i="35"/>
  <c r="AA10" i="35"/>
  <c r="G13" i="35"/>
  <c r="S39" i="35"/>
  <c r="S43" i="35"/>
  <c r="S44" i="35"/>
  <c r="S45" i="35"/>
  <c r="S48" i="35"/>
  <c r="S49" i="35"/>
  <c r="S51" i="35"/>
  <c r="S52" i="35"/>
  <c r="S53" i="35"/>
  <c r="S56" i="35"/>
  <c r="S57" i="35"/>
  <c r="S60" i="35"/>
  <c r="S62" i="35"/>
  <c r="S64" i="35"/>
  <c r="S65" i="35"/>
  <c r="S66" i="35"/>
  <c r="S67" i="35"/>
  <c r="S68" i="35"/>
  <c r="S69" i="35"/>
  <c r="S70" i="35"/>
  <c r="S73" i="35"/>
  <c r="S74" i="35"/>
  <c r="H75" i="35"/>
  <c r="I75" i="35"/>
  <c r="J75" i="35"/>
  <c r="K75" i="35"/>
  <c r="L75" i="35"/>
  <c r="M75" i="35"/>
  <c r="N75" i="35"/>
  <c r="P75" i="35"/>
  <c r="Q75" i="35"/>
  <c r="R75" i="35"/>
  <c r="W75" i="35"/>
  <c r="L80" i="35"/>
  <c r="B16" i="35"/>
  <c r="S105" i="35"/>
  <c r="S106" i="35"/>
  <c r="S107" i="35"/>
  <c r="S108" i="35"/>
  <c r="S109" i="35"/>
  <c r="S110" i="35"/>
  <c r="S111" i="35"/>
  <c r="S112" i="35"/>
  <c r="S113" i="35"/>
  <c r="S114" i="35"/>
  <c r="S115" i="35"/>
  <c r="S116" i="35"/>
  <c r="S117" i="35"/>
  <c r="S118" i="35"/>
  <c r="S119" i="35"/>
  <c r="S120" i="35"/>
  <c r="S121" i="35"/>
  <c r="S122" i="35"/>
  <c r="S123" i="35"/>
  <c r="S124" i="35"/>
  <c r="S125" i="35"/>
  <c r="S126" i="35"/>
  <c r="S127" i="35"/>
  <c r="S128" i="35"/>
  <c r="S129" i="35"/>
  <c r="S130" i="35"/>
  <c r="S131" i="35"/>
  <c r="S132" i="35"/>
  <c r="S133" i="35"/>
  <c r="S134" i="35"/>
  <c r="S135" i="35"/>
  <c r="S136" i="35"/>
  <c r="S137" i="35"/>
  <c r="S138" i="35"/>
  <c r="S139" i="35"/>
  <c r="S140" i="35"/>
  <c r="H141" i="35"/>
  <c r="I141" i="35"/>
  <c r="J141" i="35"/>
  <c r="K141" i="35"/>
  <c r="L141" i="35"/>
  <c r="M141" i="35"/>
  <c r="N141" i="35"/>
  <c r="P141" i="35"/>
  <c r="Q141" i="35"/>
  <c r="R141" i="35"/>
  <c r="W141" i="35"/>
  <c r="K17" i="2"/>
  <c r="H17" i="2"/>
  <c r="K18" i="2"/>
  <c r="H18" i="2"/>
  <c r="I33" i="2"/>
  <c r="B49" i="2"/>
  <c r="B48" i="2"/>
  <c r="B40" i="2"/>
  <c r="B39" i="2"/>
  <c r="I35" i="2"/>
  <c r="E42" i="2"/>
  <c r="E43" i="2"/>
  <c r="E44" i="2"/>
  <c r="E45" i="2"/>
  <c r="N46" i="2"/>
  <c r="I48" i="2"/>
  <c r="O46" i="2"/>
  <c r="J48" i="2"/>
  <c r="E46" i="2"/>
  <c r="B47" i="2"/>
  <c r="N55" i="2"/>
  <c r="I49" i="2"/>
  <c r="I50" i="2"/>
  <c r="O55" i="2"/>
  <c r="J49" i="2"/>
  <c r="G58" i="2"/>
  <c r="H58" i="2"/>
  <c r="I62" i="2"/>
  <c r="F81" i="2"/>
  <c r="I81" i="2"/>
  <c r="D91" i="2"/>
  <c r="E91" i="2"/>
  <c r="F91" i="2"/>
  <c r="B2" i="41"/>
  <c r="F2" i="41"/>
  <c r="B3" i="41"/>
  <c r="F3" i="41"/>
  <c r="F4" i="41"/>
  <c r="K4" i="41"/>
  <c r="B5" i="41"/>
  <c r="C6" i="41"/>
  <c r="E14" i="41"/>
  <c r="F14" i="41"/>
  <c r="E15" i="41"/>
  <c r="E16" i="41"/>
  <c r="E17" i="41"/>
  <c r="E18" i="41"/>
  <c r="F18" i="41"/>
  <c r="A22" i="41"/>
  <c r="R26" i="41"/>
  <c r="R27" i="41"/>
  <c r="R28" i="41"/>
  <c r="A53" i="41"/>
  <c r="E54" i="41"/>
  <c r="H54" i="41"/>
  <c r="E55" i="41"/>
  <c r="A60" i="41"/>
  <c r="A61" i="41"/>
  <c r="A65" i="41"/>
  <c r="C85" i="41"/>
  <c r="E87" i="41"/>
  <c r="D85" i="41"/>
  <c r="E85" i="41"/>
  <c r="F85" i="41"/>
  <c r="G85" i="41"/>
  <c r="H85" i="41"/>
  <c r="I85" i="41"/>
  <c r="J85" i="41"/>
  <c r="K85" i="41"/>
  <c r="P93" i="41"/>
  <c r="P94" i="41"/>
  <c r="C135" i="41"/>
  <c r="D138" i="41"/>
  <c r="D135" i="41"/>
  <c r="E135" i="41"/>
  <c r="F135" i="41"/>
  <c r="G135" i="41"/>
  <c r="H135" i="41"/>
  <c r="I135" i="41"/>
  <c r="K137" i="41"/>
  <c r="J135" i="41"/>
  <c r="K135" i="41"/>
  <c r="L138" i="41"/>
  <c r="M138" i="41"/>
  <c r="O138" i="41"/>
  <c r="P138" i="41"/>
  <c r="A139" i="41"/>
  <c r="A140" i="41"/>
  <c r="A141" i="41"/>
  <c r="A142" i="41"/>
  <c r="A143" i="41"/>
  <c r="A144" i="41"/>
  <c r="A145" i="41"/>
  <c r="A146" i="41"/>
  <c r="A147" i="41"/>
  <c r="A148" i="41"/>
  <c r="A149" i="41"/>
  <c r="A150" i="41"/>
  <c r="A151" i="41"/>
  <c r="A152" i="41"/>
  <c r="A153" i="41"/>
  <c r="A154" i="41"/>
  <c r="A155" i="41"/>
  <c r="A156" i="41"/>
  <c r="A157" i="41"/>
  <c r="A158" i="41"/>
  <c r="A159" i="41"/>
  <c r="A160" i="41"/>
  <c r="A161" i="41"/>
  <c r="A162" i="41"/>
  <c r="A163" i="41"/>
  <c r="A165" i="41"/>
  <c r="A167" i="41"/>
  <c r="A168" i="41"/>
  <c r="A169" i="41"/>
  <c r="A170" i="41"/>
  <c r="C172" i="41"/>
  <c r="E174" i="41"/>
  <c r="D172" i="41"/>
  <c r="E172" i="41"/>
  <c r="F172" i="41"/>
  <c r="G174" i="41"/>
  <c r="G172" i="41"/>
  <c r="H172" i="41"/>
  <c r="I172" i="41"/>
  <c r="J172" i="41"/>
  <c r="K172" i="41"/>
  <c r="L175" i="41"/>
  <c r="M175" i="41"/>
  <c r="O175" i="41"/>
  <c r="P175" i="41"/>
  <c r="A176" i="41"/>
  <c r="A177" i="41"/>
  <c r="A178" i="41"/>
  <c r="A179" i="41"/>
  <c r="A180" i="41"/>
  <c r="A181" i="41"/>
  <c r="A182" i="41"/>
  <c r="A183" i="41"/>
  <c r="A184" i="41"/>
  <c r="A185" i="41"/>
  <c r="A186" i="41"/>
  <c r="A187" i="41"/>
  <c r="A189" i="41"/>
  <c r="A191" i="41"/>
  <c r="A192" i="41"/>
  <c r="A193" i="41"/>
  <c r="C195" i="41"/>
  <c r="C197" i="41"/>
  <c r="D195" i="41"/>
  <c r="E195" i="41"/>
  <c r="F195" i="41"/>
  <c r="G195" i="41"/>
  <c r="H195" i="41"/>
  <c r="I195" i="41"/>
  <c r="J195" i="41"/>
  <c r="K195" i="41"/>
  <c r="L198" i="41"/>
  <c r="M198" i="41"/>
  <c r="O198" i="41"/>
  <c r="P198" i="41"/>
  <c r="A199" i="41"/>
  <c r="A200" i="41"/>
  <c r="A201" i="41"/>
  <c r="A202" i="41"/>
  <c r="A203" i="41"/>
  <c r="A204" i="41"/>
  <c r="A205" i="41"/>
  <c r="A206" i="41"/>
  <c r="A207" i="41"/>
  <c r="A208" i="41"/>
  <c r="A209" i="41"/>
  <c r="A210" i="41"/>
  <c r="A211" i="41"/>
  <c r="A212" i="41"/>
  <c r="A213" i="41"/>
  <c r="A214" i="41"/>
  <c r="A215" i="41"/>
  <c r="A216" i="41"/>
  <c r="A217" i="41"/>
  <c r="A219" i="41"/>
  <c r="A220" i="41"/>
  <c r="A222" i="41"/>
  <c r="A223" i="41"/>
  <c r="A224" i="41"/>
  <c r="A225" i="41"/>
  <c r="C227" i="41"/>
  <c r="D227" i="41"/>
  <c r="E227" i="41"/>
  <c r="F227" i="41"/>
  <c r="F228" i="41"/>
  <c r="G227" i="41"/>
  <c r="H227" i="41"/>
  <c r="I227" i="41"/>
  <c r="I228" i="41"/>
  <c r="J227" i="41"/>
  <c r="K227" i="41"/>
  <c r="L230" i="41"/>
  <c r="A233" i="41"/>
  <c r="D233" i="41"/>
  <c r="E233" i="41"/>
  <c r="G233" i="41"/>
  <c r="H233" i="41"/>
  <c r="J233" i="41"/>
  <c r="K233" i="41"/>
  <c r="D247" i="41"/>
  <c r="E247" i="41"/>
  <c r="G247" i="41"/>
  <c r="H247" i="41"/>
  <c r="J247" i="41"/>
  <c r="K247" i="41"/>
  <c r="D261" i="41"/>
  <c r="E261" i="41"/>
  <c r="G261" i="41"/>
  <c r="H261" i="41"/>
  <c r="J261" i="41"/>
  <c r="K261" i="41"/>
  <c r="A265" i="41"/>
  <c r="A266" i="41"/>
  <c r="A267" i="41"/>
  <c r="A268" i="41"/>
  <c r="A269" i="41"/>
  <c r="A270" i="41"/>
  <c r="A271" i="41"/>
  <c r="A272" i="41"/>
  <c r="A273" i="41"/>
  <c r="I275" i="41"/>
  <c r="D275" i="41"/>
  <c r="E275" i="41"/>
  <c r="G275" i="41"/>
  <c r="H275" i="41"/>
  <c r="J275" i="41"/>
  <c r="K275" i="41"/>
  <c r="A279" i="41"/>
  <c r="A280" i="41"/>
  <c r="A281" i="41"/>
  <c r="A282" i="41"/>
  <c r="A283" i="41"/>
  <c r="A284" i="41"/>
  <c r="A285" i="41"/>
  <c r="A286" i="41"/>
  <c r="A287" i="41"/>
  <c r="C289" i="41"/>
  <c r="E292" i="41"/>
  <c r="D289" i="41"/>
  <c r="E289" i="41"/>
  <c r="G289" i="41"/>
  <c r="H289" i="41"/>
  <c r="J289" i="41"/>
  <c r="K289" i="41"/>
  <c r="A293" i="41"/>
  <c r="A294" i="41"/>
  <c r="A295" i="41"/>
  <c r="A296" i="41"/>
  <c r="A297" i="41"/>
  <c r="A298" i="41"/>
  <c r="A299" i="41"/>
  <c r="A300" i="41"/>
  <c r="A301" i="41"/>
  <c r="F303" i="41"/>
  <c r="D303" i="41"/>
  <c r="E303" i="41"/>
  <c r="G303" i="41"/>
  <c r="H303" i="41"/>
  <c r="J303" i="41"/>
  <c r="K303" i="41"/>
  <c r="A307" i="41"/>
  <c r="A308" i="41"/>
  <c r="A309" i="41"/>
  <c r="A310" i="41"/>
  <c r="A311" i="41"/>
  <c r="A312" i="41"/>
  <c r="A313" i="41"/>
  <c r="A314" i="41"/>
  <c r="A315" i="41"/>
  <c r="I328" i="41"/>
  <c r="P329" i="41"/>
  <c r="P326" i="41"/>
  <c r="F359" i="41"/>
  <c r="F360" i="41"/>
  <c r="F361" i="41"/>
  <c r="C363" i="41"/>
  <c r="F363" i="41"/>
  <c r="F364" i="41"/>
  <c r="I363" i="41"/>
  <c r="K366" i="41"/>
  <c r="C371" i="41"/>
  <c r="F371" i="41"/>
  <c r="I371" i="41"/>
  <c r="A375" i="41"/>
  <c r="A376" i="41"/>
  <c r="A377" i="41"/>
  <c r="A378" i="41"/>
  <c r="A379" i="41"/>
  <c r="A380" i="41"/>
  <c r="A381" i="41"/>
  <c r="A382" i="41"/>
  <c r="A383" i="41"/>
  <c r="A384" i="41"/>
  <c r="A385" i="41"/>
  <c r="A386" i="41"/>
  <c r="A387" i="41"/>
  <c r="A388" i="41"/>
  <c r="A389" i="41"/>
  <c r="A390" i="41"/>
  <c r="A391" i="41"/>
  <c r="A392" i="41"/>
  <c r="A393" i="41"/>
  <c r="A394" i="41"/>
  <c r="A395" i="41"/>
  <c r="A396" i="41"/>
  <c r="A397" i="41"/>
  <c r="A398" i="41"/>
  <c r="A399" i="41"/>
  <c r="A400" i="41"/>
  <c r="A401" i="41"/>
  <c r="A402" i="41"/>
  <c r="A403" i="41"/>
  <c r="A404" i="41"/>
  <c r="A405" i="41"/>
  <c r="A406" i="41"/>
  <c r="A407" i="41"/>
  <c r="A408" i="41"/>
  <c r="A409" i="41"/>
  <c r="A410" i="41"/>
  <c r="A411" i="41"/>
  <c r="A412" i="41"/>
  <c r="A413" i="41"/>
  <c r="A414" i="41"/>
  <c r="A415" i="41"/>
  <c r="A416" i="41"/>
  <c r="A417" i="41"/>
  <c r="A418" i="41"/>
  <c r="A419" i="41"/>
  <c r="A420" i="41"/>
  <c r="A421" i="41"/>
  <c r="A422" i="41"/>
  <c r="A423" i="41"/>
  <c r="A424" i="41"/>
  <c r="A425" i="41"/>
  <c r="A426" i="41"/>
  <c r="A427" i="41"/>
  <c r="A428" i="41"/>
  <c r="A429" i="41"/>
  <c r="A430" i="41"/>
  <c r="A431" i="41"/>
  <c r="A432" i="41"/>
  <c r="A433" i="41"/>
  <c r="A434" i="41"/>
  <c r="A435" i="41"/>
  <c r="A436" i="41"/>
  <c r="A437" i="41"/>
  <c r="A438" i="41"/>
  <c r="A439" i="41"/>
  <c r="A440" i="41"/>
  <c r="A441" i="41"/>
  <c r="A442" i="41"/>
  <c r="A443" i="41"/>
  <c r="A444" i="41"/>
  <c r="A445" i="41"/>
  <c r="A446" i="41"/>
  <c r="A447" i="41"/>
  <c r="A448" i="41"/>
  <c r="A449" i="41"/>
  <c r="A450" i="41"/>
  <c r="A451" i="41"/>
  <c r="A452" i="41"/>
  <c r="A453" i="41"/>
  <c r="A454" i="41"/>
  <c r="A455" i="41"/>
  <c r="A456" i="41"/>
  <c r="A457" i="41"/>
  <c r="A458" i="41"/>
  <c r="A459" i="41"/>
  <c r="A460" i="41"/>
  <c r="A461" i="41"/>
  <c r="A462" i="41"/>
  <c r="A463" i="41"/>
  <c r="A464" i="41"/>
  <c r="A465" i="41"/>
  <c r="A466" i="41"/>
  <c r="A467" i="41"/>
  <c r="A468" i="41"/>
  <c r="A469" i="41"/>
  <c r="A470" i="41"/>
  <c r="C472" i="41"/>
  <c r="E474" i="41"/>
  <c r="F472" i="41"/>
  <c r="I472" i="41"/>
  <c r="A477" i="41"/>
  <c r="A478" i="41"/>
  <c r="A479" i="41"/>
  <c r="A480" i="41"/>
  <c r="A481" i="41"/>
  <c r="A482" i="41"/>
  <c r="A483" i="41"/>
  <c r="A484" i="41"/>
  <c r="A485" i="41"/>
  <c r="A486" i="41"/>
  <c r="A487" i="41"/>
  <c r="A488" i="41"/>
  <c r="A489" i="41"/>
  <c r="A490" i="41"/>
  <c r="A491" i="41"/>
  <c r="A492" i="41"/>
  <c r="A493" i="41"/>
  <c r="A494" i="41"/>
  <c r="A495" i="41"/>
  <c r="A496" i="41"/>
  <c r="A497" i="41"/>
  <c r="A498" i="41"/>
  <c r="A499" i="41"/>
  <c r="A500" i="41"/>
  <c r="A501" i="41"/>
  <c r="A502" i="41"/>
  <c r="A503" i="41"/>
  <c r="A504" i="41"/>
  <c r="A505" i="41"/>
  <c r="A506" i="41"/>
  <c r="A507" i="41"/>
  <c r="A508" i="41"/>
  <c r="A509" i="41"/>
  <c r="A510" i="41"/>
  <c r="A511" i="41"/>
  <c r="A512" i="41"/>
  <c r="A513" i="41"/>
  <c r="A514" i="41"/>
  <c r="A515" i="41"/>
  <c r="A516" i="41"/>
  <c r="A517" i="41"/>
  <c r="A518" i="41"/>
  <c r="A519" i="41"/>
  <c r="A520" i="41"/>
  <c r="A521" i="41"/>
  <c r="A522" i="41"/>
  <c r="A523" i="41"/>
  <c r="A524" i="41"/>
  <c r="A525" i="41"/>
  <c r="A526" i="41"/>
  <c r="A527" i="41"/>
  <c r="A528" i="41"/>
  <c r="A529" i="41"/>
  <c r="A530" i="41"/>
  <c r="A531" i="41"/>
  <c r="A532" i="41"/>
  <c r="A533" i="41"/>
  <c r="A534" i="41"/>
  <c r="A535" i="41"/>
  <c r="A536" i="41"/>
  <c r="A537" i="41"/>
  <c r="A538" i="41"/>
  <c r="A539" i="41"/>
  <c r="A540" i="41"/>
  <c r="A541" i="41"/>
  <c r="A542" i="41"/>
  <c r="A543" i="41"/>
  <c r="A544" i="41"/>
  <c r="A545" i="41"/>
  <c r="A546" i="41"/>
  <c r="A547" i="41"/>
  <c r="A548" i="41"/>
  <c r="A549" i="41"/>
  <c r="A550" i="41"/>
  <c r="A551" i="41"/>
  <c r="A552" i="41"/>
  <c r="A553" i="41"/>
  <c r="A554" i="41"/>
  <c r="A555" i="41"/>
  <c r="A556" i="41"/>
  <c r="A557" i="41"/>
  <c r="A558" i="41"/>
  <c r="A559" i="41"/>
  <c r="A560" i="41"/>
  <c r="A561" i="41"/>
  <c r="A562" i="41"/>
  <c r="A563" i="41"/>
  <c r="A564" i="41"/>
  <c r="A565" i="41"/>
  <c r="A566" i="41"/>
  <c r="A567" i="41"/>
  <c r="A568" i="41"/>
  <c r="A569" i="41"/>
  <c r="A570" i="41"/>
  <c r="A571" i="41"/>
  <c r="P573" i="41"/>
  <c r="P574" i="41"/>
  <c r="P575" i="41"/>
  <c r="P576" i="41"/>
  <c r="P577" i="41"/>
  <c r="P578" i="41"/>
  <c r="P582" i="41"/>
  <c r="P583" i="41"/>
  <c r="P584" i="41"/>
  <c r="P585" i="41"/>
  <c r="P586" i="41"/>
  <c r="P587" i="41"/>
  <c r="P588" i="41"/>
  <c r="P589" i="41"/>
  <c r="C2" i="49"/>
  <c r="G2" i="49"/>
  <c r="C3" i="49"/>
  <c r="G3" i="49"/>
  <c r="C4" i="49"/>
  <c r="G4" i="49"/>
  <c r="L4" i="49"/>
  <c r="C5" i="49"/>
  <c r="F6" i="49"/>
  <c r="F7" i="49"/>
  <c r="H10" i="49"/>
  <c r="H11" i="49"/>
  <c r="H12" i="49"/>
  <c r="I12" i="49"/>
  <c r="H13" i="49"/>
  <c r="I13" i="49"/>
  <c r="H14" i="49"/>
  <c r="H15" i="49"/>
  <c r="I15" i="49"/>
  <c r="H16" i="49"/>
  <c r="I16" i="49"/>
  <c r="H17" i="49"/>
  <c r="I17" i="49"/>
  <c r="H18" i="49"/>
  <c r="B83" i="49"/>
  <c r="B148" i="49"/>
  <c r="B213" i="49"/>
  <c r="Q18" i="50"/>
  <c r="K18" i="50"/>
  <c r="Q14" i="50"/>
  <c r="K14" i="50"/>
  <c r="M14" i="50"/>
  <c r="J40" i="50"/>
  <c r="E26" i="3"/>
  <c r="H100" i="43"/>
  <c r="Y16" i="3"/>
  <c r="AA16" i="3"/>
  <c r="AB16" i="3"/>
  <c r="E16" i="3"/>
  <c r="J37" i="35"/>
  <c r="G45" i="49"/>
  <c r="Y133" i="3"/>
  <c r="AA133" i="3"/>
  <c r="AB133" i="3"/>
  <c r="Y18" i="3"/>
  <c r="AA18" i="3"/>
  <c r="AB18" i="3"/>
  <c r="E18" i="3"/>
  <c r="D138" i="3"/>
  <c r="Y37" i="35"/>
  <c r="K6" i="22"/>
  <c r="D126" i="3"/>
  <c r="Y27" i="3"/>
  <c r="AA27" i="3"/>
  <c r="AB27" i="3"/>
  <c r="E27" i="3"/>
  <c r="Q78" i="50"/>
  <c r="Y14" i="3"/>
  <c r="AA14" i="3"/>
  <c r="Y139" i="3"/>
  <c r="AA139" i="3"/>
  <c r="AB139" i="3"/>
  <c r="E31" i="3"/>
  <c r="E19" i="3"/>
  <c r="Y19" i="3"/>
  <c r="AA19" i="3"/>
  <c r="AB19" i="3"/>
  <c r="Y98" i="3"/>
  <c r="AA98" i="3"/>
  <c r="AB98" i="3"/>
  <c r="D97" i="3"/>
  <c r="Y86" i="3"/>
  <c r="AA86" i="3"/>
  <c r="AB86" i="3"/>
  <c r="D85" i="3"/>
  <c r="Y15" i="3"/>
  <c r="AA15" i="3"/>
  <c r="AB15" i="3"/>
  <c r="Y35" i="3"/>
  <c r="AA35" i="3"/>
  <c r="AB35" i="3"/>
  <c r="Y20" i="3"/>
  <c r="AA20" i="3"/>
  <c r="AB20" i="3"/>
  <c r="E20" i="3"/>
  <c r="D38" i="50"/>
  <c r="D40" i="50"/>
  <c r="Q40" i="50"/>
  <c r="Y56" i="3"/>
  <c r="AA56" i="3"/>
  <c r="AB56" i="3"/>
  <c r="Y36" i="3"/>
  <c r="AA36" i="3"/>
  <c r="AB36" i="3"/>
  <c r="Y32" i="3"/>
  <c r="AA32" i="3"/>
  <c r="AB32" i="3"/>
  <c r="Y24" i="3"/>
  <c r="AA24" i="3"/>
  <c r="AB24" i="3"/>
  <c r="Y22" i="3"/>
  <c r="AA22" i="3"/>
  <c r="AB22" i="3"/>
  <c r="Q51" i="50"/>
  <c r="K51" i="50"/>
  <c r="E13" i="50"/>
  <c r="Q13" i="50"/>
  <c r="Q66" i="50"/>
  <c r="K53" i="50"/>
  <c r="E23" i="3"/>
  <c r="K27" i="50"/>
  <c r="K49" i="50"/>
  <c r="M49" i="50"/>
  <c r="Q55" i="50"/>
  <c r="E26" i="50"/>
  <c r="E50" i="50"/>
  <c r="K48" i="50"/>
  <c r="M48" i="50"/>
  <c r="K24" i="50"/>
  <c r="J88" i="50"/>
  <c r="K25" i="50"/>
  <c r="E22" i="50"/>
  <c r="G22" i="50"/>
  <c r="E15" i="50"/>
  <c r="G15" i="50"/>
  <c r="H29" i="39"/>
  <c r="H13" i="39"/>
  <c r="J27" i="35"/>
  <c r="AA7" i="35"/>
  <c r="S81" i="35"/>
  <c r="S15" i="35"/>
  <c r="J88" i="43"/>
  <c r="I160" i="49"/>
  <c r="J100" i="43"/>
  <c r="I172" i="49"/>
  <c r="M366" i="41"/>
  <c r="M306" i="41"/>
  <c r="M292" i="41"/>
  <c r="K9" i="30"/>
  <c r="M236" i="41"/>
  <c r="T114" i="30"/>
  <c r="M374" i="41"/>
  <c r="H48" i="48"/>
  <c r="P236" i="41"/>
  <c r="C4" i="45"/>
  <c r="M88" i="41"/>
  <c r="O114" i="30"/>
  <c r="P292" i="41"/>
  <c r="P374" i="41"/>
  <c r="K214" i="30"/>
  <c r="T9" i="30"/>
  <c r="M264" i="41"/>
  <c r="P11" i="22"/>
  <c r="P306" i="41"/>
  <c r="M320" i="41"/>
  <c r="P264" i="41"/>
  <c r="T214" i="30"/>
  <c r="M278" i="41"/>
  <c r="K64" i="22"/>
  <c r="P250" i="41"/>
  <c r="P20" i="22"/>
  <c r="P475" i="41"/>
  <c r="P88" i="41"/>
  <c r="O214" i="30"/>
  <c r="K114" i="30"/>
  <c r="O9" i="30"/>
  <c r="P278" i="41"/>
  <c r="M475" i="41"/>
  <c r="M250" i="41"/>
  <c r="A520" i="28"/>
  <c r="K20" i="22"/>
  <c r="P366" i="41"/>
  <c r="K73" i="22"/>
  <c r="E34" i="2"/>
  <c r="K11" i="22"/>
  <c r="P320" i="41"/>
  <c r="F34" i="43"/>
  <c r="J34" i="43"/>
  <c r="D172" i="49"/>
  <c r="U19" i="43"/>
  <c r="I90" i="2"/>
  <c r="J26" i="43"/>
  <c r="D164" i="49"/>
  <c r="U26" i="43"/>
  <c r="U34" i="43"/>
  <c r="G100" i="43"/>
  <c r="K29" i="30"/>
  <c r="K34" i="30"/>
  <c r="K22" i="30"/>
  <c r="K33" i="30"/>
  <c r="K14" i="30"/>
  <c r="K15" i="30"/>
  <c r="H11" i="30"/>
  <c r="L11" i="30"/>
  <c r="A67" i="22"/>
  <c r="I46" i="2"/>
  <c r="J46" i="2"/>
  <c r="R27" i="28"/>
  <c r="R30" i="28"/>
  <c r="R34" i="28"/>
  <c r="R38" i="28"/>
  <c r="R42" i="28"/>
  <c r="R46" i="28"/>
  <c r="R50" i="28"/>
  <c r="R54" i="28"/>
  <c r="R58" i="28"/>
  <c r="R62" i="28"/>
  <c r="R66" i="28"/>
  <c r="R70" i="28"/>
  <c r="R74" i="28"/>
  <c r="R78" i="28"/>
  <c r="R82" i="28"/>
  <c r="R86" i="28"/>
  <c r="R90" i="28"/>
  <c r="R94" i="28"/>
  <c r="R98" i="28"/>
  <c r="R102" i="28"/>
  <c r="R106" i="28"/>
  <c r="R110" i="28"/>
  <c r="R114" i="28"/>
  <c r="R118" i="28"/>
  <c r="R122" i="28"/>
  <c r="R126" i="28"/>
  <c r="R130" i="28"/>
  <c r="R134" i="28"/>
  <c r="R138" i="28"/>
  <c r="R142" i="28"/>
  <c r="R146" i="28"/>
  <c r="R150" i="28"/>
  <c r="R154" i="28"/>
  <c r="R158" i="28"/>
  <c r="R162" i="28"/>
  <c r="R166" i="28"/>
  <c r="R170" i="28"/>
  <c r="R174" i="28"/>
  <c r="R178" i="28"/>
  <c r="R182" i="28"/>
  <c r="R186" i="28"/>
  <c r="R190" i="28"/>
  <c r="R194" i="28"/>
  <c r="R198" i="28"/>
  <c r="R202" i="28"/>
  <c r="R206" i="28"/>
  <c r="R210" i="28"/>
  <c r="R214" i="28"/>
  <c r="R218" i="28"/>
  <c r="R222" i="28"/>
  <c r="R226" i="28"/>
  <c r="R230" i="28"/>
  <c r="R234" i="28"/>
  <c r="R238" i="28"/>
  <c r="R242" i="28"/>
  <c r="R246" i="28"/>
  <c r="R250" i="28"/>
  <c r="R254" i="28"/>
  <c r="R258" i="28"/>
  <c r="R262" i="28"/>
  <c r="R266" i="28"/>
  <c r="R270" i="28"/>
  <c r="R274" i="28"/>
  <c r="R278" i="28"/>
  <c r="R282" i="28"/>
  <c r="R286" i="28"/>
  <c r="R290" i="28"/>
  <c r="R294" i="28"/>
  <c r="R298" i="28"/>
  <c r="R302" i="28"/>
  <c r="R306" i="28"/>
  <c r="R310" i="28"/>
  <c r="R314" i="28"/>
  <c r="R318" i="28"/>
  <c r="R322" i="28"/>
  <c r="R326" i="28"/>
  <c r="R330" i="28"/>
  <c r="R334" i="28"/>
  <c r="R338" i="28"/>
  <c r="R342" i="28"/>
  <c r="R346" i="28"/>
  <c r="R350" i="28"/>
  <c r="R354" i="28"/>
  <c r="R358" i="28"/>
  <c r="R362" i="28"/>
  <c r="R366" i="28"/>
  <c r="R370" i="28"/>
  <c r="R374" i="28"/>
  <c r="R378" i="28"/>
  <c r="R382" i="28"/>
  <c r="R386" i="28"/>
  <c r="R390" i="28"/>
  <c r="R394" i="28"/>
  <c r="R398" i="28"/>
  <c r="R402" i="28"/>
  <c r="R406" i="28"/>
  <c r="R410" i="28"/>
  <c r="R414" i="28"/>
  <c r="R418" i="28"/>
  <c r="R422" i="28"/>
  <c r="R426" i="28"/>
  <c r="R430" i="28"/>
  <c r="R434" i="28"/>
  <c r="R438" i="28"/>
  <c r="R442" i="28"/>
  <c r="R446" i="28"/>
  <c r="R450" i="28"/>
  <c r="R454" i="28"/>
  <c r="R458" i="28"/>
  <c r="R462" i="28"/>
  <c r="R466" i="28"/>
  <c r="R470" i="28"/>
  <c r="R474" i="28"/>
  <c r="R478" i="28"/>
  <c r="R482" i="28"/>
  <c r="R486" i="28"/>
  <c r="R490" i="28"/>
  <c r="R494" i="28"/>
  <c r="R498" i="28"/>
  <c r="R502" i="28"/>
  <c r="R31" i="28"/>
  <c r="R35" i="28"/>
  <c r="R39" i="28"/>
  <c r="R43" i="28"/>
  <c r="R47" i="28"/>
  <c r="R51" i="28"/>
  <c r="R55" i="28"/>
  <c r="R59" i="28"/>
  <c r="R63" i="28"/>
  <c r="R67" i="28"/>
  <c r="R71" i="28"/>
  <c r="R75" i="28"/>
  <c r="R79" i="28"/>
  <c r="R83" i="28"/>
  <c r="R87" i="28"/>
  <c r="R91" i="28"/>
  <c r="R95" i="28"/>
  <c r="R99" i="28"/>
  <c r="R103" i="28"/>
  <c r="R107" i="28"/>
  <c r="R111" i="28"/>
  <c r="R115" i="28"/>
  <c r="R119" i="28"/>
  <c r="R123" i="28"/>
  <c r="R127" i="28"/>
  <c r="R131" i="28"/>
  <c r="R135" i="28"/>
  <c r="R139" i="28"/>
  <c r="R143" i="28"/>
  <c r="R147" i="28"/>
  <c r="R151" i="28"/>
  <c r="R155" i="28"/>
  <c r="R159" i="28"/>
  <c r="R163" i="28"/>
  <c r="R167" i="28"/>
  <c r="R171" i="28"/>
  <c r="R175" i="28"/>
  <c r="R179" i="28"/>
  <c r="R183" i="28"/>
  <c r="R187" i="28"/>
  <c r="R191" i="28"/>
  <c r="R195" i="28"/>
  <c r="R199" i="28"/>
  <c r="R203" i="28"/>
  <c r="R207" i="28"/>
  <c r="R211" i="28"/>
  <c r="R215" i="28"/>
  <c r="R219" i="28"/>
  <c r="R223" i="28"/>
  <c r="R227" i="28"/>
  <c r="R231" i="28"/>
  <c r="R235" i="28"/>
  <c r="R239" i="28"/>
  <c r="R243" i="28"/>
  <c r="R247" i="28"/>
  <c r="R251" i="28"/>
  <c r="R255" i="28"/>
  <c r="R259" i="28"/>
  <c r="R263" i="28"/>
  <c r="R267" i="28"/>
  <c r="R271" i="28"/>
  <c r="R275" i="28"/>
  <c r="R279" i="28"/>
  <c r="R283" i="28"/>
  <c r="R287" i="28"/>
  <c r="R291" i="28"/>
  <c r="R295" i="28"/>
  <c r="R299" i="28"/>
  <c r="R303" i="28"/>
  <c r="R307" i="28"/>
  <c r="R311" i="28"/>
  <c r="R315" i="28"/>
  <c r="R319" i="28"/>
  <c r="R323" i="28"/>
  <c r="R327" i="28"/>
  <c r="R331" i="28"/>
  <c r="R335" i="28"/>
  <c r="R339" i="28"/>
  <c r="R343" i="28"/>
  <c r="R347" i="28"/>
  <c r="R351" i="28"/>
  <c r="R355" i="28"/>
  <c r="R359" i="28"/>
  <c r="R363" i="28"/>
  <c r="R367" i="28"/>
  <c r="R371" i="28"/>
  <c r="R375" i="28"/>
  <c r="R379" i="28"/>
  <c r="R383" i="28"/>
  <c r="R387" i="28"/>
  <c r="R391" i="28"/>
  <c r="R395" i="28"/>
  <c r="R399" i="28"/>
  <c r="R403" i="28"/>
  <c r="R407" i="28"/>
  <c r="R411" i="28"/>
  <c r="R415" i="28"/>
  <c r="R419" i="28"/>
  <c r="R423" i="28"/>
  <c r="R427" i="28"/>
  <c r="R431" i="28"/>
  <c r="R435" i="28"/>
  <c r="R439" i="28"/>
  <c r="R443" i="28"/>
  <c r="R447" i="28"/>
  <c r="R451" i="28"/>
  <c r="R455" i="28"/>
  <c r="R459" i="28"/>
  <c r="R463" i="28"/>
  <c r="R467" i="28"/>
  <c r="R471" i="28"/>
  <c r="R475" i="28"/>
  <c r="R479" i="28"/>
  <c r="R483" i="28"/>
  <c r="R487" i="28"/>
  <c r="R491" i="28"/>
  <c r="R495" i="28"/>
  <c r="R499" i="28"/>
  <c r="R503" i="28"/>
  <c r="R28" i="28"/>
  <c r="R32" i="28"/>
  <c r="R36" i="28"/>
  <c r="R40" i="28"/>
  <c r="R44" i="28"/>
  <c r="R48" i="28"/>
  <c r="R52" i="28"/>
  <c r="R56" i="28"/>
  <c r="R60" i="28"/>
  <c r="R64" i="28"/>
  <c r="R68" i="28"/>
  <c r="R72" i="28"/>
  <c r="R76" i="28"/>
  <c r="R80" i="28"/>
  <c r="R84" i="28"/>
  <c r="R88" i="28"/>
  <c r="R92" i="28"/>
  <c r="R96" i="28"/>
  <c r="R100" i="28"/>
  <c r="R104" i="28"/>
  <c r="R108" i="28"/>
  <c r="R112" i="28"/>
  <c r="R116" i="28"/>
  <c r="R120" i="28"/>
  <c r="R124" i="28"/>
  <c r="R128" i="28"/>
  <c r="R132" i="28"/>
  <c r="R136" i="28"/>
  <c r="R140" i="28"/>
  <c r="R144" i="28"/>
  <c r="R148" i="28"/>
  <c r="R152" i="28"/>
  <c r="R156" i="28"/>
  <c r="R160" i="28"/>
  <c r="R164" i="28"/>
  <c r="R168" i="28"/>
  <c r="R172" i="28"/>
  <c r="R176" i="28"/>
  <c r="R180" i="28"/>
  <c r="R184" i="28"/>
  <c r="R188" i="28"/>
  <c r="R192" i="28"/>
  <c r="R196" i="28"/>
  <c r="R200" i="28"/>
  <c r="R204" i="28"/>
  <c r="R208" i="28"/>
  <c r="R212" i="28"/>
  <c r="R216" i="28"/>
  <c r="R220" i="28"/>
  <c r="R224" i="28"/>
  <c r="R228" i="28"/>
  <c r="R232" i="28"/>
  <c r="R236" i="28"/>
  <c r="R240" i="28"/>
  <c r="R244" i="28"/>
  <c r="R248" i="28"/>
  <c r="R252" i="28"/>
  <c r="R256" i="28"/>
  <c r="R260" i="28"/>
  <c r="R264" i="28"/>
  <c r="R268" i="28"/>
  <c r="R272" i="28"/>
  <c r="R276" i="28"/>
  <c r="R280" i="28"/>
  <c r="R284" i="28"/>
  <c r="R288" i="28"/>
  <c r="R292" i="28"/>
  <c r="R296" i="28"/>
  <c r="R300" i="28"/>
  <c r="R304" i="28"/>
  <c r="R308" i="28"/>
  <c r="R312" i="28"/>
  <c r="R316" i="28"/>
  <c r="R320" i="28"/>
  <c r="R324" i="28"/>
  <c r="R328" i="28"/>
  <c r="R332" i="28"/>
  <c r="R336" i="28"/>
  <c r="R340" i="28"/>
  <c r="R344" i="28"/>
  <c r="R348" i="28"/>
  <c r="R352" i="28"/>
  <c r="R356" i="28"/>
  <c r="R360" i="28"/>
  <c r="R364" i="28"/>
  <c r="R368" i="28"/>
  <c r="R372" i="28"/>
  <c r="R376" i="28"/>
  <c r="R380" i="28"/>
  <c r="R384" i="28"/>
  <c r="R388" i="28"/>
  <c r="R392" i="28"/>
  <c r="R396" i="28"/>
  <c r="R400" i="28"/>
  <c r="R404" i="28"/>
  <c r="R408" i="28"/>
  <c r="R412" i="28"/>
  <c r="R416" i="28"/>
  <c r="R420" i="28"/>
  <c r="R424" i="28"/>
  <c r="R428" i="28"/>
  <c r="R432" i="28"/>
  <c r="R436" i="28"/>
  <c r="R440" i="28"/>
  <c r="R444" i="28"/>
  <c r="R448" i="28"/>
  <c r="R452" i="28"/>
  <c r="R456" i="28"/>
  <c r="R460" i="28"/>
  <c r="R464" i="28"/>
  <c r="R468" i="28"/>
  <c r="R472" i="28"/>
  <c r="R476" i="28"/>
  <c r="R480" i="28"/>
  <c r="R484" i="28"/>
  <c r="R488" i="28"/>
  <c r="R492" i="28"/>
  <c r="R496" i="28"/>
  <c r="R500" i="28"/>
  <c r="R504" i="28"/>
  <c r="R29" i="28"/>
  <c r="R33" i="28"/>
  <c r="R37" i="28"/>
  <c r="R41" i="28"/>
  <c r="R45" i="28"/>
  <c r="R49" i="28"/>
  <c r="R53" i="28"/>
  <c r="R57" i="28"/>
  <c r="R61" i="28"/>
  <c r="R65" i="28"/>
  <c r="R69" i="28"/>
  <c r="R73" i="28"/>
  <c r="R77" i="28"/>
  <c r="R81" i="28"/>
  <c r="R85" i="28"/>
  <c r="R89" i="28"/>
  <c r="R93" i="28"/>
  <c r="R97" i="28"/>
  <c r="R101" i="28"/>
  <c r="R105" i="28"/>
  <c r="R109" i="28"/>
  <c r="R113" i="28"/>
  <c r="R117" i="28"/>
  <c r="R121" i="28"/>
  <c r="R125" i="28"/>
  <c r="R129" i="28"/>
  <c r="R133" i="28"/>
  <c r="R137" i="28"/>
  <c r="R141" i="28"/>
  <c r="R145" i="28"/>
  <c r="R149" i="28"/>
  <c r="R153" i="28"/>
  <c r="R157" i="28"/>
  <c r="R161" i="28"/>
  <c r="R165" i="28"/>
  <c r="R169" i="28"/>
  <c r="R173" i="28"/>
  <c r="R177" i="28"/>
  <c r="R181" i="28"/>
  <c r="R185" i="28"/>
  <c r="R189" i="28"/>
  <c r="R193" i="28"/>
  <c r="R197" i="28"/>
  <c r="R201" i="28"/>
  <c r="R205" i="28"/>
  <c r="R209" i="28"/>
  <c r="R213" i="28"/>
  <c r="R217" i="28"/>
  <c r="R221" i="28"/>
  <c r="R225" i="28"/>
  <c r="R229" i="28"/>
  <c r="R233" i="28"/>
  <c r="R237" i="28"/>
  <c r="R241" i="28"/>
  <c r="R245" i="28"/>
  <c r="R249" i="28"/>
  <c r="R253" i="28"/>
  <c r="R257" i="28"/>
  <c r="R261" i="28"/>
  <c r="R265" i="28"/>
  <c r="R269" i="28"/>
  <c r="R273" i="28"/>
  <c r="R277" i="28"/>
  <c r="R281" i="28"/>
  <c r="R285" i="28"/>
  <c r="R289" i="28"/>
  <c r="R293" i="28"/>
  <c r="R297" i="28"/>
  <c r="R301" i="28"/>
  <c r="R305" i="28"/>
  <c r="R309" i="28"/>
  <c r="R313" i="28"/>
  <c r="R317" i="28"/>
  <c r="R321" i="28"/>
  <c r="R325" i="28"/>
  <c r="R329" i="28"/>
  <c r="R333" i="28"/>
  <c r="R337" i="28"/>
  <c r="R341" i="28"/>
  <c r="R345" i="28"/>
  <c r="R349" i="28"/>
  <c r="R353" i="28"/>
  <c r="R357" i="28"/>
  <c r="R361" i="28"/>
  <c r="R365" i="28"/>
  <c r="R369" i="28"/>
  <c r="R373" i="28"/>
  <c r="R377" i="28"/>
  <c r="R381" i="28"/>
  <c r="R385" i="28"/>
  <c r="R389" i="28"/>
  <c r="R393" i="28"/>
  <c r="R397" i="28"/>
  <c r="R401" i="28"/>
  <c r="R405" i="28"/>
  <c r="R409" i="28"/>
  <c r="R413" i="28"/>
  <c r="R417" i="28"/>
  <c r="R421" i="28"/>
  <c r="R425" i="28"/>
  <c r="R429" i="28"/>
  <c r="R433" i="28"/>
  <c r="R437" i="28"/>
  <c r="R441" i="28"/>
  <c r="R445" i="28"/>
  <c r="R449" i="28"/>
  <c r="R453" i="28"/>
  <c r="R457" i="28"/>
  <c r="R461" i="28"/>
  <c r="R465" i="28"/>
  <c r="R469" i="28"/>
  <c r="R473" i="28"/>
  <c r="R477" i="28"/>
  <c r="R481" i="28"/>
  <c r="R485" i="28"/>
  <c r="R489" i="28"/>
  <c r="R493" i="28"/>
  <c r="R497" i="28"/>
  <c r="R501" i="28"/>
  <c r="R505" i="28"/>
  <c r="R26" i="28"/>
  <c r="C13" i="39"/>
  <c r="G313" i="41"/>
  <c r="G309" i="41"/>
  <c r="G310" i="41"/>
  <c r="G315" i="41"/>
  <c r="G311" i="41"/>
  <c r="G307" i="41"/>
  <c r="G312" i="41"/>
  <c r="G308" i="41"/>
  <c r="G314" i="41"/>
  <c r="F315" i="41"/>
  <c r="F313" i="41"/>
  <c r="F311" i="41"/>
  <c r="F309" i="41"/>
  <c r="F314" i="41"/>
  <c r="F312" i="41"/>
  <c r="F310" i="41"/>
  <c r="F308" i="41"/>
  <c r="F307" i="41"/>
  <c r="C293" i="41"/>
  <c r="D293" i="41"/>
  <c r="C298" i="41"/>
  <c r="D297" i="41"/>
  <c r="C294" i="41"/>
  <c r="C301" i="41"/>
  <c r="D300" i="41"/>
  <c r="C297" i="41"/>
  <c r="D296" i="41"/>
  <c r="C299" i="41"/>
  <c r="D298" i="41"/>
  <c r="C295" i="41"/>
  <c r="D294" i="41"/>
  <c r="D301" i="41"/>
  <c r="C300" i="41"/>
  <c r="D299" i="41"/>
  <c r="C296" i="41"/>
  <c r="D295" i="41"/>
  <c r="I279" i="41"/>
  <c r="I285" i="41"/>
  <c r="I281" i="41"/>
  <c r="J287" i="41"/>
  <c r="I284" i="41"/>
  <c r="I280" i="41"/>
  <c r="I287" i="41"/>
  <c r="J286" i="41"/>
  <c r="I283" i="41"/>
  <c r="I286" i="41"/>
  <c r="I282" i="41"/>
  <c r="D13" i="60"/>
  <c r="I27" i="2"/>
  <c r="F205" i="41"/>
  <c r="E27" i="35"/>
  <c r="G144" i="41"/>
  <c r="I413" i="41"/>
  <c r="E21" i="35"/>
  <c r="F26" i="45"/>
  <c r="G129" i="41"/>
  <c r="E23" i="35"/>
  <c r="E49" i="35"/>
  <c r="G163" i="41"/>
  <c r="F146" i="41"/>
  <c r="E65" i="35"/>
  <c r="F144" i="41"/>
  <c r="E46" i="35"/>
  <c r="E60" i="35"/>
  <c r="G125" i="41"/>
  <c r="L11" i="28"/>
  <c r="E52" i="35"/>
  <c r="A9" i="28"/>
  <c r="C15" i="39"/>
  <c r="E29" i="35"/>
  <c r="E36" i="35"/>
  <c r="E53" i="35"/>
  <c r="I346" i="41"/>
  <c r="C13" i="60"/>
  <c r="E64" i="35"/>
  <c r="G13" i="45"/>
  <c r="G207" i="41"/>
  <c r="E68" i="35"/>
  <c r="E45" i="35"/>
  <c r="F570" i="41"/>
  <c r="J539" i="41"/>
  <c r="E74" i="35"/>
  <c r="F13" i="45"/>
  <c r="I186" i="41"/>
  <c r="G26" i="45"/>
  <c r="I152" i="41"/>
  <c r="E34" i="35"/>
  <c r="I521" i="41"/>
  <c r="E38" i="35"/>
  <c r="I563" i="41"/>
  <c r="J565" i="41"/>
  <c r="E32" i="35"/>
  <c r="H11" i="28"/>
  <c r="E20" i="35"/>
  <c r="E69" i="35"/>
  <c r="F176" i="41"/>
  <c r="I549" i="41"/>
  <c r="N11" i="28"/>
  <c r="E39" i="35"/>
  <c r="E48" i="35"/>
  <c r="P11" i="28"/>
  <c r="E59" i="35"/>
  <c r="K12" i="2"/>
  <c r="F89" i="41"/>
  <c r="E44" i="35"/>
  <c r="C36" i="2"/>
  <c r="C41" i="60"/>
  <c r="O111" i="30"/>
  <c r="I532" i="41"/>
  <c r="F2" i="45"/>
  <c r="E67" i="35"/>
  <c r="J507" i="41"/>
  <c r="E28" i="35"/>
  <c r="E58" i="35"/>
  <c r="I163" i="41"/>
  <c r="I29" i="2"/>
  <c r="I545" i="41"/>
  <c r="G453" i="41"/>
  <c r="A11" i="28"/>
  <c r="E40" i="35"/>
  <c r="G130" i="41"/>
  <c r="F153" i="41"/>
  <c r="E56" i="35"/>
  <c r="G89" i="41"/>
  <c r="E18" i="35"/>
  <c r="J567" i="41"/>
  <c r="I489" i="41"/>
  <c r="J561" i="41"/>
  <c r="E26" i="35"/>
  <c r="I153" i="41"/>
  <c r="K176" i="41"/>
  <c r="C569" i="41"/>
  <c r="C27" i="60"/>
  <c r="I26" i="2"/>
  <c r="E63" i="35"/>
  <c r="E51" i="35"/>
  <c r="E37" i="35"/>
  <c r="E15" i="35"/>
  <c r="F217" i="41"/>
  <c r="J20" i="2"/>
  <c r="G128" i="41"/>
  <c r="E16" i="35"/>
  <c r="J11" i="28"/>
  <c r="E43" i="35"/>
  <c r="E70" i="35"/>
  <c r="E41" i="35"/>
  <c r="E54" i="35"/>
  <c r="F528" i="41"/>
  <c r="H142" i="41"/>
  <c r="G126" i="41"/>
  <c r="E25" i="35"/>
  <c r="E31" i="35"/>
  <c r="E57" i="35"/>
  <c r="E42" i="35"/>
  <c r="I490" i="41"/>
  <c r="E72" i="35"/>
  <c r="E66" i="35"/>
  <c r="E30" i="35"/>
  <c r="J538" i="41"/>
  <c r="E73" i="35"/>
  <c r="H27" i="39"/>
  <c r="E35" i="35"/>
  <c r="G124" i="41"/>
  <c r="I149" i="41"/>
  <c r="E61" i="35"/>
  <c r="K11" i="2"/>
  <c r="D27" i="60"/>
  <c r="I30" i="2"/>
  <c r="E55" i="35"/>
  <c r="E50" i="35"/>
  <c r="D41" i="60"/>
  <c r="E71" i="35"/>
  <c r="E47" i="35"/>
  <c r="F11" i="28"/>
  <c r="E36" i="2"/>
  <c r="G127" i="41"/>
  <c r="E33" i="35"/>
  <c r="G27" i="39"/>
  <c r="E17" i="35"/>
  <c r="F203" i="41"/>
  <c r="E22" i="35"/>
  <c r="G554" i="41"/>
  <c r="E24" i="35"/>
  <c r="E19" i="35"/>
  <c r="L111" i="30"/>
  <c r="E62" i="35"/>
  <c r="G23" i="53"/>
  <c r="K138" i="3"/>
  <c r="K126" i="3"/>
  <c r="G74" i="35"/>
  <c r="D73" i="3"/>
  <c r="G71" i="35"/>
  <c r="D70" i="3"/>
  <c r="G67" i="35"/>
  <c r="D66" i="3"/>
  <c r="G61" i="35"/>
  <c r="D60" i="3"/>
  <c r="G47" i="35"/>
  <c r="D46" i="3"/>
  <c r="G44" i="35"/>
  <c r="D43" i="3"/>
  <c r="G43" i="35"/>
  <c r="D42" i="3"/>
  <c r="G41" i="35"/>
  <c r="D40" i="3"/>
  <c r="G69" i="35"/>
  <c r="D68" i="3"/>
  <c r="G65" i="35"/>
  <c r="D64" i="3"/>
  <c r="G57" i="35"/>
  <c r="D56" i="3"/>
  <c r="G54" i="35"/>
  <c r="D53" i="3"/>
  <c r="G49" i="35"/>
  <c r="D48" i="3"/>
  <c r="F2" i="3"/>
  <c r="G139" i="35"/>
  <c r="I139" i="35"/>
  <c r="G135" i="35"/>
  <c r="I135" i="35"/>
  <c r="Y132" i="3"/>
  <c r="AA132" i="3"/>
  <c r="AB132" i="3"/>
  <c r="G133" i="35"/>
  <c r="D131" i="3"/>
  <c r="G132" i="35"/>
  <c r="C131" i="43"/>
  <c r="G131" i="35"/>
  <c r="D128" i="3"/>
  <c r="E128" i="3"/>
  <c r="G129" i="35"/>
  <c r="C128" i="43"/>
  <c r="G128" i="35"/>
  <c r="I128" i="35"/>
  <c r="C127" i="43"/>
  <c r="G127" i="43"/>
  <c r="G127" i="35"/>
  <c r="Y125" i="3"/>
  <c r="AA125" i="3"/>
  <c r="AB125" i="3"/>
  <c r="G126" i="35"/>
  <c r="M126" i="35"/>
  <c r="I68" i="49"/>
  <c r="Y124" i="3"/>
  <c r="AA124" i="3"/>
  <c r="AB124" i="3"/>
  <c r="G125" i="35"/>
  <c r="D123" i="3"/>
  <c r="G124" i="35"/>
  <c r="C123" i="43"/>
  <c r="H123" i="43"/>
  <c r="G123" i="35"/>
  <c r="C121" i="43"/>
  <c r="G121" i="35"/>
  <c r="G120" i="35"/>
  <c r="I120" i="35"/>
  <c r="G119" i="35"/>
  <c r="I119" i="35"/>
  <c r="Y117" i="3"/>
  <c r="AA117" i="3"/>
  <c r="AB117" i="3"/>
  <c r="G118" i="35"/>
  <c r="C117" i="43"/>
  <c r="G117" i="35"/>
  <c r="D115" i="3"/>
  <c r="G116" i="35"/>
  <c r="C115" i="43"/>
  <c r="G115" i="35"/>
  <c r="I115" i="35"/>
  <c r="C114" i="43"/>
  <c r="D114" i="43"/>
  <c r="G114" i="35"/>
  <c r="G113" i="35"/>
  <c r="Y113" i="35"/>
  <c r="C112" i="43"/>
  <c r="R112" i="43"/>
  <c r="G112" i="35"/>
  <c r="D110" i="3"/>
  <c r="G111" i="35"/>
  <c r="G109" i="35"/>
  <c r="I109" i="35"/>
  <c r="Y107" i="3"/>
  <c r="AA107" i="3"/>
  <c r="AB107" i="3"/>
  <c r="G108" i="35"/>
  <c r="I108" i="35"/>
  <c r="G107" i="35"/>
  <c r="I107" i="35"/>
  <c r="G105" i="35"/>
  <c r="I105" i="35"/>
  <c r="G73" i="35"/>
  <c r="I73" i="35"/>
  <c r="C72" i="43"/>
  <c r="H72" i="43"/>
  <c r="G72" i="35"/>
  <c r="C70" i="43"/>
  <c r="F70" i="43"/>
  <c r="G70" i="35"/>
  <c r="C68" i="43"/>
  <c r="J68" i="43"/>
  <c r="D206" i="49"/>
  <c r="G68" i="35"/>
  <c r="J68" i="35"/>
  <c r="G76" i="49"/>
  <c r="C66" i="43"/>
  <c r="E66" i="43"/>
  <c r="C204" i="49"/>
  <c r="G66" i="35"/>
  <c r="C64" i="43"/>
  <c r="J64" i="43"/>
  <c r="D202" i="49"/>
  <c r="G64" i="35"/>
  <c r="C63" i="43"/>
  <c r="G63" i="35"/>
  <c r="G62" i="35"/>
  <c r="H62" i="35"/>
  <c r="C70" i="49"/>
  <c r="G60" i="35"/>
  <c r="I60" i="35"/>
  <c r="C59" i="43"/>
  <c r="H59" i="43"/>
  <c r="G59" i="35"/>
  <c r="C58" i="43"/>
  <c r="G58" i="43"/>
  <c r="G58" i="35"/>
  <c r="F55" i="3"/>
  <c r="C129" i="49"/>
  <c r="G56" i="35"/>
  <c r="N56" i="35"/>
  <c r="E64" i="49"/>
  <c r="Y54" i="3"/>
  <c r="AA54" i="3"/>
  <c r="AB54" i="3"/>
  <c r="G55" i="35"/>
  <c r="G53" i="35"/>
  <c r="M53" i="35"/>
  <c r="D61" i="49"/>
  <c r="C52" i="43"/>
  <c r="G52" i="35"/>
  <c r="G51" i="35"/>
  <c r="X51" i="35"/>
  <c r="C50" i="43"/>
  <c r="G50" i="35"/>
  <c r="G48" i="35"/>
  <c r="Y48" i="35"/>
  <c r="G46" i="35"/>
  <c r="G45" i="35"/>
  <c r="O45" i="35"/>
  <c r="G42" i="35"/>
  <c r="C40" i="43"/>
  <c r="J40" i="43"/>
  <c r="D178" i="49"/>
  <c r="G40" i="35"/>
  <c r="G39" i="35"/>
  <c r="I39" i="35"/>
  <c r="Z103" i="35"/>
  <c r="H306" i="41"/>
  <c r="F306" i="41"/>
  <c r="G306" i="41"/>
  <c r="C292" i="41"/>
  <c r="D292" i="41"/>
  <c r="I278" i="41"/>
  <c r="J278" i="41"/>
  <c r="Y37" i="3"/>
  <c r="AA37" i="3"/>
  <c r="AB37" i="3"/>
  <c r="Y23" i="3"/>
  <c r="AA23" i="3"/>
  <c r="AB23" i="3"/>
  <c r="P85" i="50"/>
  <c r="P60" i="50"/>
  <c r="I8" i="39"/>
  <c r="U66" i="43"/>
  <c r="F66" i="43"/>
  <c r="G6" i="18"/>
  <c r="Q65" i="50"/>
  <c r="Q27" i="50"/>
  <c r="Y28" i="3"/>
  <c r="AA28" i="3"/>
  <c r="AB28" i="3"/>
  <c r="Y64" i="3"/>
  <c r="AA64" i="3"/>
  <c r="AB64" i="3"/>
  <c r="E34" i="3"/>
  <c r="Y31" i="3"/>
  <c r="AA31" i="3"/>
  <c r="AB31" i="3"/>
  <c r="Q46" i="50"/>
  <c r="E22" i="3"/>
  <c r="Q83" i="50"/>
  <c r="Q79" i="50"/>
  <c r="Q67" i="50"/>
  <c r="C59" i="50"/>
  <c r="I59" i="50"/>
  <c r="P59" i="50"/>
  <c r="K7" i="45"/>
  <c r="D16" i="45"/>
  <c r="M20" i="45"/>
  <c r="G29" i="45"/>
  <c r="I354" i="41"/>
  <c r="P350" i="41"/>
  <c r="K20" i="45"/>
  <c r="D29" i="45"/>
  <c r="F354" i="41"/>
  <c r="M7" i="45"/>
  <c r="G16" i="45"/>
  <c r="I343" i="41"/>
  <c r="P339" i="41"/>
  <c r="G80" i="35"/>
  <c r="G141" i="35"/>
  <c r="U88" i="43"/>
  <c r="G66" i="43"/>
  <c r="Y109" i="35"/>
  <c r="J107" i="35"/>
  <c r="C14" i="43"/>
  <c r="C75" i="43"/>
  <c r="G14" i="35"/>
  <c r="G75" i="35"/>
  <c r="Y85" i="3"/>
  <c r="AA85" i="3"/>
  <c r="AB85" i="3"/>
  <c r="D84" i="3"/>
  <c r="C85" i="43"/>
  <c r="J86" i="50"/>
  <c r="J87" i="50"/>
  <c r="C32" i="43"/>
  <c r="C20" i="43"/>
  <c r="R20" i="43"/>
  <c r="Z38" i="35"/>
  <c r="J28" i="28"/>
  <c r="K28" i="28"/>
  <c r="J29" i="28"/>
  <c r="K29" i="28"/>
  <c r="J30" i="28"/>
  <c r="K30" i="28"/>
  <c r="J31" i="28"/>
  <c r="K31" i="28"/>
  <c r="J32" i="28"/>
  <c r="K32" i="28"/>
  <c r="J33" i="28"/>
  <c r="K33" i="28"/>
  <c r="J34" i="28"/>
  <c r="K34" i="28"/>
  <c r="J35" i="28"/>
  <c r="K35" i="28"/>
  <c r="J36" i="28"/>
  <c r="K36" i="28"/>
  <c r="J37" i="28"/>
  <c r="K37" i="28"/>
  <c r="J38" i="28"/>
  <c r="K38" i="28"/>
  <c r="J39" i="28"/>
  <c r="K39" i="28"/>
  <c r="J40" i="28"/>
  <c r="K40" i="28"/>
  <c r="J41" i="28"/>
  <c r="K41" i="28"/>
  <c r="J42" i="28"/>
  <c r="K42" i="28"/>
  <c r="J43" i="28"/>
  <c r="K43" i="28"/>
  <c r="J44" i="28"/>
  <c r="K44" i="28"/>
  <c r="J45" i="28"/>
  <c r="K45" i="28"/>
  <c r="J46" i="28"/>
  <c r="K46" i="28"/>
  <c r="J47" i="28"/>
  <c r="K47" i="28"/>
  <c r="J48" i="28"/>
  <c r="K48" i="28"/>
  <c r="J49" i="28"/>
  <c r="K49" i="28"/>
  <c r="J50" i="28"/>
  <c r="K50" i="28"/>
  <c r="J51" i="28"/>
  <c r="K51" i="28"/>
  <c r="J52" i="28"/>
  <c r="K52" i="28"/>
  <c r="J53" i="28"/>
  <c r="K53" i="28"/>
  <c r="J54" i="28"/>
  <c r="K54" i="28"/>
  <c r="J55" i="28"/>
  <c r="K55" i="28"/>
  <c r="J56" i="28"/>
  <c r="K56" i="28"/>
  <c r="J57" i="28"/>
  <c r="K57" i="28"/>
  <c r="J58" i="28"/>
  <c r="K58" i="28"/>
  <c r="J59" i="28"/>
  <c r="K59" i="28"/>
  <c r="J60" i="28"/>
  <c r="K60" i="28"/>
  <c r="J61" i="28"/>
  <c r="K61" i="28"/>
  <c r="J62" i="28"/>
  <c r="K62" i="28"/>
  <c r="J63" i="28"/>
  <c r="K63" i="28"/>
  <c r="J64" i="28"/>
  <c r="K64" i="28"/>
  <c r="J69" i="28"/>
  <c r="K69" i="28"/>
  <c r="J66" i="28"/>
  <c r="K66" i="28"/>
  <c r="J68" i="28"/>
  <c r="K68" i="28"/>
  <c r="J70" i="28"/>
  <c r="K70" i="28"/>
  <c r="J71" i="28"/>
  <c r="K71" i="28"/>
  <c r="J72" i="28"/>
  <c r="K72" i="28"/>
  <c r="J73" i="28"/>
  <c r="K73" i="28"/>
  <c r="J74" i="28"/>
  <c r="K74" i="28"/>
  <c r="J75" i="28"/>
  <c r="K75" i="28"/>
  <c r="J76" i="28"/>
  <c r="K76" i="28"/>
  <c r="J77" i="28"/>
  <c r="K77" i="28"/>
  <c r="J78" i="28"/>
  <c r="K78" i="28"/>
  <c r="J79" i="28"/>
  <c r="K79" i="28"/>
  <c r="J80" i="28"/>
  <c r="K80" i="28"/>
  <c r="J81" i="28"/>
  <c r="K81" i="28"/>
  <c r="J82" i="28"/>
  <c r="K82" i="28"/>
  <c r="J83" i="28"/>
  <c r="K83" i="28"/>
  <c r="J84" i="28"/>
  <c r="K84" i="28"/>
  <c r="J85" i="28"/>
  <c r="K85" i="28"/>
  <c r="J86" i="28"/>
  <c r="K86" i="28"/>
  <c r="J87" i="28"/>
  <c r="K87" i="28"/>
  <c r="J88" i="28"/>
  <c r="K88" i="28"/>
  <c r="J89" i="28"/>
  <c r="K89" i="28"/>
  <c r="J90" i="28"/>
  <c r="K90" i="28"/>
  <c r="J91" i="28"/>
  <c r="K91" i="28"/>
  <c r="J92" i="28"/>
  <c r="K92" i="28"/>
  <c r="J93" i="28"/>
  <c r="K93" i="28"/>
  <c r="J94" i="28"/>
  <c r="K94" i="28"/>
  <c r="J95" i="28"/>
  <c r="K95" i="28"/>
  <c r="J96" i="28"/>
  <c r="K96" i="28"/>
  <c r="J97" i="28"/>
  <c r="K97" i="28"/>
  <c r="J98" i="28"/>
  <c r="K98" i="28"/>
  <c r="J67" i="28"/>
  <c r="K67" i="28"/>
  <c r="J65" i="28"/>
  <c r="K65" i="28"/>
  <c r="J99" i="28"/>
  <c r="K99" i="28"/>
  <c r="J100" i="28"/>
  <c r="K100" i="28"/>
  <c r="J102" i="28"/>
  <c r="K102" i="28"/>
  <c r="J104" i="28"/>
  <c r="K104" i="28"/>
  <c r="J106" i="28"/>
  <c r="K106" i="28"/>
  <c r="J108" i="28"/>
  <c r="K108" i="28"/>
  <c r="J110" i="28"/>
  <c r="K110" i="28"/>
  <c r="J112" i="28"/>
  <c r="K112" i="28"/>
  <c r="J114" i="28"/>
  <c r="K114" i="28"/>
  <c r="J116" i="28"/>
  <c r="K116" i="28"/>
  <c r="J118" i="28"/>
  <c r="K118" i="28"/>
  <c r="J120" i="28"/>
  <c r="K120" i="28"/>
  <c r="J122" i="28"/>
  <c r="K122" i="28"/>
  <c r="J124" i="28"/>
  <c r="K124" i="28"/>
  <c r="J126" i="28"/>
  <c r="K126" i="28"/>
  <c r="J128" i="28"/>
  <c r="K128" i="28"/>
  <c r="J130" i="28"/>
  <c r="K130" i="28"/>
  <c r="J132" i="28"/>
  <c r="K132" i="28"/>
  <c r="J134" i="28"/>
  <c r="K134" i="28"/>
  <c r="J136" i="28"/>
  <c r="K136" i="28"/>
  <c r="J138" i="28"/>
  <c r="K138" i="28"/>
  <c r="J140" i="28"/>
  <c r="K140" i="28"/>
  <c r="J142" i="28"/>
  <c r="K142" i="28"/>
  <c r="J144" i="28"/>
  <c r="K144" i="28"/>
  <c r="J146" i="28"/>
  <c r="K146" i="28"/>
  <c r="J148" i="28"/>
  <c r="K148" i="28"/>
  <c r="J150" i="28"/>
  <c r="K150" i="28"/>
  <c r="J152" i="28"/>
  <c r="K152" i="28"/>
  <c r="J154" i="28"/>
  <c r="K154" i="28"/>
  <c r="J156" i="28"/>
  <c r="K156" i="28"/>
  <c r="J158" i="28"/>
  <c r="K158" i="28"/>
  <c r="J160" i="28"/>
  <c r="K160" i="28"/>
  <c r="J162" i="28"/>
  <c r="K162" i="28"/>
  <c r="J164" i="28"/>
  <c r="K164" i="28"/>
  <c r="J166" i="28"/>
  <c r="K166" i="28"/>
  <c r="J168" i="28"/>
  <c r="K168" i="28"/>
  <c r="J170" i="28"/>
  <c r="K170" i="28"/>
  <c r="J172" i="28"/>
  <c r="K172" i="28"/>
  <c r="J103" i="28"/>
  <c r="K103" i="28"/>
  <c r="J107" i="28"/>
  <c r="K107" i="28"/>
  <c r="J111" i="28"/>
  <c r="K111" i="28"/>
  <c r="J115" i="28"/>
  <c r="K115" i="28"/>
  <c r="J119" i="28"/>
  <c r="K119" i="28"/>
  <c r="J123" i="28"/>
  <c r="K123" i="28"/>
  <c r="J127" i="28"/>
  <c r="K127" i="28"/>
  <c r="J131" i="28"/>
  <c r="K131" i="28"/>
  <c r="J135" i="28"/>
  <c r="K135" i="28"/>
  <c r="J139" i="28"/>
  <c r="K139" i="28"/>
  <c r="J143" i="28"/>
  <c r="K143" i="28"/>
  <c r="J147" i="28"/>
  <c r="K147" i="28"/>
  <c r="J151" i="28"/>
  <c r="K151" i="28"/>
  <c r="J155" i="28"/>
  <c r="K155" i="28"/>
  <c r="J159" i="28"/>
  <c r="K159" i="28"/>
  <c r="J163" i="28"/>
  <c r="K163" i="28"/>
  <c r="J167" i="28"/>
  <c r="K167" i="28"/>
  <c r="J171" i="28"/>
  <c r="K171" i="28"/>
  <c r="J198" i="28"/>
  <c r="K198" i="28"/>
  <c r="J200" i="28"/>
  <c r="K200" i="28"/>
  <c r="J202" i="28"/>
  <c r="K202" i="28"/>
  <c r="J204" i="28"/>
  <c r="K204" i="28"/>
  <c r="J206" i="28"/>
  <c r="K206" i="28"/>
  <c r="J208" i="28"/>
  <c r="K208" i="28"/>
  <c r="J210" i="28"/>
  <c r="K210" i="28"/>
  <c r="J212" i="28"/>
  <c r="K212" i="28"/>
  <c r="J174" i="28"/>
  <c r="K174" i="28"/>
  <c r="J175" i="28"/>
  <c r="K175" i="28"/>
  <c r="J176" i="28"/>
  <c r="K176" i="28"/>
  <c r="J177" i="28"/>
  <c r="K177" i="28"/>
  <c r="J178" i="28"/>
  <c r="K178" i="28"/>
  <c r="J179" i="28"/>
  <c r="K179" i="28"/>
  <c r="J180" i="28"/>
  <c r="K180" i="28"/>
  <c r="J181" i="28"/>
  <c r="K181" i="28"/>
  <c r="J182" i="28"/>
  <c r="K182" i="28"/>
  <c r="J183" i="28"/>
  <c r="K183" i="28"/>
  <c r="J184" i="28"/>
  <c r="K184" i="28"/>
  <c r="J185" i="28"/>
  <c r="K185" i="28"/>
  <c r="J186" i="28"/>
  <c r="K186" i="28"/>
  <c r="J187" i="28"/>
  <c r="K187" i="28"/>
  <c r="J188" i="28"/>
  <c r="K188" i="28"/>
  <c r="J189" i="28"/>
  <c r="K189" i="28"/>
  <c r="J190" i="28"/>
  <c r="K190" i="28"/>
  <c r="J191" i="28"/>
  <c r="K191" i="28"/>
  <c r="J192" i="28"/>
  <c r="K192" i="28"/>
  <c r="J193" i="28"/>
  <c r="K193" i="28"/>
  <c r="J194" i="28"/>
  <c r="K194" i="28"/>
  <c r="J195" i="28"/>
  <c r="K195" i="28"/>
  <c r="J196" i="28"/>
  <c r="K196" i="28"/>
  <c r="J101" i="28"/>
  <c r="K101" i="28"/>
  <c r="J105" i="28"/>
  <c r="K105" i="28"/>
  <c r="J109" i="28"/>
  <c r="K109" i="28"/>
  <c r="J113" i="28"/>
  <c r="K113" i="28"/>
  <c r="J117" i="28"/>
  <c r="K117" i="28"/>
  <c r="J121" i="28"/>
  <c r="K121" i="28"/>
  <c r="J125" i="28"/>
  <c r="K125" i="28"/>
  <c r="J129" i="28"/>
  <c r="K129" i="28"/>
  <c r="J133" i="28"/>
  <c r="K133" i="28"/>
  <c r="J137" i="28"/>
  <c r="K137" i="28"/>
  <c r="J141" i="28"/>
  <c r="K141" i="28"/>
  <c r="J145" i="28"/>
  <c r="K145" i="28"/>
  <c r="J149" i="28"/>
  <c r="K149" i="28"/>
  <c r="J153" i="28"/>
  <c r="K153" i="28"/>
  <c r="J157" i="28"/>
  <c r="K157" i="28"/>
  <c r="J161" i="28"/>
  <c r="K161" i="28"/>
  <c r="J165" i="28"/>
  <c r="K165" i="28"/>
  <c r="J169" i="28"/>
  <c r="K169" i="28"/>
  <c r="J173" i="28"/>
  <c r="K173" i="28"/>
  <c r="J201" i="28"/>
  <c r="K201" i="28"/>
  <c r="J209" i="28"/>
  <c r="K209" i="28"/>
  <c r="J199" i="28"/>
  <c r="K199" i="28"/>
  <c r="J203" i="28"/>
  <c r="K203" i="28"/>
  <c r="J211" i="28"/>
  <c r="K211" i="28"/>
  <c r="J215" i="28"/>
  <c r="K215" i="28"/>
  <c r="J217" i="28"/>
  <c r="K217" i="28"/>
  <c r="J219" i="28"/>
  <c r="K219" i="28"/>
  <c r="J221" i="28"/>
  <c r="K221" i="28"/>
  <c r="J205" i="28"/>
  <c r="K205" i="28"/>
  <c r="J213" i="28"/>
  <c r="K213" i="28"/>
  <c r="J223" i="28"/>
  <c r="K223" i="28"/>
  <c r="J224" i="28"/>
  <c r="K224" i="28"/>
  <c r="J225" i="28"/>
  <c r="K225" i="28"/>
  <c r="J226" i="28"/>
  <c r="K226" i="28"/>
  <c r="J227" i="28"/>
  <c r="K227" i="28"/>
  <c r="J228" i="28"/>
  <c r="K228" i="28"/>
  <c r="J229" i="28"/>
  <c r="K229" i="28"/>
  <c r="J230" i="28"/>
  <c r="K230" i="28"/>
  <c r="J231" i="28"/>
  <c r="K231" i="28"/>
  <c r="J232" i="28"/>
  <c r="K232" i="28"/>
  <c r="J233" i="28"/>
  <c r="K233" i="28"/>
  <c r="J234" i="28"/>
  <c r="K234" i="28"/>
  <c r="J235" i="28"/>
  <c r="K235" i="28"/>
  <c r="J236" i="28"/>
  <c r="K236" i="28"/>
  <c r="J237" i="28"/>
  <c r="K237" i="28"/>
  <c r="J238" i="28"/>
  <c r="K238" i="28"/>
  <c r="J239" i="28"/>
  <c r="K239" i="28"/>
  <c r="J240" i="28"/>
  <c r="K240" i="28"/>
  <c r="J241" i="28"/>
  <c r="K241" i="28"/>
  <c r="J242" i="28"/>
  <c r="K242" i="28"/>
  <c r="J243" i="28"/>
  <c r="K243" i="28"/>
  <c r="J244" i="28"/>
  <c r="K244" i="28"/>
  <c r="J197" i="28"/>
  <c r="K197" i="28"/>
  <c r="J207" i="28"/>
  <c r="K207" i="28"/>
  <c r="J214" i="28"/>
  <c r="K214" i="28"/>
  <c r="J216" i="28"/>
  <c r="K216" i="28"/>
  <c r="J218" i="28"/>
  <c r="K218" i="28"/>
  <c r="J220" i="28"/>
  <c r="K220" i="28"/>
  <c r="J222" i="28"/>
  <c r="K222" i="28"/>
  <c r="J251" i="28"/>
  <c r="K251" i="28"/>
  <c r="J246" i="28"/>
  <c r="K246" i="28"/>
  <c r="J248" i="28"/>
  <c r="K248" i="28"/>
  <c r="J249" i="28"/>
  <c r="K249" i="28"/>
  <c r="J250" i="28"/>
  <c r="K250" i="28"/>
  <c r="J245" i="28"/>
  <c r="K245" i="28"/>
  <c r="J247" i="28"/>
  <c r="K247" i="28"/>
  <c r="J252" i="28"/>
  <c r="K252" i="28"/>
  <c r="J253" i="28"/>
  <c r="K253" i="28"/>
  <c r="J254" i="28"/>
  <c r="K254" i="28"/>
  <c r="J255" i="28"/>
  <c r="K255" i="28"/>
  <c r="J256" i="28"/>
  <c r="K256" i="28"/>
  <c r="J257" i="28"/>
  <c r="K257" i="28"/>
  <c r="J258" i="28"/>
  <c r="K258" i="28"/>
  <c r="J259" i="28"/>
  <c r="K259" i="28"/>
  <c r="J260" i="28"/>
  <c r="K260" i="28"/>
  <c r="J261" i="28"/>
  <c r="K261" i="28"/>
  <c r="J262" i="28"/>
  <c r="K262" i="28"/>
  <c r="J263" i="28"/>
  <c r="K263" i="28"/>
  <c r="J264" i="28"/>
  <c r="K264" i="28"/>
  <c r="J265" i="28"/>
  <c r="K265" i="28"/>
  <c r="J266" i="28"/>
  <c r="K266" i="28"/>
  <c r="J267" i="28"/>
  <c r="K267" i="28"/>
  <c r="J268" i="28"/>
  <c r="K268" i="28"/>
  <c r="J269" i="28"/>
  <c r="K269" i="28"/>
  <c r="J270" i="28"/>
  <c r="K270" i="28"/>
  <c r="J271" i="28"/>
  <c r="K271" i="28"/>
  <c r="J272" i="28"/>
  <c r="K272" i="28"/>
  <c r="J273" i="28"/>
  <c r="K273" i="28"/>
  <c r="J274" i="28"/>
  <c r="K274" i="28"/>
  <c r="J275" i="28"/>
  <c r="K275" i="28"/>
  <c r="J276" i="28"/>
  <c r="K276" i="28"/>
  <c r="J277" i="28"/>
  <c r="K277" i="28"/>
  <c r="J278" i="28"/>
  <c r="K278" i="28"/>
  <c r="J279" i="28"/>
  <c r="K279" i="28"/>
  <c r="J280" i="28"/>
  <c r="K280" i="28"/>
  <c r="J281" i="28"/>
  <c r="K281" i="28"/>
  <c r="J282" i="28"/>
  <c r="K282" i="28"/>
  <c r="J283" i="28"/>
  <c r="K283" i="28"/>
  <c r="J284" i="28"/>
  <c r="K284" i="28"/>
  <c r="J285" i="28"/>
  <c r="K285" i="28"/>
  <c r="J286" i="28"/>
  <c r="K286" i="28"/>
  <c r="J287" i="28"/>
  <c r="K287" i="28"/>
  <c r="J288" i="28"/>
  <c r="K288" i="28"/>
  <c r="J289" i="28"/>
  <c r="K289" i="28"/>
  <c r="J290" i="28"/>
  <c r="K290" i="28"/>
  <c r="J291" i="28"/>
  <c r="K291" i="28"/>
  <c r="J292" i="28"/>
  <c r="K292" i="28"/>
  <c r="J293" i="28"/>
  <c r="K293" i="28"/>
  <c r="J294" i="28"/>
  <c r="K294" i="28"/>
  <c r="J295" i="28"/>
  <c r="K295" i="28"/>
  <c r="J296" i="28"/>
  <c r="K296" i="28"/>
  <c r="J297" i="28"/>
  <c r="K297" i="28"/>
  <c r="J298" i="28"/>
  <c r="K298" i="28"/>
  <c r="J299" i="28"/>
  <c r="K299" i="28"/>
  <c r="J300" i="28"/>
  <c r="K300" i="28"/>
  <c r="J301" i="28"/>
  <c r="K301" i="28"/>
  <c r="J302" i="28"/>
  <c r="K302" i="28"/>
  <c r="J303" i="28"/>
  <c r="K303" i="28"/>
  <c r="J304" i="28"/>
  <c r="K304" i="28"/>
  <c r="J305" i="28"/>
  <c r="K305" i="28"/>
  <c r="J306" i="28"/>
  <c r="K306" i="28"/>
  <c r="J307" i="28"/>
  <c r="K307" i="28"/>
  <c r="J308" i="28"/>
  <c r="K308" i="28"/>
  <c r="J309" i="28"/>
  <c r="K309" i="28"/>
  <c r="J310" i="28"/>
  <c r="K310" i="28"/>
  <c r="J311" i="28"/>
  <c r="K311" i="28"/>
  <c r="J312" i="28"/>
  <c r="K312" i="28"/>
  <c r="J313" i="28"/>
  <c r="K313" i="28"/>
  <c r="J314" i="28"/>
  <c r="K314" i="28"/>
  <c r="J315" i="28"/>
  <c r="K315" i="28"/>
  <c r="J316" i="28"/>
  <c r="K316" i="28"/>
  <c r="J317" i="28"/>
  <c r="K317" i="28"/>
  <c r="J318" i="28"/>
  <c r="K318" i="28"/>
  <c r="J319" i="28"/>
  <c r="K319" i="28"/>
  <c r="J320" i="28"/>
  <c r="K320" i="28"/>
  <c r="J321" i="28"/>
  <c r="K321" i="28"/>
  <c r="J322" i="28"/>
  <c r="K322" i="28"/>
  <c r="J323" i="28"/>
  <c r="K323" i="28"/>
  <c r="J324" i="28"/>
  <c r="K324" i="28"/>
  <c r="J325" i="28"/>
  <c r="K325" i="28"/>
  <c r="J326" i="28"/>
  <c r="K326" i="28"/>
  <c r="J327" i="28"/>
  <c r="K327" i="28"/>
  <c r="J328" i="28"/>
  <c r="K328" i="28"/>
  <c r="J329" i="28"/>
  <c r="K329" i="28"/>
  <c r="J330" i="28"/>
  <c r="K330" i="28"/>
  <c r="J331" i="28"/>
  <c r="K331" i="28"/>
  <c r="J332" i="28"/>
  <c r="K332" i="28"/>
  <c r="J333" i="28"/>
  <c r="K333" i="28"/>
  <c r="J334" i="28"/>
  <c r="K334" i="28"/>
  <c r="J335" i="28"/>
  <c r="K335" i="28"/>
  <c r="J336" i="28"/>
  <c r="K336" i="28"/>
  <c r="J337" i="28"/>
  <c r="K337" i="28"/>
  <c r="J338" i="28"/>
  <c r="K338" i="28"/>
  <c r="J339" i="28"/>
  <c r="K339" i="28"/>
  <c r="J340" i="28"/>
  <c r="K340" i="28"/>
  <c r="J341" i="28"/>
  <c r="K341" i="28"/>
  <c r="J342" i="28"/>
  <c r="K342" i="28"/>
  <c r="J343" i="28"/>
  <c r="K343" i="28"/>
  <c r="J344" i="28"/>
  <c r="K344" i="28"/>
  <c r="J345" i="28"/>
  <c r="K345" i="28"/>
  <c r="J346" i="28"/>
  <c r="K346" i="28"/>
  <c r="J348" i="28"/>
  <c r="K348" i="28"/>
  <c r="J349" i="28"/>
  <c r="K349" i="28"/>
  <c r="J350" i="28"/>
  <c r="K350" i="28"/>
  <c r="J351" i="28"/>
  <c r="K351" i="28"/>
  <c r="J352" i="28"/>
  <c r="K352" i="28"/>
  <c r="J353" i="28"/>
  <c r="K353" i="28"/>
  <c r="J354" i="28"/>
  <c r="K354" i="28"/>
  <c r="J355" i="28"/>
  <c r="K355" i="28"/>
  <c r="J356" i="28"/>
  <c r="K356" i="28"/>
  <c r="J357" i="28"/>
  <c r="K357" i="28"/>
  <c r="J358" i="28"/>
  <c r="K358" i="28"/>
  <c r="J359" i="28"/>
  <c r="K359" i="28"/>
  <c r="J360" i="28"/>
  <c r="K360" i="28"/>
  <c r="J361" i="28"/>
  <c r="K361" i="28"/>
  <c r="J362" i="28"/>
  <c r="K362" i="28"/>
  <c r="J363" i="28"/>
  <c r="K363" i="28"/>
  <c r="J364" i="28"/>
  <c r="K364" i="28"/>
  <c r="J365" i="28"/>
  <c r="K365" i="28"/>
  <c r="J366" i="28"/>
  <c r="K366" i="28"/>
  <c r="J367" i="28"/>
  <c r="K367" i="28"/>
  <c r="J368" i="28"/>
  <c r="K368" i="28"/>
  <c r="J369" i="28"/>
  <c r="K369" i="28"/>
  <c r="J370" i="28"/>
  <c r="K370" i="28"/>
  <c r="J371" i="28"/>
  <c r="K371" i="28"/>
  <c r="J372" i="28"/>
  <c r="K372" i="28"/>
  <c r="J373" i="28"/>
  <c r="K373" i="28"/>
  <c r="J374" i="28"/>
  <c r="K374" i="28"/>
  <c r="J375" i="28"/>
  <c r="K375" i="28"/>
  <c r="J376" i="28"/>
  <c r="K376" i="28"/>
  <c r="J377" i="28"/>
  <c r="K377" i="28"/>
  <c r="J378" i="28"/>
  <c r="K378" i="28"/>
  <c r="J379" i="28"/>
  <c r="K379" i="28"/>
  <c r="J380" i="28"/>
  <c r="K380" i="28"/>
  <c r="J381" i="28"/>
  <c r="K381" i="28"/>
  <c r="J382" i="28"/>
  <c r="K382" i="28"/>
  <c r="J383" i="28"/>
  <c r="K383" i="28"/>
  <c r="J384" i="28"/>
  <c r="K384" i="28"/>
  <c r="J385" i="28"/>
  <c r="K385" i="28"/>
  <c r="J386" i="28"/>
  <c r="K386" i="28"/>
  <c r="J387" i="28"/>
  <c r="K387" i="28"/>
  <c r="J388" i="28"/>
  <c r="K388" i="28"/>
  <c r="J389" i="28"/>
  <c r="K389" i="28"/>
  <c r="J390" i="28"/>
  <c r="K390" i="28"/>
  <c r="J391" i="28"/>
  <c r="K391" i="28"/>
  <c r="J392" i="28"/>
  <c r="K392" i="28"/>
  <c r="J393" i="28"/>
  <c r="K393" i="28"/>
  <c r="J394" i="28"/>
  <c r="K394" i="28"/>
  <c r="J395" i="28"/>
  <c r="K395" i="28"/>
  <c r="J396" i="28"/>
  <c r="K396" i="28"/>
  <c r="J397" i="28"/>
  <c r="K397" i="28"/>
  <c r="J398" i="28"/>
  <c r="K398" i="28"/>
  <c r="J399" i="28"/>
  <c r="K399" i="28"/>
  <c r="J400" i="28"/>
  <c r="K400" i="28"/>
  <c r="J401" i="28"/>
  <c r="K401" i="28"/>
  <c r="J402" i="28"/>
  <c r="K402" i="28"/>
  <c r="J403" i="28"/>
  <c r="K403" i="28"/>
  <c r="J404" i="28"/>
  <c r="K404" i="28"/>
  <c r="J405" i="28"/>
  <c r="K405" i="28"/>
  <c r="J406" i="28"/>
  <c r="K406" i="28"/>
  <c r="J407" i="28"/>
  <c r="K407" i="28"/>
  <c r="J408" i="28"/>
  <c r="K408" i="28"/>
  <c r="J409" i="28"/>
  <c r="K409" i="28"/>
  <c r="J410" i="28"/>
  <c r="K410" i="28"/>
  <c r="J411" i="28"/>
  <c r="K411" i="28"/>
  <c r="J412" i="28"/>
  <c r="K412" i="28"/>
  <c r="J413" i="28"/>
  <c r="K413" i="28"/>
  <c r="J414" i="28"/>
  <c r="K414" i="28"/>
  <c r="J415" i="28"/>
  <c r="K415" i="28"/>
  <c r="J416" i="28"/>
  <c r="K416" i="28"/>
  <c r="J417" i="28"/>
  <c r="K417" i="28"/>
  <c r="J418" i="28"/>
  <c r="K418" i="28"/>
  <c r="J419" i="28"/>
  <c r="K419" i="28"/>
  <c r="J420" i="28"/>
  <c r="K420" i="28"/>
  <c r="J421" i="28"/>
  <c r="K421" i="28"/>
  <c r="J422" i="28"/>
  <c r="K422" i="28"/>
  <c r="J423" i="28"/>
  <c r="K423" i="28"/>
  <c r="J424" i="28"/>
  <c r="K424" i="28"/>
  <c r="J347" i="28"/>
  <c r="K347" i="28"/>
  <c r="J436" i="28"/>
  <c r="K436" i="28"/>
  <c r="J26" i="28"/>
  <c r="J521" i="28"/>
  <c r="J437" i="28"/>
  <c r="K437" i="28"/>
  <c r="J438" i="28"/>
  <c r="K438" i="28"/>
  <c r="J439" i="28"/>
  <c r="K439" i="28"/>
  <c r="J440" i="28"/>
  <c r="K440" i="28"/>
  <c r="J441" i="28"/>
  <c r="K441" i="28"/>
  <c r="J442" i="28"/>
  <c r="K442" i="28"/>
  <c r="J443" i="28"/>
  <c r="K443" i="28"/>
  <c r="J444" i="28"/>
  <c r="K444" i="28"/>
  <c r="J445" i="28"/>
  <c r="K445" i="28"/>
  <c r="J446" i="28"/>
  <c r="K446" i="28"/>
  <c r="J447" i="28"/>
  <c r="K447" i="28"/>
  <c r="J448" i="28"/>
  <c r="K448" i="28"/>
  <c r="J449" i="28"/>
  <c r="K449" i="28"/>
  <c r="J450" i="28"/>
  <c r="K450" i="28"/>
  <c r="J451" i="28"/>
  <c r="K451" i="28"/>
  <c r="J452" i="28"/>
  <c r="K452" i="28"/>
  <c r="J453" i="28"/>
  <c r="K453" i="28"/>
  <c r="J454" i="28"/>
  <c r="K454" i="28"/>
  <c r="J455" i="28"/>
  <c r="K455" i="28"/>
  <c r="J456" i="28"/>
  <c r="K456" i="28"/>
  <c r="J457" i="28"/>
  <c r="K457" i="28"/>
  <c r="J458" i="28"/>
  <c r="K458" i="28"/>
  <c r="J459" i="28"/>
  <c r="K459" i="28"/>
  <c r="J460" i="28"/>
  <c r="K460" i="28"/>
  <c r="J461" i="28"/>
  <c r="K461" i="28"/>
  <c r="J462" i="28"/>
  <c r="K462" i="28"/>
  <c r="J463" i="28"/>
  <c r="K463" i="28"/>
  <c r="J464" i="28"/>
  <c r="K464" i="28"/>
  <c r="J465" i="28"/>
  <c r="K465" i="28"/>
  <c r="J466" i="28"/>
  <c r="K466" i="28"/>
  <c r="J467" i="28"/>
  <c r="K467" i="28"/>
  <c r="J468" i="28"/>
  <c r="K468" i="28"/>
  <c r="J469" i="28"/>
  <c r="K469" i="28"/>
  <c r="J470" i="28"/>
  <c r="K470" i="28"/>
  <c r="J471" i="28"/>
  <c r="K471" i="28"/>
  <c r="J472" i="28"/>
  <c r="K472" i="28"/>
  <c r="J473" i="28"/>
  <c r="K473" i="28"/>
  <c r="J474" i="28"/>
  <c r="K474" i="28"/>
  <c r="J475" i="28"/>
  <c r="K475" i="28"/>
  <c r="J476" i="28"/>
  <c r="K476" i="28"/>
  <c r="J477" i="28"/>
  <c r="K477" i="28"/>
  <c r="J478" i="28"/>
  <c r="K478" i="28"/>
  <c r="J479" i="28"/>
  <c r="K479" i="28"/>
  <c r="J480" i="28"/>
  <c r="K480" i="28"/>
  <c r="J481" i="28"/>
  <c r="K481" i="28"/>
  <c r="J482" i="28"/>
  <c r="K482" i="28"/>
  <c r="J483" i="28"/>
  <c r="K483" i="28"/>
  <c r="J484" i="28"/>
  <c r="K484" i="28"/>
  <c r="J485" i="28"/>
  <c r="K485" i="28"/>
  <c r="J486" i="28"/>
  <c r="K486" i="28"/>
  <c r="J487" i="28"/>
  <c r="K487" i="28"/>
  <c r="J488" i="28"/>
  <c r="K488" i="28"/>
  <c r="J489" i="28"/>
  <c r="K489" i="28"/>
  <c r="J490" i="28"/>
  <c r="K490" i="28"/>
  <c r="J491" i="28"/>
  <c r="K491" i="28"/>
  <c r="J492" i="28"/>
  <c r="K492" i="28"/>
  <c r="J493" i="28"/>
  <c r="K493" i="28"/>
  <c r="J494" i="28"/>
  <c r="K494" i="28"/>
  <c r="J495" i="28"/>
  <c r="K495" i="28"/>
  <c r="J496" i="28"/>
  <c r="K496" i="28"/>
  <c r="J497" i="28"/>
  <c r="K497" i="28"/>
  <c r="J498" i="28"/>
  <c r="K498" i="28"/>
  <c r="J499" i="28"/>
  <c r="K499" i="28"/>
  <c r="J500" i="28"/>
  <c r="K500" i="28"/>
  <c r="J501" i="28"/>
  <c r="K501" i="28"/>
  <c r="J502" i="28"/>
  <c r="K502" i="28"/>
  <c r="J503" i="28"/>
  <c r="K503" i="28"/>
  <c r="J504" i="28"/>
  <c r="K504" i="28"/>
  <c r="J505" i="28"/>
  <c r="K505" i="28"/>
  <c r="J425" i="28"/>
  <c r="K425" i="28"/>
  <c r="J426" i="28"/>
  <c r="K426" i="28"/>
  <c r="J427" i="28"/>
  <c r="K427" i="28"/>
  <c r="J428" i="28"/>
  <c r="K428" i="28"/>
  <c r="J429" i="28"/>
  <c r="K429" i="28"/>
  <c r="J430" i="28"/>
  <c r="K430" i="28"/>
  <c r="J431" i="28"/>
  <c r="K431" i="28"/>
  <c r="J432" i="28"/>
  <c r="K432" i="28"/>
  <c r="J433" i="28"/>
  <c r="K433" i="28"/>
  <c r="J434" i="28"/>
  <c r="K434" i="28"/>
  <c r="J435" i="28"/>
  <c r="K435" i="28"/>
  <c r="J27" i="28"/>
  <c r="K27" i="28"/>
  <c r="Q86" i="50"/>
  <c r="D39" i="50"/>
  <c r="D83" i="3"/>
  <c r="C84" i="43"/>
  <c r="E53" i="50"/>
  <c r="F53" i="50"/>
  <c r="Q48" i="50"/>
  <c r="Q17" i="50"/>
  <c r="C30" i="43"/>
  <c r="C18" i="43"/>
  <c r="D18" i="43"/>
  <c r="L68" i="28"/>
  <c r="M68" i="28"/>
  <c r="L69" i="28"/>
  <c r="M69" i="28"/>
  <c r="L28" i="28"/>
  <c r="M28" i="28"/>
  <c r="L30" i="28"/>
  <c r="M30" i="28"/>
  <c r="L32" i="28"/>
  <c r="M32" i="28"/>
  <c r="L34" i="28"/>
  <c r="M34" i="28"/>
  <c r="L36" i="28"/>
  <c r="M36" i="28"/>
  <c r="L38" i="28"/>
  <c r="M38" i="28"/>
  <c r="L40" i="28"/>
  <c r="M40" i="28"/>
  <c r="L42" i="28"/>
  <c r="M42" i="28"/>
  <c r="L44" i="28"/>
  <c r="M44" i="28"/>
  <c r="L46" i="28"/>
  <c r="M46" i="28"/>
  <c r="L48" i="28"/>
  <c r="M48" i="28"/>
  <c r="L50" i="28"/>
  <c r="M50" i="28"/>
  <c r="L52" i="28"/>
  <c r="M52" i="28"/>
  <c r="L54" i="28"/>
  <c r="M54" i="28"/>
  <c r="L56" i="28"/>
  <c r="M56" i="28"/>
  <c r="L58" i="28"/>
  <c r="M58" i="28"/>
  <c r="L60" i="28"/>
  <c r="M60" i="28"/>
  <c r="L62" i="28"/>
  <c r="M62" i="28"/>
  <c r="L64" i="28"/>
  <c r="M64" i="28"/>
  <c r="L65" i="28"/>
  <c r="M65" i="28"/>
  <c r="L67" i="28"/>
  <c r="M67" i="28"/>
  <c r="L29" i="28"/>
  <c r="M29" i="28"/>
  <c r="L31" i="28"/>
  <c r="M31" i="28"/>
  <c r="L33" i="28"/>
  <c r="M33" i="28"/>
  <c r="L35" i="28"/>
  <c r="M35" i="28"/>
  <c r="L37" i="28"/>
  <c r="M37" i="28"/>
  <c r="L39" i="28"/>
  <c r="M39" i="28"/>
  <c r="L41" i="28"/>
  <c r="M41" i="28"/>
  <c r="L43" i="28"/>
  <c r="M43" i="28"/>
  <c r="L45" i="28"/>
  <c r="M45" i="28"/>
  <c r="L47" i="28"/>
  <c r="M47" i="28"/>
  <c r="L49" i="28"/>
  <c r="M49" i="28"/>
  <c r="L51" i="28"/>
  <c r="M51" i="28"/>
  <c r="L53" i="28"/>
  <c r="M53" i="28"/>
  <c r="L55" i="28"/>
  <c r="M55" i="28"/>
  <c r="L57" i="28"/>
  <c r="M57" i="28"/>
  <c r="L59" i="28"/>
  <c r="M59" i="28"/>
  <c r="L61" i="28"/>
  <c r="M61" i="28"/>
  <c r="L63" i="28"/>
  <c r="M63" i="28"/>
  <c r="L66" i="28"/>
  <c r="M66" i="28"/>
  <c r="L71" i="28"/>
  <c r="M71" i="28"/>
  <c r="L73" i="28"/>
  <c r="M73" i="28"/>
  <c r="L75" i="28"/>
  <c r="M75" i="28"/>
  <c r="L77" i="28"/>
  <c r="M77" i="28"/>
  <c r="L79" i="28"/>
  <c r="M79" i="28"/>
  <c r="L81" i="28"/>
  <c r="M81" i="28"/>
  <c r="L83" i="28"/>
  <c r="M83" i="28"/>
  <c r="L85" i="28"/>
  <c r="M85" i="28"/>
  <c r="L99" i="28"/>
  <c r="M99" i="28"/>
  <c r="L70" i="28"/>
  <c r="M70" i="28"/>
  <c r="L74" i="28"/>
  <c r="M74" i="28"/>
  <c r="L78" i="28"/>
  <c r="M78" i="28"/>
  <c r="L82" i="28"/>
  <c r="M82" i="28"/>
  <c r="L86" i="28"/>
  <c r="M86" i="28"/>
  <c r="L91" i="28"/>
  <c r="M91" i="28"/>
  <c r="L94" i="28"/>
  <c r="M94" i="28"/>
  <c r="L101" i="28"/>
  <c r="M101" i="28"/>
  <c r="L103" i="28"/>
  <c r="M103" i="28"/>
  <c r="L105" i="28"/>
  <c r="M105" i="28"/>
  <c r="L107" i="28"/>
  <c r="M107" i="28"/>
  <c r="L109" i="28"/>
  <c r="M109" i="28"/>
  <c r="L111" i="28"/>
  <c r="M111" i="28"/>
  <c r="L113" i="28"/>
  <c r="M113" i="28"/>
  <c r="L115" i="28"/>
  <c r="M115" i="28"/>
  <c r="L117" i="28"/>
  <c r="M117" i="28"/>
  <c r="L119" i="28"/>
  <c r="M119" i="28"/>
  <c r="L121" i="28"/>
  <c r="M121" i="28"/>
  <c r="L123" i="28"/>
  <c r="M123" i="28"/>
  <c r="L125" i="28"/>
  <c r="M125" i="28"/>
  <c r="L127" i="28"/>
  <c r="M127" i="28"/>
  <c r="L129" i="28"/>
  <c r="M129" i="28"/>
  <c r="L131" i="28"/>
  <c r="M131" i="28"/>
  <c r="L133" i="28"/>
  <c r="M133" i="28"/>
  <c r="L135" i="28"/>
  <c r="M135" i="28"/>
  <c r="L137" i="28"/>
  <c r="M137" i="28"/>
  <c r="L139" i="28"/>
  <c r="M139" i="28"/>
  <c r="L141" i="28"/>
  <c r="M141" i="28"/>
  <c r="L143" i="28"/>
  <c r="M143" i="28"/>
  <c r="L145" i="28"/>
  <c r="M145" i="28"/>
  <c r="L147" i="28"/>
  <c r="M147" i="28"/>
  <c r="L149" i="28"/>
  <c r="M149" i="28"/>
  <c r="L151" i="28"/>
  <c r="M151" i="28"/>
  <c r="L153" i="28"/>
  <c r="M153" i="28"/>
  <c r="L155" i="28"/>
  <c r="M155" i="28"/>
  <c r="L157" i="28"/>
  <c r="M157" i="28"/>
  <c r="L159" i="28"/>
  <c r="M159" i="28"/>
  <c r="L161" i="28"/>
  <c r="M161" i="28"/>
  <c r="L163" i="28"/>
  <c r="M163" i="28"/>
  <c r="L165" i="28"/>
  <c r="M165" i="28"/>
  <c r="L167" i="28"/>
  <c r="M167" i="28"/>
  <c r="L169" i="28"/>
  <c r="M169" i="28"/>
  <c r="L171" i="28"/>
  <c r="M171" i="28"/>
  <c r="L173" i="28"/>
  <c r="M173" i="28"/>
  <c r="L89" i="28"/>
  <c r="M89" i="28"/>
  <c r="L92" i="28"/>
  <c r="M92" i="28"/>
  <c r="L97" i="28"/>
  <c r="M97" i="28"/>
  <c r="L72" i="28"/>
  <c r="M72" i="28"/>
  <c r="L80" i="28"/>
  <c r="M80" i="28"/>
  <c r="L87" i="28"/>
  <c r="M87" i="28"/>
  <c r="L98" i="28"/>
  <c r="M98" i="28"/>
  <c r="L100" i="28"/>
  <c r="M100" i="28"/>
  <c r="L104" i="28"/>
  <c r="M104" i="28"/>
  <c r="L108" i="28"/>
  <c r="M108" i="28"/>
  <c r="L112" i="28"/>
  <c r="M112" i="28"/>
  <c r="L116" i="28"/>
  <c r="M116" i="28"/>
  <c r="L120" i="28"/>
  <c r="M120" i="28"/>
  <c r="L124" i="28"/>
  <c r="M124" i="28"/>
  <c r="L128" i="28"/>
  <c r="M128" i="28"/>
  <c r="L132" i="28"/>
  <c r="M132" i="28"/>
  <c r="L136" i="28"/>
  <c r="M136" i="28"/>
  <c r="L140" i="28"/>
  <c r="M140" i="28"/>
  <c r="L144" i="28"/>
  <c r="M144" i="28"/>
  <c r="L148" i="28"/>
  <c r="M148" i="28"/>
  <c r="L152" i="28"/>
  <c r="M152" i="28"/>
  <c r="L156" i="28"/>
  <c r="M156" i="28"/>
  <c r="L160" i="28"/>
  <c r="M160" i="28"/>
  <c r="L164" i="28"/>
  <c r="M164" i="28"/>
  <c r="L168" i="28"/>
  <c r="M168" i="28"/>
  <c r="L172" i="28"/>
  <c r="M172" i="28"/>
  <c r="L197" i="28"/>
  <c r="M197" i="28"/>
  <c r="L199" i="28"/>
  <c r="M199" i="28"/>
  <c r="L88" i="28"/>
  <c r="M88" i="28"/>
  <c r="L93" i="28"/>
  <c r="M93" i="28"/>
  <c r="L76" i="28"/>
  <c r="M76" i="28"/>
  <c r="L84" i="28"/>
  <c r="M84" i="28"/>
  <c r="L90" i="28"/>
  <c r="M90" i="28"/>
  <c r="L95" i="28"/>
  <c r="M95" i="28"/>
  <c r="L102" i="28"/>
  <c r="M102" i="28"/>
  <c r="L106" i="28"/>
  <c r="M106" i="28"/>
  <c r="L110" i="28"/>
  <c r="M110" i="28"/>
  <c r="L114" i="28"/>
  <c r="M114" i="28"/>
  <c r="L118" i="28"/>
  <c r="M118" i="28"/>
  <c r="L122" i="28"/>
  <c r="M122" i="28"/>
  <c r="L126" i="28"/>
  <c r="M126" i="28"/>
  <c r="L130" i="28"/>
  <c r="M130" i="28"/>
  <c r="L134" i="28"/>
  <c r="M134" i="28"/>
  <c r="L138" i="28"/>
  <c r="M138" i="28"/>
  <c r="L142" i="28"/>
  <c r="M142" i="28"/>
  <c r="L146" i="28"/>
  <c r="M146" i="28"/>
  <c r="L150" i="28"/>
  <c r="M150" i="28"/>
  <c r="L154" i="28"/>
  <c r="M154" i="28"/>
  <c r="L158" i="28"/>
  <c r="M158" i="28"/>
  <c r="L162" i="28"/>
  <c r="M162" i="28"/>
  <c r="L166" i="28"/>
  <c r="M166" i="28"/>
  <c r="L170" i="28"/>
  <c r="M170" i="28"/>
  <c r="L96" i="28"/>
  <c r="M96" i="28"/>
  <c r="L174" i="28"/>
  <c r="M174" i="28"/>
  <c r="L175" i="28"/>
  <c r="M175" i="28"/>
  <c r="L176" i="28"/>
  <c r="M176" i="28"/>
  <c r="L177" i="28"/>
  <c r="M177" i="28"/>
  <c r="L178" i="28"/>
  <c r="M178" i="28"/>
  <c r="L179" i="28"/>
  <c r="M179" i="28"/>
  <c r="L180" i="28"/>
  <c r="M180" i="28"/>
  <c r="L181" i="28"/>
  <c r="M181" i="28"/>
  <c r="L182" i="28"/>
  <c r="M182" i="28"/>
  <c r="L183" i="28"/>
  <c r="M183" i="28"/>
  <c r="L184" i="28"/>
  <c r="M184" i="28"/>
  <c r="L186" i="28"/>
  <c r="M186" i="28"/>
  <c r="L190" i="28"/>
  <c r="M190" i="28"/>
  <c r="L194" i="28"/>
  <c r="M194" i="28"/>
  <c r="L200" i="28"/>
  <c r="M200" i="28"/>
  <c r="L207" i="28"/>
  <c r="M207" i="28"/>
  <c r="L208" i="28"/>
  <c r="M208" i="28"/>
  <c r="L214" i="28"/>
  <c r="M214" i="28"/>
  <c r="L216" i="28"/>
  <c r="M216" i="28"/>
  <c r="L218" i="28"/>
  <c r="M218" i="28"/>
  <c r="L220" i="28"/>
  <c r="M220" i="28"/>
  <c r="L222" i="28"/>
  <c r="M222" i="28"/>
  <c r="L187" i="28"/>
  <c r="M187" i="28"/>
  <c r="L191" i="28"/>
  <c r="M191" i="28"/>
  <c r="L195" i="28"/>
  <c r="M195" i="28"/>
  <c r="L201" i="28"/>
  <c r="M201" i="28"/>
  <c r="L202" i="28"/>
  <c r="M202" i="28"/>
  <c r="L209" i="28"/>
  <c r="M209" i="28"/>
  <c r="L210" i="28"/>
  <c r="M210" i="28"/>
  <c r="L188" i="28"/>
  <c r="M188" i="28"/>
  <c r="L192" i="28"/>
  <c r="M192" i="28"/>
  <c r="L196" i="28"/>
  <c r="M196" i="28"/>
  <c r="L198" i="28"/>
  <c r="M198" i="28"/>
  <c r="L203" i="28"/>
  <c r="M203" i="28"/>
  <c r="L204" i="28"/>
  <c r="M204" i="28"/>
  <c r="L211" i="28"/>
  <c r="M211" i="28"/>
  <c r="L212" i="28"/>
  <c r="M212" i="28"/>
  <c r="L215" i="28"/>
  <c r="M215" i="28"/>
  <c r="L217" i="28"/>
  <c r="M217" i="28"/>
  <c r="L219" i="28"/>
  <c r="M219" i="28"/>
  <c r="L221" i="28"/>
  <c r="M221" i="28"/>
  <c r="L185" i="28"/>
  <c r="M185" i="28"/>
  <c r="L189" i="28"/>
  <c r="M189" i="28"/>
  <c r="L193" i="28"/>
  <c r="M193" i="28"/>
  <c r="L205" i="28"/>
  <c r="M205" i="28"/>
  <c r="L206" i="28"/>
  <c r="M206" i="28"/>
  <c r="L213" i="28"/>
  <c r="M213" i="28"/>
  <c r="L223" i="28"/>
  <c r="M223" i="28"/>
  <c r="L224" i="28"/>
  <c r="M224" i="28"/>
  <c r="L225" i="28"/>
  <c r="M225" i="28"/>
  <c r="L226" i="28"/>
  <c r="M226" i="28"/>
  <c r="L227" i="28"/>
  <c r="M227" i="28"/>
  <c r="L228" i="28"/>
  <c r="M228" i="28"/>
  <c r="L229" i="28"/>
  <c r="M229" i="28"/>
  <c r="L230" i="28"/>
  <c r="M230" i="28"/>
  <c r="L231" i="28"/>
  <c r="M231" i="28"/>
  <c r="L232" i="28"/>
  <c r="M232" i="28"/>
  <c r="L233" i="28"/>
  <c r="M233" i="28"/>
  <c r="L234" i="28"/>
  <c r="M234" i="28"/>
  <c r="L235" i="28"/>
  <c r="M235" i="28"/>
  <c r="L236" i="28"/>
  <c r="M236" i="28"/>
  <c r="L237" i="28"/>
  <c r="M237" i="28"/>
  <c r="L238" i="28"/>
  <c r="M238" i="28"/>
  <c r="L239" i="28"/>
  <c r="M239" i="28"/>
  <c r="L240" i="28"/>
  <c r="M240" i="28"/>
  <c r="L241" i="28"/>
  <c r="M241" i="28"/>
  <c r="L242" i="28"/>
  <c r="M242" i="28"/>
  <c r="L243" i="28"/>
  <c r="M243" i="28"/>
  <c r="L244" i="28"/>
  <c r="M244" i="28"/>
  <c r="L245" i="28"/>
  <c r="M245" i="28"/>
  <c r="L246" i="28"/>
  <c r="M246" i="28"/>
  <c r="L247" i="28"/>
  <c r="M247" i="28"/>
  <c r="L252" i="28"/>
  <c r="M252" i="28"/>
  <c r="L253" i="28"/>
  <c r="M253" i="28"/>
  <c r="L254" i="28"/>
  <c r="M254" i="28"/>
  <c r="L255" i="28"/>
  <c r="M255" i="28"/>
  <c r="L256" i="28"/>
  <c r="M256" i="28"/>
  <c r="L257" i="28"/>
  <c r="M257" i="28"/>
  <c r="L258" i="28"/>
  <c r="M258" i="28"/>
  <c r="L259" i="28"/>
  <c r="M259" i="28"/>
  <c r="L260" i="28"/>
  <c r="M260" i="28"/>
  <c r="L261" i="28"/>
  <c r="M261" i="28"/>
  <c r="L262" i="28"/>
  <c r="M262" i="28"/>
  <c r="L263" i="28"/>
  <c r="M263" i="28"/>
  <c r="L264" i="28"/>
  <c r="M264" i="28"/>
  <c r="L265" i="28"/>
  <c r="M265" i="28"/>
  <c r="L266" i="28"/>
  <c r="M266" i="28"/>
  <c r="L267" i="28"/>
  <c r="M267" i="28"/>
  <c r="L268" i="28"/>
  <c r="M268" i="28"/>
  <c r="L269" i="28"/>
  <c r="M269" i="28"/>
  <c r="L270" i="28"/>
  <c r="M270" i="28"/>
  <c r="L271" i="28"/>
  <c r="M271" i="28"/>
  <c r="L272" i="28"/>
  <c r="M272" i="28"/>
  <c r="L273" i="28"/>
  <c r="M273" i="28"/>
  <c r="L274" i="28"/>
  <c r="M274" i="28"/>
  <c r="L275" i="28"/>
  <c r="M275" i="28"/>
  <c r="L276" i="28"/>
  <c r="M276" i="28"/>
  <c r="L277" i="28"/>
  <c r="M277" i="28"/>
  <c r="L278" i="28"/>
  <c r="M278" i="28"/>
  <c r="L279" i="28"/>
  <c r="M279" i="28"/>
  <c r="L280" i="28"/>
  <c r="M280" i="28"/>
  <c r="L281" i="28"/>
  <c r="M281" i="28"/>
  <c r="L282" i="28"/>
  <c r="M282" i="28"/>
  <c r="L283" i="28"/>
  <c r="M283" i="28"/>
  <c r="L284" i="28"/>
  <c r="M284" i="28"/>
  <c r="L285" i="28"/>
  <c r="M285" i="28"/>
  <c r="L286" i="28"/>
  <c r="M286" i="28"/>
  <c r="L287" i="28"/>
  <c r="M287" i="28"/>
  <c r="L288" i="28"/>
  <c r="M288" i="28"/>
  <c r="L289" i="28"/>
  <c r="M289" i="28"/>
  <c r="L290" i="28"/>
  <c r="M290" i="28"/>
  <c r="L291" i="28"/>
  <c r="M291" i="28"/>
  <c r="L292" i="28"/>
  <c r="M292" i="28"/>
  <c r="L293" i="28"/>
  <c r="M293" i="28"/>
  <c r="L294" i="28"/>
  <c r="M294" i="28"/>
  <c r="L295" i="28"/>
  <c r="M295" i="28"/>
  <c r="L296" i="28"/>
  <c r="M296" i="28"/>
  <c r="L297" i="28"/>
  <c r="M297" i="28"/>
  <c r="L298" i="28"/>
  <c r="M298" i="28"/>
  <c r="L299" i="28"/>
  <c r="M299" i="28"/>
  <c r="L300" i="28"/>
  <c r="M300" i="28"/>
  <c r="L301" i="28"/>
  <c r="M301" i="28"/>
  <c r="L302" i="28"/>
  <c r="M302" i="28"/>
  <c r="L303" i="28"/>
  <c r="M303" i="28"/>
  <c r="L304" i="28"/>
  <c r="M304" i="28"/>
  <c r="L305" i="28"/>
  <c r="M305" i="28"/>
  <c r="L306" i="28"/>
  <c r="M306" i="28"/>
  <c r="L307" i="28"/>
  <c r="M307" i="28"/>
  <c r="L308" i="28"/>
  <c r="M308" i="28"/>
  <c r="L309" i="28"/>
  <c r="M309" i="28"/>
  <c r="L310" i="28"/>
  <c r="M310" i="28"/>
  <c r="L311" i="28"/>
  <c r="M311" i="28"/>
  <c r="L312" i="28"/>
  <c r="M312" i="28"/>
  <c r="L313" i="28"/>
  <c r="M313" i="28"/>
  <c r="L314" i="28"/>
  <c r="M314" i="28"/>
  <c r="L315" i="28"/>
  <c r="M315" i="28"/>
  <c r="L316" i="28"/>
  <c r="M316" i="28"/>
  <c r="L317" i="28"/>
  <c r="M317" i="28"/>
  <c r="L318" i="28"/>
  <c r="M318" i="28"/>
  <c r="L319" i="28"/>
  <c r="M319" i="28"/>
  <c r="L320" i="28"/>
  <c r="M320" i="28"/>
  <c r="L321" i="28"/>
  <c r="M321" i="28"/>
  <c r="L322" i="28"/>
  <c r="M322" i="28"/>
  <c r="L323" i="28"/>
  <c r="M323" i="28"/>
  <c r="L324" i="28"/>
  <c r="M324" i="28"/>
  <c r="L325" i="28"/>
  <c r="M325" i="28"/>
  <c r="L326" i="28"/>
  <c r="M326" i="28"/>
  <c r="L327" i="28"/>
  <c r="M327" i="28"/>
  <c r="L328" i="28"/>
  <c r="M328" i="28"/>
  <c r="L329" i="28"/>
  <c r="M329" i="28"/>
  <c r="L330" i="28"/>
  <c r="M330" i="28"/>
  <c r="L331" i="28"/>
  <c r="M331" i="28"/>
  <c r="L332" i="28"/>
  <c r="M332" i="28"/>
  <c r="L333" i="28"/>
  <c r="M333" i="28"/>
  <c r="L334" i="28"/>
  <c r="M334" i="28"/>
  <c r="L335" i="28"/>
  <c r="M335" i="28"/>
  <c r="L336" i="28"/>
  <c r="M336" i="28"/>
  <c r="L337" i="28"/>
  <c r="M337" i="28"/>
  <c r="L338" i="28"/>
  <c r="M338" i="28"/>
  <c r="L339" i="28"/>
  <c r="M339" i="28"/>
  <c r="L340" i="28"/>
  <c r="M340" i="28"/>
  <c r="L341" i="28"/>
  <c r="M341" i="28"/>
  <c r="L342" i="28"/>
  <c r="M342" i="28"/>
  <c r="L343" i="28"/>
  <c r="M343" i="28"/>
  <c r="L344" i="28"/>
  <c r="M344" i="28"/>
  <c r="L345" i="28"/>
  <c r="M345" i="28"/>
  <c r="L346" i="28"/>
  <c r="M346" i="28"/>
  <c r="L347" i="28"/>
  <c r="M347" i="28"/>
  <c r="L251" i="28"/>
  <c r="M251" i="28"/>
  <c r="L248" i="28"/>
  <c r="M248" i="28"/>
  <c r="L249" i="28"/>
  <c r="M249" i="28"/>
  <c r="L250" i="28"/>
  <c r="M250" i="28"/>
  <c r="L348" i="28"/>
  <c r="M348" i="28"/>
  <c r="L349" i="28"/>
  <c r="M349" i="28"/>
  <c r="L350" i="28"/>
  <c r="M350" i="28"/>
  <c r="L351" i="28"/>
  <c r="M351" i="28"/>
  <c r="L352" i="28"/>
  <c r="M352" i="28"/>
  <c r="L353" i="28"/>
  <c r="M353" i="28"/>
  <c r="L354" i="28"/>
  <c r="M354" i="28"/>
  <c r="L355" i="28"/>
  <c r="M355" i="28"/>
  <c r="L356" i="28"/>
  <c r="M356" i="28"/>
  <c r="L357" i="28"/>
  <c r="M357" i="28"/>
  <c r="L358" i="28"/>
  <c r="M358" i="28"/>
  <c r="L359" i="28"/>
  <c r="M359" i="28"/>
  <c r="L360" i="28"/>
  <c r="M360" i="28"/>
  <c r="L361" i="28"/>
  <c r="M361" i="28"/>
  <c r="L362" i="28"/>
  <c r="M362" i="28"/>
  <c r="L363" i="28"/>
  <c r="M363" i="28"/>
  <c r="L364" i="28"/>
  <c r="M364" i="28"/>
  <c r="L365" i="28"/>
  <c r="M365" i="28"/>
  <c r="L366" i="28"/>
  <c r="M366" i="28"/>
  <c r="L367" i="28"/>
  <c r="M367" i="28"/>
  <c r="L368" i="28"/>
  <c r="M368" i="28"/>
  <c r="L369" i="28"/>
  <c r="M369" i="28"/>
  <c r="L370" i="28"/>
  <c r="M370" i="28"/>
  <c r="L371" i="28"/>
  <c r="M371" i="28"/>
  <c r="L372" i="28"/>
  <c r="M372" i="28"/>
  <c r="L373" i="28"/>
  <c r="M373" i="28"/>
  <c r="L374" i="28"/>
  <c r="M374" i="28"/>
  <c r="L375" i="28"/>
  <c r="M375" i="28"/>
  <c r="L376" i="28"/>
  <c r="M376" i="28"/>
  <c r="L377" i="28"/>
  <c r="M377" i="28"/>
  <c r="L378" i="28"/>
  <c r="M378" i="28"/>
  <c r="L379" i="28"/>
  <c r="M379" i="28"/>
  <c r="L380" i="28"/>
  <c r="M380" i="28"/>
  <c r="L381" i="28"/>
  <c r="M381" i="28"/>
  <c r="L382" i="28"/>
  <c r="M382" i="28"/>
  <c r="L383" i="28"/>
  <c r="M383" i="28"/>
  <c r="L384" i="28"/>
  <c r="M384" i="28"/>
  <c r="L385" i="28"/>
  <c r="M385" i="28"/>
  <c r="L386" i="28"/>
  <c r="M386" i="28"/>
  <c r="L387" i="28"/>
  <c r="M387" i="28"/>
  <c r="L388" i="28"/>
  <c r="M388" i="28"/>
  <c r="L389" i="28"/>
  <c r="M389" i="28"/>
  <c r="L390" i="28"/>
  <c r="M390" i="28"/>
  <c r="L391" i="28"/>
  <c r="M391" i="28"/>
  <c r="L392" i="28"/>
  <c r="M392" i="28"/>
  <c r="L393" i="28"/>
  <c r="M393" i="28"/>
  <c r="L394" i="28"/>
  <c r="M394" i="28"/>
  <c r="L395" i="28"/>
  <c r="M395" i="28"/>
  <c r="L396" i="28"/>
  <c r="M396" i="28"/>
  <c r="L397" i="28"/>
  <c r="M397" i="28"/>
  <c r="L398" i="28"/>
  <c r="M398" i="28"/>
  <c r="L399" i="28"/>
  <c r="M399" i="28"/>
  <c r="L400" i="28"/>
  <c r="M400" i="28"/>
  <c r="L401" i="28"/>
  <c r="M401" i="28"/>
  <c r="L402" i="28"/>
  <c r="M402" i="28"/>
  <c r="L403" i="28"/>
  <c r="M403" i="28"/>
  <c r="L404" i="28"/>
  <c r="M404" i="28"/>
  <c r="L405" i="28"/>
  <c r="M405" i="28"/>
  <c r="L406" i="28"/>
  <c r="M406" i="28"/>
  <c r="L407" i="28"/>
  <c r="M407" i="28"/>
  <c r="L408" i="28"/>
  <c r="M408" i="28"/>
  <c r="L409" i="28"/>
  <c r="M409" i="28"/>
  <c r="L410" i="28"/>
  <c r="M410" i="28"/>
  <c r="L411" i="28"/>
  <c r="M411" i="28"/>
  <c r="L412" i="28"/>
  <c r="M412" i="28"/>
  <c r="L413" i="28"/>
  <c r="M413" i="28"/>
  <c r="L414" i="28"/>
  <c r="M414" i="28"/>
  <c r="L415" i="28"/>
  <c r="M415" i="28"/>
  <c r="L416" i="28"/>
  <c r="M416" i="28"/>
  <c r="L417" i="28"/>
  <c r="M417" i="28"/>
  <c r="L418" i="28"/>
  <c r="M418" i="28"/>
  <c r="L419" i="28"/>
  <c r="M419" i="28"/>
  <c r="L420" i="28"/>
  <c r="M420" i="28"/>
  <c r="L421" i="28"/>
  <c r="M421" i="28"/>
  <c r="L422" i="28"/>
  <c r="M422" i="28"/>
  <c r="L425" i="28"/>
  <c r="M425" i="28"/>
  <c r="L426" i="28"/>
  <c r="M426" i="28"/>
  <c r="L427" i="28"/>
  <c r="M427" i="28"/>
  <c r="L428" i="28"/>
  <c r="M428" i="28"/>
  <c r="L429" i="28"/>
  <c r="M429" i="28"/>
  <c r="L430" i="28"/>
  <c r="M430" i="28"/>
  <c r="L431" i="28"/>
  <c r="M431" i="28"/>
  <c r="L432" i="28"/>
  <c r="M432" i="28"/>
  <c r="L433" i="28"/>
  <c r="M433" i="28"/>
  <c r="L434" i="28"/>
  <c r="M434" i="28"/>
  <c r="L435" i="28"/>
  <c r="M435" i="28"/>
  <c r="L424" i="28"/>
  <c r="M424" i="28"/>
  <c r="L436" i="28"/>
  <c r="M436" i="28"/>
  <c r="L27" i="28"/>
  <c r="M27" i="28"/>
  <c r="L26" i="28"/>
  <c r="L523" i="28"/>
  <c r="L423" i="28"/>
  <c r="M423" i="28"/>
  <c r="L437" i="28"/>
  <c r="M437" i="28"/>
  <c r="L438" i="28"/>
  <c r="M438" i="28"/>
  <c r="L439" i="28"/>
  <c r="M439" i="28"/>
  <c r="L440" i="28"/>
  <c r="M440" i="28"/>
  <c r="L441" i="28"/>
  <c r="M441" i="28"/>
  <c r="L442" i="28"/>
  <c r="M442" i="28"/>
  <c r="L443" i="28"/>
  <c r="M443" i="28"/>
  <c r="L444" i="28"/>
  <c r="M444" i="28"/>
  <c r="L445" i="28"/>
  <c r="M445" i="28"/>
  <c r="L446" i="28"/>
  <c r="M446" i="28"/>
  <c r="L447" i="28"/>
  <c r="M447" i="28"/>
  <c r="L448" i="28"/>
  <c r="M448" i="28"/>
  <c r="L449" i="28"/>
  <c r="M449" i="28"/>
  <c r="L450" i="28"/>
  <c r="M450" i="28"/>
  <c r="L451" i="28"/>
  <c r="M451" i="28"/>
  <c r="L452" i="28"/>
  <c r="M452" i="28"/>
  <c r="L453" i="28"/>
  <c r="M453" i="28"/>
  <c r="L454" i="28"/>
  <c r="M454" i="28"/>
  <c r="L455" i="28"/>
  <c r="M455" i="28"/>
  <c r="L456" i="28"/>
  <c r="M456" i="28"/>
  <c r="L457" i="28"/>
  <c r="M457" i="28"/>
  <c r="L458" i="28"/>
  <c r="M458" i="28"/>
  <c r="L459" i="28"/>
  <c r="M459" i="28"/>
  <c r="L460" i="28"/>
  <c r="M460" i="28"/>
  <c r="L461" i="28"/>
  <c r="M461" i="28"/>
  <c r="L462" i="28"/>
  <c r="M462" i="28"/>
  <c r="L463" i="28"/>
  <c r="M463" i="28"/>
  <c r="L464" i="28"/>
  <c r="M464" i="28"/>
  <c r="L465" i="28"/>
  <c r="M465" i="28"/>
  <c r="L466" i="28"/>
  <c r="M466" i="28"/>
  <c r="L467" i="28"/>
  <c r="M467" i="28"/>
  <c r="L468" i="28"/>
  <c r="M468" i="28"/>
  <c r="L469" i="28"/>
  <c r="M469" i="28"/>
  <c r="L470" i="28"/>
  <c r="M470" i="28"/>
  <c r="L471" i="28"/>
  <c r="M471" i="28"/>
  <c r="L472" i="28"/>
  <c r="M472" i="28"/>
  <c r="L473" i="28"/>
  <c r="M473" i="28"/>
  <c r="L474" i="28"/>
  <c r="M474" i="28"/>
  <c r="L475" i="28"/>
  <c r="M475" i="28"/>
  <c r="L476" i="28"/>
  <c r="M476" i="28"/>
  <c r="L477" i="28"/>
  <c r="M477" i="28"/>
  <c r="L478" i="28"/>
  <c r="M478" i="28"/>
  <c r="L479" i="28"/>
  <c r="M479" i="28"/>
  <c r="L480" i="28"/>
  <c r="M480" i="28"/>
  <c r="L481" i="28"/>
  <c r="M481" i="28"/>
  <c r="L482" i="28"/>
  <c r="M482" i="28"/>
  <c r="L483" i="28"/>
  <c r="M483" i="28"/>
  <c r="L484" i="28"/>
  <c r="M484" i="28"/>
  <c r="L485" i="28"/>
  <c r="M485" i="28"/>
  <c r="L486" i="28"/>
  <c r="M486" i="28"/>
  <c r="L487" i="28"/>
  <c r="M487" i="28"/>
  <c r="L488" i="28"/>
  <c r="M488" i="28"/>
  <c r="L489" i="28"/>
  <c r="M489" i="28"/>
  <c r="L490" i="28"/>
  <c r="M490" i="28"/>
  <c r="L491" i="28"/>
  <c r="M491" i="28"/>
  <c r="L492" i="28"/>
  <c r="M492" i="28"/>
  <c r="L493" i="28"/>
  <c r="M493" i="28"/>
  <c r="L494" i="28"/>
  <c r="M494" i="28"/>
  <c r="L495" i="28"/>
  <c r="M495" i="28"/>
  <c r="L496" i="28"/>
  <c r="M496" i="28"/>
  <c r="L497" i="28"/>
  <c r="M497" i="28"/>
  <c r="L498" i="28"/>
  <c r="M498" i="28"/>
  <c r="L499" i="28"/>
  <c r="M499" i="28"/>
  <c r="L500" i="28"/>
  <c r="M500" i="28"/>
  <c r="L501" i="28"/>
  <c r="M501" i="28"/>
  <c r="L502" i="28"/>
  <c r="M502" i="28"/>
  <c r="L503" i="28"/>
  <c r="M503" i="28"/>
  <c r="L504" i="28"/>
  <c r="M504" i="28"/>
  <c r="L505" i="28"/>
  <c r="M505" i="28"/>
  <c r="E15" i="3"/>
  <c r="K15" i="3"/>
  <c r="D102" i="3"/>
  <c r="Y99" i="3"/>
  <c r="AA99" i="3"/>
  <c r="AB99" i="3"/>
  <c r="C83" i="43"/>
  <c r="C82" i="43"/>
  <c r="C81" i="43"/>
  <c r="I81" i="35"/>
  <c r="E29" i="3"/>
  <c r="Y25" i="3"/>
  <c r="AA25" i="3"/>
  <c r="AB25" i="3"/>
  <c r="E25" i="3"/>
  <c r="I16" i="35"/>
  <c r="Q81" i="50"/>
  <c r="Q69" i="50"/>
  <c r="D88" i="50"/>
  <c r="Q88" i="50"/>
  <c r="C28" i="43"/>
  <c r="C17" i="43"/>
  <c r="M6" i="50"/>
  <c r="B8" i="59"/>
  <c r="B10" i="59"/>
  <c r="B9" i="59"/>
  <c r="D69" i="28"/>
  <c r="E69" i="28"/>
  <c r="D70" i="28"/>
  <c r="E70" i="28"/>
  <c r="H28" i="28"/>
  <c r="I28" i="28"/>
  <c r="H29" i="28"/>
  <c r="I29" i="28"/>
  <c r="H30" i="28"/>
  <c r="I30" i="28"/>
  <c r="H31" i="28"/>
  <c r="I31" i="28"/>
  <c r="H32" i="28"/>
  <c r="I32" i="28"/>
  <c r="H33" i="28"/>
  <c r="I33" i="28"/>
  <c r="H34" i="28"/>
  <c r="I34" i="28"/>
  <c r="H35" i="28"/>
  <c r="I35" i="28"/>
  <c r="H36" i="28"/>
  <c r="I36" i="28"/>
  <c r="H37" i="28"/>
  <c r="I37" i="28"/>
  <c r="H38" i="28"/>
  <c r="I38" i="28"/>
  <c r="H39" i="28"/>
  <c r="I39" i="28"/>
  <c r="H40" i="28"/>
  <c r="I40" i="28"/>
  <c r="H41" i="28"/>
  <c r="I41" i="28"/>
  <c r="H42" i="28"/>
  <c r="I42" i="28"/>
  <c r="H43" i="28"/>
  <c r="I43" i="28"/>
  <c r="H44" i="28"/>
  <c r="I44" i="28"/>
  <c r="H45" i="28"/>
  <c r="I45" i="28"/>
  <c r="H46" i="28"/>
  <c r="I46" i="28"/>
  <c r="H47" i="28"/>
  <c r="I47" i="28"/>
  <c r="H48" i="28"/>
  <c r="I48" i="28"/>
  <c r="H49" i="28"/>
  <c r="I49" i="28"/>
  <c r="H50" i="28"/>
  <c r="I50" i="28"/>
  <c r="H51" i="28"/>
  <c r="I51" i="28"/>
  <c r="H52" i="28"/>
  <c r="I52" i="28"/>
  <c r="H53" i="28"/>
  <c r="I53" i="28"/>
  <c r="H54" i="28"/>
  <c r="I54" i="28"/>
  <c r="H55" i="28"/>
  <c r="I55" i="28"/>
  <c r="H56" i="28"/>
  <c r="I56" i="28"/>
  <c r="H57" i="28"/>
  <c r="I57" i="28"/>
  <c r="H58" i="28"/>
  <c r="I58" i="28"/>
  <c r="H59" i="28"/>
  <c r="I59" i="28"/>
  <c r="H60" i="28"/>
  <c r="I60" i="28"/>
  <c r="H61" i="28"/>
  <c r="I61" i="28"/>
  <c r="H62" i="28"/>
  <c r="I62" i="28"/>
  <c r="H63" i="28"/>
  <c r="I63" i="28"/>
  <c r="H64" i="28"/>
  <c r="I64" i="28"/>
  <c r="H66" i="28"/>
  <c r="I66" i="28"/>
  <c r="H68" i="28"/>
  <c r="I68" i="28"/>
  <c r="D29" i="28"/>
  <c r="E29" i="28"/>
  <c r="D31" i="28"/>
  <c r="E31" i="28"/>
  <c r="D33" i="28"/>
  <c r="E33" i="28"/>
  <c r="D35" i="28"/>
  <c r="E35" i="28"/>
  <c r="D37" i="28"/>
  <c r="E37" i="28"/>
  <c r="D39" i="28"/>
  <c r="E39" i="28"/>
  <c r="D41" i="28"/>
  <c r="E41" i="28"/>
  <c r="D43" i="28"/>
  <c r="E43" i="28"/>
  <c r="D45" i="28"/>
  <c r="E45" i="28"/>
  <c r="D47" i="28"/>
  <c r="E47" i="28"/>
  <c r="D49" i="28"/>
  <c r="E49" i="28"/>
  <c r="D51" i="28"/>
  <c r="E51" i="28"/>
  <c r="D53" i="28"/>
  <c r="E53" i="28"/>
  <c r="D55" i="28"/>
  <c r="E55" i="28"/>
  <c r="D57" i="28"/>
  <c r="E57" i="28"/>
  <c r="D59" i="28"/>
  <c r="E59" i="28"/>
  <c r="D61" i="28"/>
  <c r="E61" i="28"/>
  <c r="D63" i="28"/>
  <c r="E63" i="28"/>
  <c r="D65" i="28"/>
  <c r="E65" i="28"/>
  <c r="D67" i="28"/>
  <c r="E67" i="28"/>
  <c r="H70" i="28"/>
  <c r="I70" i="28"/>
  <c r="H71" i="28"/>
  <c r="I71" i="28"/>
  <c r="H72" i="28"/>
  <c r="I72" i="28"/>
  <c r="H73" i="28"/>
  <c r="I73" i="28"/>
  <c r="H74" i="28"/>
  <c r="I74" i="28"/>
  <c r="H75" i="28"/>
  <c r="I75" i="28"/>
  <c r="H76" i="28"/>
  <c r="I76" i="28"/>
  <c r="H77" i="28"/>
  <c r="I77" i="28"/>
  <c r="H78" i="28"/>
  <c r="I78" i="28"/>
  <c r="H79" i="28"/>
  <c r="I79" i="28"/>
  <c r="H80" i="28"/>
  <c r="I80" i="28"/>
  <c r="H81" i="28"/>
  <c r="I81" i="28"/>
  <c r="H82" i="28"/>
  <c r="I82" i="28"/>
  <c r="H83" i="28"/>
  <c r="I83" i="28"/>
  <c r="H84" i="28"/>
  <c r="I84" i="28"/>
  <c r="H85" i="28"/>
  <c r="I85" i="28"/>
  <c r="H86" i="28"/>
  <c r="I86" i="28"/>
  <c r="H87" i="28"/>
  <c r="I87" i="28"/>
  <c r="H88" i="28"/>
  <c r="I88" i="28"/>
  <c r="H89" i="28"/>
  <c r="I89" i="28"/>
  <c r="H90" i="28"/>
  <c r="I90" i="28"/>
  <c r="H91" i="28"/>
  <c r="I91" i="28"/>
  <c r="H92" i="28"/>
  <c r="I92" i="28"/>
  <c r="H93" i="28"/>
  <c r="I93" i="28"/>
  <c r="H94" i="28"/>
  <c r="I94" i="28"/>
  <c r="H95" i="28"/>
  <c r="I95" i="28"/>
  <c r="H96" i="28"/>
  <c r="I96" i="28"/>
  <c r="H97" i="28"/>
  <c r="I97" i="28"/>
  <c r="H98" i="28"/>
  <c r="I98" i="28"/>
  <c r="H99" i="28"/>
  <c r="I99" i="28"/>
  <c r="H65" i="28"/>
  <c r="I65" i="28"/>
  <c r="H67" i="28"/>
  <c r="I67" i="28"/>
  <c r="D30" i="28"/>
  <c r="E30" i="28"/>
  <c r="D38" i="28"/>
  <c r="E38" i="28"/>
  <c r="D46" i="28"/>
  <c r="E46" i="28"/>
  <c r="D54" i="28"/>
  <c r="E54" i="28"/>
  <c r="D62" i="28"/>
  <c r="E62" i="28"/>
  <c r="H69" i="28"/>
  <c r="I69" i="28"/>
  <c r="D32" i="28"/>
  <c r="E32" i="28"/>
  <c r="D40" i="28"/>
  <c r="E40" i="28"/>
  <c r="D48" i="28"/>
  <c r="E48" i="28"/>
  <c r="D56" i="28"/>
  <c r="E56" i="28"/>
  <c r="D64" i="28"/>
  <c r="E64" i="28"/>
  <c r="D72" i="28"/>
  <c r="E72" i="28"/>
  <c r="D74" i="28"/>
  <c r="E74" i="28"/>
  <c r="D76" i="28"/>
  <c r="E76" i="28"/>
  <c r="D78" i="28"/>
  <c r="E78" i="28"/>
  <c r="D80" i="28"/>
  <c r="E80" i="28"/>
  <c r="D82" i="28"/>
  <c r="E82" i="28"/>
  <c r="D84" i="28"/>
  <c r="E84" i="28"/>
  <c r="D86" i="28"/>
  <c r="E86" i="28"/>
  <c r="D88" i="28"/>
  <c r="E88" i="28"/>
  <c r="D90" i="28"/>
  <c r="E90" i="28"/>
  <c r="D92" i="28"/>
  <c r="E92" i="28"/>
  <c r="D94" i="28"/>
  <c r="E94" i="28"/>
  <c r="D96" i="28"/>
  <c r="E96" i="28"/>
  <c r="D98" i="28"/>
  <c r="E98" i="28"/>
  <c r="D34" i="28"/>
  <c r="E34" i="28"/>
  <c r="D50" i="28"/>
  <c r="E50" i="28"/>
  <c r="D89" i="28"/>
  <c r="E89" i="28"/>
  <c r="D97" i="28"/>
  <c r="E97" i="28"/>
  <c r="H100" i="28"/>
  <c r="I100" i="28"/>
  <c r="H102" i="28"/>
  <c r="I102" i="28"/>
  <c r="H104" i="28"/>
  <c r="I104" i="28"/>
  <c r="H106" i="28"/>
  <c r="I106" i="28"/>
  <c r="H108" i="28"/>
  <c r="I108" i="28"/>
  <c r="H110" i="28"/>
  <c r="I110" i="28"/>
  <c r="H112" i="28"/>
  <c r="I112" i="28"/>
  <c r="H114" i="28"/>
  <c r="I114" i="28"/>
  <c r="H116" i="28"/>
  <c r="I116" i="28"/>
  <c r="H118" i="28"/>
  <c r="I118" i="28"/>
  <c r="H120" i="28"/>
  <c r="I120" i="28"/>
  <c r="H122" i="28"/>
  <c r="I122" i="28"/>
  <c r="H124" i="28"/>
  <c r="I124" i="28"/>
  <c r="H126" i="28"/>
  <c r="I126" i="28"/>
  <c r="H128" i="28"/>
  <c r="I128" i="28"/>
  <c r="H130" i="28"/>
  <c r="I130" i="28"/>
  <c r="H132" i="28"/>
  <c r="I132" i="28"/>
  <c r="H134" i="28"/>
  <c r="I134" i="28"/>
  <c r="H136" i="28"/>
  <c r="I136" i="28"/>
  <c r="H138" i="28"/>
  <c r="I138" i="28"/>
  <c r="H140" i="28"/>
  <c r="I140" i="28"/>
  <c r="H142" i="28"/>
  <c r="I142" i="28"/>
  <c r="H144" i="28"/>
  <c r="I144" i="28"/>
  <c r="H146" i="28"/>
  <c r="I146" i="28"/>
  <c r="H148" i="28"/>
  <c r="I148" i="28"/>
  <c r="H150" i="28"/>
  <c r="I150" i="28"/>
  <c r="H152" i="28"/>
  <c r="I152" i="28"/>
  <c r="H154" i="28"/>
  <c r="I154" i="28"/>
  <c r="H156" i="28"/>
  <c r="I156" i="28"/>
  <c r="H158" i="28"/>
  <c r="I158" i="28"/>
  <c r="H160" i="28"/>
  <c r="I160" i="28"/>
  <c r="H162" i="28"/>
  <c r="I162" i="28"/>
  <c r="H164" i="28"/>
  <c r="I164" i="28"/>
  <c r="H166" i="28"/>
  <c r="I166" i="28"/>
  <c r="H168" i="28"/>
  <c r="I168" i="28"/>
  <c r="H170" i="28"/>
  <c r="I170" i="28"/>
  <c r="H172" i="28"/>
  <c r="I172" i="28"/>
  <c r="D36" i="28"/>
  <c r="E36" i="28"/>
  <c r="D52" i="28"/>
  <c r="E52" i="28"/>
  <c r="D66" i="28"/>
  <c r="E66" i="28"/>
  <c r="D71" i="28"/>
  <c r="E71" i="28"/>
  <c r="D75" i="28"/>
  <c r="E75" i="28"/>
  <c r="D79" i="28"/>
  <c r="E79" i="28"/>
  <c r="D83" i="28"/>
  <c r="E83" i="28"/>
  <c r="D87" i="28"/>
  <c r="E87" i="28"/>
  <c r="D95" i="28"/>
  <c r="E95" i="28"/>
  <c r="D101" i="28"/>
  <c r="E101" i="28"/>
  <c r="D103" i="28"/>
  <c r="E103" i="28"/>
  <c r="D105" i="28"/>
  <c r="E105" i="28"/>
  <c r="D107" i="28"/>
  <c r="E107" i="28"/>
  <c r="D109" i="28"/>
  <c r="E109" i="28"/>
  <c r="D111" i="28"/>
  <c r="E111" i="28"/>
  <c r="D113" i="28"/>
  <c r="E113" i="28"/>
  <c r="D115" i="28"/>
  <c r="E115" i="28"/>
  <c r="D117" i="28"/>
  <c r="E117" i="28"/>
  <c r="D119" i="28"/>
  <c r="E119" i="28"/>
  <c r="D121" i="28"/>
  <c r="E121" i="28"/>
  <c r="D123" i="28"/>
  <c r="E123" i="28"/>
  <c r="D125" i="28"/>
  <c r="E125" i="28"/>
  <c r="D127" i="28"/>
  <c r="E127" i="28"/>
  <c r="D129" i="28"/>
  <c r="E129" i="28"/>
  <c r="D131" i="28"/>
  <c r="E131" i="28"/>
  <c r="D133" i="28"/>
  <c r="E133" i="28"/>
  <c r="D135" i="28"/>
  <c r="E135" i="28"/>
  <c r="D137" i="28"/>
  <c r="E137" i="28"/>
  <c r="D139" i="28"/>
  <c r="E139" i="28"/>
  <c r="D141" i="28"/>
  <c r="E141" i="28"/>
  <c r="D143" i="28"/>
  <c r="E143" i="28"/>
  <c r="D145" i="28"/>
  <c r="E145" i="28"/>
  <c r="D147" i="28"/>
  <c r="E147" i="28"/>
  <c r="D149" i="28"/>
  <c r="E149" i="28"/>
  <c r="D151" i="28"/>
  <c r="E151" i="28"/>
  <c r="D153" i="28"/>
  <c r="E153" i="28"/>
  <c r="D155" i="28"/>
  <c r="E155" i="28"/>
  <c r="D157" i="28"/>
  <c r="E157" i="28"/>
  <c r="D159" i="28"/>
  <c r="E159" i="28"/>
  <c r="D161" i="28"/>
  <c r="E161" i="28"/>
  <c r="D163" i="28"/>
  <c r="E163" i="28"/>
  <c r="D165" i="28"/>
  <c r="E165" i="28"/>
  <c r="D167" i="28"/>
  <c r="E167" i="28"/>
  <c r="D169" i="28"/>
  <c r="E169" i="28"/>
  <c r="D171" i="28"/>
  <c r="E171" i="28"/>
  <c r="D173" i="28"/>
  <c r="E173" i="28"/>
  <c r="H174" i="28"/>
  <c r="I174" i="28"/>
  <c r="H175" i="28"/>
  <c r="I175" i="28"/>
  <c r="H176" i="28"/>
  <c r="I176" i="28"/>
  <c r="H177" i="28"/>
  <c r="I177" i="28"/>
  <c r="H178" i="28"/>
  <c r="I178" i="28"/>
  <c r="H179" i="28"/>
  <c r="I179" i="28"/>
  <c r="H180" i="28"/>
  <c r="I180" i="28"/>
  <c r="H181" i="28"/>
  <c r="I181" i="28"/>
  <c r="H182" i="28"/>
  <c r="I182" i="28"/>
  <c r="H183" i="28"/>
  <c r="I183" i="28"/>
  <c r="H184" i="28"/>
  <c r="I184" i="28"/>
  <c r="H185" i="28"/>
  <c r="I185" i="28"/>
  <c r="H186" i="28"/>
  <c r="I186" i="28"/>
  <c r="H187" i="28"/>
  <c r="I187" i="28"/>
  <c r="H188" i="28"/>
  <c r="I188" i="28"/>
  <c r="H189" i="28"/>
  <c r="I189" i="28"/>
  <c r="H190" i="28"/>
  <c r="I190" i="28"/>
  <c r="H191" i="28"/>
  <c r="I191" i="28"/>
  <c r="H192" i="28"/>
  <c r="I192" i="28"/>
  <c r="H193" i="28"/>
  <c r="I193" i="28"/>
  <c r="H194" i="28"/>
  <c r="I194" i="28"/>
  <c r="H195" i="28"/>
  <c r="I195" i="28"/>
  <c r="H196" i="28"/>
  <c r="I196" i="28"/>
  <c r="H197" i="28"/>
  <c r="I197" i="28"/>
  <c r="H198" i="28"/>
  <c r="I198" i="28"/>
  <c r="H199" i="28"/>
  <c r="I199" i="28"/>
  <c r="H200" i="28"/>
  <c r="I200" i="28"/>
  <c r="H201" i="28"/>
  <c r="I201" i="28"/>
  <c r="H202" i="28"/>
  <c r="I202" i="28"/>
  <c r="H203" i="28"/>
  <c r="I203" i="28"/>
  <c r="H204" i="28"/>
  <c r="I204" i="28"/>
  <c r="H205" i="28"/>
  <c r="I205" i="28"/>
  <c r="H206" i="28"/>
  <c r="I206" i="28"/>
  <c r="H207" i="28"/>
  <c r="I207" i="28"/>
  <c r="H208" i="28"/>
  <c r="I208" i="28"/>
  <c r="H209" i="28"/>
  <c r="I209" i="28"/>
  <c r="H210" i="28"/>
  <c r="I210" i="28"/>
  <c r="H211" i="28"/>
  <c r="I211" i="28"/>
  <c r="H212" i="28"/>
  <c r="I212" i="28"/>
  <c r="H213" i="28"/>
  <c r="I213" i="28"/>
  <c r="H214" i="28"/>
  <c r="I214" i="28"/>
  <c r="H215" i="28"/>
  <c r="I215" i="28"/>
  <c r="H216" i="28"/>
  <c r="I216" i="28"/>
  <c r="H217" i="28"/>
  <c r="I217" i="28"/>
  <c r="H218" i="28"/>
  <c r="I218" i="28"/>
  <c r="H219" i="28"/>
  <c r="I219" i="28"/>
  <c r="H220" i="28"/>
  <c r="I220" i="28"/>
  <c r="H221" i="28"/>
  <c r="I221" i="28"/>
  <c r="H222" i="28"/>
  <c r="I222" i="28"/>
  <c r="D42" i="28"/>
  <c r="E42" i="28"/>
  <c r="D58" i="28"/>
  <c r="E58" i="28"/>
  <c r="D44" i="28"/>
  <c r="E44" i="28"/>
  <c r="D93" i="28"/>
  <c r="E93" i="28"/>
  <c r="H103" i="28"/>
  <c r="I103" i="28"/>
  <c r="H107" i="28"/>
  <c r="I107" i="28"/>
  <c r="H111" i="28"/>
  <c r="I111" i="28"/>
  <c r="H115" i="28"/>
  <c r="I115" i="28"/>
  <c r="H119" i="28"/>
  <c r="I119" i="28"/>
  <c r="H123" i="28"/>
  <c r="I123" i="28"/>
  <c r="H127" i="28"/>
  <c r="I127" i="28"/>
  <c r="H131" i="28"/>
  <c r="I131" i="28"/>
  <c r="H135" i="28"/>
  <c r="I135" i="28"/>
  <c r="H139" i="28"/>
  <c r="I139" i="28"/>
  <c r="H143" i="28"/>
  <c r="I143" i="28"/>
  <c r="H147" i="28"/>
  <c r="I147" i="28"/>
  <c r="H151" i="28"/>
  <c r="I151" i="28"/>
  <c r="H155" i="28"/>
  <c r="I155" i="28"/>
  <c r="H159" i="28"/>
  <c r="I159" i="28"/>
  <c r="H163" i="28"/>
  <c r="I163" i="28"/>
  <c r="H167" i="28"/>
  <c r="I167" i="28"/>
  <c r="H171" i="28"/>
  <c r="I171" i="28"/>
  <c r="D60" i="28"/>
  <c r="E60" i="28"/>
  <c r="D73" i="28"/>
  <c r="E73" i="28"/>
  <c r="D81" i="28"/>
  <c r="E81" i="28"/>
  <c r="D99" i="28"/>
  <c r="E99" i="28"/>
  <c r="D102" i="28"/>
  <c r="E102" i="28"/>
  <c r="D106" i="28"/>
  <c r="E106" i="28"/>
  <c r="D110" i="28"/>
  <c r="E110" i="28"/>
  <c r="D114" i="28"/>
  <c r="E114" i="28"/>
  <c r="D118" i="28"/>
  <c r="E118" i="28"/>
  <c r="D122" i="28"/>
  <c r="E122" i="28"/>
  <c r="D126" i="28"/>
  <c r="E126" i="28"/>
  <c r="D130" i="28"/>
  <c r="E130" i="28"/>
  <c r="D134" i="28"/>
  <c r="E134" i="28"/>
  <c r="D138" i="28"/>
  <c r="E138" i="28"/>
  <c r="D142" i="28"/>
  <c r="E142" i="28"/>
  <c r="D146" i="28"/>
  <c r="E146" i="28"/>
  <c r="D150" i="28"/>
  <c r="E150" i="28"/>
  <c r="D154" i="28"/>
  <c r="E154" i="28"/>
  <c r="D158" i="28"/>
  <c r="E158" i="28"/>
  <c r="D162" i="28"/>
  <c r="E162" i="28"/>
  <c r="D166" i="28"/>
  <c r="E166" i="28"/>
  <c r="D170" i="28"/>
  <c r="E170" i="28"/>
  <c r="D174" i="28"/>
  <c r="E174" i="28"/>
  <c r="D175" i="28"/>
  <c r="E175" i="28"/>
  <c r="D176" i="28"/>
  <c r="E176" i="28"/>
  <c r="D177" i="28"/>
  <c r="E177" i="28"/>
  <c r="D178" i="28"/>
  <c r="E178" i="28"/>
  <c r="D179" i="28"/>
  <c r="E179" i="28"/>
  <c r="D180" i="28"/>
  <c r="E180" i="28"/>
  <c r="D181" i="28"/>
  <c r="E181" i="28"/>
  <c r="D182" i="28"/>
  <c r="E182" i="28"/>
  <c r="D183" i="28"/>
  <c r="E183" i="28"/>
  <c r="D184" i="28"/>
  <c r="E184" i="28"/>
  <c r="D185" i="28"/>
  <c r="E185" i="28"/>
  <c r="D186" i="28"/>
  <c r="E186" i="28"/>
  <c r="D187" i="28"/>
  <c r="E187" i="28"/>
  <c r="D188" i="28"/>
  <c r="E188" i="28"/>
  <c r="D189" i="28"/>
  <c r="E189" i="28"/>
  <c r="D190" i="28"/>
  <c r="E190" i="28"/>
  <c r="D191" i="28"/>
  <c r="E191" i="28"/>
  <c r="D192" i="28"/>
  <c r="E192" i="28"/>
  <c r="D193" i="28"/>
  <c r="E193" i="28"/>
  <c r="D194" i="28"/>
  <c r="E194" i="28"/>
  <c r="D195" i="28"/>
  <c r="E195" i="28"/>
  <c r="D196" i="28"/>
  <c r="E196" i="28"/>
  <c r="D197" i="28"/>
  <c r="E197" i="28"/>
  <c r="D199" i="28"/>
  <c r="E199" i="28"/>
  <c r="D201" i="28"/>
  <c r="E201" i="28"/>
  <c r="D203" i="28"/>
  <c r="E203" i="28"/>
  <c r="D205" i="28"/>
  <c r="E205" i="28"/>
  <c r="D207" i="28"/>
  <c r="E207" i="28"/>
  <c r="D209" i="28"/>
  <c r="E209" i="28"/>
  <c r="D211" i="28"/>
  <c r="E211" i="28"/>
  <c r="D213" i="28"/>
  <c r="E213" i="28"/>
  <c r="D68" i="28"/>
  <c r="E68" i="28"/>
  <c r="H101" i="28"/>
  <c r="I101" i="28"/>
  <c r="H105" i="28"/>
  <c r="I105" i="28"/>
  <c r="H109" i="28"/>
  <c r="I109" i="28"/>
  <c r="H113" i="28"/>
  <c r="I113" i="28"/>
  <c r="H117" i="28"/>
  <c r="I117" i="28"/>
  <c r="H121" i="28"/>
  <c r="I121" i="28"/>
  <c r="H125" i="28"/>
  <c r="I125" i="28"/>
  <c r="H129" i="28"/>
  <c r="I129" i="28"/>
  <c r="H133" i="28"/>
  <c r="I133" i="28"/>
  <c r="H137" i="28"/>
  <c r="I137" i="28"/>
  <c r="H141" i="28"/>
  <c r="I141" i="28"/>
  <c r="H145" i="28"/>
  <c r="I145" i="28"/>
  <c r="H149" i="28"/>
  <c r="I149" i="28"/>
  <c r="H153" i="28"/>
  <c r="I153" i="28"/>
  <c r="H157" i="28"/>
  <c r="I157" i="28"/>
  <c r="H161" i="28"/>
  <c r="I161" i="28"/>
  <c r="H165" i="28"/>
  <c r="I165" i="28"/>
  <c r="H169" i="28"/>
  <c r="I169" i="28"/>
  <c r="H173" i="28"/>
  <c r="I173" i="28"/>
  <c r="D28" i="28"/>
  <c r="E28" i="28"/>
  <c r="D77" i="28"/>
  <c r="E77" i="28"/>
  <c r="D85" i="28"/>
  <c r="E85" i="28"/>
  <c r="D91" i="28"/>
  <c r="E91" i="28"/>
  <c r="D100" i="28"/>
  <c r="E100" i="28"/>
  <c r="D104" i="28"/>
  <c r="E104" i="28"/>
  <c r="D108" i="28"/>
  <c r="E108" i="28"/>
  <c r="D112" i="28"/>
  <c r="E112" i="28"/>
  <c r="D116" i="28"/>
  <c r="E116" i="28"/>
  <c r="D120" i="28"/>
  <c r="E120" i="28"/>
  <c r="D124" i="28"/>
  <c r="E124" i="28"/>
  <c r="D128" i="28"/>
  <c r="E128" i="28"/>
  <c r="D132" i="28"/>
  <c r="E132" i="28"/>
  <c r="D136" i="28"/>
  <c r="E136" i="28"/>
  <c r="D140" i="28"/>
  <c r="E140" i="28"/>
  <c r="D144" i="28"/>
  <c r="E144" i="28"/>
  <c r="D148" i="28"/>
  <c r="E148" i="28"/>
  <c r="D152" i="28"/>
  <c r="E152" i="28"/>
  <c r="D156" i="28"/>
  <c r="E156" i="28"/>
  <c r="D160" i="28"/>
  <c r="E160" i="28"/>
  <c r="D164" i="28"/>
  <c r="E164" i="28"/>
  <c r="D168" i="28"/>
  <c r="E168" i="28"/>
  <c r="D172" i="28"/>
  <c r="E172" i="28"/>
  <c r="D204" i="28"/>
  <c r="E204" i="28"/>
  <c r="D212" i="28"/>
  <c r="E212" i="28"/>
  <c r="D198" i="28"/>
  <c r="E198" i="28"/>
  <c r="D206" i="28"/>
  <c r="E206" i="28"/>
  <c r="D214" i="28"/>
  <c r="E214" i="28"/>
  <c r="D216" i="28"/>
  <c r="E216" i="28"/>
  <c r="D218" i="28"/>
  <c r="E218" i="28"/>
  <c r="D220" i="28"/>
  <c r="E220" i="28"/>
  <c r="D222" i="28"/>
  <c r="E222" i="28"/>
  <c r="H223" i="28"/>
  <c r="I223" i="28"/>
  <c r="H224" i="28"/>
  <c r="I224" i="28"/>
  <c r="H225" i="28"/>
  <c r="I225" i="28"/>
  <c r="H226" i="28"/>
  <c r="I226" i="28"/>
  <c r="H227" i="28"/>
  <c r="I227" i="28"/>
  <c r="H228" i="28"/>
  <c r="I228" i="28"/>
  <c r="H229" i="28"/>
  <c r="I229" i="28"/>
  <c r="H230" i="28"/>
  <c r="I230" i="28"/>
  <c r="H231" i="28"/>
  <c r="I231" i="28"/>
  <c r="H232" i="28"/>
  <c r="I232" i="28"/>
  <c r="H233" i="28"/>
  <c r="I233" i="28"/>
  <c r="H234" i="28"/>
  <c r="I234" i="28"/>
  <c r="H235" i="28"/>
  <c r="I235" i="28"/>
  <c r="H236" i="28"/>
  <c r="I236" i="28"/>
  <c r="H237" i="28"/>
  <c r="I237" i="28"/>
  <c r="H238" i="28"/>
  <c r="I238" i="28"/>
  <c r="H239" i="28"/>
  <c r="I239" i="28"/>
  <c r="H240" i="28"/>
  <c r="I240" i="28"/>
  <c r="H241" i="28"/>
  <c r="I241" i="28"/>
  <c r="H242" i="28"/>
  <c r="I242" i="28"/>
  <c r="H243" i="28"/>
  <c r="I243" i="28"/>
  <c r="H244" i="28"/>
  <c r="I244" i="28"/>
  <c r="H245" i="28"/>
  <c r="I245" i="28"/>
  <c r="H246" i="28"/>
  <c r="I246" i="28"/>
  <c r="H247" i="28"/>
  <c r="I247" i="28"/>
  <c r="H248" i="28"/>
  <c r="I248" i="28"/>
  <c r="H249" i="28"/>
  <c r="I249" i="28"/>
  <c r="D208" i="28"/>
  <c r="E208" i="28"/>
  <c r="D200" i="28"/>
  <c r="E200" i="28"/>
  <c r="D202" i="28"/>
  <c r="E202" i="28"/>
  <c r="D210" i="28"/>
  <c r="E210" i="28"/>
  <c r="D215" i="28"/>
  <c r="E215" i="28"/>
  <c r="D217" i="28"/>
  <c r="E217" i="28"/>
  <c r="D219" i="28"/>
  <c r="E219" i="28"/>
  <c r="D221" i="28"/>
  <c r="E221" i="28"/>
  <c r="D223" i="28"/>
  <c r="E223" i="28"/>
  <c r="D224" i="28"/>
  <c r="E224" i="28"/>
  <c r="D225" i="28"/>
  <c r="E225" i="28"/>
  <c r="D226" i="28"/>
  <c r="E226" i="28"/>
  <c r="D227" i="28"/>
  <c r="E227" i="28"/>
  <c r="D228" i="28"/>
  <c r="E228" i="28"/>
  <c r="D229" i="28"/>
  <c r="E229" i="28"/>
  <c r="D230" i="28"/>
  <c r="E230" i="28"/>
  <c r="D231" i="28"/>
  <c r="E231" i="28"/>
  <c r="D232" i="28"/>
  <c r="E232" i="28"/>
  <c r="D233" i="28"/>
  <c r="E233" i="28"/>
  <c r="D234" i="28"/>
  <c r="E234" i="28"/>
  <c r="D235" i="28"/>
  <c r="E235" i="28"/>
  <c r="D236" i="28"/>
  <c r="E236" i="28"/>
  <c r="D237" i="28"/>
  <c r="E237" i="28"/>
  <c r="D238" i="28"/>
  <c r="E238" i="28"/>
  <c r="D239" i="28"/>
  <c r="E239" i="28"/>
  <c r="D240" i="28"/>
  <c r="E240" i="28"/>
  <c r="D241" i="28"/>
  <c r="E241" i="28"/>
  <c r="D242" i="28"/>
  <c r="E242" i="28"/>
  <c r="D243" i="28"/>
  <c r="E243" i="28"/>
  <c r="D244" i="28"/>
  <c r="E244" i="28"/>
  <c r="D245" i="28"/>
  <c r="E245" i="28"/>
  <c r="D246" i="28"/>
  <c r="E246" i="28"/>
  <c r="D247" i="28"/>
  <c r="E247" i="28"/>
  <c r="D248" i="28"/>
  <c r="E248" i="28"/>
  <c r="D249" i="28"/>
  <c r="E249" i="28"/>
  <c r="D250" i="28"/>
  <c r="E250" i="28"/>
  <c r="D252" i="28"/>
  <c r="E252" i="28"/>
  <c r="D253" i="28"/>
  <c r="E253" i="28"/>
  <c r="D254" i="28"/>
  <c r="E254" i="28"/>
  <c r="D255" i="28"/>
  <c r="E255" i="28"/>
  <c r="D256" i="28"/>
  <c r="E256" i="28"/>
  <c r="D257" i="28"/>
  <c r="E257" i="28"/>
  <c r="D258" i="28"/>
  <c r="E258" i="28"/>
  <c r="D259" i="28"/>
  <c r="E259" i="28"/>
  <c r="D260" i="28"/>
  <c r="E260" i="28"/>
  <c r="D261" i="28"/>
  <c r="E261" i="28"/>
  <c r="D262" i="28"/>
  <c r="E262" i="28"/>
  <c r="D263" i="28"/>
  <c r="E263" i="28"/>
  <c r="D264" i="28"/>
  <c r="E264" i="28"/>
  <c r="D265" i="28"/>
  <c r="E265" i="28"/>
  <c r="D266" i="28"/>
  <c r="E266" i="28"/>
  <c r="D267" i="28"/>
  <c r="E267" i="28"/>
  <c r="D268" i="28"/>
  <c r="E268" i="28"/>
  <c r="D269" i="28"/>
  <c r="E269" i="28"/>
  <c r="D270" i="28"/>
  <c r="E270" i="28"/>
  <c r="D271" i="28"/>
  <c r="E271" i="28"/>
  <c r="D272" i="28"/>
  <c r="E272" i="28"/>
  <c r="D273" i="28"/>
  <c r="E273" i="28"/>
  <c r="D274" i="28"/>
  <c r="E274" i="28"/>
  <c r="D275" i="28"/>
  <c r="E275" i="28"/>
  <c r="D276" i="28"/>
  <c r="E276" i="28"/>
  <c r="D277" i="28"/>
  <c r="E277" i="28"/>
  <c r="D278" i="28"/>
  <c r="E278" i="28"/>
  <c r="D279" i="28"/>
  <c r="E279" i="28"/>
  <c r="D280" i="28"/>
  <c r="E280" i="28"/>
  <c r="D281" i="28"/>
  <c r="E281" i="28"/>
  <c r="D282" i="28"/>
  <c r="E282" i="28"/>
  <c r="D283" i="28"/>
  <c r="E283" i="28"/>
  <c r="D284" i="28"/>
  <c r="E284" i="28"/>
  <c r="D285" i="28"/>
  <c r="E285" i="28"/>
  <c r="D286" i="28"/>
  <c r="E286" i="28"/>
  <c r="D287" i="28"/>
  <c r="E287" i="28"/>
  <c r="D288" i="28"/>
  <c r="E288" i="28"/>
  <c r="D289" i="28"/>
  <c r="E289" i="28"/>
  <c r="D290" i="28"/>
  <c r="E290" i="28"/>
  <c r="D291" i="28"/>
  <c r="E291" i="28"/>
  <c r="D292" i="28"/>
  <c r="E292" i="28"/>
  <c r="D293" i="28"/>
  <c r="E293" i="28"/>
  <c r="D294" i="28"/>
  <c r="E294" i="28"/>
  <c r="D295" i="28"/>
  <c r="E295" i="28"/>
  <c r="D296" i="28"/>
  <c r="E296" i="28"/>
  <c r="D297" i="28"/>
  <c r="E297" i="28"/>
  <c r="D298" i="28"/>
  <c r="E298" i="28"/>
  <c r="D299" i="28"/>
  <c r="E299" i="28"/>
  <c r="D300" i="28"/>
  <c r="E300" i="28"/>
  <c r="D301" i="28"/>
  <c r="E301" i="28"/>
  <c r="D302" i="28"/>
  <c r="E302" i="28"/>
  <c r="D303" i="28"/>
  <c r="E303" i="28"/>
  <c r="D304" i="28"/>
  <c r="E304" i="28"/>
  <c r="D305" i="28"/>
  <c r="E305" i="28"/>
  <c r="D306" i="28"/>
  <c r="E306" i="28"/>
  <c r="D307" i="28"/>
  <c r="E307" i="28"/>
  <c r="D308" i="28"/>
  <c r="E308" i="28"/>
  <c r="D309" i="28"/>
  <c r="E309" i="28"/>
  <c r="D310" i="28"/>
  <c r="E310" i="28"/>
  <c r="D311" i="28"/>
  <c r="E311" i="28"/>
  <c r="D312" i="28"/>
  <c r="E312" i="28"/>
  <c r="D313" i="28"/>
  <c r="E313" i="28"/>
  <c r="D314" i="28"/>
  <c r="E314" i="28"/>
  <c r="D315" i="28"/>
  <c r="E315" i="28"/>
  <c r="D316" i="28"/>
  <c r="E316" i="28"/>
  <c r="D317" i="28"/>
  <c r="E317" i="28"/>
  <c r="D318" i="28"/>
  <c r="E318" i="28"/>
  <c r="D319" i="28"/>
  <c r="E319" i="28"/>
  <c r="D320" i="28"/>
  <c r="E320" i="28"/>
  <c r="D321" i="28"/>
  <c r="E321" i="28"/>
  <c r="D322" i="28"/>
  <c r="E322" i="28"/>
  <c r="D323" i="28"/>
  <c r="E323" i="28"/>
  <c r="D324" i="28"/>
  <c r="E324" i="28"/>
  <c r="D325" i="28"/>
  <c r="E325" i="28"/>
  <c r="D326" i="28"/>
  <c r="E326" i="28"/>
  <c r="D327" i="28"/>
  <c r="E327" i="28"/>
  <c r="D328" i="28"/>
  <c r="E328" i="28"/>
  <c r="D329" i="28"/>
  <c r="E329" i="28"/>
  <c r="D330" i="28"/>
  <c r="E330" i="28"/>
  <c r="D331" i="28"/>
  <c r="E331" i="28"/>
  <c r="D332" i="28"/>
  <c r="E332" i="28"/>
  <c r="D333" i="28"/>
  <c r="E333" i="28"/>
  <c r="D334" i="28"/>
  <c r="E334" i="28"/>
  <c r="D335" i="28"/>
  <c r="E335" i="28"/>
  <c r="D336" i="28"/>
  <c r="E336" i="28"/>
  <c r="D337" i="28"/>
  <c r="E337" i="28"/>
  <c r="D338" i="28"/>
  <c r="E338" i="28"/>
  <c r="D339" i="28"/>
  <c r="E339" i="28"/>
  <c r="D340" i="28"/>
  <c r="E340" i="28"/>
  <c r="D341" i="28"/>
  <c r="E341" i="28"/>
  <c r="D342" i="28"/>
  <c r="E342" i="28"/>
  <c r="D343" i="28"/>
  <c r="E343" i="28"/>
  <c r="D344" i="28"/>
  <c r="E344" i="28"/>
  <c r="D345" i="28"/>
  <c r="E345" i="28"/>
  <c r="D346" i="28"/>
  <c r="E346" i="28"/>
  <c r="D347" i="28"/>
  <c r="E347" i="28"/>
  <c r="H250" i="28"/>
  <c r="I250" i="28"/>
  <c r="D251" i="28"/>
  <c r="E251" i="28"/>
  <c r="H252" i="28"/>
  <c r="I252" i="28"/>
  <c r="H253" i="28"/>
  <c r="I253" i="28"/>
  <c r="H254" i="28"/>
  <c r="I254" i="28"/>
  <c r="H255" i="28"/>
  <c r="I255" i="28"/>
  <c r="H256" i="28"/>
  <c r="I256" i="28"/>
  <c r="H257" i="28"/>
  <c r="I257" i="28"/>
  <c r="H258" i="28"/>
  <c r="I258" i="28"/>
  <c r="H259" i="28"/>
  <c r="I259" i="28"/>
  <c r="H260" i="28"/>
  <c r="I260" i="28"/>
  <c r="H261" i="28"/>
  <c r="I261" i="28"/>
  <c r="H262" i="28"/>
  <c r="I262" i="28"/>
  <c r="H263" i="28"/>
  <c r="I263" i="28"/>
  <c r="H264" i="28"/>
  <c r="I264" i="28"/>
  <c r="H265" i="28"/>
  <c r="I265" i="28"/>
  <c r="H266" i="28"/>
  <c r="I266" i="28"/>
  <c r="H267" i="28"/>
  <c r="I267" i="28"/>
  <c r="H268" i="28"/>
  <c r="I268" i="28"/>
  <c r="H269" i="28"/>
  <c r="I269" i="28"/>
  <c r="H270" i="28"/>
  <c r="I270" i="28"/>
  <c r="H271" i="28"/>
  <c r="I271" i="28"/>
  <c r="H272" i="28"/>
  <c r="I272" i="28"/>
  <c r="H273" i="28"/>
  <c r="I273" i="28"/>
  <c r="H274" i="28"/>
  <c r="I274" i="28"/>
  <c r="H275" i="28"/>
  <c r="I275" i="28"/>
  <c r="H276" i="28"/>
  <c r="I276" i="28"/>
  <c r="H277" i="28"/>
  <c r="I277" i="28"/>
  <c r="H278" i="28"/>
  <c r="I278" i="28"/>
  <c r="H279" i="28"/>
  <c r="I279" i="28"/>
  <c r="H280" i="28"/>
  <c r="I280" i="28"/>
  <c r="H281" i="28"/>
  <c r="I281" i="28"/>
  <c r="H282" i="28"/>
  <c r="I282" i="28"/>
  <c r="H283" i="28"/>
  <c r="I283" i="28"/>
  <c r="H284" i="28"/>
  <c r="I284" i="28"/>
  <c r="H285" i="28"/>
  <c r="I285" i="28"/>
  <c r="H286" i="28"/>
  <c r="I286" i="28"/>
  <c r="H287" i="28"/>
  <c r="I287" i="28"/>
  <c r="H288" i="28"/>
  <c r="I288" i="28"/>
  <c r="H289" i="28"/>
  <c r="I289" i="28"/>
  <c r="H290" i="28"/>
  <c r="I290" i="28"/>
  <c r="H291" i="28"/>
  <c r="I291" i="28"/>
  <c r="H292" i="28"/>
  <c r="I292" i="28"/>
  <c r="H293" i="28"/>
  <c r="I293" i="28"/>
  <c r="H294" i="28"/>
  <c r="I294" i="28"/>
  <c r="H295" i="28"/>
  <c r="I295" i="28"/>
  <c r="H296" i="28"/>
  <c r="I296" i="28"/>
  <c r="H297" i="28"/>
  <c r="I297" i="28"/>
  <c r="H298" i="28"/>
  <c r="I298" i="28"/>
  <c r="H299" i="28"/>
  <c r="I299" i="28"/>
  <c r="H300" i="28"/>
  <c r="I300" i="28"/>
  <c r="H301" i="28"/>
  <c r="I301" i="28"/>
  <c r="H302" i="28"/>
  <c r="I302" i="28"/>
  <c r="H303" i="28"/>
  <c r="I303" i="28"/>
  <c r="H304" i="28"/>
  <c r="I304" i="28"/>
  <c r="H305" i="28"/>
  <c r="I305" i="28"/>
  <c r="H306" i="28"/>
  <c r="I306" i="28"/>
  <c r="H307" i="28"/>
  <c r="I307" i="28"/>
  <c r="H308" i="28"/>
  <c r="I308" i="28"/>
  <c r="H309" i="28"/>
  <c r="I309" i="28"/>
  <c r="H310" i="28"/>
  <c r="I310" i="28"/>
  <c r="H311" i="28"/>
  <c r="I311" i="28"/>
  <c r="H312" i="28"/>
  <c r="I312" i="28"/>
  <c r="H313" i="28"/>
  <c r="I313" i="28"/>
  <c r="H314" i="28"/>
  <c r="I314" i="28"/>
  <c r="H315" i="28"/>
  <c r="I315" i="28"/>
  <c r="H316" i="28"/>
  <c r="I316" i="28"/>
  <c r="H317" i="28"/>
  <c r="I317" i="28"/>
  <c r="H318" i="28"/>
  <c r="I318" i="28"/>
  <c r="H319" i="28"/>
  <c r="I319" i="28"/>
  <c r="H320" i="28"/>
  <c r="I320" i="28"/>
  <c r="H321" i="28"/>
  <c r="I321" i="28"/>
  <c r="H322" i="28"/>
  <c r="I322" i="28"/>
  <c r="H323" i="28"/>
  <c r="I323" i="28"/>
  <c r="H324" i="28"/>
  <c r="I324" i="28"/>
  <c r="H325" i="28"/>
  <c r="I325" i="28"/>
  <c r="H326" i="28"/>
  <c r="I326" i="28"/>
  <c r="H327" i="28"/>
  <c r="I327" i="28"/>
  <c r="H328" i="28"/>
  <c r="I328" i="28"/>
  <c r="H329" i="28"/>
  <c r="I329" i="28"/>
  <c r="H330" i="28"/>
  <c r="I330" i="28"/>
  <c r="H331" i="28"/>
  <c r="I331" i="28"/>
  <c r="H251" i="28"/>
  <c r="I251" i="28"/>
  <c r="H334" i="28"/>
  <c r="I334" i="28"/>
  <c r="H335" i="28"/>
  <c r="I335" i="28"/>
  <c r="H336" i="28"/>
  <c r="I336" i="28"/>
  <c r="H337" i="28"/>
  <c r="I337" i="28"/>
  <c r="H338" i="28"/>
  <c r="I338" i="28"/>
  <c r="H339" i="28"/>
  <c r="I339" i="28"/>
  <c r="H340" i="28"/>
  <c r="I340" i="28"/>
  <c r="H341" i="28"/>
  <c r="I341" i="28"/>
  <c r="H342" i="28"/>
  <c r="I342" i="28"/>
  <c r="H343" i="28"/>
  <c r="I343" i="28"/>
  <c r="H344" i="28"/>
  <c r="I344" i="28"/>
  <c r="H345" i="28"/>
  <c r="I345" i="28"/>
  <c r="H346" i="28"/>
  <c r="I346" i="28"/>
  <c r="H333" i="28"/>
  <c r="I333" i="28"/>
  <c r="H348" i="28"/>
  <c r="I348" i="28"/>
  <c r="H349" i="28"/>
  <c r="I349" i="28"/>
  <c r="H350" i="28"/>
  <c r="I350" i="28"/>
  <c r="H351" i="28"/>
  <c r="I351" i="28"/>
  <c r="H352" i="28"/>
  <c r="I352" i="28"/>
  <c r="H353" i="28"/>
  <c r="I353" i="28"/>
  <c r="H354" i="28"/>
  <c r="I354" i="28"/>
  <c r="H355" i="28"/>
  <c r="I355" i="28"/>
  <c r="H356" i="28"/>
  <c r="I356" i="28"/>
  <c r="H357" i="28"/>
  <c r="I357" i="28"/>
  <c r="H358" i="28"/>
  <c r="I358" i="28"/>
  <c r="H359" i="28"/>
  <c r="I359" i="28"/>
  <c r="H360" i="28"/>
  <c r="I360" i="28"/>
  <c r="H361" i="28"/>
  <c r="I361" i="28"/>
  <c r="H362" i="28"/>
  <c r="I362" i="28"/>
  <c r="H363" i="28"/>
  <c r="I363" i="28"/>
  <c r="H364" i="28"/>
  <c r="I364" i="28"/>
  <c r="H365" i="28"/>
  <c r="I365" i="28"/>
  <c r="H366" i="28"/>
  <c r="I366" i="28"/>
  <c r="H367" i="28"/>
  <c r="I367" i="28"/>
  <c r="H368" i="28"/>
  <c r="I368" i="28"/>
  <c r="H369" i="28"/>
  <c r="I369" i="28"/>
  <c r="H370" i="28"/>
  <c r="I370" i="28"/>
  <c r="H371" i="28"/>
  <c r="I371" i="28"/>
  <c r="H372" i="28"/>
  <c r="I372" i="28"/>
  <c r="H373" i="28"/>
  <c r="I373" i="28"/>
  <c r="H374" i="28"/>
  <c r="I374" i="28"/>
  <c r="H375" i="28"/>
  <c r="I375" i="28"/>
  <c r="H376" i="28"/>
  <c r="I376" i="28"/>
  <c r="H377" i="28"/>
  <c r="I377" i="28"/>
  <c r="H378" i="28"/>
  <c r="I378" i="28"/>
  <c r="H379" i="28"/>
  <c r="I379" i="28"/>
  <c r="H380" i="28"/>
  <c r="I380" i="28"/>
  <c r="H381" i="28"/>
  <c r="I381" i="28"/>
  <c r="H382" i="28"/>
  <c r="I382" i="28"/>
  <c r="H383" i="28"/>
  <c r="I383" i="28"/>
  <c r="H384" i="28"/>
  <c r="I384" i="28"/>
  <c r="H385" i="28"/>
  <c r="I385" i="28"/>
  <c r="H386" i="28"/>
  <c r="I386" i="28"/>
  <c r="H387" i="28"/>
  <c r="I387" i="28"/>
  <c r="H388" i="28"/>
  <c r="I388" i="28"/>
  <c r="H389" i="28"/>
  <c r="I389" i="28"/>
  <c r="H390" i="28"/>
  <c r="I390" i="28"/>
  <c r="H391" i="28"/>
  <c r="I391" i="28"/>
  <c r="H392" i="28"/>
  <c r="I392" i="28"/>
  <c r="H393" i="28"/>
  <c r="I393" i="28"/>
  <c r="H394" i="28"/>
  <c r="I394" i="28"/>
  <c r="H395" i="28"/>
  <c r="I395" i="28"/>
  <c r="H396" i="28"/>
  <c r="I396" i="28"/>
  <c r="H397" i="28"/>
  <c r="I397" i="28"/>
  <c r="H398" i="28"/>
  <c r="I398" i="28"/>
  <c r="H399" i="28"/>
  <c r="I399" i="28"/>
  <c r="H400" i="28"/>
  <c r="I400" i="28"/>
  <c r="H401" i="28"/>
  <c r="I401" i="28"/>
  <c r="H402" i="28"/>
  <c r="I402" i="28"/>
  <c r="H403" i="28"/>
  <c r="I403" i="28"/>
  <c r="H404" i="28"/>
  <c r="I404" i="28"/>
  <c r="H405" i="28"/>
  <c r="I405" i="28"/>
  <c r="H406" i="28"/>
  <c r="I406" i="28"/>
  <c r="H407" i="28"/>
  <c r="I407" i="28"/>
  <c r="H408" i="28"/>
  <c r="I408" i="28"/>
  <c r="H409" i="28"/>
  <c r="I409" i="28"/>
  <c r="H410" i="28"/>
  <c r="I410" i="28"/>
  <c r="H411" i="28"/>
  <c r="I411" i="28"/>
  <c r="H412" i="28"/>
  <c r="I412" i="28"/>
  <c r="H413" i="28"/>
  <c r="I413" i="28"/>
  <c r="H414" i="28"/>
  <c r="I414" i="28"/>
  <c r="H415" i="28"/>
  <c r="I415" i="28"/>
  <c r="H416" i="28"/>
  <c r="I416" i="28"/>
  <c r="H417" i="28"/>
  <c r="I417" i="28"/>
  <c r="H418" i="28"/>
  <c r="I418" i="28"/>
  <c r="H419" i="28"/>
  <c r="I419" i="28"/>
  <c r="H420" i="28"/>
  <c r="I420" i="28"/>
  <c r="H421" i="28"/>
  <c r="I421" i="28"/>
  <c r="H422" i="28"/>
  <c r="I422" i="28"/>
  <c r="H423" i="28"/>
  <c r="I423" i="28"/>
  <c r="H424" i="28"/>
  <c r="I424" i="28"/>
  <c r="H425" i="28"/>
  <c r="I425" i="28"/>
  <c r="H426" i="28"/>
  <c r="I426" i="28"/>
  <c r="H427" i="28"/>
  <c r="I427" i="28"/>
  <c r="H428" i="28"/>
  <c r="I428" i="28"/>
  <c r="H429" i="28"/>
  <c r="I429" i="28"/>
  <c r="H430" i="28"/>
  <c r="I430" i="28"/>
  <c r="H431" i="28"/>
  <c r="I431" i="28"/>
  <c r="H432" i="28"/>
  <c r="I432" i="28"/>
  <c r="H433" i="28"/>
  <c r="I433" i="28"/>
  <c r="H434" i="28"/>
  <c r="I434" i="28"/>
  <c r="H435" i="28"/>
  <c r="I435" i="28"/>
  <c r="H436" i="28"/>
  <c r="I436" i="28"/>
  <c r="H437" i="28"/>
  <c r="I437" i="28"/>
  <c r="H347" i="28"/>
  <c r="I347" i="28"/>
  <c r="H332" i="28"/>
  <c r="I332" i="28"/>
  <c r="D348" i="28"/>
  <c r="E348" i="28"/>
  <c r="D349" i="28"/>
  <c r="E349" i="28"/>
  <c r="D350" i="28"/>
  <c r="E350" i="28"/>
  <c r="D351" i="28"/>
  <c r="E351" i="28"/>
  <c r="D352" i="28"/>
  <c r="E352" i="28"/>
  <c r="D353" i="28"/>
  <c r="E353" i="28"/>
  <c r="D354" i="28"/>
  <c r="E354" i="28"/>
  <c r="D355" i="28"/>
  <c r="E355" i="28"/>
  <c r="D356" i="28"/>
  <c r="E356" i="28"/>
  <c r="D357" i="28"/>
  <c r="E357" i="28"/>
  <c r="D358" i="28"/>
  <c r="E358" i="28"/>
  <c r="D359" i="28"/>
  <c r="E359" i="28"/>
  <c r="D360" i="28"/>
  <c r="E360" i="28"/>
  <c r="D361" i="28"/>
  <c r="E361" i="28"/>
  <c r="D362" i="28"/>
  <c r="E362" i="28"/>
  <c r="D363" i="28"/>
  <c r="E363" i="28"/>
  <c r="D364" i="28"/>
  <c r="E364" i="28"/>
  <c r="D365" i="28"/>
  <c r="E365" i="28"/>
  <c r="D366" i="28"/>
  <c r="E366" i="28"/>
  <c r="D367" i="28"/>
  <c r="E367" i="28"/>
  <c r="D368" i="28"/>
  <c r="E368" i="28"/>
  <c r="D369" i="28"/>
  <c r="E369" i="28"/>
  <c r="D370" i="28"/>
  <c r="E370" i="28"/>
  <c r="D371" i="28"/>
  <c r="E371" i="28"/>
  <c r="D372" i="28"/>
  <c r="E372" i="28"/>
  <c r="D373" i="28"/>
  <c r="E373" i="28"/>
  <c r="D374" i="28"/>
  <c r="E374" i="28"/>
  <c r="D375" i="28"/>
  <c r="E375" i="28"/>
  <c r="D376" i="28"/>
  <c r="E376" i="28"/>
  <c r="D377" i="28"/>
  <c r="E377" i="28"/>
  <c r="D378" i="28"/>
  <c r="E378" i="28"/>
  <c r="D379" i="28"/>
  <c r="E379" i="28"/>
  <c r="D380" i="28"/>
  <c r="E380" i="28"/>
  <c r="D381" i="28"/>
  <c r="E381" i="28"/>
  <c r="D382" i="28"/>
  <c r="E382" i="28"/>
  <c r="D383" i="28"/>
  <c r="E383" i="28"/>
  <c r="D384" i="28"/>
  <c r="E384" i="28"/>
  <c r="D385" i="28"/>
  <c r="E385" i="28"/>
  <c r="D386" i="28"/>
  <c r="E386" i="28"/>
  <c r="D387" i="28"/>
  <c r="E387" i="28"/>
  <c r="D388" i="28"/>
  <c r="E388" i="28"/>
  <c r="D389" i="28"/>
  <c r="E389" i="28"/>
  <c r="D390" i="28"/>
  <c r="E390" i="28"/>
  <c r="D391" i="28"/>
  <c r="E391" i="28"/>
  <c r="D392" i="28"/>
  <c r="E392" i="28"/>
  <c r="D393" i="28"/>
  <c r="E393" i="28"/>
  <c r="D394" i="28"/>
  <c r="E394" i="28"/>
  <c r="D395" i="28"/>
  <c r="E395" i="28"/>
  <c r="D396" i="28"/>
  <c r="E396" i="28"/>
  <c r="D397" i="28"/>
  <c r="E397" i="28"/>
  <c r="D398" i="28"/>
  <c r="E398" i="28"/>
  <c r="D399" i="28"/>
  <c r="E399" i="28"/>
  <c r="D400" i="28"/>
  <c r="E400" i="28"/>
  <c r="D401" i="28"/>
  <c r="E401" i="28"/>
  <c r="D402" i="28"/>
  <c r="E402" i="28"/>
  <c r="D403" i="28"/>
  <c r="E403" i="28"/>
  <c r="D404" i="28"/>
  <c r="E404" i="28"/>
  <c r="D405" i="28"/>
  <c r="E405" i="28"/>
  <c r="D406" i="28"/>
  <c r="E406" i="28"/>
  <c r="D407" i="28"/>
  <c r="E407" i="28"/>
  <c r="D408" i="28"/>
  <c r="E408" i="28"/>
  <c r="D409" i="28"/>
  <c r="E409" i="28"/>
  <c r="D410" i="28"/>
  <c r="E410" i="28"/>
  <c r="D411" i="28"/>
  <c r="E411" i="28"/>
  <c r="D412" i="28"/>
  <c r="E412" i="28"/>
  <c r="D413" i="28"/>
  <c r="E413" i="28"/>
  <c r="D414" i="28"/>
  <c r="E414" i="28"/>
  <c r="D415" i="28"/>
  <c r="E415" i="28"/>
  <c r="D416" i="28"/>
  <c r="E416" i="28"/>
  <c r="D417" i="28"/>
  <c r="E417" i="28"/>
  <c r="D418" i="28"/>
  <c r="E418" i="28"/>
  <c r="D419" i="28"/>
  <c r="E419" i="28"/>
  <c r="D420" i="28"/>
  <c r="E420" i="28"/>
  <c r="D421" i="28"/>
  <c r="E421" i="28"/>
  <c r="D422" i="28"/>
  <c r="E422" i="28"/>
  <c r="D423" i="28"/>
  <c r="E423" i="28"/>
  <c r="D424" i="28"/>
  <c r="E424" i="28"/>
  <c r="D437" i="28"/>
  <c r="E437" i="28"/>
  <c r="H438" i="28"/>
  <c r="I438" i="28"/>
  <c r="H439" i="28"/>
  <c r="I439" i="28"/>
  <c r="H440" i="28"/>
  <c r="I440" i="28"/>
  <c r="H441" i="28"/>
  <c r="I441" i="28"/>
  <c r="H442" i="28"/>
  <c r="I442" i="28"/>
  <c r="H443" i="28"/>
  <c r="I443" i="28"/>
  <c r="H444" i="28"/>
  <c r="I444" i="28"/>
  <c r="H445" i="28"/>
  <c r="I445" i="28"/>
  <c r="H446" i="28"/>
  <c r="I446" i="28"/>
  <c r="H447" i="28"/>
  <c r="I447" i="28"/>
  <c r="H448" i="28"/>
  <c r="I448" i="28"/>
  <c r="H449" i="28"/>
  <c r="I449" i="28"/>
  <c r="H450" i="28"/>
  <c r="I450" i="28"/>
  <c r="H451" i="28"/>
  <c r="I451" i="28"/>
  <c r="H452" i="28"/>
  <c r="I452" i="28"/>
  <c r="H453" i="28"/>
  <c r="I453" i="28"/>
  <c r="H454" i="28"/>
  <c r="I454" i="28"/>
  <c r="H455" i="28"/>
  <c r="I455" i="28"/>
  <c r="H456" i="28"/>
  <c r="I456" i="28"/>
  <c r="H457" i="28"/>
  <c r="I457" i="28"/>
  <c r="H458" i="28"/>
  <c r="I458" i="28"/>
  <c r="H459" i="28"/>
  <c r="I459" i="28"/>
  <c r="H460" i="28"/>
  <c r="I460" i="28"/>
  <c r="H461" i="28"/>
  <c r="I461" i="28"/>
  <c r="H462" i="28"/>
  <c r="I462" i="28"/>
  <c r="H463" i="28"/>
  <c r="I463" i="28"/>
  <c r="H464" i="28"/>
  <c r="I464" i="28"/>
  <c r="H465" i="28"/>
  <c r="I465" i="28"/>
  <c r="H466" i="28"/>
  <c r="I466" i="28"/>
  <c r="H467" i="28"/>
  <c r="I467" i="28"/>
  <c r="H468" i="28"/>
  <c r="I468" i="28"/>
  <c r="H469" i="28"/>
  <c r="I469" i="28"/>
  <c r="H470" i="28"/>
  <c r="I470" i="28"/>
  <c r="H471" i="28"/>
  <c r="I471" i="28"/>
  <c r="H472" i="28"/>
  <c r="I472" i="28"/>
  <c r="H473" i="28"/>
  <c r="I473" i="28"/>
  <c r="H474" i="28"/>
  <c r="I474" i="28"/>
  <c r="H475" i="28"/>
  <c r="I475" i="28"/>
  <c r="H476" i="28"/>
  <c r="I476" i="28"/>
  <c r="H477" i="28"/>
  <c r="I477" i="28"/>
  <c r="H478" i="28"/>
  <c r="I478" i="28"/>
  <c r="H479" i="28"/>
  <c r="I479" i="28"/>
  <c r="H480" i="28"/>
  <c r="I480" i="28"/>
  <c r="H481" i="28"/>
  <c r="I481" i="28"/>
  <c r="H482" i="28"/>
  <c r="I482" i="28"/>
  <c r="H483" i="28"/>
  <c r="I483" i="28"/>
  <c r="H484" i="28"/>
  <c r="I484" i="28"/>
  <c r="H485" i="28"/>
  <c r="I485" i="28"/>
  <c r="H486" i="28"/>
  <c r="I486" i="28"/>
  <c r="H487" i="28"/>
  <c r="I487" i="28"/>
  <c r="H488" i="28"/>
  <c r="I488" i="28"/>
  <c r="H489" i="28"/>
  <c r="I489" i="28"/>
  <c r="H490" i="28"/>
  <c r="I490" i="28"/>
  <c r="H491" i="28"/>
  <c r="I491" i="28"/>
  <c r="H492" i="28"/>
  <c r="I492" i="28"/>
  <c r="H493" i="28"/>
  <c r="I493" i="28"/>
  <c r="H494" i="28"/>
  <c r="I494" i="28"/>
  <c r="H495" i="28"/>
  <c r="I495" i="28"/>
  <c r="H496" i="28"/>
  <c r="I496" i="28"/>
  <c r="H497" i="28"/>
  <c r="I497" i="28"/>
  <c r="H498" i="28"/>
  <c r="I498" i="28"/>
  <c r="H499" i="28"/>
  <c r="I499" i="28"/>
  <c r="H500" i="28"/>
  <c r="I500" i="28"/>
  <c r="H501" i="28"/>
  <c r="I501" i="28"/>
  <c r="H502" i="28"/>
  <c r="I502" i="28"/>
  <c r="H503" i="28"/>
  <c r="I503" i="28"/>
  <c r="H504" i="28"/>
  <c r="I504" i="28"/>
  <c r="H505" i="28"/>
  <c r="I505" i="28"/>
  <c r="H27" i="28"/>
  <c r="D27" i="28"/>
  <c r="D425" i="28"/>
  <c r="E425" i="28"/>
  <c r="D426" i="28"/>
  <c r="E426" i="28"/>
  <c r="D427" i="28"/>
  <c r="E427" i="28"/>
  <c r="D428" i="28"/>
  <c r="E428" i="28"/>
  <c r="D429" i="28"/>
  <c r="E429" i="28"/>
  <c r="D430" i="28"/>
  <c r="E430" i="28"/>
  <c r="D431" i="28"/>
  <c r="E431" i="28"/>
  <c r="D432" i="28"/>
  <c r="E432" i="28"/>
  <c r="D433" i="28"/>
  <c r="E433" i="28"/>
  <c r="D434" i="28"/>
  <c r="E434" i="28"/>
  <c r="D435" i="28"/>
  <c r="E435" i="28"/>
  <c r="D436" i="28"/>
  <c r="E436" i="28"/>
  <c r="H26" i="28"/>
  <c r="D26" i="28"/>
  <c r="D438" i="28"/>
  <c r="E438" i="28"/>
  <c r="D439" i="28"/>
  <c r="E439" i="28"/>
  <c r="D440" i="28"/>
  <c r="E440" i="28"/>
  <c r="D441" i="28"/>
  <c r="E441" i="28"/>
  <c r="D442" i="28"/>
  <c r="E442" i="28"/>
  <c r="D443" i="28"/>
  <c r="E443" i="28"/>
  <c r="D444" i="28"/>
  <c r="E444" i="28"/>
  <c r="D445" i="28"/>
  <c r="E445" i="28"/>
  <c r="D446" i="28"/>
  <c r="E446" i="28"/>
  <c r="D447" i="28"/>
  <c r="E447" i="28"/>
  <c r="D448" i="28"/>
  <c r="E448" i="28"/>
  <c r="D449" i="28"/>
  <c r="E449" i="28"/>
  <c r="D450" i="28"/>
  <c r="E450" i="28"/>
  <c r="D451" i="28"/>
  <c r="E451" i="28"/>
  <c r="D452" i="28"/>
  <c r="E452" i="28"/>
  <c r="D453" i="28"/>
  <c r="E453" i="28"/>
  <c r="D454" i="28"/>
  <c r="E454" i="28"/>
  <c r="D455" i="28"/>
  <c r="E455" i="28"/>
  <c r="D456" i="28"/>
  <c r="E456" i="28"/>
  <c r="D457" i="28"/>
  <c r="E457" i="28"/>
  <c r="D458" i="28"/>
  <c r="E458" i="28"/>
  <c r="D459" i="28"/>
  <c r="E459" i="28"/>
  <c r="D460" i="28"/>
  <c r="E460" i="28"/>
  <c r="D461" i="28"/>
  <c r="E461" i="28"/>
  <c r="D462" i="28"/>
  <c r="E462" i="28"/>
  <c r="D463" i="28"/>
  <c r="E463" i="28"/>
  <c r="D464" i="28"/>
  <c r="E464" i="28"/>
  <c r="D465" i="28"/>
  <c r="E465" i="28"/>
  <c r="D466" i="28"/>
  <c r="E466" i="28"/>
  <c r="D467" i="28"/>
  <c r="E467" i="28"/>
  <c r="D468" i="28"/>
  <c r="E468" i="28"/>
  <c r="D469" i="28"/>
  <c r="E469" i="28"/>
  <c r="D470" i="28"/>
  <c r="E470" i="28"/>
  <c r="D471" i="28"/>
  <c r="E471" i="28"/>
  <c r="D472" i="28"/>
  <c r="E472" i="28"/>
  <c r="D473" i="28"/>
  <c r="E473" i="28"/>
  <c r="D474" i="28"/>
  <c r="E474" i="28"/>
  <c r="D475" i="28"/>
  <c r="E475" i="28"/>
  <c r="D476" i="28"/>
  <c r="E476" i="28"/>
  <c r="D477" i="28"/>
  <c r="E477" i="28"/>
  <c r="D478" i="28"/>
  <c r="E478" i="28"/>
  <c r="D479" i="28"/>
  <c r="E479" i="28"/>
  <c r="D480" i="28"/>
  <c r="E480" i="28"/>
  <c r="D481" i="28"/>
  <c r="E481" i="28"/>
  <c r="D482" i="28"/>
  <c r="E482" i="28"/>
  <c r="D483" i="28"/>
  <c r="E483" i="28"/>
  <c r="D484" i="28"/>
  <c r="E484" i="28"/>
  <c r="D485" i="28"/>
  <c r="E485" i="28"/>
  <c r="D486" i="28"/>
  <c r="E486" i="28"/>
  <c r="D487" i="28"/>
  <c r="E487" i="28"/>
  <c r="D488" i="28"/>
  <c r="E488" i="28"/>
  <c r="D489" i="28"/>
  <c r="E489" i="28"/>
  <c r="D490" i="28"/>
  <c r="E490" i="28"/>
  <c r="D491" i="28"/>
  <c r="E491" i="28"/>
  <c r="D492" i="28"/>
  <c r="E492" i="28"/>
  <c r="D493" i="28"/>
  <c r="E493" i="28"/>
  <c r="D494" i="28"/>
  <c r="E494" i="28"/>
  <c r="D495" i="28"/>
  <c r="E495" i="28"/>
  <c r="D496" i="28"/>
  <c r="E496" i="28"/>
  <c r="D497" i="28"/>
  <c r="E497" i="28"/>
  <c r="D498" i="28"/>
  <c r="E498" i="28"/>
  <c r="D499" i="28"/>
  <c r="E499" i="28"/>
  <c r="D500" i="28"/>
  <c r="E500" i="28"/>
  <c r="D501" i="28"/>
  <c r="E501" i="28"/>
  <c r="D502" i="28"/>
  <c r="E502" i="28"/>
  <c r="D503" i="28"/>
  <c r="E503" i="28"/>
  <c r="D504" i="28"/>
  <c r="E504" i="28"/>
  <c r="D505" i="28"/>
  <c r="E505" i="28"/>
  <c r="N28" i="28"/>
  <c r="O28" i="28"/>
  <c r="N29" i="28"/>
  <c r="O29" i="28"/>
  <c r="N30" i="28"/>
  <c r="O30" i="28"/>
  <c r="N31" i="28"/>
  <c r="O31" i="28"/>
  <c r="N32" i="28"/>
  <c r="O32" i="28"/>
  <c r="N33" i="28"/>
  <c r="O33" i="28"/>
  <c r="N34" i="28"/>
  <c r="O34" i="28"/>
  <c r="N35" i="28"/>
  <c r="O35" i="28"/>
  <c r="N36" i="28"/>
  <c r="O36" i="28"/>
  <c r="N37" i="28"/>
  <c r="O37" i="28"/>
  <c r="N38" i="28"/>
  <c r="O38" i="28"/>
  <c r="N39" i="28"/>
  <c r="O39" i="28"/>
  <c r="N40" i="28"/>
  <c r="O40" i="28"/>
  <c r="N41" i="28"/>
  <c r="O41" i="28"/>
  <c r="N42" i="28"/>
  <c r="O42" i="28"/>
  <c r="N43" i="28"/>
  <c r="O43" i="28"/>
  <c r="N44" i="28"/>
  <c r="O44" i="28"/>
  <c r="N45" i="28"/>
  <c r="O45" i="28"/>
  <c r="N46" i="28"/>
  <c r="O46" i="28"/>
  <c r="N47" i="28"/>
  <c r="O47" i="28"/>
  <c r="N48" i="28"/>
  <c r="O48" i="28"/>
  <c r="N49" i="28"/>
  <c r="O49" i="28"/>
  <c r="N50" i="28"/>
  <c r="O50" i="28"/>
  <c r="N51" i="28"/>
  <c r="O51" i="28"/>
  <c r="N52" i="28"/>
  <c r="O52" i="28"/>
  <c r="N53" i="28"/>
  <c r="O53" i="28"/>
  <c r="N54" i="28"/>
  <c r="O54" i="28"/>
  <c r="N55" i="28"/>
  <c r="O55" i="28"/>
  <c r="N56" i="28"/>
  <c r="O56" i="28"/>
  <c r="N57" i="28"/>
  <c r="O57" i="28"/>
  <c r="N58" i="28"/>
  <c r="O58" i="28"/>
  <c r="N59" i="28"/>
  <c r="O59" i="28"/>
  <c r="N60" i="28"/>
  <c r="O60" i="28"/>
  <c r="N61" i="28"/>
  <c r="O61" i="28"/>
  <c r="N62" i="28"/>
  <c r="O62" i="28"/>
  <c r="N63" i="28"/>
  <c r="O63" i="28"/>
  <c r="N64" i="28"/>
  <c r="O64" i="28"/>
  <c r="N65" i="28"/>
  <c r="O65" i="28"/>
  <c r="N66" i="28"/>
  <c r="O66" i="28"/>
  <c r="N67" i="28"/>
  <c r="O67" i="28"/>
  <c r="N70" i="28"/>
  <c r="O70" i="28"/>
  <c r="N71" i="28"/>
  <c r="O71" i="28"/>
  <c r="N72" i="28"/>
  <c r="O72" i="28"/>
  <c r="N73" i="28"/>
  <c r="O73" i="28"/>
  <c r="N74" i="28"/>
  <c r="O74" i="28"/>
  <c r="N75" i="28"/>
  <c r="O75" i="28"/>
  <c r="N76" i="28"/>
  <c r="O76" i="28"/>
  <c r="N77" i="28"/>
  <c r="O77" i="28"/>
  <c r="N78" i="28"/>
  <c r="O78" i="28"/>
  <c r="N79" i="28"/>
  <c r="O79" i="28"/>
  <c r="N80" i="28"/>
  <c r="O80" i="28"/>
  <c r="N81" i="28"/>
  <c r="O81" i="28"/>
  <c r="N82" i="28"/>
  <c r="O82" i="28"/>
  <c r="N83" i="28"/>
  <c r="O83" i="28"/>
  <c r="N84" i="28"/>
  <c r="O84" i="28"/>
  <c r="N85" i="28"/>
  <c r="O85" i="28"/>
  <c r="N86" i="28"/>
  <c r="O86" i="28"/>
  <c r="N87" i="28"/>
  <c r="O87" i="28"/>
  <c r="N88" i="28"/>
  <c r="O88" i="28"/>
  <c r="N89" i="28"/>
  <c r="O89" i="28"/>
  <c r="N90" i="28"/>
  <c r="O90" i="28"/>
  <c r="N91" i="28"/>
  <c r="O91" i="28"/>
  <c r="N92" i="28"/>
  <c r="O92" i="28"/>
  <c r="N93" i="28"/>
  <c r="O93" i="28"/>
  <c r="N94" i="28"/>
  <c r="O94" i="28"/>
  <c r="N95" i="28"/>
  <c r="O95" i="28"/>
  <c r="N96" i="28"/>
  <c r="O96" i="28"/>
  <c r="N97" i="28"/>
  <c r="O97" i="28"/>
  <c r="N98" i="28"/>
  <c r="O98" i="28"/>
  <c r="N99" i="28"/>
  <c r="O99" i="28"/>
  <c r="N69" i="28"/>
  <c r="O69" i="28"/>
  <c r="N100" i="28"/>
  <c r="O100" i="28"/>
  <c r="N101" i="28"/>
  <c r="O101" i="28"/>
  <c r="N102" i="28"/>
  <c r="O102" i="28"/>
  <c r="N103" i="28"/>
  <c r="O103" i="28"/>
  <c r="N104" i="28"/>
  <c r="O104" i="28"/>
  <c r="N105" i="28"/>
  <c r="O105" i="28"/>
  <c r="N106" i="28"/>
  <c r="O106" i="28"/>
  <c r="N107" i="28"/>
  <c r="O107" i="28"/>
  <c r="N108" i="28"/>
  <c r="O108" i="28"/>
  <c r="N109" i="28"/>
  <c r="O109" i="28"/>
  <c r="N110" i="28"/>
  <c r="O110" i="28"/>
  <c r="N111" i="28"/>
  <c r="O111" i="28"/>
  <c r="N112" i="28"/>
  <c r="O112" i="28"/>
  <c r="N113" i="28"/>
  <c r="O113" i="28"/>
  <c r="N114" i="28"/>
  <c r="O114" i="28"/>
  <c r="N115" i="28"/>
  <c r="O115" i="28"/>
  <c r="N116" i="28"/>
  <c r="O116" i="28"/>
  <c r="N117" i="28"/>
  <c r="O117" i="28"/>
  <c r="N118" i="28"/>
  <c r="O118" i="28"/>
  <c r="N119" i="28"/>
  <c r="O119" i="28"/>
  <c r="N120" i="28"/>
  <c r="O120" i="28"/>
  <c r="N121" i="28"/>
  <c r="O121" i="28"/>
  <c r="N122" i="28"/>
  <c r="O122" i="28"/>
  <c r="N123" i="28"/>
  <c r="O123" i="28"/>
  <c r="N124" i="28"/>
  <c r="O124" i="28"/>
  <c r="N125" i="28"/>
  <c r="O125" i="28"/>
  <c r="N126" i="28"/>
  <c r="O126" i="28"/>
  <c r="N127" i="28"/>
  <c r="O127" i="28"/>
  <c r="N128" i="28"/>
  <c r="O128" i="28"/>
  <c r="N129" i="28"/>
  <c r="O129" i="28"/>
  <c r="N130" i="28"/>
  <c r="O130" i="28"/>
  <c r="N131" i="28"/>
  <c r="O131" i="28"/>
  <c r="N132" i="28"/>
  <c r="O132" i="28"/>
  <c r="N133" i="28"/>
  <c r="O133" i="28"/>
  <c r="N134" i="28"/>
  <c r="O134" i="28"/>
  <c r="N135" i="28"/>
  <c r="O135" i="28"/>
  <c r="N136" i="28"/>
  <c r="O136" i="28"/>
  <c r="N137" i="28"/>
  <c r="O137" i="28"/>
  <c r="N138" i="28"/>
  <c r="O138" i="28"/>
  <c r="N139" i="28"/>
  <c r="O139" i="28"/>
  <c r="N140" i="28"/>
  <c r="O140" i="28"/>
  <c r="N141" i="28"/>
  <c r="O141" i="28"/>
  <c r="N142" i="28"/>
  <c r="O142" i="28"/>
  <c r="N143" i="28"/>
  <c r="O143" i="28"/>
  <c r="N144" i="28"/>
  <c r="O144" i="28"/>
  <c r="N145" i="28"/>
  <c r="O145" i="28"/>
  <c r="N146" i="28"/>
  <c r="O146" i="28"/>
  <c r="N147" i="28"/>
  <c r="O147" i="28"/>
  <c r="N148" i="28"/>
  <c r="O148" i="28"/>
  <c r="N149" i="28"/>
  <c r="O149" i="28"/>
  <c r="N150" i="28"/>
  <c r="O150" i="28"/>
  <c r="N151" i="28"/>
  <c r="O151" i="28"/>
  <c r="N152" i="28"/>
  <c r="O152" i="28"/>
  <c r="N153" i="28"/>
  <c r="O153" i="28"/>
  <c r="N154" i="28"/>
  <c r="O154" i="28"/>
  <c r="N155" i="28"/>
  <c r="O155" i="28"/>
  <c r="N156" i="28"/>
  <c r="O156" i="28"/>
  <c r="N157" i="28"/>
  <c r="O157" i="28"/>
  <c r="N158" i="28"/>
  <c r="O158" i="28"/>
  <c r="N159" i="28"/>
  <c r="O159" i="28"/>
  <c r="N160" i="28"/>
  <c r="O160" i="28"/>
  <c r="N161" i="28"/>
  <c r="O161" i="28"/>
  <c r="N162" i="28"/>
  <c r="O162" i="28"/>
  <c r="N163" i="28"/>
  <c r="O163" i="28"/>
  <c r="N164" i="28"/>
  <c r="O164" i="28"/>
  <c r="N165" i="28"/>
  <c r="O165" i="28"/>
  <c r="N166" i="28"/>
  <c r="O166" i="28"/>
  <c r="N167" i="28"/>
  <c r="O167" i="28"/>
  <c r="N168" i="28"/>
  <c r="O168" i="28"/>
  <c r="N169" i="28"/>
  <c r="O169" i="28"/>
  <c r="N170" i="28"/>
  <c r="O170" i="28"/>
  <c r="N171" i="28"/>
  <c r="O171" i="28"/>
  <c r="N172" i="28"/>
  <c r="O172" i="28"/>
  <c r="N173" i="28"/>
  <c r="O173" i="28"/>
  <c r="N174" i="28"/>
  <c r="O174" i="28"/>
  <c r="N175" i="28"/>
  <c r="O175" i="28"/>
  <c r="N176" i="28"/>
  <c r="O176" i="28"/>
  <c r="N177" i="28"/>
  <c r="O177" i="28"/>
  <c r="N178" i="28"/>
  <c r="O178" i="28"/>
  <c r="N179" i="28"/>
  <c r="O179" i="28"/>
  <c r="N180" i="28"/>
  <c r="O180" i="28"/>
  <c r="N181" i="28"/>
  <c r="O181" i="28"/>
  <c r="N182" i="28"/>
  <c r="O182" i="28"/>
  <c r="N183" i="28"/>
  <c r="O183" i="28"/>
  <c r="N184" i="28"/>
  <c r="O184" i="28"/>
  <c r="N185" i="28"/>
  <c r="O185" i="28"/>
  <c r="N186" i="28"/>
  <c r="O186" i="28"/>
  <c r="N187" i="28"/>
  <c r="O187" i="28"/>
  <c r="N188" i="28"/>
  <c r="O188" i="28"/>
  <c r="N189" i="28"/>
  <c r="O189" i="28"/>
  <c r="N190" i="28"/>
  <c r="O190" i="28"/>
  <c r="N191" i="28"/>
  <c r="O191" i="28"/>
  <c r="N192" i="28"/>
  <c r="O192" i="28"/>
  <c r="N193" i="28"/>
  <c r="O193" i="28"/>
  <c r="N194" i="28"/>
  <c r="O194" i="28"/>
  <c r="N195" i="28"/>
  <c r="O195" i="28"/>
  <c r="N196" i="28"/>
  <c r="O196" i="28"/>
  <c r="N197" i="28"/>
  <c r="O197" i="28"/>
  <c r="N199" i="28"/>
  <c r="O199" i="28"/>
  <c r="N201" i="28"/>
  <c r="O201" i="28"/>
  <c r="N203" i="28"/>
  <c r="O203" i="28"/>
  <c r="N205" i="28"/>
  <c r="O205" i="28"/>
  <c r="N207" i="28"/>
  <c r="O207" i="28"/>
  <c r="N209" i="28"/>
  <c r="O209" i="28"/>
  <c r="N211" i="28"/>
  <c r="O211" i="28"/>
  <c r="N213" i="28"/>
  <c r="O213" i="28"/>
  <c r="N68" i="28"/>
  <c r="O68" i="28"/>
  <c r="N206" i="28"/>
  <c r="O206" i="28"/>
  <c r="N223" i="28"/>
  <c r="O223" i="28"/>
  <c r="N224" i="28"/>
  <c r="O224" i="28"/>
  <c r="N225" i="28"/>
  <c r="O225" i="28"/>
  <c r="N226" i="28"/>
  <c r="O226" i="28"/>
  <c r="N227" i="28"/>
  <c r="O227" i="28"/>
  <c r="N228" i="28"/>
  <c r="O228" i="28"/>
  <c r="N229" i="28"/>
  <c r="O229" i="28"/>
  <c r="N230" i="28"/>
  <c r="O230" i="28"/>
  <c r="N231" i="28"/>
  <c r="O231" i="28"/>
  <c r="N232" i="28"/>
  <c r="O232" i="28"/>
  <c r="N233" i="28"/>
  <c r="O233" i="28"/>
  <c r="N234" i="28"/>
  <c r="O234" i="28"/>
  <c r="N235" i="28"/>
  <c r="O235" i="28"/>
  <c r="N236" i="28"/>
  <c r="O236" i="28"/>
  <c r="N237" i="28"/>
  <c r="O237" i="28"/>
  <c r="N238" i="28"/>
  <c r="O238" i="28"/>
  <c r="N239" i="28"/>
  <c r="O239" i="28"/>
  <c r="N240" i="28"/>
  <c r="O240" i="28"/>
  <c r="N241" i="28"/>
  <c r="O241" i="28"/>
  <c r="N242" i="28"/>
  <c r="O242" i="28"/>
  <c r="N243" i="28"/>
  <c r="O243" i="28"/>
  <c r="N244" i="28"/>
  <c r="O244" i="28"/>
  <c r="N245" i="28"/>
  <c r="O245" i="28"/>
  <c r="N246" i="28"/>
  <c r="O246" i="28"/>
  <c r="N247" i="28"/>
  <c r="O247" i="28"/>
  <c r="N248" i="28"/>
  <c r="O248" i="28"/>
  <c r="N249" i="28"/>
  <c r="O249" i="28"/>
  <c r="N250" i="28"/>
  <c r="O250" i="28"/>
  <c r="N251" i="28"/>
  <c r="O251" i="28"/>
  <c r="N200" i="28"/>
  <c r="O200" i="28"/>
  <c r="N208" i="28"/>
  <c r="O208" i="28"/>
  <c r="N214" i="28"/>
  <c r="O214" i="28"/>
  <c r="N216" i="28"/>
  <c r="O216" i="28"/>
  <c r="N218" i="28"/>
  <c r="O218" i="28"/>
  <c r="N220" i="28"/>
  <c r="O220" i="28"/>
  <c r="N222" i="28"/>
  <c r="O222" i="28"/>
  <c r="N202" i="28"/>
  <c r="O202" i="28"/>
  <c r="N210" i="28"/>
  <c r="O210" i="28"/>
  <c r="N198" i="28"/>
  <c r="O198" i="28"/>
  <c r="N204" i="28"/>
  <c r="O204" i="28"/>
  <c r="N212" i="28"/>
  <c r="O212" i="28"/>
  <c r="N215" i="28"/>
  <c r="O215" i="28"/>
  <c r="N217" i="28"/>
  <c r="O217" i="28"/>
  <c r="N219" i="28"/>
  <c r="O219" i="28"/>
  <c r="N221" i="28"/>
  <c r="O221" i="28"/>
  <c r="N252" i="28"/>
  <c r="O252" i="28"/>
  <c r="N253" i="28"/>
  <c r="O253" i="28"/>
  <c r="N254" i="28"/>
  <c r="O254" i="28"/>
  <c r="N255" i="28"/>
  <c r="O255" i="28"/>
  <c r="N256" i="28"/>
  <c r="O256" i="28"/>
  <c r="N257" i="28"/>
  <c r="O257" i="28"/>
  <c r="N258" i="28"/>
  <c r="O258" i="28"/>
  <c r="N259" i="28"/>
  <c r="O259" i="28"/>
  <c r="N260" i="28"/>
  <c r="O260" i="28"/>
  <c r="N261" i="28"/>
  <c r="O261" i="28"/>
  <c r="N262" i="28"/>
  <c r="O262" i="28"/>
  <c r="N263" i="28"/>
  <c r="O263" i="28"/>
  <c r="N264" i="28"/>
  <c r="O264" i="28"/>
  <c r="N265" i="28"/>
  <c r="O265" i="28"/>
  <c r="N266" i="28"/>
  <c r="O266" i="28"/>
  <c r="N267" i="28"/>
  <c r="O267" i="28"/>
  <c r="N268" i="28"/>
  <c r="O268" i="28"/>
  <c r="N269" i="28"/>
  <c r="O269" i="28"/>
  <c r="N270" i="28"/>
  <c r="O270" i="28"/>
  <c r="N271" i="28"/>
  <c r="O271" i="28"/>
  <c r="N272" i="28"/>
  <c r="O272" i="28"/>
  <c r="N273" i="28"/>
  <c r="O273" i="28"/>
  <c r="N274" i="28"/>
  <c r="O274" i="28"/>
  <c r="N275" i="28"/>
  <c r="O275" i="28"/>
  <c r="N276" i="28"/>
  <c r="O276" i="28"/>
  <c r="N277" i="28"/>
  <c r="O277" i="28"/>
  <c r="N278" i="28"/>
  <c r="O278" i="28"/>
  <c r="N279" i="28"/>
  <c r="O279" i="28"/>
  <c r="N280" i="28"/>
  <c r="O280" i="28"/>
  <c r="N281" i="28"/>
  <c r="O281" i="28"/>
  <c r="N282" i="28"/>
  <c r="O282" i="28"/>
  <c r="N283" i="28"/>
  <c r="O283" i="28"/>
  <c r="N284" i="28"/>
  <c r="O284" i="28"/>
  <c r="N285" i="28"/>
  <c r="O285" i="28"/>
  <c r="N286" i="28"/>
  <c r="O286" i="28"/>
  <c r="N287" i="28"/>
  <c r="O287" i="28"/>
  <c r="N288" i="28"/>
  <c r="O288" i="28"/>
  <c r="N289" i="28"/>
  <c r="O289" i="28"/>
  <c r="N290" i="28"/>
  <c r="O290" i="28"/>
  <c r="N291" i="28"/>
  <c r="O291" i="28"/>
  <c r="N292" i="28"/>
  <c r="O292" i="28"/>
  <c r="N293" i="28"/>
  <c r="O293" i="28"/>
  <c r="N294" i="28"/>
  <c r="O294" i="28"/>
  <c r="N295" i="28"/>
  <c r="O295" i="28"/>
  <c r="N296" i="28"/>
  <c r="O296" i="28"/>
  <c r="N297" i="28"/>
  <c r="O297" i="28"/>
  <c r="N298" i="28"/>
  <c r="O298" i="28"/>
  <c r="N299" i="28"/>
  <c r="O299" i="28"/>
  <c r="N300" i="28"/>
  <c r="O300" i="28"/>
  <c r="N301" i="28"/>
  <c r="O301" i="28"/>
  <c r="N302" i="28"/>
  <c r="O302" i="28"/>
  <c r="N303" i="28"/>
  <c r="O303" i="28"/>
  <c r="N304" i="28"/>
  <c r="O304" i="28"/>
  <c r="N305" i="28"/>
  <c r="O305" i="28"/>
  <c r="N306" i="28"/>
  <c r="O306" i="28"/>
  <c r="N307" i="28"/>
  <c r="O307" i="28"/>
  <c r="N308" i="28"/>
  <c r="O308" i="28"/>
  <c r="N309" i="28"/>
  <c r="O309" i="28"/>
  <c r="N310" i="28"/>
  <c r="O310" i="28"/>
  <c r="N311" i="28"/>
  <c r="O311" i="28"/>
  <c r="N312" i="28"/>
  <c r="O312" i="28"/>
  <c r="N313" i="28"/>
  <c r="O313" i="28"/>
  <c r="N314" i="28"/>
  <c r="O314" i="28"/>
  <c r="N315" i="28"/>
  <c r="O315" i="28"/>
  <c r="N316" i="28"/>
  <c r="O316" i="28"/>
  <c r="N317" i="28"/>
  <c r="O317" i="28"/>
  <c r="N318" i="28"/>
  <c r="O318" i="28"/>
  <c r="N319" i="28"/>
  <c r="O319" i="28"/>
  <c r="N320" i="28"/>
  <c r="O320" i="28"/>
  <c r="N321" i="28"/>
  <c r="O321" i="28"/>
  <c r="N322" i="28"/>
  <c r="O322" i="28"/>
  <c r="N323" i="28"/>
  <c r="O323" i="28"/>
  <c r="N324" i="28"/>
  <c r="O324" i="28"/>
  <c r="N325" i="28"/>
  <c r="O325" i="28"/>
  <c r="N326" i="28"/>
  <c r="O326" i="28"/>
  <c r="N327" i="28"/>
  <c r="O327" i="28"/>
  <c r="N328" i="28"/>
  <c r="O328" i="28"/>
  <c r="N329" i="28"/>
  <c r="O329" i="28"/>
  <c r="N330" i="28"/>
  <c r="O330" i="28"/>
  <c r="N331" i="28"/>
  <c r="O331" i="28"/>
  <c r="N332" i="28"/>
  <c r="O332" i="28"/>
  <c r="N333" i="28"/>
  <c r="O333" i="28"/>
  <c r="N334" i="28"/>
  <c r="O334" i="28"/>
  <c r="N335" i="28"/>
  <c r="O335" i="28"/>
  <c r="N336" i="28"/>
  <c r="O336" i="28"/>
  <c r="N337" i="28"/>
  <c r="O337" i="28"/>
  <c r="N338" i="28"/>
  <c r="O338" i="28"/>
  <c r="N339" i="28"/>
  <c r="O339" i="28"/>
  <c r="N340" i="28"/>
  <c r="O340" i="28"/>
  <c r="N341" i="28"/>
  <c r="O341" i="28"/>
  <c r="N342" i="28"/>
  <c r="O342" i="28"/>
  <c r="N343" i="28"/>
  <c r="O343" i="28"/>
  <c r="N344" i="28"/>
  <c r="O344" i="28"/>
  <c r="N345" i="28"/>
  <c r="O345" i="28"/>
  <c r="N347" i="28"/>
  <c r="O347" i="28"/>
  <c r="N348" i="28"/>
  <c r="O348" i="28"/>
  <c r="N349" i="28"/>
  <c r="O349" i="28"/>
  <c r="N350" i="28"/>
  <c r="O350" i="28"/>
  <c r="N351" i="28"/>
  <c r="O351" i="28"/>
  <c r="N352" i="28"/>
  <c r="O352" i="28"/>
  <c r="N353" i="28"/>
  <c r="O353" i="28"/>
  <c r="N354" i="28"/>
  <c r="O354" i="28"/>
  <c r="N355" i="28"/>
  <c r="O355" i="28"/>
  <c r="N356" i="28"/>
  <c r="O356" i="28"/>
  <c r="N357" i="28"/>
  <c r="O357" i="28"/>
  <c r="N358" i="28"/>
  <c r="O358" i="28"/>
  <c r="N359" i="28"/>
  <c r="O359" i="28"/>
  <c r="N360" i="28"/>
  <c r="O360" i="28"/>
  <c r="N361" i="28"/>
  <c r="O361" i="28"/>
  <c r="N362" i="28"/>
  <c r="O362" i="28"/>
  <c r="N363" i="28"/>
  <c r="O363" i="28"/>
  <c r="N364" i="28"/>
  <c r="O364" i="28"/>
  <c r="N365" i="28"/>
  <c r="O365" i="28"/>
  <c r="N366" i="28"/>
  <c r="O366" i="28"/>
  <c r="N367" i="28"/>
  <c r="O367" i="28"/>
  <c r="N368" i="28"/>
  <c r="O368" i="28"/>
  <c r="N369" i="28"/>
  <c r="O369" i="28"/>
  <c r="N370" i="28"/>
  <c r="O370" i="28"/>
  <c r="N371" i="28"/>
  <c r="O371" i="28"/>
  <c r="N372" i="28"/>
  <c r="O372" i="28"/>
  <c r="N373" i="28"/>
  <c r="O373" i="28"/>
  <c r="N374" i="28"/>
  <c r="O374" i="28"/>
  <c r="N375" i="28"/>
  <c r="O375" i="28"/>
  <c r="N376" i="28"/>
  <c r="O376" i="28"/>
  <c r="N377" i="28"/>
  <c r="O377" i="28"/>
  <c r="N378" i="28"/>
  <c r="O378" i="28"/>
  <c r="N379" i="28"/>
  <c r="O379" i="28"/>
  <c r="N380" i="28"/>
  <c r="O380" i="28"/>
  <c r="N381" i="28"/>
  <c r="O381" i="28"/>
  <c r="N382" i="28"/>
  <c r="O382" i="28"/>
  <c r="N383" i="28"/>
  <c r="O383" i="28"/>
  <c r="N384" i="28"/>
  <c r="O384" i="28"/>
  <c r="N385" i="28"/>
  <c r="O385" i="28"/>
  <c r="N386" i="28"/>
  <c r="O386" i="28"/>
  <c r="N387" i="28"/>
  <c r="O387" i="28"/>
  <c r="N388" i="28"/>
  <c r="O388" i="28"/>
  <c r="N389" i="28"/>
  <c r="O389" i="28"/>
  <c r="N390" i="28"/>
  <c r="O390" i="28"/>
  <c r="N391" i="28"/>
  <c r="O391" i="28"/>
  <c r="N392" i="28"/>
  <c r="O392" i="28"/>
  <c r="N393" i="28"/>
  <c r="O393" i="28"/>
  <c r="N394" i="28"/>
  <c r="O394" i="28"/>
  <c r="N395" i="28"/>
  <c r="O395" i="28"/>
  <c r="N396" i="28"/>
  <c r="O396" i="28"/>
  <c r="N397" i="28"/>
  <c r="O397" i="28"/>
  <c r="N398" i="28"/>
  <c r="O398" i="28"/>
  <c r="N399" i="28"/>
  <c r="O399" i="28"/>
  <c r="N400" i="28"/>
  <c r="O400" i="28"/>
  <c r="N401" i="28"/>
  <c r="O401" i="28"/>
  <c r="N402" i="28"/>
  <c r="O402" i="28"/>
  <c r="N403" i="28"/>
  <c r="O403" i="28"/>
  <c r="N404" i="28"/>
  <c r="O404" i="28"/>
  <c r="N405" i="28"/>
  <c r="O405" i="28"/>
  <c r="N406" i="28"/>
  <c r="O406" i="28"/>
  <c r="N407" i="28"/>
  <c r="O407" i="28"/>
  <c r="N408" i="28"/>
  <c r="O408" i="28"/>
  <c r="N409" i="28"/>
  <c r="O409" i="28"/>
  <c r="N410" i="28"/>
  <c r="O410" i="28"/>
  <c r="N411" i="28"/>
  <c r="O411" i="28"/>
  <c r="N412" i="28"/>
  <c r="O412" i="28"/>
  <c r="N413" i="28"/>
  <c r="O413" i="28"/>
  <c r="N414" i="28"/>
  <c r="O414" i="28"/>
  <c r="N415" i="28"/>
  <c r="O415" i="28"/>
  <c r="N416" i="28"/>
  <c r="O416" i="28"/>
  <c r="N417" i="28"/>
  <c r="O417" i="28"/>
  <c r="N418" i="28"/>
  <c r="O418" i="28"/>
  <c r="N419" i="28"/>
  <c r="O419" i="28"/>
  <c r="N420" i="28"/>
  <c r="O420" i="28"/>
  <c r="N421" i="28"/>
  <c r="O421" i="28"/>
  <c r="N422" i="28"/>
  <c r="O422" i="28"/>
  <c r="N423" i="28"/>
  <c r="O423" i="28"/>
  <c r="N424" i="28"/>
  <c r="O424" i="28"/>
  <c r="N425" i="28"/>
  <c r="O425" i="28"/>
  <c r="N426" i="28"/>
  <c r="O426" i="28"/>
  <c r="N427" i="28"/>
  <c r="O427" i="28"/>
  <c r="N428" i="28"/>
  <c r="O428" i="28"/>
  <c r="N429" i="28"/>
  <c r="O429" i="28"/>
  <c r="N430" i="28"/>
  <c r="O430" i="28"/>
  <c r="N431" i="28"/>
  <c r="O431" i="28"/>
  <c r="N432" i="28"/>
  <c r="O432" i="28"/>
  <c r="N433" i="28"/>
  <c r="O433" i="28"/>
  <c r="N434" i="28"/>
  <c r="O434" i="28"/>
  <c r="N435" i="28"/>
  <c r="O435" i="28"/>
  <c r="N346" i="28"/>
  <c r="O346" i="28"/>
  <c r="N437" i="28"/>
  <c r="O437" i="28"/>
  <c r="N438" i="28"/>
  <c r="O438" i="28"/>
  <c r="N439" i="28"/>
  <c r="O439" i="28"/>
  <c r="N440" i="28"/>
  <c r="O440" i="28"/>
  <c r="N441" i="28"/>
  <c r="O441" i="28"/>
  <c r="N442" i="28"/>
  <c r="O442" i="28"/>
  <c r="N443" i="28"/>
  <c r="O443" i="28"/>
  <c r="N444" i="28"/>
  <c r="O444" i="28"/>
  <c r="N445" i="28"/>
  <c r="O445" i="28"/>
  <c r="N446" i="28"/>
  <c r="O446" i="28"/>
  <c r="N447" i="28"/>
  <c r="O447" i="28"/>
  <c r="N448" i="28"/>
  <c r="O448" i="28"/>
  <c r="N449" i="28"/>
  <c r="O449" i="28"/>
  <c r="N450" i="28"/>
  <c r="O450" i="28"/>
  <c r="N451" i="28"/>
  <c r="O451" i="28"/>
  <c r="N452" i="28"/>
  <c r="O452" i="28"/>
  <c r="N453" i="28"/>
  <c r="O453" i="28"/>
  <c r="N454" i="28"/>
  <c r="O454" i="28"/>
  <c r="N455" i="28"/>
  <c r="O455" i="28"/>
  <c r="N456" i="28"/>
  <c r="O456" i="28"/>
  <c r="N457" i="28"/>
  <c r="O457" i="28"/>
  <c r="N458" i="28"/>
  <c r="O458" i="28"/>
  <c r="N459" i="28"/>
  <c r="O459" i="28"/>
  <c r="N460" i="28"/>
  <c r="O460" i="28"/>
  <c r="N461" i="28"/>
  <c r="O461" i="28"/>
  <c r="N462" i="28"/>
  <c r="O462" i="28"/>
  <c r="N463" i="28"/>
  <c r="O463" i="28"/>
  <c r="N464" i="28"/>
  <c r="O464" i="28"/>
  <c r="N465" i="28"/>
  <c r="O465" i="28"/>
  <c r="N466" i="28"/>
  <c r="O466" i="28"/>
  <c r="N467" i="28"/>
  <c r="O467" i="28"/>
  <c r="N468" i="28"/>
  <c r="O468" i="28"/>
  <c r="N469" i="28"/>
  <c r="O469" i="28"/>
  <c r="N470" i="28"/>
  <c r="O470" i="28"/>
  <c r="N471" i="28"/>
  <c r="O471" i="28"/>
  <c r="N472" i="28"/>
  <c r="O472" i="28"/>
  <c r="N473" i="28"/>
  <c r="O473" i="28"/>
  <c r="N474" i="28"/>
  <c r="O474" i="28"/>
  <c r="N475" i="28"/>
  <c r="O475" i="28"/>
  <c r="N476" i="28"/>
  <c r="O476" i="28"/>
  <c r="N477" i="28"/>
  <c r="O477" i="28"/>
  <c r="N478" i="28"/>
  <c r="O478" i="28"/>
  <c r="N479" i="28"/>
  <c r="O479" i="28"/>
  <c r="N480" i="28"/>
  <c r="O480" i="28"/>
  <c r="N481" i="28"/>
  <c r="O481" i="28"/>
  <c r="N482" i="28"/>
  <c r="O482" i="28"/>
  <c r="N483" i="28"/>
  <c r="O483" i="28"/>
  <c r="N484" i="28"/>
  <c r="O484" i="28"/>
  <c r="N485" i="28"/>
  <c r="O485" i="28"/>
  <c r="N486" i="28"/>
  <c r="O486" i="28"/>
  <c r="N487" i="28"/>
  <c r="O487" i="28"/>
  <c r="N488" i="28"/>
  <c r="O488" i="28"/>
  <c r="N489" i="28"/>
  <c r="O489" i="28"/>
  <c r="N490" i="28"/>
  <c r="O490" i="28"/>
  <c r="N491" i="28"/>
  <c r="O491" i="28"/>
  <c r="N492" i="28"/>
  <c r="O492" i="28"/>
  <c r="N493" i="28"/>
  <c r="O493" i="28"/>
  <c r="N494" i="28"/>
  <c r="O494" i="28"/>
  <c r="N495" i="28"/>
  <c r="O495" i="28"/>
  <c r="N496" i="28"/>
  <c r="O496" i="28"/>
  <c r="N497" i="28"/>
  <c r="O497" i="28"/>
  <c r="N498" i="28"/>
  <c r="O498" i="28"/>
  <c r="N499" i="28"/>
  <c r="O499" i="28"/>
  <c r="N500" i="28"/>
  <c r="O500" i="28"/>
  <c r="N501" i="28"/>
  <c r="O501" i="28"/>
  <c r="N502" i="28"/>
  <c r="O502" i="28"/>
  <c r="N503" i="28"/>
  <c r="O503" i="28"/>
  <c r="N504" i="28"/>
  <c r="O504" i="28"/>
  <c r="N505" i="28"/>
  <c r="O505" i="28"/>
  <c r="N26" i="28"/>
  <c r="N522" i="28"/>
  <c r="N436" i="28"/>
  <c r="O436" i="28"/>
  <c r="N27" i="28"/>
  <c r="O27" i="28"/>
  <c r="Y93" i="3"/>
  <c r="AA93" i="3"/>
  <c r="AB93" i="3"/>
  <c r="Y83" i="3"/>
  <c r="AA83" i="3"/>
  <c r="AB83" i="3"/>
  <c r="E28" i="3"/>
  <c r="E24" i="3"/>
  <c r="E17" i="3"/>
  <c r="Q80" i="50"/>
  <c r="Q54" i="50"/>
  <c r="C92" i="43"/>
  <c r="E92" i="43"/>
  <c r="C22" i="43"/>
  <c r="U22" i="43"/>
  <c r="F15" i="3"/>
  <c r="C89" i="49"/>
  <c r="F28" i="28"/>
  <c r="G28" i="28"/>
  <c r="F29" i="28"/>
  <c r="G29" i="28"/>
  <c r="F30" i="28"/>
  <c r="G30" i="28"/>
  <c r="F31" i="28"/>
  <c r="G31" i="28"/>
  <c r="F32" i="28"/>
  <c r="G32" i="28"/>
  <c r="F33" i="28"/>
  <c r="G33" i="28"/>
  <c r="F34" i="28"/>
  <c r="G34" i="28"/>
  <c r="F35" i="28"/>
  <c r="G35" i="28"/>
  <c r="F36" i="28"/>
  <c r="G36" i="28"/>
  <c r="F37" i="28"/>
  <c r="G37" i="28"/>
  <c r="F38" i="28"/>
  <c r="G38" i="28"/>
  <c r="F39" i="28"/>
  <c r="G39" i="28"/>
  <c r="F40" i="28"/>
  <c r="G40" i="28"/>
  <c r="F41" i="28"/>
  <c r="G41" i="28"/>
  <c r="F42" i="28"/>
  <c r="G42" i="28"/>
  <c r="F43" i="28"/>
  <c r="G43" i="28"/>
  <c r="F44" i="28"/>
  <c r="G44" i="28"/>
  <c r="F45" i="28"/>
  <c r="G45" i="28"/>
  <c r="F46" i="28"/>
  <c r="G46" i="28"/>
  <c r="F47" i="28"/>
  <c r="G47" i="28"/>
  <c r="F48" i="28"/>
  <c r="G48" i="28"/>
  <c r="F49" i="28"/>
  <c r="G49" i="28"/>
  <c r="F50" i="28"/>
  <c r="G50" i="28"/>
  <c r="F51" i="28"/>
  <c r="G51" i="28"/>
  <c r="F52" i="28"/>
  <c r="G52" i="28"/>
  <c r="F53" i="28"/>
  <c r="G53" i="28"/>
  <c r="F54" i="28"/>
  <c r="G54" i="28"/>
  <c r="F55" i="28"/>
  <c r="G55" i="28"/>
  <c r="F56" i="28"/>
  <c r="G56" i="28"/>
  <c r="F57" i="28"/>
  <c r="G57" i="28"/>
  <c r="F58" i="28"/>
  <c r="G58" i="28"/>
  <c r="F59" i="28"/>
  <c r="G59" i="28"/>
  <c r="F60" i="28"/>
  <c r="G60" i="28"/>
  <c r="F61" i="28"/>
  <c r="G61" i="28"/>
  <c r="F62" i="28"/>
  <c r="G62" i="28"/>
  <c r="F63" i="28"/>
  <c r="G63" i="28"/>
  <c r="F64" i="28"/>
  <c r="G64" i="28"/>
  <c r="F65" i="28"/>
  <c r="G65" i="28"/>
  <c r="F66" i="28"/>
  <c r="G66" i="28"/>
  <c r="F67" i="28"/>
  <c r="G67" i="28"/>
  <c r="F68" i="28"/>
  <c r="G68" i="28"/>
  <c r="F70" i="28"/>
  <c r="G70" i="28"/>
  <c r="F71" i="28"/>
  <c r="G71" i="28"/>
  <c r="F72" i="28"/>
  <c r="G72" i="28"/>
  <c r="F73" i="28"/>
  <c r="G73" i="28"/>
  <c r="F74" i="28"/>
  <c r="G74" i="28"/>
  <c r="F75" i="28"/>
  <c r="G75" i="28"/>
  <c r="F76" i="28"/>
  <c r="G76" i="28"/>
  <c r="F77" i="28"/>
  <c r="G77" i="28"/>
  <c r="F78" i="28"/>
  <c r="G78" i="28"/>
  <c r="F79" i="28"/>
  <c r="G79" i="28"/>
  <c r="F80" i="28"/>
  <c r="G80" i="28"/>
  <c r="F81" i="28"/>
  <c r="G81" i="28"/>
  <c r="F82" i="28"/>
  <c r="G82" i="28"/>
  <c r="F83" i="28"/>
  <c r="G83" i="28"/>
  <c r="F84" i="28"/>
  <c r="G84" i="28"/>
  <c r="F85" i="28"/>
  <c r="G85" i="28"/>
  <c r="F86" i="28"/>
  <c r="G86" i="28"/>
  <c r="F87" i="28"/>
  <c r="G87" i="28"/>
  <c r="F88" i="28"/>
  <c r="G88" i="28"/>
  <c r="F89" i="28"/>
  <c r="G89" i="28"/>
  <c r="F90" i="28"/>
  <c r="G90" i="28"/>
  <c r="F91" i="28"/>
  <c r="G91" i="28"/>
  <c r="F92" i="28"/>
  <c r="G92" i="28"/>
  <c r="F93" i="28"/>
  <c r="G93" i="28"/>
  <c r="F94" i="28"/>
  <c r="G94" i="28"/>
  <c r="F95" i="28"/>
  <c r="G95" i="28"/>
  <c r="F96" i="28"/>
  <c r="G96" i="28"/>
  <c r="F97" i="28"/>
  <c r="G97" i="28"/>
  <c r="F98" i="28"/>
  <c r="G98" i="28"/>
  <c r="F99" i="28"/>
  <c r="G99" i="28"/>
  <c r="F69" i="28"/>
  <c r="G69" i="28"/>
  <c r="F100" i="28"/>
  <c r="G100" i="28"/>
  <c r="F101" i="28"/>
  <c r="G101" i="28"/>
  <c r="F102" i="28"/>
  <c r="G102" i="28"/>
  <c r="F103" i="28"/>
  <c r="G103" i="28"/>
  <c r="F104" i="28"/>
  <c r="G104" i="28"/>
  <c r="F105" i="28"/>
  <c r="G105" i="28"/>
  <c r="F106" i="28"/>
  <c r="G106" i="28"/>
  <c r="F107" i="28"/>
  <c r="G107" i="28"/>
  <c r="F108" i="28"/>
  <c r="G108" i="28"/>
  <c r="F109" i="28"/>
  <c r="G109" i="28"/>
  <c r="F110" i="28"/>
  <c r="G110" i="28"/>
  <c r="F111" i="28"/>
  <c r="G111" i="28"/>
  <c r="F112" i="28"/>
  <c r="G112" i="28"/>
  <c r="F113" i="28"/>
  <c r="G113" i="28"/>
  <c r="F114" i="28"/>
  <c r="G114" i="28"/>
  <c r="F115" i="28"/>
  <c r="G115" i="28"/>
  <c r="F116" i="28"/>
  <c r="G116" i="28"/>
  <c r="F117" i="28"/>
  <c r="G117" i="28"/>
  <c r="F118" i="28"/>
  <c r="G118" i="28"/>
  <c r="F119" i="28"/>
  <c r="G119" i="28"/>
  <c r="F120" i="28"/>
  <c r="G120" i="28"/>
  <c r="F121" i="28"/>
  <c r="G121" i="28"/>
  <c r="F122" i="28"/>
  <c r="G122" i="28"/>
  <c r="F123" i="28"/>
  <c r="G123" i="28"/>
  <c r="F124" i="28"/>
  <c r="G124" i="28"/>
  <c r="F125" i="28"/>
  <c r="G125" i="28"/>
  <c r="F126" i="28"/>
  <c r="G126" i="28"/>
  <c r="F127" i="28"/>
  <c r="G127" i="28"/>
  <c r="F128" i="28"/>
  <c r="G128" i="28"/>
  <c r="F129" i="28"/>
  <c r="G129" i="28"/>
  <c r="F130" i="28"/>
  <c r="G130" i="28"/>
  <c r="F131" i="28"/>
  <c r="G131" i="28"/>
  <c r="F132" i="28"/>
  <c r="G132" i="28"/>
  <c r="F133" i="28"/>
  <c r="G133" i="28"/>
  <c r="F134" i="28"/>
  <c r="G134" i="28"/>
  <c r="F135" i="28"/>
  <c r="G135" i="28"/>
  <c r="F136" i="28"/>
  <c r="G136" i="28"/>
  <c r="F137" i="28"/>
  <c r="G137" i="28"/>
  <c r="F138" i="28"/>
  <c r="G138" i="28"/>
  <c r="F139" i="28"/>
  <c r="G139" i="28"/>
  <c r="F140" i="28"/>
  <c r="G140" i="28"/>
  <c r="F141" i="28"/>
  <c r="G141" i="28"/>
  <c r="F142" i="28"/>
  <c r="G142" i="28"/>
  <c r="F143" i="28"/>
  <c r="G143" i="28"/>
  <c r="F144" i="28"/>
  <c r="G144" i="28"/>
  <c r="F145" i="28"/>
  <c r="G145" i="28"/>
  <c r="F146" i="28"/>
  <c r="G146" i="28"/>
  <c r="F147" i="28"/>
  <c r="G147" i="28"/>
  <c r="F148" i="28"/>
  <c r="G148" i="28"/>
  <c r="F149" i="28"/>
  <c r="G149" i="28"/>
  <c r="F150" i="28"/>
  <c r="G150" i="28"/>
  <c r="F151" i="28"/>
  <c r="G151" i="28"/>
  <c r="F152" i="28"/>
  <c r="G152" i="28"/>
  <c r="F153" i="28"/>
  <c r="G153" i="28"/>
  <c r="F154" i="28"/>
  <c r="G154" i="28"/>
  <c r="F155" i="28"/>
  <c r="G155" i="28"/>
  <c r="F156" i="28"/>
  <c r="G156" i="28"/>
  <c r="F157" i="28"/>
  <c r="G157" i="28"/>
  <c r="F158" i="28"/>
  <c r="G158" i="28"/>
  <c r="F159" i="28"/>
  <c r="G159" i="28"/>
  <c r="F160" i="28"/>
  <c r="G160" i="28"/>
  <c r="F161" i="28"/>
  <c r="G161" i="28"/>
  <c r="F162" i="28"/>
  <c r="G162" i="28"/>
  <c r="F163" i="28"/>
  <c r="G163" i="28"/>
  <c r="F164" i="28"/>
  <c r="G164" i="28"/>
  <c r="F165" i="28"/>
  <c r="G165" i="28"/>
  <c r="F166" i="28"/>
  <c r="G166" i="28"/>
  <c r="F167" i="28"/>
  <c r="G167" i="28"/>
  <c r="F168" i="28"/>
  <c r="G168" i="28"/>
  <c r="F169" i="28"/>
  <c r="G169" i="28"/>
  <c r="F170" i="28"/>
  <c r="G170" i="28"/>
  <c r="F171" i="28"/>
  <c r="G171" i="28"/>
  <c r="F172" i="28"/>
  <c r="G172" i="28"/>
  <c r="F173" i="28"/>
  <c r="G173" i="28"/>
  <c r="F174" i="28"/>
  <c r="G174" i="28"/>
  <c r="F175" i="28"/>
  <c r="G175" i="28"/>
  <c r="F176" i="28"/>
  <c r="G176" i="28"/>
  <c r="F177" i="28"/>
  <c r="G177" i="28"/>
  <c r="F178" i="28"/>
  <c r="G178" i="28"/>
  <c r="F179" i="28"/>
  <c r="G179" i="28"/>
  <c r="F180" i="28"/>
  <c r="G180" i="28"/>
  <c r="F181" i="28"/>
  <c r="G181" i="28"/>
  <c r="F182" i="28"/>
  <c r="G182" i="28"/>
  <c r="F183" i="28"/>
  <c r="G183" i="28"/>
  <c r="F184" i="28"/>
  <c r="G184" i="28"/>
  <c r="F185" i="28"/>
  <c r="G185" i="28"/>
  <c r="F186" i="28"/>
  <c r="G186" i="28"/>
  <c r="F187" i="28"/>
  <c r="G187" i="28"/>
  <c r="F188" i="28"/>
  <c r="G188" i="28"/>
  <c r="F189" i="28"/>
  <c r="G189" i="28"/>
  <c r="F190" i="28"/>
  <c r="G190" i="28"/>
  <c r="F191" i="28"/>
  <c r="G191" i="28"/>
  <c r="F192" i="28"/>
  <c r="G192" i="28"/>
  <c r="F193" i="28"/>
  <c r="G193" i="28"/>
  <c r="F194" i="28"/>
  <c r="G194" i="28"/>
  <c r="F195" i="28"/>
  <c r="G195" i="28"/>
  <c r="F196" i="28"/>
  <c r="G196" i="28"/>
  <c r="F198" i="28"/>
  <c r="G198" i="28"/>
  <c r="F200" i="28"/>
  <c r="G200" i="28"/>
  <c r="F197" i="28"/>
  <c r="G197" i="28"/>
  <c r="F199" i="28"/>
  <c r="G199" i="28"/>
  <c r="F202" i="28"/>
  <c r="G202" i="28"/>
  <c r="F203" i="28"/>
  <c r="G203" i="28"/>
  <c r="F210" i="28"/>
  <c r="G210" i="28"/>
  <c r="F211" i="28"/>
  <c r="G211" i="28"/>
  <c r="F215" i="28"/>
  <c r="G215" i="28"/>
  <c r="F217" i="28"/>
  <c r="G217" i="28"/>
  <c r="F219" i="28"/>
  <c r="G219" i="28"/>
  <c r="F221" i="28"/>
  <c r="G221" i="28"/>
  <c r="F223" i="28"/>
  <c r="G223" i="28"/>
  <c r="F224" i="28"/>
  <c r="G224" i="28"/>
  <c r="F225" i="28"/>
  <c r="G225" i="28"/>
  <c r="F226" i="28"/>
  <c r="G226" i="28"/>
  <c r="F227" i="28"/>
  <c r="G227" i="28"/>
  <c r="F228" i="28"/>
  <c r="G228" i="28"/>
  <c r="F229" i="28"/>
  <c r="G229" i="28"/>
  <c r="F230" i="28"/>
  <c r="G230" i="28"/>
  <c r="F231" i="28"/>
  <c r="G231" i="28"/>
  <c r="F232" i="28"/>
  <c r="G232" i="28"/>
  <c r="F233" i="28"/>
  <c r="G233" i="28"/>
  <c r="F234" i="28"/>
  <c r="G234" i="28"/>
  <c r="F235" i="28"/>
  <c r="G235" i="28"/>
  <c r="F236" i="28"/>
  <c r="G236" i="28"/>
  <c r="F237" i="28"/>
  <c r="G237" i="28"/>
  <c r="F238" i="28"/>
  <c r="G238" i="28"/>
  <c r="F239" i="28"/>
  <c r="G239" i="28"/>
  <c r="F240" i="28"/>
  <c r="G240" i="28"/>
  <c r="F241" i="28"/>
  <c r="G241" i="28"/>
  <c r="F242" i="28"/>
  <c r="G242" i="28"/>
  <c r="F243" i="28"/>
  <c r="G243" i="28"/>
  <c r="F244" i="28"/>
  <c r="G244" i="28"/>
  <c r="F245" i="28"/>
  <c r="G245" i="28"/>
  <c r="F246" i="28"/>
  <c r="G246" i="28"/>
  <c r="F247" i="28"/>
  <c r="G247" i="28"/>
  <c r="F248" i="28"/>
  <c r="G248" i="28"/>
  <c r="F249" i="28"/>
  <c r="G249" i="28"/>
  <c r="F250" i="28"/>
  <c r="G250" i="28"/>
  <c r="F251" i="28"/>
  <c r="G251" i="28"/>
  <c r="F204" i="28"/>
  <c r="G204" i="28"/>
  <c r="F205" i="28"/>
  <c r="G205" i="28"/>
  <c r="F212" i="28"/>
  <c r="G212" i="28"/>
  <c r="F213" i="28"/>
  <c r="G213" i="28"/>
  <c r="F206" i="28"/>
  <c r="G206" i="28"/>
  <c r="F207" i="28"/>
  <c r="G207" i="28"/>
  <c r="F214" i="28"/>
  <c r="G214" i="28"/>
  <c r="F216" i="28"/>
  <c r="G216" i="28"/>
  <c r="F218" i="28"/>
  <c r="G218" i="28"/>
  <c r="F220" i="28"/>
  <c r="G220" i="28"/>
  <c r="F222" i="28"/>
  <c r="G222" i="28"/>
  <c r="F201" i="28"/>
  <c r="G201" i="28"/>
  <c r="F208" i="28"/>
  <c r="G208" i="28"/>
  <c r="F209" i="28"/>
  <c r="G209" i="28"/>
  <c r="F252" i="28"/>
  <c r="G252" i="28"/>
  <c r="F253" i="28"/>
  <c r="G253" i="28"/>
  <c r="F254" i="28"/>
  <c r="G254" i="28"/>
  <c r="F255" i="28"/>
  <c r="G255" i="28"/>
  <c r="F256" i="28"/>
  <c r="G256" i="28"/>
  <c r="F257" i="28"/>
  <c r="G257" i="28"/>
  <c r="F258" i="28"/>
  <c r="G258" i="28"/>
  <c r="F259" i="28"/>
  <c r="G259" i="28"/>
  <c r="F260" i="28"/>
  <c r="G260" i="28"/>
  <c r="F261" i="28"/>
  <c r="G261" i="28"/>
  <c r="F262" i="28"/>
  <c r="G262" i="28"/>
  <c r="F263" i="28"/>
  <c r="G263" i="28"/>
  <c r="F264" i="28"/>
  <c r="G264" i="28"/>
  <c r="F265" i="28"/>
  <c r="G265" i="28"/>
  <c r="F266" i="28"/>
  <c r="G266" i="28"/>
  <c r="F267" i="28"/>
  <c r="G267" i="28"/>
  <c r="F268" i="28"/>
  <c r="G268" i="28"/>
  <c r="F269" i="28"/>
  <c r="G269" i="28"/>
  <c r="F270" i="28"/>
  <c r="G270" i="28"/>
  <c r="F271" i="28"/>
  <c r="G271" i="28"/>
  <c r="F272" i="28"/>
  <c r="G272" i="28"/>
  <c r="F273" i="28"/>
  <c r="G273" i="28"/>
  <c r="F274" i="28"/>
  <c r="G274" i="28"/>
  <c r="F275" i="28"/>
  <c r="G275" i="28"/>
  <c r="F276" i="28"/>
  <c r="G276" i="28"/>
  <c r="F277" i="28"/>
  <c r="G277" i="28"/>
  <c r="F278" i="28"/>
  <c r="G278" i="28"/>
  <c r="F279" i="28"/>
  <c r="G279" i="28"/>
  <c r="F280" i="28"/>
  <c r="G280" i="28"/>
  <c r="F281" i="28"/>
  <c r="G281" i="28"/>
  <c r="F282" i="28"/>
  <c r="G282" i="28"/>
  <c r="F283" i="28"/>
  <c r="G283" i="28"/>
  <c r="F284" i="28"/>
  <c r="G284" i="28"/>
  <c r="F285" i="28"/>
  <c r="G285" i="28"/>
  <c r="F286" i="28"/>
  <c r="G286" i="28"/>
  <c r="F287" i="28"/>
  <c r="G287" i="28"/>
  <c r="F288" i="28"/>
  <c r="G288" i="28"/>
  <c r="F289" i="28"/>
  <c r="G289" i="28"/>
  <c r="F290" i="28"/>
  <c r="G290" i="28"/>
  <c r="F291" i="28"/>
  <c r="G291" i="28"/>
  <c r="F292" i="28"/>
  <c r="G292" i="28"/>
  <c r="F293" i="28"/>
  <c r="G293" i="28"/>
  <c r="F294" i="28"/>
  <c r="G294" i="28"/>
  <c r="F295" i="28"/>
  <c r="G295" i="28"/>
  <c r="F296" i="28"/>
  <c r="G296" i="28"/>
  <c r="F297" i="28"/>
  <c r="G297" i="28"/>
  <c r="F298" i="28"/>
  <c r="G298" i="28"/>
  <c r="F299" i="28"/>
  <c r="G299" i="28"/>
  <c r="F300" i="28"/>
  <c r="G300" i="28"/>
  <c r="F301" i="28"/>
  <c r="G301" i="28"/>
  <c r="F302" i="28"/>
  <c r="G302" i="28"/>
  <c r="F303" i="28"/>
  <c r="G303" i="28"/>
  <c r="F304" i="28"/>
  <c r="G304" i="28"/>
  <c r="F305" i="28"/>
  <c r="G305" i="28"/>
  <c r="F306" i="28"/>
  <c r="G306" i="28"/>
  <c r="F307" i="28"/>
  <c r="G307" i="28"/>
  <c r="F308" i="28"/>
  <c r="G308" i="28"/>
  <c r="F309" i="28"/>
  <c r="G309" i="28"/>
  <c r="F310" i="28"/>
  <c r="G310" i="28"/>
  <c r="F311" i="28"/>
  <c r="G311" i="28"/>
  <c r="F312" i="28"/>
  <c r="G312" i="28"/>
  <c r="F313" i="28"/>
  <c r="G313" i="28"/>
  <c r="F314" i="28"/>
  <c r="G314" i="28"/>
  <c r="F315" i="28"/>
  <c r="G315" i="28"/>
  <c r="F316" i="28"/>
  <c r="G316" i="28"/>
  <c r="F317" i="28"/>
  <c r="G317" i="28"/>
  <c r="F318" i="28"/>
  <c r="G318" i="28"/>
  <c r="F319" i="28"/>
  <c r="G319" i="28"/>
  <c r="F320" i="28"/>
  <c r="G320" i="28"/>
  <c r="F321" i="28"/>
  <c r="G321" i="28"/>
  <c r="F322" i="28"/>
  <c r="G322" i="28"/>
  <c r="F323" i="28"/>
  <c r="G323" i="28"/>
  <c r="F324" i="28"/>
  <c r="G324" i="28"/>
  <c r="F325" i="28"/>
  <c r="G325" i="28"/>
  <c r="F326" i="28"/>
  <c r="G326" i="28"/>
  <c r="F327" i="28"/>
  <c r="G327" i="28"/>
  <c r="F328" i="28"/>
  <c r="G328" i="28"/>
  <c r="F329" i="28"/>
  <c r="G329" i="28"/>
  <c r="F330" i="28"/>
  <c r="G330" i="28"/>
  <c r="F331" i="28"/>
  <c r="G331" i="28"/>
  <c r="F332" i="28"/>
  <c r="G332" i="28"/>
  <c r="F333" i="28"/>
  <c r="G333" i="28"/>
  <c r="F334" i="28"/>
  <c r="G334" i="28"/>
  <c r="F335" i="28"/>
  <c r="G335" i="28"/>
  <c r="F336" i="28"/>
  <c r="G336" i="28"/>
  <c r="F337" i="28"/>
  <c r="G337" i="28"/>
  <c r="F338" i="28"/>
  <c r="G338" i="28"/>
  <c r="F339" i="28"/>
  <c r="G339" i="28"/>
  <c r="F340" i="28"/>
  <c r="G340" i="28"/>
  <c r="F341" i="28"/>
  <c r="G341" i="28"/>
  <c r="F342" i="28"/>
  <c r="G342" i="28"/>
  <c r="F343" i="28"/>
  <c r="G343" i="28"/>
  <c r="F344" i="28"/>
  <c r="G344" i="28"/>
  <c r="F345" i="28"/>
  <c r="G345" i="28"/>
  <c r="F346" i="28"/>
  <c r="G346" i="28"/>
  <c r="F348" i="28"/>
  <c r="G348" i="28"/>
  <c r="F349" i="28"/>
  <c r="G349" i="28"/>
  <c r="F350" i="28"/>
  <c r="G350" i="28"/>
  <c r="F351" i="28"/>
  <c r="G351" i="28"/>
  <c r="F352" i="28"/>
  <c r="G352" i="28"/>
  <c r="F353" i="28"/>
  <c r="G353" i="28"/>
  <c r="F354" i="28"/>
  <c r="G354" i="28"/>
  <c r="F355" i="28"/>
  <c r="G355" i="28"/>
  <c r="F356" i="28"/>
  <c r="G356" i="28"/>
  <c r="F357" i="28"/>
  <c r="G357" i="28"/>
  <c r="F358" i="28"/>
  <c r="G358" i="28"/>
  <c r="F359" i="28"/>
  <c r="G359" i="28"/>
  <c r="F360" i="28"/>
  <c r="G360" i="28"/>
  <c r="F361" i="28"/>
  <c r="G361" i="28"/>
  <c r="F362" i="28"/>
  <c r="G362" i="28"/>
  <c r="F363" i="28"/>
  <c r="G363" i="28"/>
  <c r="F364" i="28"/>
  <c r="G364" i="28"/>
  <c r="F365" i="28"/>
  <c r="G365" i="28"/>
  <c r="F366" i="28"/>
  <c r="G366" i="28"/>
  <c r="F367" i="28"/>
  <c r="G367" i="28"/>
  <c r="F368" i="28"/>
  <c r="G368" i="28"/>
  <c r="F369" i="28"/>
  <c r="G369" i="28"/>
  <c r="F370" i="28"/>
  <c r="G370" i="28"/>
  <c r="F371" i="28"/>
  <c r="G371" i="28"/>
  <c r="F372" i="28"/>
  <c r="G372" i="28"/>
  <c r="F373" i="28"/>
  <c r="G373" i="28"/>
  <c r="F374" i="28"/>
  <c r="G374" i="28"/>
  <c r="F375" i="28"/>
  <c r="G375" i="28"/>
  <c r="F376" i="28"/>
  <c r="G376" i="28"/>
  <c r="F377" i="28"/>
  <c r="G377" i="28"/>
  <c r="F378" i="28"/>
  <c r="G378" i="28"/>
  <c r="F379" i="28"/>
  <c r="G379" i="28"/>
  <c r="F380" i="28"/>
  <c r="G380" i="28"/>
  <c r="F381" i="28"/>
  <c r="G381" i="28"/>
  <c r="F382" i="28"/>
  <c r="G382" i="28"/>
  <c r="F383" i="28"/>
  <c r="G383" i="28"/>
  <c r="F384" i="28"/>
  <c r="G384" i="28"/>
  <c r="F385" i="28"/>
  <c r="G385" i="28"/>
  <c r="F386" i="28"/>
  <c r="G386" i="28"/>
  <c r="F387" i="28"/>
  <c r="G387" i="28"/>
  <c r="F388" i="28"/>
  <c r="G388" i="28"/>
  <c r="F389" i="28"/>
  <c r="G389" i="28"/>
  <c r="F390" i="28"/>
  <c r="G390" i="28"/>
  <c r="F391" i="28"/>
  <c r="G391" i="28"/>
  <c r="F392" i="28"/>
  <c r="G392" i="28"/>
  <c r="F393" i="28"/>
  <c r="G393" i="28"/>
  <c r="F394" i="28"/>
  <c r="G394" i="28"/>
  <c r="F395" i="28"/>
  <c r="G395" i="28"/>
  <c r="F396" i="28"/>
  <c r="G396" i="28"/>
  <c r="F397" i="28"/>
  <c r="G397" i="28"/>
  <c r="F398" i="28"/>
  <c r="G398" i="28"/>
  <c r="F399" i="28"/>
  <c r="G399" i="28"/>
  <c r="F400" i="28"/>
  <c r="G400" i="28"/>
  <c r="F401" i="28"/>
  <c r="G401" i="28"/>
  <c r="F402" i="28"/>
  <c r="G402" i="28"/>
  <c r="F403" i="28"/>
  <c r="G403" i="28"/>
  <c r="F404" i="28"/>
  <c r="G404" i="28"/>
  <c r="F405" i="28"/>
  <c r="G405" i="28"/>
  <c r="F406" i="28"/>
  <c r="G406" i="28"/>
  <c r="F407" i="28"/>
  <c r="G407" i="28"/>
  <c r="F408" i="28"/>
  <c r="G408" i="28"/>
  <c r="F409" i="28"/>
  <c r="G409" i="28"/>
  <c r="F410" i="28"/>
  <c r="G410" i="28"/>
  <c r="F411" i="28"/>
  <c r="G411" i="28"/>
  <c r="F412" i="28"/>
  <c r="G412" i="28"/>
  <c r="F413" i="28"/>
  <c r="G413" i="28"/>
  <c r="F414" i="28"/>
  <c r="G414" i="28"/>
  <c r="F415" i="28"/>
  <c r="G415" i="28"/>
  <c r="F416" i="28"/>
  <c r="G416" i="28"/>
  <c r="F417" i="28"/>
  <c r="G417" i="28"/>
  <c r="F418" i="28"/>
  <c r="G418" i="28"/>
  <c r="F419" i="28"/>
  <c r="G419" i="28"/>
  <c r="F420" i="28"/>
  <c r="G420" i="28"/>
  <c r="F421" i="28"/>
  <c r="G421" i="28"/>
  <c r="F422" i="28"/>
  <c r="G422" i="28"/>
  <c r="F423" i="28"/>
  <c r="G423" i="28"/>
  <c r="F424" i="28"/>
  <c r="G424" i="28"/>
  <c r="F425" i="28"/>
  <c r="G425" i="28"/>
  <c r="F426" i="28"/>
  <c r="G426" i="28"/>
  <c r="F427" i="28"/>
  <c r="G427" i="28"/>
  <c r="F428" i="28"/>
  <c r="G428" i="28"/>
  <c r="F429" i="28"/>
  <c r="G429" i="28"/>
  <c r="F430" i="28"/>
  <c r="G430" i="28"/>
  <c r="F431" i="28"/>
  <c r="G431" i="28"/>
  <c r="F432" i="28"/>
  <c r="G432" i="28"/>
  <c r="F433" i="28"/>
  <c r="G433" i="28"/>
  <c r="F434" i="28"/>
  <c r="G434" i="28"/>
  <c r="F435" i="28"/>
  <c r="G435" i="28"/>
  <c r="F347" i="28"/>
  <c r="G347" i="28"/>
  <c r="F438" i="28"/>
  <c r="G438" i="28"/>
  <c r="F439" i="28"/>
  <c r="G439" i="28"/>
  <c r="F440" i="28"/>
  <c r="G440" i="28"/>
  <c r="F441" i="28"/>
  <c r="G441" i="28"/>
  <c r="F442" i="28"/>
  <c r="G442" i="28"/>
  <c r="F443" i="28"/>
  <c r="G443" i="28"/>
  <c r="F444" i="28"/>
  <c r="G444" i="28"/>
  <c r="F445" i="28"/>
  <c r="G445" i="28"/>
  <c r="F446" i="28"/>
  <c r="G446" i="28"/>
  <c r="F447" i="28"/>
  <c r="G447" i="28"/>
  <c r="F448" i="28"/>
  <c r="G448" i="28"/>
  <c r="F449" i="28"/>
  <c r="G449" i="28"/>
  <c r="F450" i="28"/>
  <c r="G450" i="28"/>
  <c r="F451" i="28"/>
  <c r="G451" i="28"/>
  <c r="F452" i="28"/>
  <c r="G452" i="28"/>
  <c r="F453" i="28"/>
  <c r="G453" i="28"/>
  <c r="F454" i="28"/>
  <c r="G454" i="28"/>
  <c r="F455" i="28"/>
  <c r="G455" i="28"/>
  <c r="F456" i="28"/>
  <c r="G456" i="28"/>
  <c r="F457" i="28"/>
  <c r="G457" i="28"/>
  <c r="F458" i="28"/>
  <c r="G458" i="28"/>
  <c r="F459" i="28"/>
  <c r="G459" i="28"/>
  <c r="F460" i="28"/>
  <c r="G460" i="28"/>
  <c r="F461" i="28"/>
  <c r="G461" i="28"/>
  <c r="F462" i="28"/>
  <c r="G462" i="28"/>
  <c r="F463" i="28"/>
  <c r="G463" i="28"/>
  <c r="F464" i="28"/>
  <c r="G464" i="28"/>
  <c r="F465" i="28"/>
  <c r="G465" i="28"/>
  <c r="F466" i="28"/>
  <c r="G466" i="28"/>
  <c r="F467" i="28"/>
  <c r="G467" i="28"/>
  <c r="F468" i="28"/>
  <c r="G468" i="28"/>
  <c r="F469" i="28"/>
  <c r="G469" i="28"/>
  <c r="F470" i="28"/>
  <c r="G470" i="28"/>
  <c r="F471" i="28"/>
  <c r="G471" i="28"/>
  <c r="F472" i="28"/>
  <c r="G472" i="28"/>
  <c r="F473" i="28"/>
  <c r="G473" i="28"/>
  <c r="F474" i="28"/>
  <c r="G474" i="28"/>
  <c r="F475" i="28"/>
  <c r="G475" i="28"/>
  <c r="F476" i="28"/>
  <c r="G476" i="28"/>
  <c r="F477" i="28"/>
  <c r="G477" i="28"/>
  <c r="F478" i="28"/>
  <c r="G478" i="28"/>
  <c r="F479" i="28"/>
  <c r="G479" i="28"/>
  <c r="F480" i="28"/>
  <c r="G480" i="28"/>
  <c r="F481" i="28"/>
  <c r="G481" i="28"/>
  <c r="F482" i="28"/>
  <c r="G482" i="28"/>
  <c r="F483" i="28"/>
  <c r="G483" i="28"/>
  <c r="F484" i="28"/>
  <c r="G484" i="28"/>
  <c r="F485" i="28"/>
  <c r="G485" i="28"/>
  <c r="F486" i="28"/>
  <c r="G486" i="28"/>
  <c r="F487" i="28"/>
  <c r="G487" i="28"/>
  <c r="F488" i="28"/>
  <c r="G488" i="28"/>
  <c r="F489" i="28"/>
  <c r="G489" i="28"/>
  <c r="F490" i="28"/>
  <c r="G490" i="28"/>
  <c r="F491" i="28"/>
  <c r="G491" i="28"/>
  <c r="F492" i="28"/>
  <c r="G492" i="28"/>
  <c r="F493" i="28"/>
  <c r="G493" i="28"/>
  <c r="F494" i="28"/>
  <c r="G494" i="28"/>
  <c r="F495" i="28"/>
  <c r="G495" i="28"/>
  <c r="F496" i="28"/>
  <c r="G496" i="28"/>
  <c r="F497" i="28"/>
  <c r="G497" i="28"/>
  <c r="F498" i="28"/>
  <c r="G498" i="28"/>
  <c r="F499" i="28"/>
  <c r="G499" i="28"/>
  <c r="F500" i="28"/>
  <c r="G500" i="28"/>
  <c r="F501" i="28"/>
  <c r="G501" i="28"/>
  <c r="F502" i="28"/>
  <c r="G502" i="28"/>
  <c r="F503" i="28"/>
  <c r="G503" i="28"/>
  <c r="F504" i="28"/>
  <c r="G504" i="28"/>
  <c r="F505" i="28"/>
  <c r="G505" i="28"/>
  <c r="F26" i="28"/>
  <c r="F437" i="28"/>
  <c r="G437" i="28"/>
  <c r="F436" i="28"/>
  <c r="G436" i="28"/>
  <c r="F27" i="28"/>
  <c r="P28" i="28"/>
  <c r="Q28" i="28"/>
  <c r="P29" i="28"/>
  <c r="Q29" i="28"/>
  <c r="P30" i="28"/>
  <c r="Q30" i="28"/>
  <c r="P31" i="28"/>
  <c r="Q31" i="28"/>
  <c r="P32" i="28"/>
  <c r="Q32" i="28"/>
  <c r="P33" i="28"/>
  <c r="Q33" i="28"/>
  <c r="P34" i="28"/>
  <c r="Q34" i="28"/>
  <c r="P35" i="28"/>
  <c r="Q35" i="28"/>
  <c r="P36" i="28"/>
  <c r="Q36" i="28"/>
  <c r="P37" i="28"/>
  <c r="Q37" i="28"/>
  <c r="P38" i="28"/>
  <c r="Q38" i="28"/>
  <c r="P39" i="28"/>
  <c r="Q39" i="28"/>
  <c r="P40" i="28"/>
  <c r="Q40" i="28"/>
  <c r="P41" i="28"/>
  <c r="Q41" i="28"/>
  <c r="P42" i="28"/>
  <c r="Q42" i="28"/>
  <c r="P43" i="28"/>
  <c r="Q43" i="28"/>
  <c r="P44" i="28"/>
  <c r="Q44" i="28"/>
  <c r="P45" i="28"/>
  <c r="Q45" i="28"/>
  <c r="P46" i="28"/>
  <c r="Q46" i="28"/>
  <c r="P47" i="28"/>
  <c r="Q47" i="28"/>
  <c r="P48" i="28"/>
  <c r="Q48" i="28"/>
  <c r="P49" i="28"/>
  <c r="Q49" i="28"/>
  <c r="P50" i="28"/>
  <c r="Q50" i="28"/>
  <c r="P51" i="28"/>
  <c r="Q51" i="28"/>
  <c r="P52" i="28"/>
  <c r="Q52" i="28"/>
  <c r="P53" i="28"/>
  <c r="Q53" i="28"/>
  <c r="P54" i="28"/>
  <c r="Q54" i="28"/>
  <c r="P55" i="28"/>
  <c r="Q55" i="28"/>
  <c r="P56" i="28"/>
  <c r="Q56" i="28"/>
  <c r="P57" i="28"/>
  <c r="Q57" i="28"/>
  <c r="P58" i="28"/>
  <c r="Q58" i="28"/>
  <c r="P59" i="28"/>
  <c r="Q59" i="28"/>
  <c r="P60" i="28"/>
  <c r="Q60" i="28"/>
  <c r="P61" i="28"/>
  <c r="Q61" i="28"/>
  <c r="P62" i="28"/>
  <c r="Q62" i="28"/>
  <c r="P63" i="28"/>
  <c r="Q63" i="28"/>
  <c r="P64" i="28"/>
  <c r="Q64" i="28"/>
  <c r="P68" i="28"/>
  <c r="Q68" i="28"/>
  <c r="P65" i="28"/>
  <c r="Q65" i="28"/>
  <c r="P67" i="28"/>
  <c r="Q67" i="28"/>
  <c r="P70" i="28"/>
  <c r="Q70" i="28"/>
  <c r="P71" i="28"/>
  <c r="Q71" i="28"/>
  <c r="P72" i="28"/>
  <c r="Q72" i="28"/>
  <c r="P73" i="28"/>
  <c r="Q73" i="28"/>
  <c r="P74" i="28"/>
  <c r="Q74" i="28"/>
  <c r="P75" i="28"/>
  <c r="Q75" i="28"/>
  <c r="P76" i="28"/>
  <c r="Q76" i="28"/>
  <c r="P77" i="28"/>
  <c r="Q77" i="28"/>
  <c r="P78" i="28"/>
  <c r="Q78" i="28"/>
  <c r="P79" i="28"/>
  <c r="Q79" i="28"/>
  <c r="P80" i="28"/>
  <c r="Q80" i="28"/>
  <c r="P81" i="28"/>
  <c r="Q81" i="28"/>
  <c r="P82" i="28"/>
  <c r="Q82" i="28"/>
  <c r="P83" i="28"/>
  <c r="Q83" i="28"/>
  <c r="P84" i="28"/>
  <c r="Q84" i="28"/>
  <c r="P85" i="28"/>
  <c r="Q85" i="28"/>
  <c r="P86" i="28"/>
  <c r="Q86" i="28"/>
  <c r="P87" i="28"/>
  <c r="Q87" i="28"/>
  <c r="P88" i="28"/>
  <c r="Q88" i="28"/>
  <c r="P89" i="28"/>
  <c r="Q89" i="28"/>
  <c r="P90" i="28"/>
  <c r="Q90" i="28"/>
  <c r="P91" i="28"/>
  <c r="Q91" i="28"/>
  <c r="P92" i="28"/>
  <c r="Q92" i="28"/>
  <c r="P93" i="28"/>
  <c r="Q93" i="28"/>
  <c r="P94" i="28"/>
  <c r="Q94" i="28"/>
  <c r="P95" i="28"/>
  <c r="Q95" i="28"/>
  <c r="P96" i="28"/>
  <c r="Q96" i="28"/>
  <c r="P97" i="28"/>
  <c r="Q97" i="28"/>
  <c r="P98" i="28"/>
  <c r="Q98" i="28"/>
  <c r="P69" i="28"/>
  <c r="Q69" i="28"/>
  <c r="P66" i="28"/>
  <c r="Q66" i="28"/>
  <c r="P99" i="28"/>
  <c r="Q99" i="28"/>
  <c r="P101" i="28"/>
  <c r="Q101" i="28"/>
  <c r="P103" i="28"/>
  <c r="Q103" i="28"/>
  <c r="P105" i="28"/>
  <c r="Q105" i="28"/>
  <c r="P107" i="28"/>
  <c r="Q107" i="28"/>
  <c r="P109" i="28"/>
  <c r="Q109" i="28"/>
  <c r="P111" i="28"/>
  <c r="Q111" i="28"/>
  <c r="P113" i="28"/>
  <c r="Q113" i="28"/>
  <c r="P115" i="28"/>
  <c r="Q115" i="28"/>
  <c r="P117" i="28"/>
  <c r="Q117" i="28"/>
  <c r="P119" i="28"/>
  <c r="Q119" i="28"/>
  <c r="P121" i="28"/>
  <c r="Q121" i="28"/>
  <c r="P123" i="28"/>
  <c r="Q123" i="28"/>
  <c r="P125" i="28"/>
  <c r="Q125" i="28"/>
  <c r="P127" i="28"/>
  <c r="Q127" i="28"/>
  <c r="P129" i="28"/>
  <c r="Q129" i="28"/>
  <c r="P131" i="28"/>
  <c r="Q131" i="28"/>
  <c r="P133" i="28"/>
  <c r="Q133" i="28"/>
  <c r="P135" i="28"/>
  <c r="Q135" i="28"/>
  <c r="P137" i="28"/>
  <c r="Q137" i="28"/>
  <c r="P139" i="28"/>
  <c r="Q139" i="28"/>
  <c r="P141" i="28"/>
  <c r="Q141" i="28"/>
  <c r="P143" i="28"/>
  <c r="Q143" i="28"/>
  <c r="P145" i="28"/>
  <c r="Q145" i="28"/>
  <c r="P147" i="28"/>
  <c r="Q147" i="28"/>
  <c r="P149" i="28"/>
  <c r="Q149" i="28"/>
  <c r="P151" i="28"/>
  <c r="Q151" i="28"/>
  <c r="P153" i="28"/>
  <c r="Q153" i="28"/>
  <c r="P155" i="28"/>
  <c r="Q155" i="28"/>
  <c r="P157" i="28"/>
  <c r="Q157" i="28"/>
  <c r="P159" i="28"/>
  <c r="Q159" i="28"/>
  <c r="P161" i="28"/>
  <c r="Q161" i="28"/>
  <c r="P163" i="28"/>
  <c r="Q163" i="28"/>
  <c r="P165" i="28"/>
  <c r="Q165" i="28"/>
  <c r="P167" i="28"/>
  <c r="Q167" i="28"/>
  <c r="P169" i="28"/>
  <c r="Q169" i="28"/>
  <c r="P171" i="28"/>
  <c r="Q171" i="28"/>
  <c r="P173" i="28"/>
  <c r="Q173" i="28"/>
  <c r="P174" i="28"/>
  <c r="Q174" i="28"/>
  <c r="P175" i="28"/>
  <c r="Q175" i="28"/>
  <c r="P176" i="28"/>
  <c r="Q176" i="28"/>
  <c r="P177" i="28"/>
  <c r="Q177" i="28"/>
  <c r="P178" i="28"/>
  <c r="Q178" i="28"/>
  <c r="P179" i="28"/>
  <c r="Q179" i="28"/>
  <c r="P180" i="28"/>
  <c r="Q180" i="28"/>
  <c r="P181" i="28"/>
  <c r="Q181" i="28"/>
  <c r="P182" i="28"/>
  <c r="Q182" i="28"/>
  <c r="P183" i="28"/>
  <c r="Q183" i="28"/>
  <c r="P184" i="28"/>
  <c r="Q184" i="28"/>
  <c r="P185" i="28"/>
  <c r="Q185" i="28"/>
  <c r="P186" i="28"/>
  <c r="Q186" i="28"/>
  <c r="P187" i="28"/>
  <c r="Q187" i="28"/>
  <c r="P188" i="28"/>
  <c r="Q188" i="28"/>
  <c r="P189" i="28"/>
  <c r="Q189" i="28"/>
  <c r="P190" i="28"/>
  <c r="Q190" i="28"/>
  <c r="P191" i="28"/>
  <c r="Q191" i="28"/>
  <c r="P192" i="28"/>
  <c r="Q192" i="28"/>
  <c r="P193" i="28"/>
  <c r="Q193" i="28"/>
  <c r="P194" i="28"/>
  <c r="Q194" i="28"/>
  <c r="P195" i="28"/>
  <c r="Q195" i="28"/>
  <c r="P196" i="28"/>
  <c r="Q196" i="28"/>
  <c r="P197" i="28"/>
  <c r="Q197" i="28"/>
  <c r="P198" i="28"/>
  <c r="Q198" i="28"/>
  <c r="P199" i="28"/>
  <c r="Q199" i="28"/>
  <c r="P200" i="28"/>
  <c r="Q200" i="28"/>
  <c r="P201" i="28"/>
  <c r="Q201" i="28"/>
  <c r="P202" i="28"/>
  <c r="Q202" i="28"/>
  <c r="P203" i="28"/>
  <c r="Q203" i="28"/>
  <c r="P204" i="28"/>
  <c r="Q204" i="28"/>
  <c r="P205" i="28"/>
  <c r="Q205" i="28"/>
  <c r="P206" i="28"/>
  <c r="Q206" i="28"/>
  <c r="P207" i="28"/>
  <c r="Q207" i="28"/>
  <c r="P208" i="28"/>
  <c r="Q208" i="28"/>
  <c r="P209" i="28"/>
  <c r="Q209" i="28"/>
  <c r="P210" i="28"/>
  <c r="Q210" i="28"/>
  <c r="P211" i="28"/>
  <c r="Q211" i="28"/>
  <c r="P212" i="28"/>
  <c r="Q212" i="28"/>
  <c r="P213" i="28"/>
  <c r="Q213" i="28"/>
  <c r="P214" i="28"/>
  <c r="Q214" i="28"/>
  <c r="P215" i="28"/>
  <c r="Q215" i="28"/>
  <c r="P216" i="28"/>
  <c r="Q216" i="28"/>
  <c r="P217" i="28"/>
  <c r="Q217" i="28"/>
  <c r="P218" i="28"/>
  <c r="Q218" i="28"/>
  <c r="P219" i="28"/>
  <c r="Q219" i="28"/>
  <c r="P220" i="28"/>
  <c r="Q220" i="28"/>
  <c r="P221" i="28"/>
  <c r="Q221" i="28"/>
  <c r="P222" i="28"/>
  <c r="Q222" i="28"/>
  <c r="P100" i="28"/>
  <c r="Q100" i="28"/>
  <c r="P104" i="28"/>
  <c r="Q104" i="28"/>
  <c r="P108" i="28"/>
  <c r="Q108" i="28"/>
  <c r="P112" i="28"/>
  <c r="Q112" i="28"/>
  <c r="P116" i="28"/>
  <c r="Q116" i="28"/>
  <c r="P120" i="28"/>
  <c r="Q120" i="28"/>
  <c r="P124" i="28"/>
  <c r="Q124" i="28"/>
  <c r="P128" i="28"/>
  <c r="Q128" i="28"/>
  <c r="P132" i="28"/>
  <c r="Q132" i="28"/>
  <c r="P136" i="28"/>
  <c r="Q136" i="28"/>
  <c r="P140" i="28"/>
  <c r="Q140" i="28"/>
  <c r="P144" i="28"/>
  <c r="Q144" i="28"/>
  <c r="P148" i="28"/>
  <c r="Q148" i="28"/>
  <c r="P152" i="28"/>
  <c r="Q152" i="28"/>
  <c r="P156" i="28"/>
  <c r="Q156" i="28"/>
  <c r="P160" i="28"/>
  <c r="Q160" i="28"/>
  <c r="P164" i="28"/>
  <c r="Q164" i="28"/>
  <c r="P168" i="28"/>
  <c r="Q168" i="28"/>
  <c r="P172" i="28"/>
  <c r="Q172" i="28"/>
  <c r="P102" i="28"/>
  <c r="Q102" i="28"/>
  <c r="P106" i="28"/>
  <c r="Q106" i="28"/>
  <c r="P110" i="28"/>
  <c r="Q110" i="28"/>
  <c r="P114" i="28"/>
  <c r="Q114" i="28"/>
  <c r="P118" i="28"/>
  <c r="Q118" i="28"/>
  <c r="P122" i="28"/>
  <c r="Q122" i="28"/>
  <c r="P126" i="28"/>
  <c r="Q126" i="28"/>
  <c r="P130" i="28"/>
  <c r="Q130" i="28"/>
  <c r="P134" i="28"/>
  <c r="Q134" i="28"/>
  <c r="P138" i="28"/>
  <c r="Q138" i="28"/>
  <c r="P142" i="28"/>
  <c r="Q142" i="28"/>
  <c r="P146" i="28"/>
  <c r="Q146" i="28"/>
  <c r="P150" i="28"/>
  <c r="Q150" i="28"/>
  <c r="P154" i="28"/>
  <c r="Q154" i="28"/>
  <c r="P158" i="28"/>
  <c r="Q158" i="28"/>
  <c r="P162" i="28"/>
  <c r="Q162" i="28"/>
  <c r="P166" i="28"/>
  <c r="Q166" i="28"/>
  <c r="P170" i="28"/>
  <c r="Q170" i="28"/>
  <c r="P223" i="28"/>
  <c r="Q223" i="28"/>
  <c r="P224" i="28"/>
  <c r="Q224" i="28"/>
  <c r="P225" i="28"/>
  <c r="Q225" i="28"/>
  <c r="P226" i="28"/>
  <c r="Q226" i="28"/>
  <c r="P227" i="28"/>
  <c r="Q227" i="28"/>
  <c r="P228" i="28"/>
  <c r="Q228" i="28"/>
  <c r="P229" i="28"/>
  <c r="Q229" i="28"/>
  <c r="P230" i="28"/>
  <c r="Q230" i="28"/>
  <c r="P231" i="28"/>
  <c r="Q231" i="28"/>
  <c r="P232" i="28"/>
  <c r="Q232" i="28"/>
  <c r="P233" i="28"/>
  <c r="Q233" i="28"/>
  <c r="P234" i="28"/>
  <c r="Q234" i="28"/>
  <c r="P235" i="28"/>
  <c r="Q235" i="28"/>
  <c r="P236" i="28"/>
  <c r="Q236" i="28"/>
  <c r="P237" i="28"/>
  <c r="Q237" i="28"/>
  <c r="P238" i="28"/>
  <c r="Q238" i="28"/>
  <c r="P239" i="28"/>
  <c r="Q239" i="28"/>
  <c r="P240" i="28"/>
  <c r="Q240" i="28"/>
  <c r="P241" i="28"/>
  <c r="Q241" i="28"/>
  <c r="P242" i="28"/>
  <c r="Q242" i="28"/>
  <c r="P243" i="28"/>
  <c r="Q243" i="28"/>
  <c r="P244" i="28"/>
  <c r="Q244" i="28"/>
  <c r="P245" i="28"/>
  <c r="Q245" i="28"/>
  <c r="P246" i="28"/>
  <c r="Q246" i="28"/>
  <c r="P247" i="28"/>
  <c r="Q247" i="28"/>
  <c r="P248" i="28"/>
  <c r="Q248" i="28"/>
  <c r="P249" i="28"/>
  <c r="Q249" i="28"/>
  <c r="P250" i="28"/>
  <c r="Q250" i="28"/>
  <c r="P251" i="28"/>
  <c r="Q251" i="28"/>
  <c r="P252" i="28"/>
  <c r="Q252" i="28"/>
  <c r="P253" i="28"/>
  <c r="Q253" i="28"/>
  <c r="P254" i="28"/>
  <c r="Q254" i="28"/>
  <c r="P255" i="28"/>
  <c r="Q255" i="28"/>
  <c r="P256" i="28"/>
  <c r="Q256" i="28"/>
  <c r="P257" i="28"/>
  <c r="Q257" i="28"/>
  <c r="P258" i="28"/>
  <c r="Q258" i="28"/>
  <c r="P259" i="28"/>
  <c r="Q259" i="28"/>
  <c r="P260" i="28"/>
  <c r="Q260" i="28"/>
  <c r="P261" i="28"/>
  <c r="Q261" i="28"/>
  <c r="P262" i="28"/>
  <c r="Q262" i="28"/>
  <c r="P263" i="28"/>
  <c r="Q263" i="28"/>
  <c r="P264" i="28"/>
  <c r="Q264" i="28"/>
  <c r="P265" i="28"/>
  <c r="Q265" i="28"/>
  <c r="P266" i="28"/>
  <c r="Q266" i="28"/>
  <c r="P267" i="28"/>
  <c r="Q267" i="28"/>
  <c r="P268" i="28"/>
  <c r="Q268" i="28"/>
  <c r="P269" i="28"/>
  <c r="Q269" i="28"/>
  <c r="P270" i="28"/>
  <c r="Q270" i="28"/>
  <c r="P271" i="28"/>
  <c r="Q271" i="28"/>
  <c r="P272" i="28"/>
  <c r="Q272" i="28"/>
  <c r="P273" i="28"/>
  <c r="Q273" i="28"/>
  <c r="P274" i="28"/>
  <c r="Q274" i="28"/>
  <c r="P275" i="28"/>
  <c r="Q275" i="28"/>
  <c r="P276" i="28"/>
  <c r="Q276" i="28"/>
  <c r="P277" i="28"/>
  <c r="Q277" i="28"/>
  <c r="P278" i="28"/>
  <c r="Q278" i="28"/>
  <c r="P279" i="28"/>
  <c r="Q279" i="28"/>
  <c r="P280" i="28"/>
  <c r="Q280" i="28"/>
  <c r="P281" i="28"/>
  <c r="Q281" i="28"/>
  <c r="P282" i="28"/>
  <c r="Q282" i="28"/>
  <c r="P283" i="28"/>
  <c r="Q283" i="28"/>
  <c r="P284" i="28"/>
  <c r="Q284" i="28"/>
  <c r="P285" i="28"/>
  <c r="Q285" i="28"/>
  <c r="P286" i="28"/>
  <c r="Q286" i="28"/>
  <c r="P287" i="28"/>
  <c r="Q287" i="28"/>
  <c r="P288" i="28"/>
  <c r="Q288" i="28"/>
  <c r="P289" i="28"/>
  <c r="Q289" i="28"/>
  <c r="P290" i="28"/>
  <c r="Q290" i="28"/>
  <c r="P291" i="28"/>
  <c r="Q291" i="28"/>
  <c r="P292" i="28"/>
  <c r="Q292" i="28"/>
  <c r="P293" i="28"/>
  <c r="Q293" i="28"/>
  <c r="P294" i="28"/>
  <c r="Q294" i="28"/>
  <c r="P295" i="28"/>
  <c r="Q295" i="28"/>
  <c r="P296" i="28"/>
  <c r="Q296" i="28"/>
  <c r="P297" i="28"/>
  <c r="Q297" i="28"/>
  <c r="P298" i="28"/>
  <c r="Q298" i="28"/>
  <c r="P299" i="28"/>
  <c r="Q299" i="28"/>
  <c r="P300" i="28"/>
  <c r="Q300" i="28"/>
  <c r="P301" i="28"/>
  <c r="Q301" i="28"/>
  <c r="P302" i="28"/>
  <c r="Q302" i="28"/>
  <c r="P303" i="28"/>
  <c r="Q303" i="28"/>
  <c r="P304" i="28"/>
  <c r="Q304" i="28"/>
  <c r="P305" i="28"/>
  <c r="Q305" i="28"/>
  <c r="P306" i="28"/>
  <c r="Q306" i="28"/>
  <c r="P307" i="28"/>
  <c r="Q307" i="28"/>
  <c r="P308" i="28"/>
  <c r="Q308" i="28"/>
  <c r="P309" i="28"/>
  <c r="Q309" i="28"/>
  <c r="P310" i="28"/>
  <c r="Q310" i="28"/>
  <c r="P311" i="28"/>
  <c r="Q311" i="28"/>
  <c r="P312" i="28"/>
  <c r="Q312" i="28"/>
  <c r="P313" i="28"/>
  <c r="Q313" i="28"/>
  <c r="P314" i="28"/>
  <c r="Q314" i="28"/>
  <c r="P315" i="28"/>
  <c r="Q315" i="28"/>
  <c r="P316" i="28"/>
  <c r="Q316" i="28"/>
  <c r="P317" i="28"/>
  <c r="Q317" i="28"/>
  <c r="P318" i="28"/>
  <c r="Q318" i="28"/>
  <c r="P319" i="28"/>
  <c r="Q319" i="28"/>
  <c r="P320" i="28"/>
  <c r="Q320" i="28"/>
  <c r="P321" i="28"/>
  <c r="Q321" i="28"/>
  <c r="P322" i="28"/>
  <c r="Q322" i="28"/>
  <c r="P323" i="28"/>
  <c r="Q323" i="28"/>
  <c r="P324" i="28"/>
  <c r="Q324" i="28"/>
  <c r="P325" i="28"/>
  <c r="Q325" i="28"/>
  <c r="P326" i="28"/>
  <c r="Q326" i="28"/>
  <c r="P327" i="28"/>
  <c r="Q327" i="28"/>
  <c r="P328" i="28"/>
  <c r="Q328" i="28"/>
  <c r="P329" i="28"/>
  <c r="Q329" i="28"/>
  <c r="P330" i="28"/>
  <c r="Q330" i="28"/>
  <c r="P331" i="28"/>
  <c r="Q331" i="28"/>
  <c r="P332" i="28"/>
  <c r="Q332" i="28"/>
  <c r="P347" i="28"/>
  <c r="Q347" i="28"/>
  <c r="P348" i="28"/>
  <c r="Q348" i="28"/>
  <c r="P349" i="28"/>
  <c r="Q349" i="28"/>
  <c r="P350" i="28"/>
  <c r="Q350" i="28"/>
  <c r="P351" i="28"/>
  <c r="Q351" i="28"/>
  <c r="P352" i="28"/>
  <c r="Q352" i="28"/>
  <c r="P353" i="28"/>
  <c r="Q353" i="28"/>
  <c r="P354" i="28"/>
  <c r="Q354" i="28"/>
  <c r="P355" i="28"/>
  <c r="Q355" i="28"/>
  <c r="P356" i="28"/>
  <c r="Q356" i="28"/>
  <c r="P357" i="28"/>
  <c r="Q357" i="28"/>
  <c r="P358" i="28"/>
  <c r="Q358" i="28"/>
  <c r="P359" i="28"/>
  <c r="Q359" i="28"/>
  <c r="P360" i="28"/>
  <c r="Q360" i="28"/>
  <c r="P361" i="28"/>
  <c r="Q361" i="28"/>
  <c r="P362" i="28"/>
  <c r="Q362" i="28"/>
  <c r="P363" i="28"/>
  <c r="Q363" i="28"/>
  <c r="P364" i="28"/>
  <c r="Q364" i="28"/>
  <c r="P365" i="28"/>
  <c r="Q365" i="28"/>
  <c r="P366" i="28"/>
  <c r="Q366" i="28"/>
  <c r="P367" i="28"/>
  <c r="Q367" i="28"/>
  <c r="P368" i="28"/>
  <c r="Q368" i="28"/>
  <c r="P369" i="28"/>
  <c r="Q369" i="28"/>
  <c r="P370" i="28"/>
  <c r="Q370" i="28"/>
  <c r="P371" i="28"/>
  <c r="Q371" i="28"/>
  <c r="P372" i="28"/>
  <c r="Q372" i="28"/>
  <c r="P373" i="28"/>
  <c r="Q373" i="28"/>
  <c r="P374" i="28"/>
  <c r="Q374" i="28"/>
  <c r="P375" i="28"/>
  <c r="Q375" i="28"/>
  <c r="P376" i="28"/>
  <c r="Q376" i="28"/>
  <c r="P377" i="28"/>
  <c r="Q377" i="28"/>
  <c r="P378" i="28"/>
  <c r="Q378" i="28"/>
  <c r="P379" i="28"/>
  <c r="Q379" i="28"/>
  <c r="P380" i="28"/>
  <c r="Q380" i="28"/>
  <c r="P381" i="28"/>
  <c r="Q381" i="28"/>
  <c r="P382" i="28"/>
  <c r="Q382" i="28"/>
  <c r="P383" i="28"/>
  <c r="Q383" i="28"/>
  <c r="P384" i="28"/>
  <c r="Q384" i="28"/>
  <c r="P385" i="28"/>
  <c r="Q385" i="28"/>
  <c r="P386" i="28"/>
  <c r="Q386" i="28"/>
  <c r="P387" i="28"/>
  <c r="Q387" i="28"/>
  <c r="P388" i="28"/>
  <c r="Q388" i="28"/>
  <c r="P389" i="28"/>
  <c r="Q389" i="28"/>
  <c r="P390" i="28"/>
  <c r="Q390" i="28"/>
  <c r="P391" i="28"/>
  <c r="Q391" i="28"/>
  <c r="P392" i="28"/>
  <c r="Q392" i="28"/>
  <c r="P393" i="28"/>
  <c r="Q393" i="28"/>
  <c r="P394" i="28"/>
  <c r="Q394" i="28"/>
  <c r="P395" i="28"/>
  <c r="Q395" i="28"/>
  <c r="P396" i="28"/>
  <c r="Q396" i="28"/>
  <c r="P397" i="28"/>
  <c r="Q397" i="28"/>
  <c r="P398" i="28"/>
  <c r="Q398" i="28"/>
  <c r="P399" i="28"/>
  <c r="Q399" i="28"/>
  <c r="P400" i="28"/>
  <c r="Q400" i="28"/>
  <c r="P401" i="28"/>
  <c r="Q401" i="28"/>
  <c r="P402" i="28"/>
  <c r="Q402" i="28"/>
  <c r="P403" i="28"/>
  <c r="Q403" i="28"/>
  <c r="P404" i="28"/>
  <c r="Q404" i="28"/>
  <c r="P405" i="28"/>
  <c r="Q405" i="28"/>
  <c r="P406" i="28"/>
  <c r="Q406" i="28"/>
  <c r="P407" i="28"/>
  <c r="Q407" i="28"/>
  <c r="P408" i="28"/>
  <c r="Q408" i="28"/>
  <c r="P409" i="28"/>
  <c r="Q409" i="28"/>
  <c r="P410" i="28"/>
  <c r="Q410" i="28"/>
  <c r="P411" i="28"/>
  <c r="Q411" i="28"/>
  <c r="P412" i="28"/>
  <c r="Q412" i="28"/>
  <c r="P413" i="28"/>
  <c r="Q413" i="28"/>
  <c r="P414" i="28"/>
  <c r="Q414" i="28"/>
  <c r="P415" i="28"/>
  <c r="Q415" i="28"/>
  <c r="P416" i="28"/>
  <c r="Q416" i="28"/>
  <c r="P417" i="28"/>
  <c r="Q417" i="28"/>
  <c r="P418" i="28"/>
  <c r="Q418" i="28"/>
  <c r="P419" i="28"/>
  <c r="Q419" i="28"/>
  <c r="P420" i="28"/>
  <c r="Q420" i="28"/>
  <c r="P421" i="28"/>
  <c r="Q421" i="28"/>
  <c r="P422" i="28"/>
  <c r="Q422" i="28"/>
  <c r="P423" i="28"/>
  <c r="Q423" i="28"/>
  <c r="P424" i="28"/>
  <c r="Q424" i="28"/>
  <c r="P425" i="28"/>
  <c r="Q425" i="28"/>
  <c r="P426" i="28"/>
  <c r="Q426" i="28"/>
  <c r="P427" i="28"/>
  <c r="Q427" i="28"/>
  <c r="P428" i="28"/>
  <c r="Q428" i="28"/>
  <c r="P429" i="28"/>
  <c r="Q429" i="28"/>
  <c r="P430" i="28"/>
  <c r="Q430" i="28"/>
  <c r="P431" i="28"/>
  <c r="Q431" i="28"/>
  <c r="P432" i="28"/>
  <c r="Q432" i="28"/>
  <c r="P433" i="28"/>
  <c r="Q433" i="28"/>
  <c r="P434" i="28"/>
  <c r="Q434" i="28"/>
  <c r="P435" i="28"/>
  <c r="Q435" i="28"/>
  <c r="P436" i="28"/>
  <c r="Q436" i="28"/>
  <c r="P333" i="28"/>
  <c r="Q333" i="28"/>
  <c r="P334" i="28"/>
  <c r="Q334" i="28"/>
  <c r="P335" i="28"/>
  <c r="Q335" i="28"/>
  <c r="P336" i="28"/>
  <c r="Q336" i="28"/>
  <c r="P337" i="28"/>
  <c r="Q337" i="28"/>
  <c r="P338" i="28"/>
  <c r="Q338" i="28"/>
  <c r="P339" i="28"/>
  <c r="Q339" i="28"/>
  <c r="P340" i="28"/>
  <c r="Q340" i="28"/>
  <c r="P341" i="28"/>
  <c r="Q341" i="28"/>
  <c r="P342" i="28"/>
  <c r="Q342" i="28"/>
  <c r="P343" i="28"/>
  <c r="Q343" i="28"/>
  <c r="P344" i="28"/>
  <c r="Q344" i="28"/>
  <c r="P345" i="28"/>
  <c r="Q345" i="28"/>
  <c r="P346" i="28"/>
  <c r="Q346" i="28"/>
  <c r="P437" i="28"/>
  <c r="Q437" i="28"/>
  <c r="P438" i="28"/>
  <c r="Q438" i="28"/>
  <c r="P439" i="28"/>
  <c r="Q439" i="28"/>
  <c r="P440" i="28"/>
  <c r="Q440" i="28"/>
  <c r="P441" i="28"/>
  <c r="Q441" i="28"/>
  <c r="P442" i="28"/>
  <c r="Q442" i="28"/>
  <c r="P443" i="28"/>
  <c r="Q443" i="28"/>
  <c r="P444" i="28"/>
  <c r="Q444" i="28"/>
  <c r="P445" i="28"/>
  <c r="Q445" i="28"/>
  <c r="P446" i="28"/>
  <c r="Q446" i="28"/>
  <c r="P447" i="28"/>
  <c r="Q447" i="28"/>
  <c r="P448" i="28"/>
  <c r="Q448" i="28"/>
  <c r="P449" i="28"/>
  <c r="Q449" i="28"/>
  <c r="P450" i="28"/>
  <c r="Q450" i="28"/>
  <c r="P451" i="28"/>
  <c r="Q451" i="28"/>
  <c r="P452" i="28"/>
  <c r="Q452" i="28"/>
  <c r="P453" i="28"/>
  <c r="Q453" i="28"/>
  <c r="P454" i="28"/>
  <c r="Q454" i="28"/>
  <c r="P455" i="28"/>
  <c r="Q455" i="28"/>
  <c r="P456" i="28"/>
  <c r="Q456" i="28"/>
  <c r="P457" i="28"/>
  <c r="Q457" i="28"/>
  <c r="P458" i="28"/>
  <c r="Q458" i="28"/>
  <c r="P459" i="28"/>
  <c r="Q459" i="28"/>
  <c r="P460" i="28"/>
  <c r="Q460" i="28"/>
  <c r="P461" i="28"/>
  <c r="Q461" i="28"/>
  <c r="P462" i="28"/>
  <c r="Q462" i="28"/>
  <c r="P463" i="28"/>
  <c r="Q463" i="28"/>
  <c r="P464" i="28"/>
  <c r="Q464" i="28"/>
  <c r="P465" i="28"/>
  <c r="Q465" i="28"/>
  <c r="P466" i="28"/>
  <c r="Q466" i="28"/>
  <c r="P467" i="28"/>
  <c r="Q467" i="28"/>
  <c r="P468" i="28"/>
  <c r="Q468" i="28"/>
  <c r="P469" i="28"/>
  <c r="Q469" i="28"/>
  <c r="P470" i="28"/>
  <c r="Q470" i="28"/>
  <c r="P471" i="28"/>
  <c r="Q471" i="28"/>
  <c r="P472" i="28"/>
  <c r="Q472" i="28"/>
  <c r="P473" i="28"/>
  <c r="Q473" i="28"/>
  <c r="P474" i="28"/>
  <c r="Q474" i="28"/>
  <c r="P475" i="28"/>
  <c r="Q475" i="28"/>
  <c r="P476" i="28"/>
  <c r="Q476" i="28"/>
  <c r="P477" i="28"/>
  <c r="Q477" i="28"/>
  <c r="P478" i="28"/>
  <c r="Q478" i="28"/>
  <c r="P479" i="28"/>
  <c r="Q479" i="28"/>
  <c r="P480" i="28"/>
  <c r="Q480" i="28"/>
  <c r="P481" i="28"/>
  <c r="Q481" i="28"/>
  <c r="P482" i="28"/>
  <c r="Q482" i="28"/>
  <c r="P483" i="28"/>
  <c r="Q483" i="28"/>
  <c r="P484" i="28"/>
  <c r="Q484" i="28"/>
  <c r="P485" i="28"/>
  <c r="Q485" i="28"/>
  <c r="P486" i="28"/>
  <c r="Q486" i="28"/>
  <c r="P487" i="28"/>
  <c r="Q487" i="28"/>
  <c r="P488" i="28"/>
  <c r="Q488" i="28"/>
  <c r="P489" i="28"/>
  <c r="Q489" i="28"/>
  <c r="P490" i="28"/>
  <c r="Q490" i="28"/>
  <c r="P491" i="28"/>
  <c r="Q491" i="28"/>
  <c r="P492" i="28"/>
  <c r="Q492" i="28"/>
  <c r="P493" i="28"/>
  <c r="Q493" i="28"/>
  <c r="P494" i="28"/>
  <c r="Q494" i="28"/>
  <c r="P495" i="28"/>
  <c r="Q495" i="28"/>
  <c r="P496" i="28"/>
  <c r="Q496" i="28"/>
  <c r="P497" i="28"/>
  <c r="Q497" i="28"/>
  <c r="P498" i="28"/>
  <c r="Q498" i="28"/>
  <c r="P499" i="28"/>
  <c r="Q499" i="28"/>
  <c r="P500" i="28"/>
  <c r="Q500" i="28"/>
  <c r="P501" i="28"/>
  <c r="Q501" i="28"/>
  <c r="P502" i="28"/>
  <c r="Q502" i="28"/>
  <c r="P503" i="28"/>
  <c r="Q503" i="28"/>
  <c r="P504" i="28"/>
  <c r="Q504" i="28"/>
  <c r="P505" i="28"/>
  <c r="Q505" i="28"/>
  <c r="P27" i="28"/>
  <c r="Q27" i="28"/>
  <c r="P26" i="28"/>
  <c r="Z39" i="35"/>
  <c r="I86" i="41"/>
  <c r="X32" i="35"/>
  <c r="I32" i="35"/>
  <c r="F94" i="43"/>
  <c r="Y32" i="35"/>
  <c r="X140" i="35"/>
  <c r="I140" i="35"/>
  <c r="X138" i="35"/>
  <c r="I138" i="35"/>
  <c r="X137" i="35"/>
  <c r="I137" i="35"/>
  <c r="X136" i="35"/>
  <c r="I136" i="35"/>
  <c r="X130" i="35"/>
  <c r="I130" i="35"/>
  <c r="X122" i="35"/>
  <c r="I122" i="35"/>
  <c r="X110" i="35"/>
  <c r="I110" i="35"/>
  <c r="X33" i="35"/>
  <c r="I33" i="35"/>
  <c r="I22" i="35"/>
  <c r="I21" i="35"/>
  <c r="I30" i="35"/>
  <c r="H341" i="41"/>
  <c r="H351" i="41"/>
  <c r="F351" i="41"/>
  <c r="H340" i="41"/>
  <c r="F340" i="41"/>
  <c r="X92" i="35"/>
  <c r="I92" i="35"/>
  <c r="I82" i="35"/>
  <c r="X89" i="35"/>
  <c r="I89" i="35"/>
  <c r="J87" i="35"/>
  <c r="I87" i="35"/>
  <c r="X37" i="35"/>
  <c r="I37" i="35"/>
  <c r="X71" i="35"/>
  <c r="I71" i="35"/>
  <c r="X67" i="35"/>
  <c r="I67" i="35"/>
  <c r="Z65" i="35"/>
  <c r="I65" i="35"/>
  <c r="X61" i="35"/>
  <c r="I61" i="35"/>
  <c r="Y57" i="35"/>
  <c r="I57" i="35"/>
  <c r="X49" i="35"/>
  <c r="I49" i="35"/>
  <c r="X47" i="35"/>
  <c r="I47" i="35"/>
  <c r="I29" i="35"/>
  <c r="I25" i="35"/>
  <c r="I28" i="35"/>
  <c r="K340" i="41"/>
  <c r="K351" i="41"/>
  <c r="I340" i="41"/>
  <c r="I351" i="41"/>
  <c r="X98" i="35"/>
  <c r="I98" i="35"/>
  <c r="X38" i="35"/>
  <c r="I38" i="35"/>
  <c r="I24" i="35"/>
  <c r="I18" i="35"/>
  <c r="K30" i="45"/>
  <c r="H30" i="45"/>
  <c r="J16" i="45"/>
  <c r="H17" i="45"/>
  <c r="V220" i="58"/>
  <c r="D220" i="58"/>
  <c r="C220" i="58"/>
  <c r="AG220" i="58"/>
  <c r="V218" i="58"/>
  <c r="D218" i="58"/>
  <c r="C218" i="58"/>
  <c r="AG218" i="58"/>
  <c r="V216" i="58"/>
  <c r="D216" i="58"/>
  <c r="C216" i="58"/>
  <c r="AG216" i="58"/>
  <c r="V214" i="58"/>
  <c r="D214" i="58"/>
  <c r="C214" i="58"/>
  <c r="AG214" i="58"/>
  <c r="D212" i="58"/>
  <c r="C212" i="58"/>
  <c r="AG212" i="58"/>
  <c r="D210" i="58"/>
  <c r="C210" i="58"/>
  <c r="AG210" i="58"/>
  <c r="D208" i="58"/>
  <c r="C208" i="58"/>
  <c r="AG208" i="58"/>
  <c r="D206" i="58"/>
  <c r="C206" i="58"/>
  <c r="AG206" i="58"/>
  <c r="D204" i="58"/>
  <c r="C204" i="58"/>
  <c r="AG204" i="58"/>
  <c r="D202" i="58"/>
  <c r="C202" i="58"/>
  <c r="AG202" i="58"/>
  <c r="D200" i="58"/>
  <c r="C200" i="58"/>
  <c r="AG200" i="58"/>
  <c r="D198" i="58"/>
  <c r="C198" i="58"/>
  <c r="AG198" i="58"/>
  <c r="D196" i="58"/>
  <c r="C196" i="58"/>
  <c r="AG196" i="58"/>
  <c r="D194" i="58"/>
  <c r="C194" i="58"/>
  <c r="AG194" i="58"/>
  <c r="D192" i="58"/>
  <c r="C192" i="58"/>
  <c r="AG192" i="58"/>
  <c r="D190" i="58"/>
  <c r="C190" i="58"/>
  <c r="AG190" i="58"/>
  <c r="D188" i="58"/>
  <c r="C188" i="58"/>
  <c r="AG188" i="58"/>
  <c r="D186" i="58"/>
  <c r="C186" i="58"/>
  <c r="AG186" i="58"/>
  <c r="V219" i="58"/>
  <c r="D219" i="58"/>
  <c r="C219" i="58"/>
  <c r="AG219" i="58"/>
  <c r="V217" i="58"/>
  <c r="C217" i="58"/>
  <c r="AG217" i="58"/>
  <c r="D217" i="58"/>
  <c r="V215" i="58"/>
  <c r="D215" i="58"/>
  <c r="C215" i="58"/>
  <c r="AG215" i="58"/>
  <c r="C213" i="58"/>
  <c r="AG213" i="58"/>
  <c r="D213" i="58"/>
  <c r="D211" i="58"/>
  <c r="C211" i="58"/>
  <c r="AG211" i="58"/>
  <c r="C209" i="58"/>
  <c r="AG209" i="58"/>
  <c r="D209" i="58"/>
  <c r="D207" i="58"/>
  <c r="C207" i="58"/>
  <c r="AG207" i="58"/>
  <c r="C205" i="58"/>
  <c r="AG205" i="58"/>
  <c r="D205" i="58"/>
  <c r="D203" i="58"/>
  <c r="C203" i="58"/>
  <c r="AG203" i="58"/>
  <c r="C201" i="58"/>
  <c r="AG201" i="58"/>
  <c r="D201" i="58"/>
  <c r="D199" i="58"/>
  <c r="C199" i="58"/>
  <c r="AG199" i="58"/>
  <c r="C197" i="58"/>
  <c r="AG197" i="58"/>
  <c r="D197" i="58"/>
  <c r="D195" i="58"/>
  <c r="C195" i="58"/>
  <c r="AG195" i="58"/>
  <c r="C193" i="58"/>
  <c r="AG193" i="58"/>
  <c r="D193" i="58"/>
  <c r="D191" i="58"/>
  <c r="C191" i="58"/>
  <c r="AG191" i="58"/>
  <c r="C189" i="58"/>
  <c r="AG189" i="58"/>
  <c r="D189" i="58"/>
  <c r="D187" i="58"/>
  <c r="C187" i="58"/>
  <c r="AG187" i="58"/>
  <c r="C185" i="58"/>
  <c r="AG185" i="58"/>
  <c r="D185" i="58"/>
  <c r="H6" i="28"/>
  <c r="H88" i="41"/>
  <c r="D92" i="2"/>
  <c r="C2" i="30"/>
  <c r="I64" i="2"/>
  <c r="I63" i="2"/>
  <c r="A62" i="41"/>
  <c r="H34" i="48"/>
  <c r="C336" i="41"/>
  <c r="I65" i="2"/>
  <c r="K334" i="41"/>
  <c r="M340" i="41"/>
  <c r="K320" i="41"/>
  <c r="I60" i="2"/>
  <c r="G5" i="50"/>
  <c r="H68" i="2"/>
  <c r="F347" i="41"/>
  <c r="F32" i="48"/>
  <c r="E30" i="2"/>
  <c r="M28" i="45"/>
  <c r="M351" i="41"/>
  <c r="A59" i="41"/>
  <c r="F68" i="2"/>
  <c r="E137" i="41"/>
  <c r="F348" i="41"/>
  <c r="C137" i="41"/>
  <c r="E197" i="41"/>
  <c r="M5" i="50"/>
  <c r="D137" i="41"/>
  <c r="C138" i="41"/>
  <c r="E138" i="41"/>
  <c r="F5" i="22"/>
  <c r="D320" i="41"/>
  <c r="X124" i="58"/>
  <c r="U124" i="58"/>
  <c r="F72" i="59"/>
  <c r="F73" i="59"/>
  <c r="F74" i="59"/>
  <c r="F75" i="59"/>
  <c r="V136" i="58"/>
  <c r="F76" i="59"/>
  <c r="F77" i="59"/>
  <c r="F78" i="59"/>
  <c r="F79" i="59"/>
  <c r="F80" i="59"/>
  <c r="F81" i="59"/>
  <c r="F82" i="59"/>
  <c r="F83" i="59"/>
  <c r="F84" i="59"/>
  <c r="F85" i="59"/>
  <c r="F86" i="59"/>
  <c r="F87" i="59"/>
  <c r="F88" i="59"/>
  <c r="F89" i="59"/>
  <c r="F90" i="59"/>
  <c r="F91" i="59"/>
  <c r="F92" i="59"/>
  <c r="F93" i="59"/>
  <c r="F94" i="59"/>
  <c r="F95" i="59"/>
  <c r="F96" i="59"/>
  <c r="F97" i="59"/>
  <c r="F98" i="59"/>
  <c r="F99" i="59"/>
  <c r="F100" i="59"/>
  <c r="F101" i="59"/>
  <c r="F102" i="59"/>
  <c r="F103" i="59"/>
  <c r="F104" i="59"/>
  <c r="F105" i="59"/>
  <c r="F106" i="59"/>
  <c r="F107" i="59"/>
  <c r="F108" i="59"/>
  <c r="F109" i="59"/>
  <c r="F110" i="59"/>
  <c r="F111" i="59"/>
  <c r="V183" i="58"/>
  <c r="S9" i="30"/>
  <c r="I55" i="48"/>
  <c r="E35" i="2"/>
  <c r="J15" i="45"/>
  <c r="M15" i="45"/>
  <c r="C333" i="41"/>
  <c r="F196" i="41"/>
  <c r="C2" i="45"/>
  <c r="H55" i="48"/>
  <c r="R28" i="45"/>
  <c r="J28" i="45"/>
  <c r="C3" i="30"/>
  <c r="J20" i="22"/>
  <c r="G3" i="30"/>
  <c r="J50" i="2"/>
  <c r="I61" i="2"/>
  <c r="C1" i="30"/>
  <c r="P16" i="45"/>
  <c r="P18" i="45"/>
  <c r="K18" i="45"/>
  <c r="F333" i="41"/>
  <c r="R15" i="45"/>
  <c r="P338" i="41"/>
  <c r="J64" i="22"/>
  <c r="M16" i="45"/>
  <c r="E32" i="48"/>
  <c r="K5" i="22"/>
  <c r="J374" i="41"/>
  <c r="E175" i="41"/>
  <c r="C174" i="41"/>
  <c r="G87" i="41"/>
  <c r="N4" i="28"/>
  <c r="A63" i="41"/>
  <c r="C3" i="45"/>
  <c r="I34" i="48"/>
  <c r="E32" i="2"/>
  <c r="A64" i="41"/>
  <c r="C344" i="41"/>
  <c r="C345" i="41"/>
  <c r="C348" i="41"/>
  <c r="Q25" i="28"/>
  <c r="Q20" i="28"/>
  <c r="A66" i="22"/>
  <c r="H66" i="22"/>
  <c r="A220" i="58"/>
  <c r="A214" i="58"/>
  <c r="A210" i="58"/>
  <c r="A206" i="58"/>
  <c r="A200" i="58"/>
  <c r="A196" i="58"/>
  <c r="A192" i="58"/>
  <c r="A186" i="58"/>
  <c r="A219" i="58"/>
  <c r="A217" i="58"/>
  <c r="A215" i="58"/>
  <c r="A213" i="58"/>
  <c r="A211" i="58"/>
  <c r="A209" i="58"/>
  <c r="A207" i="58"/>
  <c r="A205" i="58"/>
  <c r="A203" i="58"/>
  <c r="A201" i="58"/>
  <c r="A199" i="58"/>
  <c r="A197" i="58"/>
  <c r="A195" i="58"/>
  <c r="A193" i="58"/>
  <c r="A191" i="58"/>
  <c r="A189" i="58"/>
  <c r="A187" i="58"/>
  <c r="A185" i="58"/>
  <c r="A218" i="58"/>
  <c r="A216" i="58"/>
  <c r="A212" i="58"/>
  <c r="A208" i="58"/>
  <c r="A204" i="58"/>
  <c r="A202" i="58"/>
  <c r="A198" i="58"/>
  <c r="A194" i="58"/>
  <c r="A190" i="58"/>
  <c r="A188" i="58"/>
  <c r="E6" i="50"/>
  <c r="H68" i="22"/>
  <c r="H69" i="22"/>
  <c r="H67" i="22"/>
  <c r="H352" i="41"/>
  <c r="H333" i="41"/>
  <c r="K88" i="41"/>
  <c r="H334" i="41"/>
  <c r="J87" i="41"/>
  <c r="I136" i="41"/>
  <c r="K87" i="41"/>
  <c r="E333" i="41"/>
  <c r="C334" i="41"/>
  <c r="E334" i="41"/>
  <c r="F336" i="41"/>
  <c r="F343" i="41"/>
  <c r="F344" i="41"/>
  <c r="F352" i="41"/>
  <c r="F345" i="41"/>
  <c r="I196" i="41"/>
  <c r="C175" i="41"/>
  <c r="G365" i="41"/>
  <c r="I173" i="41"/>
  <c r="C347" i="41"/>
  <c r="F341" i="41"/>
  <c r="F337" i="41"/>
  <c r="F334" i="41"/>
  <c r="I87" i="41"/>
  <c r="I94" i="41"/>
  <c r="C6" i="50"/>
  <c r="H16" i="22"/>
  <c r="H15" i="22"/>
  <c r="H14" i="22"/>
  <c r="K17" i="45"/>
  <c r="V17" i="45"/>
  <c r="V4" i="45"/>
  <c r="CC16" i="58"/>
  <c r="H12" i="2"/>
  <c r="I11" i="49"/>
  <c r="O236" i="41"/>
  <c r="F79" i="48"/>
  <c r="E79" i="48"/>
  <c r="L88" i="41"/>
  <c r="O292" i="41"/>
  <c r="S214" i="30"/>
  <c r="L292" i="41"/>
  <c r="L264" i="41"/>
  <c r="I23" i="48"/>
  <c r="E33" i="2"/>
  <c r="L374" i="41"/>
  <c r="L214" i="30"/>
  <c r="L508" i="28"/>
  <c r="M21" i="28"/>
  <c r="J11" i="22"/>
  <c r="I366" i="41"/>
  <c r="I11" i="22"/>
  <c r="S114" i="30"/>
  <c r="O475" i="41"/>
  <c r="O250" i="41"/>
  <c r="O278" i="41"/>
  <c r="O366" i="41"/>
  <c r="I88" i="41"/>
  <c r="F22" i="59"/>
  <c r="I73" i="22"/>
  <c r="J73" i="22"/>
  <c r="O11" i="22"/>
  <c r="L250" i="41"/>
  <c r="L236" i="41"/>
  <c r="J214" i="30"/>
  <c r="E38" i="43"/>
  <c r="I345" i="41"/>
  <c r="I337" i="41"/>
  <c r="I341" i="41"/>
  <c r="I334" i="41"/>
  <c r="K352" i="41"/>
  <c r="I347" i="41"/>
  <c r="K341" i="41"/>
  <c r="I333" i="41"/>
  <c r="I336" i="41"/>
  <c r="I348" i="41"/>
  <c r="I352" i="41"/>
  <c r="I344" i="41"/>
  <c r="K333" i="41"/>
  <c r="F88" i="43"/>
  <c r="H88" i="43"/>
  <c r="H24" i="43"/>
  <c r="G24" i="43"/>
  <c r="F23" i="43"/>
  <c r="C319" i="41"/>
  <c r="D319" i="41"/>
  <c r="I197" i="41"/>
  <c r="K197" i="41"/>
  <c r="I198" i="41"/>
  <c r="J198" i="41"/>
  <c r="I138" i="41"/>
  <c r="I137" i="41"/>
  <c r="J138" i="41"/>
  <c r="J137" i="41"/>
  <c r="G88" i="41"/>
  <c r="F87" i="41"/>
  <c r="F94" i="41"/>
  <c r="F136" i="41"/>
  <c r="H87" i="41"/>
  <c r="F86" i="41"/>
  <c r="F173" i="41"/>
  <c r="E6" i="22"/>
  <c r="AM103" i="43"/>
  <c r="D6" i="22"/>
  <c r="AM37" i="43"/>
  <c r="B6" i="50"/>
  <c r="G305" i="41"/>
  <c r="G28" i="43"/>
  <c r="D28" i="43"/>
  <c r="R28" i="43"/>
  <c r="H17" i="43"/>
  <c r="R17" i="43"/>
  <c r="D17" i="43"/>
  <c r="O20" i="35"/>
  <c r="X20" i="35"/>
  <c r="H10" i="30"/>
  <c r="I9" i="30"/>
  <c r="N9" i="30"/>
  <c r="M9" i="30"/>
  <c r="J9" i="30"/>
  <c r="R24" i="43"/>
  <c r="D24" i="43"/>
  <c r="H23" i="43"/>
  <c r="R23" i="43"/>
  <c r="D23" i="43"/>
  <c r="R38" i="43"/>
  <c r="D38" i="43"/>
  <c r="R22" i="43"/>
  <c r="D6" i="3"/>
  <c r="E13" i="3"/>
  <c r="R34" i="43"/>
  <c r="D34" i="43"/>
  <c r="R26" i="43"/>
  <c r="D26" i="43"/>
  <c r="H19" i="43"/>
  <c r="R19" i="43"/>
  <c r="D19" i="43"/>
  <c r="U32" i="43"/>
  <c r="R32" i="43"/>
  <c r="D32" i="43"/>
  <c r="D20" i="43"/>
  <c r="G79" i="35"/>
  <c r="O80" i="35"/>
  <c r="H30" i="43"/>
  <c r="R30" i="43"/>
  <c r="D30" i="43"/>
  <c r="R18" i="43"/>
  <c r="A582" i="41"/>
  <c r="M104" i="30"/>
  <c r="I104" i="30"/>
  <c r="M99" i="30"/>
  <c r="I99" i="30"/>
  <c r="M94" i="30"/>
  <c r="I94" i="30"/>
  <c r="M89" i="30"/>
  <c r="I89" i="30"/>
  <c r="M83" i="30"/>
  <c r="I83" i="30"/>
  <c r="M78" i="30"/>
  <c r="I78" i="30"/>
  <c r="M77" i="30"/>
  <c r="I77" i="30"/>
  <c r="M76" i="30"/>
  <c r="I76" i="30"/>
  <c r="I66" i="30"/>
  <c r="M66" i="30"/>
  <c r="M62" i="30"/>
  <c r="I62" i="30"/>
  <c r="M61" i="30"/>
  <c r="I61" i="30"/>
  <c r="M53" i="30"/>
  <c r="I53" i="30"/>
  <c r="M49" i="30"/>
  <c r="I49" i="30"/>
  <c r="M44" i="30"/>
  <c r="I44" i="30"/>
  <c r="M43" i="30"/>
  <c r="I43" i="30"/>
  <c r="M39" i="30"/>
  <c r="I39" i="30"/>
  <c r="I38" i="30"/>
  <c r="M38" i="30"/>
  <c r="M28" i="30"/>
  <c r="I28" i="30"/>
  <c r="M23" i="30"/>
  <c r="I23" i="30"/>
  <c r="M18" i="30"/>
  <c r="I18" i="30"/>
  <c r="M17" i="30"/>
  <c r="I17" i="30"/>
  <c r="M16" i="30"/>
  <c r="I16" i="30"/>
  <c r="M15" i="30"/>
  <c r="I15" i="30"/>
  <c r="M103" i="30"/>
  <c r="I103" i="30"/>
  <c r="I98" i="30"/>
  <c r="M98" i="30"/>
  <c r="M97" i="30"/>
  <c r="I97" i="30"/>
  <c r="M93" i="30"/>
  <c r="I93" i="30"/>
  <c r="M88" i="30"/>
  <c r="I88" i="30"/>
  <c r="M87" i="30"/>
  <c r="I87" i="30"/>
  <c r="I82" i="30"/>
  <c r="M82" i="30"/>
  <c r="M75" i="30"/>
  <c r="I75" i="30"/>
  <c r="M65" i="30"/>
  <c r="I65" i="30"/>
  <c r="M60" i="30"/>
  <c r="I60" i="30"/>
  <c r="M52" i="30"/>
  <c r="I52" i="30"/>
  <c r="M48" i="30"/>
  <c r="I48" i="30"/>
  <c r="M47" i="30"/>
  <c r="I47" i="30"/>
  <c r="M42" i="30"/>
  <c r="I42" i="30"/>
  <c r="M37" i="30"/>
  <c r="I37" i="30"/>
  <c r="M29" i="30"/>
  <c r="I29" i="30"/>
  <c r="M24" i="30"/>
  <c r="I24" i="30"/>
  <c r="M19" i="30"/>
  <c r="I19" i="30"/>
  <c r="M11" i="30"/>
  <c r="I11" i="30"/>
  <c r="M106" i="30"/>
  <c r="I106" i="30"/>
  <c r="M102" i="30"/>
  <c r="I102" i="30"/>
  <c r="M96" i="30"/>
  <c r="I96" i="30"/>
  <c r="M92" i="30"/>
  <c r="I92" i="30"/>
  <c r="M91" i="30"/>
  <c r="I91" i="30"/>
  <c r="M86" i="30"/>
  <c r="I86" i="30"/>
  <c r="M85" i="30"/>
  <c r="I85" i="30"/>
  <c r="M81" i="30"/>
  <c r="I81" i="30"/>
  <c r="M80" i="30"/>
  <c r="I80" i="30"/>
  <c r="M74" i="30"/>
  <c r="I74" i="30"/>
  <c r="M64" i="30"/>
  <c r="I64" i="30"/>
  <c r="M59" i="30"/>
  <c r="I59" i="30"/>
  <c r="M58" i="30"/>
  <c r="I58" i="30"/>
  <c r="M57" i="30"/>
  <c r="I57" i="30"/>
  <c r="M56" i="30"/>
  <c r="I56" i="30"/>
  <c r="M55" i="30"/>
  <c r="I55" i="30"/>
  <c r="M51" i="30"/>
  <c r="I51" i="30"/>
  <c r="M46" i="30"/>
  <c r="I46" i="30"/>
  <c r="M41" i="30"/>
  <c r="I41" i="30"/>
  <c r="M36" i="30"/>
  <c r="I36" i="30"/>
  <c r="M31" i="30"/>
  <c r="I31" i="30"/>
  <c r="M30" i="30"/>
  <c r="I30" i="30"/>
  <c r="M25" i="30"/>
  <c r="I25" i="30"/>
  <c r="M21" i="30"/>
  <c r="I21" i="30"/>
  <c r="M20" i="30"/>
  <c r="I20" i="30"/>
  <c r="M13" i="30"/>
  <c r="I13" i="30"/>
  <c r="M12" i="30"/>
  <c r="I12" i="30"/>
  <c r="M105" i="30"/>
  <c r="I105" i="30"/>
  <c r="M101" i="30"/>
  <c r="I101" i="30"/>
  <c r="M100" i="30"/>
  <c r="I100" i="30"/>
  <c r="M95" i="30"/>
  <c r="I95" i="30"/>
  <c r="M90" i="30"/>
  <c r="I90" i="30"/>
  <c r="M84" i="30"/>
  <c r="I84" i="30"/>
  <c r="M79" i="30"/>
  <c r="I79" i="30"/>
  <c r="M73" i="30"/>
  <c r="I73" i="30"/>
  <c r="M72" i="30"/>
  <c r="I72" i="30"/>
  <c r="M71" i="30"/>
  <c r="I71" i="30"/>
  <c r="M70" i="30"/>
  <c r="I70" i="30"/>
  <c r="M69" i="30"/>
  <c r="I69" i="30"/>
  <c r="M68" i="30"/>
  <c r="I68" i="30"/>
  <c r="M67" i="30"/>
  <c r="I67" i="30"/>
  <c r="M63" i="30"/>
  <c r="I63" i="30"/>
  <c r="I54" i="30"/>
  <c r="M54" i="30"/>
  <c r="I50" i="30"/>
  <c r="M50" i="30"/>
  <c r="M45" i="30"/>
  <c r="I45" i="30"/>
  <c r="M40" i="30"/>
  <c r="I40" i="30"/>
  <c r="M35" i="30"/>
  <c r="I35" i="30"/>
  <c r="M34" i="30"/>
  <c r="I34" i="30"/>
  <c r="M32" i="30"/>
  <c r="I32" i="30"/>
  <c r="M27" i="30"/>
  <c r="I27" i="30"/>
  <c r="I26" i="30"/>
  <c r="M26" i="30"/>
  <c r="I22" i="30"/>
  <c r="M22" i="30"/>
  <c r="M14" i="30"/>
  <c r="I14" i="30"/>
  <c r="O12" i="30"/>
  <c r="C374" i="41"/>
  <c r="C373" i="41"/>
  <c r="E475" i="41"/>
  <c r="K474" i="41"/>
  <c r="I473" i="41"/>
  <c r="I372" i="41"/>
  <c r="D474" i="41"/>
  <c r="F62" i="3"/>
  <c r="C136" i="49"/>
  <c r="K58" i="3"/>
  <c r="Y72" i="3"/>
  <c r="AA72" i="3"/>
  <c r="AB72" i="3"/>
  <c r="H68" i="43"/>
  <c r="U72" i="43"/>
  <c r="H70" i="43"/>
  <c r="K71" i="3"/>
  <c r="Y70" i="3"/>
  <c r="AA70" i="3"/>
  <c r="AB70" i="3"/>
  <c r="Y65" i="3"/>
  <c r="AA65" i="3"/>
  <c r="AB65" i="3"/>
  <c r="K60" i="3"/>
  <c r="E35" i="3"/>
  <c r="K35" i="3"/>
  <c r="E59" i="43"/>
  <c r="C197" i="49"/>
  <c r="E63" i="3"/>
  <c r="K63" i="3"/>
  <c r="Y39" i="3"/>
  <c r="AA39" i="3"/>
  <c r="AB39" i="3"/>
  <c r="Y71" i="3"/>
  <c r="AA71" i="3"/>
  <c r="AB71" i="3"/>
  <c r="Y38" i="3"/>
  <c r="AA38" i="3"/>
  <c r="AB38" i="3"/>
  <c r="Y58" i="3"/>
  <c r="AA58" i="3"/>
  <c r="AB58" i="3"/>
  <c r="E55" i="3"/>
  <c r="K55" i="3"/>
  <c r="E45" i="3"/>
  <c r="K45" i="3"/>
  <c r="Y44" i="3"/>
  <c r="AA44" i="3"/>
  <c r="AB44" i="3"/>
  <c r="E37" i="3"/>
  <c r="K37" i="3"/>
  <c r="E59" i="3"/>
  <c r="K59" i="3"/>
  <c r="E58" i="3"/>
  <c r="F56" i="3"/>
  <c r="C130" i="49"/>
  <c r="E41" i="3"/>
  <c r="K41" i="3"/>
  <c r="Y59" i="3"/>
  <c r="AA59" i="3"/>
  <c r="AB59" i="3"/>
  <c r="E61" i="3"/>
  <c r="K61" i="3"/>
  <c r="Z138" i="35"/>
  <c r="Y108" i="3"/>
  <c r="AA108" i="3"/>
  <c r="AB108" i="3"/>
  <c r="Y112" i="3"/>
  <c r="AA112" i="3"/>
  <c r="AB112" i="3"/>
  <c r="Y120" i="3"/>
  <c r="AA120" i="3"/>
  <c r="AB120" i="3"/>
  <c r="D120" i="3"/>
  <c r="Y113" i="3"/>
  <c r="AA113" i="3"/>
  <c r="AB113" i="3"/>
  <c r="H66" i="43"/>
  <c r="F46" i="3"/>
  <c r="C120" i="49"/>
  <c r="J66" i="43"/>
  <c r="D204" i="49"/>
  <c r="Y60" i="3"/>
  <c r="AA60" i="3"/>
  <c r="AB60" i="3"/>
  <c r="Y63" i="3"/>
  <c r="AA63" i="3"/>
  <c r="AB63" i="3"/>
  <c r="Y94" i="3"/>
  <c r="AA94" i="3"/>
  <c r="AB94" i="3"/>
  <c r="Y109" i="3"/>
  <c r="AA109" i="3"/>
  <c r="AB109" i="3"/>
  <c r="D107" i="3"/>
  <c r="X103" i="35"/>
  <c r="F100" i="43"/>
  <c r="R100" i="43"/>
  <c r="D100" i="43"/>
  <c r="Y95" i="3"/>
  <c r="AA95" i="3"/>
  <c r="AB95" i="3"/>
  <c r="D94" i="3"/>
  <c r="J94" i="43"/>
  <c r="I166" i="49"/>
  <c r="D94" i="43"/>
  <c r="R94" i="43"/>
  <c r="R88" i="43"/>
  <c r="D88" i="43"/>
  <c r="X87" i="35"/>
  <c r="Y84" i="3"/>
  <c r="AA84" i="3"/>
  <c r="AB84" i="3"/>
  <c r="Y81" i="3"/>
  <c r="AA81" i="3"/>
  <c r="AB81" i="3"/>
  <c r="U100" i="43"/>
  <c r="G94" i="43"/>
  <c r="E100" i="43"/>
  <c r="K100" i="43"/>
  <c r="J172" i="49"/>
  <c r="Z87" i="35"/>
  <c r="D98" i="43"/>
  <c r="R98" i="43"/>
  <c r="X97" i="35"/>
  <c r="X93" i="35"/>
  <c r="U83" i="43"/>
  <c r="D83" i="43"/>
  <c r="R83" i="43"/>
  <c r="J100" i="35"/>
  <c r="I86" i="35"/>
  <c r="E96" i="43"/>
  <c r="K96" i="43"/>
  <c r="J168" i="49"/>
  <c r="R96" i="43"/>
  <c r="D96" i="43"/>
  <c r="H95" i="43"/>
  <c r="D95" i="43"/>
  <c r="R95" i="43"/>
  <c r="R92" i="43"/>
  <c r="D92" i="43"/>
  <c r="U121" i="43"/>
  <c r="G88" i="43"/>
  <c r="U94" i="43"/>
  <c r="E94" i="43"/>
  <c r="K94" i="43"/>
  <c r="J166" i="49"/>
  <c r="D93" i="3"/>
  <c r="Y103" i="35"/>
  <c r="Z89" i="35"/>
  <c r="Y102" i="3"/>
  <c r="AA102" i="3"/>
  <c r="AB102" i="3"/>
  <c r="U102" i="43"/>
  <c r="D102" i="43"/>
  <c r="R102" i="43"/>
  <c r="Y97" i="3"/>
  <c r="AA97" i="3"/>
  <c r="AB97" i="3"/>
  <c r="Y92" i="3"/>
  <c r="AA92" i="3"/>
  <c r="AB92" i="3"/>
  <c r="D92" i="3"/>
  <c r="C89" i="43"/>
  <c r="U89" i="43"/>
  <c r="C86" i="43"/>
  <c r="I102" i="35"/>
  <c r="I88" i="35"/>
  <c r="K31" i="3"/>
  <c r="F63" i="3"/>
  <c r="C137" i="49"/>
  <c r="K27" i="3"/>
  <c r="G52" i="43"/>
  <c r="D52" i="43"/>
  <c r="R52" i="43"/>
  <c r="K28" i="3"/>
  <c r="C51" i="43"/>
  <c r="F51" i="43"/>
  <c r="F31" i="3"/>
  <c r="C105" i="49"/>
  <c r="K23" i="3"/>
  <c r="Z49" i="35"/>
  <c r="Y69" i="3"/>
  <c r="AA69" i="3"/>
  <c r="AB69" i="3"/>
  <c r="F69" i="3"/>
  <c r="C143" i="49"/>
  <c r="R66" i="43"/>
  <c r="D66" i="43"/>
  <c r="K24" i="3"/>
  <c r="C48" i="43"/>
  <c r="Y52" i="3"/>
  <c r="AA52" i="3"/>
  <c r="AB52" i="3"/>
  <c r="K34" i="3"/>
  <c r="O73" i="35"/>
  <c r="X73" i="35"/>
  <c r="D72" i="43"/>
  <c r="R72" i="43"/>
  <c r="O65" i="35"/>
  <c r="X65" i="35"/>
  <c r="F64" i="43"/>
  <c r="R64" i="43"/>
  <c r="U63" i="43"/>
  <c r="R63" i="43"/>
  <c r="D63" i="43"/>
  <c r="F41" i="3"/>
  <c r="C115" i="49"/>
  <c r="R40" i="43"/>
  <c r="J39" i="35"/>
  <c r="G47" i="49"/>
  <c r="X39" i="35"/>
  <c r="C62" i="43"/>
  <c r="J62" i="43"/>
  <c r="D200" i="49"/>
  <c r="K16" i="3"/>
  <c r="D68" i="43"/>
  <c r="Y51" i="35"/>
  <c r="E50" i="43"/>
  <c r="C188" i="49"/>
  <c r="R50" i="43"/>
  <c r="D50" i="43"/>
  <c r="F45" i="3"/>
  <c r="C119" i="49"/>
  <c r="J52" i="43"/>
  <c r="D190" i="49"/>
  <c r="Y51" i="3"/>
  <c r="AA51" i="3"/>
  <c r="AB51" i="3"/>
  <c r="F18" i="3"/>
  <c r="C92" i="49"/>
  <c r="K18" i="3"/>
  <c r="H50" i="43"/>
  <c r="K20" i="3"/>
  <c r="K19" i="3"/>
  <c r="Y47" i="3"/>
  <c r="AA47" i="3"/>
  <c r="AB47" i="3"/>
  <c r="Y47" i="35"/>
  <c r="F26" i="3"/>
  <c r="C100" i="49"/>
  <c r="K26" i="3"/>
  <c r="R70" i="43"/>
  <c r="D70" i="43"/>
  <c r="Z60" i="35"/>
  <c r="X60" i="35"/>
  <c r="R59" i="43"/>
  <c r="H58" i="43"/>
  <c r="R58" i="43"/>
  <c r="D58" i="43"/>
  <c r="O57" i="35"/>
  <c r="X57" i="35"/>
  <c r="C60" i="43"/>
  <c r="F60" i="43"/>
  <c r="F59" i="3"/>
  <c r="C133" i="49"/>
  <c r="F85" i="3"/>
  <c r="H93" i="49"/>
  <c r="E85" i="3"/>
  <c r="K85" i="3"/>
  <c r="F97" i="3"/>
  <c r="H105" i="49"/>
  <c r="E97" i="3"/>
  <c r="K97" i="3"/>
  <c r="F126" i="3"/>
  <c r="H134" i="49"/>
  <c r="E126" i="3"/>
  <c r="F138" i="3"/>
  <c r="H146" i="49"/>
  <c r="E138" i="3"/>
  <c r="X139" i="35"/>
  <c r="Z120" i="35"/>
  <c r="X120" i="35"/>
  <c r="J119" i="35"/>
  <c r="X119" i="35"/>
  <c r="H117" i="43"/>
  <c r="D117" i="43"/>
  <c r="R117" i="43"/>
  <c r="F115" i="3"/>
  <c r="H123" i="49"/>
  <c r="R115" i="43"/>
  <c r="D115" i="43"/>
  <c r="R114" i="43"/>
  <c r="D112" i="43"/>
  <c r="F110" i="3"/>
  <c r="H118" i="49"/>
  <c r="E110" i="3"/>
  <c r="X105" i="35"/>
  <c r="E101" i="3"/>
  <c r="K101" i="3"/>
  <c r="F86" i="3"/>
  <c r="H94" i="49"/>
  <c r="E86" i="3"/>
  <c r="K86" i="3"/>
  <c r="Y119" i="35"/>
  <c r="Y119" i="3"/>
  <c r="AA119" i="3"/>
  <c r="AB119" i="3"/>
  <c r="Y138" i="3"/>
  <c r="AA138" i="3"/>
  <c r="AB138" i="3"/>
  <c r="D113" i="3"/>
  <c r="D112" i="3"/>
  <c r="X135" i="35"/>
  <c r="G131" i="43"/>
  <c r="R131" i="43"/>
  <c r="D131" i="43"/>
  <c r="E128" i="43"/>
  <c r="K128" i="43"/>
  <c r="J200" i="49"/>
  <c r="D128" i="43"/>
  <c r="R128" i="43"/>
  <c r="F103" i="3"/>
  <c r="H111" i="49"/>
  <c r="K103" i="3"/>
  <c r="E103" i="3"/>
  <c r="K100" i="3"/>
  <c r="E100" i="3"/>
  <c r="C139" i="43"/>
  <c r="G139" i="43"/>
  <c r="F128" i="43"/>
  <c r="G117" i="43"/>
  <c r="K93" i="3"/>
  <c r="Y127" i="3"/>
  <c r="AA127" i="3"/>
  <c r="AB127" i="3"/>
  <c r="Y130" i="3"/>
  <c r="AA130" i="3"/>
  <c r="AB130" i="3"/>
  <c r="D114" i="3"/>
  <c r="D127" i="43"/>
  <c r="F123" i="3"/>
  <c r="H131" i="49"/>
  <c r="E123" i="3"/>
  <c r="D123" i="43"/>
  <c r="X109" i="35"/>
  <c r="Y104" i="3"/>
  <c r="AA104" i="3"/>
  <c r="AB104" i="3"/>
  <c r="D104" i="3"/>
  <c r="E98" i="3"/>
  <c r="K98" i="3"/>
  <c r="K94" i="3"/>
  <c r="K84" i="3"/>
  <c r="E84" i="3"/>
  <c r="F83" i="3"/>
  <c r="H91" i="49"/>
  <c r="K83" i="3"/>
  <c r="E83" i="3"/>
  <c r="C124" i="43"/>
  <c r="J124" i="43"/>
  <c r="I196" i="49"/>
  <c r="E131" i="43"/>
  <c r="K131" i="43"/>
  <c r="J203" i="49"/>
  <c r="Y131" i="3"/>
  <c r="AA131" i="3"/>
  <c r="AB131" i="3"/>
  <c r="Y110" i="3"/>
  <c r="AA110" i="3"/>
  <c r="AB110" i="3"/>
  <c r="Y114" i="3"/>
  <c r="AA114" i="3"/>
  <c r="AB114" i="3"/>
  <c r="D109" i="3"/>
  <c r="D137" i="3"/>
  <c r="D108" i="3"/>
  <c r="Y137" i="3"/>
  <c r="AA137" i="3"/>
  <c r="AB137" i="3"/>
  <c r="D127" i="3"/>
  <c r="E121" i="43"/>
  <c r="H193" i="49"/>
  <c r="D121" i="43"/>
  <c r="R121" i="43"/>
  <c r="Y107" i="35"/>
  <c r="X107" i="35"/>
  <c r="X141" i="3"/>
  <c r="K91" i="3"/>
  <c r="E91" i="3"/>
  <c r="C110" i="43"/>
  <c r="H110" i="43"/>
  <c r="K66" i="43"/>
  <c r="E204" i="49"/>
  <c r="J140" i="35"/>
  <c r="Z140" i="35"/>
  <c r="J117" i="43"/>
  <c r="I189" i="49"/>
  <c r="Y126" i="3"/>
  <c r="AA126" i="3"/>
  <c r="AB126" i="3"/>
  <c r="D118" i="3"/>
  <c r="U112" i="43"/>
  <c r="D117" i="3"/>
  <c r="D139" i="3"/>
  <c r="Y115" i="3"/>
  <c r="AA115" i="3"/>
  <c r="AB115" i="3"/>
  <c r="C140" i="43"/>
  <c r="C126" i="43"/>
  <c r="C113" i="43"/>
  <c r="W141" i="3"/>
  <c r="C137" i="43"/>
  <c r="H137" i="43"/>
  <c r="C119" i="43"/>
  <c r="C108" i="43"/>
  <c r="F108" i="43"/>
  <c r="V141" i="3"/>
  <c r="H127" i="35"/>
  <c r="H69" i="49"/>
  <c r="F117" i="43"/>
  <c r="Y106" i="3"/>
  <c r="AA106" i="3"/>
  <c r="AB106" i="3"/>
  <c r="Y123" i="3"/>
  <c r="AA123" i="3"/>
  <c r="AB123" i="3"/>
  <c r="Y135" i="3"/>
  <c r="AA135" i="3"/>
  <c r="AB135" i="3"/>
  <c r="Y116" i="3"/>
  <c r="AA116" i="3"/>
  <c r="AB116" i="3"/>
  <c r="D125" i="3"/>
  <c r="Y118" i="3"/>
  <c r="AA118" i="3"/>
  <c r="AB118" i="3"/>
  <c r="Y111" i="3"/>
  <c r="AA111" i="3"/>
  <c r="AB111" i="3"/>
  <c r="D111" i="3"/>
  <c r="D106" i="3"/>
  <c r="I124" i="35"/>
  <c r="H112" i="35"/>
  <c r="H54" i="49"/>
  <c r="F20" i="3"/>
  <c r="C94" i="49"/>
  <c r="H74" i="35"/>
  <c r="C82" i="49"/>
  <c r="Y73" i="3"/>
  <c r="AA73" i="3"/>
  <c r="AB73" i="3"/>
  <c r="Y43" i="3"/>
  <c r="AA43" i="3"/>
  <c r="AB43" i="3"/>
  <c r="C44" i="43"/>
  <c r="F42" i="3"/>
  <c r="C116" i="49"/>
  <c r="W75" i="3"/>
  <c r="Y40" i="3"/>
  <c r="AA40" i="3"/>
  <c r="AB40" i="3"/>
  <c r="V75" i="3"/>
  <c r="F34" i="3"/>
  <c r="C108" i="49"/>
  <c r="I69" i="35"/>
  <c r="Y68" i="3"/>
  <c r="AA68" i="3"/>
  <c r="AB68" i="3"/>
  <c r="Y55" i="3"/>
  <c r="AA55" i="3"/>
  <c r="AB55" i="3"/>
  <c r="C56" i="43"/>
  <c r="C55" i="43"/>
  <c r="Y53" i="3"/>
  <c r="AA53" i="3"/>
  <c r="AB53" i="3"/>
  <c r="C54" i="43"/>
  <c r="U54" i="43"/>
  <c r="C74" i="43"/>
  <c r="Y48" i="3"/>
  <c r="AA48" i="3"/>
  <c r="AB48" i="3"/>
  <c r="Y67" i="3"/>
  <c r="AA67" i="3"/>
  <c r="AB67" i="3"/>
  <c r="J73" i="35"/>
  <c r="G81" i="49"/>
  <c r="C71" i="43"/>
  <c r="E71" i="43"/>
  <c r="K71" i="43"/>
  <c r="E209" i="49"/>
  <c r="F27" i="3"/>
  <c r="C101" i="49"/>
  <c r="I52" i="35"/>
  <c r="X75" i="3"/>
  <c r="C73" i="43"/>
  <c r="F72" i="3"/>
  <c r="C146" i="49"/>
  <c r="Y61" i="3"/>
  <c r="AA61" i="3"/>
  <c r="AB61" i="3"/>
  <c r="C67" i="43"/>
  <c r="F23" i="3"/>
  <c r="C97" i="49"/>
  <c r="O16" i="35"/>
  <c r="X16" i="35"/>
  <c r="Y136" i="35"/>
  <c r="N30" i="35"/>
  <c r="O30" i="35"/>
  <c r="X30" i="35"/>
  <c r="N138" i="35"/>
  <c r="J80" i="49"/>
  <c r="S37" i="35"/>
  <c r="O37" i="35"/>
  <c r="G121" i="43"/>
  <c r="U70" i="43"/>
  <c r="E70" i="43"/>
  <c r="G38" i="43"/>
  <c r="U38" i="43"/>
  <c r="J95" i="43"/>
  <c r="I167" i="49"/>
  <c r="G63" i="43"/>
  <c r="G102" i="43"/>
  <c r="J102" i="43"/>
  <c r="I174" i="49"/>
  <c r="J70" i="43"/>
  <c r="D208" i="49"/>
  <c r="F115" i="43"/>
  <c r="F95" i="43"/>
  <c r="F131" i="43"/>
  <c r="J109" i="35"/>
  <c r="G83" i="43"/>
  <c r="J65" i="35"/>
  <c r="G73" i="49"/>
  <c r="Y138" i="35"/>
  <c r="Z30" i="35"/>
  <c r="M120" i="35"/>
  <c r="I62" i="49"/>
  <c r="N119" i="35"/>
  <c r="J61" i="49"/>
  <c r="Z107" i="35"/>
  <c r="J81" i="35"/>
  <c r="S33" i="35"/>
  <c r="O33" i="35"/>
  <c r="S27" i="35"/>
  <c r="O27" i="35"/>
  <c r="X27" i="35"/>
  <c r="Z122" i="35"/>
  <c r="J110" i="35"/>
  <c r="M28" i="35"/>
  <c r="O28" i="35"/>
  <c r="X28" i="35"/>
  <c r="Z137" i="35"/>
  <c r="K88" i="43"/>
  <c r="J160" i="49"/>
  <c r="J121" i="43"/>
  <c r="I193" i="49"/>
  <c r="U115" i="43"/>
  <c r="G70" i="43"/>
  <c r="F38" i="43"/>
  <c r="H38" i="43"/>
  <c r="J131" i="43"/>
  <c r="I203" i="49"/>
  <c r="F63" i="43"/>
  <c r="E102" i="43"/>
  <c r="F121" i="43"/>
  <c r="H83" i="43"/>
  <c r="E83" i="43"/>
  <c r="H155" i="49"/>
  <c r="U127" i="43"/>
  <c r="Z109" i="35"/>
  <c r="J16" i="35"/>
  <c r="J136" i="35"/>
  <c r="J30" i="35"/>
  <c r="J89" i="35"/>
  <c r="Z67" i="35"/>
  <c r="O67" i="35"/>
  <c r="J51" i="35"/>
  <c r="G59" i="49"/>
  <c r="J49" i="35"/>
  <c r="G57" i="49"/>
  <c r="O49" i="35"/>
  <c r="Y39" i="35"/>
  <c r="O39" i="35"/>
  <c r="S29" i="35"/>
  <c r="O29" i="35"/>
  <c r="X29" i="35"/>
  <c r="S22" i="35"/>
  <c r="O22" i="35"/>
  <c r="X22" i="35"/>
  <c r="O21" i="35"/>
  <c r="X21" i="35"/>
  <c r="J92" i="35"/>
  <c r="N38" i="35"/>
  <c r="E46" i="49"/>
  <c r="O38" i="35"/>
  <c r="M24" i="35"/>
  <c r="Y24" i="35"/>
  <c r="O24" i="35"/>
  <c r="X24" i="35"/>
  <c r="O18" i="35"/>
  <c r="X18" i="35"/>
  <c r="H130" i="35"/>
  <c r="H72" i="49"/>
  <c r="J17" i="35"/>
  <c r="O17" i="35"/>
  <c r="X17" i="35"/>
  <c r="H121" i="43"/>
  <c r="J127" i="43"/>
  <c r="I199" i="49"/>
  <c r="J38" i="43"/>
  <c r="D176" i="49"/>
  <c r="H131" i="43"/>
  <c r="F92" i="43"/>
  <c r="H102" i="43"/>
  <c r="H115" i="43"/>
  <c r="U95" i="43"/>
  <c r="J57" i="35"/>
  <c r="G65" i="49"/>
  <c r="Z37" i="35"/>
  <c r="J135" i="35"/>
  <c r="J138" i="35"/>
  <c r="Y65" i="35"/>
  <c r="S71" i="35"/>
  <c r="O71" i="35"/>
  <c r="J61" i="35"/>
  <c r="G69" i="49"/>
  <c r="O61" i="35"/>
  <c r="Z47" i="35"/>
  <c r="O47" i="35"/>
  <c r="O25" i="35"/>
  <c r="X25" i="35"/>
  <c r="M140" i="35"/>
  <c r="I82" i="49"/>
  <c r="M60" i="35"/>
  <c r="D68" i="49"/>
  <c r="O60" i="35"/>
  <c r="O48" i="35"/>
  <c r="N32" i="35"/>
  <c r="E40" i="49"/>
  <c r="O32" i="35"/>
  <c r="AB2" i="35"/>
  <c r="B6" i="22"/>
  <c r="I68" i="2"/>
  <c r="Z71" i="35"/>
  <c r="Z110" i="35"/>
  <c r="Z98" i="35"/>
  <c r="S72" i="35"/>
  <c r="S47" i="35"/>
  <c r="S40" i="35"/>
  <c r="H138" i="35"/>
  <c r="H80" i="49"/>
  <c r="Y61" i="35"/>
  <c r="Y98" i="35"/>
  <c r="J98" i="35"/>
  <c r="S61" i="35"/>
  <c r="S54" i="35"/>
  <c r="S25" i="35"/>
  <c r="S21" i="35"/>
  <c r="S17" i="35"/>
  <c r="C366" i="41"/>
  <c r="E366" i="41"/>
  <c r="D366" i="41"/>
  <c r="D365" i="41"/>
  <c r="C365" i="41"/>
  <c r="E365" i="41"/>
  <c r="F319" i="41"/>
  <c r="H319" i="41"/>
  <c r="G319" i="41"/>
  <c r="F327" i="41"/>
  <c r="F328" i="41"/>
  <c r="H320" i="41"/>
  <c r="Y105" i="35"/>
  <c r="Z105" i="35"/>
  <c r="J97" i="35"/>
  <c r="Z97" i="35"/>
  <c r="G475" i="41"/>
  <c r="F473" i="41"/>
  <c r="H474" i="41"/>
  <c r="F373" i="41"/>
  <c r="H373" i="41"/>
  <c r="G373" i="41"/>
  <c r="H374" i="41"/>
  <c r="F372" i="41"/>
  <c r="G374" i="41"/>
  <c r="F123" i="43"/>
  <c r="J114" i="43"/>
  <c r="I186" i="49"/>
  <c r="E114" i="43"/>
  <c r="H186" i="49"/>
  <c r="H197" i="41"/>
  <c r="F197" i="41"/>
  <c r="G198" i="41"/>
  <c r="G197" i="41"/>
  <c r="H198" i="41"/>
  <c r="F198" i="41"/>
  <c r="J139" i="35"/>
  <c r="J113" i="35"/>
  <c r="Z113" i="35"/>
  <c r="G98" i="43"/>
  <c r="J98" i="43"/>
  <c r="I170" i="49"/>
  <c r="U98" i="43"/>
  <c r="J93" i="35"/>
  <c r="Y93" i="35"/>
  <c r="Z93" i="35"/>
  <c r="D197" i="41"/>
  <c r="C198" i="41"/>
  <c r="E198" i="41"/>
  <c r="D198" i="41"/>
  <c r="K138" i="41"/>
  <c r="A574" i="41"/>
  <c r="K374" i="41"/>
  <c r="G366" i="41"/>
  <c r="H365" i="41"/>
  <c r="K319" i="41"/>
  <c r="J320" i="41"/>
  <c r="I174" i="41"/>
  <c r="I175" i="41"/>
  <c r="Y73" i="35"/>
  <c r="Z73" i="35"/>
  <c r="E68" i="43"/>
  <c r="C206" i="49"/>
  <c r="F68" i="43"/>
  <c r="U52" i="43"/>
  <c r="H52" i="43"/>
  <c r="E52" i="43"/>
  <c r="K52" i="43"/>
  <c r="E190" i="49"/>
  <c r="C6" i="22"/>
  <c r="G26" i="43"/>
  <c r="D174" i="41"/>
  <c r="H30" i="35"/>
  <c r="C38" i="49"/>
  <c r="J38" i="35"/>
  <c r="G46" i="49"/>
  <c r="C79" i="43"/>
  <c r="E7" i="43"/>
  <c r="H119" i="35"/>
  <c r="H61" i="49"/>
  <c r="H17" i="39"/>
  <c r="I17" i="39"/>
  <c r="Q45" i="50"/>
  <c r="P57" i="50"/>
  <c r="P58" i="50"/>
  <c r="P40" i="50"/>
  <c r="P38" i="50"/>
  <c r="J34" i="30"/>
  <c r="O62" i="30"/>
  <c r="N54" i="30"/>
  <c r="D78" i="3"/>
  <c r="D140" i="3"/>
  <c r="H4" i="35"/>
  <c r="N52" i="22"/>
  <c r="J68" i="22"/>
  <c r="K55" i="30"/>
  <c r="O58" i="30"/>
  <c r="H7" i="35"/>
  <c r="R80" i="43"/>
  <c r="R141" i="43"/>
  <c r="C80" i="43"/>
  <c r="C141" i="43"/>
  <c r="D13" i="3"/>
  <c r="R14" i="43"/>
  <c r="R75" i="43"/>
  <c r="K78" i="3"/>
  <c r="K140" i="3"/>
  <c r="AB4" i="35"/>
  <c r="X79" i="35"/>
  <c r="X141" i="35"/>
  <c r="F18" i="48"/>
  <c r="E28" i="2"/>
  <c r="E18" i="48"/>
  <c r="X13" i="35"/>
  <c r="X75" i="35"/>
  <c r="K12" i="3"/>
  <c r="K74" i="3"/>
  <c r="Z141" i="3"/>
  <c r="K96" i="30"/>
  <c r="T96" i="30"/>
  <c r="N17" i="30"/>
  <c r="J105" i="30"/>
  <c r="O75" i="30"/>
  <c r="O18" i="30"/>
  <c r="O24" i="30"/>
  <c r="R26" i="30"/>
  <c r="J91" i="30"/>
  <c r="N16" i="30"/>
  <c r="J86" i="30"/>
  <c r="K86" i="30"/>
  <c r="J78" i="30"/>
  <c r="K78" i="30"/>
  <c r="K70" i="30"/>
  <c r="J70" i="30"/>
  <c r="N69" i="30"/>
  <c r="O69" i="30"/>
  <c r="N65" i="30"/>
  <c r="O65" i="30"/>
  <c r="T65" i="30"/>
  <c r="K58" i="30"/>
  <c r="J58" i="30"/>
  <c r="O32" i="30"/>
  <c r="N32" i="30"/>
  <c r="O26" i="30"/>
  <c r="N26" i="30"/>
  <c r="O72" i="30"/>
  <c r="N72" i="30"/>
  <c r="R25" i="30"/>
  <c r="J19" i="30"/>
  <c r="K89" i="30"/>
  <c r="T89" i="30"/>
  <c r="O85" i="30"/>
  <c r="T85" i="30"/>
  <c r="O102" i="30"/>
  <c r="T102" i="30"/>
  <c r="R32" i="30"/>
  <c r="R20" i="30"/>
  <c r="J20" i="30"/>
  <c r="K92" i="30"/>
  <c r="J92" i="30"/>
  <c r="K73" i="30"/>
  <c r="J73" i="30"/>
  <c r="J30" i="30"/>
  <c r="R28" i="30"/>
  <c r="S28" i="30"/>
  <c r="J28" i="30"/>
  <c r="J23" i="30"/>
  <c r="K14" i="22"/>
  <c r="J14" i="22"/>
  <c r="O14" i="22"/>
  <c r="Z75" i="3"/>
  <c r="N29" i="30"/>
  <c r="O29" i="30"/>
  <c r="T29" i="30"/>
  <c r="O22" i="30"/>
  <c r="T22" i="30"/>
  <c r="N22" i="30"/>
  <c r="N15" i="30"/>
  <c r="O15" i="30"/>
  <c r="T15" i="30"/>
  <c r="N105" i="30"/>
  <c r="O105" i="30"/>
  <c r="T105" i="30"/>
  <c r="J68" i="30"/>
  <c r="K68" i="30"/>
  <c r="K95" i="30"/>
  <c r="O27" i="30"/>
  <c r="K40" i="30"/>
  <c r="T40" i="30"/>
  <c r="J36" i="30"/>
  <c r="K99" i="30"/>
  <c r="N78" i="30"/>
  <c r="O78" i="30"/>
  <c r="O50" i="30"/>
  <c r="N50" i="30"/>
  <c r="K39" i="30"/>
  <c r="J39" i="30"/>
  <c r="Z74" i="35"/>
  <c r="F35" i="3"/>
  <c r="C109" i="49"/>
  <c r="F304" i="41"/>
  <c r="F374" i="41"/>
  <c r="I474" i="41"/>
  <c r="K475" i="41"/>
  <c r="J475" i="41"/>
  <c r="J474" i="41"/>
  <c r="F52" i="43"/>
  <c r="U50" i="43"/>
  <c r="G50" i="43"/>
  <c r="F50" i="43"/>
  <c r="J50" i="43"/>
  <c r="D188" i="49"/>
  <c r="E34" i="43"/>
  <c r="H34" i="43"/>
  <c r="F16" i="3"/>
  <c r="F131" i="3"/>
  <c r="H139" i="49"/>
  <c r="F100" i="3"/>
  <c r="H108" i="49"/>
  <c r="G96" i="43"/>
  <c r="H96" i="43"/>
  <c r="J96" i="43"/>
  <c r="I168" i="49"/>
  <c r="F96" i="43"/>
  <c r="F19" i="3"/>
  <c r="C93" i="49"/>
  <c r="AB14" i="3"/>
  <c r="D475" i="41"/>
  <c r="C474" i="41"/>
  <c r="D373" i="41"/>
  <c r="E374" i="41"/>
  <c r="E373" i="41"/>
  <c r="D374" i="41"/>
  <c r="E319" i="41"/>
  <c r="C328" i="41"/>
  <c r="E291" i="41"/>
  <c r="D291" i="41"/>
  <c r="C275" i="41"/>
  <c r="F275" i="41"/>
  <c r="B262" i="41"/>
  <c r="I261" i="41"/>
  <c r="I265" i="41"/>
  <c r="B248" i="41"/>
  <c r="I247" i="41"/>
  <c r="F247" i="41"/>
  <c r="C88" i="41"/>
  <c r="E88" i="41"/>
  <c r="E117" i="43"/>
  <c r="U117" i="43"/>
  <c r="F98" i="3"/>
  <c r="H106" i="49"/>
  <c r="J82" i="35"/>
  <c r="U64" i="43"/>
  <c r="U58" i="43"/>
  <c r="J58" i="43"/>
  <c r="D196" i="49"/>
  <c r="E58" i="43"/>
  <c r="F58" i="43"/>
  <c r="H26" i="43"/>
  <c r="F26" i="43"/>
  <c r="E26" i="43"/>
  <c r="M22" i="35"/>
  <c r="Y22" i="35"/>
  <c r="N22" i="35"/>
  <c r="Z22" i="35"/>
  <c r="H22" i="35"/>
  <c r="C30" i="49"/>
  <c r="J22" i="35"/>
  <c r="D129" i="3"/>
  <c r="J130" i="35"/>
  <c r="H135" i="35"/>
  <c r="H77" i="49"/>
  <c r="Y135" i="35"/>
  <c r="I134" i="35"/>
  <c r="C134" i="43"/>
  <c r="Y129" i="3"/>
  <c r="AA129" i="3"/>
  <c r="AB129" i="3"/>
  <c r="C125" i="43"/>
  <c r="D124" i="3"/>
  <c r="Y103" i="3"/>
  <c r="AA103" i="3"/>
  <c r="AB103" i="3"/>
  <c r="F101" i="3"/>
  <c r="H109" i="49"/>
  <c r="F91" i="3"/>
  <c r="H99" i="49"/>
  <c r="C91" i="43"/>
  <c r="D90" i="3"/>
  <c r="Y90" i="3"/>
  <c r="AA90" i="3"/>
  <c r="AB90" i="3"/>
  <c r="H71" i="35"/>
  <c r="C79" i="49"/>
  <c r="N71" i="35"/>
  <c r="E79" i="49"/>
  <c r="H67" i="35"/>
  <c r="C75" i="49"/>
  <c r="N67" i="35"/>
  <c r="E75" i="49"/>
  <c r="Y57" i="3"/>
  <c r="AA57" i="3"/>
  <c r="AB57" i="3"/>
  <c r="H57" i="35"/>
  <c r="C65" i="49"/>
  <c r="N57" i="35"/>
  <c r="E65" i="49"/>
  <c r="Y49" i="3"/>
  <c r="AA49" i="3"/>
  <c r="AB49" i="3"/>
  <c r="Y41" i="3"/>
  <c r="AA41" i="3"/>
  <c r="AB41" i="3"/>
  <c r="H33" i="35"/>
  <c r="C41" i="49"/>
  <c r="N33" i="35"/>
  <c r="E41" i="49"/>
  <c r="H29" i="35"/>
  <c r="C37" i="49"/>
  <c r="N29" i="35"/>
  <c r="J29" i="35"/>
  <c r="F24" i="3"/>
  <c r="C98" i="49"/>
  <c r="H21" i="35"/>
  <c r="C29" i="49"/>
  <c r="J21" i="35"/>
  <c r="N21" i="35"/>
  <c r="E56" i="50"/>
  <c r="G56" i="50"/>
  <c r="Q56" i="50"/>
  <c r="D6" i="50"/>
  <c r="J25" i="28"/>
  <c r="C130" i="43"/>
  <c r="G130" i="43"/>
  <c r="C104" i="43"/>
  <c r="N122" i="35"/>
  <c r="J64" i="49"/>
  <c r="H122" i="35"/>
  <c r="H64" i="49"/>
  <c r="M96" i="35"/>
  <c r="I38" i="49"/>
  <c r="N130" i="35"/>
  <c r="J72" i="49"/>
  <c r="J24" i="43"/>
  <c r="D162" i="49"/>
  <c r="H36" i="35"/>
  <c r="C44" i="49"/>
  <c r="M20" i="35"/>
  <c r="J20" i="35"/>
  <c r="N17" i="35"/>
  <c r="K174" i="41"/>
  <c r="R66" i="30"/>
  <c r="R30" i="30"/>
  <c r="S30" i="30"/>
  <c r="G320" i="41"/>
  <c r="G474" i="41"/>
  <c r="J373" i="41"/>
  <c r="J88" i="41"/>
  <c r="F474" i="41"/>
  <c r="I373" i="41"/>
  <c r="K373" i="41"/>
  <c r="F88" i="41"/>
  <c r="E115" i="43"/>
  <c r="G18" i="43"/>
  <c r="H128" i="43"/>
  <c r="J128" i="43"/>
  <c r="I200" i="49"/>
  <c r="U128" i="43"/>
  <c r="G22" i="43"/>
  <c r="U92" i="43"/>
  <c r="U28" i="43"/>
  <c r="F19" i="43"/>
  <c r="F15" i="43"/>
  <c r="G19" i="43"/>
  <c r="U23" i="43"/>
  <c r="H63" i="43"/>
  <c r="E24" i="43"/>
  <c r="K24" i="43"/>
  <c r="E162" i="49"/>
  <c r="U59" i="43"/>
  <c r="G59" i="43"/>
  <c r="U24" i="43"/>
  <c r="U40" i="43"/>
  <c r="E72" i="43"/>
  <c r="G86" i="43"/>
  <c r="E98" i="43"/>
  <c r="H98" i="43"/>
  <c r="J32" i="30"/>
  <c r="H18" i="35"/>
  <c r="C26" i="49"/>
  <c r="P29" i="45"/>
  <c r="L278" i="41"/>
  <c r="H114" i="30"/>
  <c r="O264" i="41"/>
  <c r="N11" i="22"/>
  <c r="O320" i="41"/>
  <c r="I64" i="22"/>
  <c r="R214" i="30"/>
  <c r="I20" i="22"/>
  <c r="H23" i="48"/>
  <c r="L306" i="41"/>
  <c r="N214" i="30"/>
  <c r="G115" i="43"/>
  <c r="G95" i="43"/>
  <c r="Y60" i="35"/>
  <c r="Y28" i="35"/>
  <c r="G13" i="39"/>
  <c r="I13" i="39"/>
  <c r="J60" i="50"/>
  <c r="Z29" i="35"/>
  <c r="J48" i="35"/>
  <c r="G56" i="49"/>
  <c r="D134" i="3"/>
  <c r="J24" i="35"/>
  <c r="J71" i="35"/>
  <c r="G79" i="49"/>
  <c r="Y122" i="35"/>
  <c r="Z112" i="35"/>
  <c r="Y122" i="3"/>
  <c r="AA122" i="3"/>
  <c r="AB122" i="3"/>
  <c r="J33" i="35"/>
  <c r="G41" i="49"/>
  <c r="Y139" i="35"/>
  <c r="Z130" i="35"/>
  <c r="J120" i="35"/>
  <c r="Y67" i="35"/>
  <c r="Z57" i="35"/>
  <c r="Y128" i="3"/>
  <c r="AA128" i="3"/>
  <c r="AB128" i="3"/>
  <c r="I116" i="35"/>
  <c r="C116" i="43"/>
  <c r="Y105" i="3"/>
  <c r="AA105" i="3"/>
  <c r="AB105" i="3"/>
  <c r="D105" i="3"/>
  <c r="N103" i="35"/>
  <c r="J45" i="49"/>
  <c r="J103" i="35"/>
  <c r="Y100" i="3"/>
  <c r="AA100" i="3"/>
  <c r="AB100" i="3"/>
  <c r="N87" i="35"/>
  <c r="J29" i="49"/>
  <c r="Y87" i="35"/>
  <c r="H47" i="35"/>
  <c r="C55" i="49"/>
  <c r="N47" i="35"/>
  <c r="E55" i="49"/>
  <c r="J47" i="35"/>
  <c r="G55" i="49"/>
  <c r="Y45" i="3"/>
  <c r="AA45" i="3"/>
  <c r="AB45" i="3"/>
  <c r="H39" i="35"/>
  <c r="C47" i="49"/>
  <c r="N39" i="35"/>
  <c r="E47" i="49"/>
  <c r="M35" i="35"/>
  <c r="D43" i="49"/>
  <c r="C35" i="43"/>
  <c r="Y33" i="3"/>
  <c r="AA33" i="3"/>
  <c r="AB33" i="3"/>
  <c r="E33" i="3"/>
  <c r="Y21" i="3"/>
  <c r="E21" i="3"/>
  <c r="Q68" i="50"/>
  <c r="D58" i="50"/>
  <c r="E47" i="50"/>
  <c r="F47" i="50"/>
  <c r="Q47" i="50"/>
  <c r="Q25" i="50"/>
  <c r="E25" i="50"/>
  <c r="G25" i="50"/>
  <c r="E24" i="50"/>
  <c r="F24" i="50"/>
  <c r="Q24" i="50"/>
  <c r="Q22" i="50"/>
  <c r="Q21" i="50"/>
  <c r="E20" i="50"/>
  <c r="R20" i="50"/>
  <c r="Q20" i="50"/>
  <c r="Q19" i="50"/>
  <c r="E16" i="50"/>
  <c r="F16" i="50"/>
  <c r="Q16" i="50"/>
  <c r="Q15" i="50"/>
  <c r="O25" i="28"/>
  <c r="H25" i="28"/>
  <c r="C135" i="43"/>
  <c r="F98" i="43"/>
  <c r="C87" i="43"/>
  <c r="F102" i="3"/>
  <c r="H110" i="49"/>
  <c r="H140" i="35"/>
  <c r="H82" i="49"/>
  <c r="Y140" i="35"/>
  <c r="N110" i="35"/>
  <c r="J52" i="49"/>
  <c r="Y110" i="35"/>
  <c r="I94" i="35"/>
  <c r="M138" i="35"/>
  <c r="I80" i="49"/>
  <c r="M122" i="35"/>
  <c r="I64" i="49"/>
  <c r="C46" i="43"/>
  <c r="G23" i="43"/>
  <c r="F61" i="3"/>
  <c r="C135" i="49"/>
  <c r="F37" i="3"/>
  <c r="C111" i="49"/>
  <c r="N24" i="35"/>
  <c r="E90" i="2"/>
  <c r="G68" i="2"/>
  <c r="N137" i="35"/>
  <c r="J79" i="49"/>
  <c r="Y137" i="35"/>
  <c r="I133" i="35"/>
  <c r="D132" i="3"/>
  <c r="M130" i="35"/>
  <c r="I72" i="49"/>
  <c r="F127" i="3"/>
  <c r="H135" i="49"/>
  <c r="I111" i="35"/>
  <c r="C111" i="43"/>
  <c r="I99" i="35"/>
  <c r="C99" i="43"/>
  <c r="C90" i="43"/>
  <c r="D89" i="3"/>
  <c r="Y89" i="3"/>
  <c r="AA89" i="3"/>
  <c r="AB89" i="3"/>
  <c r="H45" i="35"/>
  <c r="C53" i="49"/>
  <c r="M31" i="35"/>
  <c r="D39" i="49"/>
  <c r="C31" i="43"/>
  <c r="H25" i="35"/>
  <c r="C33" i="49"/>
  <c r="N25" i="35"/>
  <c r="M17" i="35"/>
  <c r="N25" i="28"/>
  <c r="F25" i="28"/>
  <c r="C133" i="43"/>
  <c r="G133" i="43"/>
  <c r="N92" i="35"/>
  <c r="J34" i="49"/>
  <c r="Z92" i="35"/>
  <c r="I84" i="35"/>
  <c r="M137" i="35"/>
  <c r="I79" i="49"/>
  <c r="C36" i="43"/>
  <c r="M48" i="35"/>
  <c r="D56" i="49"/>
  <c r="M32" i="35"/>
  <c r="D40" i="49"/>
  <c r="Z32" i="35"/>
  <c r="H475" i="41"/>
  <c r="J66" i="30"/>
  <c r="J22" i="30"/>
  <c r="K46" i="30"/>
  <c r="J115" i="43"/>
  <c r="I187" i="49"/>
  <c r="H18" i="43"/>
  <c r="U131" i="43"/>
  <c r="F32" i="43"/>
  <c r="G32" i="43"/>
  <c r="G128" i="43"/>
  <c r="E19" i="43"/>
  <c r="J19" i="43"/>
  <c r="D157" i="49"/>
  <c r="E23" i="43"/>
  <c r="J63" i="43"/>
  <c r="D201" i="49"/>
  <c r="E63" i="43"/>
  <c r="K63" i="43"/>
  <c r="E201" i="49"/>
  <c r="G72" i="43"/>
  <c r="F28" i="43"/>
  <c r="O45" i="30"/>
  <c r="T45" i="30"/>
  <c r="H90" i="2"/>
  <c r="H17" i="35"/>
  <c r="C25" i="49"/>
  <c r="D79" i="3"/>
  <c r="L475" i="41"/>
  <c r="O20" i="22"/>
  <c r="N20" i="22"/>
  <c r="L366" i="41"/>
  <c r="L320" i="41"/>
  <c r="O88" i="41"/>
  <c r="O306" i="41"/>
  <c r="J60" i="35"/>
  <c r="G68" i="49"/>
  <c r="J28" i="35"/>
  <c r="J38" i="50"/>
  <c r="J39" i="50"/>
  <c r="D60" i="50"/>
  <c r="Q23" i="50"/>
  <c r="J58" i="50"/>
  <c r="D81" i="3"/>
  <c r="E30" i="3"/>
  <c r="Y134" i="3"/>
  <c r="AA134" i="3"/>
  <c r="AB134" i="3"/>
  <c r="Z24" i="35"/>
  <c r="O374" i="41"/>
  <c r="D133" i="3"/>
  <c r="Y71" i="35"/>
  <c r="J122" i="35"/>
  <c r="J25" i="35"/>
  <c r="Y130" i="35"/>
  <c r="D122" i="3"/>
  <c r="Y33" i="35"/>
  <c r="J137" i="35"/>
  <c r="Z135" i="35"/>
  <c r="Y120" i="35"/>
  <c r="Y97" i="35"/>
  <c r="Y92" i="35"/>
  <c r="Y89" i="35"/>
  <c r="J67" i="35"/>
  <c r="G75" i="49"/>
  <c r="Z53" i="35"/>
  <c r="C136" i="43"/>
  <c r="D135" i="3"/>
  <c r="I132" i="35"/>
  <c r="C132" i="43"/>
  <c r="C129" i="43"/>
  <c r="C122" i="43"/>
  <c r="Y121" i="3"/>
  <c r="AA121" i="3"/>
  <c r="AB121" i="3"/>
  <c r="D121" i="3"/>
  <c r="I118" i="35"/>
  <c r="C118" i="43"/>
  <c r="D116" i="3"/>
  <c r="I117" i="35"/>
  <c r="I101" i="35"/>
  <c r="C101" i="43"/>
  <c r="D95" i="3"/>
  <c r="M73" i="35"/>
  <c r="D81" i="49"/>
  <c r="H65" i="35"/>
  <c r="C73" i="49"/>
  <c r="N65" i="35"/>
  <c r="E73" i="49"/>
  <c r="H61" i="35"/>
  <c r="C69" i="49"/>
  <c r="N61" i="35"/>
  <c r="E69" i="49"/>
  <c r="Z61" i="35"/>
  <c r="H49" i="35"/>
  <c r="C57" i="49"/>
  <c r="Y49" i="35"/>
  <c r="N49" i="35"/>
  <c r="E57" i="49"/>
  <c r="I41" i="35"/>
  <c r="C41" i="43"/>
  <c r="H37" i="35"/>
  <c r="C45" i="49"/>
  <c r="N37" i="35"/>
  <c r="E45" i="49"/>
  <c r="H27" i="35"/>
  <c r="C35" i="49"/>
  <c r="N27" i="35"/>
  <c r="Z27" i="35"/>
  <c r="E52" i="50"/>
  <c r="R52" i="50"/>
  <c r="Q52" i="50"/>
  <c r="I39" i="50"/>
  <c r="P39" i="50"/>
  <c r="P37" i="50"/>
  <c r="E28" i="50"/>
  <c r="G28" i="50"/>
  <c r="Q28" i="50"/>
  <c r="R25" i="28"/>
  <c r="L25" i="28"/>
  <c r="D25" i="28"/>
  <c r="P25" i="28"/>
  <c r="C138" i="43"/>
  <c r="C106" i="43"/>
  <c r="H137" i="35"/>
  <c r="H79" i="49"/>
  <c r="I123" i="35"/>
  <c r="I106" i="35"/>
  <c r="I90" i="35"/>
  <c r="M135" i="35"/>
  <c r="I77" i="49"/>
  <c r="M119" i="35"/>
  <c r="I61" i="49"/>
  <c r="C42" i="43"/>
  <c r="M38" i="35"/>
  <c r="D46" i="49"/>
  <c r="Y38" i="35"/>
  <c r="M30" i="35"/>
  <c r="Y30" i="35"/>
  <c r="N60" i="35"/>
  <c r="E68" i="49"/>
  <c r="N28" i="35"/>
  <c r="N20" i="35"/>
  <c r="Z20" i="35"/>
  <c r="H38" i="35"/>
  <c r="C46" i="49"/>
  <c r="C24" i="49"/>
  <c r="Y136" i="3"/>
  <c r="AA136" i="3"/>
  <c r="AB136" i="3"/>
  <c r="D119" i="3"/>
  <c r="D99" i="3"/>
  <c r="Y96" i="3"/>
  <c r="AA96" i="3"/>
  <c r="AB96" i="3"/>
  <c r="D96" i="3"/>
  <c r="Y88" i="3"/>
  <c r="AA88" i="3"/>
  <c r="AB88" i="3"/>
  <c r="D88" i="3"/>
  <c r="Y87" i="3"/>
  <c r="AA87" i="3"/>
  <c r="AB87" i="3"/>
  <c r="D87" i="3"/>
  <c r="D82" i="3"/>
  <c r="Y80" i="3"/>
  <c r="D80" i="3"/>
  <c r="Y66" i="3"/>
  <c r="AA66" i="3"/>
  <c r="AB66" i="3"/>
  <c r="Y62" i="3"/>
  <c r="AA62" i="3"/>
  <c r="AB62" i="3"/>
  <c r="Y50" i="3"/>
  <c r="AA50" i="3"/>
  <c r="AB50" i="3"/>
  <c r="Y46" i="3"/>
  <c r="AA46" i="3"/>
  <c r="AB46" i="3"/>
  <c r="Y42" i="3"/>
  <c r="AA42" i="3"/>
  <c r="AB42" i="3"/>
  <c r="R27" i="30"/>
  <c r="C107" i="43"/>
  <c r="C103" i="43"/>
  <c r="C97" i="43"/>
  <c r="I131" i="35"/>
  <c r="I95" i="35"/>
  <c r="C65" i="43"/>
  <c r="C61" i="43"/>
  <c r="C57" i="43"/>
  <c r="C53" i="43"/>
  <c r="C47" i="43"/>
  <c r="C43" i="43"/>
  <c r="C39" i="43"/>
  <c r="C27" i="43"/>
  <c r="C21" i="43"/>
  <c r="I59" i="35"/>
  <c r="M19" i="35"/>
  <c r="D136" i="3"/>
  <c r="E32" i="3"/>
  <c r="C120" i="43"/>
  <c r="C109" i="43"/>
  <c r="C105" i="43"/>
  <c r="C93" i="43"/>
  <c r="C69" i="43"/>
  <c r="C49" i="43"/>
  <c r="C45" i="43"/>
  <c r="C37" i="43"/>
  <c r="C33" i="43"/>
  <c r="C29" i="43"/>
  <c r="C25" i="43"/>
  <c r="F216" i="30"/>
  <c r="R102" i="30"/>
  <c r="R38" i="30"/>
  <c r="R50" i="30"/>
  <c r="N64" i="30"/>
  <c r="K90" i="30"/>
  <c r="R104" i="30"/>
  <c r="O37" i="30"/>
  <c r="R105" i="30"/>
  <c r="N89" i="30"/>
  <c r="N38" i="30"/>
  <c r="R49" i="30"/>
  <c r="O42" i="30"/>
  <c r="R16" i="30"/>
  <c r="O52" i="30"/>
  <c r="N60" i="30"/>
  <c r="N63" i="30"/>
  <c r="K76" i="30"/>
  <c r="J65" i="30"/>
  <c r="N84" i="30"/>
  <c r="R19" i="30"/>
  <c r="N19" i="30"/>
  <c r="R14" i="30"/>
  <c r="R29" i="30"/>
  <c r="K104" i="30"/>
  <c r="T104" i="30"/>
  <c r="R17" i="30"/>
  <c r="J14" i="30"/>
  <c r="K54" i="30"/>
  <c r="T54" i="30"/>
  <c r="N79" i="30"/>
  <c r="J64" i="30"/>
  <c r="O56" i="30"/>
  <c r="O23" i="30"/>
  <c r="N67" i="30"/>
  <c r="O83" i="30"/>
  <c r="T83" i="30"/>
  <c r="O61" i="30"/>
  <c r="G216" i="30"/>
  <c r="O86" i="30"/>
  <c r="K37" i="30"/>
  <c r="R100" i="30"/>
  <c r="O77" i="30"/>
  <c r="O73" i="30"/>
  <c r="N36" i="30"/>
  <c r="R81" i="30"/>
  <c r="R77" i="30"/>
  <c r="R59" i="30"/>
  <c r="R94" i="30"/>
  <c r="N103" i="30"/>
  <c r="R55" i="30"/>
  <c r="R52" i="30"/>
  <c r="J94" i="30"/>
  <c r="O100" i="30"/>
  <c r="N93" i="30"/>
  <c r="O81" i="30"/>
  <c r="N35" i="30"/>
  <c r="K63" i="30"/>
  <c r="T63" i="30"/>
  <c r="N97" i="30"/>
  <c r="N59" i="30"/>
  <c r="R65" i="30"/>
  <c r="J47" i="30"/>
  <c r="R103" i="30"/>
  <c r="K50" i="30"/>
  <c r="K106" i="30"/>
  <c r="N66" i="30"/>
  <c r="K82" i="30"/>
  <c r="T82" i="30"/>
  <c r="K100" i="30"/>
  <c r="N49" i="30"/>
  <c r="O55" i="30"/>
  <c r="N96" i="30"/>
  <c r="N87" i="30"/>
  <c r="R90" i="30"/>
  <c r="R82" i="30"/>
  <c r="R74" i="30"/>
  <c r="N71" i="30"/>
  <c r="R78" i="30"/>
  <c r="R46" i="30"/>
  <c r="R75" i="30"/>
  <c r="N82" i="30"/>
  <c r="O39" i="30"/>
  <c r="N104" i="30"/>
  <c r="O92" i="30"/>
  <c r="O99" i="30"/>
  <c r="R36" i="30"/>
  <c r="O53" i="30"/>
  <c r="R96" i="30"/>
  <c r="R58" i="30"/>
  <c r="J81" i="30"/>
  <c r="R89" i="30"/>
  <c r="J49" i="30"/>
  <c r="J43" i="30"/>
  <c r="J93" i="30"/>
  <c r="J102" i="30"/>
  <c r="R68" i="30"/>
  <c r="R85" i="30"/>
  <c r="O74" i="30"/>
  <c r="T74" i="30"/>
  <c r="K52" i="30"/>
  <c r="J74" i="30"/>
  <c r="O57" i="30"/>
  <c r="R39" i="30"/>
  <c r="I277" i="41"/>
  <c r="F305" i="41"/>
  <c r="H305" i="41"/>
  <c r="C291" i="41"/>
  <c r="J277" i="41"/>
  <c r="C233" i="41"/>
  <c r="F233" i="41"/>
  <c r="F261" i="41"/>
  <c r="F266" i="41"/>
  <c r="C247" i="41"/>
  <c r="C259" i="41"/>
  <c r="B276" i="41"/>
  <c r="C261" i="41"/>
  <c r="A54" i="41"/>
  <c r="A55" i="41"/>
  <c r="L23" i="50"/>
  <c r="G70" i="50"/>
  <c r="T70" i="50"/>
  <c r="T196" i="30"/>
  <c r="T93" i="30"/>
  <c r="N44" i="22"/>
  <c r="D175" i="41"/>
  <c r="T43" i="30"/>
  <c r="K48" i="22"/>
  <c r="P48" i="22"/>
  <c r="L76" i="50"/>
  <c r="T146" i="30"/>
  <c r="J101" i="22"/>
  <c r="O48" i="22"/>
  <c r="T167" i="30"/>
  <c r="G32" i="50"/>
  <c r="G36" i="50"/>
  <c r="J39" i="22"/>
  <c r="O39" i="22"/>
  <c r="J35" i="22"/>
  <c r="L56" i="50"/>
  <c r="R14" i="50"/>
  <c r="K100" i="22"/>
  <c r="N41" i="22"/>
  <c r="L52" i="50"/>
  <c r="T211" i="30"/>
  <c r="T207" i="30"/>
  <c r="T194" i="30"/>
  <c r="T191" i="30"/>
  <c r="T159" i="30"/>
  <c r="T156" i="30"/>
  <c r="T152" i="30"/>
  <c r="T139" i="30"/>
  <c r="T117" i="30"/>
  <c r="L65" i="50"/>
  <c r="L33" i="50"/>
  <c r="K46" i="22"/>
  <c r="K104" i="22"/>
  <c r="O47" i="22"/>
  <c r="T206" i="30"/>
  <c r="T198" i="30"/>
  <c r="K53" i="22"/>
  <c r="F22" i="50"/>
  <c r="S22" i="50"/>
  <c r="M71" i="50"/>
  <c r="F81" i="50"/>
  <c r="M75" i="50"/>
  <c r="R27" i="50"/>
  <c r="L14" i="50"/>
  <c r="S14" i="50"/>
  <c r="G73" i="50"/>
  <c r="F74" i="50"/>
  <c r="L16" i="50"/>
  <c r="K52" i="22"/>
  <c r="J107" i="22"/>
  <c r="O54" i="22"/>
  <c r="M54" i="50"/>
  <c r="T54" i="50"/>
  <c r="L13" i="50"/>
  <c r="T81" i="50"/>
  <c r="R77" i="50"/>
  <c r="R75" i="50"/>
  <c r="R71" i="50"/>
  <c r="T147" i="30"/>
  <c r="T128" i="30"/>
  <c r="M19" i="50"/>
  <c r="T19" i="50"/>
  <c r="L83" i="50"/>
  <c r="M30" i="50"/>
  <c r="T30" i="50"/>
  <c r="G77" i="50"/>
  <c r="F12" i="50"/>
  <c r="J109" i="22"/>
  <c r="O56" i="22"/>
  <c r="F27" i="50"/>
  <c r="N35" i="22"/>
  <c r="T204" i="30"/>
  <c r="T197" i="30"/>
  <c r="T189" i="30"/>
  <c r="T188" i="30"/>
  <c r="T187" i="30"/>
  <c r="T186" i="30"/>
  <c r="T177" i="30"/>
  <c r="T170" i="30"/>
  <c r="T169" i="30"/>
  <c r="T135" i="30"/>
  <c r="K96" i="22"/>
  <c r="M55" i="50"/>
  <c r="R30" i="50"/>
  <c r="K54" i="22"/>
  <c r="P54" i="22"/>
  <c r="F30" i="50"/>
  <c r="N45" i="22"/>
  <c r="L15" i="50"/>
  <c r="L46" i="50"/>
  <c r="K106" i="22"/>
  <c r="K99" i="22"/>
  <c r="J49" i="22"/>
  <c r="T145" i="30"/>
  <c r="T140" i="30"/>
  <c r="T127" i="30"/>
  <c r="N39" i="22"/>
  <c r="K90" i="22"/>
  <c r="K47" i="22"/>
  <c r="K37" i="22"/>
  <c r="T184" i="30"/>
  <c r="T183" i="30"/>
  <c r="T182" i="30"/>
  <c r="T163" i="30"/>
  <c r="T132" i="30"/>
  <c r="T129" i="30"/>
  <c r="T118" i="30"/>
  <c r="T36" i="30"/>
  <c r="N47" i="22"/>
  <c r="G66" i="50"/>
  <c r="K110" i="22"/>
  <c r="P57" i="22"/>
  <c r="G14" i="50"/>
  <c r="J45" i="22"/>
  <c r="P38" i="22"/>
  <c r="R68" i="50"/>
  <c r="S36" i="50"/>
  <c r="T41" i="30"/>
  <c r="T33" i="30"/>
  <c r="G23" i="50"/>
  <c r="T23" i="50"/>
  <c r="R23" i="50"/>
  <c r="L77" i="50"/>
  <c r="L45" i="50"/>
  <c r="R81" i="50"/>
  <c r="F23" i="50"/>
  <c r="R48" i="30"/>
  <c r="L51" i="50"/>
  <c r="S51" i="50"/>
  <c r="M51" i="50"/>
  <c r="K38" i="30"/>
  <c r="T38" i="30"/>
  <c r="L70" i="50"/>
  <c r="M35" i="50"/>
  <c r="T35" i="50"/>
  <c r="F15" i="50"/>
  <c r="R15" i="50"/>
  <c r="T190" i="30"/>
  <c r="N101" i="30"/>
  <c r="O101" i="30"/>
  <c r="K98" i="30"/>
  <c r="T98" i="30"/>
  <c r="J98" i="30"/>
  <c r="O94" i="30"/>
  <c r="T94" i="30"/>
  <c r="N94" i="30"/>
  <c r="N90" i="30"/>
  <c r="O90" i="30"/>
  <c r="J72" i="30"/>
  <c r="R72" i="30"/>
  <c r="K72" i="30"/>
  <c r="K69" i="30"/>
  <c r="R69" i="30"/>
  <c r="J69" i="30"/>
  <c r="K62" i="30"/>
  <c r="R62" i="30"/>
  <c r="K59" i="30"/>
  <c r="T59" i="30"/>
  <c r="J59" i="30"/>
  <c r="J56" i="30"/>
  <c r="K56" i="30"/>
  <c r="R56" i="30"/>
  <c r="J51" i="30"/>
  <c r="R51" i="30"/>
  <c r="O28" i="30"/>
  <c r="N28" i="30"/>
  <c r="J25" i="30"/>
  <c r="R21" i="30"/>
  <c r="R18" i="30"/>
  <c r="O13" i="30"/>
  <c r="N13" i="30"/>
  <c r="R13" i="30"/>
  <c r="G71" i="50"/>
  <c r="F71" i="50"/>
  <c r="S71" i="50"/>
  <c r="O106" i="30"/>
  <c r="N106" i="30"/>
  <c r="J77" i="30"/>
  <c r="K77" i="30"/>
  <c r="N76" i="30"/>
  <c r="O76" i="30"/>
  <c r="N44" i="30"/>
  <c r="O44" i="30"/>
  <c r="R35" i="30"/>
  <c r="K35" i="30"/>
  <c r="T35" i="30"/>
  <c r="J35" i="30"/>
  <c r="O34" i="30"/>
  <c r="T34" i="30"/>
  <c r="R34" i="30"/>
  <c r="J12" i="30"/>
  <c r="L81" i="50"/>
  <c r="R42" i="30"/>
  <c r="K42" i="30"/>
  <c r="N11" i="30"/>
  <c r="N41" i="30"/>
  <c r="M27" i="50"/>
  <c r="T27" i="50"/>
  <c r="L27" i="50"/>
  <c r="N95" i="30"/>
  <c r="O95" i="30"/>
  <c r="J88" i="30"/>
  <c r="R88" i="30"/>
  <c r="K88" i="30"/>
  <c r="R80" i="30"/>
  <c r="R60" i="30"/>
  <c r="K60" i="30"/>
  <c r="T60" i="30"/>
  <c r="J57" i="30"/>
  <c r="R57" i="30"/>
  <c r="K57" i="30"/>
  <c r="K48" i="30"/>
  <c r="T48" i="30"/>
  <c r="J48" i="30"/>
  <c r="O47" i="30"/>
  <c r="T47" i="30"/>
  <c r="N47" i="30"/>
  <c r="J44" i="30"/>
  <c r="K44" i="30"/>
  <c r="N43" i="30"/>
  <c r="R43" i="30"/>
  <c r="R41" i="30"/>
  <c r="J41" i="30"/>
  <c r="J26" i="30"/>
  <c r="N25" i="30"/>
  <c r="O25" i="30"/>
  <c r="K81" i="30"/>
  <c r="R80" i="50"/>
  <c r="K50" i="22"/>
  <c r="K92" i="22"/>
  <c r="P39" i="22"/>
  <c r="F19" i="50"/>
  <c r="N37" i="22"/>
  <c r="N54" i="22"/>
  <c r="K80" i="30"/>
  <c r="R76" i="30"/>
  <c r="N14" i="30"/>
  <c r="J33" i="30"/>
  <c r="O88" i="30"/>
  <c r="R22" i="30"/>
  <c r="J11" i="30"/>
  <c r="R106" i="30"/>
  <c r="R47" i="30"/>
  <c r="R70" i="50"/>
  <c r="G80" i="50"/>
  <c r="G29" i="50"/>
  <c r="L68" i="50"/>
  <c r="N14" i="22"/>
  <c r="K67" i="22"/>
  <c r="O30" i="30"/>
  <c r="R79" i="30"/>
  <c r="R83" i="30"/>
  <c r="R54" i="30"/>
  <c r="J15" i="30"/>
  <c r="N48" i="30"/>
  <c r="R44" i="30"/>
  <c r="G17" i="50"/>
  <c r="T155" i="30"/>
  <c r="J101" i="30"/>
  <c r="K101" i="30"/>
  <c r="R71" i="30"/>
  <c r="K71" i="30"/>
  <c r="T71" i="30"/>
  <c r="J71" i="30"/>
  <c r="O70" i="30"/>
  <c r="R70" i="30"/>
  <c r="T209" i="30"/>
  <c r="T208" i="30"/>
  <c r="T200" i="30"/>
  <c r="T149" i="30"/>
  <c r="T138" i="30"/>
  <c r="T134" i="30"/>
  <c r="T126" i="30"/>
  <c r="T123" i="30"/>
  <c r="T116" i="30"/>
  <c r="R53" i="30"/>
  <c r="R24" i="30"/>
  <c r="R13" i="50"/>
  <c r="T185" i="30"/>
  <c r="T133" i="30"/>
  <c r="T122" i="30"/>
  <c r="R86" i="30"/>
  <c r="T67" i="30"/>
  <c r="M80" i="50"/>
  <c r="L80" i="50"/>
  <c r="L79" i="50"/>
  <c r="M79" i="50"/>
  <c r="M72" i="50"/>
  <c r="L72" i="50"/>
  <c r="R72" i="50"/>
  <c r="L69" i="50"/>
  <c r="R69" i="50"/>
  <c r="M69" i="50"/>
  <c r="G67" i="50"/>
  <c r="F67" i="50"/>
  <c r="S67" i="50"/>
  <c r="F65" i="50"/>
  <c r="R65" i="50"/>
  <c r="G65" i="50"/>
  <c r="L50" i="50"/>
  <c r="M50" i="50"/>
  <c r="G45" i="50"/>
  <c r="F45" i="50"/>
  <c r="R45" i="50"/>
  <c r="M66" i="50"/>
  <c r="N55" i="22"/>
  <c r="M20" i="50"/>
  <c r="L20" i="50"/>
  <c r="G26" i="50"/>
  <c r="F26" i="50"/>
  <c r="L53" i="50"/>
  <c r="M53" i="50"/>
  <c r="K108" i="22"/>
  <c r="J108" i="22"/>
  <c r="K103" i="22"/>
  <c r="J103" i="22"/>
  <c r="O50" i="22"/>
  <c r="N50" i="22"/>
  <c r="R55" i="50"/>
  <c r="K89" i="22"/>
  <c r="J89" i="22"/>
  <c r="L34" i="50"/>
  <c r="S34" i="50"/>
  <c r="M34" i="50"/>
  <c r="R31" i="50"/>
  <c r="F31" i="50"/>
  <c r="G31" i="50"/>
  <c r="R22" i="50"/>
  <c r="M22" i="50"/>
  <c r="L17" i="50"/>
  <c r="R17" i="50"/>
  <c r="L12" i="50"/>
  <c r="M12" i="50"/>
  <c r="T12" i="50"/>
  <c r="L24" i="50"/>
  <c r="M24" i="50"/>
  <c r="R67" i="50"/>
  <c r="T157" i="30"/>
  <c r="M77" i="50"/>
  <c r="J97" i="22"/>
  <c r="M36" i="50"/>
  <c r="R12" i="50"/>
  <c r="M67" i="50"/>
  <c r="F21" i="50"/>
  <c r="L49" i="50"/>
  <c r="T15" i="50"/>
  <c r="J175" i="41"/>
  <c r="O53" i="22"/>
  <c r="O46" i="22"/>
  <c r="N40" i="22"/>
  <c r="N36" i="22"/>
  <c r="M82" i="50"/>
  <c r="R82" i="50"/>
  <c r="R76" i="50"/>
  <c r="F69" i="50"/>
  <c r="G69" i="50"/>
  <c r="S66" i="50"/>
  <c r="F55" i="50"/>
  <c r="G55" i="50"/>
  <c r="T210" i="30"/>
  <c r="T202" i="30"/>
  <c r="T201" i="30"/>
  <c r="T193" i="30"/>
  <c r="T192" i="30"/>
  <c r="T172" i="30"/>
  <c r="T171" i="30"/>
  <c r="T120" i="30"/>
  <c r="T119" i="30"/>
  <c r="T49" i="30"/>
  <c r="G76" i="50"/>
  <c r="F13" i="50"/>
  <c r="K40" i="22"/>
  <c r="R66" i="50"/>
  <c r="R83" i="50"/>
  <c r="F72" i="50"/>
  <c r="G175" i="41"/>
  <c r="F83" i="50"/>
  <c r="K105" i="22"/>
  <c r="J105" i="22"/>
  <c r="J98" i="22"/>
  <c r="K98" i="22"/>
  <c r="P45" i="22"/>
  <c r="J94" i="22"/>
  <c r="K94" i="22"/>
  <c r="O37" i="22"/>
  <c r="K88" i="22"/>
  <c r="P35" i="22"/>
  <c r="J88" i="22"/>
  <c r="N56" i="22"/>
  <c r="K56" i="22"/>
  <c r="P56" i="22"/>
  <c r="N46" i="22"/>
  <c r="K43" i="22"/>
  <c r="N43" i="22"/>
  <c r="T83" i="50"/>
  <c r="R21" i="50"/>
  <c r="T87" i="30"/>
  <c r="T199" i="30"/>
  <c r="T168" i="30"/>
  <c r="T166" i="30"/>
  <c r="T165" i="30"/>
  <c r="T164" i="30"/>
  <c r="T158" i="30"/>
  <c r="T154" i="30"/>
  <c r="T153" i="30"/>
  <c r="T150" i="30"/>
  <c r="T142" i="30"/>
  <c r="K66" i="22"/>
  <c r="J66" i="22"/>
  <c r="J44" i="22"/>
  <c r="K44" i="22"/>
  <c r="P44" i="22"/>
  <c r="J36" i="22"/>
  <c r="K36" i="22"/>
  <c r="G33" i="50"/>
  <c r="R33" i="50"/>
  <c r="L32" i="50"/>
  <c r="M32" i="50"/>
  <c r="R32" i="50"/>
  <c r="M29" i="50"/>
  <c r="L29" i="50"/>
  <c r="S29" i="50"/>
  <c r="M26" i="50"/>
  <c r="R26" i="50"/>
  <c r="L26" i="50"/>
  <c r="T66" i="30"/>
  <c r="L48" i="50"/>
  <c r="N57" i="22"/>
  <c r="J57" i="22"/>
  <c r="N48" i="22"/>
  <c r="L18" i="50"/>
  <c r="M18" i="50"/>
  <c r="F75" i="50"/>
  <c r="G75" i="50"/>
  <c r="M74" i="50"/>
  <c r="L74" i="50"/>
  <c r="G68" i="50"/>
  <c r="T68" i="50"/>
  <c r="F68" i="50"/>
  <c r="R48" i="50"/>
  <c r="F35" i="50"/>
  <c r="S35" i="50"/>
  <c r="R35" i="50"/>
  <c r="R19" i="50"/>
  <c r="O43" i="22"/>
  <c r="M25" i="50"/>
  <c r="K55" i="22"/>
  <c r="J55" i="22"/>
  <c r="K51" i="22"/>
  <c r="N51" i="22"/>
  <c r="J51" i="22"/>
  <c r="N42" i="22"/>
  <c r="K42" i="22"/>
  <c r="J38" i="22"/>
  <c r="N38" i="22"/>
  <c r="F79" i="50"/>
  <c r="G79" i="50"/>
  <c r="R79" i="50"/>
  <c r="L78" i="50"/>
  <c r="M78" i="50"/>
  <c r="F46" i="50"/>
  <c r="G46" i="50"/>
  <c r="G13" i="50"/>
  <c r="N53" i="22"/>
  <c r="R36" i="50"/>
  <c r="J91" i="22"/>
  <c r="R78" i="50"/>
  <c r="G51" i="50"/>
  <c r="R46" i="50"/>
  <c r="F76" i="50"/>
  <c r="L25" i="50"/>
  <c r="F33" i="50"/>
  <c r="M17" i="50"/>
  <c r="J102" i="22"/>
  <c r="N49" i="22"/>
  <c r="K102" i="22"/>
  <c r="P49" i="22"/>
  <c r="K41" i="22"/>
  <c r="J41" i="22"/>
  <c r="F82" i="50"/>
  <c r="G82" i="50"/>
  <c r="L47" i="50"/>
  <c r="M47" i="50"/>
  <c r="R73" i="50"/>
  <c r="F78" i="50"/>
  <c r="G49" i="50"/>
  <c r="R18" i="50"/>
  <c r="G34" i="50"/>
  <c r="G50" i="50"/>
  <c r="F50" i="50"/>
  <c r="R50" i="50"/>
  <c r="J95" i="22"/>
  <c r="O42" i="22"/>
  <c r="K95" i="22"/>
  <c r="K93" i="22"/>
  <c r="J93" i="22"/>
  <c r="O40" i="22"/>
  <c r="F54" i="50"/>
  <c r="R54" i="50"/>
  <c r="G48" i="50"/>
  <c r="M31" i="50"/>
  <c r="L31" i="50"/>
  <c r="R29" i="50"/>
  <c r="M21" i="50"/>
  <c r="G18" i="50"/>
  <c r="T136" i="30"/>
  <c r="T14" i="30"/>
  <c r="L28" i="50"/>
  <c r="M28" i="50"/>
  <c r="T203" i="30"/>
  <c r="T173" i="30"/>
  <c r="T131" i="30"/>
  <c r="T130" i="30"/>
  <c r="R49" i="50"/>
  <c r="L82" i="50"/>
  <c r="R34" i="50"/>
  <c r="T64" i="30"/>
  <c r="M73" i="50"/>
  <c r="L73" i="50"/>
  <c r="S73" i="50"/>
  <c r="T179" i="30"/>
  <c r="T178" i="30"/>
  <c r="T181" i="30"/>
  <c r="T148" i="30"/>
  <c r="T141" i="30"/>
  <c r="T124" i="30"/>
  <c r="I27" i="39"/>
  <c r="R63" i="30"/>
  <c r="R33" i="30"/>
  <c r="R61" i="30"/>
  <c r="J67" i="30"/>
  <c r="R73" i="30"/>
  <c r="R12" i="30"/>
  <c r="K53" i="30"/>
  <c r="O51" i="30"/>
  <c r="T51" i="30"/>
  <c r="R99" i="30"/>
  <c r="J85" i="30"/>
  <c r="J29" i="30"/>
  <c r="O46" i="30"/>
  <c r="N33" i="30"/>
  <c r="K61" i="30"/>
  <c r="R87" i="30"/>
  <c r="R31" i="30"/>
  <c r="R15" i="30"/>
  <c r="R67" i="30"/>
  <c r="R93" i="30"/>
  <c r="R91" i="30"/>
  <c r="N12" i="30"/>
  <c r="J62" i="30"/>
  <c r="J24" i="30"/>
  <c r="O20" i="30"/>
  <c r="O31" i="30"/>
  <c r="K103" i="30"/>
  <c r="T103" i="30"/>
  <c r="O68" i="30"/>
  <c r="R23" i="30"/>
  <c r="J87" i="30"/>
  <c r="J83" i="30"/>
  <c r="K79" i="30"/>
  <c r="T79" i="30"/>
  <c r="K75" i="30"/>
  <c r="O91" i="30"/>
  <c r="T91" i="30"/>
  <c r="N98" i="30"/>
  <c r="T176" i="30"/>
  <c r="T175" i="30"/>
  <c r="T174" i="30"/>
  <c r="T137" i="30"/>
  <c r="R95" i="30"/>
  <c r="O21" i="30"/>
  <c r="R11" i="30"/>
  <c r="R37" i="30"/>
  <c r="T205" i="30"/>
  <c r="T195" i="30"/>
  <c r="T180" i="30"/>
  <c r="T151" i="30"/>
  <c r="R92" i="30"/>
  <c r="B482" i="28"/>
  <c r="A114" i="49"/>
  <c r="E107" i="35"/>
  <c r="T41" i="35"/>
  <c r="P40" i="3"/>
  <c r="B106" i="3"/>
  <c r="A179" i="49"/>
  <c r="A41" i="43"/>
  <c r="B40" i="3"/>
  <c r="A49" i="49"/>
  <c r="A107" i="43"/>
  <c r="A39" i="49"/>
  <c r="A169" i="49"/>
  <c r="A97" i="43"/>
  <c r="E97" i="35"/>
  <c r="B30" i="3"/>
  <c r="A31" i="43"/>
  <c r="B96" i="3"/>
  <c r="T31" i="35"/>
  <c r="A104" i="49"/>
  <c r="P30" i="3"/>
  <c r="B326" i="28"/>
  <c r="F15" i="41"/>
  <c r="I14" i="49"/>
  <c r="A195" i="49"/>
  <c r="F57" i="35"/>
  <c r="C57" i="35"/>
  <c r="P56" i="3"/>
  <c r="B122" i="3"/>
  <c r="A130" i="49"/>
  <c r="B56" i="3"/>
  <c r="A65" i="49"/>
  <c r="A57" i="43"/>
  <c r="E123" i="35"/>
  <c r="T57" i="35"/>
  <c r="A123" i="43"/>
  <c r="B262" i="28"/>
  <c r="B397" i="28"/>
  <c r="F72" i="35"/>
  <c r="B71" i="3"/>
  <c r="P71" i="3"/>
  <c r="E138" i="35"/>
  <c r="A145" i="49"/>
  <c r="T72" i="35"/>
  <c r="B137" i="3"/>
  <c r="A210" i="49"/>
  <c r="A80" i="49"/>
  <c r="A138" i="43"/>
  <c r="A72" i="43"/>
  <c r="B316" i="28"/>
  <c r="A163" i="49"/>
  <c r="A25" i="43"/>
  <c r="E91" i="35"/>
  <c r="A91" i="43"/>
  <c r="B90" i="3"/>
  <c r="A98" i="49"/>
  <c r="A33" i="49"/>
  <c r="B24" i="3"/>
  <c r="T25" i="35"/>
  <c r="P24" i="3"/>
  <c r="P57" i="3"/>
  <c r="A66" i="49"/>
  <c r="E124" i="35"/>
  <c r="A131" i="49"/>
  <c r="F58" i="35"/>
  <c r="C58" i="35"/>
  <c r="B57" i="3"/>
  <c r="A124" i="43"/>
  <c r="A58" i="43"/>
  <c r="A196" i="49"/>
  <c r="T58" i="35"/>
  <c r="B123" i="3"/>
  <c r="B108" i="3"/>
  <c r="A181" i="49"/>
  <c r="B42" i="3"/>
  <c r="A43" i="43"/>
  <c r="A109" i="43"/>
  <c r="E109" i="35"/>
  <c r="A116" i="49"/>
  <c r="T43" i="35"/>
  <c r="A51" i="49"/>
  <c r="P42" i="3"/>
  <c r="A35" i="41"/>
  <c r="B384" i="28"/>
  <c r="B175" i="28"/>
  <c r="B202" i="28"/>
  <c r="B259" i="28"/>
  <c r="B460" i="28"/>
  <c r="B302" i="28"/>
  <c r="B407" i="28"/>
  <c r="B472" i="28"/>
  <c r="A90" i="43"/>
  <c r="P23" i="3"/>
  <c r="B89" i="3"/>
  <c r="A97" i="49"/>
  <c r="A32" i="49"/>
  <c r="T24" i="35"/>
  <c r="A162" i="49"/>
  <c r="A24" i="43"/>
  <c r="E90" i="35"/>
  <c r="B23" i="3"/>
  <c r="B104" i="3"/>
  <c r="A112" i="49"/>
  <c r="E105" i="35"/>
  <c r="T39" i="35"/>
  <c r="A47" i="49"/>
  <c r="A105" i="43"/>
  <c r="B38" i="3"/>
  <c r="P38" i="3"/>
  <c r="A39" i="43"/>
  <c r="A177" i="49"/>
  <c r="E133" i="35"/>
  <c r="T67" i="35"/>
  <c r="A133" i="43"/>
  <c r="B66" i="3"/>
  <c r="F67" i="35"/>
  <c r="C67" i="35"/>
  <c r="A75" i="49"/>
  <c r="A67" i="43"/>
  <c r="A205" i="49"/>
  <c r="A140" i="49"/>
  <c r="P66" i="3"/>
  <c r="B132" i="3"/>
  <c r="B82" i="3"/>
  <c r="E83" i="35"/>
  <c r="T17" i="35"/>
  <c r="P16" i="3"/>
  <c r="A90" i="49"/>
  <c r="B16" i="3"/>
  <c r="A17" i="43"/>
  <c r="A25" i="49"/>
  <c r="A155" i="49"/>
  <c r="A83" i="43"/>
  <c r="B193" i="28"/>
  <c r="B70" i="28"/>
  <c r="B399" i="28"/>
  <c r="B410" i="28"/>
  <c r="B376" i="28"/>
  <c r="B186" i="28"/>
  <c r="B190" i="28"/>
  <c r="B167" i="28"/>
  <c r="B257" i="28"/>
  <c r="B133" i="28"/>
  <c r="B379" i="28"/>
  <c r="B424" i="28"/>
  <c r="B150" i="28"/>
  <c r="B502" i="28"/>
  <c r="B136" i="28"/>
  <c r="B454" i="28"/>
  <c r="B247" i="28"/>
  <c r="A64" i="43"/>
  <c r="A137" i="49"/>
  <c r="A130" i="43"/>
  <c r="B63" i="3"/>
  <c r="T64" i="35"/>
  <c r="P63" i="3"/>
  <c r="A202" i="49"/>
  <c r="F64" i="35"/>
  <c r="C64" i="35"/>
  <c r="B129" i="3"/>
  <c r="E130" i="35"/>
  <c r="A72" i="49"/>
  <c r="A34" i="43"/>
  <c r="A172" i="49"/>
  <c r="A42" i="49"/>
  <c r="B33" i="3"/>
  <c r="E100" i="35"/>
  <c r="A107" i="49"/>
  <c r="B99" i="3"/>
  <c r="A100" i="43"/>
  <c r="P33" i="3"/>
  <c r="T34" i="35"/>
  <c r="A135" i="49"/>
  <c r="P61" i="3"/>
  <c r="A128" i="43"/>
  <c r="A70" i="49"/>
  <c r="T62" i="35"/>
  <c r="B127" i="3"/>
  <c r="A200" i="49"/>
  <c r="B61" i="3"/>
  <c r="E128" i="35"/>
  <c r="A62" i="43"/>
  <c r="F62" i="35"/>
  <c r="C62" i="35"/>
  <c r="F48" i="35"/>
  <c r="A121" i="49"/>
  <c r="A186" i="49"/>
  <c r="B47" i="3"/>
  <c r="E114" i="35"/>
  <c r="A48" i="43"/>
  <c r="T48" i="35"/>
  <c r="B113" i="3"/>
  <c r="A56" i="49"/>
  <c r="P47" i="3"/>
  <c r="A114" i="43"/>
  <c r="B154" i="28"/>
  <c r="B153" i="28"/>
  <c r="B215" i="28"/>
  <c r="B224" i="28"/>
  <c r="B264" i="28"/>
  <c r="B464" i="28"/>
  <c r="A39" i="41"/>
  <c r="A184" i="49"/>
  <c r="F46" i="35"/>
  <c r="C46" i="35"/>
  <c r="B111" i="3"/>
  <c r="A119" i="49"/>
  <c r="P45" i="3"/>
  <c r="E112" i="35"/>
  <c r="A46" i="43"/>
  <c r="A112" i="43"/>
  <c r="A54" i="49"/>
  <c r="T46" i="35"/>
  <c r="B45" i="3"/>
  <c r="B105" i="3"/>
  <c r="T40" i="35"/>
  <c r="B39" i="3"/>
  <c r="P39" i="3"/>
  <c r="A48" i="49"/>
  <c r="E106" i="35"/>
  <c r="A113" i="49"/>
  <c r="A178" i="49"/>
  <c r="A106" i="43"/>
  <c r="A40" i="43"/>
  <c r="P37" i="3"/>
  <c r="A111" i="49"/>
  <c r="B103" i="3"/>
  <c r="T38" i="35"/>
  <c r="A104" i="43"/>
  <c r="A176" i="49"/>
  <c r="A38" i="43"/>
  <c r="E104" i="35"/>
  <c r="A46" i="49"/>
  <c r="B37" i="3"/>
  <c r="F3" i="45"/>
  <c r="A124" i="49"/>
  <c r="A189" i="49"/>
  <c r="B116" i="3"/>
  <c r="E117" i="35"/>
  <c r="F51" i="35"/>
  <c r="A51" i="43"/>
  <c r="A117" i="43"/>
  <c r="P50" i="3"/>
  <c r="B50" i="3"/>
  <c r="T51" i="35"/>
  <c r="A59" i="49"/>
  <c r="B88" i="3"/>
  <c r="A96" i="49"/>
  <c r="B22" i="3"/>
  <c r="A23" i="43"/>
  <c r="A161" i="49"/>
  <c r="P22" i="3"/>
  <c r="A89" i="43"/>
  <c r="E89" i="35"/>
  <c r="T23" i="35"/>
  <c r="A31" i="49"/>
  <c r="T16" i="35"/>
  <c r="B15" i="3"/>
  <c r="E82" i="35"/>
  <c r="A154" i="49"/>
  <c r="B81" i="3"/>
  <c r="A82" i="43"/>
  <c r="A16" i="43"/>
  <c r="A24" i="49"/>
  <c r="A89" i="49"/>
  <c r="P15" i="3"/>
  <c r="T50" i="35"/>
  <c r="B115" i="3"/>
  <c r="A123" i="49"/>
  <c r="P49" i="3"/>
  <c r="A188" i="49"/>
  <c r="A58" i="49"/>
  <c r="E116" i="35"/>
  <c r="A116" i="43"/>
  <c r="B49" i="3"/>
  <c r="A50" i="43"/>
  <c r="F50" i="35"/>
  <c r="C50" i="35"/>
  <c r="B83" i="3"/>
  <c r="T18" i="35"/>
  <c r="A91" i="49"/>
  <c r="E84" i="35"/>
  <c r="A18" i="43"/>
  <c r="A156" i="49"/>
  <c r="A26" i="49"/>
  <c r="B17" i="3"/>
  <c r="A84" i="43"/>
  <c r="P17" i="3"/>
  <c r="A108" i="43"/>
  <c r="A50" i="49"/>
  <c r="P41" i="3"/>
  <c r="B107" i="3"/>
  <c r="A42" i="43"/>
  <c r="T42" i="35"/>
  <c r="A180" i="49"/>
  <c r="B41" i="3"/>
  <c r="E108" i="35"/>
  <c r="A115" i="49"/>
  <c r="T22" i="35"/>
  <c r="B87" i="3"/>
  <c r="A22" i="43"/>
  <c r="A30" i="49"/>
  <c r="A95" i="49"/>
  <c r="E88" i="35"/>
  <c r="A88" i="43"/>
  <c r="P21" i="3"/>
  <c r="A160" i="49"/>
  <c r="B21" i="3"/>
  <c r="A199" i="49"/>
  <c r="T61" i="35"/>
  <c r="A69" i="49"/>
  <c r="A61" i="43"/>
  <c r="B126" i="3"/>
  <c r="E127" i="35"/>
  <c r="A134" i="49"/>
  <c r="A127" i="43"/>
  <c r="B60" i="3"/>
  <c r="P60" i="3"/>
  <c r="F61" i="35"/>
  <c r="C61" i="35"/>
  <c r="A174" i="49"/>
  <c r="P35" i="3"/>
  <c r="E102" i="35"/>
  <c r="T36" i="35"/>
  <c r="A44" i="49"/>
  <c r="A102" i="43"/>
  <c r="B35" i="3"/>
  <c r="A36" i="43"/>
  <c r="A109" i="49"/>
  <c r="B101" i="3"/>
  <c r="P25" i="3"/>
  <c r="A26" i="43"/>
  <c r="T26" i="35"/>
  <c r="A99" i="49"/>
  <c r="E92" i="35"/>
  <c r="B91" i="3"/>
  <c r="A34" i="49"/>
  <c r="A92" i="43"/>
  <c r="A164" i="49"/>
  <c r="B25" i="3"/>
  <c r="B290" i="28"/>
  <c r="B105" i="28"/>
  <c r="B222" i="28"/>
  <c r="B346" i="28"/>
  <c r="B68" i="28"/>
  <c r="B171" i="28"/>
  <c r="B108" i="28"/>
  <c r="B479" i="28"/>
  <c r="B387" i="28"/>
  <c r="B296" i="28"/>
  <c r="B131" i="28"/>
  <c r="B56" i="28"/>
  <c r="B315" i="28"/>
  <c r="B367" i="28"/>
  <c r="B38" i="28"/>
  <c r="B484" i="28"/>
  <c r="B137" i="28"/>
  <c r="B275" i="28"/>
  <c r="B330" i="28"/>
  <c r="B378" i="28"/>
  <c r="B117" i="28"/>
  <c r="B497" i="28"/>
  <c r="B54" i="28"/>
  <c r="B416" i="28"/>
  <c r="B269" i="28"/>
  <c r="B362" i="28"/>
  <c r="A36" i="41"/>
  <c r="T37" i="35"/>
  <c r="E103" i="35"/>
  <c r="A175" i="49"/>
  <c r="B102" i="3"/>
  <c r="A45" i="49"/>
  <c r="B36" i="3"/>
  <c r="A103" i="43"/>
  <c r="A37" i="43"/>
  <c r="A110" i="49"/>
  <c r="P36" i="3"/>
  <c r="B128" i="3"/>
  <c r="A129" i="43"/>
  <c r="A201" i="49"/>
  <c r="B62" i="3"/>
  <c r="E129" i="35"/>
  <c r="F63" i="35"/>
  <c r="C63" i="35"/>
  <c r="A63" i="43"/>
  <c r="A136" i="49"/>
  <c r="P62" i="3"/>
  <c r="A71" i="49"/>
  <c r="T63" i="35"/>
  <c r="B84" i="3"/>
  <c r="T19" i="35"/>
  <c r="A157" i="49"/>
  <c r="P18" i="3"/>
  <c r="A85" i="43"/>
  <c r="A19" i="43"/>
  <c r="A27" i="49"/>
  <c r="A92" i="49"/>
  <c r="E85" i="35"/>
  <c r="B18" i="3"/>
  <c r="B133" i="3"/>
  <c r="F68" i="35"/>
  <c r="A206" i="49"/>
  <c r="A76" i="49"/>
  <c r="P67" i="3"/>
  <c r="A134" i="43"/>
  <c r="A68" i="43"/>
  <c r="E134" i="35"/>
  <c r="B67" i="3"/>
  <c r="A141" i="49"/>
  <c r="T68" i="35"/>
  <c r="A187" i="49"/>
  <c r="A57" i="49"/>
  <c r="A122" i="49"/>
  <c r="P48" i="3"/>
  <c r="F49" i="35"/>
  <c r="C49" i="35"/>
  <c r="E115" i="35"/>
  <c r="A49" i="43"/>
  <c r="B114" i="3"/>
  <c r="B48" i="3"/>
  <c r="A115" i="43"/>
  <c r="T49" i="35"/>
  <c r="A153" i="49"/>
  <c r="A23" i="49"/>
  <c r="A81" i="43"/>
  <c r="A15" i="43"/>
  <c r="E81" i="35"/>
  <c r="P14" i="3"/>
  <c r="T15" i="35"/>
  <c r="B14" i="3"/>
  <c r="A88" i="49"/>
  <c r="B80" i="3"/>
  <c r="A63" i="49"/>
  <c r="F55" i="35"/>
  <c r="C55" i="35"/>
  <c r="T55" i="35"/>
  <c r="B120" i="3"/>
  <c r="P54" i="3"/>
  <c r="E121" i="35"/>
  <c r="A128" i="49"/>
  <c r="A55" i="43"/>
  <c r="A193" i="49"/>
  <c r="B54" i="3"/>
  <c r="A121" i="43"/>
  <c r="E119" i="35"/>
  <c r="B118" i="3"/>
  <c r="B52" i="3"/>
  <c r="T53" i="35"/>
  <c r="P52" i="3"/>
  <c r="F53" i="35"/>
  <c r="C53" i="35"/>
  <c r="A191" i="49"/>
  <c r="A53" i="43"/>
  <c r="A119" i="43"/>
  <c r="A61" i="49"/>
  <c r="A126" i="49"/>
  <c r="A96" i="43"/>
  <c r="T30" i="35"/>
  <c r="A30" i="43"/>
  <c r="A38" i="49"/>
  <c r="A103" i="49"/>
  <c r="A168" i="49"/>
  <c r="P29" i="3"/>
  <c r="E96" i="35"/>
  <c r="B29" i="3"/>
  <c r="B95" i="3"/>
  <c r="A93" i="49"/>
  <c r="P19" i="3"/>
  <c r="B85" i="3"/>
  <c r="A28" i="49"/>
  <c r="E86" i="35"/>
  <c r="A158" i="49"/>
  <c r="T20" i="35"/>
  <c r="B19" i="3"/>
  <c r="A86" i="43"/>
  <c r="A20" i="43"/>
  <c r="A185" i="49"/>
  <c r="B46" i="3"/>
  <c r="F47" i="35"/>
  <c r="C47" i="35"/>
  <c r="A120" i="49"/>
  <c r="T47" i="35"/>
  <c r="A47" i="43"/>
  <c r="E113" i="35"/>
  <c r="A55" i="49"/>
  <c r="P46" i="3"/>
  <c r="A113" i="43"/>
  <c r="B112" i="3"/>
  <c r="F60" i="35"/>
  <c r="C60" i="35"/>
  <c r="T60" i="35"/>
  <c r="E126" i="35"/>
  <c r="B59" i="3"/>
  <c r="P59" i="3"/>
  <c r="A133" i="49"/>
  <c r="A60" i="43"/>
  <c r="A198" i="49"/>
  <c r="B125" i="3"/>
  <c r="A126" i="43"/>
  <c r="A68" i="49"/>
  <c r="P20" i="3"/>
  <c r="B20" i="3"/>
  <c r="A94" i="49"/>
  <c r="B86" i="3"/>
  <c r="A29" i="49"/>
  <c r="E87" i="35"/>
  <c r="A87" i="43"/>
  <c r="A21" i="43"/>
  <c r="A159" i="49"/>
  <c r="T21" i="35"/>
  <c r="E99" i="35"/>
  <c r="A171" i="49"/>
  <c r="A41" i="49"/>
  <c r="T33" i="35"/>
  <c r="B32" i="3"/>
  <c r="A99" i="43"/>
  <c r="A33" i="43"/>
  <c r="A106" i="49"/>
  <c r="P32" i="3"/>
  <c r="B98" i="3"/>
  <c r="A125" i="43"/>
  <c r="P58" i="3"/>
  <c r="F59" i="35"/>
  <c r="A67" i="49"/>
  <c r="T59" i="35"/>
  <c r="B58" i="3"/>
  <c r="B124" i="3"/>
  <c r="E125" i="35"/>
  <c r="A197" i="49"/>
  <c r="A132" i="49"/>
  <c r="A59" i="43"/>
  <c r="B26" i="3"/>
  <c r="P26" i="3"/>
  <c r="A93" i="43"/>
  <c r="A165" i="49"/>
  <c r="A100" i="49"/>
  <c r="E93" i="35"/>
  <c r="A27" i="43"/>
  <c r="T27" i="35"/>
  <c r="B92" i="3"/>
  <c r="A35" i="49"/>
  <c r="B498" i="28"/>
  <c r="B345" i="28"/>
  <c r="B490" i="28"/>
  <c r="B277" i="28"/>
  <c r="B178" i="28"/>
  <c r="B342" i="28"/>
  <c r="B212" i="28"/>
  <c r="B328" i="28"/>
  <c r="B486" i="28"/>
  <c r="B505" i="28"/>
  <c r="B39" i="28"/>
  <c r="B244" i="28"/>
  <c r="B433" i="28"/>
  <c r="B119" i="28"/>
  <c r="B420" i="28"/>
  <c r="B135" i="28"/>
  <c r="B129" i="28"/>
  <c r="B343" i="28"/>
  <c r="B426" i="28"/>
  <c r="B371" i="28"/>
  <c r="B468" i="28"/>
  <c r="B76" i="28"/>
  <c r="B203" i="28"/>
  <c r="B413" i="28"/>
  <c r="B53" i="28"/>
  <c r="B311" i="28"/>
  <c r="B337" i="28"/>
  <c r="B61" i="28"/>
  <c r="B163" i="28"/>
  <c r="B57" i="28"/>
  <c r="B270" i="28"/>
  <c r="B249" i="28"/>
  <c r="B71" i="28"/>
  <c r="B288" i="28"/>
  <c r="B299" i="28"/>
  <c r="B333" i="28"/>
  <c r="B210" i="28"/>
  <c r="B308" i="28"/>
  <c r="B294" i="28"/>
  <c r="T65" i="35"/>
  <c r="B64" i="3"/>
  <c r="A73" i="49"/>
  <c r="P64" i="3"/>
  <c r="B130" i="3"/>
  <c r="F65" i="35"/>
  <c r="C65" i="35"/>
  <c r="E131" i="35"/>
  <c r="A65" i="43"/>
  <c r="A131" i="43"/>
  <c r="A203" i="49"/>
  <c r="A138" i="49"/>
  <c r="A135" i="43"/>
  <c r="A69" i="43"/>
  <c r="F69" i="35"/>
  <c r="C69" i="35"/>
  <c r="T69" i="35"/>
  <c r="A77" i="49"/>
  <c r="B134" i="3"/>
  <c r="P68" i="3"/>
  <c r="E135" i="35"/>
  <c r="A142" i="49"/>
  <c r="B68" i="3"/>
  <c r="A207" i="49"/>
  <c r="B131" i="3"/>
  <c r="E132" i="35"/>
  <c r="F66" i="35"/>
  <c r="C66" i="35"/>
  <c r="P65" i="3"/>
  <c r="A66" i="43"/>
  <c r="A139" i="49"/>
  <c r="A74" i="49"/>
  <c r="A204" i="49"/>
  <c r="B65" i="3"/>
  <c r="A132" i="43"/>
  <c r="T66" i="35"/>
  <c r="A64" i="49"/>
  <c r="B121" i="3"/>
  <c r="F56" i="35"/>
  <c r="A129" i="49"/>
  <c r="T56" i="35"/>
  <c r="A122" i="43"/>
  <c r="A56" i="43"/>
  <c r="A194" i="49"/>
  <c r="B55" i="3"/>
  <c r="E122" i="35"/>
  <c r="P55" i="3"/>
  <c r="A140" i="43"/>
  <c r="E140" i="35"/>
  <c r="T74" i="35"/>
  <c r="A147" i="49"/>
  <c r="B73" i="3"/>
  <c r="A74" i="43"/>
  <c r="P73" i="3"/>
  <c r="A82" i="49"/>
  <c r="F74" i="35"/>
  <c r="C74" i="35"/>
  <c r="A212" i="49"/>
  <c r="B139" i="3"/>
  <c r="T52" i="35"/>
  <c r="A125" i="49"/>
  <c r="P51" i="3"/>
  <c r="A52" i="43"/>
  <c r="A60" i="49"/>
  <c r="A118" i="43"/>
  <c r="E118" i="35"/>
  <c r="F52" i="35"/>
  <c r="C52" i="35"/>
  <c r="B117" i="3"/>
  <c r="A190" i="49"/>
  <c r="B51" i="3"/>
  <c r="B44" i="3"/>
  <c r="A45" i="43"/>
  <c r="A111" i="43"/>
  <c r="E111" i="35"/>
  <c r="A118" i="49"/>
  <c r="P44" i="3"/>
  <c r="A183" i="49"/>
  <c r="F45" i="35"/>
  <c r="A53" i="49"/>
  <c r="B110" i="3"/>
  <c r="T45" i="35"/>
  <c r="T70" i="35"/>
  <c r="F70" i="35"/>
  <c r="C70" i="35"/>
  <c r="B135" i="3"/>
  <c r="A70" i="43"/>
  <c r="A208" i="49"/>
  <c r="P69" i="3"/>
  <c r="E136" i="35"/>
  <c r="A78" i="49"/>
  <c r="A143" i="49"/>
  <c r="A136" i="43"/>
  <c r="B69" i="3"/>
  <c r="A211" i="49"/>
  <c r="B72" i="3"/>
  <c r="A73" i="43"/>
  <c r="P72" i="3"/>
  <c r="F73" i="35"/>
  <c r="C73" i="35"/>
  <c r="A139" i="43"/>
  <c r="A146" i="49"/>
  <c r="T73" i="35"/>
  <c r="E139" i="35"/>
  <c r="B138" i="3"/>
  <c r="A81" i="49"/>
  <c r="B97" i="3"/>
  <c r="A98" i="43"/>
  <c r="P31" i="3"/>
  <c r="E98" i="35"/>
  <c r="A32" i="43"/>
  <c r="A170" i="49"/>
  <c r="B31" i="3"/>
  <c r="T32" i="35"/>
  <c r="A40" i="49"/>
  <c r="A105" i="49"/>
  <c r="A110" i="43"/>
  <c r="B43" i="3"/>
  <c r="A182" i="49"/>
  <c r="A117" i="49"/>
  <c r="A52" i="49"/>
  <c r="E110" i="35"/>
  <c r="P43" i="3"/>
  <c r="T44" i="35"/>
  <c r="A44" i="43"/>
  <c r="B109" i="3"/>
  <c r="A144" i="49"/>
  <c r="A209" i="49"/>
  <c r="F71" i="35"/>
  <c r="C71" i="35"/>
  <c r="A137" i="43"/>
  <c r="E137" i="35"/>
  <c r="B70" i="3"/>
  <c r="A79" i="49"/>
  <c r="A71" i="43"/>
  <c r="T71" i="35"/>
  <c r="P70" i="3"/>
  <c r="B136" i="3"/>
  <c r="P53" i="3"/>
  <c r="T54" i="35"/>
  <c r="A192" i="49"/>
  <c r="E120" i="35"/>
  <c r="A120" i="43"/>
  <c r="B53" i="3"/>
  <c r="F54" i="35"/>
  <c r="C54" i="35"/>
  <c r="A127" i="49"/>
  <c r="A62" i="49"/>
  <c r="B119" i="3"/>
  <c r="A54" i="43"/>
  <c r="E101" i="35"/>
  <c r="B34" i="3"/>
  <c r="A108" i="49"/>
  <c r="T35" i="35"/>
  <c r="A43" i="49"/>
  <c r="A101" i="43"/>
  <c r="B100" i="3"/>
  <c r="P34" i="3"/>
  <c r="A35" i="43"/>
  <c r="A173" i="49"/>
  <c r="A102" i="49"/>
  <c r="E95" i="35"/>
  <c r="P28" i="3"/>
  <c r="A167" i="49"/>
  <c r="A95" i="43"/>
  <c r="T29" i="35"/>
  <c r="B94" i="3"/>
  <c r="A29" i="43"/>
  <c r="A37" i="49"/>
  <c r="B28" i="3"/>
  <c r="A38" i="41"/>
  <c r="B27" i="3"/>
  <c r="A101" i="49"/>
  <c r="E94" i="35"/>
  <c r="A166" i="49"/>
  <c r="A36" i="49"/>
  <c r="P27" i="3"/>
  <c r="A28" i="43"/>
  <c r="T28" i="35"/>
  <c r="B93" i="3"/>
  <c r="A94" i="43"/>
  <c r="B287" i="28"/>
  <c r="B303" i="28"/>
  <c r="B87" i="28"/>
  <c r="B126" i="28"/>
  <c r="B496" i="28"/>
  <c r="B64" i="28"/>
  <c r="B414" i="28"/>
  <c r="B205" i="28"/>
  <c r="B111" i="28"/>
  <c r="B118" i="28"/>
  <c r="B200" i="28"/>
  <c r="B245" i="28"/>
  <c r="B35" i="28"/>
  <c r="B400" i="28"/>
  <c r="B130" i="28"/>
  <c r="B195" i="28"/>
  <c r="B501" i="28"/>
  <c r="B208" i="28"/>
  <c r="B317" i="28"/>
  <c r="B151" i="28"/>
  <c r="B469" i="28"/>
  <c r="B347" i="28"/>
  <c r="B26" i="28"/>
  <c r="B338" i="28"/>
  <c r="B241" i="28"/>
  <c r="B139" i="28"/>
  <c r="B443" i="28"/>
  <c r="B115" i="28"/>
  <c r="B429" i="28"/>
  <c r="B148" i="28"/>
  <c r="B225" i="28"/>
  <c r="B113" i="28"/>
  <c r="B323" i="28"/>
  <c r="B238" i="28"/>
  <c r="B481" i="28"/>
  <c r="B107" i="28"/>
  <c r="B467" i="28"/>
  <c r="B440" i="28"/>
  <c r="B477" i="28"/>
  <c r="B363" i="28"/>
  <c r="B166" i="28"/>
  <c r="B37" i="28"/>
  <c r="B355" i="28"/>
  <c r="B158" i="28"/>
  <c r="B380" i="28"/>
  <c r="B406" i="28"/>
  <c r="B422" i="28"/>
  <c r="B250" i="28"/>
  <c r="B459" i="28"/>
  <c r="B381" i="28"/>
  <c r="B281" i="28"/>
  <c r="B393" i="28"/>
  <c r="B185" i="28"/>
  <c r="B52" i="28"/>
  <c r="B503" i="28"/>
  <c r="B36" i="28"/>
  <c r="B32" i="28"/>
  <c r="B366" i="28"/>
  <c r="B349" i="28"/>
  <c r="B174" i="28"/>
  <c r="B322" i="28"/>
  <c r="B325" i="28"/>
  <c r="B341" i="28"/>
  <c r="B446" i="28"/>
  <c r="B448" i="28"/>
  <c r="B300" i="28"/>
  <c r="B123" i="28"/>
  <c r="B91" i="28"/>
  <c r="B309" i="28"/>
  <c r="B307" i="28"/>
  <c r="B389" i="28"/>
  <c r="B169" i="28"/>
  <c r="B318" i="28"/>
  <c r="B425" i="28"/>
  <c r="B276" i="28"/>
  <c r="B411" i="28"/>
  <c r="B114" i="28"/>
  <c r="B103" i="28"/>
  <c r="B436" i="28"/>
  <c r="B92" i="28"/>
  <c r="B409" i="28"/>
  <c r="B234" i="28"/>
  <c r="B207" i="28"/>
  <c r="B354" i="28"/>
  <c r="B284" i="28"/>
  <c r="B50" i="28"/>
  <c r="B42" i="28"/>
  <c r="B374" i="28"/>
  <c r="B226" i="28"/>
  <c r="B357" i="28"/>
  <c r="B143" i="28"/>
  <c r="B187" i="28"/>
  <c r="B252" i="28"/>
  <c r="B209" i="28"/>
  <c r="B141" i="28"/>
  <c r="B358" i="28"/>
  <c r="B500" i="28"/>
  <c r="B60" i="28"/>
  <c r="B339" i="28"/>
  <c r="B327" i="28"/>
  <c r="B172" i="28"/>
  <c r="B214" i="28"/>
  <c r="B47" i="28"/>
  <c r="B402" i="28"/>
  <c r="B321" i="28"/>
  <c r="B258" i="28"/>
  <c r="B415" i="28"/>
  <c r="B428" i="28"/>
  <c r="B463" i="28"/>
  <c r="B305" i="28"/>
  <c r="B351" i="28"/>
  <c r="B237" i="28"/>
  <c r="B33" i="28"/>
  <c r="B312" i="28"/>
  <c r="B100" i="28"/>
  <c r="B231" i="28"/>
  <c r="B40" i="28"/>
  <c r="B418" i="28"/>
  <c r="B331" i="28"/>
  <c r="B504" i="28"/>
  <c r="B213" i="28"/>
  <c r="B398" i="28"/>
  <c r="B421" i="28"/>
  <c r="B462" i="28"/>
  <c r="B274" i="28"/>
  <c r="B58" i="28"/>
  <c r="B260" i="28"/>
  <c r="B404" i="28"/>
  <c r="B403" i="28"/>
  <c r="B197" i="28"/>
  <c r="B184" i="28"/>
  <c r="B336" i="28"/>
  <c r="B125" i="28"/>
  <c r="B268" i="28"/>
  <c r="B263" i="28"/>
  <c r="B206" i="28"/>
  <c r="B289" i="28"/>
  <c r="B334" i="28"/>
  <c r="B461" i="28"/>
  <c r="B438" i="28"/>
  <c r="B146" i="28"/>
  <c r="B450" i="28"/>
  <c r="B189" i="28"/>
  <c r="B191" i="28"/>
  <c r="B227" i="28"/>
  <c r="B144" i="28"/>
  <c r="B240" i="28"/>
  <c r="B253" i="28"/>
  <c r="B142" i="28"/>
  <c r="B159" i="28"/>
  <c r="B360" i="28"/>
  <c r="B431" i="28"/>
  <c r="B230" i="28"/>
  <c r="B55" i="28"/>
  <c r="B246" i="28"/>
  <c r="B28" i="28"/>
  <c r="B229" i="28"/>
  <c r="B291" i="28"/>
  <c r="B228" i="28"/>
  <c r="B124" i="28"/>
  <c r="B480" i="28"/>
  <c r="B377" i="28"/>
  <c r="B122" i="28"/>
  <c r="B218" i="28"/>
  <c r="B196" i="28"/>
  <c r="B77" i="28"/>
  <c r="B271" i="28"/>
  <c r="B164" i="28"/>
  <c r="B386" i="28"/>
  <c r="B168" i="28"/>
  <c r="B254" i="28"/>
  <c r="B335" i="28"/>
  <c r="B88" i="28"/>
  <c r="B255" i="28"/>
  <c r="B419" i="28"/>
  <c r="B65" i="28"/>
  <c r="B304" i="28"/>
  <c r="B102" i="28"/>
  <c r="B261" i="28"/>
  <c r="B474" i="28"/>
  <c r="B375" i="28"/>
  <c r="B368" i="28"/>
  <c r="B348" i="28"/>
  <c r="B145" i="28"/>
  <c r="B273" i="28"/>
  <c r="B120" i="28"/>
  <c r="B408" i="28"/>
  <c r="B43" i="28"/>
  <c r="B179" i="28"/>
  <c r="B194" i="28"/>
  <c r="B149" i="28"/>
  <c r="B466" i="28"/>
  <c r="B216" i="28"/>
  <c r="B81" i="28"/>
  <c r="B27" i="28"/>
  <c r="B80" i="28"/>
  <c r="B110" i="28"/>
  <c r="B116" i="28"/>
  <c r="B83" i="28"/>
  <c r="B140" i="28"/>
  <c r="B157" i="28"/>
  <c r="B99" i="28"/>
  <c r="B444" i="28"/>
  <c r="B417" i="28"/>
  <c r="B243" i="28"/>
  <c r="B90" i="28"/>
  <c r="B298" i="28"/>
  <c r="B427" i="28"/>
  <c r="B396" i="28"/>
  <c r="B45" i="28"/>
  <c r="B51" i="28"/>
  <c r="B478" i="28"/>
  <c r="B434" i="28"/>
  <c r="B95" i="28"/>
  <c r="B219" i="28"/>
  <c r="B217" i="28"/>
  <c r="B128" i="28"/>
  <c r="B41" i="28"/>
  <c r="B198" i="28"/>
  <c r="B292" i="28"/>
  <c r="B286" i="28"/>
  <c r="B173" i="28"/>
  <c r="B361" i="28"/>
  <c r="B344" i="28"/>
  <c r="B364" i="28"/>
  <c r="B359" i="28"/>
  <c r="B192" i="28"/>
  <c r="B248" i="28"/>
  <c r="B29" i="28"/>
  <c r="B283" i="28"/>
  <c r="B112" i="28"/>
  <c r="B405" i="28"/>
  <c r="B382" i="28"/>
  <c r="B451" i="28"/>
  <c r="B329" i="28"/>
  <c r="B69" i="28"/>
  <c r="B183" i="28"/>
  <c r="B442" i="28"/>
  <c r="B106" i="28"/>
  <c r="B177" i="28"/>
  <c r="B272" i="28"/>
  <c r="B161" i="28"/>
  <c r="B439" i="28"/>
  <c r="B278" i="28"/>
  <c r="B370" i="28"/>
  <c r="B452" i="28"/>
  <c r="B489" i="28"/>
  <c r="B66" i="28"/>
  <c r="B473" i="28"/>
  <c r="B491" i="28"/>
  <c r="B201" i="28"/>
  <c r="B96" i="28"/>
  <c r="B132" i="28"/>
  <c r="B310" i="28"/>
  <c r="B101" i="28"/>
  <c r="B97" i="28"/>
  <c r="B242" i="28"/>
  <c r="B373" i="28"/>
  <c r="B493" i="28"/>
  <c r="B372" i="28"/>
  <c r="B475" i="28"/>
  <c r="B332" i="28"/>
  <c r="B388" i="28"/>
  <c r="B223" i="28"/>
  <c r="B319" i="28"/>
  <c r="B162" i="28"/>
  <c r="B350" i="28"/>
  <c r="B494" i="28"/>
  <c r="B458" i="28"/>
  <c r="B487" i="28"/>
  <c r="B182" i="28"/>
  <c r="B73" i="28"/>
  <c r="B62" i="28"/>
  <c r="B430" i="28"/>
  <c r="B445" i="28"/>
  <c r="B394" i="28"/>
  <c r="B176" i="28"/>
  <c r="B495" i="28"/>
  <c r="B134" i="28"/>
  <c r="B476" i="28"/>
  <c r="B85" i="28"/>
  <c r="B306" i="28"/>
  <c r="B152" i="28"/>
  <c r="B453" i="28"/>
  <c r="B385" i="28"/>
  <c r="B390" i="28"/>
  <c r="B147" i="28"/>
  <c r="B72" i="28"/>
  <c r="B220" i="28"/>
  <c r="B485" i="28"/>
  <c r="B239" i="28"/>
  <c r="B109" i="28"/>
  <c r="B423" i="28"/>
  <c r="B470" i="28"/>
  <c r="B46" i="28"/>
  <c r="B180" i="28"/>
  <c r="B295" i="28"/>
  <c r="B165" i="28"/>
  <c r="B155" i="28"/>
  <c r="B383" i="28"/>
  <c r="B67" i="28"/>
  <c r="B188" i="28"/>
  <c r="B447" i="28"/>
  <c r="B82" i="28"/>
  <c r="B392" i="28"/>
  <c r="B457" i="28"/>
  <c r="B471" i="28"/>
  <c r="B204" i="28"/>
  <c r="B138" i="28"/>
  <c r="B235" i="28"/>
  <c r="B456" i="28"/>
  <c r="B282" i="28"/>
  <c r="B266" i="28"/>
  <c r="B211" i="28"/>
  <c r="B236" i="28"/>
  <c r="B31" i="28"/>
  <c r="B356" i="28"/>
  <c r="B93" i="28"/>
  <c r="B353" i="28"/>
  <c r="B251" i="28"/>
  <c r="B94" i="28"/>
  <c r="B365" i="28"/>
  <c r="B314" i="28"/>
  <c r="B75" i="28"/>
  <c r="B121" i="28"/>
  <c r="B256" i="28"/>
  <c r="B98" i="28"/>
  <c r="B160" i="28"/>
  <c r="B483" i="28"/>
  <c r="B63" i="28"/>
  <c r="B352" i="28"/>
  <c r="B267" i="28"/>
  <c r="B104" i="28"/>
  <c r="B59" i="28"/>
  <c r="B401" i="28"/>
  <c r="B170" i="28"/>
  <c r="B441" i="28"/>
  <c r="B44" i="28"/>
  <c r="B437" i="28"/>
  <c r="B265" i="28"/>
  <c r="B297" i="28"/>
  <c r="B488" i="28"/>
  <c r="B435" i="28"/>
  <c r="B465" i="28"/>
  <c r="B293" i="28"/>
  <c r="B455" i="28"/>
  <c r="B127" i="28"/>
  <c r="B449" i="28"/>
  <c r="B285" i="28"/>
  <c r="B181" i="28"/>
  <c r="B432" i="28"/>
  <c r="B232" i="28"/>
  <c r="B74" i="28"/>
  <c r="B84" i="28"/>
  <c r="B320" i="28"/>
  <c r="B391" i="28"/>
  <c r="B369" i="28"/>
  <c r="B340" i="28"/>
  <c r="B48" i="28"/>
  <c r="B313" i="28"/>
  <c r="B395" i="28"/>
  <c r="B412" i="28"/>
  <c r="B280" i="28"/>
  <c r="B49" i="28"/>
  <c r="B499" i="28"/>
  <c r="B89" i="28"/>
  <c r="B34" i="28"/>
  <c r="B86" i="28"/>
  <c r="B79" i="28"/>
  <c r="B492" i="28"/>
  <c r="B233" i="28"/>
  <c r="B78" i="28"/>
  <c r="B221" i="28"/>
  <c r="B324" i="28"/>
  <c r="B199" i="28"/>
  <c r="B156" i="28"/>
  <c r="B30" i="28"/>
  <c r="B279" i="28"/>
  <c r="B301" i="28"/>
  <c r="K92" i="43"/>
  <c r="J164" i="49"/>
  <c r="H164" i="49"/>
  <c r="I364" i="41"/>
  <c r="J366" i="41"/>
  <c r="K365" i="41"/>
  <c r="J365" i="41"/>
  <c r="I365" i="41"/>
  <c r="F138" i="41"/>
  <c r="F137" i="41"/>
  <c r="H138" i="41"/>
  <c r="G138" i="41"/>
  <c r="H137" i="41"/>
  <c r="G137" i="41"/>
  <c r="K277" i="41"/>
  <c r="K278" i="41"/>
  <c r="I276" i="41"/>
  <c r="R9" i="30"/>
  <c r="L9" i="30"/>
  <c r="L10" i="30"/>
  <c r="I374" i="41"/>
  <c r="F366" i="41"/>
  <c r="F365" i="41"/>
  <c r="H366" i="41"/>
  <c r="I327" i="41"/>
  <c r="J319" i="41"/>
  <c r="I319" i="41"/>
  <c r="B234" i="41"/>
  <c r="I233" i="41"/>
  <c r="J197" i="41"/>
  <c r="K198" i="41"/>
  <c r="E68" i="2"/>
  <c r="F174" i="41"/>
  <c r="H174" i="41"/>
  <c r="H175" i="41"/>
  <c r="F175" i="41"/>
  <c r="C87" i="41"/>
  <c r="D87" i="41"/>
  <c r="D88" i="41"/>
  <c r="E108" i="43"/>
  <c r="G92" i="43"/>
  <c r="H92" i="43"/>
  <c r="J92" i="43"/>
  <c r="H136" i="35"/>
  <c r="H78" i="49"/>
  <c r="N136" i="35"/>
  <c r="J78" i="49"/>
  <c r="Z136" i="35"/>
  <c r="M136" i="35"/>
  <c r="I78" i="49"/>
  <c r="E320" i="41"/>
  <c r="C327" i="41"/>
  <c r="I303" i="41"/>
  <c r="J315" i="41"/>
  <c r="B304" i="41"/>
  <c r="C303" i="41"/>
  <c r="I289" i="41"/>
  <c r="K292" i="41"/>
  <c r="F289" i="41"/>
  <c r="H292" i="41"/>
  <c r="B290" i="41"/>
  <c r="J174" i="41"/>
  <c r="K175" i="41"/>
  <c r="R84" i="30"/>
  <c r="K84" i="30"/>
  <c r="T84" i="30"/>
  <c r="T162" i="30"/>
  <c r="T161" i="30"/>
  <c r="T160" i="30"/>
  <c r="T125" i="30"/>
  <c r="F5" i="3"/>
  <c r="K4" i="3"/>
  <c r="M7" i="3"/>
  <c r="H15" i="35"/>
  <c r="U96" i="43"/>
  <c r="J15" i="35"/>
  <c r="R74" i="50"/>
  <c r="R51" i="50"/>
  <c r="N40" i="30"/>
  <c r="R40" i="30"/>
  <c r="N139" i="35"/>
  <c r="J81" i="49"/>
  <c r="H120" i="35"/>
  <c r="H62" i="49"/>
  <c r="N120" i="35"/>
  <c r="J62" i="49"/>
  <c r="H113" i="35"/>
  <c r="H55" i="49"/>
  <c r="N113" i="35"/>
  <c r="J55" i="49"/>
  <c r="M109" i="35"/>
  <c r="I51" i="49"/>
  <c r="H109" i="35"/>
  <c r="H51" i="49"/>
  <c r="N109" i="35"/>
  <c r="J51" i="49"/>
  <c r="M98" i="35"/>
  <c r="I40" i="49"/>
  <c r="H98" i="35"/>
  <c r="H40" i="49"/>
  <c r="H86" i="35"/>
  <c r="H28" i="49"/>
  <c r="H82" i="35"/>
  <c r="H24" i="49"/>
  <c r="R101" i="30"/>
  <c r="R98" i="30"/>
  <c r="AB9" i="35"/>
  <c r="R97" i="30"/>
  <c r="K97" i="30"/>
  <c r="T97" i="30"/>
  <c r="N80" i="30"/>
  <c r="O80" i="30"/>
  <c r="M107" i="35"/>
  <c r="I49" i="49"/>
  <c r="H107" i="35"/>
  <c r="H49" i="49"/>
  <c r="N107" i="35"/>
  <c r="J49" i="49"/>
  <c r="M92" i="35"/>
  <c r="I34" i="49"/>
  <c r="H92" i="35"/>
  <c r="H34" i="49"/>
  <c r="M88" i="35"/>
  <c r="I30" i="49"/>
  <c r="N98" i="35"/>
  <c r="J40" i="49"/>
  <c r="T144" i="30"/>
  <c r="T143" i="30"/>
  <c r="T121" i="30"/>
  <c r="R64" i="30"/>
  <c r="H105" i="35"/>
  <c r="H47" i="49"/>
  <c r="M97" i="35"/>
  <c r="I39" i="49"/>
  <c r="H97" i="35"/>
  <c r="H39" i="49"/>
  <c r="M93" i="35"/>
  <c r="I35" i="49"/>
  <c r="H93" i="35"/>
  <c r="H35" i="49"/>
  <c r="M89" i="35"/>
  <c r="I31" i="49"/>
  <c r="H89" i="35"/>
  <c r="H31" i="49"/>
  <c r="H81" i="35"/>
  <c r="N135" i="35"/>
  <c r="J77" i="49"/>
  <c r="R45" i="30"/>
  <c r="J45" i="30"/>
  <c r="E95" i="43"/>
  <c r="H110" i="35"/>
  <c r="H52" i="49"/>
  <c r="M110" i="35"/>
  <c r="I52" i="49"/>
  <c r="M103" i="35"/>
  <c r="I45" i="49"/>
  <c r="H103" i="35"/>
  <c r="H45" i="49"/>
  <c r="M95" i="35"/>
  <c r="I37" i="49"/>
  <c r="M87" i="35"/>
  <c r="I29" i="49"/>
  <c r="H87" i="35"/>
  <c r="H29" i="49"/>
  <c r="N140" i="35"/>
  <c r="J82" i="49"/>
  <c r="N124" i="35"/>
  <c r="J66" i="49"/>
  <c r="N105" i="35"/>
  <c r="J47" i="49"/>
  <c r="N97" i="35"/>
  <c r="J39" i="49"/>
  <c r="N93" i="35"/>
  <c r="J35" i="49"/>
  <c r="N89" i="35"/>
  <c r="J31" i="49"/>
  <c r="M74" i="35"/>
  <c r="D82" i="49"/>
  <c r="N74" i="35"/>
  <c r="E82" i="49"/>
  <c r="H32" i="35"/>
  <c r="C40" i="49"/>
  <c r="H24" i="35"/>
  <c r="C32" i="49"/>
  <c r="H60" i="35"/>
  <c r="C68" i="49"/>
  <c r="H28" i="35"/>
  <c r="C36" i="49"/>
  <c r="H20" i="35"/>
  <c r="C28" i="49"/>
  <c r="N73" i="35"/>
  <c r="M71" i="35"/>
  <c r="D79" i="49"/>
  <c r="M67" i="35"/>
  <c r="D75" i="49"/>
  <c r="M65" i="35"/>
  <c r="D73" i="49"/>
  <c r="M61" i="35"/>
  <c r="D69" i="49"/>
  <c r="M57" i="35"/>
  <c r="D65" i="49"/>
  <c r="M49" i="35"/>
  <c r="D57" i="49"/>
  <c r="M47" i="35"/>
  <c r="D55" i="49"/>
  <c r="M39" i="35"/>
  <c r="D47" i="49"/>
  <c r="M37" i="35"/>
  <c r="D45" i="49"/>
  <c r="M33" i="35"/>
  <c r="D41" i="49"/>
  <c r="M29" i="35"/>
  <c r="D37" i="49"/>
  <c r="M27" i="35"/>
  <c r="D35" i="49"/>
  <c r="M25" i="35"/>
  <c r="M21" i="35"/>
  <c r="D29" i="49"/>
  <c r="H73" i="35"/>
  <c r="C81" i="49"/>
  <c r="K28" i="30"/>
  <c r="K23" i="30"/>
  <c r="K31" i="30"/>
  <c r="K18" i="30"/>
  <c r="K19" i="30"/>
  <c r="K17" i="30"/>
  <c r="K25" i="30"/>
  <c r="K13" i="30"/>
  <c r="K26" i="30"/>
  <c r="K20" i="30"/>
  <c r="K16" i="30"/>
  <c r="K21" i="30"/>
  <c r="K24" i="30"/>
  <c r="K27" i="30"/>
  <c r="K32" i="30"/>
  <c r="K30" i="30"/>
  <c r="K12" i="30"/>
  <c r="F42" i="35"/>
  <c r="C42" i="35"/>
  <c r="F44" i="35"/>
  <c r="C44" i="35"/>
  <c r="F41" i="35"/>
  <c r="C41" i="35"/>
  <c r="F37" i="35"/>
  <c r="C37" i="35"/>
  <c r="F35" i="35"/>
  <c r="C35" i="35"/>
  <c r="F43" i="35"/>
  <c r="C43" i="35"/>
  <c r="F39" i="35"/>
  <c r="C39" i="35"/>
  <c r="F38" i="35"/>
  <c r="C38" i="35"/>
  <c r="F36" i="35"/>
  <c r="C36" i="35"/>
  <c r="F40" i="35"/>
  <c r="C40" i="35"/>
  <c r="F33" i="35"/>
  <c r="C33" i="35"/>
  <c r="F32" i="35"/>
  <c r="C32" i="35"/>
  <c r="F31" i="35"/>
  <c r="C31" i="35"/>
  <c r="F34" i="35"/>
  <c r="C34" i="35"/>
  <c r="D25" i="49"/>
  <c r="D38" i="49"/>
  <c r="D32" i="49"/>
  <c r="D36" i="49"/>
  <c r="D30" i="49"/>
  <c r="D33" i="49"/>
  <c r="D28" i="49"/>
  <c r="H11" i="2"/>
  <c r="F25" i="35"/>
  <c r="F27" i="35"/>
  <c r="F21" i="35"/>
  <c r="F24" i="35"/>
  <c r="F23" i="35"/>
  <c r="F22" i="35"/>
  <c r="F19" i="35"/>
  <c r="F29" i="35"/>
  <c r="F26" i="35"/>
  <c r="F20" i="35"/>
  <c r="F28" i="35"/>
  <c r="F30" i="35"/>
  <c r="F18" i="35"/>
  <c r="F17" i="35"/>
  <c r="D307" i="41"/>
  <c r="D315" i="41"/>
  <c r="D311" i="41"/>
  <c r="D312" i="41"/>
  <c r="D308" i="41"/>
  <c r="D313" i="41"/>
  <c r="D309" i="41"/>
  <c r="D314" i="41"/>
  <c r="D310" i="41"/>
  <c r="C309" i="41"/>
  <c r="C312" i="41"/>
  <c r="C311" i="41"/>
  <c r="C314" i="41"/>
  <c r="C313" i="41"/>
  <c r="C308" i="41"/>
  <c r="C315" i="41"/>
  <c r="C310" i="41"/>
  <c r="C307" i="41"/>
  <c r="J309" i="41"/>
  <c r="J313" i="41"/>
  <c r="J310" i="41"/>
  <c r="J312" i="41"/>
  <c r="I313" i="41"/>
  <c r="I311" i="41"/>
  <c r="I312" i="41"/>
  <c r="I310" i="41"/>
  <c r="I293" i="41"/>
  <c r="J293" i="41"/>
  <c r="I297" i="41"/>
  <c r="J296" i="41"/>
  <c r="I300" i="41"/>
  <c r="J299" i="41"/>
  <c r="I299" i="41"/>
  <c r="J298" i="41"/>
  <c r="I295" i="41"/>
  <c r="J294" i="41"/>
  <c r="I301" i="41"/>
  <c r="J300" i="41"/>
  <c r="I296" i="41"/>
  <c r="J295" i="41"/>
  <c r="J301" i="41"/>
  <c r="I298" i="41"/>
  <c r="J297" i="41"/>
  <c r="I294" i="41"/>
  <c r="F293" i="41"/>
  <c r="G293" i="41"/>
  <c r="F300" i="41"/>
  <c r="G299" i="41"/>
  <c r="F295" i="41"/>
  <c r="G301" i="41"/>
  <c r="F298" i="41"/>
  <c r="G297" i="41"/>
  <c r="F294" i="41"/>
  <c r="F296" i="41"/>
  <c r="G295" i="41"/>
  <c r="F299" i="41"/>
  <c r="G298" i="41"/>
  <c r="G294" i="41"/>
  <c r="F301" i="41"/>
  <c r="G300" i="41"/>
  <c r="F297" i="41"/>
  <c r="G296" i="41"/>
  <c r="C279" i="41"/>
  <c r="C287" i="41"/>
  <c r="D286" i="41"/>
  <c r="C283" i="41"/>
  <c r="C286" i="41"/>
  <c r="C282" i="41"/>
  <c r="C285" i="41"/>
  <c r="C281" i="41"/>
  <c r="D287" i="41"/>
  <c r="C284" i="41"/>
  <c r="C280" i="41"/>
  <c r="F279" i="41"/>
  <c r="G287" i="41"/>
  <c r="F284" i="41"/>
  <c r="F280" i="41"/>
  <c r="F287" i="41"/>
  <c r="G286" i="41"/>
  <c r="F283" i="41"/>
  <c r="F286" i="41"/>
  <c r="F282" i="41"/>
  <c r="F285" i="41"/>
  <c r="F281" i="41"/>
  <c r="F265" i="41"/>
  <c r="G269" i="41"/>
  <c r="F273" i="41"/>
  <c r="F269" i="41"/>
  <c r="F272" i="41"/>
  <c r="F268" i="41"/>
  <c r="G270" i="41"/>
  <c r="C255" i="41"/>
  <c r="C258" i="41"/>
  <c r="C257" i="41"/>
  <c r="D256" i="41"/>
  <c r="C256" i="41"/>
  <c r="D255" i="41"/>
  <c r="G259" i="41"/>
  <c r="F256" i="41"/>
  <c r="G255" i="41"/>
  <c r="F252" i="41"/>
  <c r="F259" i="41"/>
  <c r="G258" i="41"/>
  <c r="F255" i="41"/>
  <c r="F258" i="41"/>
  <c r="G257" i="41"/>
  <c r="F254" i="41"/>
  <c r="F257" i="41"/>
  <c r="G256" i="41"/>
  <c r="F253" i="41"/>
  <c r="I257" i="41"/>
  <c r="J256" i="41"/>
  <c r="I256" i="41"/>
  <c r="J255" i="41"/>
  <c r="J258" i="41"/>
  <c r="I255" i="41"/>
  <c r="I254" i="41"/>
  <c r="I271" i="41"/>
  <c r="J269" i="41"/>
  <c r="I266" i="41"/>
  <c r="I273" i="41"/>
  <c r="J272" i="41"/>
  <c r="J271" i="41"/>
  <c r="I268" i="41"/>
  <c r="C265" i="41"/>
  <c r="C273" i="41"/>
  <c r="C272" i="41"/>
  <c r="D271" i="41"/>
  <c r="C268" i="41"/>
  <c r="D272" i="41"/>
  <c r="C269" i="41"/>
  <c r="C271" i="41"/>
  <c r="D270" i="41"/>
  <c r="C267" i="41"/>
  <c r="D273" i="41"/>
  <c r="C270" i="41"/>
  <c r="D269" i="41"/>
  <c r="C266" i="41"/>
  <c r="C251" i="41"/>
  <c r="F251" i="41"/>
  <c r="F15" i="35"/>
  <c r="F16" i="35"/>
  <c r="I242" i="41"/>
  <c r="J242" i="41"/>
  <c r="G243" i="41"/>
  <c r="F244" i="41"/>
  <c r="J238" i="41"/>
  <c r="I239" i="41"/>
  <c r="F240" i="41"/>
  <c r="I241" i="41"/>
  <c r="F241" i="41"/>
  <c r="F238" i="41"/>
  <c r="J245" i="41"/>
  <c r="G245" i="41"/>
  <c r="I238" i="41"/>
  <c r="I244" i="41"/>
  <c r="C245" i="41"/>
  <c r="F245" i="41"/>
  <c r="J240" i="41"/>
  <c r="D240" i="41"/>
  <c r="J243" i="41"/>
  <c r="I245" i="41"/>
  <c r="F243" i="41"/>
  <c r="F242" i="41"/>
  <c r="I240" i="41"/>
  <c r="G239" i="41"/>
  <c r="J239" i="41"/>
  <c r="F239" i="41"/>
  <c r="J241" i="41"/>
  <c r="G238" i="41"/>
  <c r="G240" i="41"/>
  <c r="I243" i="41"/>
  <c r="G244" i="41"/>
  <c r="G241" i="41"/>
  <c r="J244" i="41"/>
  <c r="D245" i="41"/>
  <c r="G242" i="41"/>
  <c r="C239" i="41"/>
  <c r="D238" i="41"/>
  <c r="D239" i="41"/>
  <c r="D243" i="41"/>
  <c r="J531" i="41"/>
  <c r="H149" i="41"/>
  <c r="I124" i="41"/>
  <c r="K19" i="2"/>
  <c r="J542" i="41"/>
  <c r="I386" i="41"/>
  <c r="J205" i="41"/>
  <c r="C568" i="41"/>
  <c r="I125" i="41"/>
  <c r="I481" i="41"/>
  <c r="J519" i="41"/>
  <c r="I504" i="41"/>
  <c r="I571" i="41"/>
  <c r="I126" i="41"/>
  <c r="I187" i="41"/>
  <c r="J486" i="41"/>
  <c r="J520" i="41"/>
  <c r="J537" i="41"/>
  <c r="Q26" i="28"/>
  <c r="J523" i="41"/>
  <c r="K20" i="2"/>
  <c r="I566" i="41"/>
  <c r="J569" i="41"/>
  <c r="I127" i="41"/>
  <c r="I517" i="41"/>
  <c r="F141" i="41"/>
  <c r="J445" i="41"/>
  <c r="J506" i="41"/>
  <c r="I564" i="41"/>
  <c r="I129" i="41"/>
  <c r="I495" i="41"/>
  <c r="F211" i="41"/>
  <c r="I176" i="41"/>
  <c r="J512" i="41"/>
  <c r="F159" i="41"/>
  <c r="G567" i="41"/>
  <c r="F200" i="41"/>
  <c r="I425" i="41"/>
  <c r="I130" i="41"/>
  <c r="F204" i="41"/>
  <c r="O26" i="28"/>
  <c r="J447" i="41"/>
  <c r="F488" i="41"/>
  <c r="J149" i="41"/>
  <c r="I478" i="41"/>
  <c r="F209" i="41"/>
  <c r="I128" i="41"/>
  <c r="F216" i="41"/>
  <c r="I520" i="41"/>
  <c r="F267" i="41"/>
  <c r="G271" i="41"/>
  <c r="G272" i="41"/>
  <c r="F270" i="41"/>
  <c r="F271" i="41"/>
  <c r="G273" i="41"/>
  <c r="D259" i="41"/>
  <c r="C254" i="41"/>
  <c r="D258" i="41"/>
  <c r="C252" i="41"/>
  <c r="C253" i="41"/>
  <c r="D257" i="41"/>
  <c r="I307" i="41"/>
  <c r="I314" i="41"/>
  <c r="I315" i="41"/>
  <c r="J314" i="41"/>
  <c r="J311" i="41"/>
  <c r="I308" i="41"/>
  <c r="I309" i="41"/>
  <c r="J308" i="41"/>
  <c r="J307" i="41"/>
  <c r="I272" i="41"/>
  <c r="I267" i="41"/>
  <c r="I270" i="41"/>
  <c r="J257" i="41"/>
  <c r="I259" i="41"/>
  <c r="J259" i="41"/>
  <c r="I251" i="41"/>
  <c r="I269" i="41"/>
  <c r="J270" i="41"/>
  <c r="J273" i="41"/>
  <c r="I258" i="41"/>
  <c r="I252" i="41"/>
  <c r="I253" i="41"/>
  <c r="K124" i="3"/>
  <c r="K129" i="3"/>
  <c r="K131" i="3"/>
  <c r="H139" i="35"/>
  <c r="H81" i="49"/>
  <c r="K119" i="3"/>
  <c r="K122" i="3"/>
  <c r="M139" i="35"/>
  <c r="I81" i="49"/>
  <c r="G114" i="43"/>
  <c r="K117" i="3"/>
  <c r="K109" i="3"/>
  <c r="J112" i="43"/>
  <c r="I184" i="49"/>
  <c r="R127" i="43"/>
  <c r="F112" i="43"/>
  <c r="M105" i="35"/>
  <c r="I47" i="49"/>
  <c r="K135" i="3"/>
  <c r="K133" i="3"/>
  <c r="H127" i="43"/>
  <c r="M113" i="35"/>
  <c r="I55" i="49"/>
  <c r="U114" i="43"/>
  <c r="U123" i="43"/>
  <c r="J105" i="35"/>
  <c r="E127" i="43"/>
  <c r="H199" i="49"/>
  <c r="K111" i="3"/>
  <c r="G112" i="43"/>
  <c r="Z119" i="35"/>
  <c r="K114" i="3"/>
  <c r="H112" i="43"/>
  <c r="E131" i="3"/>
  <c r="K102" i="3"/>
  <c r="X113" i="35"/>
  <c r="K110" i="3"/>
  <c r="I113" i="35"/>
  <c r="K123" i="3"/>
  <c r="K136" i="3"/>
  <c r="K121" i="3"/>
  <c r="K137" i="3"/>
  <c r="K115" i="3"/>
  <c r="K128" i="3"/>
  <c r="K116" i="3"/>
  <c r="G123" i="43"/>
  <c r="F114" i="43"/>
  <c r="K125" i="3"/>
  <c r="K118" i="3"/>
  <c r="K127" i="3"/>
  <c r="K104" i="3"/>
  <c r="R123" i="43"/>
  <c r="K113" i="3"/>
  <c r="K107" i="3"/>
  <c r="O139" i="35"/>
  <c r="M115" i="35"/>
  <c r="I57" i="49"/>
  <c r="J123" i="43"/>
  <c r="I195" i="49"/>
  <c r="E123" i="43"/>
  <c r="K132" i="3"/>
  <c r="K105" i="3"/>
  <c r="K134" i="3"/>
  <c r="F127" i="43"/>
  <c r="F128" i="3"/>
  <c r="H136" i="49"/>
  <c r="Z139" i="35"/>
  <c r="H114" i="43"/>
  <c r="E112" i="43"/>
  <c r="K112" i="43"/>
  <c r="J184" i="49"/>
  <c r="K108" i="3"/>
  <c r="E102" i="3"/>
  <c r="E115" i="3"/>
  <c r="F94" i="3"/>
  <c r="H102" i="49"/>
  <c r="K92" i="3"/>
  <c r="F93" i="3"/>
  <c r="H101" i="49"/>
  <c r="F84" i="3"/>
  <c r="H92" i="49"/>
  <c r="C51" i="35"/>
  <c r="N48" i="35"/>
  <c r="E56" i="49"/>
  <c r="I45" i="35"/>
  <c r="I51" i="35"/>
  <c r="M51" i="35"/>
  <c r="D59" i="49"/>
  <c r="C59" i="35"/>
  <c r="J53" i="35"/>
  <c r="G61" i="49"/>
  <c r="E40" i="43"/>
  <c r="C178" i="49"/>
  <c r="N45" i="35"/>
  <c r="E53" i="49"/>
  <c r="H53" i="35"/>
  <c r="C61" i="49"/>
  <c r="F29" i="3"/>
  <c r="C103" i="49"/>
  <c r="F40" i="43"/>
  <c r="N51" i="35"/>
  <c r="E59" i="49"/>
  <c r="E64" i="43"/>
  <c r="G68" i="43"/>
  <c r="H40" i="43"/>
  <c r="K29" i="3"/>
  <c r="D59" i="43"/>
  <c r="O53" i="35"/>
  <c r="D40" i="43"/>
  <c r="J72" i="43"/>
  <c r="D210" i="49"/>
  <c r="X45" i="35"/>
  <c r="X48" i="35"/>
  <c r="C56" i="35"/>
  <c r="C72" i="35"/>
  <c r="N53" i="35"/>
  <c r="E61" i="49"/>
  <c r="Y53" i="35"/>
  <c r="K22" i="3"/>
  <c r="X53" i="35"/>
  <c r="F28" i="3"/>
  <c r="C102" i="49"/>
  <c r="I48" i="35"/>
  <c r="I53" i="35"/>
  <c r="M45" i="35"/>
  <c r="D53" i="49"/>
  <c r="H48" i="35"/>
  <c r="C56" i="49"/>
  <c r="C45" i="35"/>
  <c r="C68" i="35"/>
  <c r="C48" i="35"/>
  <c r="J45" i="35"/>
  <c r="G53" i="49"/>
  <c r="Y45" i="35"/>
  <c r="Z48" i="35"/>
  <c r="Z45" i="35"/>
  <c r="Z51" i="35"/>
  <c r="J59" i="43"/>
  <c r="D197" i="49"/>
  <c r="H51" i="35"/>
  <c r="C59" i="49"/>
  <c r="H64" i="43"/>
  <c r="U68" i="43"/>
  <c r="O51" i="35"/>
  <c r="G64" i="43"/>
  <c r="G40" i="43"/>
  <c r="F59" i="43"/>
  <c r="R68" i="43"/>
  <c r="D64" i="43"/>
  <c r="F58" i="3"/>
  <c r="C132" i="49"/>
  <c r="F72" i="43"/>
  <c r="C16" i="35"/>
  <c r="C15" i="35"/>
  <c r="C17" i="35"/>
  <c r="C18" i="35"/>
  <c r="C30" i="35"/>
  <c r="C28" i="35"/>
  <c r="C20" i="35"/>
  <c r="C26" i="35"/>
  <c r="C29" i="35"/>
  <c r="C19" i="35"/>
  <c r="C22" i="35"/>
  <c r="C23" i="35"/>
  <c r="C24" i="35"/>
  <c r="C21" i="35"/>
  <c r="C27" i="35"/>
  <c r="C25" i="35"/>
  <c r="Y21" i="35"/>
  <c r="Y25" i="35"/>
  <c r="Z25" i="35"/>
  <c r="Z17" i="35"/>
  <c r="Y20" i="35"/>
  <c r="Z28" i="35"/>
  <c r="Y27" i="35"/>
  <c r="Y17" i="35"/>
  <c r="Z21" i="35"/>
  <c r="Y29" i="35"/>
  <c r="I306" i="41"/>
  <c r="J306" i="41"/>
  <c r="K306" i="41"/>
  <c r="C306" i="41"/>
  <c r="D306" i="41"/>
  <c r="E306" i="41"/>
  <c r="AC36" i="58"/>
  <c r="AC73" i="58"/>
  <c r="Z51" i="58"/>
  <c r="Z53" i="58"/>
  <c r="AC34" i="58"/>
  <c r="Z73" i="58"/>
  <c r="W51" i="58"/>
  <c r="W53" i="58"/>
  <c r="Z72" i="58"/>
  <c r="AC50" i="58"/>
  <c r="W52" i="58"/>
  <c r="AC33" i="58"/>
  <c r="W73" i="58"/>
  <c r="AC51" i="58"/>
  <c r="AC53" i="58"/>
  <c r="W72" i="58"/>
  <c r="Z50" i="58"/>
  <c r="AC52" i="58"/>
  <c r="AC35" i="58"/>
  <c r="AC72" i="58"/>
  <c r="W50" i="58"/>
  <c r="Z52" i="58"/>
  <c r="F292" i="41"/>
  <c r="G292" i="41"/>
  <c r="I292" i="41"/>
  <c r="J292" i="41"/>
  <c r="F278" i="41"/>
  <c r="G278" i="41"/>
  <c r="E278" i="41"/>
  <c r="C278" i="41"/>
  <c r="D278" i="41"/>
  <c r="D264" i="41"/>
  <c r="C264" i="41"/>
  <c r="I263" i="41"/>
  <c r="J264" i="41"/>
  <c r="I264" i="41"/>
  <c r="F264" i="41"/>
  <c r="G264" i="41"/>
  <c r="W67" i="58"/>
  <c r="W69" i="58"/>
  <c r="Z70" i="58"/>
  <c r="Z34" i="58"/>
  <c r="W36" i="58"/>
  <c r="Z67" i="58"/>
  <c r="Z68" i="58"/>
  <c r="W70" i="58"/>
  <c r="W34" i="58"/>
  <c r="Z36" i="58"/>
  <c r="W71" i="58"/>
  <c r="Z33" i="58"/>
  <c r="W35" i="58"/>
  <c r="W68" i="58"/>
  <c r="Z69" i="58"/>
  <c r="Z71" i="58"/>
  <c r="W33" i="58"/>
  <c r="Z35" i="58"/>
  <c r="C250" i="41"/>
  <c r="F250" i="41"/>
  <c r="K250" i="41"/>
  <c r="I250" i="41"/>
  <c r="F58" i="41"/>
  <c r="E58" i="41"/>
  <c r="F68" i="41"/>
  <c r="F67" i="41"/>
  <c r="I58" i="41"/>
  <c r="I57" i="41"/>
  <c r="I68" i="41"/>
  <c r="E71" i="3"/>
  <c r="Q39" i="50"/>
  <c r="H126" i="35"/>
  <c r="H68" i="49"/>
  <c r="U139" i="43"/>
  <c r="D87" i="50"/>
  <c r="Q87" i="50"/>
  <c r="H22" i="43"/>
  <c r="E92" i="3"/>
  <c r="F22" i="3"/>
  <c r="C96" i="49"/>
  <c r="J18" i="43"/>
  <c r="D156" i="49"/>
  <c r="U20" i="43"/>
  <c r="F17" i="3"/>
  <c r="C91" i="49"/>
  <c r="N88" i="35"/>
  <c r="J30" i="49"/>
  <c r="G81" i="43"/>
  <c r="F71" i="3"/>
  <c r="C145" i="49"/>
  <c r="F22" i="43"/>
  <c r="J22" i="43"/>
  <c r="D160" i="49"/>
  <c r="F92" i="3"/>
  <c r="H100" i="49"/>
  <c r="E130" i="3"/>
  <c r="K130" i="3"/>
  <c r="K17" i="3"/>
  <c r="K25" i="3"/>
  <c r="D15" i="43"/>
  <c r="R15" i="43"/>
  <c r="N112" i="35"/>
  <c r="J54" i="49"/>
  <c r="H88" i="35"/>
  <c r="H30" i="49"/>
  <c r="D141" i="3"/>
  <c r="E22" i="43"/>
  <c r="K22" i="43"/>
  <c r="E160" i="49"/>
  <c r="E81" i="43"/>
  <c r="G15" i="43"/>
  <c r="E15" i="43"/>
  <c r="C153" i="49"/>
  <c r="F25" i="3"/>
  <c r="C99" i="49"/>
  <c r="D22" i="43"/>
  <c r="I17" i="35"/>
  <c r="E67" i="41"/>
  <c r="E57" i="41"/>
  <c r="H67" i="41"/>
  <c r="I236" i="41"/>
  <c r="K236" i="41"/>
  <c r="J236" i="41"/>
  <c r="D235" i="41"/>
  <c r="C236" i="41"/>
  <c r="D236" i="41"/>
  <c r="E236" i="41"/>
  <c r="F236" i="41"/>
  <c r="F52" i="59"/>
  <c r="F60" i="59"/>
  <c r="F42" i="59"/>
  <c r="F48" i="59"/>
  <c r="F32" i="59"/>
  <c r="F38" i="59"/>
  <c r="G53" i="50"/>
  <c r="T53" i="50"/>
  <c r="R53" i="50"/>
  <c r="S53" i="50"/>
  <c r="R523" i="28"/>
  <c r="S497" i="28"/>
  <c r="S481" i="28"/>
  <c r="S465" i="28"/>
  <c r="S449" i="28"/>
  <c r="S432" i="28"/>
  <c r="S338" i="28"/>
  <c r="S414" i="28"/>
  <c r="S398" i="28"/>
  <c r="S382" i="28"/>
  <c r="S366" i="28"/>
  <c r="S350" i="28"/>
  <c r="S321" i="28"/>
  <c r="S305" i="28"/>
  <c r="S289" i="28"/>
  <c r="S273" i="28"/>
  <c r="S257" i="28"/>
  <c r="S202" i="28"/>
  <c r="S229" i="28"/>
  <c r="S199" i="28"/>
  <c r="S155" i="28"/>
  <c r="S196" i="28"/>
  <c r="S180" i="28"/>
  <c r="S98" i="28"/>
  <c r="S82" i="28"/>
  <c r="S66" i="28"/>
  <c r="S49" i="28"/>
  <c r="S33" i="28"/>
  <c r="S128" i="28"/>
  <c r="S493" i="28"/>
  <c r="S477" i="28"/>
  <c r="S461" i="28"/>
  <c r="S445" i="28"/>
  <c r="S428" i="28"/>
  <c r="S334" i="28"/>
  <c r="S410" i="28"/>
  <c r="S394" i="28"/>
  <c r="S378" i="28"/>
  <c r="S362" i="28"/>
  <c r="S346" i="28"/>
  <c r="S317" i="28"/>
  <c r="S301" i="28"/>
  <c r="S285" i="28"/>
  <c r="S269" i="28"/>
  <c r="S253" i="28"/>
  <c r="S241" i="28"/>
  <c r="S225" i="28"/>
  <c r="S219" i="28"/>
  <c r="S139" i="28"/>
  <c r="S192" i="28"/>
  <c r="S176" i="28"/>
  <c r="S121" i="28"/>
  <c r="S152" i="28"/>
  <c r="S120" i="28"/>
  <c r="S94" i="28"/>
  <c r="S78" i="28"/>
  <c r="S61" i="28"/>
  <c r="S45" i="28"/>
  <c r="S137" i="28"/>
  <c r="S505" i="28"/>
  <c r="S489" i="28"/>
  <c r="S473" i="28"/>
  <c r="S457" i="28"/>
  <c r="S441" i="28"/>
  <c r="S422" i="28"/>
  <c r="S406" i="28"/>
  <c r="S390" i="28"/>
  <c r="S374" i="28"/>
  <c r="S358" i="28"/>
  <c r="S329" i="28"/>
  <c r="S313" i="28"/>
  <c r="S297" i="28"/>
  <c r="S281" i="28"/>
  <c r="S265" i="28"/>
  <c r="S248" i="28"/>
  <c r="S237" i="28"/>
  <c r="S220" i="28"/>
  <c r="S212" i="28"/>
  <c r="S123" i="28"/>
  <c r="S188" i="28"/>
  <c r="S169" i="28"/>
  <c r="S105" i="28"/>
  <c r="S144" i="28"/>
  <c r="S112" i="28"/>
  <c r="S90" i="28"/>
  <c r="S74" i="28"/>
  <c r="S57" i="28"/>
  <c r="S41" i="28"/>
  <c r="S160" i="28"/>
  <c r="S501" i="28"/>
  <c r="S485" i="28"/>
  <c r="S469" i="28"/>
  <c r="S453" i="28"/>
  <c r="S437" i="28"/>
  <c r="S342" i="28"/>
  <c r="S418" i="28"/>
  <c r="S402" i="28"/>
  <c r="S386" i="28"/>
  <c r="S370" i="28"/>
  <c r="S354" i="28"/>
  <c r="S325" i="28"/>
  <c r="S309" i="28"/>
  <c r="S293" i="28"/>
  <c r="S277" i="28"/>
  <c r="S261" i="28"/>
  <c r="S245" i="28"/>
  <c r="S233" i="28"/>
  <c r="S209" i="28"/>
  <c r="S171" i="28"/>
  <c r="S107" i="28"/>
  <c r="S184" i="28"/>
  <c r="S153" i="28"/>
  <c r="S168" i="28"/>
  <c r="S136" i="28"/>
  <c r="S104" i="28"/>
  <c r="S86" i="28"/>
  <c r="S70" i="28"/>
  <c r="S53" i="28"/>
  <c r="S37" i="28"/>
  <c r="S504" i="28"/>
  <c r="S500" i="28"/>
  <c r="S496" i="28"/>
  <c r="S492" i="28"/>
  <c r="S488" i="28"/>
  <c r="S484" i="28"/>
  <c r="S480" i="28"/>
  <c r="S476" i="28"/>
  <c r="S472" i="28"/>
  <c r="S468" i="28"/>
  <c r="S464" i="28"/>
  <c r="S460" i="28"/>
  <c r="S456" i="28"/>
  <c r="S452" i="28"/>
  <c r="S448" i="28"/>
  <c r="S444" i="28"/>
  <c r="S440" i="28"/>
  <c r="S435" i="28"/>
  <c r="S431" i="28"/>
  <c r="S427" i="28"/>
  <c r="S345" i="28"/>
  <c r="S341" i="28"/>
  <c r="S337" i="28"/>
  <c r="S333" i="28"/>
  <c r="S421" i="28"/>
  <c r="S417" i="28"/>
  <c r="S413" i="28"/>
  <c r="S409" i="28"/>
  <c r="S405" i="28"/>
  <c r="S401" i="28"/>
  <c r="S397" i="28"/>
  <c r="S393" i="28"/>
  <c r="S389" i="28"/>
  <c r="S385" i="28"/>
  <c r="S381" i="28"/>
  <c r="S377" i="28"/>
  <c r="S373" i="28"/>
  <c r="S369" i="28"/>
  <c r="S365" i="28"/>
  <c r="S361" i="28"/>
  <c r="S357" i="28"/>
  <c r="S353" i="28"/>
  <c r="S349" i="28"/>
  <c r="S332" i="28"/>
  <c r="S328" i="28"/>
  <c r="S324" i="28"/>
  <c r="S320" i="28"/>
  <c r="S316" i="28"/>
  <c r="S312" i="28"/>
  <c r="S308" i="28"/>
  <c r="S304" i="28"/>
  <c r="S300" i="28"/>
  <c r="S296" i="28"/>
  <c r="S292" i="28"/>
  <c r="S288" i="28"/>
  <c r="S284" i="28"/>
  <c r="S280" i="28"/>
  <c r="S276" i="28"/>
  <c r="S272" i="28"/>
  <c r="S268" i="28"/>
  <c r="S264" i="28"/>
  <c r="S260" i="28"/>
  <c r="S256" i="28"/>
  <c r="S252" i="28"/>
  <c r="S246" i="28"/>
  <c r="S211" i="28"/>
  <c r="S244" i="28"/>
  <c r="S240" i="28"/>
  <c r="S236" i="28"/>
  <c r="S232" i="28"/>
  <c r="S228" i="28"/>
  <c r="S224" i="28"/>
  <c r="S218" i="28"/>
  <c r="S208" i="28"/>
  <c r="S207" i="28"/>
  <c r="S217" i="28"/>
  <c r="S205" i="28"/>
  <c r="S167" i="28"/>
  <c r="S151" i="28"/>
  <c r="S135" i="28"/>
  <c r="S119" i="28"/>
  <c r="S103" i="28"/>
  <c r="S195" i="28"/>
  <c r="S191" i="28"/>
  <c r="S187" i="28"/>
  <c r="S183" i="28"/>
  <c r="S179" i="28"/>
  <c r="S175" i="28"/>
  <c r="S165" i="28"/>
  <c r="S149" i="28"/>
  <c r="S133" i="28"/>
  <c r="S117" i="28"/>
  <c r="S101" i="28"/>
  <c r="S166" i="28"/>
  <c r="S158" i="28"/>
  <c r="S150" i="28"/>
  <c r="S142" i="28"/>
  <c r="S134" i="28"/>
  <c r="S126" i="28"/>
  <c r="S118" i="28"/>
  <c r="S110" i="28"/>
  <c r="S102" i="28"/>
  <c r="S97" i="28"/>
  <c r="S93" i="28"/>
  <c r="S89" i="28"/>
  <c r="S85" i="28"/>
  <c r="S81" i="28"/>
  <c r="S77" i="28"/>
  <c r="S73" i="28"/>
  <c r="S67" i="28"/>
  <c r="S64" i="28"/>
  <c r="S60" i="28"/>
  <c r="S56" i="28"/>
  <c r="S52" i="28"/>
  <c r="S48" i="28"/>
  <c r="S44" i="28"/>
  <c r="S40" i="28"/>
  <c r="S36" i="28"/>
  <c r="S32" i="28"/>
  <c r="S503" i="28"/>
  <c r="S499" i="28"/>
  <c r="S495" i="28"/>
  <c r="S491" i="28"/>
  <c r="S487" i="28"/>
  <c r="S483" i="28"/>
  <c r="S479" i="28"/>
  <c r="S475" i="28"/>
  <c r="S471" i="28"/>
  <c r="S467" i="28"/>
  <c r="S463" i="28"/>
  <c r="S459" i="28"/>
  <c r="S455" i="28"/>
  <c r="S451" i="28"/>
  <c r="S447" i="28"/>
  <c r="S443" i="28"/>
  <c r="S439" i="28"/>
  <c r="S434" i="28"/>
  <c r="S430" i="28"/>
  <c r="S426" i="28"/>
  <c r="S344" i="28"/>
  <c r="S340" i="28"/>
  <c r="S336" i="28"/>
  <c r="S424" i="28"/>
  <c r="S420" i="28"/>
  <c r="S416" i="28"/>
  <c r="S412" i="28"/>
  <c r="S408" i="28"/>
  <c r="S404" i="28"/>
  <c r="S400" i="28"/>
  <c r="S396" i="28"/>
  <c r="S392" i="28"/>
  <c r="S388" i="28"/>
  <c r="S384" i="28"/>
  <c r="S380" i="28"/>
  <c r="S376" i="28"/>
  <c r="S372" i="28"/>
  <c r="S368" i="28"/>
  <c r="S364" i="28"/>
  <c r="S360" i="28"/>
  <c r="S356" i="28"/>
  <c r="S352" i="28"/>
  <c r="S348" i="28"/>
  <c r="S331" i="28"/>
  <c r="S327" i="28"/>
  <c r="S323" i="28"/>
  <c r="S319" i="28"/>
  <c r="S315" i="28"/>
  <c r="S311" i="28"/>
  <c r="S307" i="28"/>
  <c r="S303" i="28"/>
  <c r="S299" i="28"/>
  <c r="S295" i="28"/>
  <c r="S291" i="28"/>
  <c r="S287" i="28"/>
  <c r="S283" i="28"/>
  <c r="S279" i="28"/>
  <c r="S275" i="28"/>
  <c r="S271" i="28"/>
  <c r="S267" i="28"/>
  <c r="S263" i="28"/>
  <c r="S259" i="28"/>
  <c r="S255" i="28"/>
  <c r="S251" i="28"/>
  <c r="S250" i="28"/>
  <c r="S210" i="28"/>
  <c r="S243" i="28"/>
  <c r="S239" i="28"/>
  <c r="S235" i="28"/>
  <c r="S231" i="28"/>
  <c r="S227" i="28"/>
  <c r="S223" i="28"/>
  <c r="S216" i="28"/>
  <c r="S201" i="28"/>
  <c r="S206" i="28"/>
  <c r="S215" i="28"/>
  <c r="S204" i="28"/>
  <c r="S163" i="28"/>
  <c r="S147" i="28"/>
  <c r="S131" i="28"/>
  <c r="S115" i="28"/>
  <c r="S99" i="28"/>
  <c r="S194" i="28"/>
  <c r="S190" i="28"/>
  <c r="S186" i="28"/>
  <c r="S182" i="28"/>
  <c r="S178" i="28"/>
  <c r="S174" i="28"/>
  <c r="S161" i="28"/>
  <c r="S145" i="28"/>
  <c r="S129" i="28"/>
  <c r="S113" i="28"/>
  <c r="S172" i="28"/>
  <c r="S164" i="28"/>
  <c r="S156" i="28"/>
  <c r="S148" i="28"/>
  <c r="S140" i="28"/>
  <c r="S132" i="28"/>
  <c r="S124" i="28"/>
  <c r="S116" i="28"/>
  <c r="S108" i="28"/>
  <c r="S100" i="28"/>
  <c r="S96" i="28"/>
  <c r="S92" i="28"/>
  <c r="S88" i="28"/>
  <c r="S84" i="28"/>
  <c r="S80" i="28"/>
  <c r="S76" i="28"/>
  <c r="S72" i="28"/>
  <c r="S65" i="28"/>
  <c r="S63" i="28"/>
  <c r="S59" i="28"/>
  <c r="S55" i="28"/>
  <c r="S51" i="28"/>
  <c r="S47" i="28"/>
  <c r="S43" i="28"/>
  <c r="S39" i="28"/>
  <c r="S31" i="28"/>
  <c r="S436" i="28"/>
  <c r="S502" i="28"/>
  <c r="S498" i="28"/>
  <c r="S494" i="28"/>
  <c r="S490" i="28"/>
  <c r="S486" i="28"/>
  <c r="S482" i="28"/>
  <c r="S478" i="28"/>
  <c r="S474" i="28"/>
  <c r="S470" i="28"/>
  <c r="S466" i="28"/>
  <c r="S462" i="28"/>
  <c r="S458" i="28"/>
  <c r="S454" i="28"/>
  <c r="S450" i="28"/>
  <c r="S446" i="28"/>
  <c r="S442" i="28"/>
  <c r="S438" i="28"/>
  <c r="S433" i="28"/>
  <c r="S429" i="28"/>
  <c r="S425" i="28"/>
  <c r="S343" i="28"/>
  <c r="S339" i="28"/>
  <c r="S335" i="28"/>
  <c r="S423" i="28"/>
  <c r="S419" i="28"/>
  <c r="S415" i="28"/>
  <c r="S411" i="28"/>
  <c r="S407" i="28"/>
  <c r="S403" i="28"/>
  <c r="S399" i="28"/>
  <c r="S395" i="28"/>
  <c r="S391" i="28"/>
  <c r="S387" i="28"/>
  <c r="S383" i="28"/>
  <c r="S379" i="28"/>
  <c r="S375" i="28"/>
  <c r="S371" i="28"/>
  <c r="S367" i="28"/>
  <c r="S363" i="28"/>
  <c r="S359" i="28"/>
  <c r="S355" i="28"/>
  <c r="S351" i="28"/>
  <c r="S347" i="28"/>
  <c r="S330" i="28"/>
  <c r="S326" i="28"/>
  <c r="S322" i="28"/>
  <c r="S318" i="28"/>
  <c r="S314" i="28"/>
  <c r="S310" i="28"/>
  <c r="S306" i="28"/>
  <c r="S302" i="28"/>
  <c r="S298" i="28"/>
  <c r="S294" i="28"/>
  <c r="S290" i="28"/>
  <c r="S286" i="28"/>
  <c r="S282" i="28"/>
  <c r="S278" i="28"/>
  <c r="S274" i="28"/>
  <c r="S270" i="28"/>
  <c r="S266" i="28"/>
  <c r="S262" i="28"/>
  <c r="S258" i="28"/>
  <c r="S254" i="28"/>
  <c r="S249" i="28"/>
  <c r="S247" i="28"/>
  <c r="S203" i="28"/>
  <c r="S242" i="28"/>
  <c r="S238" i="28"/>
  <c r="S234" i="28"/>
  <c r="S230" i="28"/>
  <c r="S226" i="28"/>
  <c r="S222" i="28"/>
  <c r="S214" i="28"/>
  <c r="S200" i="28"/>
  <c r="S221" i="28"/>
  <c r="S213" i="28"/>
  <c r="S197" i="28"/>
  <c r="S159" i="28"/>
  <c r="S143" i="28"/>
  <c r="S127" i="28"/>
  <c r="S111" i="28"/>
  <c r="S198" i="28"/>
  <c r="S193" i="28"/>
  <c r="S189" i="28"/>
  <c r="S185" i="28"/>
  <c r="S181" i="28"/>
  <c r="S177" i="28"/>
  <c r="S173" i="28"/>
  <c r="S157" i="28"/>
  <c r="S141" i="28"/>
  <c r="S125" i="28"/>
  <c r="S109" i="28"/>
  <c r="S170" i="28"/>
  <c r="S162" i="28"/>
  <c r="S154" i="28"/>
  <c r="S146" i="28"/>
  <c r="S138" i="28"/>
  <c r="S130" i="28"/>
  <c r="S122" i="28"/>
  <c r="S114" i="28"/>
  <c r="S106" i="28"/>
  <c r="S69" i="28"/>
  <c r="S95" i="28"/>
  <c r="S91" i="28"/>
  <c r="S87" i="28"/>
  <c r="S83" i="28"/>
  <c r="S79" i="28"/>
  <c r="S75" i="28"/>
  <c r="S71" i="28"/>
  <c r="S68" i="28"/>
  <c r="S62" i="28"/>
  <c r="S58" i="28"/>
  <c r="S54" i="28"/>
  <c r="S50" i="28"/>
  <c r="S46" i="28"/>
  <c r="S42" i="28"/>
  <c r="S38" i="28"/>
  <c r="S34" i="28"/>
  <c r="S30" i="28"/>
  <c r="J88" i="35"/>
  <c r="G124" i="43"/>
  <c r="H172" i="49"/>
  <c r="J89" i="43"/>
  <c r="I161" i="49"/>
  <c r="J139" i="43"/>
  <c r="I211" i="49"/>
  <c r="G137" i="43"/>
  <c r="E94" i="3"/>
  <c r="E60" i="3"/>
  <c r="G76" i="35"/>
  <c r="G77" i="35"/>
  <c r="I15" i="35"/>
  <c r="O15" i="35"/>
  <c r="X15" i="35"/>
  <c r="G30" i="43"/>
  <c r="F30" i="43"/>
  <c r="U30" i="43"/>
  <c r="E30" i="43"/>
  <c r="J30" i="43"/>
  <c r="D168" i="49"/>
  <c r="E32" i="43"/>
  <c r="J32" i="43"/>
  <c r="D170" i="49"/>
  <c r="H32" i="43"/>
  <c r="E139" i="43"/>
  <c r="K139" i="43"/>
  <c r="J211" i="49"/>
  <c r="F60" i="3"/>
  <c r="C134" i="49"/>
  <c r="C76" i="43"/>
  <c r="F83" i="43"/>
  <c r="J83" i="43"/>
  <c r="I155" i="49"/>
  <c r="J108" i="43"/>
  <c r="I180" i="49"/>
  <c r="H130" i="43"/>
  <c r="F139" i="43"/>
  <c r="F54" i="43"/>
  <c r="F130" i="3"/>
  <c r="H138" i="49"/>
  <c r="E62" i="3"/>
  <c r="M18" i="35"/>
  <c r="Y18" i="35"/>
  <c r="J18" i="35"/>
  <c r="N18" i="35"/>
  <c r="F17" i="43"/>
  <c r="J17" i="43"/>
  <c r="D155" i="49"/>
  <c r="U17" i="43"/>
  <c r="E17" i="43"/>
  <c r="G17" i="43"/>
  <c r="C142" i="43"/>
  <c r="H28" i="43"/>
  <c r="J28" i="43"/>
  <c r="D166" i="49"/>
  <c r="E28" i="43"/>
  <c r="D75" i="3"/>
  <c r="E14" i="3"/>
  <c r="K14" i="3"/>
  <c r="F14" i="3"/>
  <c r="C88" i="49"/>
  <c r="U18" i="43"/>
  <c r="E18" i="43"/>
  <c r="F18" i="43"/>
  <c r="H20" i="43"/>
  <c r="J20" i="43"/>
  <c r="D158" i="49"/>
  <c r="E20" i="43"/>
  <c r="F20" i="43"/>
  <c r="G20" i="43"/>
  <c r="O87" i="35"/>
  <c r="O103" i="35"/>
  <c r="N90" i="35"/>
  <c r="J32" i="49"/>
  <c r="N128" i="35"/>
  <c r="J70" i="49"/>
  <c r="H94" i="35"/>
  <c r="H36" i="49"/>
  <c r="J128" i="35"/>
  <c r="F62" i="59"/>
  <c r="Y214" i="58"/>
  <c r="H105" i="59"/>
  <c r="F57" i="59"/>
  <c r="Y219" i="58"/>
  <c r="H110" i="59"/>
  <c r="Y220" i="58"/>
  <c r="H111" i="59"/>
  <c r="Y217" i="58"/>
  <c r="H108" i="59"/>
  <c r="Y218" i="58"/>
  <c r="H109" i="59"/>
  <c r="F28" i="59"/>
  <c r="F24" i="59"/>
  <c r="F30" i="59"/>
  <c r="F26" i="59"/>
  <c r="F27" i="59"/>
  <c r="F29" i="59"/>
  <c r="F25" i="59"/>
  <c r="F23" i="59"/>
  <c r="Y215" i="58"/>
  <c r="H106" i="59"/>
  <c r="Y216" i="58"/>
  <c r="H107" i="59"/>
  <c r="I19" i="35"/>
  <c r="X63" i="35"/>
  <c r="I63" i="35"/>
  <c r="X46" i="35"/>
  <c r="I46" i="35"/>
  <c r="X50" i="35"/>
  <c r="I50" i="35"/>
  <c r="X91" i="35"/>
  <c r="I91" i="35"/>
  <c r="X68" i="35"/>
  <c r="I68" i="35"/>
  <c r="X40" i="35"/>
  <c r="I40" i="35"/>
  <c r="X62" i="35"/>
  <c r="I62" i="35"/>
  <c r="X127" i="35"/>
  <c r="I127" i="35"/>
  <c r="H68" i="35"/>
  <c r="C76" i="49"/>
  <c r="H84" i="35"/>
  <c r="H26" i="49"/>
  <c r="H128" i="35"/>
  <c r="H70" i="49"/>
  <c r="I23" i="35"/>
  <c r="X129" i="35"/>
  <c r="I129" i="35"/>
  <c r="Y127" i="35"/>
  <c r="I26" i="35"/>
  <c r="X58" i="35"/>
  <c r="I58" i="35"/>
  <c r="M128" i="35"/>
  <c r="I70" i="49"/>
  <c r="X35" i="35"/>
  <c r="I35" i="35"/>
  <c r="E124" i="43"/>
  <c r="K124" i="43"/>
  <c r="J196" i="49"/>
  <c r="X36" i="35"/>
  <c r="I36" i="35"/>
  <c r="M127" i="35"/>
  <c r="I69" i="49"/>
  <c r="X70" i="35"/>
  <c r="I70" i="35"/>
  <c r="X44" i="35"/>
  <c r="I44" i="35"/>
  <c r="X43" i="35"/>
  <c r="I43" i="35"/>
  <c r="X112" i="35"/>
  <c r="I112" i="35"/>
  <c r="X66" i="35"/>
  <c r="I66" i="35"/>
  <c r="X56" i="35"/>
  <c r="I56" i="35"/>
  <c r="X64" i="35"/>
  <c r="I64" i="35"/>
  <c r="F353" i="41"/>
  <c r="X55" i="35"/>
  <c r="I55" i="35"/>
  <c r="I83" i="35"/>
  <c r="X34" i="35"/>
  <c r="I34" i="35"/>
  <c r="X121" i="35"/>
  <c r="I121" i="35"/>
  <c r="I85" i="35"/>
  <c r="H96" i="35"/>
  <c r="H38" i="49"/>
  <c r="I96" i="35"/>
  <c r="X125" i="35"/>
  <c r="I125" i="35"/>
  <c r="X114" i="35"/>
  <c r="I114" i="35"/>
  <c r="X100" i="35"/>
  <c r="I100" i="35"/>
  <c r="H100" i="35"/>
  <c r="H42" i="49"/>
  <c r="Y128" i="35"/>
  <c r="G108" i="43"/>
  <c r="N68" i="35"/>
  <c r="E76" i="49"/>
  <c r="N114" i="35"/>
  <c r="J56" i="49"/>
  <c r="H124" i="43"/>
  <c r="M40" i="35"/>
  <c r="D48" i="49"/>
  <c r="M124" i="35"/>
  <c r="I66" i="49"/>
  <c r="I31" i="35"/>
  <c r="I42" i="35"/>
  <c r="X104" i="35"/>
  <c r="I104" i="35"/>
  <c r="J127" i="35"/>
  <c r="H168" i="49"/>
  <c r="Z100" i="35"/>
  <c r="O54" i="35"/>
  <c r="I54" i="35"/>
  <c r="Y74" i="35"/>
  <c r="I74" i="35"/>
  <c r="J110" i="43"/>
  <c r="I182" i="49"/>
  <c r="X126" i="35"/>
  <c r="I126" i="35"/>
  <c r="F124" i="43"/>
  <c r="X72" i="35"/>
  <c r="I72" i="35"/>
  <c r="O94" i="41"/>
  <c r="I353" i="41"/>
  <c r="M20" i="28"/>
  <c r="R16" i="45"/>
  <c r="H215" i="30"/>
  <c r="F215" i="30"/>
  <c r="F217" i="30"/>
  <c r="G215" i="30"/>
  <c r="G217" i="30"/>
  <c r="L215" i="30"/>
  <c r="O215" i="30"/>
  <c r="I342" i="41"/>
  <c r="F342" i="41"/>
  <c r="E185" i="58"/>
  <c r="F185" i="58"/>
  <c r="F214" i="58"/>
  <c r="E214" i="58"/>
  <c r="F187" i="58"/>
  <c r="E187" i="58"/>
  <c r="E193" i="58"/>
  <c r="F193" i="58"/>
  <c r="F195" i="58"/>
  <c r="E195" i="58"/>
  <c r="E201" i="58"/>
  <c r="F201" i="58"/>
  <c r="F203" i="58"/>
  <c r="E203" i="58"/>
  <c r="E209" i="58"/>
  <c r="F209" i="58"/>
  <c r="F211" i="58"/>
  <c r="E211" i="58"/>
  <c r="E217" i="58"/>
  <c r="F217" i="58"/>
  <c r="F219" i="58"/>
  <c r="E219" i="58"/>
  <c r="F192" i="58"/>
  <c r="E192" i="58"/>
  <c r="F200" i="58"/>
  <c r="E200" i="58"/>
  <c r="F208" i="58"/>
  <c r="E208" i="58"/>
  <c r="F216" i="58"/>
  <c r="E216" i="58"/>
  <c r="F198" i="58"/>
  <c r="E198" i="58"/>
  <c r="F189" i="58"/>
  <c r="E189" i="58"/>
  <c r="F191" i="58"/>
  <c r="E191" i="58"/>
  <c r="F197" i="58"/>
  <c r="E197" i="58"/>
  <c r="F199" i="58"/>
  <c r="E199" i="58"/>
  <c r="E205" i="58"/>
  <c r="F205" i="58"/>
  <c r="F207" i="58"/>
  <c r="E207" i="58"/>
  <c r="E213" i="58"/>
  <c r="F213" i="58"/>
  <c r="F215" i="58"/>
  <c r="E215" i="58"/>
  <c r="F188" i="58"/>
  <c r="E188" i="58"/>
  <c r="F196" i="58"/>
  <c r="E196" i="58"/>
  <c r="F204" i="58"/>
  <c r="E204" i="58"/>
  <c r="F212" i="58"/>
  <c r="E212" i="58"/>
  <c r="F220" i="58"/>
  <c r="E220" i="58"/>
  <c r="F190" i="58"/>
  <c r="E190" i="58"/>
  <c r="F206" i="58"/>
  <c r="E206" i="58"/>
  <c r="F186" i="58"/>
  <c r="E186" i="58"/>
  <c r="F194" i="58"/>
  <c r="E194" i="58"/>
  <c r="F202" i="58"/>
  <c r="E202" i="58"/>
  <c r="F210" i="58"/>
  <c r="E210" i="58"/>
  <c r="F218" i="58"/>
  <c r="E218" i="58"/>
  <c r="AH198" i="58"/>
  <c r="AK198" i="58"/>
  <c r="AH204" i="58"/>
  <c r="AK204" i="58"/>
  <c r="AH208" i="58"/>
  <c r="AK208" i="58"/>
  <c r="AH187" i="58"/>
  <c r="AK187" i="58"/>
  <c r="AH195" i="58"/>
  <c r="AK195" i="58"/>
  <c r="AH203" i="58"/>
  <c r="AK203" i="58"/>
  <c r="AH217" i="58"/>
  <c r="AK217" i="58"/>
  <c r="AH219" i="58"/>
  <c r="AK219" i="58"/>
  <c r="AH200" i="58"/>
  <c r="AK200" i="58"/>
  <c r="AH210" i="58"/>
  <c r="AK210" i="58"/>
  <c r="AH220" i="58"/>
  <c r="AK220" i="58"/>
  <c r="AH188" i="58"/>
  <c r="AK188" i="58"/>
  <c r="AH194" i="58"/>
  <c r="AK194" i="58"/>
  <c r="AH185" i="58"/>
  <c r="AK185" i="58"/>
  <c r="AH193" i="58"/>
  <c r="AK193" i="58"/>
  <c r="AH201" i="58"/>
  <c r="AK201" i="58"/>
  <c r="AH209" i="58"/>
  <c r="AK209" i="58"/>
  <c r="AH215" i="58"/>
  <c r="AK215" i="58"/>
  <c r="AH196" i="58"/>
  <c r="AK196" i="58"/>
  <c r="AH214" i="58"/>
  <c r="AK214" i="58"/>
  <c r="AH190" i="58"/>
  <c r="AK190" i="58"/>
  <c r="AH212" i="58"/>
  <c r="AK212" i="58"/>
  <c r="AH218" i="58"/>
  <c r="AK218" i="58"/>
  <c r="AH191" i="58"/>
  <c r="AK191" i="58"/>
  <c r="AH199" i="58"/>
  <c r="AK199" i="58"/>
  <c r="AH207" i="58"/>
  <c r="AK207" i="58"/>
  <c r="AH211" i="58"/>
  <c r="AK211" i="58"/>
  <c r="AH213" i="58"/>
  <c r="AK213" i="58"/>
  <c r="AH186" i="58"/>
  <c r="AK186" i="58"/>
  <c r="AH192" i="58"/>
  <c r="AK192" i="58"/>
  <c r="AH202" i="58"/>
  <c r="AK202" i="58"/>
  <c r="AH216" i="58"/>
  <c r="AK216" i="58"/>
  <c r="AH189" i="58"/>
  <c r="AK189" i="58"/>
  <c r="AH197" i="58"/>
  <c r="AK197" i="58"/>
  <c r="AH205" i="58"/>
  <c r="AK205" i="58"/>
  <c r="AH206" i="58"/>
  <c r="AK206" i="58"/>
  <c r="X125" i="58"/>
  <c r="AC70" i="58"/>
  <c r="AC68" i="58"/>
  <c r="V100" i="58"/>
  <c r="V184" i="58"/>
  <c r="W183" i="58"/>
  <c r="V83" i="58"/>
  <c r="V32" i="58"/>
  <c r="V137" i="58"/>
  <c r="W136" i="58"/>
  <c r="V49" i="58"/>
  <c r="V66" i="58"/>
  <c r="U125" i="58"/>
  <c r="O140" i="35"/>
  <c r="O137" i="35"/>
  <c r="O98" i="35"/>
  <c r="P14" i="22"/>
  <c r="J522" i="28"/>
  <c r="J523" i="28"/>
  <c r="P17" i="45"/>
  <c r="D68" i="2"/>
  <c r="F320" i="41"/>
  <c r="E21" i="28"/>
  <c r="G21" i="28"/>
  <c r="I320" i="41"/>
  <c r="H250" i="41"/>
  <c r="G249" i="41"/>
  <c r="C320" i="41"/>
  <c r="K21" i="28"/>
  <c r="M25" i="28"/>
  <c r="I21" i="28"/>
  <c r="P521" i="28"/>
  <c r="O92" i="35"/>
  <c r="O89" i="35"/>
  <c r="O110" i="35"/>
  <c r="O107" i="35"/>
  <c r="O113" i="35"/>
  <c r="O97" i="35"/>
  <c r="O126" i="35"/>
  <c r="O122" i="35"/>
  <c r="O81" i="35"/>
  <c r="X81" i="35"/>
  <c r="O119" i="35"/>
  <c r="O93" i="35"/>
  <c r="O128" i="35"/>
  <c r="O120" i="35"/>
  <c r="O88" i="35"/>
  <c r="O130" i="35"/>
  <c r="O138" i="35"/>
  <c r="O136" i="35"/>
  <c r="O82" i="35"/>
  <c r="X82" i="35"/>
  <c r="C4" i="43"/>
  <c r="F92" i="2"/>
  <c r="E4" i="43"/>
  <c r="A184" i="58"/>
  <c r="A221" i="58"/>
  <c r="A181" i="58"/>
  <c r="A182" i="58"/>
  <c r="A179" i="58"/>
  <c r="A180" i="58"/>
  <c r="A178" i="58"/>
  <c r="A183" i="58"/>
  <c r="C160" i="49"/>
  <c r="O105" i="35"/>
  <c r="O109" i="35"/>
  <c r="O135" i="35"/>
  <c r="O350" i="41"/>
  <c r="O339" i="41"/>
  <c r="K264" i="41"/>
  <c r="CD16" i="58"/>
  <c r="X16" i="58"/>
  <c r="E12" i="41"/>
  <c r="K263" i="41"/>
  <c r="K64" i="43"/>
  <c r="E202" i="49"/>
  <c r="C202" i="49"/>
  <c r="J250" i="41"/>
  <c r="J249" i="41"/>
  <c r="F276" i="41"/>
  <c r="K34" i="43"/>
  <c r="E172" i="49"/>
  <c r="C172" i="49"/>
  <c r="N108" i="35"/>
  <c r="J50" i="49"/>
  <c r="Y108" i="35"/>
  <c r="H108" i="35"/>
  <c r="H50" i="49"/>
  <c r="O108" i="35"/>
  <c r="M108" i="35"/>
  <c r="I50" i="49"/>
  <c r="J115" i="35"/>
  <c r="H115" i="35"/>
  <c r="H57" i="49"/>
  <c r="Y115" i="35"/>
  <c r="N115" i="35"/>
  <c r="J57" i="49"/>
  <c r="H102" i="35"/>
  <c r="H44" i="49"/>
  <c r="M102" i="35"/>
  <c r="I44" i="49"/>
  <c r="X99" i="35"/>
  <c r="M99" i="35"/>
  <c r="I41" i="49"/>
  <c r="H214" i="30"/>
  <c r="I114" i="30"/>
  <c r="J114" i="30"/>
  <c r="N114" i="30"/>
  <c r="P523" i="28"/>
  <c r="P522" i="28"/>
  <c r="D16" i="43"/>
  <c r="R16" i="43"/>
  <c r="R37" i="43"/>
  <c r="D37" i="43"/>
  <c r="R21" i="43"/>
  <c r="D21" i="43"/>
  <c r="R31" i="43"/>
  <c r="D31" i="43"/>
  <c r="F74" i="43"/>
  <c r="G74" i="43"/>
  <c r="X69" i="35"/>
  <c r="J69" i="35"/>
  <c r="G77" i="49"/>
  <c r="M69" i="35"/>
  <c r="D77" i="49"/>
  <c r="H44" i="43"/>
  <c r="E44" i="43"/>
  <c r="K44" i="43"/>
  <c r="E182" i="49"/>
  <c r="X124" i="35"/>
  <c r="Y124" i="35"/>
  <c r="Z124" i="35"/>
  <c r="H124" i="35"/>
  <c r="H66" i="49"/>
  <c r="G119" i="43"/>
  <c r="E119" i="43"/>
  <c r="H191" i="49"/>
  <c r="C263" i="41"/>
  <c r="E264" i="41"/>
  <c r="R25" i="43"/>
  <c r="D25" i="43"/>
  <c r="R27" i="43"/>
  <c r="D27" i="43"/>
  <c r="R35" i="43"/>
  <c r="D35" i="43"/>
  <c r="R29" i="43"/>
  <c r="D29" i="43"/>
  <c r="F6" i="3"/>
  <c r="E79" i="3"/>
  <c r="R33" i="43"/>
  <c r="D33" i="43"/>
  <c r="D36" i="43"/>
  <c r="R36" i="43"/>
  <c r="M62" i="35"/>
  <c r="D70" i="49"/>
  <c r="K121" i="43"/>
  <c r="J193" i="49"/>
  <c r="T12" i="30"/>
  <c r="T16" i="30"/>
  <c r="T17" i="30"/>
  <c r="T19" i="30"/>
  <c r="C201" i="49"/>
  <c r="F120" i="3"/>
  <c r="H128" i="49"/>
  <c r="K120" i="3"/>
  <c r="J124" i="35"/>
  <c r="F106" i="3"/>
  <c r="H114" i="49"/>
  <c r="K106" i="3"/>
  <c r="F139" i="3"/>
  <c r="H147" i="49"/>
  <c r="K139" i="3"/>
  <c r="F112" i="3"/>
  <c r="H120" i="49"/>
  <c r="K112" i="3"/>
  <c r="E51" i="43"/>
  <c r="K51" i="43"/>
  <c r="E189" i="49"/>
  <c r="G54" i="43"/>
  <c r="J56" i="35"/>
  <c r="G64" i="49"/>
  <c r="N70" i="35"/>
  <c r="E78" i="49"/>
  <c r="O56" i="35"/>
  <c r="Z66" i="35"/>
  <c r="K62" i="3"/>
  <c r="H66" i="35"/>
  <c r="C74" i="49"/>
  <c r="M56" i="35"/>
  <c r="D64" i="49"/>
  <c r="H56" i="35"/>
  <c r="C64" i="49"/>
  <c r="Z56" i="35"/>
  <c r="M66" i="35"/>
  <c r="D74" i="49"/>
  <c r="Y56" i="35"/>
  <c r="N66" i="35"/>
  <c r="E74" i="49"/>
  <c r="K59" i="43"/>
  <c r="E197" i="49"/>
  <c r="H64" i="35"/>
  <c r="C72" i="49"/>
  <c r="J64" i="35"/>
  <c r="G72" i="49"/>
  <c r="Y64" i="35"/>
  <c r="K50" i="43"/>
  <c r="E188" i="49"/>
  <c r="H51" i="43"/>
  <c r="O64" i="35"/>
  <c r="H72" i="35"/>
  <c r="C80" i="49"/>
  <c r="H54" i="35"/>
  <c r="C62" i="49"/>
  <c r="N64" i="35"/>
  <c r="E72" i="49"/>
  <c r="G51" i="43"/>
  <c r="M64" i="35"/>
  <c r="D72" i="49"/>
  <c r="J72" i="35"/>
  <c r="G80" i="49"/>
  <c r="U51" i="43"/>
  <c r="N72" i="35"/>
  <c r="E80" i="49"/>
  <c r="Z64" i="35"/>
  <c r="J51" i="43"/>
  <c r="D189" i="49"/>
  <c r="M72" i="35"/>
  <c r="D80" i="49"/>
  <c r="K52" i="3"/>
  <c r="E52" i="3"/>
  <c r="K44" i="3"/>
  <c r="E44" i="3"/>
  <c r="E50" i="3"/>
  <c r="K50" i="3"/>
  <c r="E74" i="43"/>
  <c r="C212" i="49"/>
  <c r="U48" i="43"/>
  <c r="N69" i="35"/>
  <c r="E77" i="49"/>
  <c r="F48" i="43"/>
  <c r="J74" i="35"/>
  <c r="G82" i="49"/>
  <c r="N62" i="35"/>
  <c r="E70" i="49"/>
  <c r="J40" i="35"/>
  <c r="G48" i="49"/>
  <c r="F48" i="3"/>
  <c r="C122" i="49"/>
  <c r="K48" i="3"/>
  <c r="E48" i="3"/>
  <c r="E51" i="3"/>
  <c r="K51" i="3"/>
  <c r="E38" i="3"/>
  <c r="K38" i="3"/>
  <c r="E54" i="3"/>
  <c r="K54" i="3"/>
  <c r="F73" i="3"/>
  <c r="C147" i="49"/>
  <c r="E73" i="3"/>
  <c r="K73" i="3"/>
  <c r="E67" i="3"/>
  <c r="K67" i="3"/>
  <c r="E70" i="3"/>
  <c r="K70" i="3"/>
  <c r="K56" i="3"/>
  <c r="E56" i="3"/>
  <c r="K40" i="3"/>
  <c r="E40" i="3"/>
  <c r="M43" i="35"/>
  <c r="D51" i="49"/>
  <c r="H40" i="35"/>
  <c r="C48" i="49"/>
  <c r="K36" i="3"/>
  <c r="E36" i="3"/>
  <c r="K64" i="3"/>
  <c r="E64" i="3"/>
  <c r="Y69" i="35"/>
  <c r="H69" i="35"/>
  <c r="C77" i="49"/>
  <c r="E57" i="3"/>
  <c r="K57" i="3"/>
  <c r="U74" i="43"/>
  <c r="E49" i="3"/>
  <c r="K49" i="3"/>
  <c r="Y40" i="35"/>
  <c r="H74" i="43"/>
  <c r="O40" i="35"/>
  <c r="H60" i="43"/>
  <c r="U60" i="43"/>
  <c r="E53" i="3"/>
  <c r="K53" i="3"/>
  <c r="F68" i="3"/>
  <c r="C142" i="49"/>
  <c r="K68" i="3"/>
  <c r="E68" i="3"/>
  <c r="E43" i="3"/>
  <c r="K43" i="3"/>
  <c r="E47" i="3"/>
  <c r="K47" i="3"/>
  <c r="E46" i="3"/>
  <c r="K46" i="3"/>
  <c r="E39" i="3"/>
  <c r="K39" i="3"/>
  <c r="Z44" i="35"/>
  <c r="Z40" i="35"/>
  <c r="Z68" i="35"/>
  <c r="J48" i="43"/>
  <c r="D186" i="49"/>
  <c r="M68" i="35"/>
  <c r="D76" i="49"/>
  <c r="O62" i="35"/>
  <c r="N40" i="35"/>
  <c r="E48" i="49"/>
  <c r="Y66" i="35"/>
  <c r="O66" i="35"/>
  <c r="K72" i="3"/>
  <c r="E72" i="3"/>
  <c r="E66" i="3"/>
  <c r="K66" i="3"/>
  <c r="G48" i="43"/>
  <c r="J66" i="35"/>
  <c r="G74" i="49"/>
  <c r="E42" i="3"/>
  <c r="K42" i="3"/>
  <c r="F47" i="3"/>
  <c r="C121" i="49"/>
  <c r="E65" i="3"/>
  <c r="K65" i="3"/>
  <c r="F70" i="3"/>
  <c r="C144" i="49"/>
  <c r="E69" i="3"/>
  <c r="K69" i="3"/>
  <c r="M112" i="35"/>
  <c r="I54" i="49"/>
  <c r="H200" i="49"/>
  <c r="N127" i="35"/>
  <c r="J69" i="49"/>
  <c r="O124" i="35"/>
  <c r="E93" i="3"/>
  <c r="E120" i="3"/>
  <c r="H119" i="43"/>
  <c r="E107" i="3"/>
  <c r="F107" i="3"/>
  <c r="H115" i="49"/>
  <c r="N126" i="35"/>
  <c r="J68" i="49"/>
  <c r="Y112" i="35"/>
  <c r="Z70" i="35"/>
  <c r="F62" i="43"/>
  <c r="C190" i="49"/>
  <c r="J70" i="35"/>
  <c r="G78" i="49"/>
  <c r="M63" i="35"/>
  <c r="D71" i="49"/>
  <c r="K68" i="43"/>
  <c r="E206" i="49"/>
  <c r="H70" i="35"/>
  <c r="C78" i="49"/>
  <c r="M70" i="35"/>
  <c r="D78" i="49"/>
  <c r="M54" i="35"/>
  <c r="D62" i="49"/>
  <c r="D103" i="43"/>
  <c r="R103" i="43"/>
  <c r="O90" i="35"/>
  <c r="X90" i="35"/>
  <c r="O101" i="35"/>
  <c r="X101" i="35"/>
  <c r="D99" i="43"/>
  <c r="R99" i="43"/>
  <c r="D91" i="43"/>
  <c r="R91" i="43"/>
  <c r="F86" i="43"/>
  <c r="D86" i="43"/>
  <c r="R86" i="43"/>
  <c r="E86" i="43"/>
  <c r="J86" i="43"/>
  <c r="I158" i="49"/>
  <c r="U86" i="43"/>
  <c r="M100" i="35"/>
  <c r="I42" i="49"/>
  <c r="H90" i="35"/>
  <c r="H32" i="49"/>
  <c r="F119" i="43"/>
  <c r="E130" i="43"/>
  <c r="K83" i="43"/>
  <c r="J155" i="49"/>
  <c r="O95" i="35"/>
  <c r="X95" i="35"/>
  <c r="M114" i="35"/>
  <c r="I56" i="49"/>
  <c r="H86" i="43"/>
  <c r="N100" i="35"/>
  <c r="J42" i="49"/>
  <c r="U137" i="43"/>
  <c r="O96" i="35"/>
  <c r="X96" i="35"/>
  <c r="H166" i="49"/>
  <c r="E89" i="43"/>
  <c r="R89" i="43"/>
  <c r="D89" i="43"/>
  <c r="H89" i="43"/>
  <c r="G89" i="43"/>
  <c r="F89" i="43"/>
  <c r="D81" i="43"/>
  <c r="R81" i="43"/>
  <c r="F81" i="43"/>
  <c r="M101" i="35"/>
  <c r="I43" i="49"/>
  <c r="N102" i="35"/>
  <c r="J44" i="49"/>
  <c r="M90" i="35"/>
  <c r="I32" i="49"/>
  <c r="H184" i="49"/>
  <c r="E80" i="3"/>
  <c r="K80" i="3"/>
  <c r="H114" i="35"/>
  <c r="H56" i="49"/>
  <c r="O84" i="35"/>
  <c r="X84" i="35"/>
  <c r="O94" i="35"/>
  <c r="X94" i="35"/>
  <c r="D82" i="43"/>
  <c r="R82" i="43"/>
  <c r="O100" i="35"/>
  <c r="X88" i="35"/>
  <c r="Y88" i="35"/>
  <c r="Z88" i="35"/>
  <c r="R93" i="43"/>
  <c r="D93" i="43"/>
  <c r="R97" i="43"/>
  <c r="D97" i="43"/>
  <c r="R84" i="43"/>
  <c r="D84" i="43"/>
  <c r="R101" i="43"/>
  <c r="D101" i="43"/>
  <c r="D90" i="43"/>
  <c r="R90" i="43"/>
  <c r="D87" i="43"/>
  <c r="R87" i="43"/>
  <c r="R85" i="43"/>
  <c r="D85" i="43"/>
  <c r="R104" i="43"/>
  <c r="D104" i="43"/>
  <c r="H203" i="49"/>
  <c r="Y100" i="35"/>
  <c r="O102" i="35"/>
  <c r="X102" i="35"/>
  <c r="Y102" i="35"/>
  <c r="J102" i="35"/>
  <c r="O86" i="35"/>
  <c r="X86" i="35"/>
  <c r="J86" i="35"/>
  <c r="R65" i="43"/>
  <c r="D65" i="43"/>
  <c r="Y52" i="35"/>
  <c r="X52" i="35"/>
  <c r="D55" i="43"/>
  <c r="R55" i="43"/>
  <c r="F40" i="3"/>
  <c r="C114" i="49"/>
  <c r="F67" i="3"/>
  <c r="C141" i="49"/>
  <c r="H44" i="35"/>
  <c r="C52" i="49"/>
  <c r="R45" i="43"/>
  <c r="D45" i="43"/>
  <c r="R53" i="43"/>
  <c r="D53" i="43"/>
  <c r="N44" i="35"/>
  <c r="E52" i="49"/>
  <c r="Y43" i="35"/>
  <c r="F71" i="43"/>
  <c r="G62" i="43"/>
  <c r="Y72" i="35"/>
  <c r="U62" i="43"/>
  <c r="J52" i="35"/>
  <c r="G60" i="49"/>
  <c r="N54" i="35"/>
  <c r="E62" i="49"/>
  <c r="O52" i="35"/>
  <c r="O70" i="35"/>
  <c r="Y44" i="35"/>
  <c r="J44" i="35"/>
  <c r="G52" i="49"/>
  <c r="M44" i="35"/>
  <c r="D52" i="49"/>
  <c r="R54" i="43"/>
  <c r="D54" i="43"/>
  <c r="D56" i="43"/>
  <c r="R56" i="43"/>
  <c r="D44" i="43"/>
  <c r="R44" i="43"/>
  <c r="F44" i="3"/>
  <c r="C118" i="49"/>
  <c r="D51" i="43"/>
  <c r="R51" i="43"/>
  <c r="K32" i="3"/>
  <c r="R47" i="43"/>
  <c r="D47" i="43"/>
  <c r="K33" i="3"/>
  <c r="D67" i="43"/>
  <c r="R67" i="43"/>
  <c r="R71" i="43"/>
  <c r="D71" i="43"/>
  <c r="R62" i="43"/>
  <c r="D62" i="43"/>
  <c r="H52" i="35"/>
  <c r="C60" i="49"/>
  <c r="R49" i="43"/>
  <c r="D49" i="43"/>
  <c r="O59" i="35"/>
  <c r="X59" i="35"/>
  <c r="R39" i="43"/>
  <c r="D39" i="43"/>
  <c r="R57" i="43"/>
  <c r="D57" i="43"/>
  <c r="N52" i="35"/>
  <c r="E60" i="49"/>
  <c r="R41" i="43"/>
  <c r="D41" i="43"/>
  <c r="K30" i="3"/>
  <c r="E62" i="43"/>
  <c r="K62" i="43"/>
  <c r="E200" i="49"/>
  <c r="F53" i="3"/>
  <c r="C127" i="49"/>
  <c r="R46" i="43"/>
  <c r="D46" i="43"/>
  <c r="K21" i="3"/>
  <c r="Z52" i="35"/>
  <c r="J43" i="35"/>
  <c r="G51" i="49"/>
  <c r="N43" i="35"/>
  <c r="E51" i="49"/>
  <c r="J54" i="35"/>
  <c r="G62" i="49"/>
  <c r="Z54" i="35"/>
  <c r="Z72" i="35"/>
  <c r="M52" i="35"/>
  <c r="D60" i="49"/>
  <c r="O72" i="35"/>
  <c r="R73" i="43"/>
  <c r="D73" i="43"/>
  <c r="F38" i="3"/>
  <c r="C112" i="49"/>
  <c r="J74" i="43"/>
  <c r="D212" i="49"/>
  <c r="R74" i="43"/>
  <c r="D74" i="43"/>
  <c r="O74" i="35"/>
  <c r="X74" i="35"/>
  <c r="H62" i="43"/>
  <c r="R69" i="43"/>
  <c r="D69" i="43"/>
  <c r="D43" i="43"/>
  <c r="R43" i="43"/>
  <c r="R61" i="43"/>
  <c r="D61" i="43"/>
  <c r="R42" i="43"/>
  <c r="D42" i="43"/>
  <c r="O41" i="35"/>
  <c r="X41" i="35"/>
  <c r="H43" i="35"/>
  <c r="C51" i="49"/>
  <c r="Y54" i="35"/>
  <c r="X54" i="35"/>
  <c r="F65" i="3"/>
  <c r="C139" i="49"/>
  <c r="D60" i="43"/>
  <c r="R60" i="43"/>
  <c r="E60" i="43"/>
  <c r="G60" i="43"/>
  <c r="J60" i="43"/>
  <c r="D198" i="49"/>
  <c r="F50" i="3"/>
  <c r="C124" i="49"/>
  <c r="R48" i="43"/>
  <c r="D48" i="43"/>
  <c r="E48" i="43"/>
  <c r="H48" i="43"/>
  <c r="D105" i="43"/>
  <c r="R105" i="43"/>
  <c r="E82" i="3"/>
  <c r="K82" i="3"/>
  <c r="E119" i="3"/>
  <c r="K95" i="3"/>
  <c r="E95" i="3"/>
  <c r="E116" i="3"/>
  <c r="D132" i="43"/>
  <c r="R132" i="43"/>
  <c r="E134" i="3"/>
  <c r="E90" i="3"/>
  <c r="K90" i="3"/>
  <c r="D125" i="43"/>
  <c r="R125" i="43"/>
  <c r="O134" i="35"/>
  <c r="X134" i="35"/>
  <c r="D108" i="43"/>
  <c r="R108" i="43"/>
  <c r="Z128" i="35"/>
  <c r="X128" i="35"/>
  <c r="D140" i="43"/>
  <c r="R140" i="43"/>
  <c r="F110" i="43"/>
  <c r="E110" i="43"/>
  <c r="E127" i="3"/>
  <c r="F109" i="3"/>
  <c r="H117" i="49"/>
  <c r="E109" i="3"/>
  <c r="D109" i="43"/>
  <c r="R109" i="43"/>
  <c r="E136" i="3"/>
  <c r="R107" i="43"/>
  <c r="D107" i="43"/>
  <c r="K87" i="3"/>
  <c r="E87" i="3"/>
  <c r="E96" i="3"/>
  <c r="K96" i="3"/>
  <c r="R118" i="43"/>
  <c r="D118" i="43"/>
  <c r="R122" i="43"/>
  <c r="D122" i="43"/>
  <c r="O132" i="35"/>
  <c r="X132" i="35"/>
  <c r="E89" i="3"/>
  <c r="K89" i="3"/>
  <c r="R111" i="43"/>
  <c r="D111" i="43"/>
  <c r="E132" i="3"/>
  <c r="R135" i="43"/>
  <c r="D135" i="43"/>
  <c r="D116" i="43"/>
  <c r="R116" i="43"/>
  <c r="E129" i="3"/>
  <c r="E106" i="3"/>
  <c r="E125" i="3"/>
  <c r="R119" i="43"/>
  <c r="D119" i="43"/>
  <c r="F104" i="3"/>
  <c r="H112" i="49"/>
  <c r="E104" i="3"/>
  <c r="F114" i="3"/>
  <c r="H122" i="49"/>
  <c r="E114" i="3"/>
  <c r="E112" i="3"/>
  <c r="D120" i="43"/>
  <c r="R120" i="43"/>
  <c r="O131" i="35"/>
  <c r="X131" i="35"/>
  <c r="O123" i="35"/>
  <c r="X123" i="35"/>
  <c r="R106" i="43"/>
  <c r="D106" i="43"/>
  <c r="O118" i="35"/>
  <c r="X118" i="35"/>
  <c r="D129" i="43"/>
  <c r="R129" i="43"/>
  <c r="E135" i="3"/>
  <c r="E122" i="3"/>
  <c r="E133" i="3"/>
  <c r="O111" i="35"/>
  <c r="X111" i="35"/>
  <c r="O133" i="35"/>
  <c r="X133" i="35"/>
  <c r="O116" i="35"/>
  <c r="X116" i="35"/>
  <c r="R130" i="43"/>
  <c r="D130" i="43"/>
  <c r="E111" i="3"/>
  <c r="D137" i="43"/>
  <c r="R137" i="43"/>
  <c r="D113" i="43"/>
  <c r="R113" i="43"/>
  <c r="E139" i="3"/>
  <c r="Z108" i="35"/>
  <c r="X108" i="35"/>
  <c r="J108" i="35"/>
  <c r="F108" i="3"/>
  <c r="H116" i="49"/>
  <c r="E108" i="3"/>
  <c r="O115" i="35"/>
  <c r="X115" i="35"/>
  <c r="Z115" i="35"/>
  <c r="R139" i="43"/>
  <c r="D139" i="43"/>
  <c r="H139" i="43"/>
  <c r="F113" i="3"/>
  <c r="H121" i="49"/>
  <c r="E113" i="3"/>
  <c r="K88" i="3"/>
  <c r="E88" i="3"/>
  <c r="K99" i="3"/>
  <c r="E99" i="3"/>
  <c r="O106" i="35"/>
  <c r="X106" i="35"/>
  <c r="R138" i="43"/>
  <c r="D138" i="43"/>
  <c r="O117" i="35"/>
  <c r="X117" i="35"/>
  <c r="E121" i="3"/>
  <c r="D136" i="43"/>
  <c r="R136" i="43"/>
  <c r="E81" i="3"/>
  <c r="K81" i="3"/>
  <c r="D133" i="43"/>
  <c r="R133" i="43"/>
  <c r="E105" i="3"/>
  <c r="E124" i="3"/>
  <c r="R134" i="43"/>
  <c r="D134" i="43"/>
  <c r="R126" i="43"/>
  <c r="D126" i="43"/>
  <c r="E117" i="3"/>
  <c r="F118" i="3"/>
  <c r="H126" i="49"/>
  <c r="E118" i="3"/>
  <c r="U110" i="43"/>
  <c r="R110" i="43"/>
  <c r="D110" i="43"/>
  <c r="G110" i="43"/>
  <c r="F137" i="3"/>
  <c r="H145" i="49"/>
  <c r="E137" i="3"/>
  <c r="D124" i="43"/>
  <c r="R124" i="43"/>
  <c r="F125" i="3"/>
  <c r="H133" i="49"/>
  <c r="O114" i="35"/>
  <c r="Y114" i="35"/>
  <c r="J114" i="35"/>
  <c r="Z114" i="35"/>
  <c r="F137" i="43"/>
  <c r="E137" i="43"/>
  <c r="J137" i="43"/>
  <c r="I209" i="49"/>
  <c r="U113" i="43"/>
  <c r="H113" i="43"/>
  <c r="F113" i="43"/>
  <c r="E113" i="43"/>
  <c r="G113" i="43"/>
  <c r="J113" i="43"/>
  <c r="I185" i="49"/>
  <c r="F117" i="3"/>
  <c r="H125" i="49"/>
  <c r="F111" i="3"/>
  <c r="H119" i="49"/>
  <c r="Y126" i="35"/>
  <c r="J126" i="35"/>
  <c r="Z126" i="35"/>
  <c r="H126" i="43"/>
  <c r="F126" i="43"/>
  <c r="E126" i="43"/>
  <c r="J126" i="43"/>
  <c r="I198" i="49"/>
  <c r="G126" i="43"/>
  <c r="U126" i="43"/>
  <c r="O112" i="35"/>
  <c r="J112" i="35"/>
  <c r="O127" i="35"/>
  <c r="Z127" i="35"/>
  <c r="U108" i="43"/>
  <c r="H108" i="43"/>
  <c r="G140" i="43"/>
  <c r="J140" i="43"/>
  <c r="I212" i="49"/>
  <c r="U140" i="43"/>
  <c r="E140" i="43"/>
  <c r="H140" i="43"/>
  <c r="F140" i="43"/>
  <c r="J119" i="43"/>
  <c r="I191" i="49"/>
  <c r="U119" i="43"/>
  <c r="O68" i="35"/>
  <c r="Y68" i="35"/>
  <c r="H73" i="43"/>
  <c r="E73" i="43"/>
  <c r="U73" i="43"/>
  <c r="G73" i="43"/>
  <c r="F73" i="43"/>
  <c r="J73" i="43"/>
  <c r="D211" i="49"/>
  <c r="Y70" i="35"/>
  <c r="F54" i="3"/>
  <c r="C128" i="49"/>
  <c r="O69" i="35"/>
  <c r="Z69" i="35"/>
  <c r="F43" i="3"/>
  <c r="C117" i="49"/>
  <c r="J55" i="43"/>
  <c r="D193" i="49"/>
  <c r="E55" i="43"/>
  <c r="U55" i="43"/>
  <c r="G55" i="43"/>
  <c r="H55" i="43"/>
  <c r="F55" i="43"/>
  <c r="G67" i="43"/>
  <c r="F67" i="43"/>
  <c r="H67" i="43"/>
  <c r="J67" i="43"/>
  <c r="D205" i="49"/>
  <c r="E67" i="43"/>
  <c r="U67" i="43"/>
  <c r="F39" i="3"/>
  <c r="C113" i="49"/>
  <c r="H71" i="43"/>
  <c r="J71" i="43"/>
  <c r="D209" i="49"/>
  <c r="G71" i="43"/>
  <c r="U71" i="43"/>
  <c r="F66" i="3"/>
  <c r="C140" i="49"/>
  <c r="J54" i="43"/>
  <c r="D192" i="49"/>
  <c r="E54" i="43"/>
  <c r="H54" i="43"/>
  <c r="J56" i="43"/>
  <c r="D194" i="49"/>
  <c r="U56" i="43"/>
  <c r="F56" i="43"/>
  <c r="E56" i="43"/>
  <c r="G56" i="43"/>
  <c r="H56" i="43"/>
  <c r="O43" i="35"/>
  <c r="Z43" i="35"/>
  <c r="V42" i="48"/>
  <c r="F51" i="3"/>
  <c r="C125" i="49"/>
  <c r="J62" i="35"/>
  <c r="G70" i="49"/>
  <c r="Z62" i="35"/>
  <c r="Y62" i="35"/>
  <c r="G44" i="43"/>
  <c r="F44" i="43"/>
  <c r="J44" i="43"/>
  <c r="D182" i="49"/>
  <c r="U44" i="43"/>
  <c r="S23" i="35"/>
  <c r="O23" i="35"/>
  <c r="X23" i="35"/>
  <c r="S34" i="35"/>
  <c r="O34" i="35"/>
  <c r="H85" i="35"/>
  <c r="H27" i="49"/>
  <c r="O85" i="35"/>
  <c r="X85" i="35"/>
  <c r="M104" i="35"/>
  <c r="I46" i="49"/>
  <c r="O104" i="35"/>
  <c r="H125" i="35"/>
  <c r="H67" i="49"/>
  <c r="O125" i="35"/>
  <c r="H104" i="35"/>
  <c r="H46" i="49"/>
  <c r="C209" i="49"/>
  <c r="S55" i="35"/>
  <c r="O55" i="35"/>
  <c r="O83" i="35"/>
  <c r="X83" i="35"/>
  <c r="S46" i="35"/>
  <c r="O46" i="35"/>
  <c r="N129" i="35"/>
  <c r="J71" i="49"/>
  <c r="O129" i="35"/>
  <c r="H99" i="35"/>
  <c r="H41" i="49"/>
  <c r="O99" i="35"/>
  <c r="S42" i="35"/>
  <c r="O42" i="35"/>
  <c r="X42" i="35"/>
  <c r="N121" i="35"/>
  <c r="J63" i="49"/>
  <c r="O121" i="35"/>
  <c r="M91" i="35"/>
  <c r="I33" i="49"/>
  <c r="O91" i="35"/>
  <c r="K70" i="43"/>
  <c r="E208" i="49"/>
  <c r="C208" i="49"/>
  <c r="M23" i="35"/>
  <c r="S50" i="35"/>
  <c r="O50" i="35"/>
  <c r="S36" i="35"/>
  <c r="O36" i="35"/>
  <c r="H174" i="49"/>
  <c r="K102" i="43"/>
  <c r="J174" i="49"/>
  <c r="H106" i="35"/>
  <c r="H48" i="49"/>
  <c r="N125" i="35"/>
  <c r="J67" i="49"/>
  <c r="S19" i="35"/>
  <c r="O19" i="35"/>
  <c r="X19" i="35"/>
  <c r="S63" i="35"/>
  <c r="O63" i="35"/>
  <c r="S31" i="35"/>
  <c r="O31" i="35"/>
  <c r="X31" i="35"/>
  <c r="S26" i="35"/>
  <c r="O26" i="35"/>
  <c r="X26" i="35"/>
  <c r="S58" i="35"/>
  <c r="O58" i="35"/>
  <c r="S35" i="35"/>
  <c r="O35" i="35"/>
  <c r="K114" i="43"/>
  <c r="J186" i="49"/>
  <c r="D4" i="3"/>
  <c r="E92" i="2"/>
  <c r="H83" i="35"/>
  <c r="H25" i="49"/>
  <c r="M125" i="35"/>
  <c r="I67" i="49"/>
  <c r="M41" i="35"/>
  <c r="D49" i="49"/>
  <c r="S41" i="35"/>
  <c r="M55" i="35"/>
  <c r="D63" i="49"/>
  <c r="M59" i="35"/>
  <c r="D67" i="49"/>
  <c r="S59" i="35"/>
  <c r="G142" i="35"/>
  <c r="G143" i="35"/>
  <c r="V21" i="48"/>
  <c r="J133" i="43"/>
  <c r="I205" i="49"/>
  <c r="E133" i="43"/>
  <c r="H205" i="49"/>
  <c r="M94" i="35"/>
  <c r="I36" i="49"/>
  <c r="N94" i="35"/>
  <c r="J36" i="49"/>
  <c r="H115" i="30"/>
  <c r="F475" i="41"/>
  <c r="H187" i="49"/>
  <c r="K115" i="43"/>
  <c r="J187" i="49"/>
  <c r="J104" i="43"/>
  <c r="I176" i="49"/>
  <c r="E104" i="43"/>
  <c r="H176" i="49"/>
  <c r="V36" i="48"/>
  <c r="U133" i="43"/>
  <c r="C475" i="41"/>
  <c r="C162" i="49"/>
  <c r="V29" i="48"/>
  <c r="V35" i="48"/>
  <c r="F12" i="59"/>
  <c r="R510" i="28"/>
  <c r="L522" i="28"/>
  <c r="N521" i="28"/>
  <c r="J511" i="28"/>
  <c r="J514" i="28"/>
  <c r="S35" i="28"/>
  <c r="F523" i="28"/>
  <c r="F521" i="28"/>
  <c r="F522" i="28"/>
  <c r="H523" i="28"/>
  <c r="G27" i="28"/>
  <c r="E27" i="28"/>
  <c r="R509" i="28"/>
  <c r="R512" i="28"/>
  <c r="F509" i="28"/>
  <c r="F518" i="28"/>
  <c r="N510" i="28"/>
  <c r="N516" i="28"/>
  <c r="F248" i="41"/>
  <c r="I262" i="41"/>
  <c r="J263" i="41"/>
  <c r="H278" i="41"/>
  <c r="G277" i="41"/>
  <c r="H277" i="41"/>
  <c r="F277" i="41"/>
  <c r="G26" i="39"/>
  <c r="I10" i="49"/>
  <c r="H26" i="39"/>
  <c r="E10" i="41"/>
  <c r="T62" i="30"/>
  <c r="T55" i="30"/>
  <c r="T58" i="30"/>
  <c r="N523" i="28"/>
  <c r="J510" i="28"/>
  <c r="J513" i="28"/>
  <c r="P62" i="2"/>
  <c r="G92" i="2"/>
  <c r="F4" i="3"/>
  <c r="H92" i="2"/>
  <c r="L511" i="28"/>
  <c r="E48" i="2"/>
  <c r="D510" i="28"/>
  <c r="D516" i="28"/>
  <c r="L521" i="28"/>
  <c r="D511" i="28"/>
  <c r="D520" i="28"/>
  <c r="P510" i="28"/>
  <c r="P516" i="28"/>
  <c r="T50" i="30"/>
  <c r="T75" i="30"/>
  <c r="F52" i="50"/>
  <c r="S52" i="50"/>
  <c r="D509" i="28"/>
  <c r="D512" i="28"/>
  <c r="R511" i="28"/>
  <c r="R514" i="28"/>
  <c r="T86" i="30"/>
  <c r="I27" i="28"/>
  <c r="T68" i="30"/>
  <c r="G52" i="50"/>
  <c r="F28" i="50"/>
  <c r="S28" i="50"/>
  <c r="T28" i="50"/>
  <c r="R28" i="50"/>
  <c r="H509" i="28"/>
  <c r="H512" i="28"/>
  <c r="R56" i="50"/>
  <c r="G16" i="50"/>
  <c r="T16" i="50"/>
  <c r="F56" i="50"/>
  <c r="S56" i="50"/>
  <c r="R25" i="50"/>
  <c r="T69" i="30"/>
  <c r="T18" i="30"/>
  <c r="T61" i="30"/>
  <c r="T92" i="30"/>
  <c r="T37" i="30"/>
  <c r="T24" i="30"/>
  <c r="T56" i="30"/>
  <c r="T73" i="30"/>
  <c r="T20" i="30"/>
  <c r="T70" i="30"/>
  <c r="T72" i="30"/>
  <c r="T39" i="30"/>
  <c r="T32" i="30"/>
  <c r="T81" i="30"/>
  <c r="T26" i="30"/>
  <c r="S26" i="30"/>
  <c r="T53" i="30"/>
  <c r="T95" i="30"/>
  <c r="T90" i="30"/>
  <c r="S25" i="30"/>
  <c r="T78" i="30"/>
  <c r="G20" i="50"/>
  <c r="T20" i="50"/>
  <c r="G24" i="50"/>
  <c r="T24" i="50"/>
  <c r="R47" i="50"/>
  <c r="R24" i="50"/>
  <c r="F20" i="50"/>
  <c r="S20" i="50"/>
  <c r="G47" i="50"/>
  <c r="T47" i="50"/>
  <c r="T100" i="30"/>
  <c r="T27" i="30"/>
  <c r="T23" i="30"/>
  <c r="T31" i="30"/>
  <c r="T28" i="30"/>
  <c r="T99" i="30"/>
  <c r="T30" i="30"/>
  <c r="S27" i="30"/>
  <c r="S32" i="30"/>
  <c r="T52" i="30"/>
  <c r="S16" i="50"/>
  <c r="F25" i="50"/>
  <c r="S25" i="50"/>
  <c r="S20" i="30"/>
  <c r="T46" i="30"/>
  <c r="T106" i="30"/>
  <c r="H521" i="28"/>
  <c r="H511" i="28"/>
  <c r="E49" i="2"/>
  <c r="D521" i="28"/>
  <c r="P509" i="28"/>
  <c r="P518" i="28"/>
  <c r="T42" i="30"/>
  <c r="G29" i="43"/>
  <c r="U29" i="43"/>
  <c r="J29" i="43"/>
  <c r="D167" i="49"/>
  <c r="F29" i="43"/>
  <c r="E29" i="43"/>
  <c r="H29" i="43"/>
  <c r="U49" i="43"/>
  <c r="J49" i="43"/>
  <c r="D187" i="49"/>
  <c r="H49" i="43"/>
  <c r="E49" i="43"/>
  <c r="G49" i="43"/>
  <c r="F49" i="43"/>
  <c r="U109" i="43"/>
  <c r="H109" i="43"/>
  <c r="J109" i="43"/>
  <c r="I181" i="49"/>
  <c r="G109" i="43"/>
  <c r="F109" i="43"/>
  <c r="E109" i="43"/>
  <c r="F136" i="3"/>
  <c r="H144" i="49"/>
  <c r="H23" i="35"/>
  <c r="C31" i="49"/>
  <c r="N23" i="35"/>
  <c r="Z23" i="35"/>
  <c r="J23" i="35"/>
  <c r="Y23" i="35"/>
  <c r="U21" i="43"/>
  <c r="G21" i="43"/>
  <c r="E21" i="43"/>
  <c r="J21" i="43"/>
  <c r="D159" i="49"/>
  <c r="H21" i="43"/>
  <c r="F21" i="43"/>
  <c r="G47" i="43"/>
  <c r="H47" i="43"/>
  <c r="U47" i="43"/>
  <c r="F47" i="43"/>
  <c r="E47" i="43"/>
  <c r="J47" i="43"/>
  <c r="D185" i="49"/>
  <c r="J65" i="43"/>
  <c r="D203" i="49"/>
  <c r="E65" i="43"/>
  <c r="G65" i="43"/>
  <c r="H65" i="43"/>
  <c r="U65" i="43"/>
  <c r="F65" i="43"/>
  <c r="F97" i="43"/>
  <c r="U97" i="43"/>
  <c r="H97" i="43"/>
  <c r="G97" i="43"/>
  <c r="J97" i="43"/>
  <c r="I169" i="49"/>
  <c r="E97" i="43"/>
  <c r="AA80" i="3"/>
  <c r="Y141" i="3"/>
  <c r="F88" i="3"/>
  <c r="H96" i="49"/>
  <c r="F99" i="3"/>
  <c r="H107" i="49"/>
  <c r="N106" i="35"/>
  <c r="J48" i="49"/>
  <c r="Z106" i="35"/>
  <c r="J106" i="35"/>
  <c r="Y106" i="35"/>
  <c r="G138" i="43"/>
  <c r="U138" i="43"/>
  <c r="H138" i="43"/>
  <c r="J138" i="43"/>
  <c r="I210" i="49"/>
  <c r="E138" i="43"/>
  <c r="F138" i="43"/>
  <c r="F95" i="3"/>
  <c r="H103" i="49"/>
  <c r="N117" i="35"/>
  <c r="J59" i="49"/>
  <c r="Y117" i="35"/>
  <c r="J117" i="35"/>
  <c r="M117" i="35"/>
  <c r="I59" i="49"/>
  <c r="H117" i="35"/>
  <c r="H59" i="49"/>
  <c r="Z117" i="35"/>
  <c r="F121" i="3"/>
  <c r="H129" i="49"/>
  <c r="H129" i="35"/>
  <c r="H71" i="49"/>
  <c r="M129" i="35"/>
  <c r="I71" i="49"/>
  <c r="J129" i="35"/>
  <c r="Z129" i="35"/>
  <c r="Y129" i="35"/>
  <c r="H136" i="43"/>
  <c r="E136" i="43"/>
  <c r="J136" i="43"/>
  <c r="I208" i="49"/>
  <c r="G136" i="43"/>
  <c r="F136" i="43"/>
  <c r="U136" i="43"/>
  <c r="V14" i="48"/>
  <c r="H195" i="49"/>
  <c r="K123" i="43"/>
  <c r="J195" i="49"/>
  <c r="J84" i="35"/>
  <c r="H31" i="35"/>
  <c r="C39" i="49"/>
  <c r="N31" i="35"/>
  <c r="E39" i="49"/>
  <c r="Z31" i="35"/>
  <c r="J31" i="35"/>
  <c r="Y31" i="35"/>
  <c r="E90" i="43"/>
  <c r="G90" i="43"/>
  <c r="J90" i="43"/>
  <c r="I162" i="49"/>
  <c r="H90" i="43"/>
  <c r="U90" i="43"/>
  <c r="F90" i="43"/>
  <c r="Y111" i="35"/>
  <c r="J111" i="35"/>
  <c r="M111" i="35"/>
  <c r="I53" i="49"/>
  <c r="Z111" i="35"/>
  <c r="E67" i="2"/>
  <c r="D67" i="2"/>
  <c r="M26" i="35"/>
  <c r="H26" i="35"/>
  <c r="C34" i="49"/>
  <c r="N26" i="35"/>
  <c r="Z26" i="35"/>
  <c r="J26" i="35"/>
  <c r="M58" i="35"/>
  <c r="D66" i="49"/>
  <c r="H58" i="35"/>
  <c r="C66" i="49"/>
  <c r="Y58" i="35"/>
  <c r="N58" i="35"/>
  <c r="E66" i="49"/>
  <c r="Z58" i="35"/>
  <c r="J58" i="35"/>
  <c r="G66" i="49"/>
  <c r="H153" i="49"/>
  <c r="G135" i="43"/>
  <c r="F135" i="43"/>
  <c r="H135" i="43"/>
  <c r="U135" i="43"/>
  <c r="J135" i="43"/>
  <c r="I207" i="49"/>
  <c r="E135" i="43"/>
  <c r="N116" i="35"/>
  <c r="J58" i="49"/>
  <c r="J116" i="35"/>
  <c r="Y116" i="35"/>
  <c r="M116" i="35"/>
  <c r="I58" i="49"/>
  <c r="H116" i="35"/>
  <c r="H58" i="49"/>
  <c r="Z116" i="35"/>
  <c r="I475" i="41"/>
  <c r="R114" i="30"/>
  <c r="Y96" i="35"/>
  <c r="N96" i="35"/>
  <c r="J38" i="49"/>
  <c r="Z96" i="35"/>
  <c r="J96" i="35"/>
  <c r="G67" i="2"/>
  <c r="F49" i="3"/>
  <c r="C123" i="49"/>
  <c r="N91" i="35"/>
  <c r="J33" i="49"/>
  <c r="Z91" i="35"/>
  <c r="J91" i="35"/>
  <c r="Y91" i="35"/>
  <c r="F129" i="3"/>
  <c r="H137" i="49"/>
  <c r="K26" i="43"/>
  <c r="E164" i="49"/>
  <c r="C164" i="49"/>
  <c r="K58" i="43"/>
  <c r="E196" i="49"/>
  <c r="C196" i="49"/>
  <c r="H73" i="41"/>
  <c r="Q38" i="50"/>
  <c r="V15" i="48"/>
  <c r="H91" i="35"/>
  <c r="H33" i="49"/>
  <c r="M106" i="35"/>
  <c r="I48" i="49"/>
  <c r="N111" i="35"/>
  <c r="J53" i="49"/>
  <c r="E73" i="41"/>
  <c r="E77" i="41"/>
  <c r="V37" i="48"/>
  <c r="L114" i="30"/>
  <c r="F249" i="41"/>
  <c r="G250" i="41"/>
  <c r="H522" i="28"/>
  <c r="L510" i="28"/>
  <c r="L509" i="28"/>
  <c r="L518" i="28"/>
  <c r="N511" i="28"/>
  <c r="E40" i="2"/>
  <c r="D523" i="28"/>
  <c r="D522" i="28"/>
  <c r="R522" i="28"/>
  <c r="F510" i="28"/>
  <c r="F513" i="28"/>
  <c r="J509" i="28"/>
  <c r="J518" i="28"/>
  <c r="T76" i="30"/>
  <c r="H249" i="41"/>
  <c r="E33" i="43"/>
  <c r="J33" i="43"/>
  <c r="D171" i="49"/>
  <c r="F33" i="43"/>
  <c r="H33" i="43"/>
  <c r="G33" i="43"/>
  <c r="U33" i="43"/>
  <c r="U69" i="43"/>
  <c r="G69" i="43"/>
  <c r="H69" i="43"/>
  <c r="J69" i="43"/>
  <c r="D207" i="49"/>
  <c r="F69" i="43"/>
  <c r="E69" i="43"/>
  <c r="U120" i="43"/>
  <c r="J120" i="43"/>
  <c r="I192" i="49"/>
  <c r="E120" i="43"/>
  <c r="F120" i="43"/>
  <c r="G120" i="43"/>
  <c r="H120" i="43"/>
  <c r="H55" i="35"/>
  <c r="C63" i="49"/>
  <c r="N55" i="35"/>
  <c r="E63" i="49"/>
  <c r="J55" i="35"/>
  <c r="G63" i="49"/>
  <c r="Y55" i="35"/>
  <c r="Z55" i="35"/>
  <c r="U27" i="43"/>
  <c r="F27" i="43"/>
  <c r="G27" i="43"/>
  <c r="J27" i="43"/>
  <c r="D165" i="49"/>
  <c r="E27" i="43"/>
  <c r="H27" i="43"/>
  <c r="J53" i="43"/>
  <c r="D191" i="49"/>
  <c r="F53" i="43"/>
  <c r="H53" i="43"/>
  <c r="E53" i="43"/>
  <c r="G53" i="43"/>
  <c r="U53" i="43"/>
  <c r="J83" i="35"/>
  <c r="H103" i="43"/>
  <c r="U103" i="43"/>
  <c r="E103" i="43"/>
  <c r="G103" i="43"/>
  <c r="F103" i="43"/>
  <c r="J103" i="43"/>
  <c r="I175" i="49"/>
  <c r="F64" i="3"/>
  <c r="C138" i="49"/>
  <c r="F82" i="3"/>
  <c r="H90" i="49"/>
  <c r="F119" i="3"/>
  <c r="H127" i="49"/>
  <c r="M46" i="35"/>
  <c r="D54" i="49"/>
  <c r="Z46" i="35"/>
  <c r="H46" i="35"/>
  <c r="C54" i="49"/>
  <c r="N46" i="35"/>
  <c r="E54" i="49"/>
  <c r="Y46" i="35"/>
  <c r="J46" i="35"/>
  <c r="G54" i="49"/>
  <c r="J41" i="43"/>
  <c r="D179" i="49"/>
  <c r="U41" i="43"/>
  <c r="H41" i="43"/>
  <c r="F41" i="43"/>
  <c r="E41" i="43"/>
  <c r="G41" i="43"/>
  <c r="F101" i="43"/>
  <c r="G101" i="43"/>
  <c r="U101" i="43"/>
  <c r="J101" i="43"/>
  <c r="I173" i="49"/>
  <c r="E101" i="43"/>
  <c r="H101" i="43"/>
  <c r="F116" i="3"/>
  <c r="H124" i="49"/>
  <c r="F132" i="43"/>
  <c r="J132" i="43"/>
  <c r="I204" i="49"/>
  <c r="H132" i="43"/>
  <c r="U132" i="43"/>
  <c r="G132" i="43"/>
  <c r="E132" i="43"/>
  <c r="F81" i="3"/>
  <c r="H89" i="49"/>
  <c r="Q60" i="50"/>
  <c r="C157" i="49"/>
  <c r="K19" i="43"/>
  <c r="E157" i="49"/>
  <c r="F36" i="43"/>
  <c r="U36" i="43"/>
  <c r="J36" i="43"/>
  <c r="D174" i="49"/>
  <c r="H36" i="43"/>
  <c r="E36" i="43"/>
  <c r="G36" i="43"/>
  <c r="H133" i="43"/>
  <c r="F133" i="43"/>
  <c r="H99" i="43"/>
  <c r="G99" i="43"/>
  <c r="J99" i="43"/>
  <c r="I171" i="49"/>
  <c r="E99" i="43"/>
  <c r="U99" i="43"/>
  <c r="F99" i="43"/>
  <c r="F132" i="3"/>
  <c r="H140" i="49"/>
  <c r="M34" i="35"/>
  <c r="D42" i="49"/>
  <c r="Z34" i="35"/>
  <c r="H34" i="35"/>
  <c r="C42" i="49"/>
  <c r="Y34" i="35"/>
  <c r="J34" i="35"/>
  <c r="G42" i="49"/>
  <c r="N34" i="35"/>
  <c r="E42" i="49"/>
  <c r="U46" i="43"/>
  <c r="F46" i="43"/>
  <c r="E46" i="43"/>
  <c r="J46" i="43"/>
  <c r="D184" i="49"/>
  <c r="G46" i="43"/>
  <c r="H46" i="43"/>
  <c r="F21" i="3"/>
  <c r="F35" i="43"/>
  <c r="G35" i="43"/>
  <c r="U35" i="43"/>
  <c r="J35" i="43"/>
  <c r="D173" i="49"/>
  <c r="E35" i="43"/>
  <c r="H35" i="43"/>
  <c r="F105" i="3"/>
  <c r="H113" i="49"/>
  <c r="F134" i="3"/>
  <c r="H142" i="49"/>
  <c r="K72" i="43"/>
  <c r="E210" i="49"/>
  <c r="C210" i="49"/>
  <c r="Y104" i="35"/>
  <c r="N104" i="35"/>
  <c r="J46" i="49"/>
  <c r="J104" i="35"/>
  <c r="Z104" i="35"/>
  <c r="E82" i="43"/>
  <c r="F82" i="43"/>
  <c r="J82" i="43"/>
  <c r="I154" i="49"/>
  <c r="G82" i="43"/>
  <c r="F124" i="3"/>
  <c r="H132" i="49"/>
  <c r="J134" i="43"/>
  <c r="I206" i="49"/>
  <c r="E134" i="43"/>
  <c r="H134" i="43"/>
  <c r="G134" i="43"/>
  <c r="F134" i="43"/>
  <c r="U134" i="43"/>
  <c r="I249" i="41"/>
  <c r="I248" i="41"/>
  <c r="K249" i="41"/>
  <c r="V43" i="48"/>
  <c r="J16" i="43"/>
  <c r="F16" i="43"/>
  <c r="E16" i="43"/>
  <c r="V30" i="48"/>
  <c r="G16" i="43"/>
  <c r="U37" i="43"/>
  <c r="H37" i="43"/>
  <c r="F37" i="43"/>
  <c r="E37" i="43"/>
  <c r="J37" i="43"/>
  <c r="D175" i="49"/>
  <c r="G37" i="43"/>
  <c r="F93" i="43"/>
  <c r="G93" i="43"/>
  <c r="E93" i="43"/>
  <c r="H93" i="43"/>
  <c r="J93" i="43"/>
  <c r="I165" i="49"/>
  <c r="U93" i="43"/>
  <c r="F32" i="3"/>
  <c r="C106" i="49"/>
  <c r="H59" i="35"/>
  <c r="C67" i="49"/>
  <c r="N59" i="35"/>
  <c r="E67" i="49"/>
  <c r="Z59" i="35"/>
  <c r="J59" i="35"/>
  <c r="G67" i="49"/>
  <c r="Y59" i="35"/>
  <c r="H39" i="43"/>
  <c r="J39" i="43"/>
  <c r="D177" i="49"/>
  <c r="G39" i="43"/>
  <c r="F39" i="43"/>
  <c r="U39" i="43"/>
  <c r="E39" i="43"/>
  <c r="F57" i="43"/>
  <c r="H57" i="43"/>
  <c r="U57" i="43"/>
  <c r="G57" i="43"/>
  <c r="J57" i="43"/>
  <c r="D195" i="49"/>
  <c r="E57" i="43"/>
  <c r="N95" i="35"/>
  <c r="J37" i="49"/>
  <c r="Z95" i="35"/>
  <c r="J95" i="35"/>
  <c r="Y95" i="35"/>
  <c r="J107" i="43"/>
  <c r="I179" i="49"/>
  <c r="H107" i="43"/>
  <c r="G107" i="43"/>
  <c r="F107" i="43"/>
  <c r="E107" i="43"/>
  <c r="U107" i="43"/>
  <c r="F87" i="3"/>
  <c r="H95" i="49"/>
  <c r="F96" i="3"/>
  <c r="H104" i="49"/>
  <c r="F84" i="43"/>
  <c r="H84" i="43"/>
  <c r="U84" i="43"/>
  <c r="G84" i="43"/>
  <c r="J84" i="43"/>
  <c r="I156" i="49"/>
  <c r="E84" i="43"/>
  <c r="H41" i="35"/>
  <c r="C49" i="49"/>
  <c r="N41" i="35"/>
  <c r="E49" i="49"/>
  <c r="Z41" i="35"/>
  <c r="Y41" i="35"/>
  <c r="J41" i="35"/>
  <c r="G49" i="49"/>
  <c r="Y101" i="35"/>
  <c r="Z101" i="35"/>
  <c r="J101" i="35"/>
  <c r="E118" i="43"/>
  <c r="H118" i="43"/>
  <c r="G118" i="43"/>
  <c r="U118" i="43"/>
  <c r="F118" i="43"/>
  <c r="J118" i="43"/>
  <c r="I190" i="49"/>
  <c r="J122" i="43"/>
  <c r="I194" i="49"/>
  <c r="G122" i="43"/>
  <c r="H122" i="43"/>
  <c r="E122" i="43"/>
  <c r="U122" i="43"/>
  <c r="F122" i="43"/>
  <c r="M132" i="35"/>
  <c r="I74" i="49"/>
  <c r="H132" i="35"/>
  <c r="H74" i="49"/>
  <c r="J132" i="35"/>
  <c r="N132" i="35"/>
  <c r="J74" i="49"/>
  <c r="Z132" i="35"/>
  <c r="Y132" i="35"/>
  <c r="F122" i="3"/>
  <c r="H130" i="49"/>
  <c r="H57" i="41"/>
  <c r="F30" i="3"/>
  <c r="C104" i="49"/>
  <c r="H67" i="2"/>
  <c r="F67" i="2"/>
  <c r="K40" i="43"/>
  <c r="E178" i="49"/>
  <c r="V28" i="48"/>
  <c r="V22" i="48"/>
  <c r="N99" i="35"/>
  <c r="J41" i="49"/>
  <c r="Z99" i="35"/>
  <c r="Y99" i="35"/>
  <c r="J99" i="35"/>
  <c r="M133" i="35"/>
  <c r="I75" i="49"/>
  <c r="Y133" i="35"/>
  <c r="H133" i="35"/>
  <c r="H75" i="49"/>
  <c r="N133" i="35"/>
  <c r="J75" i="49"/>
  <c r="J133" i="35"/>
  <c r="Z133" i="35"/>
  <c r="M42" i="35"/>
  <c r="D50" i="49"/>
  <c r="H42" i="35"/>
  <c r="C50" i="49"/>
  <c r="Z42" i="35"/>
  <c r="N42" i="35"/>
  <c r="E50" i="49"/>
  <c r="J42" i="35"/>
  <c r="J94" i="35"/>
  <c r="Y94" i="35"/>
  <c r="Z94" i="35"/>
  <c r="H121" i="35"/>
  <c r="H63" i="49"/>
  <c r="Y121" i="35"/>
  <c r="M121" i="35"/>
  <c r="I63" i="49"/>
  <c r="J121" i="35"/>
  <c r="Z121" i="35"/>
  <c r="H87" i="43"/>
  <c r="U87" i="43"/>
  <c r="J87" i="43"/>
  <c r="I159" i="49"/>
  <c r="G87" i="43"/>
  <c r="F87" i="43"/>
  <c r="E87" i="43"/>
  <c r="D59" i="50"/>
  <c r="Q58" i="50"/>
  <c r="AA21" i="3"/>
  <c r="Y75" i="3"/>
  <c r="H35" i="35"/>
  <c r="C43" i="49"/>
  <c r="N35" i="35"/>
  <c r="E43" i="49"/>
  <c r="Y35" i="35"/>
  <c r="Z35" i="35"/>
  <c r="J35" i="35"/>
  <c r="G43" i="49"/>
  <c r="H85" i="43"/>
  <c r="U85" i="43"/>
  <c r="F85" i="43"/>
  <c r="G85" i="43"/>
  <c r="E85" i="43"/>
  <c r="J85" i="43"/>
  <c r="I157" i="49"/>
  <c r="U104" i="43"/>
  <c r="G104" i="43"/>
  <c r="H104" i="43"/>
  <c r="F90" i="3"/>
  <c r="H98" i="49"/>
  <c r="F125" i="43"/>
  <c r="G125" i="43"/>
  <c r="H125" i="43"/>
  <c r="J125" i="43"/>
  <c r="I197" i="49"/>
  <c r="E125" i="43"/>
  <c r="U125" i="43"/>
  <c r="M134" i="35"/>
  <c r="I76" i="49"/>
  <c r="J134" i="35"/>
  <c r="Y134" i="35"/>
  <c r="H134" i="35"/>
  <c r="H76" i="49"/>
  <c r="N134" i="35"/>
  <c r="J76" i="49"/>
  <c r="Z134" i="35"/>
  <c r="K117" i="43"/>
  <c r="J189" i="49"/>
  <c r="H189" i="49"/>
  <c r="D277" i="41"/>
  <c r="C277" i="41"/>
  <c r="E277" i="41"/>
  <c r="N101" i="35"/>
  <c r="J43" i="49"/>
  <c r="H95" i="35"/>
  <c r="H37" i="49"/>
  <c r="H101" i="35"/>
  <c r="H43" i="49"/>
  <c r="H111" i="35"/>
  <c r="H53" i="49"/>
  <c r="V23" i="48"/>
  <c r="F104" i="43"/>
  <c r="H510" i="28"/>
  <c r="H513" i="28"/>
  <c r="N509" i="28"/>
  <c r="N515" i="28"/>
  <c r="R521" i="28"/>
  <c r="F511" i="28"/>
  <c r="F520" i="28"/>
  <c r="P511" i="28"/>
  <c r="P517" i="28"/>
  <c r="R16" i="50"/>
  <c r="G25" i="43"/>
  <c r="H25" i="43"/>
  <c r="F25" i="43"/>
  <c r="E25" i="43"/>
  <c r="U25" i="43"/>
  <c r="J25" i="43"/>
  <c r="D163" i="49"/>
  <c r="F45" i="43"/>
  <c r="U45" i="43"/>
  <c r="J45" i="43"/>
  <c r="D183" i="49"/>
  <c r="H45" i="43"/>
  <c r="E45" i="43"/>
  <c r="G45" i="43"/>
  <c r="H105" i="43"/>
  <c r="G105" i="43"/>
  <c r="E105" i="43"/>
  <c r="J105" i="43"/>
  <c r="I177" i="49"/>
  <c r="F105" i="43"/>
  <c r="U105" i="43"/>
  <c r="F36" i="3"/>
  <c r="C110" i="49"/>
  <c r="H19" i="35"/>
  <c r="C27" i="49"/>
  <c r="N19" i="35"/>
  <c r="Z19" i="35"/>
  <c r="J19" i="35"/>
  <c r="Y19" i="35"/>
  <c r="V16" i="48"/>
  <c r="H63" i="35"/>
  <c r="C71" i="49"/>
  <c r="N63" i="35"/>
  <c r="E71" i="49"/>
  <c r="Z63" i="35"/>
  <c r="J63" i="35"/>
  <c r="G71" i="49"/>
  <c r="Y63" i="35"/>
  <c r="H43" i="43"/>
  <c r="E43" i="43"/>
  <c r="U43" i="43"/>
  <c r="F43" i="43"/>
  <c r="J43" i="43"/>
  <c r="D181" i="49"/>
  <c r="G43" i="43"/>
  <c r="U61" i="43"/>
  <c r="E61" i="43"/>
  <c r="J61" i="43"/>
  <c r="D199" i="49"/>
  <c r="G61" i="43"/>
  <c r="F61" i="43"/>
  <c r="H61" i="43"/>
  <c r="M131" i="35"/>
  <c r="I73" i="49"/>
  <c r="N131" i="35"/>
  <c r="J73" i="49"/>
  <c r="J131" i="35"/>
  <c r="Y131" i="35"/>
  <c r="H131" i="35"/>
  <c r="H73" i="49"/>
  <c r="Z131" i="35"/>
  <c r="F52" i="3"/>
  <c r="C126" i="49"/>
  <c r="V50" i="48"/>
  <c r="F80" i="3"/>
  <c r="V51" i="48"/>
  <c r="V49" i="48"/>
  <c r="U42" i="43"/>
  <c r="G42" i="43"/>
  <c r="E42" i="43"/>
  <c r="H42" i="43"/>
  <c r="F42" i="43"/>
  <c r="J42" i="43"/>
  <c r="D180" i="49"/>
  <c r="Z90" i="35"/>
  <c r="Y90" i="35"/>
  <c r="J90" i="35"/>
  <c r="N123" i="35"/>
  <c r="J65" i="49"/>
  <c r="H123" i="35"/>
  <c r="H65" i="49"/>
  <c r="J123" i="35"/>
  <c r="Y123" i="35"/>
  <c r="M123" i="35"/>
  <c r="I65" i="49"/>
  <c r="Z123" i="35"/>
  <c r="F106" i="43"/>
  <c r="J106" i="43"/>
  <c r="I178" i="49"/>
  <c r="E106" i="43"/>
  <c r="U106" i="43"/>
  <c r="G106" i="43"/>
  <c r="H106" i="43"/>
  <c r="N118" i="35"/>
  <c r="J60" i="49"/>
  <c r="H118" i="35"/>
  <c r="H60" i="49"/>
  <c r="Z118" i="35"/>
  <c r="M118" i="35"/>
  <c r="I60" i="49"/>
  <c r="J118" i="35"/>
  <c r="Y118" i="35"/>
  <c r="E129" i="43"/>
  <c r="F129" i="43"/>
  <c r="J129" i="43"/>
  <c r="I201" i="49"/>
  <c r="G129" i="43"/>
  <c r="U129" i="43"/>
  <c r="H129" i="43"/>
  <c r="F135" i="3"/>
  <c r="H143" i="49"/>
  <c r="F133" i="3"/>
  <c r="H141" i="49"/>
  <c r="J59" i="50"/>
  <c r="C161" i="49"/>
  <c r="K23" i="43"/>
  <c r="E161" i="49"/>
  <c r="F31" i="43"/>
  <c r="U31" i="43"/>
  <c r="E31" i="43"/>
  <c r="G31" i="43"/>
  <c r="J31" i="43"/>
  <c r="D169" i="49"/>
  <c r="H31" i="43"/>
  <c r="F89" i="3"/>
  <c r="H97" i="49"/>
  <c r="U111" i="43"/>
  <c r="E111" i="43"/>
  <c r="H111" i="43"/>
  <c r="J111" i="43"/>
  <c r="I183" i="49"/>
  <c r="G111" i="43"/>
  <c r="F111" i="43"/>
  <c r="M50" i="35"/>
  <c r="D58" i="49"/>
  <c r="H50" i="35"/>
  <c r="C58" i="49"/>
  <c r="Z50" i="35"/>
  <c r="J50" i="35"/>
  <c r="G58" i="49"/>
  <c r="N50" i="35"/>
  <c r="E58" i="49"/>
  <c r="Y50" i="35"/>
  <c r="F33" i="3"/>
  <c r="C107" i="49"/>
  <c r="F57" i="3"/>
  <c r="C131" i="49"/>
  <c r="J85" i="35"/>
  <c r="F116" i="43"/>
  <c r="U116" i="43"/>
  <c r="J116" i="43"/>
  <c r="I188" i="49"/>
  <c r="H116" i="43"/>
  <c r="E116" i="43"/>
  <c r="G116" i="43"/>
  <c r="P31" i="45"/>
  <c r="P30" i="45"/>
  <c r="H170" i="49"/>
  <c r="K98" i="43"/>
  <c r="J170" i="49"/>
  <c r="M36" i="35"/>
  <c r="D44" i="49"/>
  <c r="J36" i="35"/>
  <c r="G44" i="49"/>
  <c r="Z36" i="35"/>
  <c r="N36" i="35"/>
  <c r="E44" i="49"/>
  <c r="Y36" i="35"/>
  <c r="U130" i="43"/>
  <c r="F130" i="43"/>
  <c r="J130" i="43"/>
  <c r="I202" i="49"/>
  <c r="J91" i="43"/>
  <c r="I163" i="49"/>
  <c r="U91" i="43"/>
  <c r="E91" i="43"/>
  <c r="H91" i="43"/>
  <c r="G91" i="43"/>
  <c r="F91" i="43"/>
  <c r="Y125" i="35"/>
  <c r="Z125" i="35"/>
  <c r="J125" i="35"/>
  <c r="V44" i="48"/>
  <c r="C90" i="49"/>
  <c r="R32" i="45"/>
  <c r="C356" i="41"/>
  <c r="S14" i="30"/>
  <c r="S17" i="30"/>
  <c r="S38" i="30"/>
  <c r="S19" i="30"/>
  <c r="S16" i="30"/>
  <c r="S29" i="30"/>
  <c r="S105" i="30"/>
  <c r="Q216" i="30"/>
  <c r="T101" i="30"/>
  <c r="T77" i="30"/>
  <c r="T57" i="30"/>
  <c r="S39" i="30"/>
  <c r="S36" i="30"/>
  <c r="D263" i="41"/>
  <c r="E263" i="41"/>
  <c r="F263" i="41"/>
  <c r="H264" i="41"/>
  <c r="H263" i="41"/>
  <c r="G263" i="41"/>
  <c r="F262" i="41"/>
  <c r="G236" i="41"/>
  <c r="F235" i="41"/>
  <c r="G235" i="41"/>
  <c r="H235" i="41"/>
  <c r="H236" i="41"/>
  <c r="F234" i="41"/>
  <c r="E235" i="41"/>
  <c r="C235" i="41"/>
  <c r="E249" i="41"/>
  <c r="D249" i="41"/>
  <c r="D250" i="41"/>
  <c r="E250" i="41"/>
  <c r="C249" i="41"/>
  <c r="T32" i="50"/>
  <c r="T25" i="30"/>
  <c r="S31" i="50"/>
  <c r="T13" i="30"/>
  <c r="S23" i="50"/>
  <c r="S24" i="50"/>
  <c r="P36" i="22"/>
  <c r="P37" i="22"/>
  <c r="P43" i="22"/>
  <c r="T44" i="30"/>
  <c r="T21" i="30"/>
  <c r="O49" i="22"/>
  <c r="T51" i="50"/>
  <c r="P50" i="22"/>
  <c r="S81" i="50"/>
  <c r="P46" i="22"/>
  <c r="P47" i="22"/>
  <c r="P52" i="22"/>
  <c r="T80" i="50"/>
  <c r="P53" i="22"/>
  <c r="P41" i="22"/>
  <c r="P51" i="22"/>
  <c r="O45" i="22"/>
  <c r="T14" i="50"/>
  <c r="S30" i="50"/>
  <c r="S27" i="50"/>
  <c r="T71" i="50"/>
  <c r="S19" i="50"/>
  <c r="T88" i="30"/>
  <c r="S18" i="30"/>
  <c r="S106" i="30"/>
  <c r="S22" i="30"/>
  <c r="S34" i="30"/>
  <c r="S35" i="30"/>
  <c r="S13" i="30"/>
  <c r="S70" i="50"/>
  <c r="S77" i="50"/>
  <c r="S15" i="50"/>
  <c r="S24" i="30"/>
  <c r="S21" i="30"/>
  <c r="N216" i="30"/>
  <c r="A368" i="41"/>
  <c r="J216" i="30"/>
  <c r="R216" i="30"/>
  <c r="T45" i="50"/>
  <c r="T36" i="50"/>
  <c r="T72" i="50"/>
  <c r="O35" i="22"/>
  <c r="T65" i="50"/>
  <c r="T69" i="50"/>
  <c r="O52" i="22"/>
  <c r="S49" i="50"/>
  <c r="S17" i="50"/>
  <c r="T22" i="50"/>
  <c r="T66" i="50"/>
  <c r="S45" i="50"/>
  <c r="S55" i="50"/>
  <c r="S72" i="50"/>
  <c r="S13" i="50"/>
  <c r="S21" i="50"/>
  <c r="T67" i="50"/>
  <c r="P40" i="22"/>
  <c r="P55" i="22"/>
  <c r="S12" i="50"/>
  <c r="T76" i="50"/>
  <c r="T55" i="50"/>
  <c r="S69" i="50"/>
  <c r="S83" i="50"/>
  <c r="T77" i="50"/>
  <c r="S65" i="50"/>
  <c r="S80" i="50"/>
  <c r="T18" i="50"/>
  <c r="T31" i="50"/>
  <c r="S54" i="50"/>
  <c r="S50" i="50"/>
  <c r="T17" i="50"/>
  <c r="S33" i="50"/>
  <c r="T78" i="50"/>
  <c r="S79" i="50"/>
  <c r="O55" i="22"/>
  <c r="S18" i="50"/>
  <c r="O57" i="22"/>
  <c r="T26" i="50"/>
  <c r="T29" i="50"/>
  <c r="T48" i="50"/>
  <c r="T50" i="50"/>
  <c r="T82" i="50"/>
  <c r="O41" i="22"/>
  <c r="T46" i="50"/>
  <c r="O51" i="22"/>
  <c r="T73" i="50"/>
  <c r="T74" i="50"/>
  <c r="S48" i="50"/>
  <c r="T33" i="50"/>
  <c r="O44" i="22"/>
  <c r="T216" i="30"/>
  <c r="T56" i="50"/>
  <c r="T49" i="50"/>
  <c r="S78" i="50"/>
  <c r="S82" i="50"/>
  <c r="S76" i="50"/>
  <c r="T13" i="50"/>
  <c r="S46" i="50"/>
  <c r="O38" i="22"/>
  <c r="T25" i="50"/>
  <c r="S68" i="50"/>
  <c r="T75" i="50"/>
  <c r="T21" i="50"/>
  <c r="S26" i="50"/>
  <c r="T34" i="50"/>
  <c r="S47" i="50"/>
  <c r="T79" i="50"/>
  <c r="P42" i="22"/>
  <c r="S75" i="50"/>
  <c r="O36" i="22"/>
  <c r="S74" i="50"/>
  <c r="S32" i="50"/>
  <c r="S40" i="30"/>
  <c r="S15" i="30"/>
  <c r="S12" i="30"/>
  <c r="S37" i="30"/>
  <c r="S11" i="30"/>
  <c r="S23" i="30"/>
  <c r="S31" i="30"/>
  <c r="S33" i="30"/>
  <c r="D305" i="41"/>
  <c r="C305" i="41"/>
  <c r="E305" i="41"/>
  <c r="K130" i="43"/>
  <c r="J202" i="49"/>
  <c r="H202" i="49"/>
  <c r="P94" i="43"/>
  <c r="Z94" i="43"/>
  <c r="B94" i="43"/>
  <c r="C27" i="3"/>
  <c r="A27" i="3"/>
  <c r="B166" i="49"/>
  <c r="B28" i="43"/>
  <c r="B101" i="49"/>
  <c r="C93" i="3"/>
  <c r="A93" i="3"/>
  <c r="F94" i="35"/>
  <c r="C94" i="35"/>
  <c r="B36" i="49"/>
  <c r="P93" i="3"/>
  <c r="T94" i="35"/>
  <c r="C28" i="3"/>
  <c r="A28" i="3"/>
  <c r="B167" i="49"/>
  <c r="C94" i="3"/>
  <c r="A94" i="3"/>
  <c r="B95" i="43"/>
  <c r="B29" i="43"/>
  <c r="B37" i="49"/>
  <c r="F95" i="35"/>
  <c r="C95" i="35"/>
  <c r="B102" i="49"/>
  <c r="P35" i="43"/>
  <c r="Z35" i="43"/>
  <c r="P120" i="43"/>
  <c r="Z120" i="43"/>
  <c r="Z71" i="43"/>
  <c r="P71" i="43"/>
  <c r="P137" i="43"/>
  <c r="Z137" i="43"/>
  <c r="T110" i="35"/>
  <c r="P109" i="3"/>
  <c r="B52" i="49"/>
  <c r="F110" i="35"/>
  <c r="C110" i="35"/>
  <c r="B182" i="49"/>
  <c r="B44" i="43"/>
  <c r="B110" i="43"/>
  <c r="B117" i="49"/>
  <c r="C43" i="3"/>
  <c r="A43" i="3"/>
  <c r="C109" i="3"/>
  <c r="A109" i="3"/>
  <c r="P32" i="43"/>
  <c r="Z32" i="43"/>
  <c r="Z98" i="43"/>
  <c r="P98" i="43"/>
  <c r="P138" i="3"/>
  <c r="T139" i="35"/>
  <c r="B81" i="49"/>
  <c r="B146" i="49"/>
  <c r="B139" i="43"/>
  <c r="C138" i="3"/>
  <c r="A138" i="3"/>
  <c r="C72" i="3"/>
  <c r="A72" i="3"/>
  <c r="F139" i="35"/>
  <c r="C139" i="35"/>
  <c r="B211" i="49"/>
  <c r="B73" i="43"/>
  <c r="P70" i="43"/>
  <c r="Z70" i="43"/>
  <c r="Z111" i="43"/>
  <c r="P111" i="43"/>
  <c r="Z118" i="43"/>
  <c r="P118" i="43"/>
  <c r="B140" i="43"/>
  <c r="B147" i="49"/>
  <c r="B82" i="49"/>
  <c r="C73" i="3"/>
  <c r="A73" i="3"/>
  <c r="F140" i="35"/>
  <c r="C140" i="35"/>
  <c r="B212" i="49"/>
  <c r="C139" i="3"/>
  <c r="A139" i="3"/>
  <c r="B74" i="43"/>
  <c r="P140" i="43"/>
  <c r="Z140" i="43"/>
  <c r="B74" i="49"/>
  <c r="F132" i="35"/>
  <c r="C132" i="35"/>
  <c r="C131" i="3"/>
  <c r="A131" i="3"/>
  <c r="B132" i="43"/>
  <c r="B66" i="43"/>
  <c r="B139" i="49"/>
  <c r="B204" i="49"/>
  <c r="C65" i="3"/>
  <c r="A65" i="3"/>
  <c r="Z69" i="43"/>
  <c r="P69" i="43"/>
  <c r="P131" i="43"/>
  <c r="Z131" i="43"/>
  <c r="P27" i="43"/>
  <c r="Z27" i="43"/>
  <c r="Z93" i="43"/>
  <c r="P93" i="43"/>
  <c r="P59" i="43"/>
  <c r="Z59" i="43"/>
  <c r="C124" i="3"/>
  <c r="A124" i="3"/>
  <c r="B59" i="43"/>
  <c r="B125" i="43"/>
  <c r="F125" i="35"/>
  <c r="C125" i="35"/>
  <c r="C58" i="3"/>
  <c r="A58" i="3"/>
  <c r="B197" i="49"/>
  <c r="B67" i="49"/>
  <c r="B132" i="49"/>
  <c r="P21" i="43"/>
  <c r="Z21" i="43"/>
  <c r="P112" i="3"/>
  <c r="T113" i="35"/>
  <c r="B120" i="49"/>
  <c r="B47" i="43"/>
  <c r="F113" i="35"/>
  <c r="C113" i="35"/>
  <c r="B55" i="49"/>
  <c r="C112" i="3"/>
  <c r="A112" i="3"/>
  <c r="B185" i="49"/>
  <c r="C46" i="3"/>
  <c r="A46" i="3"/>
  <c r="B113" i="43"/>
  <c r="B86" i="43"/>
  <c r="B28" i="49"/>
  <c r="F86" i="35"/>
  <c r="C86" i="35"/>
  <c r="B20" i="43"/>
  <c r="C19" i="3"/>
  <c r="A19" i="3"/>
  <c r="B158" i="49"/>
  <c r="B93" i="49"/>
  <c r="C85" i="3"/>
  <c r="A85" i="3"/>
  <c r="T96" i="35"/>
  <c r="P95" i="3"/>
  <c r="P96" i="43"/>
  <c r="Z96" i="43"/>
  <c r="P53" i="43"/>
  <c r="Z53" i="43"/>
  <c r="P121" i="43"/>
  <c r="Z121" i="43"/>
  <c r="T81" i="35"/>
  <c r="P80" i="3"/>
  <c r="C80" i="3"/>
  <c r="A80" i="3"/>
  <c r="C14" i="3"/>
  <c r="A14" i="3"/>
  <c r="B153" i="49"/>
  <c r="F81" i="35"/>
  <c r="C81" i="35"/>
  <c r="B23" i="49"/>
  <c r="B81" i="43"/>
  <c r="B15" i="43"/>
  <c r="B88" i="49"/>
  <c r="C48" i="3"/>
  <c r="A48" i="3"/>
  <c r="B49" i="43"/>
  <c r="B57" i="49"/>
  <c r="B122" i="49"/>
  <c r="F115" i="35"/>
  <c r="C115" i="35"/>
  <c r="B115" i="43"/>
  <c r="B187" i="49"/>
  <c r="C114" i="3"/>
  <c r="A114" i="3"/>
  <c r="P133" i="3"/>
  <c r="T134" i="35"/>
  <c r="P19" i="43"/>
  <c r="Z19" i="43"/>
  <c r="B71" i="49"/>
  <c r="B201" i="49"/>
  <c r="B136" i="49"/>
  <c r="C62" i="3"/>
  <c r="A62" i="3"/>
  <c r="C128" i="3"/>
  <c r="A128" i="3"/>
  <c r="F129" i="35"/>
  <c r="C129" i="35"/>
  <c r="B63" i="43"/>
  <c r="B129" i="43"/>
  <c r="P129" i="43"/>
  <c r="Z129" i="43"/>
  <c r="B110" i="49"/>
  <c r="B45" i="49"/>
  <c r="C102" i="3"/>
  <c r="A102" i="3"/>
  <c r="B103" i="43"/>
  <c r="F103" i="35"/>
  <c r="C103" i="35"/>
  <c r="B37" i="43"/>
  <c r="B175" i="49"/>
  <c r="C36" i="3"/>
  <c r="A36" i="3"/>
  <c r="C101" i="3"/>
  <c r="A101" i="3"/>
  <c r="C35" i="3"/>
  <c r="A35" i="3"/>
  <c r="B36" i="43"/>
  <c r="B102" i="43"/>
  <c r="B109" i="49"/>
  <c r="B174" i="49"/>
  <c r="B44" i="49"/>
  <c r="F102" i="35"/>
  <c r="C102" i="35"/>
  <c r="P102" i="43"/>
  <c r="Z102" i="43"/>
  <c r="P88" i="43"/>
  <c r="Z88" i="43"/>
  <c r="P22" i="43"/>
  <c r="Z22" i="43"/>
  <c r="P84" i="43"/>
  <c r="Z84" i="43"/>
  <c r="B84" i="43"/>
  <c r="B26" i="49"/>
  <c r="C83" i="3"/>
  <c r="A83" i="3"/>
  <c r="C17" i="3"/>
  <c r="A17" i="3"/>
  <c r="B156" i="49"/>
  <c r="B18" i="43"/>
  <c r="F84" i="35"/>
  <c r="C84" i="35"/>
  <c r="B91" i="49"/>
  <c r="P16" i="43"/>
  <c r="Z16" i="43"/>
  <c r="T82" i="35"/>
  <c r="P81" i="3"/>
  <c r="P51" i="43"/>
  <c r="Z51" i="43"/>
  <c r="P104" i="43"/>
  <c r="Z104" i="43"/>
  <c r="C37" i="3"/>
  <c r="A37" i="3"/>
  <c r="B38" i="43"/>
  <c r="B176" i="49"/>
  <c r="B46" i="49"/>
  <c r="B111" i="49"/>
  <c r="B104" i="43"/>
  <c r="C103" i="3"/>
  <c r="A103" i="3"/>
  <c r="F104" i="35"/>
  <c r="C104" i="35"/>
  <c r="Z112" i="43"/>
  <c r="P112" i="43"/>
  <c r="C127" i="3"/>
  <c r="A127" i="3"/>
  <c r="B128" i="43"/>
  <c r="B62" i="43"/>
  <c r="B200" i="49"/>
  <c r="F128" i="35"/>
  <c r="C128" i="35"/>
  <c r="C61" i="3"/>
  <c r="A61" i="3"/>
  <c r="B135" i="49"/>
  <c r="B70" i="49"/>
  <c r="P128" i="43"/>
  <c r="Z128" i="43"/>
  <c r="Z64" i="43"/>
  <c r="P64" i="43"/>
  <c r="B105" i="43"/>
  <c r="B39" i="43"/>
  <c r="C104" i="3"/>
  <c r="A104" i="3"/>
  <c r="F105" i="35"/>
  <c r="C105" i="35"/>
  <c r="C38" i="3"/>
  <c r="A38" i="3"/>
  <c r="B112" i="49"/>
  <c r="B47" i="49"/>
  <c r="B177" i="49"/>
  <c r="P104" i="3"/>
  <c r="T105" i="35"/>
  <c r="P89" i="3"/>
  <c r="T90" i="35"/>
  <c r="B51" i="49"/>
  <c r="C42" i="3"/>
  <c r="A42" i="3"/>
  <c r="C108" i="3"/>
  <c r="A108" i="3"/>
  <c r="B181" i="49"/>
  <c r="B116" i="49"/>
  <c r="B43" i="43"/>
  <c r="F109" i="35"/>
  <c r="C109" i="35"/>
  <c r="B109" i="43"/>
  <c r="Z109" i="43"/>
  <c r="P109" i="43"/>
  <c r="P58" i="43"/>
  <c r="Z58" i="43"/>
  <c r="F91" i="35"/>
  <c r="C91" i="35"/>
  <c r="B91" i="43"/>
  <c r="B25" i="43"/>
  <c r="C24" i="3"/>
  <c r="A24" i="3"/>
  <c r="B98" i="49"/>
  <c r="C90" i="3"/>
  <c r="A90" i="3"/>
  <c r="B33" i="49"/>
  <c r="B163" i="49"/>
  <c r="Z138" i="43"/>
  <c r="P138" i="43"/>
  <c r="P57" i="43"/>
  <c r="Z57" i="43"/>
  <c r="Z31" i="43"/>
  <c r="P31" i="43"/>
  <c r="P107" i="43"/>
  <c r="Z107" i="43"/>
  <c r="P41" i="43"/>
  <c r="Z41" i="43"/>
  <c r="C23" i="49"/>
  <c r="C318" i="41"/>
  <c r="F318" i="41"/>
  <c r="I318" i="41"/>
  <c r="P95" i="43"/>
  <c r="Z95" i="43"/>
  <c r="T95" i="35"/>
  <c r="P94" i="3"/>
  <c r="P100" i="3"/>
  <c r="T101" i="35"/>
  <c r="T120" i="35"/>
  <c r="P119" i="3"/>
  <c r="F137" i="35"/>
  <c r="C137" i="35"/>
  <c r="B79" i="49"/>
  <c r="B71" i="43"/>
  <c r="C70" i="3"/>
  <c r="A70" i="3"/>
  <c r="B144" i="49"/>
  <c r="B209" i="49"/>
  <c r="B137" i="43"/>
  <c r="C136" i="3"/>
  <c r="A136" i="3"/>
  <c r="P44" i="43"/>
  <c r="Z44" i="43"/>
  <c r="C31" i="3"/>
  <c r="A31" i="3"/>
  <c r="B32" i="43"/>
  <c r="F98" i="35"/>
  <c r="C98" i="35"/>
  <c r="B170" i="49"/>
  <c r="B105" i="49"/>
  <c r="B40" i="49"/>
  <c r="B98" i="43"/>
  <c r="C97" i="3"/>
  <c r="A97" i="3"/>
  <c r="P135" i="3"/>
  <c r="T136" i="35"/>
  <c r="Z45" i="43"/>
  <c r="P45" i="43"/>
  <c r="Z56" i="43"/>
  <c r="P56" i="43"/>
  <c r="B194" i="49"/>
  <c r="C121" i="3"/>
  <c r="A121" i="3"/>
  <c r="B64" i="49"/>
  <c r="F122" i="35"/>
  <c r="C122" i="35"/>
  <c r="B122" i="43"/>
  <c r="B129" i="49"/>
  <c r="C55" i="3"/>
  <c r="A55" i="3"/>
  <c r="B56" i="43"/>
  <c r="P132" i="43"/>
  <c r="Z132" i="43"/>
  <c r="P131" i="3"/>
  <c r="T132" i="35"/>
  <c r="P135" i="43"/>
  <c r="Z135" i="43"/>
  <c r="Z65" i="43"/>
  <c r="P65" i="43"/>
  <c r="T93" i="35"/>
  <c r="P92" i="3"/>
  <c r="P98" i="3"/>
  <c r="T99" i="35"/>
  <c r="Z87" i="43"/>
  <c r="P87" i="43"/>
  <c r="Z60" i="43"/>
  <c r="P60" i="43"/>
  <c r="T126" i="35"/>
  <c r="P125" i="3"/>
  <c r="Z113" i="43"/>
  <c r="P113" i="43"/>
  <c r="Z47" i="43"/>
  <c r="P47" i="43"/>
  <c r="Z86" i="43"/>
  <c r="P86" i="43"/>
  <c r="P85" i="3"/>
  <c r="T86" i="35"/>
  <c r="T121" i="35"/>
  <c r="P120" i="3"/>
  <c r="C54" i="3"/>
  <c r="A54" i="3"/>
  <c r="B121" i="43"/>
  <c r="B55" i="43"/>
  <c r="B128" i="49"/>
  <c r="B63" i="49"/>
  <c r="B193" i="49"/>
  <c r="C120" i="3"/>
  <c r="A120" i="3"/>
  <c r="F121" i="35"/>
  <c r="C121" i="35"/>
  <c r="P15" i="43"/>
  <c r="Z15" i="43"/>
  <c r="P68" i="43"/>
  <c r="Z68" i="43"/>
  <c r="P84" i="3"/>
  <c r="T85" i="35"/>
  <c r="Z85" i="43"/>
  <c r="P85" i="43"/>
  <c r="P128" i="3"/>
  <c r="T129" i="35"/>
  <c r="P37" i="43"/>
  <c r="Z37" i="43"/>
  <c r="P26" i="43"/>
  <c r="Z26" i="43"/>
  <c r="Z127" i="43"/>
  <c r="P127" i="43"/>
  <c r="Z61" i="43"/>
  <c r="P61" i="43"/>
  <c r="P87" i="3"/>
  <c r="T88" i="35"/>
  <c r="P107" i="3"/>
  <c r="T108" i="35"/>
  <c r="P42" i="43"/>
  <c r="Z42" i="43"/>
  <c r="P18" i="43"/>
  <c r="Z18" i="43"/>
  <c r="P116" i="43"/>
  <c r="Z116" i="43"/>
  <c r="P82" i="43"/>
  <c r="Z82" i="43"/>
  <c r="B96" i="49"/>
  <c r="F89" i="35"/>
  <c r="C89" i="35"/>
  <c r="C88" i="3"/>
  <c r="A88" i="3"/>
  <c r="B23" i="43"/>
  <c r="C22" i="3"/>
  <c r="A22" i="3"/>
  <c r="B89" i="43"/>
  <c r="B31" i="49"/>
  <c r="B161" i="49"/>
  <c r="B59" i="49"/>
  <c r="F117" i="35"/>
  <c r="C117" i="35"/>
  <c r="C50" i="3"/>
  <c r="A50" i="3"/>
  <c r="B117" i="43"/>
  <c r="B51" i="43"/>
  <c r="C116" i="3"/>
  <c r="A116" i="3"/>
  <c r="B189" i="49"/>
  <c r="B124" i="49"/>
  <c r="T104" i="35"/>
  <c r="P103" i="3"/>
  <c r="Z46" i="43"/>
  <c r="P46" i="43"/>
  <c r="Z114" i="43"/>
  <c r="P114" i="43"/>
  <c r="Z62" i="43"/>
  <c r="P62" i="43"/>
  <c r="P99" i="3"/>
  <c r="T100" i="35"/>
  <c r="Z34" i="43"/>
  <c r="P34" i="43"/>
  <c r="B137" i="49"/>
  <c r="B130" i="43"/>
  <c r="C63" i="3"/>
  <c r="A63" i="3"/>
  <c r="F130" i="35"/>
  <c r="C130" i="35"/>
  <c r="B72" i="49"/>
  <c r="B202" i="49"/>
  <c r="B64" i="43"/>
  <c r="C129" i="3"/>
  <c r="A129" i="3"/>
  <c r="Z17" i="43"/>
  <c r="P17" i="43"/>
  <c r="P67" i="43"/>
  <c r="Z67" i="43"/>
  <c r="P133" i="43"/>
  <c r="Z133" i="43"/>
  <c r="P39" i="43"/>
  <c r="Z39" i="43"/>
  <c r="P105" i="43"/>
  <c r="Z105" i="43"/>
  <c r="P24" i="43"/>
  <c r="Z24" i="43"/>
  <c r="F90" i="35"/>
  <c r="C90" i="35"/>
  <c r="C23" i="3"/>
  <c r="A23" i="3"/>
  <c r="B97" i="49"/>
  <c r="B24" i="43"/>
  <c r="B162" i="49"/>
  <c r="C89" i="3"/>
  <c r="A89" i="3"/>
  <c r="B32" i="49"/>
  <c r="B90" i="43"/>
  <c r="Z90" i="43"/>
  <c r="P90" i="43"/>
  <c r="P43" i="43"/>
  <c r="Z43" i="43"/>
  <c r="Z124" i="43"/>
  <c r="P124" i="43"/>
  <c r="T124" i="35"/>
  <c r="P123" i="3"/>
  <c r="P25" i="43"/>
  <c r="Z25" i="43"/>
  <c r="B210" i="49"/>
  <c r="B138" i="43"/>
  <c r="B145" i="49"/>
  <c r="C137" i="3"/>
  <c r="A137" i="3"/>
  <c r="F138" i="35"/>
  <c r="C138" i="35"/>
  <c r="B72" i="43"/>
  <c r="B80" i="49"/>
  <c r="C71" i="3"/>
  <c r="A71" i="3"/>
  <c r="P123" i="43"/>
  <c r="Z123" i="43"/>
  <c r="B41" i="43"/>
  <c r="F107" i="35"/>
  <c r="C107" i="35"/>
  <c r="B49" i="49"/>
  <c r="B107" i="43"/>
  <c r="B179" i="49"/>
  <c r="C106" i="3"/>
  <c r="A106" i="3"/>
  <c r="B114" i="49"/>
  <c r="C40" i="3"/>
  <c r="A40" i="3"/>
  <c r="P106" i="3"/>
  <c r="T107" i="35"/>
  <c r="E81" i="49"/>
  <c r="H167" i="49"/>
  <c r="K95" i="43"/>
  <c r="J167" i="49"/>
  <c r="H23" i="49"/>
  <c r="K9" i="3"/>
  <c r="L8" i="3"/>
  <c r="L6" i="3"/>
  <c r="M9" i="3"/>
  <c r="K6" i="3"/>
  <c r="K7" i="3"/>
  <c r="L7" i="3"/>
  <c r="K8" i="3"/>
  <c r="L9" i="3"/>
  <c r="H291" i="41"/>
  <c r="F290" i="41"/>
  <c r="F291" i="41"/>
  <c r="G291" i="41"/>
  <c r="I305" i="41"/>
  <c r="I304" i="41"/>
  <c r="K305" i="41"/>
  <c r="J305" i="41"/>
  <c r="I164" i="49"/>
  <c r="Z29" i="43"/>
  <c r="P29" i="43"/>
  <c r="P54" i="43"/>
  <c r="Z54" i="43"/>
  <c r="C119" i="3"/>
  <c r="A119" i="3"/>
  <c r="B54" i="43"/>
  <c r="B192" i="49"/>
  <c r="B127" i="49"/>
  <c r="B62" i="49"/>
  <c r="F120" i="35"/>
  <c r="C120" i="35"/>
  <c r="B120" i="43"/>
  <c r="C53" i="3"/>
  <c r="A53" i="3"/>
  <c r="Z110" i="43"/>
  <c r="P110" i="43"/>
  <c r="T98" i="35"/>
  <c r="P97" i="3"/>
  <c r="P73" i="43"/>
  <c r="Z73" i="43"/>
  <c r="P136" i="43"/>
  <c r="Z136" i="43"/>
  <c r="B70" i="43"/>
  <c r="B208" i="49"/>
  <c r="C135" i="3"/>
  <c r="A135" i="3"/>
  <c r="C69" i="3"/>
  <c r="A69" i="3"/>
  <c r="B136" i="43"/>
  <c r="F136" i="35"/>
  <c r="C136" i="35"/>
  <c r="B143" i="49"/>
  <c r="B78" i="49"/>
  <c r="B52" i="43"/>
  <c r="B190" i="49"/>
  <c r="B125" i="49"/>
  <c r="C117" i="3"/>
  <c r="A117" i="3"/>
  <c r="B118" i="43"/>
  <c r="C51" i="3"/>
  <c r="A51" i="3"/>
  <c r="F118" i="35"/>
  <c r="C118" i="35"/>
  <c r="B60" i="49"/>
  <c r="Z52" i="43"/>
  <c r="P52" i="43"/>
  <c r="T122" i="35"/>
  <c r="P121" i="3"/>
  <c r="P122" i="43"/>
  <c r="Z122" i="43"/>
  <c r="Z66" i="43"/>
  <c r="P66" i="43"/>
  <c r="P134" i="3"/>
  <c r="T135" i="35"/>
  <c r="T131" i="35"/>
  <c r="P130" i="3"/>
  <c r="Z125" i="43"/>
  <c r="P125" i="43"/>
  <c r="P33" i="43"/>
  <c r="Z33" i="43"/>
  <c r="B106" i="49"/>
  <c r="C98" i="3"/>
  <c r="A98" i="3"/>
  <c r="B41" i="49"/>
  <c r="B99" i="43"/>
  <c r="B33" i="43"/>
  <c r="B171" i="49"/>
  <c r="F99" i="35"/>
  <c r="C99" i="35"/>
  <c r="C32" i="3"/>
  <c r="A32" i="3"/>
  <c r="F87" i="35"/>
  <c r="C87" i="35"/>
  <c r="C86" i="3"/>
  <c r="A86" i="3"/>
  <c r="B159" i="49"/>
  <c r="B87" i="43"/>
  <c r="C20" i="3"/>
  <c r="A20" i="3"/>
  <c r="B21" i="43"/>
  <c r="B94" i="49"/>
  <c r="B29" i="49"/>
  <c r="Z126" i="43"/>
  <c r="P126" i="43"/>
  <c r="Z30" i="43"/>
  <c r="P30" i="43"/>
  <c r="F119" i="35"/>
  <c r="C119" i="35"/>
  <c r="B191" i="49"/>
  <c r="B61" i="49"/>
  <c r="B119" i="43"/>
  <c r="B126" i="49"/>
  <c r="C118" i="3"/>
  <c r="A118" i="3"/>
  <c r="B53" i="43"/>
  <c r="C52" i="3"/>
  <c r="A52" i="3"/>
  <c r="P81" i="43"/>
  <c r="Z81" i="43"/>
  <c r="P49" i="43"/>
  <c r="Z49" i="43"/>
  <c r="Z134" i="43"/>
  <c r="P134" i="43"/>
  <c r="C67" i="3"/>
  <c r="A67" i="3"/>
  <c r="C133" i="3"/>
  <c r="A133" i="3"/>
  <c r="B68" i="43"/>
  <c r="B141" i="49"/>
  <c r="B206" i="49"/>
  <c r="F134" i="35"/>
  <c r="C134" i="35"/>
  <c r="B134" i="43"/>
  <c r="B76" i="49"/>
  <c r="B92" i="49"/>
  <c r="F85" i="35"/>
  <c r="C85" i="35"/>
  <c r="B27" i="49"/>
  <c r="C84" i="3"/>
  <c r="A84" i="3"/>
  <c r="B19" i="43"/>
  <c r="C18" i="3"/>
  <c r="A18" i="3"/>
  <c r="B85" i="43"/>
  <c r="B157" i="49"/>
  <c r="P103" i="43"/>
  <c r="Z103" i="43"/>
  <c r="Z92" i="43"/>
  <c r="P92" i="43"/>
  <c r="T92" i="35"/>
  <c r="P91" i="3"/>
  <c r="P36" i="43"/>
  <c r="Z36" i="43"/>
  <c r="C60" i="3"/>
  <c r="A60" i="3"/>
  <c r="B69" i="49"/>
  <c r="F127" i="35"/>
  <c r="C127" i="35"/>
  <c r="B199" i="49"/>
  <c r="B134" i="49"/>
  <c r="C126" i="3"/>
  <c r="A126" i="3"/>
  <c r="B61" i="43"/>
  <c r="B127" i="43"/>
  <c r="B160" i="49"/>
  <c r="B22" i="43"/>
  <c r="B95" i="49"/>
  <c r="C87" i="3"/>
  <c r="A87" i="3"/>
  <c r="B88" i="43"/>
  <c r="B30" i="49"/>
  <c r="C21" i="3"/>
  <c r="A21" i="3"/>
  <c r="F88" i="35"/>
  <c r="C88" i="35"/>
  <c r="Z108" i="43"/>
  <c r="P108" i="43"/>
  <c r="T84" i="35"/>
  <c r="P83" i="3"/>
  <c r="B58" i="49"/>
  <c r="B116" i="43"/>
  <c r="F116" i="35"/>
  <c r="C116" i="35"/>
  <c r="C115" i="3"/>
  <c r="A115" i="3"/>
  <c r="B50" i="43"/>
  <c r="B123" i="49"/>
  <c r="C49" i="3"/>
  <c r="A49" i="3"/>
  <c r="B188" i="49"/>
  <c r="T116" i="35"/>
  <c r="P115" i="3"/>
  <c r="T89" i="35"/>
  <c r="P88" i="3"/>
  <c r="T117" i="35"/>
  <c r="P116" i="3"/>
  <c r="Z38" i="43"/>
  <c r="P38" i="43"/>
  <c r="P40" i="43"/>
  <c r="Z40" i="43"/>
  <c r="T106" i="35"/>
  <c r="P105" i="3"/>
  <c r="P111" i="3"/>
  <c r="T112" i="35"/>
  <c r="F112" i="35"/>
  <c r="C112" i="35"/>
  <c r="B119" i="49"/>
  <c r="B184" i="49"/>
  <c r="B112" i="43"/>
  <c r="B54" i="49"/>
  <c r="B46" i="43"/>
  <c r="C111" i="3"/>
  <c r="A111" i="3"/>
  <c r="C45" i="3"/>
  <c r="A45" i="3"/>
  <c r="Z48" i="43"/>
  <c r="P48" i="43"/>
  <c r="P127" i="3"/>
  <c r="T128" i="35"/>
  <c r="Z100" i="43"/>
  <c r="P100" i="43"/>
  <c r="Z130" i="43"/>
  <c r="P130" i="43"/>
  <c r="P83" i="43"/>
  <c r="Z83" i="43"/>
  <c r="C82" i="3"/>
  <c r="A82" i="3"/>
  <c r="B90" i="49"/>
  <c r="B83" i="43"/>
  <c r="C16" i="3"/>
  <c r="A16" i="3"/>
  <c r="F83" i="35"/>
  <c r="C83" i="35"/>
  <c r="B155" i="49"/>
  <c r="B17" i="43"/>
  <c r="B25" i="49"/>
  <c r="Z91" i="43"/>
  <c r="P91" i="43"/>
  <c r="P137" i="3"/>
  <c r="T138" i="35"/>
  <c r="B65" i="49"/>
  <c r="F123" i="35"/>
  <c r="C123" i="35"/>
  <c r="B195" i="49"/>
  <c r="C56" i="3"/>
  <c r="A56" i="3"/>
  <c r="B130" i="49"/>
  <c r="B123" i="43"/>
  <c r="C122" i="3"/>
  <c r="A122" i="3"/>
  <c r="B57" i="43"/>
  <c r="P96" i="3"/>
  <c r="T97" i="35"/>
  <c r="H180" i="49"/>
  <c r="K108" i="43"/>
  <c r="J180" i="49"/>
  <c r="I291" i="41"/>
  <c r="J291" i="41"/>
  <c r="I290" i="41"/>
  <c r="K291" i="41"/>
  <c r="I235" i="41"/>
  <c r="K235" i="41"/>
  <c r="J235" i="41"/>
  <c r="I234" i="41"/>
  <c r="T80" i="30"/>
  <c r="Z28" i="43"/>
  <c r="P28" i="43"/>
  <c r="P101" i="43"/>
  <c r="Z101" i="43"/>
  <c r="C34" i="3"/>
  <c r="A34" i="3"/>
  <c r="F101" i="35"/>
  <c r="C101" i="35"/>
  <c r="B43" i="49"/>
  <c r="B173" i="49"/>
  <c r="B108" i="49"/>
  <c r="B101" i="43"/>
  <c r="C100" i="3"/>
  <c r="A100" i="3"/>
  <c r="B35" i="43"/>
  <c r="T137" i="35"/>
  <c r="P136" i="3"/>
  <c r="P139" i="43"/>
  <c r="Z139" i="43"/>
  <c r="F111" i="35"/>
  <c r="C111" i="35"/>
  <c r="B45" i="43"/>
  <c r="B111" i="43"/>
  <c r="B183" i="49"/>
  <c r="B53" i="49"/>
  <c r="C110" i="3"/>
  <c r="A110" i="3"/>
  <c r="B118" i="49"/>
  <c r="C44" i="3"/>
  <c r="A44" i="3"/>
  <c r="T111" i="35"/>
  <c r="P110" i="3"/>
  <c r="T118" i="35"/>
  <c r="P117" i="3"/>
  <c r="Z74" i="43"/>
  <c r="P74" i="43"/>
  <c r="P139" i="3"/>
  <c r="T140" i="35"/>
  <c r="C134" i="3"/>
  <c r="A134" i="3"/>
  <c r="F135" i="35"/>
  <c r="C135" i="35"/>
  <c r="B69" i="43"/>
  <c r="B135" i="43"/>
  <c r="B142" i="49"/>
  <c r="B207" i="49"/>
  <c r="C68" i="3"/>
  <c r="A68" i="3"/>
  <c r="B77" i="49"/>
  <c r="B73" i="49"/>
  <c r="B203" i="49"/>
  <c r="B65" i="43"/>
  <c r="C130" i="3"/>
  <c r="A130" i="3"/>
  <c r="C64" i="3"/>
  <c r="A64" i="3"/>
  <c r="F131" i="35"/>
  <c r="C131" i="35"/>
  <c r="B131" i="43"/>
  <c r="B138" i="49"/>
  <c r="C92" i="3"/>
  <c r="A92" i="3"/>
  <c r="B93" i="43"/>
  <c r="B35" i="49"/>
  <c r="B165" i="49"/>
  <c r="F93" i="35"/>
  <c r="C93" i="35"/>
  <c r="C26" i="3"/>
  <c r="A26" i="3"/>
  <c r="B100" i="49"/>
  <c r="B27" i="43"/>
  <c r="P124" i="3"/>
  <c r="T125" i="35"/>
  <c r="P99" i="43"/>
  <c r="Z99" i="43"/>
  <c r="T87" i="35"/>
  <c r="P86" i="3"/>
  <c r="C59" i="3"/>
  <c r="A59" i="3"/>
  <c r="B68" i="49"/>
  <c r="B198" i="49"/>
  <c r="B133" i="49"/>
  <c r="B60" i="43"/>
  <c r="B126" i="43"/>
  <c r="F126" i="35"/>
  <c r="C126" i="35"/>
  <c r="C125" i="3"/>
  <c r="A125" i="3"/>
  <c r="P20" i="43"/>
  <c r="Z20" i="43"/>
  <c r="B30" i="43"/>
  <c r="B96" i="43"/>
  <c r="B103" i="49"/>
  <c r="C29" i="3"/>
  <c r="A29" i="3"/>
  <c r="B38" i="49"/>
  <c r="B168" i="49"/>
  <c r="C95" i="3"/>
  <c r="A95" i="3"/>
  <c r="F96" i="35"/>
  <c r="C96" i="35"/>
  <c r="P119" i="43"/>
  <c r="Z119" i="43"/>
  <c r="T119" i="35"/>
  <c r="P118" i="3"/>
  <c r="P55" i="43"/>
  <c r="Z55" i="43"/>
  <c r="Z115" i="43"/>
  <c r="P115" i="43"/>
  <c r="P114" i="3"/>
  <c r="T115" i="35"/>
  <c r="Z63" i="43"/>
  <c r="P63" i="43"/>
  <c r="P102" i="3"/>
  <c r="T103" i="35"/>
  <c r="B34" i="49"/>
  <c r="B99" i="49"/>
  <c r="C25" i="3"/>
  <c r="A25" i="3"/>
  <c r="B92" i="43"/>
  <c r="B164" i="49"/>
  <c r="C91" i="3"/>
  <c r="A91" i="3"/>
  <c r="B26" i="43"/>
  <c r="F92" i="35"/>
  <c r="C92" i="35"/>
  <c r="P101" i="3"/>
  <c r="T102" i="35"/>
  <c r="P126" i="3"/>
  <c r="T127" i="35"/>
  <c r="B180" i="49"/>
  <c r="B115" i="49"/>
  <c r="B50" i="49"/>
  <c r="C107" i="3"/>
  <c r="A107" i="3"/>
  <c r="F108" i="35"/>
  <c r="C108" i="35"/>
  <c r="B108" i="43"/>
  <c r="B42" i="43"/>
  <c r="C41" i="3"/>
  <c r="A41" i="3"/>
  <c r="P50" i="43"/>
  <c r="Z50" i="43"/>
  <c r="B154" i="49"/>
  <c r="B82" i="43"/>
  <c r="F82" i="35"/>
  <c r="C82" i="35"/>
  <c r="B89" i="49"/>
  <c r="B16" i="43"/>
  <c r="B24" i="49"/>
  <c r="C81" i="3"/>
  <c r="A81" i="3"/>
  <c r="C15" i="3"/>
  <c r="A15" i="3"/>
  <c r="P89" i="43"/>
  <c r="Z89" i="43"/>
  <c r="Z23" i="43"/>
  <c r="P23" i="43"/>
  <c r="P117" i="43"/>
  <c r="Z117" i="43"/>
  <c r="P106" i="43"/>
  <c r="Z106" i="43"/>
  <c r="B113" i="49"/>
  <c r="F106" i="35"/>
  <c r="C106" i="35"/>
  <c r="C39" i="3"/>
  <c r="A39" i="3"/>
  <c r="C105" i="3"/>
  <c r="A105" i="3"/>
  <c r="B106" i="43"/>
  <c r="B48" i="49"/>
  <c r="B178" i="49"/>
  <c r="B40" i="43"/>
  <c r="P113" i="3"/>
  <c r="T114" i="35"/>
  <c r="B121" i="49"/>
  <c r="B186" i="49"/>
  <c r="F114" i="35"/>
  <c r="C114" i="35"/>
  <c r="B56" i="49"/>
  <c r="C47" i="3"/>
  <c r="A47" i="3"/>
  <c r="B48" i="43"/>
  <c r="B114" i="43"/>
  <c r="C113" i="3"/>
  <c r="A113" i="3"/>
  <c r="B107" i="49"/>
  <c r="F100" i="35"/>
  <c r="C100" i="35"/>
  <c r="B172" i="49"/>
  <c r="C33" i="3"/>
  <c r="A33" i="3"/>
  <c r="B100" i="43"/>
  <c r="C99" i="3"/>
  <c r="A99" i="3"/>
  <c r="B34" i="43"/>
  <c r="B42" i="49"/>
  <c r="T130" i="35"/>
  <c r="P129" i="3"/>
  <c r="T83" i="35"/>
  <c r="P82" i="3"/>
  <c r="F133" i="35"/>
  <c r="C133" i="35"/>
  <c r="B67" i="43"/>
  <c r="B133" i="43"/>
  <c r="C132" i="3"/>
  <c r="A132" i="3"/>
  <c r="B205" i="49"/>
  <c r="B140" i="49"/>
  <c r="C66" i="3"/>
  <c r="A66" i="3"/>
  <c r="B75" i="49"/>
  <c r="P132" i="3"/>
  <c r="T133" i="35"/>
  <c r="P108" i="3"/>
  <c r="T109" i="35"/>
  <c r="F124" i="35"/>
  <c r="C124" i="35"/>
  <c r="B124" i="43"/>
  <c r="B66" i="49"/>
  <c r="C57" i="3"/>
  <c r="A57" i="3"/>
  <c r="B196" i="49"/>
  <c r="B131" i="49"/>
  <c r="C123" i="3"/>
  <c r="A123" i="3"/>
  <c r="B58" i="43"/>
  <c r="T91" i="35"/>
  <c r="P90" i="3"/>
  <c r="P72" i="43"/>
  <c r="Z72" i="43"/>
  <c r="T123" i="35"/>
  <c r="P122" i="3"/>
  <c r="B31" i="43"/>
  <c r="B39" i="49"/>
  <c r="B97" i="43"/>
  <c r="F97" i="35"/>
  <c r="C97" i="35"/>
  <c r="B104" i="49"/>
  <c r="B169" i="49"/>
  <c r="C96" i="3"/>
  <c r="A96" i="3"/>
  <c r="C30" i="3"/>
  <c r="A30" i="3"/>
  <c r="P97" i="43"/>
  <c r="Z97" i="43"/>
  <c r="S27" i="28"/>
  <c r="S29" i="28"/>
  <c r="S28" i="28"/>
  <c r="D27" i="49"/>
  <c r="D26" i="49"/>
  <c r="D31" i="49"/>
  <c r="D34" i="49"/>
  <c r="D254" i="41"/>
  <c r="D252" i="41"/>
  <c r="J284" i="41"/>
  <c r="G285" i="41"/>
  <c r="J265" i="41"/>
  <c r="G265" i="41"/>
  <c r="D285" i="41"/>
  <c r="J285" i="41"/>
  <c r="D265" i="41"/>
  <c r="D266" i="41"/>
  <c r="D267" i="41"/>
  <c r="J267" i="41"/>
  <c r="J266" i="41"/>
  <c r="G266" i="41"/>
  <c r="G267" i="41"/>
  <c r="D268" i="41"/>
  <c r="D253" i="41"/>
  <c r="J268" i="41"/>
  <c r="G268" i="41"/>
  <c r="G284" i="41"/>
  <c r="D284" i="41"/>
  <c r="J254" i="41"/>
  <c r="J253" i="41"/>
  <c r="J252" i="41"/>
  <c r="J251" i="41"/>
  <c r="G279" i="41"/>
  <c r="G254" i="41"/>
  <c r="G252" i="41"/>
  <c r="G253" i="41"/>
  <c r="G251" i="41"/>
  <c r="J282" i="41"/>
  <c r="G283" i="41"/>
  <c r="G281" i="41"/>
  <c r="J279" i="41"/>
  <c r="G280" i="41"/>
  <c r="D282" i="41"/>
  <c r="J280" i="41"/>
  <c r="J281" i="41"/>
  <c r="D280" i="41"/>
  <c r="G282" i="41"/>
  <c r="J283" i="41"/>
  <c r="C240" i="41"/>
  <c r="C238" i="41"/>
  <c r="C243" i="41"/>
  <c r="D242" i="41"/>
  <c r="C241" i="41"/>
  <c r="C244" i="41"/>
  <c r="C242" i="41"/>
  <c r="D244" i="41"/>
  <c r="D241" i="41"/>
  <c r="J130" i="41"/>
  <c r="I445" i="41"/>
  <c r="I338" i="41"/>
  <c r="I179" i="41"/>
  <c r="F182" i="41"/>
  <c r="J410" i="41"/>
  <c r="G484" i="41"/>
  <c r="I184" i="41"/>
  <c r="C554" i="41"/>
  <c r="I421" i="41"/>
  <c r="I206" i="41"/>
  <c r="I454" i="41"/>
  <c r="D406" i="41"/>
  <c r="J25" i="2"/>
  <c r="F206" i="41"/>
  <c r="I143" i="41"/>
  <c r="F157" i="41"/>
  <c r="K129" i="41"/>
  <c r="G515" i="41"/>
  <c r="I181" i="41"/>
  <c r="J415" i="41"/>
  <c r="I537" i="41"/>
  <c r="H154" i="41"/>
  <c r="G535" i="41"/>
  <c r="F160" i="41"/>
  <c r="K125" i="41"/>
  <c r="I204" i="41"/>
  <c r="D552" i="41"/>
  <c r="F149" i="41"/>
  <c r="K177" i="41"/>
  <c r="C537" i="41"/>
  <c r="I529" i="41"/>
  <c r="K199" i="41"/>
  <c r="I183" i="41"/>
  <c r="F150" i="41"/>
  <c r="F338" i="41"/>
  <c r="D418" i="41"/>
  <c r="J570" i="41"/>
  <c r="K128" i="41"/>
  <c r="C14" i="60"/>
  <c r="I177" i="41"/>
  <c r="K217" i="41"/>
  <c r="I216" i="41"/>
  <c r="I527" i="41"/>
  <c r="F379" i="41"/>
  <c r="I414" i="41"/>
  <c r="I146" i="41"/>
  <c r="I182" i="41"/>
  <c r="I477" i="41"/>
  <c r="I463" i="41"/>
  <c r="I210" i="41"/>
  <c r="K160" i="41"/>
  <c r="J129" i="41"/>
  <c r="I208" i="41"/>
  <c r="I207" i="41"/>
  <c r="I422" i="41"/>
  <c r="I391" i="41"/>
  <c r="I141" i="41"/>
  <c r="I158" i="41"/>
  <c r="I522" i="41"/>
  <c r="K204" i="41"/>
  <c r="I202" i="41"/>
  <c r="F339" i="41"/>
  <c r="I157" i="41"/>
  <c r="G498" i="41"/>
  <c r="K124" i="41"/>
  <c r="C28" i="60"/>
  <c r="J509" i="41"/>
  <c r="I203" i="41"/>
  <c r="J568" i="41"/>
  <c r="F349" i="41"/>
  <c r="J524" i="41"/>
  <c r="J209" i="41"/>
  <c r="C477" i="41"/>
  <c r="I214" i="41"/>
  <c r="K202" i="41"/>
  <c r="J487" i="41"/>
  <c r="F210" i="41"/>
  <c r="C545" i="41"/>
  <c r="J185" i="41"/>
  <c r="I159" i="41"/>
  <c r="D42" i="60"/>
  <c r="D445" i="41"/>
  <c r="J552" i="41"/>
  <c r="G159" i="41"/>
  <c r="K143" i="41"/>
  <c r="I180" i="41"/>
  <c r="J127" i="41"/>
  <c r="H162" i="41"/>
  <c r="J419" i="41"/>
  <c r="F326" i="41"/>
  <c r="J126" i="41"/>
  <c r="I541" i="41"/>
  <c r="J559" i="41"/>
  <c r="J449" i="41"/>
  <c r="I405" i="41"/>
  <c r="K183" i="41"/>
  <c r="C533" i="41"/>
  <c r="D423" i="41"/>
  <c r="I162" i="41"/>
  <c r="C547" i="41"/>
  <c r="I148" i="41"/>
  <c r="K140" i="41"/>
  <c r="G156" i="41"/>
  <c r="J128" i="41"/>
  <c r="D508" i="41"/>
  <c r="F456" i="41"/>
  <c r="I455" i="41"/>
  <c r="F335" i="41"/>
  <c r="F215" i="41"/>
  <c r="I178" i="41"/>
  <c r="I142" i="41"/>
  <c r="C507" i="41"/>
  <c r="I211" i="41"/>
  <c r="I145" i="41"/>
  <c r="I213" i="41"/>
  <c r="F427" i="41"/>
  <c r="C479" i="41"/>
  <c r="C42" i="60"/>
  <c r="M26" i="28"/>
  <c r="G557" i="41"/>
  <c r="C521" i="41"/>
  <c r="I387" i="41"/>
  <c r="J186" i="41"/>
  <c r="C483" i="41"/>
  <c r="I200" i="41"/>
  <c r="I458" i="41"/>
  <c r="I436" i="41"/>
  <c r="I139" i="41"/>
  <c r="I205" i="41"/>
  <c r="D542" i="41"/>
  <c r="J124" i="41"/>
  <c r="D457" i="41"/>
  <c r="I147" i="41"/>
  <c r="I161" i="41"/>
  <c r="K142" i="41"/>
  <c r="I350" i="41"/>
  <c r="D531" i="41"/>
  <c r="F443" i="41"/>
  <c r="D453" i="41"/>
  <c r="G528" i="41"/>
  <c r="I465" i="41"/>
  <c r="J148" i="41"/>
  <c r="I538" i="41"/>
  <c r="I518" i="41"/>
  <c r="I199" i="41"/>
  <c r="K141" i="41"/>
  <c r="C539" i="41"/>
  <c r="I400" i="41"/>
  <c r="K150" i="41"/>
  <c r="I160" i="41"/>
  <c r="I156" i="41"/>
  <c r="J516" i="41"/>
  <c r="I151" i="41"/>
  <c r="K179" i="41"/>
  <c r="K180" i="41"/>
  <c r="I215" i="41"/>
  <c r="F346" i="41"/>
  <c r="F324" i="41"/>
  <c r="K130" i="41"/>
  <c r="D14" i="60"/>
  <c r="G526" i="41"/>
  <c r="I217" i="41"/>
  <c r="I424" i="41"/>
  <c r="I430" i="41"/>
  <c r="I501" i="41"/>
  <c r="D426" i="41"/>
  <c r="I154" i="41"/>
  <c r="D417" i="41"/>
  <c r="I212" i="41"/>
  <c r="J502" i="41"/>
  <c r="C335" i="41"/>
  <c r="J157" i="41"/>
  <c r="J125" i="41"/>
  <c r="C566" i="41"/>
  <c r="J437" i="41"/>
  <c r="C346" i="41"/>
  <c r="D545" i="41"/>
  <c r="I140" i="41"/>
  <c r="I496" i="41"/>
  <c r="C339" i="41"/>
  <c r="K215" i="41"/>
  <c r="D481" i="41"/>
  <c r="F532" i="41"/>
  <c r="J201" i="41"/>
  <c r="I150" i="41"/>
  <c r="K126" i="41"/>
  <c r="D28" i="60"/>
  <c r="J200" i="41"/>
  <c r="F384" i="41"/>
  <c r="J163" i="41"/>
  <c r="I209" i="41"/>
  <c r="I556" i="41"/>
  <c r="I201" i="41"/>
  <c r="I494" i="41"/>
  <c r="D461" i="41"/>
  <c r="I553" i="41"/>
  <c r="I185" i="41"/>
  <c r="K210" i="41"/>
  <c r="J515" i="41"/>
  <c r="K127" i="41"/>
  <c r="J146" i="41"/>
  <c r="G204" i="41"/>
  <c r="D519" i="41"/>
  <c r="K187" i="41"/>
  <c r="I418" i="41"/>
  <c r="F350" i="41"/>
  <c r="J162" i="41"/>
  <c r="I570" i="41"/>
  <c r="H157" i="41"/>
  <c r="I155" i="41"/>
  <c r="I456" i="41"/>
  <c r="D448" i="41"/>
  <c r="F156" i="41"/>
  <c r="G541" i="41"/>
  <c r="F430" i="41"/>
  <c r="I144" i="41"/>
  <c r="I546" i="41"/>
  <c r="F55" i="59"/>
  <c r="F59" i="59"/>
  <c r="F53" i="59"/>
  <c r="M10" i="2"/>
  <c r="A1" i="3"/>
  <c r="M6" i="2"/>
  <c r="K127" i="43"/>
  <c r="J199" i="49"/>
  <c r="H211" i="49"/>
  <c r="Z102" i="35"/>
  <c r="Y42" i="35"/>
  <c r="Y26" i="35"/>
  <c r="Z18" i="35"/>
  <c r="F49" i="59"/>
  <c r="AI50" i="58"/>
  <c r="AI70" i="58"/>
  <c r="AI68" i="58"/>
  <c r="F40" i="59"/>
  <c r="K106" i="59"/>
  <c r="K108" i="59"/>
  <c r="K110" i="59"/>
  <c r="K107" i="59"/>
  <c r="K109" i="59"/>
  <c r="K111" i="59"/>
  <c r="K105" i="59"/>
  <c r="E68" i="41"/>
  <c r="F33" i="59"/>
  <c r="F50" i="59"/>
  <c r="F54" i="59"/>
  <c r="F56" i="59"/>
  <c r="A224" i="58"/>
  <c r="A222" i="58"/>
  <c r="A223" i="58"/>
  <c r="F58" i="59"/>
  <c r="BN185" i="58"/>
  <c r="BG185" i="58"/>
  <c r="H68" i="41"/>
  <c r="I67" i="41"/>
  <c r="F36" i="59"/>
  <c r="F35" i="59"/>
  <c r="F34" i="59"/>
  <c r="F37" i="59"/>
  <c r="F43" i="59"/>
  <c r="F47" i="59"/>
  <c r="F39" i="59"/>
  <c r="F46" i="59"/>
  <c r="F44" i="59"/>
  <c r="F45" i="59"/>
  <c r="H12" i="59"/>
  <c r="BN186" i="58"/>
  <c r="BG186" i="58"/>
  <c r="BU186" i="58"/>
  <c r="C166" i="49"/>
  <c r="K28" i="43"/>
  <c r="E166" i="49"/>
  <c r="K30" i="43"/>
  <c r="E168" i="49"/>
  <c r="C168" i="49"/>
  <c r="K17" i="43"/>
  <c r="E155" i="49"/>
  <c r="C155" i="49"/>
  <c r="K20" i="43"/>
  <c r="E158" i="49"/>
  <c r="C158" i="49"/>
  <c r="C156" i="49"/>
  <c r="K18" i="43"/>
  <c r="E156" i="49"/>
  <c r="K32" i="43"/>
  <c r="E170" i="49"/>
  <c r="C170" i="49"/>
  <c r="H196" i="49"/>
  <c r="F68" i="59"/>
  <c r="F70" i="59"/>
  <c r="F64" i="59"/>
  <c r="F63" i="59"/>
  <c r="F69" i="59"/>
  <c r="F66" i="59"/>
  <c r="F65" i="59"/>
  <c r="F67" i="59"/>
  <c r="F19" i="59"/>
  <c r="F15" i="59"/>
  <c r="F13" i="59"/>
  <c r="F18" i="59"/>
  <c r="F20" i="59"/>
  <c r="F16" i="59"/>
  <c r="F17" i="59"/>
  <c r="F14" i="59"/>
  <c r="W14" i="58"/>
  <c r="V15" i="58"/>
  <c r="C189" i="49"/>
  <c r="I20" i="28"/>
  <c r="E20" i="28"/>
  <c r="G25" i="28"/>
  <c r="L514" i="28"/>
  <c r="P513" i="28"/>
  <c r="I330" i="41"/>
  <c r="Y83" i="58"/>
  <c r="Y100" i="58"/>
  <c r="Y32" i="58"/>
  <c r="E25" i="28"/>
  <c r="A40" i="41"/>
  <c r="K119" i="43"/>
  <c r="J191" i="49"/>
  <c r="K104" i="43"/>
  <c r="J176" i="49"/>
  <c r="I25" i="28"/>
  <c r="G20" i="28"/>
  <c r="AM34" i="43"/>
  <c r="AM35" i="43"/>
  <c r="Q62" i="2"/>
  <c r="K20" i="28"/>
  <c r="K25" i="28"/>
  <c r="L516" i="28"/>
  <c r="L519" i="28"/>
  <c r="I92" i="2"/>
  <c r="H69" i="2"/>
  <c r="R62" i="2"/>
  <c r="AM100" i="43"/>
  <c r="AM101" i="43"/>
  <c r="V56" i="48"/>
  <c r="J516" i="28"/>
  <c r="N217" i="30"/>
  <c r="N519" i="28"/>
  <c r="J520" i="28"/>
  <c r="J519" i="28"/>
  <c r="H217" i="30"/>
  <c r="D76" i="3"/>
  <c r="F512" i="28"/>
  <c r="U124" i="43"/>
  <c r="O44" i="35"/>
  <c r="K38" i="43"/>
  <c r="E176" i="49"/>
  <c r="C176" i="49"/>
  <c r="F515" i="28"/>
  <c r="N512" i="28"/>
  <c r="N518" i="28"/>
  <c r="D514" i="28"/>
  <c r="N513" i="28"/>
  <c r="I329" i="41"/>
  <c r="J517" i="28"/>
  <c r="P519" i="28"/>
  <c r="L517" i="28"/>
  <c r="C182" i="49"/>
  <c r="L115" i="30"/>
  <c r="M114" i="30"/>
  <c r="L520" i="28"/>
  <c r="K133" i="43"/>
  <c r="J205" i="49"/>
  <c r="R215" i="30"/>
  <c r="G69" i="2"/>
  <c r="AM60" i="43"/>
  <c r="D142" i="3"/>
  <c r="V38" i="48"/>
  <c r="A367" i="41"/>
  <c r="L217" i="30"/>
  <c r="Q215" i="30"/>
  <c r="N215" i="30"/>
  <c r="K215" i="30"/>
  <c r="J215" i="30"/>
  <c r="Q217" i="30"/>
  <c r="K74" i="43"/>
  <c r="E212" i="49"/>
  <c r="C200" i="49"/>
  <c r="V45" i="48"/>
  <c r="G142" i="43"/>
  <c r="I93" i="2"/>
  <c r="V31" i="48"/>
  <c r="D517" i="28"/>
  <c r="H158" i="49"/>
  <c r="K86" i="43"/>
  <c r="J158" i="49"/>
  <c r="K89" i="43"/>
  <c r="J161" i="49"/>
  <c r="H161" i="49"/>
  <c r="E69" i="2"/>
  <c r="C77" i="43"/>
  <c r="C186" i="49"/>
  <c r="K48" i="43"/>
  <c r="E186" i="49"/>
  <c r="C198" i="49"/>
  <c r="K60" i="43"/>
  <c r="E198" i="49"/>
  <c r="K110" i="43"/>
  <c r="J182" i="49"/>
  <c r="H182" i="49"/>
  <c r="C143" i="43"/>
  <c r="K140" i="43"/>
  <c r="J212" i="49"/>
  <c r="H212" i="49"/>
  <c r="K126" i="43"/>
  <c r="J198" i="49"/>
  <c r="H198" i="49"/>
  <c r="H185" i="49"/>
  <c r="K113" i="43"/>
  <c r="J185" i="49"/>
  <c r="H209" i="49"/>
  <c r="K137" i="43"/>
  <c r="J209" i="49"/>
  <c r="K55" i="43"/>
  <c r="E193" i="49"/>
  <c r="C193" i="49"/>
  <c r="K56" i="43"/>
  <c r="E194" i="49"/>
  <c r="C194" i="49"/>
  <c r="K67" i="43"/>
  <c r="E205" i="49"/>
  <c r="C205" i="49"/>
  <c r="K75" i="3"/>
  <c r="K54" i="43"/>
  <c r="E192" i="49"/>
  <c r="C192" i="49"/>
  <c r="K73" i="43"/>
  <c r="E211" i="49"/>
  <c r="C211" i="49"/>
  <c r="Y37" i="48"/>
  <c r="Y44" i="48"/>
  <c r="H142" i="35"/>
  <c r="H143" i="35"/>
  <c r="E80" i="41"/>
  <c r="X76" i="35"/>
  <c r="J142" i="35"/>
  <c r="G93" i="2"/>
  <c r="P512" i="28"/>
  <c r="F517" i="28"/>
  <c r="F142" i="43"/>
  <c r="E5" i="22"/>
  <c r="X142" i="35"/>
  <c r="R515" i="28"/>
  <c r="N517" i="28"/>
  <c r="R517" i="28"/>
  <c r="V52" i="48"/>
  <c r="R142" i="43"/>
  <c r="AM98" i="43"/>
  <c r="E83" i="41"/>
  <c r="L512" i="28"/>
  <c r="L515" i="28"/>
  <c r="I26" i="39"/>
  <c r="Z14" i="58"/>
  <c r="AB14" i="58"/>
  <c r="H516" i="28"/>
  <c r="D519" i="28"/>
  <c r="D513" i="28"/>
  <c r="D515" i="28"/>
  <c r="O280" i="41"/>
  <c r="O285" i="41"/>
  <c r="O279" i="41"/>
  <c r="O282" i="41"/>
  <c r="O286" i="41"/>
  <c r="O284" i="41"/>
  <c r="O272" i="41"/>
  <c r="O266" i="41"/>
  <c r="Q59" i="50"/>
  <c r="F69" i="2"/>
  <c r="O273" i="41"/>
  <c r="J515" i="28"/>
  <c r="D518" i="28"/>
  <c r="P520" i="28"/>
  <c r="O268" i="41"/>
  <c r="L513" i="28"/>
  <c r="F514" i="28"/>
  <c r="J512" i="28"/>
  <c r="O283" i="41"/>
  <c r="P515" i="28"/>
  <c r="O269" i="41"/>
  <c r="H76" i="35"/>
  <c r="O63" i="2"/>
  <c r="H515" i="28"/>
  <c r="H517" i="28"/>
  <c r="H514" i="28"/>
  <c r="H518" i="28"/>
  <c r="H520" i="28"/>
  <c r="T52" i="50"/>
  <c r="O267" i="41"/>
  <c r="V58" i="48"/>
  <c r="K105" i="43"/>
  <c r="J177" i="49"/>
  <c r="H177" i="49"/>
  <c r="K84" i="43"/>
  <c r="J156" i="49"/>
  <c r="H156" i="49"/>
  <c r="K35" i="43"/>
  <c r="E173" i="49"/>
  <c r="C173" i="49"/>
  <c r="C174" i="49"/>
  <c r="K36" i="43"/>
  <c r="E174" i="49"/>
  <c r="H204" i="49"/>
  <c r="K132" i="43"/>
  <c r="J204" i="49"/>
  <c r="C179" i="49"/>
  <c r="K41" i="43"/>
  <c r="E179" i="49"/>
  <c r="K103" i="43"/>
  <c r="J175" i="49"/>
  <c r="H175" i="49"/>
  <c r="O281" i="41"/>
  <c r="H162" i="49"/>
  <c r="K90" i="43"/>
  <c r="J162" i="49"/>
  <c r="C185" i="49"/>
  <c r="K47" i="43"/>
  <c r="E185" i="49"/>
  <c r="K21" i="43"/>
  <c r="E159" i="49"/>
  <c r="C159" i="49"/>
  <c r="C167" i="49"/>
  <c r="K29" i="43"/>
  <c r="E167" i="49"/>
  <c r="Y36" i="48"/>
  <c r="E78" i="41"/>
  <c r="E76" i="41"/>
  <c r="E39" i="2"/>
  <c r="N520" i="28"/>
  <c r="H519" i="28"/>
  <c r="Y23" i="48"/>
  <c r="F516" i="28"/>
  <c r="Y15" i="48"/>
  <c r="Y42" i="48"/>
  <c r="H183" i="49"/>
  <c r="K111" i="43"/>
  <c r="J183" i="49"/>
  <c r="H201" i="49"/>
  <c r="K129" i="43"/>
  <c r="J201" i="49"/>
  <c r="K141" i="3"/>
  <c r="K61" i="43"/>
  <c r="E199" i="49"/>
  <c r="C199" i="49"/>
  <c r="K43" i="43"/>
  <c r="E181" i="49"/>
  <c r="C181" i="49"/>
  <c r="K45" i="43"/>
  <c r="E183" i="49"/>
  <c r="C183" i="49"/>
  <c r="H157" i="49"/>
  <c r="K85" i="43"/>
  <c r="J157" i="49"/>
  <c r="K122" i="43"/>
  <c r="J194" i="49"/>
  <c r="H194" i="49"/>
  <c r="H190" i="49"/>
  <c r="K118" i="43"/>
  <c r="J190" i="49"/>
  <c r="K107" i="43"/>
  <c r="J179" i="49"/>
  <c r="H179" i="49"/>
  <c r="C195" i="49"/>
  <c r="K57" i="43"/>
  <c r="E195" i="49"/>
  <c r="K39" i="43"/>
  <c r="E177" i="49"/>
  <c r="C177" i="49"/>
  <c r="H165" i="49"/>
  <c r="K93" i="43"/>
  <c r="J165" i="49"/>
  <c r="F57" i="41"/>
  <c r="F76" i="43"/>
  <c r="H58" i="41"/>
  <c r="I65" i="41"/>
  <c r="C184" i="49"/>
  <c r="K46" i="43"/>
  <c r="E184" i="49"/>
  <c r="H171" i="49"/>
  <c r="K99" i="43"/>
  <c r="J171" i="49"/>
  <c r="K53" i="43"/>
  <c r="E191" i="49"/>
  <c r="C191" i="49"/>
  <c r="K120" i="43"/>
  <c r="J192" i="49"/>
  <c r="H192" i="49"/>
  <c r="C207" i="49"/>
  <c r="K69" i="43"/>
  <c r="E207" i="49"/>
  <c r="K136" i="43"/>
  <c r="J208" i="49"/>
  <c r="H208" i="49"/>
  <c r="K65" i="43"/>
  <c r="E203" i="49"/>
  <c r="C203" i="49"/>
  <c r="C187" i="49"/>
  <c r="K49" i="43"/>
  <c r="E187" i="49"/>
  <c r="V57" i="48"/>
  <c r="E75" i="41"/>
  <c r="E82" i="41"/>
  <c r="E81" i="41"/>
  <c r="P514" i="28"/>
  <c r="C330" i="41"/>
  <c r="O326" i="41"/>
  <c r="N514" i="28"/>
  <c r="C329" i="41"/>
  <c r="O329" i="41"/>
  <c r="J76" i="35"/>
  <c r="E70" i="2"/>
  <c r="Y21" i="48"/>
  <c r="F519" i="28"/>
  <c r="Y16" i="48"/>
  <c r="K31" i="43"/>
  <c r="E169" i="49"/>
  <c r="C169" i="49"/>
  <c r="K106" i="43"/>
  <c r="J178" i="49"/>
  <c r="H178" i="49"/>
  <c r="O287" i="41"/>
  <c r="AB21" i="3"/>
  <c r="AB75" i="3"/>
  <c r="AA75" i="3"/>
  <c r="V24" i="48"/>
  <c r="C154" i="49"/>
  <c r="K16" i="43"/>
  <c r="Y28" i="48"/>
  <c r="Y29" i="48"/>
  <c r="Y30" i="48"/>
  <c r="E76" i="43"/>
  <c r="K82" i="43"/>
  <c r="J154" i="49"/>
  <c r="H154" i="49"/>
  <c r="K27" i="43"/>
  <c r="E165" i="49"/>
  <c r="C165" i="49"/>
  <c r="K33" i="43"/>
  <c r="E171" i="49"/>
  <c r="C171" i="49"/>
  <c r="V17" i="48"/>
  <c r="H75" i="41"/>
  <c r="H79" i="41"/>
  <c r="H82" i="41"/>
  <c r="H76" i="41"/>
  <c r="H83" i="41"/>
  <c r="H80" i="41"/>
  <c r="H77" i="41"/>
  <c r="H81" i="41"/>
  <c r="H78" i="41"/>
  <c r="AB80" i="3"/>
  <c r="AB141" i="3"/>
  <c r="AA141" i="3"/>
  <c r="Y35" i="48"/>
  <c r="E79" i="41"/>
  <c r="E142" i="43"/>
  <c r="AN92" i="43"/>
  <c r="Y22" i="48"/>
  <c r="Y14" i="48"/>
  <c r="K91" i="43"/>
  <c r="J163" i="49"/>
  <c r="H163" i="49"/>
  <c r="K116" i="43"/>
  <c r="J188" i="49"/>
  <c r="H188" i="49"/>
  <c r="C180" i="49"/>
  <c r="K42" i="43"/>
  <c r="E180" i="49"/>
  <c r="Y51" i="48"/>
  <c r="H88" i="49"/>
  <c r="Y49" i="48"/>
  <c r="Y50" i="48"/>
  <c r="F141" i="3"/>
  <c r="K25" i="43"/>
  <c r="E163" i="49"/>
  <c r="C163" i="49"/>
  <c r="H197" i="49"/>
  <c r="K125" i="43"/>
  <c r="J197" i="49"/>
  <c r="H159" i="49"/>
  <c r="K87" i="43"/>
  <c r="J159" i="49"/>
  <c r="C175" i="49"/>
  <c r="K37" i="43"/>
  <c r="E175" i="49"/>
  <c r="G76" i="43"/>
  <c r="R76" i="43"/>
  <c r="K134" i="43"/>
  <c r="J206" i="49"/>
  <c r="H206" i="49"/>
  <c r="C95" i="49"/>
  <c r="F75" i="3"/>
  <c r="Y43" i="48"/>
  <c r="H173" i="49"/>
  <c r="K101" i="43"/>
  <c r="J173" i="49"/>
  <c r="K135" i="43"/>
  <c r="J207" i="49"/>
  <c r="H207" i="49"/>
  <c r="K138" i="43"/>
  <c r="J210" i="49"/>
  <c r="H210" i="49"/>
  <c r="H169" i="49"/>
  <c r="K97" i="43"/>
  <c r="J169" i="49"/>
  <c r="H181" i="49"/>
  <c r="K109" i="43"/>
  <c r="J181" i="49"/>
  <c r="O265" i="41"/>
  <c r="O271" i="41"/>
  <c r="O270" i="41"/>
  <c r="S216" i="30"/>
  <c r="J217" i="30"/>
  <c r="O295" i="41"/>
  <c r="O298" i="41"/>
  <c r="O299" i="41"/>
  <c r="O296" i="41"/>
  <c r="O300" i="41"/>
  <c r="O297" i="41"/>
  <c r="O301" i="41"/>
  <c r="O294" i="41"/>
  <c r="H134" i="3"/>
  <c r="G134" i="3"/>
  <c r="I142" i="49"/>
  <c r="G34" i="3"/>
  <c r="D108" i="49"/>
  <c r="H34" i="3"/>
  <c r="H47" i="3"/>
  <c r="G47" i="3"/>
  <c r="D121" i="49"/>
  <c r="H95" i="3"/>
  <c r="G95" i="3"/>
  <c r="I103" i="49"/>
  <c r="G68" i="3"/>
  <c r="D142" i="49"/>
  <c r="H68" i="3"/>
  <c r="H100" i="3"/>
  <c r="G100" i="3"/>
  <c r="I108" i="49"/>
  <c r="G122" i="3"/>
  <c r="I130" i="49"/>
  <c r="H122" i="3"/>
  <c r="H49" i="3"/>
  <c r="G49" i="3"/>
  <c r="D123" i="49"/>
  <c r="H21" i="3"/>
  <c r="G21" i="3"/>
  <c r="H20" i="3"/>
  <c r="G20" i="3"/>
  <c r="D94" i="49"/>
  <c r="H51" i="3"/>
  <c r="G51" i="3"/>
  <c r="D125" i="49"/>
  <c r="H50" i="3"/>
  <c r="G50" i="3"/>
  <c r="D124" i="49"/>
  <c r="H88" i="3"/>
  <c r="G88" i="3"/>
  <c r="G54" i="3"/>
  <c r="D128" i="49"/>
  <c r="H54" i="3"/>
  <c r="H136" i="3"/>
  <c r="G136" i="3"/>
  <c r="I144" i="49"/>
  <c r="H70" i="3"/>
  <c r="G70" i="3"/>
  <c r="D144" i="49"/>
  <c r="H24" i="3"/>
  <c r="G24" i="3"/>
  <c r="G17" i="3"/>
  <c r="H17" i="3"/>
  <c r="G36" i="3"/>
  <c r="D110" i="49"/>
  <c r="H36" i="3"/>
  <c r="H14" i="3"/>
  <c r="G14" i="3"/>
  <c r="G85" i="3"/>
  <c r="M86" i="35"/>
  <c r="I28" i="49"/>
  <c r="H85" i="3"/>
  <c r="N86" i="35"/>
  <c r="Z86" i="35"/>
  <c r="H73" i="3"/>
  <c r="G73" i="3"/>
  <c r="D147" i="49"/>
  <c r="H109" i="3"/>
  <c r="G109" i="3"/>
  <c r="I117" i="49"/>
  <c r="O307" i="41"/>
  <c r="H82" i="3"/>
  <c r="N83" i="35"/>
  <c r="Z83" i="35"/>
  <c r="G82" i="3"/>
  <c r="M83" i="35"/>
  <c r="I25" i="49"/>
  <c r="G60" i="3"/>
  <c r="D134" i="49"/>
  <c r="H60" i="3"/>
  <c r="H67" i="3"/>
  <c r="G67" i="3"/>
  <c r="D141" i="49"/>
  <c r="H53" i="3"/>
  <c r="G53" i="3"/>
  <c r="D127" i="49"/>
  <c r="H96" i="3"/>
  <c r="G96" i="3"/>
  <c r="I104" i="49"/>
  <c r="H39" i="3"/>
  <c r="G39" i="3"/>
  <c r="D113" i="49"/>
  <c r="G81" i="3"/>
  <c r="M82" i="35"/>
  <c r="I24" i="49"/>
  <c r="H81" i="3"/>
  <c r="N82" i="35"/>
  <c r="Z82" i="35"/>
  <c r="H59" i="3"/>
  <c r="G59" i="3"/>
  <c r="D133" i="49"/>
  <c r="G57" i="3"/>
  <c r="D131" i="49"/>
  <c r="H57" i="3"/>
  <c r="H132" i="3"/>
  <c r="G132" i="3"/>
  <c r="I140" i="49"/>
  <c r="H33" i="3"/>
  <c r="G33" i="3"/>
  <c r="D107" i="49"/>
  <c r="H113" i="3"/>
  <c r="G113" i="3"/>
  <c r="I121" i="49"/>
  <c r="G41" i="3"/>
  <c r="D115" i="49"/>
  <c r="H41" i="3"/>
  <c r="G107" i="3"/>
  <c r="I115" i="49"/>
  <c r="H107" i="3"/>
  <c r="G125" i="3"/>
  <c r="I133" i="49"/>
  <c r="H125" i="3"/>
  <c r="G26" i="3"/>
  <c r="H26" i="3"/>
  <c r="H110" i="3"/>
  <c r="G110" i="3"/>
  <c r="I118" i="49"/>
  <c r="H45" i="3"/>
  <c r="G45" i="3"/>
  <c r="D119" i="49"/>
  <c r="H126" i="3"/>
  <c r="G126" i="3"/>
  <c r="I134" i="49"/>
  <c r="H18" i="3"/>
  <c r="G18" i="3"/>
  <c r="D92" i="49"/>
  <c r="G133" i="3"/>
  <c r="I141" i="49"/>
  <c r="H133" i="3"/>
  <c r="G52" i="3"/>
  <c r="D126" i="49"/>
  <c r="H52" i="3"/>
  <c r="G32" i="3"/>
  <c r="D106" i="49"/>
  <c r="H32" i="3"/>
  <c r="G119" i="3"/>
  <c r="I127" i="49"/>
  <c r="H119" i="3"/>
  <c r="G40" i="3"/>
  <c r="D114" i="49"/>
  <c r="H40" i="3"/>
  <c r="G129" i="3"/>
  <c r="I137" i="49"/>
  <c r="H129" i="3"/>
  <c r="G116" i="3"/>
  <c r="I124" i="49"/>
  <c r="H116" i="3"/>
  <c r="G55" i="3"/>
  <c r="D129" i="49"/>
  <c r="H55" i="3"/>
  <c r="G31" i="3"/>
  <c r="D105" i="49"/>
  <c r="H31" i="3"/>
  <c r="H108" i="3"/>
  <c r="G108" i="3"/>
  <c r="I116" i="49"/>
  <c r="H104" i="3"/>
  <c r="G104" i="3"/>
  <c r="I112" i="49"/>
  <c r="H103" i="3"/>
  <c r="G103" i="3"/>
  <c r="I111" i="49"/>
  <c r="H83" i="3"/>
  <c r="N84" i="35"/>
  <c r="Z84" i="35"/>
  <c r="G83" i="3"/>
  <c r="M84" i="35"/>
  <c r="I26" i="49"/>
  <c r="G102" i="3"/>
  <c r="I110" i="49"/>
  <c r="H102" i="3"/>
  <c r="H128" i="3"/>
  <c r="G128" i="3"/>
  <c r="I136" i="49"/>
  <c r="G48" i="3"/>
  <c r="D122" i="49"/>
  <c r="H48" i="3"/>
  <c r="H80" i="3"/>
  <c r="G80" i="3"/>
  <c r="G46" i="3"/>
  <c r="D120" i="49"/>
  <c r="H46" i="3"/>
  <c r="H139" i="3"/>
  <c r="G139" i="3"/>
  <c r="I147" i="49"/>
  <c r="G72" i="3"/>
  <c r="D146" i="49"/>
  <c r="H72" i="3"/>
  <c r="G43" i="3"/>
  <c r="D117" i="49"/>
  <c r="H43" i="3"/>
  <c r="H28" i="3"/>
  <c r="G28" i="3"/>
  <c r="D102" i="49"/>
  <c r="O308" i="41"/>
  <c r="O313" i="41"/>
  <c r="O310" i="41"/>
  <c r="H63" i="3"/>
  <c r="G63" i="3"/>
  <c r="D137" i="49"/>
  <c r="G22" i="3"/>
  <c r="H22" i="3"/>
  <c r="G120" i="3"/>
  <c r="I128" i="49"/>
  <c r="H120" i="3"/>
  <c r="G121" i="3"/>
  <c r="I129" i="49"/>
  <c r="H121" i="3"/>
  <c r="H97" i="3"/>
  <c r="G97" i="3"/>
  <c r="I105" i="49"/>
  <c r="H90" i="3"/>
  <c r="G90" i="3"/>
  <c r="G42" i="3"/>
  <c r="D116" i="49"/>
  <c r="H42" i="3"/>
  <c r="H61" i="3"/>
  <c r="G61" i="3"/>
  <c r="D135" i="49"/>
  <c r="H35" i="3"/>
  <c r="G35" i="3"/>
  <c r="D109" i="49"/>
  <c r="G62" i="3"/>
  <c r="D136" i="49"/>
  <c r="H62" i="3"/>
  <c r="G114" i="3"/>
  <c r="I122" i="49"/>
  <c r="H114" i="3"/>
  <c r="H65" i="3"/>
  <c r="G65" i="3"/>
  <c r="D139" i="49"/>
  <c r="G138" i="3"/>
  <c r="I146" i="49"/>
  <c r="H138" i="3"/>
  <c r="H93" i="3"/>
  <c r="G93" i="3"/>
  <c r="G27" i="3"/>
  <c r="H27" i="3"/>
  <c r="O315" i="41"/>
  <c r="O314" i="41"/>
  <c r="O309" i="41"/>
  <c r="H123" i="3"/>
  <c r="G123" i="3"/>
  <c r="I131" i="49"/>
  <c r="H66" i="3"/>
  <c r="G66" i="3"/>
  <c r="D140" i="49"/>
  <c r="H25" i="3"/>
  <c r="G25" i="3"/>
  <c r="H92" i="3"/>
  <c r="G92" i="3"/>
  <c r="G64" i="3"/>
  <c r="D138" i="49"/>
  <c r="H64" i="3"/>
  <c r="G111" i="3"/>
  <c r="I119" i="49"/>
  <c r="H111" i="3"/>
  <c r="H117" i="3"/>
  <c r="G117" i="3"/>
  <c r="I125" i="49"/>
  <c r="G69" i="3"/>
  <c r="D143" i="49"/>
  <c r="H69" i="3"/>
  <c r="G30" i="3"/>
  <c r="D104" i="49"/>
  <c r="H30" i="3"/>
  <c r="H99" i="3"/>
  <c r="G99" i="3"/>
  <c r="I107" i="49"/>
  <c r="H105" i="3"/>
  <c r="G105" i="3"/>
  <c r="I113" i="49"/>
  <c r="H15" i="3"/>
  <c r="N16" i="35"/>
  <c r="G15" i="3"/>
  <c r="G91" i="3"/>
  <c r="I99" i="49"/>
  <c r="H91" i="3"/>
  <c r="G29" i="3"/>
  <c r="H29" i="3"/>
  <c r="H130" i="3"/>
  <c r="G130" i="3"/>
  <c r="I138" i="49"/>
  <c r="G44" i="3"/>
  <c r="D118" i="49"/>
  <c r="H44" i="3"/>
  <c r="H56" i="3"/>
  <c r="G56" i="3"/>
  <c r="D130" i="49"/>
  <c r="G16" i="3"/>
  <c r="H16" i="3"/>
  <c r="G115" i="3"/>
  <c r="I123" i="49"/>
  <c r="H115" i="3"/>
  <c r="G87" i="3"/>
  <c r="H87" i="3"/>
  <c r="H84" i="3"/>
  <c r="N85" i="35"/>
  <c r="Z85" i="35"/>
  <c r="G84" i="3"/>
  <c r="M85" i="35"/>
  <c r="I27" i="49"/>
  <c r="H118" i="3"/>
  <c r="G118" i="3"/>
  <c r="I126" i="49"/>
  <c r="H86" i="3"/>
  <c r="G86" i="3"/>
  <c r="G98" i="3"/>
  <c r="I106" i="49"/>
  <c r="H98" i="3"/>
  <c r="H135" i="3"/>
  <c r="G135" i="3"/>
  <c r="I143" i="49"/>
  <c r="G106" i="3"/>
  <c r="I114" i="49"/>
  <c r="H106" i="3"/>
  <c r="H71" i="3"/>
  <c r="G71" i="3"/>
  <c r="D145" i="49"/>
  <c r="G137" i="3"/>
  <c r="I145" i="49"/>
  <c r="H137" i="3"/>
  <c r="G89" i="3"/>
  <c r="H89" i="3"/>
  <c r="G23" i="3"/>
  <c r="H23" i="3"/>
  <c r="H38" i="3"/>
  <c r="G38" i="3"/>
  <c r="D112" i="49"/>
  <c r="H127" i="3"/>
  <c r="G127" i="3"/>
  <c r="I135" i="49"/>
  <c r="H37" i="3"/>
  <c r="G37" i="3"/>
  <c r="D111" i="49"/>
  <c r="G101" i="3"/>
  <c r="I109" i="49"/>
  <c r="H101" i="3"/>
  <c r="H19" i="3"/>
  <c r="G19" i="3"/>
  <c r="D93" i="49"/>
  <c r="H112" i="3"/>
  <c r="G112" i="3"/>
  <c r="I120" i="49"/>
  <c r="H58" i="3"/>
  <c r="G58" i="3"/>
  <c r="D132" i="49"/>
  <c r="G124" i="3"/>
  <c r="I132" i="49"/>
  <c r="H124" i="3"/>
  <c r="H131" i="3"/>
  <c r="G131" i="3"/>
  <c r="I139" i="49"/>
  <c r="G94" i="3"/>
  <c r="H94" i="3"/>
  <c r="O312" i="41"/>
  <c r="O311" i="41"/>
  <c r="R513" i="28"/>
  <c r="D154" i="49"/>
  <c r="D96" i="49"/>
  <c r="D99" i="49"/>
  <c r="I94" i="49"/>
  <c r="D91" i="49"/>
  <c r="D95" i="49"/>
  <c r="I96" i="49"/>
  <c r="D98" i="49"/>
  <c r="D100" i="49"/>
  <c r="I98" i="49"/>
  <c r="I101" i="49"/>
  <c r="D103" i="49"/>
  <c r="I95" i="49"/>
  <c r="D97" i="49"/>
  <c r="I102" i="49"/>
  <c r="D101" i="49"/>
  <c r="I100" i="49"/>
  <c r="I97" i="49"/>
  <c r="D90" i="49"/>
  <c r="I237" i="41"/>
  <c r="J237" i="41"/>
  <c r="G326" i="41"/>
  <c r="G321" i="41"/>
  <c r="F322" i="41"/>
  <c r="I26" i="28"/>
  <c r="E26" i="28"/>
  <c r="G322" i="41"/>
  <c r="F323" i="41"/>
  <c r="G26" i="28"/>
  <c r="G324" i="41"/>
  <c r="F325" i="41"/>
  <c r="G323" i="41"/>
  <c r="F321" i="41"/>
  <c r="K26" i="28"/>
  <c r="G325" i="41"/>
  <c r="F330" i="41"/>
  <c r="F329" i="41"/>
  <c r="AI36" i="58"/>
  <c r="AI34" i="58"/>
  <c r="AI35" i="58"/>
  <c r="AI69" i="58"/>
  <c r="AC69" i="58"/>
  <c r="AI67" i="58"/>
  <c r="AC67" i="58"/>
  <c r="AI33" i="58"/>
  <c r="AI71" i="58"/>
  <c r="AC71" i="58"/>
  <c r="BT186" i="58"/>
  <c r="BV186" i="58"/>
  <c r="R516" i="28"/>
  <c r="Y82" i="35"/>
  <c r="Y85" i="35"/>
  <c r="Y84" i="35"/>
  <c r="Y83" i="35"/>
  <c r="Y86" i="35"/>
  <c r="H70" i="2"/>
  <c r="E7" i="22"/>
  <c r="M16" i="35"/>
  <c r="Z16" i="35"/>
  <c r="Y66" i="58"/>
  <c r="Y49" i="58"/>
  <c r="O242" i="41"/>
  <c r="O240" i="41"/>
  <c r="O238" i="41"/>
  <c r="O241" i="41"/>
  <c r="O239" i="41"/>
  <c r="O245" i="41"/>
  <c r="A369" i="41"/>
  <c r="D69" i="2"/>
  <c r="N15" i="35"/>
  <c r="N76" i="35"/>
  <c r="K15" i="43"/>
  <c r="J81" i="43"/>
  <c r="M81" i="35"/>
  <c r="N81" i="35"/>
  <c r="K81" i="43"/>
  <c r="J153" i="49"/>
  <c r="M15" i="35"/>
  <c r="J15" i="43"/>
  <c r="AM61" i="43"/>
  <c r="BF185" i="58"/>
  <c r="BU185" i="58"/>
  <c r="BT185" i="58"/>
  <c r="P34" i="58"/>
  <c r="O34" i="58"/>
  <c r="O101" i="58"/>
  <c r="P101" i="58"/>
  <c r="O67" i="58"/>
  <c r="P67" i="58"/>
  <c r="O33" i="58"/>
  <c r="P33" i="58"/>
  <c r="P84" i="58"/>
  <c r="O84" i="58"/>
  <c r="P50" i="58"/>
  <c r="O50" i="58"/>
  <c r="O293" i="41"/>
  <c r="O24" i="58"/>
  <c r="Y15" i="58"/>
  <c r="P24" i="58"/>
  <c r="R217" i="30"/>
  <c r="H83" i="49"/>
  <c r="S215" i="30"/>
  <c r="E5" i="50"/>
  <c r="E7" i="50"/>
  <c r="I84" i="2"/>
  <c r="H61" i="2"/>
  <c r="AM97" i="43"/>
  <c r="AM123" i="43"/>
  <c r="AM124" i="43"/>
  <c r="Y24" i="48"/>
  <c r="F70" i="2"/>
  <c r="P63" i="2"/>
  <c r="G83" i="2"/>
  <c r="AL92" i="43"/>
  <c r="Y56" i="48"/>
  <c r="Y38" i="48"/>
  <c r="AM92" i="43"/>
  <c r="AM95" i="43"/>
  <c r="Y58" i="48"/>
  <c r="D83" i="2"/>
  <c r="Y17" i="48"/>
  <c r="AM127" i="43"/>
  <c r="AM126" i="43"/>
  <c r="D93" i="2"/>
  <c r="H77" i="35"/>
  <c r="C83" i="49"/>
  <c r="Y57" i="48"/>
  <c r="AM31" i="43"/>
  <c r="AM32" i="43"/>
  <c r="AL26" i="43"/>
  <c r="E77" i="43"/>
  <c r="Q63" i="2"/>
  <c r="C213" i="49"/>
  <c r="AN26" i="43"/>
  <c r="AM26" i="43"/>
  <c r="F83" i="2"/>
  <c r="H213" i="49"/>
  <c r="I83" i="2"/>
  <c r="R63" i="2"/>
  <c r="E143" i="43"/>
  <c r="AN93" i="43"/>
  <c r="H83" i="2"/>
  <c r="F142" i="3"/>
  <c r="H148" i="49"/>
  <c r="V59" i="48"/>
  <c r="Y31" i="48"/>
  <c r="C148" i="49"/>
  <c r="E83" i="2"/>
  <c r="AM52" i="43"/>
  <c r="F76" i="3"/>
  <c r="F84" i="2"/>
  <c r="D5" i="50"/>
  <c r="D7" i="50"/>
  <c r="G61" i="2"/>
  <c r="D5" i="22"/>
  <c r="D7" i="22"/>
  <c r="AM57" i="43"/>
  <c r="AM58" i="43"/>
  <c r="G70" i="2"/>
  <c r="F93" i="2"/>
  <c r="AM118" i="43"/>
  <c r="AM119" i="43"/>
  <c r="Y45" i="48"/>
  <c r="Y52" i="48"/>
  <c r="S217" i="30"/>
  <c r="J132" i="49"/>
  <c r="J145" i="49"/>
  <c r="J143" i="49"/>
  <c r="E130" i="49"/>
  <c r="E118" i="49"/>
  <c r="E143" i="49"/>
  <c r="J119" i="49"/>
  <c r="J131" i="49"/>
  <c r="J141" i="49"/>
  <c r="J133" i="49"/>
  <c r="E131" i="49"/>
  <c r="E147" i="49"/>
  <c r="J144" i="49"/>
  <c r="J130" i="49"/>
  <c r="J120" i="49"/>
  <c r="J135" i="49"/>
  <c r="E136" i="49"/>
  <c r="J128" i="49"/>
  <c r="E129" i="49"/>
  <c r="J137" i="49"/>
  <c r="J127" i="49"/>
  <c r="J134" i="49"/>
  <c r="J118" i="49"/>
  <c r="E141" i="49"/>
  <c r="E128" i="49"/>
  <c r="E125" i="49"/>
  <c r="J126" i="49"/>
  <c r="E140" i="49"/>
  <c r="E139" i="49"/>
  <c r="E135" i="49"/>
  <c r="E137" i="49"/>
  <c r="J147" i="49"/>
  <c r="J136" i="49"/>
  <c r="E126" i="49"/>
  <c r="E134" i="49"/>
  <c r="E144" i="49"/>
  <c r="E124" i="49"/>
  <c r="E142" i="49"/>
  <c r="J139" i="49"/>
  <c r="E132" i="49"/>
  <c r="E145" i="49"/>
  <c r="J123" i="49"/>
  <c r="J138" i="49"/>
  <c r="J125" i="49"/>
  <c r="E138" i="49"/>
  <c r="J146" i="49"/>
  <c r="J122" i="49"/>
  <c r="J129" i="49"/>
  <c r="E146" i="49"/>
  <c r="E120" i="49"/>
  <c r="E122" i="49"/>
  <c r="J124" i="49"/>
  <c r="E119" i="49"/>
  <c r="J121" i="49"/>
  <c r="J140" i="49"/>
  <c r="E133" i="49"/>
  <c r="E127" i="49"/>
  <c r="E123" i="49"/>
  <c r="E121" i="49"/>
  <c r="J142" i="49"/>
  <c r="X50" i="48"/>
  <c r="X51" i="48"/>
  <c r="X49" i="48"/>
  <c r="G141" i="3"/>
  <c r="X44" i="48"/>
  <c r="X42" i="48"/>
  <c r="X43" i="48"/>
  <c r="G75" i="3"/>
  <c r="H141" i="3"/>
  <c r="H75" i="3"/>
  <c r="J109" i="49"/>
  <c r="J112" i="49"/>
  <c r="E112" i="49"/>
  <c r="J113" i="49"/>
  <c r="E109" i="49"/>
  <c r="E115" i="49"/>
  <c r="J117" i="49"/>
  <c r="E116" i="49"/>
  <c r="E114" i="49"/>
  <c r="J114" i="49"/>
  <c r="J111" i="49"/>
  <c r="E108" i="49"/>
  <c r="J108" i="49"/>
  <c r="J110" i="49"/>
  <c r="E113" i="49"/>
  <c r="E117" i="49"/>
  <c r="E110" i="49"/>
  <c r="J115" i="49"/>
  <c r="E111" i="49"/>
  <c r="J116" i="49"/>
  <c r="J105" i="49"/>
  <c r="E106" i="49"/>
  <c r="J106" i="49"/>
  <c r="E107" i="49"/>
  <c r="E104" i="49"/>
  <c r="J104" i="49"/>
  <c r="E105" i="49"/>
  <c r="J107" i="49"/>
  <c r="I90" i="49"/>
  <c r="I91" i="49"/>
  <c r="I92" i="49"/>
  <c r="I93" i="49"/>
  <c r="D281" i="41"/>
  <c r="D283" i="41"/>
  <c r="D279" i="41"/>
  <c r="D251" i="41"/>
  <c r="D89" i="49"/>
  <c r="O66" i="2"/>
  <c r="D148" i="49"/>
  <c r="I148" i="49"/>
  <c r="I88" i="49"/>
  <c r="D88" i="49"/>
  <c r="I89" i="49"/>
  <c r="I90" i="41"/>
  <c r="H73" i="59"/>
  <c r="U186" i="58"/>
  <c r="BW186" i="58"/>
  <c r="R70" i="2"/>
  <c r="R67" i="2"/>
  <c r="X16" i="48"/>
  <c r="Y16" i="35"/>
  <c r="Z15" i="35"/>
  <c r="Z76" i="35"/>
  <c r="Q514" i="28"/>
  <c r="Q512" i="28"/>
  <c r="Q513" i="28"/>
  <c r="E513" i="28"/>
  <c r="E512" i="28"/>
  <c r="E514" i="28"/>
  <c r="G512" i="28"/>
  <c r="G514" i="28"/>
  <c r="G513" i="28"/>
  <c r="K513" i="28"/>
  <c r="K514" i="28"/>
  <c r="K512" i="28"/>
  <c r="O514" i="28"/>
  <c r="O512" i="28"/>
  <c r="O513" i="28"/>
  <c r="I513" i="28"/>
  <c r="I512" i="28"/>
  <c r="I514" i="28"/>
  <c r="M513" i="28"/>
  <c r="M514" i="28"/>
  <c r="M512" i="28"/>
  <c r="AG127" i="58"/>
  <c r="AM93" i="43"/>
  <c r="AM94" i="43"/>
  <c r="AN94" i="43"/>
  <c r="Y15" i="35"/>
  <c r="BV185" i="58"/>
  <c r="BW185" i="58"/>
  <c r="K142" i="43"/>
  <c r="J213" i="49"/>
  <c r="K76" i="43"/>
  <c r="M76" i="35"/>
  <c r="X30" i="48"/>
  <c r="X29" i="48"/>
  <c r="X28" i="48"/>
  <c r="J76" i="43"/>
  <c r="D213" i="49"/>
  <c r="Y81" i="35"/>
  <c r="Y142" i="35"/>
  <c r="M142" i="35"/>
  <c r="I83" i="49"/>
  <c r="X23" i="48"/>
  <c r="X22" i="48"/>
  <c r="X21" i="48"/>
  <c r="X36" i="48"/>
  <c r="X35" i="48"/>
  <c r="X37" i="48"/>
  <c r="J142" i="43"/>
  <c r="I213" i="49"/>
  <c r="X14" i="48"/>
  <c r="X15" i="48"/>
  <c r="Z81" i="35"/>
  <c r="Z142" i="35"/>
  <c r="N142" i="35"/>
  <c r="Y59" i="48"/>
  <c r="F60" i="2"/>
  <c r="H59" i="41"/>
  <c r="O17" i="58"/>
  <c r="O20" i="58"/>
  <c r="O23" i="58"/>
  <c r="O19" i="58"/>
  <c r="O22" i="58"/>
  <c r="O18" i="58"/>
  <c r="O21" i="58"/>
  <c r="P18" i="58"/>
  <c r="P17" i="58"/>
  <c r="P22" i="58"/>
  <c r="P19" i="58"/>
  <c r="P21" i="58"/>
  <c r="P20" i="58"/>
  <c r="P23" i="58"/>
  <c r="AM121" i="43"/>
  <c r="AM120" i="43"/>
  <c r="AL93" i="43"/>
  <c r="E60" i="2"/>
  <c r="D70" i="2"/>
  <c r="O67" i="2"/>
  <c r="H60" i="2"/>
  <c r="I59" i="41"/>
  <c r="AM55" i="43"/>
  <c r="AM54" i="43"/>
  <c r="AM53" i="43"/>
  <c r="AM29" i="43"/>
  <c r="AM28" i="43"/>
  <c r="AM27" i="43"/>
  <c r="AL27" i="43"/>
  <c r="AN27" i="43"/>
  <c r="AN95" i="43"/>
  <c r="AL95" i="43"/>
  <c r="R66" i="2"/>
  <c r="I153" i="49"/>
  <c r="Q66" i="2"/>
  <c r="D153" i="49"/>
  <c r="D24" i="49"/>
  <c r="P66" i="2"/>
  <c r="I23" i="49"/>
  <c r="D23" i="49"/>
  <c r="D83" i="49"/>
  <c r="J90" i="41"/>
  <c r="F90" i="41"/>
  <c r="Q67" i="2"/>
  <c r="Z139" i="58"/>
  <c r="CA189" i="58"/>
  <c r="CA194" i="58"/>
  <c r="U221" i="58"/>
  <c r="G73" i="59"/>
  <c r="X56" i="48"/>
  <c r="Y76" i="35"/>
  <c r="AL94" i="43"/>
  <c r="U185" i="58"/>
  <c r="K5" i="50"/>
  <c r="P67" i="2"/>
  <c r="H18" i="39"/>
  <c r="X57" i="48"/>
  <c r="X58" i="48"/>
  <c r="P127" i="58"/>
  <c r="O127" i="58"/>
  <c r="J5" i="22"/>
  <c r="G18" i="39"/>
  <c r="J5" i="50"/>
  <c r="I5" i="22"/>
  <c r="AN29" i="43"/>
  <c r="AL29" i="43"/>
  <c r="AL28" i="43"/>
  <c r="AN28" i="43"/>
  <c r="C90" i="41"/>
  <c r="G90" i="41"/>
  <c r="Z174" i="58"/>
  <c r="U80" i="58"/>
  <c r="U97" i="58"/>
  <c r="U46" i="58"/>
  <c r="U29" i="58"/>
  <c r="X29" i="58"/>
  <c r="X97" i="58"/>
  <c r="U12" i="58"/>
  <c r="X63" i="58"/>
  <c r="X12" i="58"/>
  <c r="X80" i="58"/>
  <c r="X46" i="58"/>
  <c r="U63" i="58"/>
  <c r="I18" i="39"/>
  <c r="I54" i="2"/>
  <c r="O90" i="41"/>
  <c r="I69" i="41"/>
  <c r="D324" i="41"/>
  <c r="J321" i="41"/>
  <c r="J325" i="41"/>
  <c r="D325" i="41"/>
  <c r="C324" i="41"/>
  <c r="C323" i="41"/>
  <c r="J322" i="41"/>
  <c r="I321" i="41"/>
  <c r="D323" i="41"/>
  <c r="I324" i="41"/>
  <c r="I322" i="41"/>
  <c r="J326" i="41"/>
  <c r="J324" i="41"/>
  <c r="I325" i="41"/>
  <c r="J323" i="41"/>
  <c r="C325" i="41"/>
  <c r="D322" i="41"/>
  <c r="C321" i="41"/>
  <c r="C322" i="41"/>
  <c r="C326" i="41"/>
  <c r="D326" i="41"/>
  <c r="I326" i="41"/>
  <c r="I323" i="41"/>
  <c r="D321" i="41"/>
  <c r="J480" i="41"/>
  <c r="I406" i="41"/>
  <c r="D493" i="41"/>
  <c r="C388" i="41"/>
  <c r="G525" i="41"/>
  <c r="I419" i="41"/>
  <c r="G479" i="41"/>
  <c r="C476" i="41"/>
  <c r="F504" i="41"/>
  <c r="J535" i="41"/>
  <c r="F383" i="41"/>
  <c r="G401" i="41"/>
  <c r="C564" i="41"/>
  <c r="I442" i="41"/>
  <c r="C518" i="41"/>
  <c r="F506" i="41"/>
  <c r="I493" i="41"/>
  <c r="G445" i="41"/>
  <c r="D501" i="41"/>
  <c r="C405" i="41"/>
  <c r="D480" i="41"/>
  <c r="G524" i="41"/>
  <c r="D512" i="41"/>
  <c r="C397" i="41"/>
  <c r="G385" i="41"/>
  <c r="D548" i="41"/>
  <c r="I559" i="41"/>
  <c r="F498" i="41"/>
  <c r="D502" i="41"/>
  <c r="G425" i="41"/>
  <c r="F503" i="41"/>
  <c r="F538" i="41"/>
  <c r="I21" i="2"/>
  <c r="D534" i="41"/>
  <c r="G384" i="41"/>
  <c r="C440" i="41"/>
  <c r="D541" i="41"/>
  <c r="C412" i="41"/>
  <c r="C497" i="41"/>
  <c r="D387" i="41"/>
  <c r="C478" i="41"/>
  <c r="I378" i="41"/>
  <c r="O112" i="30"/>
  <c r="G407" i="41"/>
  <c r="F478" i="41"/>
  <c r="F563" i="41"/>
  <c r="J544" i="41"/>
  <c r="I376" i="41"/>
  <c r="G556" i="41"/>
  <c r="F438" i="41"/>
  <c r="D400" i="41"/>
  <c r="I507" i="41"/>
  <c r="D380" i="41"/>
  <c r="G517" i="41"/>
  <c r="C438" i="41"/>
  <c r="G480" i="41"/>
  <c r="D479" i="41"/>
  <c r="F491" i="41"/>
  <c r="F460" i="41"/>
  <c r="G548" i="41"/>
  <c r="I129" i="43"/>
  <c r="F552" i="41"/>
  <c r="I51" i="43"/>
  <c r="J484" i="41"/>
  <c r="I91" i="43"/>
  <c r="I554" i="41"/>
  <c r="I63" i="43"/>
  <c r="D449" i="41"/>
  <c r="G449" i="41"/>
  <c r="D415" i="41"/>
  <c r="J387" i="41"/>
  <c r="I28" i="2"/>
  <c r="D544" i="41"/>
  <c r="J501" i="41"/>
  <c r="J442" i="41"/>
  <c r="C541" i="41"/>
  <c r="D455" i="41"/>
  <c r="G470" i="41"/>
  <c r="F559" i="41"/>
  <c r="G420" i="41"/>
  <c r="C565" i="41"/>
  <c r="I486" i="41"/>
  <c r="D516" i="41"/>
  <c r="J466" i="41"/>
  <c r="I500" i="41"/>
  <c r="F440" i="41"/>
  <c r="J566" i="41"/>
  <c r="D392" i="41"/>
  <c r="G519" i="41"/>
  <c r="C368" i="41"/>
  <c r="F545" i="41"/>
  <c r="F412" i="41"/>
  <c r="J489" i="41"/>
  <c r="I401" i="41"/>
  <c r="J379" i="41"/>
  <c r="J388" i="41"/>
  <c r="J433" i="41"/>
  <c r="I375" i="41"/>
  <c r="F554" i="41"/>
  <c r="D549" i="41"/>
  <c r="F423" i="41"/>
  <c r="D511" i="41"/>
  <c r="J443" i="41"/>
  <c r="D490" i="41"/>
  <c r="I397" i="41"/>
  <c r="C532" i="41"/>
  <c r="I28" i="43"/>
  <c r="G558" i="41"/>
  <c r="I105" i="43"/>
  <c r="C509" i="41"/>
  <c r="I35" i="43"/>
  <c r="G520" i="41"/>
  <c r="I59" i="43"/>
  <c r="F553" i="41"/>
  <c r="I67" i="43"/>
  <c r="G390" i="41"/>
  <c r="D405" i="41"/>
  <c r="G422" i="41"/>
  <c r="D407" i="41"/>
  <c r="J556" i="41"/>
  <c r="D424" i="41"/>
  <c r="D515" i="41"/>
  <c r="G509" i="41"/>
  <c r="G568" i="41"/>
  <c r="F392" i="41"/>
  <c r="I448" i="41"/>
  <c r="F517" i="41"/>
  <c r="C431" i="41"/>
  <c r="I514" i="41"/>
  <c r="I368" i="41"/>
  <c r="C529" i="41"/>
  <c r="G464" i="41"/>
  <c r="F511" i="41"/>
  <c r="C444" i="41"/>
  <c r="G482" i="41"/>
  <c r="I20" i="43"/>
  <c r="G488" i="41"/>
  <c r="I46" i="43"/>
  <c r="G469" i="41"/>
  <c r="G540" i="41"/>
  <c r="C511" i="41"/>
  <c r="F501" i="41"/>
  <c r="G398" i="41"/>
  <c r="I533" i="41"/>
  <c r="I132" i="43"/>
  <c r="J533" i="41"/>
  <c r="I21" i="43"/>
  <c r="G545" i="41"/>
  <c r="I61" i="43"/>
  <c r="G376" i="41"/>
  <c r="I32" i="43"/>
  <c r="C519" i="41"/>
  <c r="I124" i="43"/>
  <c r="G555" i="41"/>
  <c r="F516" i="41"/>
  <c r="J553" i="41"/>
  <c r="I409" i="41"/>
  <c r="G389" i="41"/>
  <c r="C428" i="41"/>
  <c r="D543" i="41"/>
  <c r="I106" i="43"/>
  <c r="G566" i="41"/>
  <c r="I137" i="43"/>
  <c r="J521" i="41"/>
  <c r="I82" i="43"/>
  <c r="C508" i="41"/>
  <c r="I40" i="43"/>
  <c r="J549" i="41"/>
  <c r="I111" i="43"/>
  <c r="G375" i="41"/>
  <c r="J450" i="41"/>
  <c r="D484" i="41"/>
  <c r="I18" i="43"/>
  <c r="J525" i="41"/>
  <c r="I37" i="43"/>
  <c r="J477" i="41"/>
  <c r="I48" i="43"/>
  <c r="G477" i="41"/>
  <c r="I69" i="43"/>
  <c r="D564" i="41"/>
  <c r="I53" i="43"/>
  <c r="D570" i="41"/>
  <c r="F492" i="41"/>
  <c r="F408" i="41"/>
  <c r="I513" i="41"/>
  <c r="G459" i="41"/>
  <c r="G508" i="41"/>
  <c r="C398" i="41"/>
  <c r="I558" i="41"/>
  <c r="F395" i="41"/>
  <c r="I528" i="41"/>
  <c r="G461" i="41"/>
  <c r="F515" i="41"/>
  <c r="J386" i="41"/>
  <c r="I492" i="41"/>
  <c r="J429" i="41"/>
  <c r="G492" i="41"/>
  <c r="D506" i="41"/>
  <c r="G483" i="41"/>
  <c r="D487" i="41"/>
  <c r="J545" i="41"/>
  <c r="I457" i="41"/>
  <c r="J571" i="41"/>
  <c r="I393" i="41"/>
  <c r="J528" i="41"/>
  <c r="F557" i="41"/>
  <c r="G506" i="41"/>
  <c r="G421" i="41"/>
  <c r="J558" i="41"/>
  <c r="F540" i="41"/>
  <c r="J494" i="41"/>
  <c r="D546" i="41"/>
  <c r="G430" i="41"/>
  <c r="C560" i="41"/>
  <c r="D395" i="41"/>
  <c r="I561" i="41"/>
  <c r="D567" i="41"/>
  <c r="C542" i="41"/>
  <c r="D469" i="41"/>
  <c r="G489" i="41"/>
  <c r="I438" i="41"/>
  <c r="I540" i="41"/>
  <c r="I68" i="43"/>
  <c r="I505" i="41"/>
  <c r="I93" i="43"/>
  <c r="J529" i="41"/>
  <c r="I44" i="43"/>
  <c r="C538" i="41"/>
  <c r="I89" i="43"/>
  <c r="D494" i="41"/>
  <c r="L112" i="30"/>
  <c r="F567" i="41"/>
  <c r="C559" i="41"/>
  <c r="I423" i="41"/>
  <c r="F536" i="41"/>
  <c r="J562" i="41"/>
  <c r="C376" i="41"/>
  <c r="D376" i="41"/>
  <c r="G491" i="41"/>
  <c r="C408" i="41"/>
  <c r="C536" i="41"/>
  <c r="F463" i="41"/>
  <c r="F558" i="41"/>
  <c r="G378" i="41"/>
  <c r="G428" i="41"/>
  <c r="C494" i="41"/>
  <c r="I15" i="43"/>
  <c r="G549" i="41"/>
  <c r="I102" i="43"/>
  <c r="G534" i="41"/>
  <c r="I54" i="43"/>
  <c r="G383" i="41"/>
  <c r="E47" i="2"/>
  <c r="G561" i="41"/>
  <c r="I39" i="43"/>
  <c r="G547" i="41"/>
  <c r="I31" i="43"/>
  <c r="J396" i="41"/>
  <c r="D413" i="41"/>
  <c r="I392" i="41"/>
  <c r="D458" i="41"/>
  <c r="C367" i="41"/>
  <c r="I134" i="43"/>
  <c r="G569" i="41"/>
  <c r="I86" i="43"/>
  <c r="I539" i="41"/>
  <c r="I87" i="43"/>
  <c r="G551" i="41"/>
  <c r="I36" i="43"/>
  <c r="I395" i="41"/>
  <c r="D412" i="41"/>
  <c r="F446" i="41"/>
  <c r="D447" i="41"/>
  <c r="G369" i="41"/>
  <c r="D422" i="41"/>
  <c r="G487" i="41"/>
  <c r="D529" i="41"/>
  <c r="C446" i="41"/>
  <c r="I127" i="43"/>
  <c r="J548" i="41"/>
  <c r="I122" i="43"/>
  <c r="F495" i="41"/>
  <c r="I100" i="43"/>
  <c r="G539" i="41"/>
  <c r="I136" i="43"/>
  <c r="C562" i="41"/>
  <c r="D468" i="41"/>
  <c r="I367" i="41"/>
  <c r="D467" i="41"/>
  <c r="D389" i="41"/>
  <c r="D408" i="41"/>
  <c r="J421" i="41"/>
  <c r="D431" i="41"/>
  <c r="D470" i="41"/>
  <c r="I112" i="43"/>
  <c r="C486" i="41"/>
  <c r="D443" i="41"/>
  <c r="D538" i="41"/>
  <c r="D440" i="41"/>
  <c r="F421" i="41"/>
  <c r="D430" i="41"/>
  <c r="C391" i="41"/>
  <c r="F391" i="41"/>
  <c r="C409" i="41"/>
  <c r="C517" i="41"/>
  <c r="J440" i="41"/>
  <c r="G531" i="41"/>
  <c r="I432" i="41"/>
  <c r="C551" i="41"/>
  <c r="C452" i="41"/>
  <c r="F396" i="41"/>
  <c r="I379" i="41"/>
  <c r="C526" i="41"/>
  <c r="G380" i="41"/>
  <c r="G497" i="41"/>
  <c r="F455" i="41"/>
  <c r="C506" i="41"/>
  <c r="J380" i="41"/>
  <c r="D514" i="41"/>
  <c r="I369" i="41"/>
  <c r="G502" i="41"/>
  <c r="G436" i="41"/>
  <c r="G504" i="41"/>
  <c r="D378" i="41"/>
  <c r="D520" i="41"/>
  <c r="I435" i="41"/>
  <c r="I488" i="41"/>
  <c r="I62" i="43"/>
  <c r="J541" i="41"/>
  <c r="I73" i="43"/>
  <c r="C549" i="41"/>
  <c r="I114" i="43"/>
  <c r="J530" i="41"/>
  <c r="I41" i="43"/>
  <c r="D571" i="41"/>
  <c r="I24" i="43"/>
  <c r="C375" i="41"/>
  <c r="I60" i="43"/>
  <c r="J550" i="41"/>
  <c r="I47" i="43"/>
  <c r="J481" i="41"/>
  <c r="D90" i="41"/>
  <c r="F547" i="41"/>
  <c r="I498" i="41"/>
  <c r="J543" i="41"/>
  <c r="I90" i="43"/>
  <c r="F489" i="41"/>
  <c r="I34" i="43"/>
  <c r="G414" i="41"/>
  <c r="F539" i="41"/>
  <c r="C525" i="41"/>
  <c r="G543" i="41"/>
  <c r="C403" i="41"/>
  <c r="D485" i="41"/>
  <c r="F434" i="41"/>
  <c r="I509" i="41"/>
  <c r="G533" i="41"/>
  <c r="F481" i="41"/>
  <c r="C395" i="41"/>
  <c r="I396" i="41"/>
  <c r="I446" i="41"/>
  <c r="F398" i="41"/>
  <c r="D569" i="41"/>
  <c r="J491" i="41"/>
  <c r="F464" i="41"/>
  <c r="G521" i="41"/>
  <c r="J432" i="41"/>
  <c r="F381" i="41"/>
  <c r="D525" i="41"/>
  <c r="G476" i="41"/>
  <c r="F415" i="41"/>
  <c r="F387" i="41"/>
  <c r="C465" i="41"/>
  <c r="D456" i="41"/>
  <c r="C399" i="41"/>
  <c r="D436" i="41"/>
  <c r="C543" i="41"/>
  <c r="F484" i="41"/>
  <c r="D398" i="41"/>
  <c r="J554" i="41"/>
  <c r="F418" i="41"/>
  <c r="C546" i="41"/>
  <c r="D547" i="41"/>
  <c r="D497" i="41"/>
  <c r="G495" i="41"/>
  <c r="F551" i="41"/>
  <c r="F426" i="41"/>
  <c r="D507" i="41"/>
  <c r="G388" i="41"/>
  <c r="J488" i="41"/>
  <c r="C451" i="41"/>
  <c r="I476" i="41"/>
  <c r="I453" i="41"/>
  <c r="F543" i="41"/>
  <c r="J403" i="41"/>
  <c r="F487" i="41"/>
  <c r="D533" i="41"/>
  <c r="G368" i="41"/>
  <c r="F414" i="41"/>
  <c r="F550" i="41"/>
  <c r="I524" i="41"/>
  <c r="G503" i="41"/>
  <c r="C466" i="41"/>
  <c r="F548" i="41"/>
  <c r="J400" i="41"/>
  <c r="D441" i="41"/>
  <c r="G465" i="41"/>
  <c r="D419" i="41"/>
  <c r="J513" i="41"/>
  <c r="C544" i="41"/>
  <c r="G467" i="41"/>
  <c r="C402" i="41"/>
  <c r="G529" i="41"/>
  <c r="G530" i="41"/>
  <c r="G538" i="41"/>
  <c r="C469" i="41"/>
  <c r="D558" i="41"/>
  <c r="C468" i="41"/>
  <c r="C492" i="41"/>
  <c r="C548" i="41"/>
  <c r="G387" i="41"/>
  <c r="J496" i="41"/>
  <c r="F529" i="41"/>
  <c r="F404" i="41"/>
  <c r="G500" i="41"/>
  <c r="G416" i="41"/>
  <c r="D498" i="41"/>
  <c r="J503" i="41"/>
  <c r="I526" i="41"/>
  <c r="I420" i="41"/>
  <c r="D535" i="41"/>
  <c r="I483" i="41"/>
  <c r="G563" i="41"/>
  <c r="G466" i="41"/>
  <c r="C487" i="41"/>
  <c r="G412" i="41"/>
  <c r="I512" i="41"/>
  <c r="J384" i="41"/>
  <c r="C514" i="41"/>
  <c r="J416" i="41"/>
  <c r="G381" i="41"/>
  <c r="J455" i="41"/>
  <c r="G377" i="41"/>
  <c r="I110" i="43"/>
  <c r="G522" i="41"/>
  <c r="I19" i="43"/>
  <c r="J476" i="41"/>
  <c r="I88" i="43"/>
  <c r="G478" i="41"/>
  <c r="I118" i="43"/>
  <c r="C557" i="41"/>
  <c r="I92" i="43"/>
  <c r="F535" i="41"/>
  <c r="D428" i="41"/>
  <c r="C410" i="41"/>
  <c r="D432" i="41"/>
  <c r="J463" i="41"/>
  <c r="D464" i="41"/>
  <c r="I525" i="41"/>
  <c r="F561" i="41"/>
  <c r="J457" i="41"/>
  <c r="F555" i="41"/>
  <c r="J460" i="41"/>
  <c r="G562" i="41"/>
  <c r="F386" i="41"/>
  <c r="J500" i="41"/>
  <c r="J418" i="41"/>
  <c r="I101" i="43"/>
  <c r="J505" i="41"/>
  <c r="I128" i="43"/>
  <c r="F403" i="41"/>
  <c r="D416" i="41"/>
  <c r="I394" i="41"/>
  <c r="D451" i="41"/>
  <c r="F410" i="41"/>
  <c r="G564" i="41"/>
  <c r="C423" i="41"/>
  <c r="C567" i="41"/>
  <c r="J381" i="41"/>
  <c r="D555" i="41"/>
  <c r="C445" i="41"/>
  <c r="D477" i="41"/>
  <c r="J417" i="41"/>
  <c r="F509" i="41"/>
  <c r="C414" i="41"/>
  <c r="G513" i="41"/>
  <c r="J555" i="41"/>
  <c r="D496" i="41"/>
  <c r="G434" i="41"/>
  <c r="G444" i="41"/>
  <c r="F544" i="41"/>
  <c r="I49" i="43"/>
  <c r="J495" i="41"/>
  <c r="I115" i="43"/>
  <c r="C481" i="41"/>
  <c r="I121" i="43"/>
  <c r="D568" i="41"/>
  <c r="D517" i="41"/>
  <c r="D153" i="41"/>
  <c r="G553" i="41"/>
  <c r="G180" i="41"/>
  <c r="F390" i="41"/>
  <c r="I97" i="43"/>
  <c r="G546" i="41"/>
  <c r="G451" i="41"/>
  <c r="I461" i="41"/>
  <c r="I119" i="43"/>
  <c r="C441" i="41"/>
  <c r="D554" i="41"/>
  <c r="J145" i="41"/>
  <c r="F525" i="41"/>
  <c r="F143" i="41"/>
  <c r="I408" i="41"/>
  <c r="F541" i="41"/>
  <c r="C145" i="41"/>
  <c r="F496" i="41"/>
  <c r="I83" i="43"/>
  <c r="G514" i="41"/>
  <c r="I568" i="41"/>
  <c r="G447" i="41"/>
  <c r="I58" i="43"/>
  <c r="J518" i="41"/>
  <c r="F512" i="41"/>
  <c r="F406" i="41"/>
  <c r="G405" i="41"/>
  <c r="C160" i="41"/>
  <c r="G537" i="41"/>
  <c r="J153" i="41"/>
  <c r="J511" i="41"/>
  <c r="J147" i="41"/>
  <c r="C460" i="41"/>
  <c r="E162" i="41"/>
  <c r="F433" i="41"/>
  <c r="J522" i="41"/>
  <c r="G408" i="41"/>
  <c r="H207" i="41"/>
  <c r="G523" i="41"/>
  <c r="J434" i="41"/>
  <c r="J206" i="41"/>
  <c r="C424" i="41"/>
  <c r="G518" i="41"/>
  <c r="D187" i="41"/>
  <c r="D537" i="41"/>
  <c r="C140" i="41"/>
  <c r="I389" i="41"/>
  <c r="C561" i="41"/>
  <c r="J467" i="41"/>
  <c r="F483" i="41"/>
  <c r="J389" i="41"/>
  <c r="I550" i="41"/>
  <c r="G442" i="41"/>
  <c r="C381" i="41"/>
  <c r="G216" i="41"/>
  <c r="I398" i="41"/>
  <c r="K181" i="41"/>
  <c r="D562" i="41"/>
  <c r="I116" i="43"/>
  <c r="F453" i="41"/>
  <c r="K21" i="2"/>
  <c r="C450" i="41"/>
  <c r="D421" i="41"/>
  <c r="G429" i="41"/>
  <c r="C417" i="41"/>
  <c r="I497" i="41"/>
  <c r="H159" i="41"/>
  <c r="J402" i="41"/>
  <c r="D181" i="41"/>
  <c r="J199" i="41"/>
  <c r="C382" i="41"/>
  <c r="H161" i="41"/>
  <c r="C396" i="41"/>
  <c r="F542" i="41"/>
  <c r="G426" i="41"/>
  <c r="J547" i="41"/>
  <c r="C429" i="41"/>
  <c r="G511" i="41"/>
  <c r="I426" i="41"/>
  <c r="G550" i="41"/>
  <c r="G435" i="41"/>
  <c r="F482" i="41"/>
  <c r="F140" i="41"/>
  <c r="G452" i="41"/>
  <c r="E208" i="41"/>
  <c r="E207" i="41"/>
  <c r="J420" i="41"/>
  <c r="C510" i="41"/>
  <c r="F400" i="41"/>
  <c r="F377" i="41"/>
  <c r="K145" i="41"/>
  <c r="I567" i="41"/>
  <c r="G184" i="41"/>
  <c r="I417" i="41"/>
  <c r="F161" i="41"/>
  <c r="I451" i="41"/>
  <c r="I85" i="43"/>
  <c r="I516" i="41"/>
  <c r="J412" i="41"/>
  <c r="G552" i="41"/>
  <c r="D384" i="41"/>
  <c r="J183" i="41"/>
  <c r="F571" i="41"/>
  <c r="J181" i="41"/>
  <c r="G419" i="41"/>
  <c r="D211" i="41"/>
  <c r="J392" i="41"/>
  <c r="I109" i="43"/>
  <c r="C407" i="41"/>
  <c r="C159" i="41"/>
  <c r="J438" i="41"/>
  <c r="D444" i="41"/>
  <c r="J462" i="41"/>
  <c r="K25" i="2"/>
  <c r="D403" i="41"/>
  <c r="F437" i="41"/>
  <c r="D388" i="41"/>
  <c r="F367" i="41"/>
  <c r="J485" i="41"/>
  <c r="G460" i="41"/>
  <c r="E144" i="41"/>
  <c r="C448" i="41"/>
  <c r="C513" i="41"/>
  <c r="C338" i="41"/>
  <c r="K185" i="41"/>
  <c r="D212" i="41"/>
  <c r="E204" i="41"/>
  <c r="C432" i="41"/>
  <c r="F522" i="41"/>
  <c r="F152" i="41"/>
  <c r="I468" i="41"/>
  <c r="C142" i="41"/>
  <c r="F407" i="41"/>
  <c r="D434" i="41"/>
  <c r="F469" i="41"/>
  <c r="G542" i="41"/>
  <c r="J180" i="41"/>
  <c r="I503" i="41"/>
  <c r="C416" i="41"/>
  <c r="J493" i="41"/>
  <c r="J436" i="41"/>
  <c r="D381" i="41"/>
  <c r="G177" i="41"/>
  <c r="J385" i="41"/>
  <c r="G186" i="41"/>
  <c r="F181" i="41"/>
  <c r="J451" i="41"/>
  <c r="C184" i="41"/>
  <c r="I416" i="41"/>
  <c r="C520" i="41"/>
  <c r="F451" i="41"/>
  <c r="D499" i="41"/>
  <c r="G187" i="41"/>
  <c r="I555" i="41"/>
  <c r="J144" i="41"/>
  <c r="F531" i="41"/>
  <c r="J150" i="41"/>
  <c r="C435" i="41"/>
  <c r="I135" i="43"/>
  <c r="F445" i="41"/>
  <c r="E141" i="41"/>
  <c r="I381" i="41"/>
  <c r="K139" i="41"/>
  <c r="C491" i="41"/>
  <c r="I42" i="43"/>
  <c r="F411" i="41"/>
  <c r="I66" i="43"/>
  <c r="G440" i="41"/>
  <c r="D429" i="41"/>
  <c r="C467" i="41"/>
  <c r="F394" i="41"/>
  <c r="G202" i="41"/>
  <c r="C418" i="41"/>
  <c r="D143" i="41"/>
  <c r="J414" i="41"/>
  <c r="J492" i="41"/>
  <c r="F142" i="41"/>
  <c r="C464" i="41"/>
  <c r="D466" i="41"/>
  <c r="C392" i="41"/>
  <c r="C558" i="41"/>
  <c r="D207" i="41"/>
  <c r="F523" i="41"/>
  <c r="C181" i="41"/>
  <c r="J560" i="41"/>
  <c r="C150" i="41"/>
  <c r="D367" i="41"/>
  <c r="D442" i="41"/>
  <c r="F435" i="41"/>
  <c r="I138" i="43"/>
  <c r="C389" i="41"/>
  <c r="I519" i="41"/>
  <c r="F428" i="41"/>
  <c r="G512" i="41"/>
  <c r="C187" i="41"/>
  <c r="F513" i="41"/>
  <c r="J211" i="41"/>
  <c r="I569" i="41"/>
  <c r="J154" i="41"/>
  <c r="I440" i="41"/>
  <c r="E215" i="41"/>
  <c r="J377" i="41"/>
  <c r="D204" i="41"/>
  <c r="I120" i="43"/>
  <c r="C386" i="41"/>
  <c r="I123" i="43"/>
  <c r="I484" i="41"/>
  <c r="E140" i="41"/>
  <c r="C383" i="41"/>
  <c r="H178" i="41"/>
  <c r="I548" i="41"/>
  <c r="K211" i="41"/>
  <c r="G393" i="41"/>
  <c r="E158" i="41"/>
  <c r="C404" i="41"/>
  <c r="H201" i="41"/>
  <c r="I560" i="41"/>
  <c r="F533" i="41"/>
  <c r="F382" i="41"/>
  <c r="G179" i="41"/>
  <c r="C571" i="41"/>
  <c r="C153" i="41"/>
  <c r="C498" i="41"/>
  <c r="G147" i="41"/>
  <c r="I411" i="41"/>
  <c r="D565" i="41"/>
  <c r="F479" i="41"/>
  <c r="I50" i="43"/>
  <c r="I450" i="41"/>
  <c r="G386" i="41"/>
  <c r="J151" i="41"/>
  <c r="D486" i="41"/>
  <c r="K162" i="41"/>
  <c r="C453" i="41"/>
  <c r="G536" i="41"/>
  <c r="G203" i="41"/>
  <c r="F500" i="41"/>
  <c r="C211" i="41"/>
  <c r="C387" i="41"/>
  <c r="D437" i="41"/>
  <c r="J454" i="41"/>
  <c r="I74" i="43"/>
  <c r="J393" i="41"/>
  <c r="D427" i="41"/>
  <c r="J504" i="41"/>
  <c r="F497" i="41"/>
  <c r="J204" i="41"/>
  <c r="I508" i="41"/>
  <c r="H199" i="41"/>
  <c r="C415" i="41"/>
  <c r="F162" i="41"/>
  <c r="E163" i="41"/>
  <c r="D377" i="41"/>
  <c r="F518" i="41"/>
  <c r="C147" i="41"/>
  <c r="J141" i="41"/>
  <c r="E155" i="41"/>
  <c r="J452" i="41"/>
  <c r="D463" i="41"/>
  <c r="J424" i="41"/>
  <c r="J178" i="41"/>
  <c r="F530" i="41"/>
  <c r="D184" i="41"/>
  <c r="I487" i="41"/>
  <c r="D177" i="41"/>
  <c r="C482" i="41"/>
  <c r="E209" i="41"/>
  <c r="I447" i="41"/>
  <c r="F183" i="41"/>
  <c r="F499" i="41"/>
  <c r="D459" i="41"/>
  <c r="F562" i="41"/>
  <c r="C470" i="41"/>
  <c r="D375" i="41"/>
  <c r="G458" i="41"/>
  <c r="I510" i="41"/>
  <c r="C206" i="41"/>
  <c r="C430" i="41"/>
  <c r="D140" i="41"/>
  <c r="D523" i="41"/>
  <c r="D162" i="41"/>
  <c r="G406" i="41"/>
  <c r="D176" i="41"/>
  <c r="G411" i="41"/>
  <c r="D386" i="41"/>
  <c r="E154" i="41"/>
  <c r="I429" i="41"/>
  <c r="J540" i="41"/>
  <c r="J427" i="41"/>
  <c r="F385" i="41"/>
  <c r="J155" i="41"/>
  <c r="C394" i="41"/>
  <c r="C427" i="41"/>
  <c r="C515" i="41"/>
  <c r="J202" i="41"/>
  <c r="D518" i="41"/>
  <c r="E176" i="41"/>
  <c r="G494" i="41"/>
  <c r="C205" i="41"/>
  <c r="I38" i="43"/>
  <c r="I433" i="41"/>
  <c r="I27" i="43"/>
  <c r="C516" i="41"/>
  <c r="F477" i="41"/>
  <c r="J139" i="41"/>
  <c r="F432" i="41"/>
  <c r="H158" i="41"/>
  <c r="F422" i="41"/>
  <c r="E205" i="41"/>
  <c r="F450" i="41"/>
  <c r="I117" i="43"/>
  <c r="C425" i="41"/>
  <c r="F521" i="41"/>
  <c r="J431" i="41"/>
  <c r="F566" i="41"/>
  <c r="G438" i="41"/>
  <c r="D510" i="41"/>
  <c r="G185" i="41"/>
  <c r="J532" i="41"/>
  <c r="D215" i="41"/>
  <c r="I444" i="41"/>
  <c r="C214" i="41"/>
  <c r="C462" i="41"/>
  <c r="I72" i="43"/>
  <c r="C570" i="41"/>
  <c r="D420" i="41"/>
  <c r="J430" i="41"/>
  <c r="D526" i="41"/>
  <c r="C523" i="41"/>
  <c r="J217" i="41"/>
  <c r="J156" i="41"/>
  <c r="F420" i="41"/>
  <c r="H183" i="41"/>
  <c r="C426" i="41"/>
  <c r="E180" i="41"/>
  <c r="F439" i="41"/>
  <c r="H148" i="41"/>
  <c r="J391" i="41"/>
  <c r="I140" i="43"/>
  <c r="I452" i="41"/>
  <c r="C553" i="41"/>
  <c r="G454" i="41"/>
  <c r="J470" i="41"/>
  <c r="F480" i="41"/>
  <c r="D210" i="41"/>
  <c r="G399" i="41"/>
  <c r="I131" i="43"/>
  <c r="F369" i="41"/>
  <c r="I480" i="41"/>
  <c r="C454" i="41"/>
  <c r="J536" i="41"/>
  <c r="C437" i="41"/>
  <c r="C505" i="41"/>
  <c r="F416" i="41"/>
  <c r="J508" i="41"/>
  <c r="C178" i="41"/>
  <c r="J382" i="41"/>
  <c r="H140" i="41"/>
  <c r="K201" i="41"/>
  <c r="I412" i="41"/>
  <c r="G142" i="41"/>
  <c r="C401" i="41"/>
  <c r="D550" i="41"/>
  <c r="G463" i="41"/>
  <c r="I542" i="41"/>
  <c r="J203" i="41"/>
  <c r="I485" i="41"/>
  <c r="G450" i="41"/>
  <c r="G493" i="41"/>
  <c r="J207" i="41"/>
  <c r="D488" i="41"/>
  <c r="K207" i="41"/>
  <c r="J478" i="41"/>
  <c r="H163" i="41"/>
  <c r="C155" i="41"/>
  <c r="I43" i="43"/>
  <c r="E159" i="41"/>
  <c r="C420" i="41"/>
  <c r="J514" i="41"/>
  <c r="D495" i="41"/>
  <c r="G215" i="41"/>
  <c r="J406" i="41"/>
  <c r="I562" i="41"/>
  <c r="H215" i="41"/>
  <c r="I404" i="41"/>
  <c r="I479" i="41"/>
  <c r="J187" i="41"/>
  <c r="F459" i="41"/>
  <c r="F397" i="41"/>
  <c r="J215" i="41"/>
  <c r="I443" i="41"/>
  <c r="D201" i="41"/>
  <c r="I437" i="41"/>
  <c r="I70" i="43"/>
  <c r="C461" i="41"/>
  <c r="C215" i="41"/>
  <c r="I403" i="41"/>
  <c r="D409" i="41"/>
  <c r="C411" i="41"/>
  <c r="J546" i="41"/>
  <c r="F441" i="41"/>
  <c r="I385" i="41"/>
  <c r="I534" i="41"/>
  <c r="G152" i="41"/>
  <c r="G507" i="41"/>
  <c r="G391" i="41"/>
  <c r="D182" i="41"/>
  <c r="C433" i="41"/>
  <c r="F527" i="41"/>
  <c r="J441" i="41"/>
  <c r="C204" i="41"/>
  <c r="F380" i="41"/>
  <c r="G486" i="41"/>
  <c r="E150" i="41"/>
  <c r="D410" i="41"/>
  <c r="F449" i="41"/>
  <c r="J482" i="41"/>
  <c r="J425" i="41"/>
  <c r="I502" i="41"/>
  <c r="C180" i="41"/>
  <c r="F568" i="41"/>
  <c r="K148" i="41"/>
  <c r="J564" i="41"/>
  <c r="E143" i="41"/>
  <c r="I462" i="41"/>
  <c r="C154" i="41"/>
  <c r="F436" i="41"/>
  <c r="I98" i="43"/>
  <c r="F454" i="41"/>
  <c r="C501" i="41"/>
  <c r="J499" i="41"/>
  <c r="G468" i="41"/>
  <c r="G397" i="41"/>
  <c r="G409" i="41"/>
  <c r="J423" i="41"/>
  <c r="I71" i="43"/>
  <c r="I460" i="41"/>
  <c r="C531" i="41"/>
  <c r="D524" i="41"/>
  <c r="H202" i="41"/>
  <c r="F490" i="41"/>
  <c r="F549" i="41"/>
  <c r="C182" i="41"/>
  <c r="J368" i="41"/>
  <c r="H151" i="41"/>
  <c r="I515" i="41"/>
  <c r="E181" i="41"/>
  <c r="J444" i="41"/>
  <c r="E187" i="41"/>
  <c r="I427" i="41"/>
  <c r="F524" i="41"/>
  <c r="G402" i="41"/>
  <c r="F154" i="41"/>
  <c r="F508" i="41"/>
  <c r="D491" i="41"/>
  <c r="F452" i="41"/>
  <c r="F376" i="41"/>
  <c r="J213" i="41"/>
  <c r="D401" i="41"/>
  <c r="F502" i="41"/>
  <c r="E206" i="41"/>
  <c r="C530" i="41"/>
  <c r="K156" i="41"/>
  <c r="C552" i="41"/>
  <c r="I29" i="43"/>
  <c r="I470" i="41"/>
  <c r="I547" i="41"/>
  <c r="D503" i="41"/>
  <c r="I57" i="43"/>
  <c r="F534" i="41"/>
  <c r="G570" i="41"/>
  <c r="F457" i="41"/>
  <c r="D390" i="41"/>
  <c r="H214" i="41"/>
  <c r="C443" i="41"/>
  <c r="D397" i="41"/>
  <c r="I30" i="43"/>
  <c r="F468" i="41"/>
  <c r="D527" i="41"/>
  <c r="C422" i="41"/>
  <c r="F564" i="41"/>
  <c r="H146" i="41"/>
  <c r="D551" i="41"/>
  <c r="J160" i="41"/>
  <c r="C504" i="41"/>
  <c r="D142" i="41"/>
  <c r="I407" i="41"/>
  <c r="C183" i="41"/>
  <c r="I511" i="41"/>
  <c r="I26" i="43"/>
  <c r="D439" i="41"/>
  <c r="I459" i="41"/>
  <c r="D454" i="41"/>
  <c r="J448" i="41"/>
  <c r="G516" i="41"/>
  <c r="H211" i="41"/>
  <c r="J483" i="41"/>
  <c r="H185" i="41"/>
  <c r="I506" i="41"/>
  <c r="C208" i="41"/>
  <c r="D383" i="41"/>
  <c r="C199" i="41"/>
  <c r="C455" i="41"/>
  <c r="I16" i="43"/>
  <c r="G437" i="41"/>
  <c r="D478" i="41"/>
  <c r="J534" i="41"/>
  <c r="G433" i="41"/>
  <c r="F177" i="41"/>
  <c r="G143" i="41"/>
  <c r="G462" i="41"/>
  <c r="D540" i="41"/>
  <c r="H153" i="41"/>
  <c r="G151" i="41"/>
  <c r="F185" i="41"/>
  <c r="C210" i="41"/>
  <c r="F405" i="41"/>
  <c r="C390" i="41"/>
  <c r="F520" i="41"/>
  <c r="D156" i="41"/>
  <c r="D214" i="41"/>
  <c r="D530" i="41"/>
  <c r="G571" i="41"/>
  <c r="I467" i="41"/>
  <c r="H200" i="41"/>
  <c r="D414" i="41"/>
  <c r="F163" i="41"/>
  <c r="J527" i="41"/>
  <c r="C512" i="41"/>
  <c r="D433" i="41"/>
  <c r="C212" i="41"/>
  <c r="J184" i="41"/>
  <c r="J517" i="41"/>
  <c r="C500" i="41"/>
  <c r="D402" i="41"/>
  <c r="F546" i="41"/>
  <c r="J143" i="41"/>
  <c r="D160" i="41"/>
  <c r="D157" i="41"/>
  <c r="D394" i="41"/>
  <c r="F485" i="41"/>
  <c r="H27" i="2"/>
  <c r="K209" i="41"/>
  <c r="I96" i="43"/>
  <c r="D180" i="41"/>
  <c r="C151" i="41"/>
  <c r="C203" i="41"/>
  <c r="C200" i="41"/>
  <c r="H213" i="41"/>
  <c r="G432" i="41"/>
  <c r="D505" i="41"/>
  <c r="D553" i="41"/>
  <c r="I449" i="41"/>
  <c r="G413" i="41"/>
  <c r="D369" i="41"/>
  <c r="K214" i="41"/>
  <c r="C216" i="41"/>
  <c r="I469" i="41"/>
  <c r="I388" i="41"/>
  <c r="E151" i="41"/>
  <c r="H176" i="41"/>
  <c r="I482" i="41"/>
  <c r="C141" i="41"/>
  <c r="F442" i="41"/>
  <c r="G499" i="41"/>
  <c r="K144" i="41"/>
  <c r="C162" i="41"/>
  <c r="J413" i="41"/>
  <c r="C480" i="41"/>
  <c r="F447" i="41"/>
  <c r="D561" i="41"/>
  <c r="H143" i="41"/>
  <c r="D139" i="41"/>
  <c r="E157" i="41"/>
  <c r="H210" i="41"/>
  <c r="D522" i="41"/>
  <c r="C489" i="41"/>
  <c r="K216" i="41"/>
  <c r="J212" i="41"/>
  <c r="E160" i="41"/>
  <c r="J210" i="41"/>
  <c r="F147" i="41"/>
  <c r="D536" i="41"/>
  <c r="C434" i="41"/>
  <c r="H179" i="41"/>
  <c r="D557" i="41"/>
  <c r="C439" i="41"/>
  <c r="I565" i="41"/>
  <c r="E214" i="41"/>
  <c r="F388" i="41"/>
  <c r="G439" i="41"/>
  <c r="K161" i="41"/>
  <c r="G154" i="41"/>
  <c r="D393" i="41"/>
  <c r="I382" i="41"/>
  <c r="G155" i="41"/>
  <c r="G181" i="41"/>
  <c r="J490" i="41"/>
  <c r="F458" i="41"/>
  <c r="G183" i="41"/>
  <c r="C522" i="41"/>
  <c r="I108" i="43"/>
  <c r="F186" i="41"/>
  <c r="J408" i="41"/>
  <c r="C209" i="41"/>
  <c r="H150" i="41"/>
  <c r="J378" i="41"/>
  <c r="G417" i="41"/>
  <c r="E52" i="2"/>
  <c r="I499" i="41"/>
  <c r="C493" i="41"/>
  <c r="D435" i="41"/>
  <c r="D185" i="41"/>
  <c r="E147" i="41"/>
  <c r="D385" i="41"/>
  <c r="G485" i="41"/>
  <c r="G212" i="41"/>
  <c r="G424" i="41"/>
  <c r="F158" i="41"/>
  <c r="H147" i="41"/>
  <c r="F560" i="41"/>
  <c r="G544" i="41"/>
  <c r="F207" i="41"/>
  <c r="E148" i="41"/>
  <c r="C458" i="41"/>
  <c r="F368" i="41"/>
  <c r="D216" i="41"/>
  <c r="F470" i="41"/>
  <c r="D200" i="41"/>
  <c r="G490" i="41"/>
  <c r="D163" i="41"/>
  <c r="D202" i="41"/>
  <c r="F494" i="41"/>
  <c r="F519" i="41"/>
  <c r="I466" i="41"/>
  <c r="F556" i="41"/>
  <c r="J464" i="41"/>
  <c r="J453" i="41"/>
  <c r="K212" i="41"/>
  <c r="I383" i="41"/>
  <c r="G213" i="41"/>
  <c r="H205" i="41"/>
  <c r="D382" i="41"/>
  <c r="C528" i="41"/>
  <c r="C161" i="41"/>
  <c r="G206" i="41"/>
  <c r="E179" i="41"/>
  <c r="J375" i="41"/>
  <c r="I415" i="41"/>
  <c r="E210" i="41"/>
  <c r="I17" i="43"/>
  <c r="D462" i="41"/>
  <c r="K208" i="41"/>
  <c r="D206" i="41"/>
  <c r="D482" i="41"/>
  <c r="C156" i="41"/>
  <c r="J376" i="41"/>
  <c r="J479" i="41"/>
  <c r="I130" i="43"/>
  <c r="E142" i="41"/>
  <c r="G423" i="41"/>
  <c r="G200" i="41"/>
  <c r="I390" i="41"/>
  <c r="K159" i="41"/>
  <c r="F399" i="41"/>
  <c r="D209" i="41"/>
  <c r="G160" i="41"/>
  <c r="J409" i="41"/>
  <c r="G532" i="41"/>
  <c r="C143" i="41"/>
  <c r="J179" i="41"/>
  <c r="D489" i="41"/>
  <c r="J497" i="41"/>
  <c r="I464" i="41"/>
  <c r="J152" i="41"/>
  <c r="C527" i="41"/>
  <c r="I65" i="43"/>
  <c r="F201" i="41"/>
  <c r="I434" i="41"/>
  <c r="E177" i="41"/>
  <c r="J405" i="41"/>
  <c r="C540" i="41"/>
  <c r="I536" i="41"/>
  <c r="I335" i="41"/>
  <c r="D154" i="41"/>
  <c r="D566" i="41"/>
  <c r="J395" i="41"/>
  <c r="G211" i="41"/>
  <c r="I428" i="41"/>
  <c r="I95" i="43"/>
  <c r="J401" i="41"/>
  <c r="J176" i="41"/>
  <c r="G148" i="41"/>
  <c r="F461" i="41"/>
  <c r="D446" i="41"/>
  <c r="D148" i="41"/>
  <c r="D152" i="41"/>
  <c r="G199" i="41"/>
  <c r="D379" i="41"/>
  <c r="C139" i="41"/>
  <c r="G403" i="41"/>
  <c r="F526" i="41"/>
  <c r="H155" i="41"/>
  <c r="F202" i="41"/>
  <c r="G496" i="41"/>
  <c r="D404" i="41"/>
  <c r="G209" i="41"/>
  <c r="I84" i="43"/>
  <c r="D509" i="41"/>
  <c r="I399" i="41"/>
  <c r="K213" i="41"/>
  <c r="E199" i="41"/>
  <c r="F569" i="41"/>
  <c r="J563" i="41"/>
  <c r="J446" i="41"/>
  <c r="G178" i="41"/>
  <c r="J369" i="41"/>
  <c r="K203" i="41"/>
  <c r="D563" i="41"/>
  <c r="D438" i="41"/>
  <c r="H177" i="41"/>
  <c r="G208" i="41"/>
  <c r="C503" i="41"/>
  <c r="C556" i="41"/>
  <c r="C349" i="41"/>
  <c r="C186" i="41"/>
  <c r="F413" i="41"/>
  <c r="J526" i="41"/>
  <c r="C463" i="41"/>
  <c r="C201" i="41"/>
  <c r="C385" i="41"/>
  <c r="C488" i="41"/>
  <c r="F213" i="41"/>
  <c r="G379" i="41"/>
  <c r="G392" i="41"/>
  <c r="K146" i="41"/>
  <c r="J216" i="41"/>
  <c r="I535" i="41"/>
  <c r="J461" i="41"/>
  <c r="D147" i="41"/>
  <c r="D560" i="41"/>
  <c r="K152" i="41"/>
  <c r="D396" i="41"/>
  <c r="J140" i="41"/>
  <c r="C535" i="41"/>
  <c r="H25" i="2"/>
  <c r="K178" i="41"/>
  <c r="D399" i="41"/>
  <c r="D425" i="41"/>
  <c r="E178" i="41"/>
  <c r="J468" i="41"/>
  <c r="E203" i="41"/>
  <c r="G456" i="41"/>
  <c r="C436" i="41"/>
  <c r="G139" i="41"/>
  <c r="C421" i="41"/>
  <c r="D161" i="41"/>
  <c r="C379" i="41"/>
  <c r="G394" i="41"/>
  <c r="I81" i="43"/>
  <c r="G182" i="41"/>
  <c r="F429" i="41"/>
  <c r="G505" i="41"/>
  <c r="G446" i="41"/>
  <c r="H156" i="41"/>
  <c r="F507" i="41"/>
  <c r="G396" i="41"/>
  <c r="G210" i="41"/>
  <c r="E152" i="41"/>
  <c r="F179" i="41"/>
  <c r="G448" i="41"/>
  <c r="H145" i="41"/>
  <c r="J456" i="41"/>
  <c r="I552" i="41"/>
  <c r="E186" i="41"/>
  <c r="J435" i="41"/>
  <c r="I107" i="43"/>
  <c r="D178" i="41"/>
  <c r="K186" i="41"/>
  <c r="I33" i="43"/>
  <c r="D513" i="41"/>
  <c r="J510" i="41"/>
  <c r="D460" i="41"/>
  <c r="I431" i="41"/>
  <c r="C149" i="41"/>
  <c r="I99" i="43"/>
  <c r="J428" i="41"/>
  <c r="G150" i="41"/>
  <c r="J426" i="41"/>
  <c r="I544" i="41"/>
  <c r="D411" i="41"/>
  <c r="C400" i="41"/>
  <c r="D368" i="41"/>
  <c r="F180" i="41"/>
  <c r="D151" i="41"/>
  <c r="G400" i="41"/>
  <c r="I557" i="41"/>
  <c r="E156" i="41"/>
  <c r="H217" i="41"/>
  <c r="E153" i="41"/>
  <c r="F493" i="41"/>
  <c r="G481" i="41"/>
  <c r="J158" i="41"/>
  <c r="I139" i="43"/>
  <c r="D150" i="41"/>
  <c r="J177" i="41"/>
  <c r="F393" i="41"/>
  <c r="G501" i="41"/>
  <c r="H209" i="41"/>
  <c r="C495" i="41"/>
  <c r="G457" i="41"/>
  <c r="G161" i="41"/>
  <c r="I531" i="41"/>
  <c r="I55" i="43"/>
  <c r="C217" i="41"/>
  <c r="G415" i="41"/>
  <c r="I94" i="43"/>
  <c r="C179" i="41"/>
  <c r="G367" i="41"/>
  <c r="G205" i="41"/>
  <c r="F537" i="41"/>
  <c r="I56" i="43"/>
  <c r="I349" i="41"/>
  <c r="J182" i="41"/>
  <c r="G427" i="41"/>
  <c r="G510" i="41"/>
  <c r="E201" i="41"/>
  <c r="C207" i="41"/>
  <c r="D179" i="41"/>
  <c r="G217" i="41"/>
  <c r="J439" i="41"/>
  <c r="I377" i="41"/>
  <c r="I45" i="43"/>
  <c r="G141" i="41"/>
  <c r="H212" i="41"/>
  <c r="E202" i="41"/>
  <c r="E182" i="41"/>
  <c r="I439" i="41"/>
  <c r="C144" i="41"/>
  <c r="I126" i="43"/>
  <c r="I133" i="43"/>
  <c r="D186" i="41"/>
  <c r="G404" i="41"/>
  <c r="D483" i="41"/>
  <c r="C152" i="41"/>
  <c r="J469" i="41"/>
  <c r="C456" i="41"/>
  <c r="I523" i="41"/>
  <c r="J142" i="41"/>
  <c r="J390" i="41"/>
  <c r="H141" i="41"/>
  <c r="K151" i="41"/>
  <c r="D158" i="41"/>
  <c r="D155" i="41"/>
  <c r="F505" i="41"/>
  <c r="D203" i="41"/>
  <c r="K147" i="41"/>
  <c r="F425" i="41"/>
  <c r="I113" i="43"/>
  <c r="E217" i="41"/>
  <c r="H28" i="2"/>
  <c r="H152" i="41"/>
  <c r="F199" i="41"/>
  <c r="K200" i="41"/>
  <c r="H187" i="41"/>
  <c r="H139" i="41"/>
  <c r="K155" i="41"/>
  <c r="F465" i="41"/>
  <c r="D450" i="41"/>
  <c r="K153" i="41"/>
  <c r="F208" i="41"/>
  <c r="D205" i="41"/>
  <c r="J404" i="41"/>
  <c r="I339" i="41"/>
  <c r="D539" i="41"/>
  <c r="G162" i="41"/>
  <c r="C350" i="41"/>
  <c r="G418" i="41"/>
  <c r="C459" i="41"/>
  <c r="G157" i="41"/>
  <c r="E216" i="41"/>
  <c r="I551" i="41"/>
  <c r="J394" i="41"/>
  <c r="I384" i="41"/>
  <c r="C377" i="41"/>
  <c r="I25" i="43"/>
  <c r="D199" i="41"/>
  <c r="J367" i="41"/>
  <c r="D476" i="41"/>
  <c r="C485" i="41"/>
  <c r="C157" i="41"/>
  <c r="C499" i="41"/>
  <c r="D183" i="41"/>
  <c r="C419" i="41"/>
  <c r="H206" i="41"/>
  <c r="I402" i="41"/>
  <c r="C384" i="41"/>
  <c r="F139" i="41"/>
  <c r="F151" i="41"/>
  <c r="C369" i="41"/>
  <c r="J208" i="41"/>
  <c r="C146" i="41"/>
  <c r="K205" i="41"/>
  <c r="D528" i="41"/>
  <c r="D141" i="41"/>
  <c r="D159" i="41"/>
  <c r="G565" i="41"/>
  <c r="E146" i="41"/>
  <c r="F514" i="41"/>
  <c r="D146" i="41"/>
  <c r="J407" i="41"/>
  <c r="H160" i="41"/>
  <c r="R71" i="2"/>
  <c r="C148" i="41"/>
  <c r="G527" i="41"/>
  <c r="F431" i="41"/>
  <c r="C378" i="41"/>
  <c r="C484" i="41"/>
  <c r="I22" i="43"/>
  <c r="F486" i="41"/>
  <c r="G158" i="41"/>
  <c r="F462" i="41"/>
  <c r="J411" i="41"/>
  <c r="I530" i="41"/>
  <c r="E183" i="41"/>
  <c r="K184" i="41"/>
  <c r="F375" i="41"/>
  <c r="D504" i="41"/>
  <c r="D145" i="41"/>
  <c r="F444" i="41"/>
  <c r="D213" i="41"/>
  <c r="D208" i="41"/>
  <c r="F155" i="41"/>
  <c r="I543" i="41"/>
  <c r="D465" i="41"/>
  <c r="D217" i="41"/>
  <c r="I380" i="41"/>
  <c r="J459" i="41"/>
  <c r="G410" i="41"/>
  <c r="J399" i="41"/>
  <c r="J397" i="41"/>
  <c r="F476" i="41"/>
  <c r="F148" i="41"/>
  <c r="H180" i="41"/>
  <c r="I410" i="41"/>
  <c r="C449" i="41"/>
  <c r="J465" i="41"/>
  <c r="G560" i="41"/>
  <c r="C490" i="41"/>
  <c r="E211" i="41"/>
  <c r="J458" i="41"/>
  <c r="C555" i="41"/>
  <c r="G441" i="41"/>
  <c r="F145" i="41"/>
  <c r="E200" i="41"/>
  <c r="G153" i="41"/>
  <c r="F187" i="41"/>
  <c r="F419" i="41"/>
  <c r="C185" i="41"/>
  <c r="D492" i="41"/>
  <c r="G559" i="41"/>
  <c r="H216" i="41"/>
  <c r="I441" i="41"/>
  <c r="C413" i="41"/>
  <c r="D559" i="41"/>
  <c r="C457" i="41"/>
  <c r="E161" i="41"/>
  <c r="K182" i="41"/>
  <c r="E139" i="41"/>
  <c r="F184" i="41"/>
  <c r="C534" i="41"/>
  <c r="C550" i="41"/>
  <c r="H182" i="41"/>
  <c r="F212" i="41"/>
  <c r="F402" i="41"/>
  <c r="F417" i="41"/>
  <c r="G455" i="41"/>
  <c r="F401" i="41"/>
  <c r="I491" i="41"/>
  <c r="K158" i="41"/>
  <c r="K154" i="41"/>
  <c r="C524" i="41"/>
  <c r="I103" i="43"/>
  <c r="H203" i="41"/>
  <c r="K157" i="41"/>
  <c r="D521" i="41"/>
  <c r="K149" i="41"/>
  <c r="F409" i="41"/>
  <c r="G395" i="41"/>
  <c r="C563" i="41"/>
  <c r="E184" i="41"/>
  <c r="I125" i="43"/>
  <c r="K163" i="41"/>
  <c r="D452" i="41"/>
  <c r="E213" i="41"/>
  <c r="J422" i="41"/>
  <c r="F510" i="41"/>
  <c r="C163" i="41"/>
  <c r="E212" i="41"/>
  <c r="G382" i="41"/>
  <c r="G443" i="41"/>
  <c r="C442" i="41"/>
  <c r="C202" i="41"/>
  <c r="J498" i="41"/>
  <c r="J551" i="41"/>
  <c r="H204" i="41"/>
  <c r="F467" i="41"/>
  <c r="D532" i="41"/>
  <c r="C213" i="41"/>
  <c r="J161" i="41"/>
  <c r="C177" i="41"/>
  <c r="C393" i="41"/>
  <c r="R65" i="2"/>
  <c r="D391" i="41"/>
  <c r="H208" i="41"/>
  <c r="C158" i="41"/>
  <c r="G431" i="41"/>
  <c r="J557" i="41"/>
  <c r="K206" i="41"/>
  <c r="G140" i="41"/>
  <c r="E149" i="41"/>
  <c r="I104" i="43"/>
  <c r="E145" i="41"/>
  <c r="F378" i="41"/>
  <c r="G145" i="41"/>
  <c r="G201" i="41"/>
  <c r="F424" i="41"/>
  <c r="D149" i="41"/>
  <c r="H184" i="41"/>
  <c r="D144" i="41"/>
  <c r="C406" i="41"/>
  <c r="F448" i="41"/>
  <c r="H144" i="41"/>
  <c r="G176" i="41"/>
  <c r="F466" i="41"/>
  <c r="F389" i="41"/>
  <c r="I52" i="43"/>
  <c r="F178" i="41"/>
  <c r="G149" i="41"/>
  <c r="J159" i="41"/>
  <c r="H181" i="41"/>
  <c r="D556" i="41"/>
  <c r="H186" i="41"/>
  <c r="C496" i="41"/>
  <c r="F214" i="41"/>
  <c r="J398" i="41"/>
  <c r="E185" i="41"/>
  <c r="G146" i="41"/>
  <c r="C447" i="41"/>
  <c r="J214" i="41"/>
  <c r="F565" i="41"/>
  <c r="C380" i="41"/>
  <c r="J383" i="41"/>
  <c r="D500" i="41"/>
  <c r="G214" i="41"/>
  <c r="I64" i="43"/>
  <c r="C176" i="41"/>
  <c r="I23" i="43"/>
  <c r="R68" i="2"/>
  <c r="C502" i="41"/>
  <c r="J26" i="2"/>
  <c r="A41" i="41"/>
  <c r="R69" i="2"/>
  <c r="O447" i="41"/>
  <c r="P179" i="41"/>
  <c r="O502" i="41"/>
  <c r="V23" i="43"/>
  <c r="W23" i="43"/>
  <c r="Q23" i="43"/>
  <c r="O161" i="41"/>
  <c r="O496" i="41"/>
  <c r="O176" i="41"/>
  <c r="O528" i="41"/>
  <c r="P146" i="41"/>
  <c r="P185" i="41"/>
  <c r="V64" i="43"/>
  <c r="W64" i="43"/>
  <c r="Q64" i="43"/>
  <c r="O380" i="41"/>
  <c r="P186" i="41"/>
  <c r="O146" i="41"/>
  <c r="O369" i="41"/>
  <c r="V52" i="43"/>
  <c r="W52" i="43"/>
  <c r="Q52" i="43"/>
  <c r="P152" i="41"/>
  <c r="O384" i="41"/>
  <c r="O507" i="41"/>
  <c r="O419" i="41"/>
  <c r="O406" i="41"/>
  <c r="O499" i="41"/>
  <c r="O157" i="41"/>
  <c r="O458" i="41"/>
  <c r="O485" i="41"/>
  <c r="I143" i="43"/>
  <c r="I142" i="43"/>
  <c r="Q81" i="43"/>
  <c r="Q82" i="43"/>
  <c r="P148" i="41"/>
  <c r="O379" i="41"/>
  <c r="Q25" i="43"/>
  <c r="V25" i="43"/>
  <c r="W25" i="43"/>
  <c r="O421" i="41"/>
  <c r="P145" i="41"/>
  <c r="O377" i="41"/>
  <c r="V104" i="43"/>
  <c r="W104" i="43"/>
  <c r="Q104" i="43"/>
  <c r="O436" i="41"/>
  <c r="P149" i="41"/>
  <c r="P203" i="41"/>
  <c r="P216" i="41"/>
  <c r="P178" i="41"/>
  <c r="P147" i="41"/>
  <c r="O459" i="41"/>
  <c r="O158" i="41"/>
  <c r="O493" i="41"/>
  <c r="A28" i="41"/>
  <c r="O535" i="41"/>
  <c r="AM20" i="43"/>
  <c r="AM86" i="43"/>
  <c r="H52" i="41"/>
  <c r="E53" i="2"/>
  <c r="H53" i="41"/>
  <c r="O393" i="41"/>
  <c r="O177" i="41"/>
  <c r="O213" i="41"/>
  <c r="O209" i="41"/>
  <c r="Q108" i="43"/>
  <c r="V108" i="43"/>
  <c r="W108" i="43"/>
  <c r="O522" i="41"/>
  <c r="O202" i="41"/>
  <c r="O442" i="41"/>
  <c r="O488" i="41"/>
  <c r="P212" i="41"/>
  <c r="A31" i="41"/>
  <c r="O385" i="41"/>
  <c r="O163" i="41"/>
  <c r="P217" i="41"/>
  <c r="O201" i="41"/>
  <c r="Q113" i="43"/>
  <c r="V113" i="43"/>
  <c r="W113" i="43"/>
  <c r="O463" i="41"/>
  <c r="P213" i="41"/>
  <c r="O186" i="41"/>
  <c r="P214" i="41"/>
  <c r="Q125" i="43"/>
  <c r="V125" i="43"/>
  <c r="W125" i="43"/>
  <c r="O556" i="41"/>
  <c r="P184" i="41"/>
  <c r="O503" i="41"/>
  <c r="O439" i="41"/>
  <c r="O563" i="41"/>
  <c r="O434" i="41"/>
  <c r="O456" i="41"/>
  <c r="P160" i="41"/>
  <c r="V103" i="43"/>
  <c r="W103" i="43"/>
  <c r="Q103" i="43"/>
  <c r="O152" i="41"/>
  <c r="O524" i="41"/>
  <c r="O569" i="41"/>
  <c r="O489" i="41"/>
  <c r="P199" i="41"/>
  <c r="V133" i="43"/>
  <c r="W133" i="43"/>
  <c r="Q133" i="43"/>
  <c r="V126" i="43"/>
  <c r="W126" i="43"/>
  <c r="Q126" i="43"/>
  <c r="P157" i="41"/>
  <c r="O144" i="41"/>
  <c r="Q84" i="43"/>
  <c r="V84" i="43"/>
  <c r="W84" i="43"/>
  <c r="P182" i="41"/>
  <c r="P202" i="41"/>
  <c r="O480" i="41"/>
  <c r="O550" i="41"/>
  <c r="O534" i="41"/>
  <c r="V45" i="43"/>
  <c r="W45" i="43"/>
  <c r="Q45" i="43"/>
  <c r="O162" i="41"/>
  <c r="P139" i="41"/>
  <c r="O139" i="41"/>
  <c r="P161" i="41"/>
  <c r="O141" i="41"/>
  <c r="O457" i="41"/>
  <c r="O207" i="41"/>
  <c r="P201" i="41"/>
  <c r="O413" i="41"/>
  <c r="P151" i="41"/>
  <c r="Q56" i="43"/>
  <c r="V56" i="43"/>
  <c r="W56" i="43"/>
  <c r="O216" i="41"/>
  <c r="O185" i="41"/>
  <c r="O537" i="41"/>
  <c r="Q95" i="43"/>
  <c r="V95" i="43"/>
  <c r="W95" i="43"/>
  <c r="O179" i="41"/>
  <c r="P200" i="41"/>
  <c r="V94" i="43"/>
  <c r="W94" i="43"/>
  <c r="Q94" i="43"/>
  <c r="O217" i="41"/>
  <c r="O555" i="41"/>
  <c r="V55" i="43"/>
  <c r="W55" i="43"/>
  <c r="Q55" i="43"/>
  <c r="O200" i="41"/>
  <c r="P211" i="41"/>
  <c r="O540" i="41"/>
  <c r="O203" i="41"/>
  <c r="O490" i="41"/>
  <c r="O151" i="41"/>
  <c r="O495" i="41"/>
  <c r="P177" i="41"/>
  <c r="Q96" i="43"/>
  <c r="V96" i="43"/>
  <c r="W96" i="43"/>
  <c r="O449" i="41"/>
  <c r="V65" i="43"/>
  <c r="W65" i="43"/>
  <c r="Q65" i="43"/>
  <c r="A30" i="41"/>
  <c r="O527" i="41"/>
  <c r="V139" i="43"/>
  <c r="W139" i="43"/>
  <c r="Q139" i="43"/>
  <c r="P153" i="41"/>
  <c r="O143" i="41"/>
  <c r="O500" i="41"/>
  <c r="P156" i="41"/>
  <c r="O212" i="41"/>
  <c r="O512" i="41"/>
  <c r="O400" i="41"/>
  <c r="P142" i="41"/>
  <c r="Q130" i="43"/>
  <c r="V130" i="43"/>
  <c r="W130" i="43"/>
  <c r="P183" i="41"/>
  <c r="O156" i="41"/>
  <c r="V99" i="43"/>
  <c r="W99" i="43"/>
  <c r="Q99" i="43"/>
  <c r="O149" i="41"/>
  <c r="O390" i="41"/>
  <c r="V22" i="43"/>
  <c r="W22" i="43"/>
  <c r="Q22" i="43"/>
  <c r="O210" i="41"/>
  <c r="O484" i="41"/>
  <c r="V17" i="43"/>
  <c r="W17" i="43"/>
  <c r="Q17" i="43"/>
  <c r="O378" i="41"/>
  <c r="Q33" i="43"/>
  <c r="V33" i="43"/>
  <c r="W33" i="43"/>
  <c r="O432" i="41"/>
  <c r="P204" i="41"/>
  <c r="P210" i="41"/>
  <c r="O148" i="41"/>
  <c r="P155" i="41"/>
  <c r="O513" i="41"/>
  <c r="Q107" i="43"/>
  <c r="V107" i="43"/>
  <c r="W107" i="43"/>
  <c r="O448" i="41"/>
  <c r="O147" i="41"/>
  <c r="P144" i="41"/>
  <c r="O420" i="41"/>
  <c r="P159" i="41"/>
  <c r="P163" i="41"/>
  <c r="Q43" i="43"/>
  <c r="V43" i="43"/>
  <c r="W43" i="43"/>
  <c r="O155" i="41"/>
  <c r="O415" i="41"/>
  <c r="A46" i="41"/>
  <c r="O455" i="41"/>
  <c r="O199" i="41"/>
  <c r="O159" i="41"/>
  <c r="O208" i="41"/>
  <c r="O407" i="41"/>
  <c r="V74" i="43"/>
  <c r="W74" i="43"/>
  <c r="Q74" i="43"/>
  <c r="V109" i="43"/>
  <c r="W109" i="43"/>
  <c r="Q109" i="43"/>
  <c r="O387" i="41"/>
  <c r="O211" i="41"/>
  <c r="O401" i="41"/>
  <c r="O453" i="41"/>
  <c r="Q26" i="43"/>
  <c r="V26" i="43"/>
  <c r="W26" i="43"/>
  <c r="O322" i="41"/>
  <c r="O183" i="41"/>
  <c r="O178" i="41"/>
  <c r="V85" i="43"/>
  <c r="W85" i="43"/>
  <c r="Q85" i="43"/>
  <c r="O504" i="41"/>
  <c r="O505" i="41"/>
  <c r="V50" i="43"/>
  <c r="W50" i="43"/>
  <c r="Q50" i="43"/>
  <c r="O437" i="41"/>
  <c r="O479" i="41"/>
  <c r="O454" i="41"/>
  <c r="O422" i="41"/>
  <c r="O498" i="41"/>
  <c r="Q131" i="43"/>
  <c r="V131" i="43"/>
  <c r="W131" i="43"/>
  <c r="O153" i="41"/>
  <c r="O571" i="41"/>
  <c r="O510" i="41"/>
  <c r="Q30" i="43"/>
  <c r="V30" i="43"/>
  <c r="W30" i="43"/>
  <c r="P207" i="41"/>
  <c r="O443" i="41"/>
  <c r="O533" i="41"/>
  <c r="P208" i="41"/>
  <c r="O553" i="41"/>
  <c r="O404" i="41"/>
  <c r="Q140" i="43"/>
  <c r="V140" i="43"/>
  <c r="W140" i="43"/>
  <c r="P158" i="41"/>
  <c r="Q57" i="43"/>
  <c r="V57" i="43"/>
  <c r="W57" i="43"/>
  <c r="P180" i="41"/>
  <c r="O429" i="41"/>
  <c r="O426" i="41"/>
  <c r="O383" i="41"/>
  <c r="V29" i="43"/>
  <c r="W29" i="43"/>
  <c r="Q29" i="43"/>
  <c r="P140" i="41"/>
  <c r="O552" i="41"/>
  <c r="O321" i="41"/>
  <c r="O396" i="41"/>
  <c r="O530" i="41"/>
  <c r="V123" i="43"/>
  <c r="W123" i="43"/>
  <c r="Q123" i="43"/>
  <c r="P206" i="41"/>
  <c r="O386" i="41"/>
  <c r="O382" i="41"/>
  <c r="O523" i="41"/>
  <c r="V120" i="43"/>
  <c r="W120" i="43"/>
  <c r="Q120" i="43"/>
  <c r="P215" i="41"/>
  <c r="O570" i="41"/>
  <c r="V72" i="43"/>
  <c r="W72" i="43"/>
  <c r="Q72" i="43"/>
  <c r="O417" i="41"/>
  <c r="O462" i="41"/>
  <c r="O325" i="41"/>
  <c r="O214" i="41"/>
  <c r="O187" i="41"/>
  <c r="O450" i="41"/>
  <c r="P187" i="41"/>
  <c r="Q116" i="43"/>
  <c r="V116" i="43"/>
  <c r="W116" i="43"/>
  <c r="P181" i="41"/>
  <c r="O389" i="41"/>
  <c r="O566" i="41"/>
  <c r="Q138" i="43"/>
  <c r="V138" i="43"/>
  <c r="W138" i="43"/>
  <c r="O521" i="41"/>
  <c r="O182" i="41"/>
  <c r="O425" i="41"/>
  <c r="O381" i="41"/>
  <c r="Q117" i="43"/>
  <c r="V117" i="43"/>
  <c r="W117" i="43"/>
  <c r="O150" i="41"/>
  <c r="P205" i="41"/>
  <c r="O181" i="41"/>
  <c r="O483" i="41"/>
  <c r="O531" i="41"/>
  <c r="O558" i="41"/>
  <c r="O561" i="41"/>
  <c r="V71" i="43"/>
  <c r="W71" i="43"/>
  <c r="Q71" i="43"/>
  <c r="O392" i="41"/>
  <c r="O477" i="41"/>
  <c r="O140" i="41"/>
  <c r="O516" i="41"/>
  <c r="O464" i="41"/>
  <c r="Q27" i="43"/>
  <c r="V27" i="43"/>
  <c r="W27" i="43"/>
  <c r="Q38" i="43"/>
  <c r="V38" i="43"/>
  <c r="W38" i="43"/>
  <c r="O424" i="41"/>
  <c r="O501" i="41"/>
  <c r="O205" i="41"/>
  <c r="O418" i="41"/>
  <c r="V98" i="43"/>
  <c r="W98" i="43"/>
  <c r="Q98" i="43"/>
  <c r="P176" i="41"/>
  <c r="O154" i="41"/>
  <c r="O467" i="41"/>
  <c r="O515" i="41"/>
  <c r="P143" i="41"/>
  <c r="O427" i="41"/>
  <c r="O394" i="41"/>
  <c r="V66" i="43"/>
  <c r="W66" i="43"/>
  <c r="Q66" i="43"/>
  <c r="O568" i="41"/>
  <c r="Q42" i="43"/>
  <c r="V42" i="43"/>
  <c r="W42" i="43"/>
  <c r="P162" i="41"/>
  <c r="O180" i="41"/>
  <c r="O491" i="41"/>
  <c r="O460" i="41"/>
  <c r="P154" i="41"/>
  <c r="P141" i="41"/>
  <c r="V135" i="43"/>
  <c r="W135" i="43"/>
  <c r="Q135" i="43"/>
  <c r="O160" i="41"/>
  <c r="P150" i="41"/>
  <c r="O435" i="41"/>
  <c r="O204" i="41"/>
  <c r="V58" i="43"/>
  <c r="W58" i="43"/>
  <c r="Q58" i="43"/>
  <c r="O433" i="41"/>
  <c r="O430" i="41"/>
  <c r="O206" i="41"/>
  <c r="O520" i="41"/>
  <c r="Q83" i="43"/>
  <c r="V83" i="43"/>
  <c r="W83" i="43"/>
  <c r="O184" i="41"/>
  <c r="O145" i="41"/>
  <c r="O470" i="41"/>
  <c r="O411" i="41"/>
  <c r="P209" i="41"/>
  <c r="O441" i="41"/>
  <c r="O482" i="41"/>
  <c r="V119" i="43"/>
  <c r="W119" i="43"/>
  <c r="Q119" i="43"/>
  <c r="O215" i="41"/>
  <c r="O416" i="41"/>
  <c r="O461" i="41"/>
  <c r="Q70" i="43"/>
  <c r="V70" i="43"/>
  <c r="W70" i="43"/>
  <c r="V97" i="43"/>
  <c r="W97" i="43"/>
  <c r="Q97" i="43"/>
  <c r="O142" i="41"/>
  <c r="O494" i="41"/>
  <c r="O465" i="41"/>
  <c r="Q121" i="43"/>
  <c r="V121" i="43"/>
  <c r="W121" i="43"/>
  <c r="O481" i="41"/>
  <c r="Q115" i="43"/>
  <c r="V115" i="43"/>
  <c r="W115" i="43"/>
  <c r="O536" i="41"/>
  <c r="Q49" i="43"/>
  <c r="V49" i="43"/>
  <c r="W49" i="43"/>
  <c r="O408" i="41"/>
  <c r="Q67" i="43"/>
  <c r="V67" i="43"/>
  <c r="W67" i="43"/>
  <c r="O376" i="41"/>
  <c r="Q59" i="43"/>
  <c r="V59" i="43"/>
  <c r="W59" i="43"/>
  <c r="Q35" i="43"/>
  <c r="V35" i="43"/>
  <c r="W35" i="43"/>
  <c r="O509" i="41"/>
  <c r="O559" i="41"/>
  <c r="V105" i="43"/>
  <c r="W105" i="43"/>
  <c r="Q105" i="43"/>
  <c r="O414" i="41"/>
  <c r="O395" i="41"/>
  <c r="Q28" i="43"/>
  <c r="V28" i="43"/>
  <c r="W28" i="43"/>
  <c r="O532" i="41"/>
  <c r="V89" i="43"/>
  <c r="W89" i="43"/>
  <c r="Q89" i="43"/>
  <c r="O445" i="41"/>
  <c r="O538" i="41"/>
  <c r="Q44" i="43"/>
  <c r="V44" i="43"/>
  <c r="W44" i="43"/>
  <c r="O403" i="41"/>
  <c r="O567" i="41"/>
  <c r="V93" i="43"/>
  <c r="W93" i="43"/>
  <c r="Q93" i="43"/>
  <c r="O423" i="41"/>
  <c r="O525" i="41"/>
  <c r="O539" i="41"/>
  <c r="Q68" i="43"/>
  <c r="V68" i="43"/>
  <c r="W68" i="43"/>
  <c r="O554" i="41"/>
  <c r="Q34" i="43"/>
  <c r="V34" i="43"/>
  <c r="W34" i="43"/>
  <c r="V90" i="43"/>
  <c r="W90" i="43"/>
  <c r="Q90" i="43"/>
  <c r="O542" i="41"/>
  <c r="Q128" i="43"/>
  <c r="V128" i="43"/>
  <c r="W128" i="43"/>
  <c r="O547" i="41"/>
  <c r="V101" i="43"/>
  <c r="W101" i="43"/>
  <c r="Q101" i="43"/>
  <c r="O560" i="41"/>
  <c r="O545" i="41"/>
  <c r="Q47" i="43"/>
  <c r="V47" i="43"/>
  <c r="W47" i="43"/>
  <c r="O368" i="41"/>
  <c r="Q60" i="43"/>
  <c r="V60" i="43"/>
  <c r="W60" i="43"/>
  <c r="O375" i="41"/>
  <c r="O323" i="41"/>
  <c r="Q24" i="43"/>
  <c r="V24" i="43"/>
  <c r="W24" i="43"/>
  <c r="Q41" i="43"/>
  <c r="V41" i="43"/>
  <c r="W41" i="43"/>
  <c r="V114" i="43"/>
  <c r="W114" i="43"/>
  <c r="Q114" i="43"/>
  <c r="O549" i="41"/>
  <c r="O565" i="41"/>
  <c r="Q73" i="43"/>
  <c r="V73" i="43"/>
  <c r="W73" i="43"/>
  <c r="O410" i="41"/>
  <c r="V62" i="43"/>
  <c r="W62" i="43"/>
  <c r="Q62" i="43"/>
  <c r="Q92" i="43"/>
  <c r="V92" i="43"/>
  <c r="W92" i="43"/>
  <c r="O541" i="41"/>
  <c r="O557" i="41"/>
  <c r="O324" i="41"/>
  <c r="V118" i="43"/>
  <c r="W118" i="43"/>
  <c r="Q118" i="43"/>
  <c r="Q88" i="43"/>
  <c r="V88" i="43"/>
  <c r="W88" i="43"/>
  <c r="A37" i="41"/>
  <c r="V19" i="43"/>
  <c r="W19" i="43"/>
  <c r="Q19" i="43"/>
  <c r="V110" i="43"/>
  <c r="W110" i="43"/>
  <c r="Q110" i="43"/>
  <c r="O506" i="41"/>
  <c r="V63" i="43"/>
  <c r="W63" i="43"/>
  <c r="Q63" i="43"/>
  <c r="O398" i="41"/>
  <c r="O514" i="41"/>
  <c r="O526" i="41"/>
  <c r="Q91" i="43"/>
  <c r="V91" i="43"/>
  <c r="W91" i="43"/>
  <c r="V51" i="43"/>
  <c r="W51" i="43"/>
  <c r="Q51" i="43"/>
  <c r="O452" i="41"/>
  <c r="O487" i="41"/>
  <c r="O551" i="41"/>
  <c r="V129" i="43"/>
  <c r="W129" i="43"/>
  <c r="Q129" i="43"/>
  <c r="Q53" i="43"/>
  <c r="V53" i="43"/>
  <c r="W53" i="43"/>
  <c r="O517" i="41"/>
  <c r="Q69" i="43"/>
  <c r="V69" i="43"/>
  <c r="W69" i="43"/>
  <c r="O409" i="41"/>
  <c r="V48" i="43"/>
  <c r="W48" i="43"/>
  <c r="Q48" i="43"/>
  <c r="O438" i="41"/>
  <c r="O391" i="41"/>
  <c r="V37" i="43"/>
  <c r="W37" i="43"/>
  <c r="Q37" i="43"/>
  <c r="Q18" i="43"/>
  <c r="V18" i="43"/>
  <c r="W18" i="43"/>
  <c r="O486" i="41"/>
  <c r="V112" i="43"/>
  <c r="W112" i="43"/>
  <c r="Q112" i="43"/>
  <c r="Q111" i="43"/>
  <c r="V111" i="43"/>
  <c r="W111" i="43"/>
  <c r="O548" i="41"/>
  <c r="O492" i="41"/>
  <c r="V40" i="43"/>
  <c r="W40" i="43"/>
  <c r="Q40" i="43"/>
  <c r="O468" i="41"/>
  <c r="O508" i="41"/>
  <c r="O469" i="41"/>
  <c r="Q137" i="43"/>
  <c r="V137" i="43"/>
  <c r="W137" i="43"/>
  <c r="O478" i="41"/>
  <c r="Q106" i="43"/>
  <c r="V106" i="43"/>
  <c r="W106" i="43"/>
  <c r="O402" i="41"/>
  <c r="O562" i="41"/>
  <c r="O497" i="41"/>
  <c r="Q136" i="43"/>
  <c r="V136" i="43"/>
  <c r="W136" i="43"/>
  <c r="O428" i="41"/>
  <c r="O412" i="41"/>
  <c r="O544" i="41"/>
  <c r="Q100" i="43"/>
  <c r="V100" i="43"/>
  <c r="W100" i="43"/>
  <c r="O440" i="41"/>
  <c r="Q122" i="43"/>
  <c r="V122" i="43"/>
  <c r="W122" i="43"/>
  <c r="V127" i="43"/>
  <c r="W127" i="43"/>
  <c r="Q127" i="43"/>
  <c r="V124" i="43"/>
  <c r="W124" i="43"/>
  <c r="Q124" i="43"/>
  <c r="O446" i="41"/>
  <c r="O519" i="41"/>
  <c r="Q32" i="43"/>
  <c r="V32" i="43"/>
  <c r="W32" i="43"/>
  <c r="O466" i="41"/>
  <c r="Q61" i="43"/>
  <c r="V61" i="43"/>
  <c r="W61" i="43"/>
  <c r="Q21" i="43"/>
  <c r="V21" i="43"/>
  <c r="W21" i="43"/>
  <c r="Q132" i="43"/>
  <c r="V132" i="43"/>
  <c r="W132" i="43"/>
  <c r="O397" i="41"/>
  <c r="V36" i="43"/>
  <c r="W36" i="43"/>
  <c r="Q36" i="43"/>
  <c r="V87" i="43"/>
  <c r="W87" i="43"/>
  <c r="Q87" i="43"/>
  <c r="O511" i="41"/>
  <c r="O405" i="41"/>
  <c r="Q86" i="43"/>
  <c r="V86" i="43"/>
  <c r="W86" i="43"/>
  <c r="O451" i="41"/>
  <c r="Q134" i="43"/>
  <c r="V134" i="43"/>
  <c r="W134" i="43"/>
  <c r="Q46" i="43"/>
  <c r="V46" i="43"/>
  <c r="W46" i="43"/>
  <c r="O367" i="41"/>
  <c r="O518" i="41"/>
  <c r="V20" i="43"/>
  <c r="W20" i="43"/>
  <c r="Q20" i="43"/>
  <c r="O564" i="41"/>
  <c r="O444" i="41"/>
  <c r="Q31" i="43"/>
  <c r="V31" i="43"/>
  <c r="W31" i="43"/>
  <c r="O529" i="41"/>
  <c r="O546" i="41"/>
  <c r="Q39" i="43"/>
  <c r="V39" i="43"/>
  <c r="W39" i="43"/>
  <c r="O476" i="41"/>
  <c r="E50" i="2"/>
  <c r="O431" i="41"/>
  <c r="V54" i="43"/>
  <c r="W54" i="43"/>
  <c r="Q54" i="43"/>
  <c r="O388" i="41"/>
  <c r="O543" i="41"/>
  <c r="Q102" i="43"/>
  <c r="V102" i="43"/>
  <c r="W102" i="43"/>
  <c r="O399" i="41"/>
  <c r="Q15" i="43"/>
  <c r="Q16" i="43"/>
  <c r="I76" i="43"/>
  <c r="I77" i="43"/>
  <c r="AM40" i="43"/>
  <c r="F69" i="41"/>
  <c r="D60" i="2"/>
  <c r="E59" i="41"/>
  <c r="AL40" i="43"/>
  <c r="AM106" i="43"/>
  <c r="AL106" i="43"/>
  <c r="B1" i="30"/>
  <c r="C6" i="59"/>
  <c r="H54" i="2"/>
  <c r="B1" i="45"/>
  <c r="J62" i="2"/>
  <c r="J26" i="49"/>
  <c r="J27" i="49"/>
  <c r="J28" i="49"/>
  <c r="J25" i="49"/>
  <c r="E213" i="49"/>
  <c r="E153" i="49"/>
  <c r="E154" i="49"/>
  <c r="E94" i="49"/>
  <c r="J95" i="49"/>
  <c r="E101" i="49"/>
  <c r="J102" i="49"/>
  <c r="J101" i="49"/>
  <c r="E95" i="49"/>
  <c r="J98" i="49"/>
  <c r="E97" i="49"/>
  <c r="J103" i="49"/>
  <c r="E103" i="49"/>
  <c r="J99" i="49"/>
  <c r="J100" i="49"/>
  <c r="E98" i="49"/>
  <c r="E96" i="49"/>
  <c r="J96" i="49"/>
  <c r="J94" i="49"/>
  <c r="E102" i="49"/>
  <c r="J97" i="49"/>
  <c r="E100" i="49"/>
  <c r="E99" i="49"/>
  <c r="E92" i="49"/>
  <c r="E90" i="49"/>
  <c r="E91" i="49"/>
  <c r="J93" i="49"/>
  <c r="E93" i="49"/>
  <c r="J91" i="49"/>
  <c r="J92" i="49"/>
  <c r="J90" i="49"/>
  <c r="J24" i="49"/>
  <c r="E89" i="49"/>
  <c r="E83" i="49"/>
  <c r="E88" i="49"/>
  <c r="J148" i="49"/>
  <c r="E24" i="49"/>
  <c r="E23" i="49"/>
  <c r="J83" i="49"/>
  <c r="J23" i="49"/>
  <c r="E148" i="49"/>
  <c r="J88" i="49"/>
  <c r="J89" i="49"/>
  <c r="H323" i="41"/>
  <c r="H322" i="41"/>
  <c r="H325" i="41"/>
  <c r="H324" i="41"/>
  <c r="H321" i="41"/>
  <c r="AD126" i="58"/>
  <c r="X173" i="58"/>
  <c r="X172" i="58"/>
  <c r="AC172" i="58"/>
  <c r="X222" i="58"/>
  <c r="X174" i="58"/>
  <c r="X175" i="58"/>
  <c r="X221" i="58"/>
  <c r="AF24" i="58"/>
  <c r="AD24" i="58"/>
  <c r="AF18" i="58"/>
  <c r="AF20" i="58"/>
  <c r="AD20" i="58"/>
  <c r="AD22" i="58"/>
  <c r="AD21" i="58"/>
  <c r="AF22" i="58"/>
  <c r="AF17" i="58"/>
  <c r="AD17" i="58"/>
  <c r="AF19" i="58"/>
  <c r="AF21" i="58"/>
  <c r="AD19" i="58"/>
  <c r="AD18" i="58"/>
  <c r="AF23" i="58"/>
  <c r="AD23" i="58"/>
  <c r="AF16" i="58"/>
  <c r="AE46" i="58"/>
  <c r="AE63" i="58"/>
  <c r="AE97" i="58"/>
  <c r="AE80" i="58"/>
  <c r="AF50" i="58"/>
  <c r="AF102" i="58"/>
  <c r="AF41" i="58"/>
  <c r="AD85" i="58"/>
  <c r="AD71" i="58"/>
  <c r="AF104" i="58"/>
  <c r="AF85" i="58"/>
  <c r="AF51" i="58"/>
  <c r="AD107" i="58"/>
  <c r="AF107" i="58"/>
  <c r="AF88" i="58"/>
  <c r="AF56" i="58"/>
  <c r="AF72" i="58"/>
  <c r="AF67" i="58"/>
  <c r="AD40" i="58"/>
  <c r="AF57" i="58"/>
  <c r="AD35" i="58"/>
  <c r="AF70" i="58"/>
  <c r="AF86" i="58"/>
  <c r="AF58" i="58"/>
  <c r="AF103" i="58"/>
  <c r="AF109" i="58"/>
  <c r="AD106" i="58"/>
  <c r="AD54" i="58"/>
  <c r="AF69" i="58"/>
  <c r="AF71" i="58"/>
  <c r="AF101" i="58"/>
  <c r="AD86" i="58"/>
  <c r="AF91" i="58"/>
  <c r="AF55" i="58"/>
  <c r="AF35" i="58"/>
  <c r="AD109" i="58"/>
  <c r="AD92" i="58"/>
  <c r="AF75" i="58"/>
  <c r="AD67" i="58"/>
  <c r="AF33" i="58"/>
  <c r="AF52" i="58"/>
  <c r="AF108" i="58"/>
  <c r="AD91" i="58"/>
  <c r="AD105" i="58"/>
  <c r="AD51" i="58"/>
  <c r="AF126" i="58"/>
  <c r="AD58" i="58"/>
  <c r="AD53" i="58"/>
  <c r="AD36" i="58"/>
  <c r="AF90" i="58"/>
  <c r="AF128" i="58"/>
  <c r="AD73" i="58"/>
  <c r="AD74" i="58"/>
  <c r="AF34" i="58"/>
  <c r="AF53" i="58"/>
  <c r="AD50" i="58"/>
  <c r="AD84" i="58"/>
  <c r="AD56" i="58"/>
  <c r="AF92" i="58"/>
  <c r="AD37" i="58"/>
  <c r="AF84" i="58"/>
  <c r="AD33" i="58"/>
  <c r="AD127" i="58"/>
  <c r="AD108" i="58"/>
  <c r="AD52" i="58"/>
  <c r="AF73" i="58"/>
  <c r="AD70" i="58"/>
  <c r="AF87" i="58"/>
  <c r="AF39" i="58"/>
  <c r="AF89" i="58"/>
  <c r="AD75" i="58"/>
  <c r="AD104" i="58"/>
  <c r="AF36" i="58"/>
  <c r="AF129" i="58"/>
  <c r="AF68" i="58"/>
  <c r="AD88" i="58"/>
  <c r="AD55" i="58"/>
  <c r="AF74" i="58"/>
  <c r="AD57" i="58"/>
  <c r="AD41" i="58"/>
  <c r="AD102" i="58"/>
  <c r="AF106" i="58"/>
  <c r="AD39" i="58"/>
  <c r="AF40" i="58"/>
  <c r="AD72" i="58"/>
  <c r="AD34" i="58"/>
  <c r="AD90" i="58"/>
  <c r="AD103" i="58"/>
  <c r="AF54" i="58"/>
  <c r="AD87" i="58"/>
  <c r="AD101" i="58"/>
  <c r="AF37" i="58"/>
  <c r="AD89" i="58"/>
  <c r="AD69" i="58"/>
  <c r="AD38" i="58"/>
  <c r="AF127" i="58"/>
  <c r="AF105" i="58"/>
  <c r="AD68" i="58"/>
  <c r="AF38" i="58"/>
  <c r="X141" i="58"/>
  <c r="X149" i="58"/>
  <c r="X143" i="58"/>
  <c r="X148" i="58"/>
  <c r="X140" i="58"/>
  <c r="X169" i="58"/>
  <c r="X168" i="58"/>
  <c r="X144" i="58"/>
  <c r="X150" i="58"/>
  <c r="X147" i="58"/>
  <c r="X161" i="58"/>
  <c r="X155" i="58"/>
  <c r="X153" i="58"/>
  <c r="X166" i="58"/>
  <c r="X156" i="58"/>
  <c r="X164" i="58"/>
  <c r="X163" i="58"/>
  <c r="X160" i="58"/>
  <c r="X151" i="58"/>
  <c r="X159" i="58"/>
  <c r="X139" i="58"/>
  <c r="X157" i="58"/>
  <c r="X142" i="58"/>
  <c r="X152" i="58"/>
  <c r="X170" i="58"/>
  <c r="X145" i="58"/>
  <c r="X154" i="58"/>
  <c r="X158" i="58"/>
  <c r="X171" i="58"/>
  <c r="X167" i="58"/>
  <c r="X165" i="58"/>
  <c r="X146" i="58"/>
  <c r="X162" i="58"/>
  <c r="X185" i="58"/>
  <c r="J65" i="2"/>
  <c r="J63" i="2"/>
  <c r="J64" i="2"/>
  <c r="V168" i="58"/>
  <c r="V171" i="58"/>
  <c r="V167" i="58"/>
  <c r="V170" i="58"/>
  <c r="V173" i="58"/>
  <c r="V169" i="58"/>
  <c r="V172" i="58"/>
  <c r="E32" i="49"/>
  <c r="E35" i="49"/>
  <c r="E29" i="49"/>
  <c r="E34" i="49"/>
  <c r="E36" i="49"/>
  <c r="E37" i="49"/>
  <c r="E28" i="49"/>
  <c r="E31" i="49"/>
  <c r="E38" i="49"/>
  <c r="E33" i="49"/>
  <c r="E30" i="49"/>
  <c r="E25" i="49"/>
  <c r="E26" i="49"/>
  <c r="E27" i="49"/>
  <c r="H313" i="41"/>
  <c r="K309" i="41"/>
  <c r="H308" i="41"/>
  <c r="K311" i="41"/>
  <c r="K308" i="41"/>
  <c r="K310" i="41"/>
  <c r="K313" i="41"/>
  <c r="K315" i="41"/>
  <c r="K314" i="41"/>
  <c r="K312" i="41"/>
  <c r="H310" i="41"/>
  <c r="H312" i="41"/>
  <c r="K307" i="41"/>
  <c r="H307" i="41"/>
  <c r="H315" i="41"/>
  <c r="H314" i="41"/>
  <c r="H311" i="41"/>
  <c r="H309" i="41"/>
  <c r="K265" i="41"/>
  <c r="K267" i="41"/>
  <c r="H266" i="41"/>
  <c r="H267" i="41"/>
  <c r="K257" i="41"/>
  <c r="K254" i="41"/>
  <c r="H270" i="41"/>
  <c r="K269" i="41"/>
  <c r="K270" i="41"/>
  <c r="K252" i="41"/>
  <c r="H271" i="41"/>
  <c r="K259" i="41"/>
  <c r="K253" i="41"/>
  <c r="H273" i="41"/>
  <c r="K268" i="41"/>
  <c r="H272" i="41"/>
  <c r="K256" i="41"/>
  <c r="K266" i="41"/>
  <c r="K271" i="41"/>
  <c r="K272" i="41"/>
  <c r="K273" i="41"/>
  <c r="H269" i="41"/>
  <c r="K251" i="41"/>
  <c r="H268" i="41"/>
  <c r="H265" i="41"/>
  <c r="K258" i="41"/>
  <c r="K255" i="41"/>
  <c r="K300" i="41"/>
  <c r="H301" i="41"/>
  <c r="H293" i="41"/>
  <c r="K293" i="41"/>
  <c r="H298" i="41"/>
  <c r="K299" i="41"/>
  <c r="K298" i="41"/>
  <c r="H296" i="41"/>
  <c r="K294" i="41"/>
  <c r="K297" i="41"/>
  <c r="K295" i="41"/>
  <c r="H300" i="41"/>
  <c r="K301" i="41"/>
  <c r="H299" i="41"/>
  <c r="H294" i="41"/>
  <c r="H295" i="41"/>
  <c r="K296" i="41"/>
  <c r="H297" i="41"/>
  <c r="H283" i="41"/>
  <c r="K284" i="41"/>
  <c r="H253" i="41"/>
  <c r="K281" i="41"/>
  <c r="H254" i="41"/>
  <c r="H286" i="41"/>
  <c r="H284" i="41"/>
  <c r="H258" i="41"/>
  <c r="H282" i="41"/>
  <c r="K280" i="41"/>
  <c r="H257" i="41"/>
  <c r="H285" i="41"/>
  <c r="H255" i="41"/>
  <c r="H259" i="41"/>
  <c r="K279" i="41"/>
  <c r="K282" i="41"/>
  <c r="K283" i="41"/>
  <c r="K287" i="41"/>
  <c r="H251" i="41"/>
  <c r="K285" i="41"/>
  <c r="K286" i="41"/>
  <c r="H252" i="41"/>
  <c r="H281" i="41"/>
  <c r="H280" i="41"/>
  <c r="H279" i="41"/>
  <c r="H287" i="41"/>
  <c r="H256" i="41"/>
  <c r="K245" i="41"/>
  <c r="K244" i="41"/>
  <c r="H239" i="41"/>
  <c r="H245" i="41"/>
  <c r="H241" i="41"/>
  <c r="H244" i="41"/>
  <c r="H238" i="41"/>
  <c r="K242" i="41"/>
  <c r="H243" i="41"/>
  <c r="K243" i="41"/>
  <c r="H242" i="41"/>
  <c r="H240" i="41"/>
  <c r="H89" i="41"/>
  <c r="F124" i="41"/>
  <c r="F128" i="41"/>
  <c r="F130" i="41"/>
  <c r="F129" i="41"/>
  <c r="F126" i="41"/>
  <c r="F125" i="41"/>
  <c r="K90" i="41"/>
  <c r="F127" i="41"/>
  <c r="AH103" i="58"/>
  <c r="K20" i="59"/>
  <c r="K62" i="59"/>
  <c r="K67" i="59"/>
  <c r="K69" i="59"/>
  <c r="K70" i="59"/>
  <c r="K68" i="59"/>
  <c r="K65" i="59"/>
  <c r="K63" i="59"/>
  <c r="K66" i="59"/>
  <c r="K64" i="59"/>
  <c r="K29" i="59"/>
  <c r="K40" i="59"/>
  <c r="K39" i="59"/>
  <c r="K38" i="59"/>
  <c r="K33" i="59"/>
  <c r="K35" i="59"/>
  <c r="K30" i="59"/>
  <c r="K37" i="59"/>
  <c r="K36" i="59"/>
  <c r="AH52" i="58"/>
  <c r="K34" i="59"/>
  <c r="K32" i="59"/>
  <c r="K55" i="59"/>
  <c r="K60" i="59"/>
  <c r="K54" i="59"/>
  <c r="K56" i="59"/>
  <c r="K53" i="59"/>
  <c r="K57" i="59"/>
  <c r="K58" i="59"/>
  <c r="AH89" i="58"/>
  <c r="K52" i="59"/>
  <c r="K59" i="59"/>
  <c r="K49" i="59"/>
  <c r="K48" i="59"/>
  <c r="K50" i="59"/>
  <c r="K46" i="59"/>
  <c r="K45" i="59"/>
  <c r="K42" i="59"/>
  <c r="K19" i="59"/>
  <c r="K43" i="59"/>
  <c r="AH72" i="58"/>
  <c r="K44" i="59"/>
  <c r="K47" i="59"/>
  <c r="K26" i="59"/>
  <c r="K22" i="59"/>
  <c r="K12" i="59"/>
  <c r="K13" i="59"/>
  <c r="K27" i="59"/>
  <c r="K24" i="59"/>
  <c r="K17" i="59"/>
  <c r="K18" i="59"/>
  <c r="K16" i="59"/>
  <c r="K23" i="59"/>
  <c r="K15" i="59"/>
  <c r="K14" i="59"/>
  <c r="K25" i="59"/>
  <c r="K28" i="59"/>
  <c r="AC167" i="58"/>
  <c r="AC157" i="58"/>
  <c r="AC171" i="58"/>
  <c r="AC170" i="58"/>
  <c r="AC139" i="58"/>
  <c r="AC163" i="58"/>
  <c r="AC153" i="58"/>
  <c r="AC150" i="58"/>
  <c r="AC140" i="58"/>
  <c r="AC141" i="58"/>
  <c r="Y172" i="58"/>
  <c r="AC146" i="58"/>
  <c r="AC152" i="58"/>
  <c r="AC159" i="58"/>
  <c r="AC164" i="58"/>
  <c r="AC155" i="58"/>
  <c r="AC144" i="58"/>
  <c r="AC148" i="58"/>
  <c r="AC158" i="58"/>
  <c r="AC165" i="58"/>
  <c r="AC154" i="58"/>
  <c r="AC142" i="58"/>
  <c r="AC151" i="58"/>
  <c r="AC156" i="58"/>
  <c r="AC161" i="58"/>
  <c r="AC168" i="58"/>
  <c r="AC143" i="58"/>
  <c r="AC173" i="58"/>
  <c r="AC162" i="58"/>
  <c r="AC145" i="58"/>
  <c r="AC160" i="58"/>
  <c r="AC166" i="58"/>
  <c r="AC147" i="58"/>
  <c r="AC169" i="58"/>
  <c r="AC149" i="58"/>
  <c r="K73" i="59"/>
  <c r="AC174" i="58"/>
  <c r="AC175" i="58"/>
  <c r="AH126" i="58"/>
  <c r="AH68" i="58"/>
  <c r="Y173" i="58"/>
  <c r="AA173" i="58"/>
  <c r="Y170" i="58"/>
  <c r="AA170" i="58"/>
  <c r="Y167" i="58"/>
  <c r="AA167" i="58"/>
  <c r="Y169" i="58"/>
  <c r="AA169" i="58"/>
  <c r="Y171" i="58"/>
  <c r="AA171" i="58"/>
  <c r="AA172" i="58"/>
  <c r="Y168" i="58"/>
  <c r="AA168" i="58"/>
  <c r="AH23" i="58"/>
  <c r="J19" i="59"/>
  <c r="J17" i="59"/>
  <c r="AH21" i="58"/>
  <c r="AH18" i="58"/>
  <c r="J14" i="59"/>
  <c r="AH17" i="58"/>
  <c r="J13" i="59"/>
  <c r="J18" i="59"/>
  <c r="AH22" i="58"/>
  <c r="AH24" i="58"/>
  <c r="J20" i="59"/>
  <c r="AH19" i="58"/>
  <c r="J15" i="59"/>
  <c r="J16" i="59"/>
  <c r="AH20" i="58"/>
  <c r="AH57" i="58"/>
  <c r="AH88" i="58"/>
  <c r="AH102" i="58"/>
  <c r="AH90" i="58"/>
  <c r="AH104" i="58"/>
  <c r="AH69" i="58"/>
  <c r="AH75" i="58"/>
  <c r="AH70" i="58"/>
  <c r="AH67" i="58"/>
  <c r="AH50" i="58"/>
  <c r="AH34" i="58"/>
  <c r="AH55" i="58"/>
  <c r="AH41" i="58"/>
  <c r="G110" i="59"/>
  <c r="G107" i="59"/>
  <c r="G111" i="59"/>
  <c r="G106" i="59"/>
  <c r="AH108" i="58"/>
  <c r="AH109" i="58"/>
  <c r="G109" i="59"/>
  <c r="G108" i="59"/>
  <c r="G105" i="59"/>
  <c r="AH91" i="58"/>
  <c r="AH101" i="58"/>
  <c r="AH87" i="58"/>
  <c r="AH58" i="58"/>
  <c r="AH33" i="58"/>
  <c r="AH56" i="58"/>
  <c r="AH51" i="58"/>
  <c r="AH39" i="58"/>
  <c r="AH86" i="58"/>
  <c r="AH107" i="58"/>
  <c r="AH38" i="58"/>
  <c r="AH37" i="58"/>
  <c r="AH73" i="58"/>
  <c r="AH53" i="58"/>
  <c r="AH105" i="58"/>
  <c r="AH54" i="58"/>
  <c r="AH85" i="58"/>
  <c r="AH106" i="58"/>
  <c r="AH40" i="58"/>
  <c r="AH84" i="58"/>
  <c r="AH74" i="58"/>
  <c r="AH36" i="58"/>
  <c r="AH92" i="58"/>
  <c r="AH35" i="58"/>
  <c r="AH71" i="58"/>
  <c r="J27" i="59"/>
  <c r="J62" i="59"/>
  <c r="J58" i="59"/>
  <c r="J28" i="59"/>
  <c r="J39" i="59"/>
  <c r="J56" i="59"/>
  <c r="J65" i="59"/>
  <c r="J69" i="59"/>
  <c r="J26" i="59"/>
  <c r="J32" i="59"/>
  <c r="J48" i="59"/>
  <c r="J35" i="59"/>
  <c r="J66" i="59"/>
  <c r="J70" i="59"/>
  <c r="J54" i="59"/>
  <c r="J36" i="59"/>
  <c r="J53" i="59"/>
  <c r="J43" i="59"/>
  <c r="J44" i="59"/>
  <c r="J55" i="59"/>
  <c r="J23" i="59"/>
  <c r="J50" i="59"/>
  <c r="J45" i="59"/>
  <c r="J40" i="59"/>
  <c r="J59" i="59"/>
  <c r="J42" i="59"/>
  <c r="J67" i="59"/>
  <c r="J29" i="59"/>
  <c r="J57" i="59"/>
  <c r="J47" i="59"/>
  <c r="J63" i="59"/>
  <c r="J22" i="59"/>
  <c r="J38" i="59"/>
  <c r="J64" i="59"/>
  <c r="J30" i="59"/>
  <c r="J37" i="59"/>
  <c r="J34" i="59"/>
  <c r="J52" i="59"/>
  <c r="J49" i="59"/>
  <c r="J25" i="59"/>
  <c r="J33" i="59"/>
  <c r="J60" i="59"/>
  <c r="J24" i="59"/>
  <c r="J68" i="59"/>
  <c r="J46" i="59"/>
  <c r="E309" i="41"/>
  <c r="E314" i="41"/>
  <c r="E308" i="41"/>
  <c r="E315" i="41"/>
  <c r="E307" i="41"/>
  <c r="E313" i="41"/>
  <c r="E312" i="41"/>
  <c r="E310" i="41"/>
  <c r="E311" i="41"/>
  <c r="E272" i="41"/>
  <c r="E266" i="41"/>
  <c r="E267" i="41"/>
  <c r="E265" i="41"/>
  <c r="E273" i="41"/>
  <c r="E269" i="41"/>
  <c r="E270" i="41"/>
  <c r="E271" i="41"/>
  <c r="E268" i="41"/>
  <c r="E296" i="41"/>
  <c r="E301" i="41"/>
  <c r="E297" i="41"/>
  <c r="E293" i="41"/>
  <c r="E300" i="41"/>
  <c r="E295" i="41"/>
  <c r="E294" i="41"/>
  <c r="E298" i="41"/>
  <c r="E299" i="41"/>
  <c r="E284" i="41"/>
  <c r="E280" i="41"/>
  <c r="E287" i="41"/>
  <c r="E252" i="41"/>
  <c r="E251" i="41"/>
  <c r="E285" i="41"/>
  <c r="E286" i="41"/>
  <c r="E283" i="41"/>
  <c r="E282" i="41"/>
  <c r="E254" i="41"/>
  <c r="E279" i="41"/>
  <c r="E259" i="41"/>
  <c r="E256" i="41"/>
  <c r="E258" i="41"/>
  <c r="E281" i="41"/>
  <c r="E257" i="41"/>
  <c r="E255" i="41"/>
  <c r="E253" i="41"/>
  <c r="E241" i="41"/>
  <c r="E239" i="41"/>
  <c r="E238" i="41"/>
  <c r="E245" i="41"/>
  <c r="K237" i="41"/>
  <c r="E240" i="41"/>
  <c r="K238" i="41"/>
  <c r="E244" i="41"/>
  <c r="K241" i="41"/>
  <c r="E242" i="41"/>
  <c r="E243" i="41"/>
  <c r="K240" i="41"/>
  <c r="K239" i="41"/>
  <c r="H125" i="41"/>
  <c r="C130" i="41"/>
  <c r="H126" i="41"/>
  <c r="H124" i="41"/>
  <c r="C129" i="41"/>
  <c r="H129" i="41"/>
  <c r="C127" i="41"/>
  <c r="C125" i="41"/>
  <c r="C126" i="41"/>
  <c r="H127" i="41"/>
  <c r="H128" i="41"/>
  <c r="C128" i="41"/>
  <c r="C124" i="41"/>
  <c r="H130" i="41"/>
  <c r="P311" i="41"/>
  <c r="P310" i="41"/>
  <c r="P312" i="41"/>
  <c r="P313" i="41"/>
  <c r="P307" i="41"/>
  <c r="P315" i="41"/>
  <c r="P308" i="41"/>
  <c r="P314" i="41"/>
  <c r="P309" i="41"/>
  <c r="P268" i="41"/>
  <c r="P271" i="41"/>
  <c r="P270" i="41"/>
  <c r="P269" i="41"/>
  <c r="P273" i="41"/>
  <c r="P265" i="41"/>
  <c r="P267" i="41"/>
  <c r="P266" i="41"/>
  <c r="P272" i="41"/>
  <c r="P299" i="41"/>
  <c r="P298" i="41"/>
  <c r="P294" i="41"/>
  <c r="P295" i="41"/>
  <c r="P300" i="41"/>
  <c r="P297" i="41"/>
  <c r="P301" i="41"/>
  <c r="P296" i="41"/>
  <c r="P281" i="41"/>
  <c r="P258" i="41"/>
  <c r="P259" i="41"/>
  <c r="P279" i="41"/>
  <c r="P282" i="41"/>
  <c r="P283" i="41"/>
  <c r="P286" i="41"/>
  <c r="P285" i="41"/>
  <c r="P287" i="41"/>
  <c r="P280" i="41"/>
  <c r="P284" i="41"/>
  <c r="P251" i="41"/>
  <c r="P252" i="41"/>
  <c r="P238" i="41"/>
  <c r="P253" i="41"/>
  <c r="P255" i="41"/>
  <c r="P257" i="41"/>
  <c r="P245" i="41"/>
  <c r="P256" i="41"/>
  <c r="P240" i="41"/>
  <c r="P239" i="41"/>
  <c r="P254" i="41"/>
  <c r="P241" i="41"/>
  <c r="P242" i="41"/>
  <c r="O127" i="41"/>
  <c r="O126" i="41"/>
  <c r="O129" i="41"/>
  <c r="O128" i="41"/>
  <c r="O124" i="41"/>
  <c r="O130" i="41"/>
  <c r="O125" i="41"/>
  <c r="AB173" i="58"/>
  <c r="AD173" i="58"/>
  <c r="AD167" i="58"/>
  <c r="AB167" i="58"/>
  <c r="AB168" i="58"/>
  <c r="AD168" i="58"/>
  <c r="AB172" i="58"/>
  <c r="AD172" i="58"/>
  <c r="AD169" i="58"/>
  <c r="AB169" i="58"/>
  <c r="AD170" i="58"/>
  <c r="AB170" i="58"/>
  <c r="AB171" i="58"/>
  <c r="AD171" i="58"/>
  <c r="J107" i="59"/>
  <c r="J111" i="59"/>
  <c r="J106" i="59"/>
  <c r="J108" i="59"/>
  <c r="J110" i="59"/>
  <c r="J109" i="59"/>
  <c r="J105" i="59"/>
  <c r="Q217" i="58"/>
  <c r="Q218" i="58"/>
  <c r="Q214" i="58"/>
  <c r="Q220" i="58"/>
  <c r="Q216" i="58"/>
  <c r="Q215" i="58"/>
  <c r="Q219" i="58"/>
  <c r="Q171" i="58"/>
  <c r="Q168" i="58"/>
  <c r="Q172" i="58"/>
  <c r="Q167" i="58"/>
  <c r="Q169" i="58"/>
  <c r="Q173" i="58"/>
  <c r="Q170" i="58"/>
  <c r="E125" i="41"/>
  <c r="D129" i="41"/>
  <c r="E127" i="41"/>
  <c r="E130" i="41"/>
  <c r="D127" i="41"/>
  <c r="E124" i="41"/>
  <c r="D126" i="41"/>
  <c r="D124" i="41"/>
  <c r="E129" i="41"/>
  <c r="D125" i="41"/>
  <c r="E128" i="41"/>
  <c r="D130" i="41"/>
  <c r="E126" i="41"/>
  <c r="D128" i="41"/>
  <c r="O11" i="30"/>
  <c r="K11" i="30"/>
  <c r="I13" i="22"/>
  <c r="N13" i="22"/>
  <c r="T11" i="30"/>
  <c r="I15" i="22"/>
  <c r="J15" i="22"/>
  <c r="I16" i="22"/>
  <c r="N16" i="22"/>
  <c r="J13" i="22"/>
  <c r="O13" i="22"/>
  <c r="K13" i="22"/>
  <c r="Z128" i="58"/>
  <c r="Z129" i="58"/>
  <c r="P293" i="41"/>
  <c r="O217" i="30"/>
  <c r="K217" i="30"/>
  <c r="T215" i="30"/>
  <c r="I91" i="41"/>
  <c r="F92" i="41"/>
  <c r="I92" i="41"/>
  <c r="F91" i="41"/>
  <c r="H75" i="59"/>
  <c r="H74" i="59"/>
  <c r="G74" i="59"/>
  <c r="O128" i="58"/>
  <c r="G75" i="59"/>
  <c r="O129" i="58"/>
  <c r="AG129" i="58"/>
  <c r="AG128" i="58"/>
  <c r="J16" i="22"/>
  <c r="O16" i="22"/>
  <c r="N15" i="22"/>
  <c r="K16" i="22"/>
  <c r="P13" i="22"/>
  <c r="P128" i="58"/>
  <c r="O15" i="22"/>
  <c r="T217" i="30"/>
  <c r="E323" i="41"/>
  <c r="E324" i="41"/>
  <c r="E321" i="41"/>
  <c r="K321" i="41"/>
  <c r="K322" i="41"/>
  <c r="E325" i="41"/>
  <c r="E322" i="41"/>
  <c r="K324" i="41"/>
  <c r="K325" i="41"/>
  <c r="K323" i="41"/>
  <c r="C91" i="41"/>
  <c r="N88" i="43"/>
  <c r="K541" i="41"/>
  <c r="E409" i="41"/>
  <c r="E431" i="41"/>
  <c r="E477" i="41"/>
  <c r="E436" i="41"/>
  <c r="H387" i="41"/>
  <c r="E369" i="41"/>
  <c r="H534" i="41"/>
  <c r="E438" i="41"/>
  <c r="E539" i="41"/>
  <c r="H375" i="41"/>
  <c r="E505" i="41"/>
  <c r="E461" i="41"/>
  <c r="H410" i="41"/>
  <c r="E555" i="41"/>
  <c r="K557" i="41"/>
  <c r="H378" i="41"/>
  <c r="H563" i="41"/>
  <c r="E485" i="41"/>
  <c r="H483" i="41"/>
  <c r="H384" i="41"/>
  <c r="E532" i="41"/>
  <c r="E570" i="41"/>
  <c r="K394" i="41"/>
  <c r="K432" i="41"/>
  <c r="H420" i="41"/>
  <c r="H498" i="41"/>
  <c r="K556" i="41"/>
  <c r="K443" i="41"/>
  <c r="E478" i="41"/>
  <c r="H412" i="41"/>
  <c r="K545" i="41"/>
  <c r="E516" i="41"/>
  <c r="K408" i="41"/>
  <c r="K437" i="41"/>
  <c r="E483" i="41"/>
  <c r="E387" i="41"/>
  <c r="K410" i="41"/>
  <c r="H389" i="41"/>
  <c r="E396" i="41"/>
  <c r="K488" i="41"/>
  <c r="K439" i="41"/>
  <c r="E493" i="41"/>
  <c r="H520" i="41"/>
  <c r="K476" i="41"/>
  <c r="E451" i="41"/>
  <c r="K460" i="41"/>
  <c r="K388" i="41"/>
  <c r="E455" i="41"/>
  <c r="N87" i="43"/>
  <c r="K549" i="41"/>
  <c r="K414" i="41"/>
  <c r="K464" i="41"/>
  <c r="K444" i="41"/>
  <c r="K419" i="41"/>
  <c r="H413" i="41"/>
  <c r="K534" i="41"/>
  <c r="H440" i="41"/>
  <c r="AM115" i="43"/>
  <c r="H458" i="41"/>
  <c r="H444" i="41"/>
  <c r="E548" i="41"/>
  <c r="K458" i="41"/>
  <c r="K526" i="41"/>
  <c r="E500" i="41"/>
  <c r="H396" i="41"/>
  <c r="E398" i="41"/>
  <c r="H514" i="41"/>
  <c r="K418" i="41"/>
  <c r="K517" i="41"/>
  <c r="H548" i="41"/>
  <c r="E450" i="41"/>
  <c r="K402" i="41"/>
  <c r="H382" i="41"/>
  <c r="H460" i="41"/>
  <c r="H443" i="41"/>
  <c r="E402" i="41"/>
  <c r="E449" i="41"/>
  <c r="K396" i="41"/>
  <c r="E567" i="41"/>
  <c r="H386" i="41"/>
  <c r="K398" i="41"/>
  <c r="E518" i="41"/>
  <c r="E534" i="41"/>
  <c r="E556" i="41"/>
  <c r="E440" i="41"/>
  <c r="H512" i="41"/>
  <c r="K390" i="41"/>
  <c r="H537" i="41"/>
  <c r="H467" i="41"/>
  <c r="E521" i="41"/>
  <c r="H427" i="41"/>
  <c r="H510" i="41"/>
  <c r="E456" i="41"/>
  <c r="K554" i="41"/>
  <c r="K429" i="41"/>
  <c r="E552" i="41"/>
  <c r="H403" i="41"/>
  <c r="H557" i="41"/>
  <c r="E498" i="41"/>
  <c r="K440" i="41"/>
  <c r="H461" i="41"/>
  <c r="H465" i="41"/>
  <c r="E533" i="41"/>
  <c r="E561" i="41"/>
  <c r="H335" i="41"/>
  <c r="E399" i="41"/>
  <c r="K531" i="41"/>
  <c r="K468" i="41"/>
  <c r="E531" i="41"/>
  <c r="H503" i="41"/>
  <c r="G92" i="41"/>
  <c r="H528" i="41"/>
  <c r="H546" i="41"/>
  <c r="H516" i="41"/>
  <c r="H507" i="41"/>
  <c r="E542" i="41"/>
  <c r="K528" i="41"/>
  <c r="K530" i="41"/>
  <c r="H502" i="41"/>
  <c r="E554" i="41"/>
  <c r="E388" i="41"/>
  <c r="K401" i="41"/>
  <c r="H545" i="41"/>
  <c r="H494" i="41"/>
  <c r="H505" i="41"/>
  <c r="K500" i="41"/>
  <c r="E527" i="41"/>
  <c r="E379" i="41"/>
  <c r="K442" i="41"/>
  <c r="H454" i="41"/>
  <c r="H560" i="41"/>
  <c r="K466" i="41"/>
  <c r="K436" i="41"/>
  <c r="E460" i="41"/>
  <c r="K455" i="41"/>
  <c r="H568" i="41"/>
  <c r="K411" i="41"/>
  <c r="H435" i="41"/>
  <c r="H438" i="41"/>
  <c r="K502" i="41"/>
  <c r="K462" i="41"/>
  <c r="K491" i="41"/>
  <c r="E569" i="41"/>
  <c r="E447" i="41"/>
  <c r="K431" i="41"/>
  <c r="K507" i="41"/>
  <c r="H558" i="41"/>
  <c r="K537" i="41"/>
  <c r="E504" i="41"/>
  <c r="H445" i="41"/>
  <c r="K569" i="41"/>
  <c r="K503" i="41"/>
  <c r="H504" i="41"/>
  <c r="K427" i="41"/>
  <c r="E395" i="41"/>
  <c r="H511" i="41"/>
  <c r="K518" i="41"/>
  <c r="E443" i="41"/>
  <c r="K382" i="41"/>
  <c r="E564" i="41"/>
  <c r="H551" i="41"/>
  <c r="K400" i="41"/>
  <c r="E463" i="41"/>
  <c r="E528" i="41"/>
  <c r="E501" i="41"/>
  <c r="K378" i="41"/>
  <c r="K452" i="41"/>
  <c r="E559" i="41"/>
  <c r="E401" i="41"/>
  <c r="E541" i="41"/>
  <c r="H506" i="41"/>
  <c r="E538" i="41"/>
  <c r="K483" i="41"/>
  <c r="H550" i="41"/>
  <c r="E489" i="41"/>
  <c r="H399" i="41"/>
  <c r="H527" i="41"/>
  <c r="K525" i="41"/>
  <c r="K504" i="41"/>
  <c r="H414" i="41"/>
  <c r="K451" i="41"/>
  <c r="K543" i="41"/>
  <c r="E444" i="41"/>
  <c r="K567" i="41"/>
  <c r="K524" i="41"/>
  <c r="E549" i="41"/>
  <c r="H536" i="41"/>
  <c r="H538" i="41"/>
  <c r="H533" i="41"/>
  <c r="H490" i="41"/>
  <c r="K397" i="41"/>
  <c r="K498" i="41"/>
  <c r="H391" i="41"/>
  <c r="H419" i="41"/>
  <c r="E418" i="41"/>
  <c r="K465" i="41"/>
  <c r="H488" i="41"/>
  <c r="E415" i="41"/>
  <c r="H477" i="41"/>
  <c r="E383" i="41"/>
  <c r="K514" i="41"/>
  <c r="K484" i="41"/>
  <c r="H499" i="41"/>
  <c r="H398" i="41"/>
  <c r="K426" i="41"/>
  <c r="K558" i="41"/>
  <c r="K553" i="41"/>
  <c r="K454" i="41"/>
  <c r="H449" i="41"/>
  <c r="E558" i="41"/>
  <c r="H486" i="41"/>
  <c r="K495" i="41"/>
  <c r="E457" i="41"/>
  <c r="K433" i="41"/>
  <c r="K540" i="41"/>
  <c r="H376" i="41"/>
  <c r="H432" i="41"/>
  <c r="E430" i="41"/>
  <c r="H478" i="41"/>
  <c r="K393" i="41"/>
  <c r="H491" i="41"/>
  <c r="E490" i="41"/>
  <c r="K527" i="41"/>
  <c r="K389" i="41"/>
  <c r="E496" i="41"/>
  <c r="H556" i="41"/>
  <c r="H400" i="41"/>
  <c r="H437" i="41"/>
  <c r="K463" i="41"/>
  <c r="E484" i="41"/>
  <c r="E568" i="41"/>
  <c r="K387" i="41"/>
  <c r="K447" i="41"/>
  <c r="E392" i="41"/>
  <c r="E386" i="41"/>
  <c r="E536" i="41"/>
  <c r="K450" i="41"/>
  <c r="H442" i="41"/>
  <c r="H448" i="41"/>
  <c r="H417" i="41"/>
  <c r="E435" i="41"/>
  <c r="E551" i="41"/>
  <c r="K544" i="41"/>
  <c r="K532" i="41"/>
  <c r="H452" i="41"/>
  <c r="K386" i="41"/>
  <c r="K493" i="41"/>
  <c r="E495" i="41"/>
  <c r="H530" i="41"/>
  <c r="K391" i="41"/>
  <c r="E452" i="41"/>
  <c r="E530" i="41"/>
  <c r="E540" i="41"/>
  <c r="AM114" i="43"/>
  <c r="H463" i="41"/>
  <c r="H430" i="41"/>
  <c r="H566" i="41"/>
  <c r="E535" i="41"/>
  <c r="E514" i="41"/>
  <c r="K448" i="41"/>
  <c r="K499" i="41"/>
  <c r="K536" i="41"/>
  <c r="H496" i="41"/>
  <c r="K508" i="41"/>
  <c r="H466" i="41"/>
  <c r="K407" i="41"/>
  <c r="H457" i="41"/>
  <c r="E526" i="41"/>
  <c r="E454" i="41"/>
  <c r="H553" i="41"/>
  <c r="H434" i="41"/>
  <c r="AL90" i="43"/>
  <c r="H369" i="41"/>
  <c r="K430" i="41"/>
  <c r="H424" i="41"/>
  <c r="K565" i="41"/>
  <c r="K542" i="41"/>
  <c r="E405" i="41"/>
  <c r="H402" i="41"/>
  <c r="K445" i="41"/>
  <c r="AL88" i="43"/>
  <c r="H415" i="41"/>
  <c r="H423" i="41"/>
  <c r="K424" i="41"/>
  <c r="E487" i="41"/>
  <c r="E512" i="41"/>
  <c r="H416" i="41"/>
  <c r="K515" i="41"/>
  <c r="K368" i="41"/>
  <c r="K449" i="41"/>
  <c r="E425" i="41"/>
  <c r="E480" i="41"/>
  <c r="E529" i="41"/>
  <c r="H406" i="41"/>
  <c r="H433" i="41"/>
  <c r="E467" i="41"/>
  <c r="K561" i="41"/>
  <c r="E429" i="41"/>
  <c r="K523" i="41"/>
  <c r="E462" i="41"/>
  <c r="K412" i="41"/>
  <c r="K469" i="41"/>
  <c r="E563" i="41"/>
  <c r="K379" i="41"/>
  <c r="K409" i="41"/>
  <c r="H455" i="41"/>
  <c r="K481" i="41"/>
  <c r="E378" i="41"/>
  <c r="E403" i="41"/>
  <c r="K392" i="41"/>
  <c r="H515" i="41"/>
  <c r="E427" i="41"/>
  <c r="E488" i="41"/>
  <c r="E453" i="41"/>
  <c r="K399" i="41"/>
  <c r="H495" i="41"/>
  <c r="K435" i="41"/>
  <c r="H431" i="41"/>
  <c r="H518" i="41"/>
  <c r="K533" i="41"/>
  <c r="H446" i="41"/>
  <c r="E492" i="41"/>
  <c r="H521" i="41"/>
  <c r="AM90" i="43"/>
  <c r="K550" i="41"/>
  <c r="K513" i="41"/>
  <c r="K551" i="41"/>
  <c r="H482" i="41"/>
  <c r="E479" i="41"/>
  <c r="H421" i="41"/>
  <c r="H554" i="41"/>
  <c r="E507" i="41"/>
  <c r="K547" i="41"/>
  <c r="E517" i="41"/>
  <c r="K535" i="41"/>
  <c r="E410" i="41"/>
  <c r="H547" i="41"/>
  <c r="K496" i="41"/>
  <c r="E382" i="41"/>
  <c r="J92" i="41"/>
  <c r="E515" i="41"/>
  <c r="E520" i="41"/>
  <c r="K497" i="41"/>
  <c r="H397" i="41"/>
  <c r="E413" i="41"/>
  <c r="K538" i="41"/>
  <c r="E506" i="41"/>
  <c r="H441" i="41"/>
  <c r="K571" i="41"/>
  <c r="E433" i="41"/>
  <c r="H564" i="41"/>
  <c r="H508" i="41"/>
  <c r="K420" i="41"/>
  <c r="E537" i="41"/>
  <c r="H567" i="41"/>
  <c r="E416" i="41"/>
  <c r="E445" i="41"/>
  <c r="K376" i="41"/>
  <c r="H476" i="41"/>
  <c r="K509" i="41"/>
  <c r="H561" i="41"/>
  <c r="N86" i="43"/>
  <c r="K425" i="41"/>
  <c r="E420" i="41"/>
  <c r="K492" i="41"/>
  <c r="H429" i="41"/>
  <c r="K478" i="41"/>
  <c r="K562" i="41"/>
  <c r="K459" i="41"/>
  <c r="H428" i="41"/>
  <c r="K529" i="41"/>
  <c r="E434" i="41"/>
  <c r="H422" i="41"/>
  <c r="E562" i="41"/>
  <c r="K560" i="41"/>
  <c r="E400" i="41"/>
  <c r="E419" i="41"/>
  <c r="J91" i="41"/>
  <c r="K404" i="41"/>
  <c r="E494" i="41"/>
  <c r="H470" i="41"/>
  <c r="H450" i="41"/>
  <c r="E546" i="41"/>
  <c r="H569" i="41"/>
  <c r="H379" i="41"/>
  <c r="H571" i="41"/>
  <c r="E481" i="41"/>
  <c r="E508" i="41"/>
  <c r="H513" i="41"/>
  <c r="E491" i="41"/>
  <c r="E466" i="41"/>
  <c r="H529" i="41"/>
  <c r="E407" i="41"/>
  <c r="K417" i="41"/>
  <c r="H526" i="41"/>
  <c r="E571" i="41"/>
  <c r="E459" i="41"/>
  <c r="E519" i="41"/>
  <c r="E381" i="41"/>
  <c r="H485" i="41"/>
  <c r="H517" i="41"/>
  <c r="E428" i="41"/>
  <c r="K559" i="41"/>
  <c r="E560" i="41"/>
  <c r="K461" i="41"/>
  <c r="K564" i="41"/>
  <c r="E376" i="41"/>
  <c r="H570" i="41"/>
  <c r="K406" i="41"/>
  <c r="E389" i="41"/>
  <c r="K568" i="41"/>
  <c r="H408" i="41"/>
  <c r="H377" i="41"/>
  <c r="H549" i="41"/>
  <c r="H393" i="41"/>
  <c r="H539" i="41"/>
  <c r="H426" i="41"/>
  <c r="K457" i="41"/>
  <c r="E394" i="41"/>
  <c r="H439" i="41"/>
  <c r="K566" i="41"/>
  <c r="K505" i="41"/>
  <c r="E557" i="41"/>
  <c r="K489" i="41"/>
  <c r="H479" i="41"/>
  <c r="H497" i="41"/>
  <c r="E544" i="41"/>
  <c r="K446" i="41"/>
  <c r="K467" i="41"/>
  <c r="K428" i="41"/>
  <c r="K501" i="41"/>
  <c r="H524" i="41"/>
  <c r="H381" i="41"/>
  <c r="K403" i="41"/>
  <c r="K453" i="41"/>
  <c r="E565" i="41"/>
  <c r="K477" i="41"/>
  <c r="H453" i="41"/>
  <c r="K487" i="41"/>
  <c r="K563" i="41"/>
  <c r="E499" i="41"/>
  <c r="H542" i="41"/>
  <c r="E390" i="41"/>
  <c r="E421" i="41"/>
  <c r="E414" i="41"/>
  <c r="H492" i="41"/>
  <c r="E465" i="41"/>
  <c r="H425" i="41"/>
  <c r="H481" i="41"/>
  <c r="H525" i="41"/>
  <c r="K552" i="41"/>
  <c r="E380" i="41"/>
  <c r="K416" i="41"/>
  <c r="E406" i="41"/>
  <c r="E513" i="41"/>
  <c r="K381" i="41"/>
  <c r="K510" i="41"/>
  <c r="E553" i="41"/>
  <c r="K367" i="41"/>
  <c r="E426" i="41"/>
  <c r="H532" i="41"/>
  <c r="G91" i="41"/>
  <c r="K570" i="41"/>
  <c r="H401" i="41"/>
  <c r="H509" i="41"/>
  <c r="H489" i="41"/>
  <c r="H367" i="41"/>
  <c r="K479" i="41"/>
  <c r="E464" i="41"/>
  <c r="E384" i="41"/>
  <c r="H500" i="41"/>
  <c r="K384" i="41"/>
  <c r="E437" i="41"/>
  <c r="AN90" i="43"/>
  <c r="H411" i="41"/>
  <c r="H418" i="41"/>
  <c r="E423" i="41"/>
  <c r="E432" i="41"/>
  <c r="H493" i="41"/>
  <c r="H544" i="41"/>
  <c r="K380" i="41"/>
  <c r="E486" i="41"/>
  <c r="K520" i="41"/>
  <c r="K522" i="41"/>
  <c r="E446" i="41"/>
  <c r="K383" i="41"/>
  <c r="K423" i="41"/>
  <c r="E543" i="41"/>
  <c r="H383" i="41"/>
  <c r="H464" i="41"/>
  <c r="H552" i="41"/>
  <c r="E408" i="41"/>
  <c r="E439" i="41"/>
  <c r="E482" i="41"/>
  <c r="H459" i="41"/>
  <c r="H388" i="41"/>
  <c r="E417" i="41"/>
  <c r="E547" i="41"/>
  <c r="K546" i="41"/>
  <c r="K456" i="41"/>
  <c r="K91" i="41"/>
  <c r="E442" i="41"/>
  <c r="K377" i="41"/>
  <c r="H484" i="41"/>
  <c r="K480" i="41"/>
  <c r="E566" i="41"/>
  <c r="E441" i="41"/>
  <c r="H436" i="41"/>
  <c r="H559" i="41"/>
  <c r="K521" i="41"/>
  <c r="AM89" i="43"/>
  <c r="K438" i="41"/>
  <c r="K422" i="41"/>
  <c r="K494" i="41"/>
  <c r="E411" i="41"/>
  <c r="K385" i="41"/>
  <c r="H394" i="41"/>
  <c r="K490" i="41"/>
  <c r="E497" i="41"/>
  <c r="K434" i="41"/>
  <c r="E502" i="41"/>
  <c r="E509" i="41"/>
  <c r="E391" i="41"/>
  <c r="E424" i="41"/>
  <c r="AL89" i="43"/>
  <c r="E335" i="41"/>
  <c r="K413" i="41"/>
  <c r="E385" i="41"/>
  <c r="H462" i="41"/>
  <c r="K441" i="41"/>
  <c r="E470" i="41"/>
  <c r="E511" i="41"/>
  <c r="K421" i="41"/>
  <c r="E368" i="41"/>
  <c r="H541" i="41"/>
  <c r="H523" i="41"/>
  <c r="H540" i="41"/>
  <c r="K511" i="41"/>
  <c r="H368" i="41"/>
  <c r="C92" i="41"/>
  <c r="K512" i="41"/>
  <c r="K485" i="41"/>
  <c r="K335" i="41"/>
  <c r="H451" i="41"/>
  <c r="E469" i="41"/>
  <c r="K369" i="41"/>
  <c r="E458" i="41"/>
  <c r="H407" i="41"/>
  <c r="E448" i="41"/>
  <c r="K519" i="41"/>
  <c r="H469" i="41"/>
  <c r="E367" i="41"/>
  <c r="AN89" i="43"/>
  <c r="E377" i="41"/>
  <c r="H395" i="41"/>
  <c r="E468" i="41"/>
  <c r="E523" i="41"/>
  <c r="H543" i="41"/>
  <c r="E550" i="41"/>
  <c r="H522" i="41"/>
  <c r="H405" i="41"/>
  <c r="E393" i="41"/>
  <c r="E510" i="41"/>
  <c r="H519" i="41"/>
  <c r="H535" i="41"/>
  <c r="E545" i="41"/>
  <c r="H456" i="41"/>
  <c r="H562" i="41"/>
  <c r="H385" i="41"/>
  <c r="E524" i="41"/>
  <c r="H468" i="41"/>
  <c r="H565" i="41"/>
  <c r="H392" i="41"/>
  <c r="K375" i="41"/>
  <c r="K486" i="41"/>
  <c r="K482" i="41"/>
  <c r="H409" i="41"/>
  <c r="K92" i="41"/>
  <c r="K539" i="41"/>
  <c r="H501" i="41"/>
  <c r="K516" i="41"/>
  <c r="K506" i="41"/>
  <c r="H380" i="41"/>
  <c r="K548" i="41"/>
  <c r="H487" i="41"/>
  <c r="K415" i="41"/>
  <c r="E522" i="41"/>
  <c r="E525" i="41"/>
  <c r="E412" i="41"/>
  <c r="H555" i="41"/>
  <c r="H447" i="41"/>
  <c r="H390" i="41"/>
  <c r="E476" i="41"/>
  <c r="K470" i="41"/>
  <c r="E503" i="41"/>
  <c r="K405" i="41"/>
  <c r="K555" i="41"/>
  <c r="E397" i="41"/>
  <c r="E375" i="41"/>
  <c r="H480" i="41"/>
  <c r="K395" i="41"/>
  <c r="E422" i="41"/>
  <c r="H404" i="41"/>
  <c r="E404" i="41"/>
  <c r="H531" i="41"/>
  <c r="K74" i="59"/>
  <c r="K75" i="59"/>
  <c r="P129" i="58"/>
  <c r="P395" i="41"/>
  <c r="P422" i="41"/>
  <c r="P406" i="41"/>
  <c r="P415" i="41"/>
  <c r="P419" i="41"/>
  <c r="P367" i="41"/>
  <c r="P413" i="41"/>
  <c r="P434" i="41"/>
  <c r="P547" i="41"/>
  <c r="P409" i="41"/>
  <c r="P441" i="41"/>
  <c r="P448" i="41"/>
  <c r="P383" i="41"/>
  <c r="P499" i="41"/>
  <c r="P521" i="41"/>
  <c r="P376" i="41"/>
  <c r="P545" i="41"/>
  <c r="P511" i="41"/>
  <c r="P485" i="41"/>
  <c r="P450" i="41"/>
  <c r="P525" i="41"/>
  <c r="P456" i="41"/>
  <c r="P496" i="41"/>
  <c r="P497" i="41"/>
  <c r="P420" i="41"/>
  <c r="P126" i="41"/>
  <c r="P465" i="41"/>
  <c r="P127" i="41"/>
  <c r="P519" i="41"/>
  <c r="P530" i="41"/>
  <c r="P469" i="41"/>
  <c r="P559" i="41"/>
  <c r="P321" i="41"/>
  <c r="P480" i="41"/>
  <c r="P529" i="41"/>
  <c r="P533" i="41"/>
  <c r="P486" i="41"/>
  <c r="P401" i="41"/>
  <c r="P495" i="41"/>
  <c r="P324" i="41"/>
  <c r="P386" i="41"/>
  <c r="P544" i="41"/>
  <c r="P484" i="41"/>
  <c r="P403" i="41"/>
  <c r="P490" i="41"/>
  <c r="P385" i="41"/>
  <c r="P517" i="41"/>
  <c r="P454" i="41"/>
  <c r="P489" i="41"/>
  <c r="P436" i="41"/>
  <c r="P458" i="41"/>
  <c r="P375" i="41"/>
  <c r="P442" i="41"/>
  <c r="P457" i="41"/>
  <c r="P398" i="41"/>
  <c r="P439" i="41"/>
  <c r="P567" i="41"/>
  <c r="P555" i="41"/>
  <c r="P516" i="41"/>
  <c r="P435" i="41"/>
  <c r="P512" i="41"/>
  <c r="P130" i="41"/>
  <c r="P560" i="41"/>
  <c r="P553" i="41"/>
  <c r="P460" i="41"/>
  <c r="P411" i="41"/>
  <c r="P502" i="41"/>
  <c r="P426" i="41"/>
  <c r="P488" i="41"/>
  <c r="P449" i="41"/>
  <c r="P412" i="41"/>
  <c r="P541" i="41"/>
  <c r="P481" i="41"/>
  <c r="P527" i="41"/>
  <c r="P461" i="41"/>
  <c r="P410" i="41"/>
  <c r="P462" i="41"/>
  <c r="P389" i="41"/>
  <c r="P129" i="41"/>
  <c r="P565" i="41"/>
  <c r="P394" i="41"/>
  <c r="P427" i="41"/>
  <c r="P414" i="41"/>
  <c r="P571" i="41"/>
  <c r="P468" i="41"/>
  <c r="P402" i="41"/>
  <c r="P534" i="41"/>
  <c r="P423" i="41"/>
  <c r="P562" i="41"/>
  <c r="P377" i="41"/>
  <c r="P424" i="41"/>
  <c r="P404" i="41"/>
  <c r="P125" i="41"/>
  <c r="P467" i="41"/>
  <c r="P531" i="41"/>
  <c r="P501" i="41"/>
  <c r="P568" i="41"/>
  <c r="P510" i="41"/>
  <c r="P407" i="41"/>
  <c r="P491" i="41"/>
  <c r="P393" i="41"/>
  <c r="P504" i="41"/>
  <c r="P470" i="41"/>
  <c r="P498" i="41"/>
  <c r="P440" i="41"/>
  <c r="P549" i="41"/>
  <c r="P437" i="41"/>
  <c r="P569" i="41"/>
  <c r="P514" i="41"/>
  <c r="P551" i="41"/>
  <c r="P535" i="41"/>
  <c r="P515" i="41"/>
  <c r="P397" i="41"/>
  <c r="P466" i="41"/>
  <c r="P508" i="41"/>
  <c r="P382" i="41"/>
  <c r="P522" i="41"/>
  <c r="P425" i="41"/>
  <c r="P532" i="41"/>
  <c r="P507" i="41"/>
  <c r="P536" i="41"/>
  <c r="P546" i="41"/>
  <c r="P390" i="41"/>
  <c r="P325" i="41"/>
  <c r="P380" i="41"/>
  <c r="P493" i="41"/>
  <c r="P506" i="41"/>
  <c r="P428" i="41"/>
  <c r="P446" i="41"/>
  <c r="P322" i="41"/>
  <c r="P561" i="41"/>
  <c r="P379" i="41"/>
  <c r="P483" i="41"/>
  <c r="P494" i="41"/>
  <c r="P418" i="41"/>
  <c r="P392" i="41"/>
  <c r="P539" i="41"/>
  <c r="P503" i="41"/>
  <c r="P391" i="41"/>
  <c r="P438" i="41"/>
  <c r="P479" i="41"/>
  <c r="P550" i="41"/>
  <c r="P408" i="41"/>
  <c r="P558" i="41"/>
  <c r="P538" i="41"/>
  <c r="P445" i="41"/>
  <c r="P459" i="41"/>
  <c r="P421" i="41"/>
  <c r="P381" i="41"/>
  <c r="P433" i="41"/>
  <c r="P452" i="41"/>
  <c r="P487" i="41"/>
  <c r="P513" i="41"/>
  <c r="P542" i="41"/>
  <c r="P396" i="41"/>
  <c r="P563" i="41"/>
  <c r="P543" i="41"/>
  <c r="P548" i="41"/>
  <c r="P416" i="41"/>
  <c r="P124" i="41"/>
  <c r="P405" i="41"/>
  <c r="P500" i="41"/>
  <c r="P476" i="41"/>
  <c r="P523" i="41"/>
  <c r="P564" i="41"/>
  <c r="P388" i="41"/>
  <c r="P556" i="41"/>
  <c r="P432" i="41"/>
  <c r="P566" i="41"/>
  <c r="P477" i="41"/>
  <c r="P384" i="41"/>
  <c r="P431" i="41"/>
  <c r="P478" i="41"/>
  <c r="P453" i="41"/>
  <c r="P509" i="41"/>
  <c r="P451" i="41"/>
  <c r="P557" i="41"/>
  <c r="P518" i="41"/>
  <c r="P429" i="41"/>
  <c r="P528" i="41"/>
  <c r="P399" i="41"/>
  <c r="P540" i="41"/>
  <c r="P378" i="41"/>
  <c r="P537" i="41"/>
  <c r="P524" i="41"/>
  <c r="P443" i="41"/>
  <c r="P492" i="41"/>
  <c r="P455" i="41"/>
  <c r="P463" i="41"/>
  <c r="P526" i="41"/>
  <c r="P128" i="41"/>
  <c r="P323" i="41"/>
  <c r="P552" i="41"/>
  <c r="P430" i="41"/>
  <c r="P570" i="41"/>
  <c r="P417" i="41"/>
  <c r="P505" i="41"/>
  <c r="P482" i="41"/>
  <c r="P447" i="41"/>
  <c r="P554" i="41"/>
  <c r="P444" i="41"/>
  <c r="P520" i="41"/>
  <c r="P400" i="41"/>
  <c r="P464" i="41"/>
  <c r="P368" i="41"/>
  <c r="P387" i="41"/>
  <c r="O92" i="41"/>
  <c r="O91" i="41"/>
  <c r="P16" i="22"/>
  <c r="B92" i="41"/>
  <c r="P369" i="41"/>
  <c r="AN88" i="43"/>
  <c r="D92" i="41"/>
  <c r="AM88" i="43"/>
  <c r="AM113" i="43"/>
  <c r="D91" i="41"/>
  <c r="AR113" i="43"/>
  <c r="AR85" i="43"/>
  <c r="AR89" i="43"/>
  <c r="N93" i="43"/>
  <c r="AS85" i="43"/>
  <c r="AT85" i="43"/>
  <c r="M99" i="43"/>
  <c r="AR90" i="43"/>
  <c r="M101" i="43"/>
  <c r="AS113" i="43"/>
  <c r="AL16" i="58"/>
  <c r="AL34" i="58"/>
  <c r="AL17" i="58"/>
  <c r="AL33" i="58"/>
  <c r="AK138" i="58"/>
  <c r="BN138" i="58"/>
  <c r="AR120" i="43"/>
  <c r="L86" i="43"/>
  <c r="BP16" i="58"/>
  <c r="BQ16" i="58"/>
  <c r="BI16" i="58"/>
  <c r="AS120" i="43"/>
  <c r="AT120" i="43"/>
  <c r="L87" i="43"/>
  <c r="AT113" i="43"/>
  <c r="BG138" i="58"/>
  <c r="BH138" i="58"/>
  <c r="BJ138" i="58"/>
  <c r="BI138" i="58"/>
  <c r="L88" i="43"/>
  <c r="BH16" i="58"/>
  <c r="BW16" i="58"/>
  <c r="S138" i="58"/>
  <c r="BF138" i="58"/>
  <c r="BU138" i="58"/>
  <c r="BT138" i="58"/>
  <c r="CE16" i="58"/>
  <c r="Q16" i="58"/>
  <c r="BX16" i="58"/>
  <c r="CA16" i="58"/>
  <c r="BV138" i="58"/>
  <c r="BW138" i="58"/>
  <c r="U16" i="58"/>
  <c r="CB16" i="58"/>
  <c r="U138" i="58"/>
  <c r="V16" i="58"/>
  <c r="AB16" i="58"/>
  <c r="W16" i="58"/>
  <c r="Z138" i="58"/>
  <c r="AE16" i="58"/>
  <c r="O16" i="58"/>
  <c r="P16" i="58"/>
  <c r="AD16" i="58"/>
  <c r="AA16" i="58"/>
  <c r="G12" i="59"/>
  <c r="X138" i="58"/>
  <c r="K15" i="22"/>
  <c r="F237" i="41"/>
  <c r="G237" i="41"/>
  <c r="H237" i="41"/>
  <c r="AI16" i="58"/>
  <c r="AC16" i="58"/>
  <c r="AC138" i="58"/>
  <c r="J12" i="59"/>
  <c r="AH16" i="58"/>
  <c r="P15" i="22"/>
  <c r="B91" i="41"/>
  <c r="G60" i="2"/>
  <c r="F59" i="41"/>
  <c r="D237" i="41"/>
  <c r="E237" i="41"/>
  <c r="C237" i="41"/>
  <c r="O237" i="41"/>
  <c r="P237" i="41"/>
  <c r="F78" i="49"/>
  <c r="I76" i="35"/>
  <c r="F43" i="49"/>
  <c r="F74" i="49"/>
  <c r="F60" i="49"/>
  <c r="F68" i="49"/>
  <c r="F49" i="49"/>
  <c r="F64" i="49"/>
  <c r="F62" i="49"/>
  <c r="F48" i="49"/>
  <c r="F25" i="49"/>
  <c r="F72" i="49"/>
  <c r="F67" i="49"/>
  <c r="F37" i="49"/>
  <c r="F31" i="49"/>
  <c r="F57" i="49"/>
  <c r="F81" i="49"/>
  <c r="F47" i="49"/>
  <c r="F65" i="49"/>
  <c r="F61" i="49"/>
  <c r="F55" i="49"/>
  <c r="F59" i="49"/>
  <c r="F66" i="49"/>
  <c r="F50" i="49"/>
  <c r="F28" i="49"/>
  <c r="F39" i="49"/>
  <c r="F32" i="49"/>
  <c r="F42" i="49"/>
  <c r="F29" i="49"/>
  <c r="F35" i="49"/>
  <c r="F26" i="49"/>
  <c r="F70" i="49"/>
  <c r="F36" i="49"/>
  <c r="F58" i="49"/>
  <c r="F51" i="49"/>
  <c r="F53" i="49"/>
  <c r="F73" i="49"/>
  <c r="F33" i="49"/>
  <c r="F75" i="49"/>
  <c r="F71" i="49"/>
  <c r="F46" i="49"/>
  <c r="F69" i="49"/>
  <c r="F63" i="49"/>
  <c r="F30" i="49"/>
  <c r="F56" i="49"/>
  <c r="F80" i="49"/>
  <c r="F27" i="49"/>
  <c r="F40" i="49"/>
  <c r="F76" i="49"/>
  <c r="F54" i="49"/>
  <c r="F52" i="49"/>
  <c r="F41" i="49"/>
  <c r="F79" i="49"/>
  <c r="F45" i="49"/>
  <c r="F77" i="49"/>
  <c r="F34" i="49"/>
  <c r="F38" i="49"/>
  <c r="F44" i="49"/>
  <c r="F82" i="49"/>
  <c r="B5" i="22"/>
  <c r="B7" i="22"/>
  <c r="B5" i="50"/>
  <c r="B7" i="50"/>
  <c r="E61" i="2"/>
  <c r="D84" i="2"/>
  <c r="V148" i="58"/>
  <c r="V147" i="58"/>
  <c r="V162" i="58"/>
  <c r="V157" i="58"/>
  <c r="V156" i="58"/>
  <c r="V153" i="58"/>
  <c r="V146" i="58"/>
  <c r="V145" i="58"/>
  <c r="V166" i="58"/>
  <c r="V150" i="58"/>
  <c r="V158" i="58"/>
  <c r="V160" i="58"/>
  <c r="V152" i="58"/>
  <c r="V165" i="58"/>
  <c r="V159" i="58"/>
  <c r="V154" i="58"/>
  <c r="V149" i="58"/>
  <c r="V161" i="58"/>
  <c r="V164" i="58"/>
  <c r="V163" i="58"/>
  <c r="V155" i="58"/>
  <c r="V151" i="58"/>
  <c r="V140" i="58"/>
  <c r="R62" i="35"/>
  <c r="R21" i="35"/>
  <c r="R64" i="35"/>
  <c r="R59" i="35"/>
  <c r="R24" i="35"/>
  <c r="R65" i="35"/>
  <c r="F110" i="41"/>
  <c r="R40" i="35"/>
  <c r="R54" i="35"/>
  <c r="R52" i="35"/>
  <c r="R36" i="35"/>
  <c r="F119" i="41"/>
  <c r="F123" i="41"/>
  <c r="F109" i="41"/>
  <c r="R43" i="35"/>
  <c r="F112" i="41"/>
  <c r="F104" i="41"/>
  <c r="R49" i="35"/>
  <c r="R27" i="35"/>
  <c r="F116" i="41"/>
  <c r="V144" i="58"/>
  <c r="V143" i="58"/>
  <c r="F100" i="41"/>
  <c r="R34" i="35"/>
  <c r="R71" i="35"/>
  <c r="R45" i="35"/>
  <c r="F106" i="41"/>
  <c r="R19" i="35"/>
  <c r="R69" i="35"/>
  <c r="F103" i="41"/>
  <c r="R17" i="35"/>
  <c r="R23" i="35"/>
  <c r="R70" i="35"/>
  <c r="R60" i="35"/>
  <c r="R61" i="35"/>
  <c r="R67" i="35"/>
  <c r="R37" i="35"/>
  <c r="R29" i="35"/>
  <c r="R63" i="35"/>
  <c r="F114" i="41"/>
  <c r="F107" i="41"/>
  <c r="F122" i="41"/>
  <c r="V138" i="58"/>
  <c r="V139" i="58"/>
  <c r="F96" i="41"/>
  <c r="R42" i="35"/>
  <c r="R30" i="35"/>
  <c r="F115" i="41"/>
  <c r="F111" i="41"/>
  <c r="F121" i="41"/>
  <c r="R58" i="35"/>
  <c r="F105" i="41"/>
  <c r="F102" i="41"/>
  <c r="R26" i="35"/>
  <c r="R74" i="35"/>
  <c r="R47" i="35"/>
  <c r="R28" i="35"/>
  <c r="R18" i="35"/>
  <c r="R38" i="35"/>
  <c r="R68" i="35"/>
  <c r="R32" i="35"/>
  <c r="R22" i="35"/>
  <c r="R73" i="35"/>
  <c r="F97" i="41"/>
  <c r="R46" i="35"/>
  <c r="R35" i="35"/>
  <c r="F108" i="41"/>
  <c r="V142" i="58"/>
  <c r="F99" i="41"/>
  <c r="V141" i="58"/>
  <c r="F98" i="41"/>
  <c r="F113" i="41"/>
  <c r="R39" i="35"/>
  <c r="R55" i="35"/>
  <c r="R66" i="35"/>
  <c r="R33" i="35"/>
  <c r="R51" i="35"/>
  <c r="R50" i="35"/>
  <c r="R41" i="35"/>
  <c r="F117" i="41"/>
  <c r="R53" i="35"/>
  <c r="F120" i="41"/>
  <c r="R25" i="35"/>
  <c r="R57" i="35"/>
  <c r="R20" i="35"/>
  <c r="R56" i="35"/>
  <c r="F95" i="41"/>
  <c r="R44" i="35"/>
  <c r="R31" i="35"/>
  <c r="F101" i="41"/>
  <c r="R72" i="35"/>
  <c r="R48" i="35"/>
  <c r="F118" i="41"/>
  <c r="CC145" i="58"/>
  <c r="CC146" i="58"/>
  <c r="CC158" i="58"/>
  <c r="CC152" i="58"/>
  <c r="CC155" i="58"/>
  <c r="CC159" i="58"/>
  <c r="CC157" i="58"/>
  <c r="CC144" i="58"/>
  <c r="CC143" i="58"/>
  <c r="CC156" i="58"/>
  <c r="CC153" i="58"/>
  <c r="CC154" i="58"/>
  <c r="W141" i="58"/>
  <c r="W151" i="58"/>
  <c r="W155" i="58"/>
  <c r="W163" i="58"/>
  <c r="W164" i="58"/>
  <c r="W161" i="58"/>
  <c r="W138" i="58"/>
  <c r="W149" i="58"/>
  <c r="W142" i="58"/>
  <c r="W143" i="58"/>
  <c r="W154" i="58"/>
  <c r="W159" i="58"/>
  <c r="CC142" i="58"/>
  <c r="W165" i="58"/>
  <c r="W152" i="58"/>
  <c r="W160" i="58"/>
  <c r="W158" i="58"/>
  <c r="W150" i="58"/>
  <c r="W166" i="58"/>
  <c r="W145" i="58"/>
  <c r="W144" i="58"/>
  <c r="W146" i="58"/>
  <c r="W140" i="58"/>
  <c r="W153" i="58"/>
  <c r="W156" i="58"/>
  <c r="W157" i="58"/>
  <c r="W162" i="58"/>
  <c r="W147" i="58"/>
  <c r="W148" i="58"/>
  <c r="W139" i="58"/>
  <c r="G93" i="59"/>
  <c r="G103" i="59"/>
  <c r="G91" i="59"/>
  <c r="G92" i="59"/>
  <c r="G101" i="59"/>
  <c r="G90" i="59"/>
  <c r="G94" i="59"/>
  <c r="G89" i="59"/>
  <c r="G102" i="59"/>
  <c r="G98" i="59"/>
  <c r="G95" i="59"/>
  <c r="G104" i="59"/>
  <c r="G99" i="59"/>
  <c r="G96" i="59"/>
  <c r="G100" i="59"/>
  <c r="G97" i="59"/>
  <c r="G87" i="59"/>
  <c r="G84" i="59"/>
  <c r="G78" i="59"/>
  <c r="G86" i="59"/>
  <c r="G83" i="59"/>
  <c r="G80" i="59"/>
  <c r="G85" i="59"/>
  <c r="G81" i="59"/>
  <c r="G79" i="59"/>
  <c r="G88" i="59"/>
  <c r="G82" i="59"/>
  <c r="G77" i="59"/>
  <c r="G76" i="59"/>
  <c r="J7" i="50"/>
  <c r="I7" i="22"/>
  <c r="G107" i="41"/>
  <c r="G120" i="41"/>
  <c r="G119" i="41"/>
  <c r="G98" i="41"/>
  <c r="G114" i="41"/>
  <c r="G104" i="41"/>
  <c r="G99" i="41"/>
  <c r="G112" i="41"/>
  <c r="G118" i="41"/>
  <c r="G102" i="41"/>
  <c r="G101" i="41"/>
  <c r="G109" i="41"/>
  <c r="G121" i="41"/>
  <c r="G97" i="41"/>
  <c r="G105" i="41"/>
  <c r="G95" i="41"/>
  <c r="G103" i="41"/>
  <c r="G123" i="41"/>
  <c r="G116" i="41"/>
  <c r="G117" i="41"/>
  <c r="G113" i="41"/>
  <c r="G108" i="41"/>
  <c r="G115" i="41"/>
  <c r="G111" i="41"/>
  <c r="G106" i="41"/>
  <c r="G100" i="41"/>
  <c r="G122" i="41"/>
  <c r="G110" i="41"/>
  <c r="G96" i="41"/>
  <c r="CC147" i="58"/>
  <c r="V174" i="58"/>
  <c r="CC160" i="58"/>
  <c r="V175" i="58"/>
  <c r="G72" i="59"/>
  <c r="I26" i="22"/>
  <c r="I30" i="22"/>
  <c r="I34" i="22"/>
  <c r="I23" i="22"/>
  <c r="I27" i="22"/>
  <c r="I31" i="22"/>
  <c r="I24" i="22"/>
  <c r="I28" i="22"/>
  <c r="I32" i="22"/>
  <c r="I25" i="22"/>
  <c r="I29" i="22"/>
  <c r="I33" i="22"/>
  <c r="I22" i="22"/>
  <c r="E57" i="50"/>
  <c r="E88" i="50"/>
  <c r="E85" i="50"/>
  <c r="E59" i="50"/>
  <c r="E84" i="50"/>
  <c r="E87" i="50"/>
  <c r="E39" i="50"/>
  <c r="E86" i="50"/>
  <c r="E40" i="50"/>
  <c r="E37" i="50"/>
  <c r="E60" i="50"/>
  <c r="E58" i="50"/>
  <c r="E38" i="50"/>
  <c r="F223" i="41"/>
  <c r="F132" i="41"/>
  <c r="F225" i="41"/>
  <c r="F131" i="41"/>
  <c r="F192" i="41"/>
  <c r="F165" i="41"/>
  <c r="F170" i="41"/>
  <c r="F193" i="41"/>
  <c r="F219" i="41"/>
  <c r="F168" i="41"/>
  <c r="F224" i="41"/>
  <c r="F220" i="41"/>
  <c r="F169" i="41"/>
  <c r="F191" i="41"/>
  <c r="F189" i="41"/>
  <c r="W175" i="58"/>
  <c r="V176" i="58"/>
  <c r="W174" i="58"/>
  <c r="J23" i="22"/>
  <c r="J29" i="22"/>
  <c r="J24" i="22"/>
  <c r="J34" i="22"/>
  <c r="J33" i="22"/>
  <c r="J25" i="22"/>
  <c r="J31" i="22"/>
  <c r="J30" i="22"/>
  <c r="J28" i="22"/>
  <c r="J22" i="22"/>
  <c r="J32" i="22"/>
  <c r="J27" i="22"/>
  <c r="J26" i="22"/>
  <c r="F60" i="50"/>
  <c r="F39" i="50"/>
  <c r="F85" i="50"/>
  <c r="F37" i="50"/>
  <c r="F87" i="50"/>
  <c r="F88" i="50"/>
  <c r="F38" i="50"/>
  <c r="F40" i="50"/>
  <c r="F84" i="50"/>
  <c r="F57" i="50"/>
  <c r="F58" i="50"/>
  <c r="F86" i="50"/>
  <c r="F59" i="50"/>
  <c r="R114" i="35"/>
  <c r="R121" i="35"/>
  <c r="R138" i="35"/>
  <c r="G224" i="41"/>
  <c r="R140" i="35"/>
  <c r="G192" i="41"/>
  <c r="G165" i="41"/>
  <c r="R113" i="35"/>
  <c r="F133" i="41"/>
  <c r="G168" i="41"/>
  <c r="R133" i="35"/>
  <c r="R105" i="35"/>
  <c r="R107" i="35"/>
  <c r="G225" i="41"/>
  <c r="G220" i="41"/>
  <c r="R137" i="35"/>
  <c r="R93" i="35"/>
  <c r="R91" i="35"/>
  <c r="G223" i="41"/>
  <c r="G189" i="41"/>
  <c r="R115" i="35"/>
  <c r="R125" i="35"/>
  <c r="R122" i="35"/>
  <c r="R116" i="35"/>
  <c r="R129" i="35"/>
  <c r="R139" i="35"/>
  <c r="R128" i="35"/>
  <c r="R109" i="35"/>
  <c r="R130" i="35"/>
  <c r="R117" i="35"/>
  <c r="G169" i="41"/>
  <c r="R87" i="35"/>
  <c r="R127" i="35"/>
  <c r="R110" i="35"/>
  <c r="R100" i="35"/>
  <c r="R134" i="35"/>
  <c r="R103" i="35"/>
  <c r="R104" i="35"/>
  <c r="G219" i="41"/>
  <c r="G170" i="41"/>
  <c r="R126" i="35"/>
  <c r="R123" i="35"/>
  <c r="G132" i="41"/>
  <c r="R88" i="35"/>
  <c r="R95" i="35"/>
  <c r="R112" i="35"/>
  <c r="R124" i="35"/>
  <c r="R99" i="35"/>
  <c r="R102" i="35"/>
  <c r="R132" i="35"/>
  <c r="R90" i="35"/>
  <c r="G131" i="41"/>
  <c r="R97" i="35"/>
  <c r="R108" i="35"/>
  <c r="G193" i="41"/>
  <c r="R106" i="35"/>
  <c r="R131" i="35"/>
  <c r="R119" i="35"/>
  <c r="R92" i="35"/>
  <c r="G191" i="41"/>
  <c r="R98" i="35"/>
  <c r="R89" i="35"/>
  <c r="R101" i="35"/>
  <c r="R96" i="35"/>
  <c r="R118" i="35"/>
  <c r="R120" i="35"/>
  <c r="R94" i="35"/>
  <c r="R136" i="35"/>
  <c r="R111" i="35"/>
  <c r="R135" i="35"/>
  <c r="W176" i="58"/>
  <c r="I59" i="22"/>
  <c r="I58" i="22"/>
  <c r="I142" i="35"/>
  <c r="G133" i="41"/>
  <c r="J59" i="22"/>
  <c r="I60" i="22"/>
  <c r="J58" i="22"/>
  <c r="F61" i="2"/>
  <c r="C5" i="50"/>
  <c r="C7" i="50"/>
  <c r="C5" i="22"/>
  <c r="C7" i="22"/>
  <c r="G84" i="2"/>
  <c r="D61" i="2"/>
  <c r="V196" i="58"/>
  <c r="V208" i="58"/>
  <c r="V200" i="58"/>
  <c r="V212" i="58"/>
  <c r="V198" i="58"/>
  <c r="V192" i="58"/>
  <c r="V207" i="58"/>
  <c r="V201" i="58"/>
  <c r="V195" i="58"/>
  <c r="V194" i="58"/>
  <c r="V204" i="58"/>
  <c r="V205" i="58"/>
  <c r="V211" i="58"/>
  <c r="V203" i="58"/>
  <c r="V193" i="58"/>
  <c r="V199" i="58"/>
  <c r="V197" i="58"/>
  <c r="V206" i="58"/>
  <c r="V209" i="58"/>
  <c r="V210" i="58"/>
  <c r="V213" i="58"/>
  <c r="V202" i="58"/>
  <c r="V186" i="58"/>
  <c r="I118" i="41"/>
  <c r="I112" i="41"/>
  <c r="I104" i="41"/>
  <c r="I123" i="41"/>
  <c r="V191" i="58"/>
  <c r="I101" i="41"/>
  <c r="V188" i="58"/>
  <c r="I102" i="41"/>
  <c r="I116" i="41"/>
  <c r="I121" i="41"/>
  <c r="V187" i="58"/>
  <c r="I97" i="41"/>
  <c r="V185" i="58"/>
  <c r="I95" i="41"/>
  <c r="I105" i="41"/>
  <c r="I96" i="41"/>
  <c r="I103" i="41"/>
  <c r="I122" i="41"/>
  <c r="I109" i="41"/>
  <c r="I106" i="41"/>
  <c r="I98" i="41"/>
  <c r="I113" i="41"/>
  <c r="V189" i="58"/>
  <c r="I99" i="41"/>
  <c r="V190" i="58"/>
  <c r="I100" i="41"/>
  <c r="I115" i="41"/>
  <c r="I110" i="41"/>
  <c r="I119" i="41"/>
  <c r="I117" i="41"/>
  <c r="I120" i="41"/>
  <c r="I108" i="41"/>
  <c r="I107" i="41"/>
  <c r="I111" i="41"/>
  <c r="I114" i="41"/>
  <c r="W191" i="58"/>
  <c r="W190" i="58"/>
  <c r="W185" i="58"/>
  <c r="W188" i="58"/>
  <c r="W186" i="58"/>
  <c r="W189" i="58"/>
  <c r="W187" i="58"/>
  <c r="CC199" i="58"/>
  <c r="CC193" i="58"/>
  <c r="CC189" i="58"/>
  <c r="CC190" i="58"/>
  <c r="CC205" i="58"/>
  <c r="CC203" i="58"/>
  <c r="CC200" i="58"/>
  <c r="CC201" i="58"/>
  <c r="CC202" i="58"/>
  <c r="CC204" i="58"/>
  <c r="CC191" i="58"/>
  <c r="CC192" i="58"/>
  <c r="CC206" i="58"/>
  <c r="AA142" i="58"/>
  <c r="AA155" i="58"/>
  <c r="AA140" i="58"/>
  <c r="AA143" i="58"/>
  <c r="AA166" i="58"/>
  <c r="AA163" i="58"/>
  <c r="AA162" i="58"/>
  <c r="AA159" i="58"/>
  <c r="AA150" i="58"/>
  <c r="AA152" i="58"/>
  <c r="AA146" i="58"/>
  <c r="AA141" i="58"/>
  <c r="AA156" i="58"/>
  <c r="AA164" i="58"/>
  <c r="AA158" i="58"/>
  <c r="AA157" i="58"/>
  <c r="AA147" i="58"/>
  <c r="AA148" i="58"/>
  <c r="AA154" i="58"/>
  <c r="AA160" i="58"/>
  <c r="AA144" i="58"/>
  <c r="AA145" i="58"/>
  <c r="AA151" i="58"/>
  <c r="AA165" i="58"/>
  <c r="AA153" i="58"/>
  <c r="AA161" i="58"/>
  <c r="AA149" i="58"/>
  <c r="AA139" i="58"/>
  <c r="AA138" i="58"/>
  <c r="R203" i="58"/>
  <c r="H94" i="59"/>
  <c r="Q156" i="58"/>
  <c r="Q203" i="58"/>
  <c r="R156" i="58"/>
  <c r="H89" i="59"/>
  <c r="R198" i="58"/>
  <c r="Q151" i="58"/>
  <c r="Q198" i="58"/>
  <c r="R151" i="58"/>
  <c r="R201" i="58"/>
  <c r="H92" i="59"/>
  <c r="Q154" i="58"/>
  <c r="Q201" i="58"/>
  <c r="R154" i="58"/>
  <c r="R213" i="58"/>
  <c r="H104" i="59"/>
  <c r="Q213" i="58"/>
  <c r="Q166" i="58"/>
  <c r="R166" i="58"/>
  <c r="R211" i="58"/>
  <c r="H102" i="59"/>
  <c r="Q211" i="58"/>
  <c r="Q164" i="58"/>
  <c r="R164" i="58"/>
  <c r="R212" i="58"/>
  <c r="H103" i="59"/>
  <c r="Q212" i="58"/>
  <c r="Q165" i="58"/>
  <c r="R165" i="58"/>
  <c r="R199" i="58"/>
  <c r="H90" i="59"/>
  <c r="Q199" i="58"/>
  <c r="Q152" i="58"/>
  <c r="R152" i="58"/>
  <c r="H101" i="59"/>
  <c r="R210" i="58"/>
  <c r="Q163" i="58"/>
  <c r="Q210" i="58"/>
  <c r="R163" i="58"/>
  <c r="H96" i="59"/>
  <c r="R205" i="58"/>
  <c r="Q158" i="58"/>
  <c r="Q205" i="58"/>
  <c r="R158" i="58"/>
  <c r="H91" i="59"/>
  <c r="R200" i="58"/>
  <c r="Q200" i="58"/>
  <c r="Q153" i="58"/>
  <c r="R153" i="58"/>
  <c r="H93" i="59"/>
  <c r="R202" i="58"/>
  <c r="Q155" i="58"/>
  <c r="Q202" i="58"/>
  <c r="R155" i="58"/>
  <c r="H100" i="59"/>
  <c r="R209" i="58"/>
  <c r="Q209" i="58"/>
  <c r="Q162" i="58"/>
  <c r="R162" i="58"/>
  <c r="R204" i="58"/>
  <c r="H95" i="59"/>
  <c r="Q204" i="58"/>
  <c r="Q157" i="58"/>
  <c r="R157" i="58"/>
  <c r="R208" i="58"/>
  <c r="H99" i="59"/>
  <c r="Q161" i="58"/>
  <c r="Q208" i="58"/>
  <c r="R161" i="58"/>
  <c r="R207" i="58"/>
  <c r="H98" i="59"/>
  <c r="Q207" i="58"/>
  <c r="Q160" i="58"/>
  <c r="R160" i="58"/>
  <c r="H97" i="59"/>
  <c r="R206" i="58"/>
  <c r="Q206" i="58"/>
  <c r="Q159" i="58"/>
  <c r="R159" i="58"/>
  <c r="R194" i="58"/>
  <c r="R147" i="58"/>
  <c r="R192" i="58"/>
  <c r="R145" i="58"/>
  <c r="R197" i="58"/>
  <c r="R150" i="58"/>
  <c r="R196" i="58"/>
  <c r="R149" i="58"/>
  <c r="R193" i="58"/>
  <c r="R146" i="58"/>
  <c r="R195" i="58"/>
  <c r="R148" i="58"/>
  <c r="R191" i="58"/>
  <c r="R144" i="58"/>
  <c r="R185" i="58"/>
  <c r="R138" i="58"/>
  <c r="R188" i="58"/>
  <c r="R141" i="58"/>
  <c r="R187" i="58"/>
  <c r="R140" i="58"/>
  <c r="R186" i="58"/>
  <c r="R139" i="58"/>
  <c r="R190" i="58"/>
  <c r="R143" i="58"/>
  <c r="R189" i="58"/>
  <c r="R142" i="58"/>
  <c r="H84" i="59"/>
  <c r="H88" i="59"/>
  <c r="H79" i="59"/>
  <c r="H83" i="59"/>
  <c r="H87" i="59"/>
  <c r="H78" i="59"/>
  <c r="H82" i="59"/>
  <c r="H86" i="59"/>
  <c r="H77" i="59"/>
  <c r="H85" i="59"/>
  <c r="H81" i="59"/>
  <c r="H80" i="59"/>
  <c r="H76" i="59"/>
  <c r="Q145" i="58"/>
  <c r="Q192" i="58"/>
  <c r="Q144" i="58"/>
  <c r="Q191" i="58"/>
  <c r="Q147" i="58"/>
  <c r="Q194" i="58"/>
  <c r="Q146" i="58"/>
  <c r="Q193" i="58"/>
  <c r="Q196" i="58"/>
  <c r="Q149" i="58"/>
  <c r="Q148" i="58"/>
  <c r="Q195" i="58"/>
  <c r="Q143" i="58"/>
  <c r="Q190" i="58"/>
  <c r="Q197" i="58"/>
  <c r="Q150" i="58"/>
  <c r="Q140" i="58"/>
  <c r="Q187" i="58"/>
  <c r="Q139" i="58"/>
  <c r="Q142" i="58"/>
  <c r="Q189" i="58"/>
  <c r="Q188" i="58"/>
  <c r="Q141" i="58"/>
  <c r="J60" i="22"/>
  <c r="Q185" i="58"/>
  <c r="Q138" i="58"/>
  <c r="J7" i="22"/>
  <c r="K7" i="50"/>
  <c r="J96" i="41"/>
  <c r="C123" i="41"/>
  <c r="C121" i="41"/>
  <c r="C108" i="41"/>
  <c r="C117" i="41"/>
  <c r="C110" i="41"/>
  <c r="J122" i="41"/>
  <c r="J101" i="41"/>
  <c r="J102" i="41"/>
  <c r="J116" i="41"/>
  <c r="J100" i="41"/>
  <c r="I89" i="41"/>
  <c r="J106" i="41"/>
  <c r="J103" i="41"/>
  <c r="C97" i="41"/>
  <c r="C111" i="41"/>
  <c r="C114" i="41"/>
  <c r="C101" i="41"/>
  <c r="J113" i="41"/>
  <c r="J109" i="41"/>
  <c r="J114" i="41"/>
  <c r="J119" i="41"/>
  <c r="J104" i="41"/>
  <c r="J95" i="41"/>
  <c r="J99" i="41"/>
  <c r="C120" i="41"/>
  <c r="C115" i="41"/>
  <c r="C95" i="41"/>
  <c r="C99" i="41"/>
  <c r="C109" i="41"/>
  <c r="J112" i="41"/>
  <c r="J110" i="41"/>
  <c r="J117" i="41"/>
  <c r="C96" i="41"/>
  <c r="J98" i="41"/>
  <c r="C112" i="41"/>
  <c r="C103" i="41"/>
  <c r="C116" i="41"/>
  <c r="C113" i="41"/>
  <c r="C102" i="41"/>
  <c r="J111" i="41"/>
  <c r="C98" i="41"/>
  <c r="C104" i="41"/>
  <c r="C118" i="41"/>
  <c r="J121" i="41"/>
  <c r="J97" i="41"/>
  <c r="J107" i="41"/>
  <c r="C119" i="41"/>
  <c r="C100" i="41"/>
  <c r="C107" i="41"/>
  <c r="C105" i="41"/>
  <c r="C106" i="41"/>
  <c r="C122" i="41"/>
  <c r="J108" i="41"/>
  <c r="J115" i="41"/>
  <c r="J105" i="41"/>
  <c r="J123" i="41"/>
  <c r="J120" i="41"/>
  <c r="J118" i="41"/>
  <c r="O70" i="2"/>
  <c r="O108" i="41"/>
  <c r="O111" i="41"/>
  <c r="O115" i="41"/>
  <c r="O119" i="41"/>
  <c r="O118" i="41"/>
  <c r="O121" i="41"/>
  <c r="O109" i="41"/>
  <c r="O120" i="41"/>
  <c r="O112" i="41"/>
  <c r="O110" i="41"/>
  <c r="O113" i="41"/>
  <c r="O123" i="41"/>
  <c r="O122" i="41"/>
  <c r="O117" i="41"/>
  <c r="O114" i="41"/>
  <c r="O116" i="41"/>
  <c r="AG126" i="58"/>
  <c r="AI126" i="58"/>
  <c r="O126" i="58"/>
  <c r="CC207" i="58"/>
  <c r="V222" i="58"/>
  <c r="CC194" i="58"/>
  <c r="V221" i="58"/>
  <c r="AB165" i="58"/>
  <c r="AD165" i="58"/>
  <c r="AD157" i="58"/>
  <c r="AB157" i="58"/>
  <c r="AD159" i="58"/>
  <c r="AB159" i="58"/>
  <c r="AB149" i="58"/>
  <c r="AD149" i="58"/>
  <c r="AD151" i="58"/>
  <c r="AB151" i="58"/>
  <c r="AD154" i="58"/>
  <c r="AB154" i="58"/>
  <c r="AD158" i="58"/>
  <c r="AB158" i="58"/>
  <c r="AD146" i="58"/>
  <c r="AB146" i="58"/>
  <c r="AD162" i="58"/>
  <c r="AB162" i="58"/>
  <c r="AB140" i="58"/>
  <c r="AD140" i="58"/>
  <c r="AB161" i="58"/>
  <c r="AD161" i="58"/>
  <c r="AB145" i="58"/>
  <c r="AD145" i="58"/>
  <c r="AB148" i="58"/>
  <c r="AD148" i="58"/>
  <c r="AB164" i="58"/>
  <c r="AD164" i="58"/>
  <c r="AB152" i="58"/>
  <c r="AD152" i="58"/>
  <c r="AD163" i="58"/>
  <c r="AB163" i="58"/>
  <c r="AB155" i="58"/>
  <c r="AD155" i="58"/>
  <c r="AB160" i="58"/>
  <c r="AD160" i="58"/>
  <c r="AD141" i="58"/>
  <c r="AB141" i="58"/>
  <c r="AD143" i="58"/>
  <c r="AB143" i="58"/>
  <c r="AD153" i="58"/>
  <c r="AB153" i="58"/>
  <c r="AB144" i="58"/>
  <c r="AD144" i="58"/>
  <c r="AD147" i="58"/>
  <c r="AB147" i="58"/>
  <c r="AB156" i="58"/>
  <c r="AD156" i="58"/>
  <c r="AD150" i="58"/>
  <c r="AB150" i="58"/>
  <c r="AD166" i="58"/>
  <c r="AB166" i="58"/>
  <c r="AD142" i="58"/>
  <c r="AB142" i="58"/>
  <c r="AB139" i="58"/>
  <c r="AB138" i="58"/>
  <c r="P70" i="2"/>
  <c r="H52" i="2"/>
  <c r="I52" i="2"/>
  <c r="H72" i="59"/>
  <c r="I76" i="22"/>
  <c r="I78" i="22"/>
  <c r="I80" i="22"/>
  <c r="I82" i="22"/>
  <c r="I84" i="22"/>
  <c r="I86" i="22"/>
  <c r="I75" i="22"/>
  <c r="I77" i="22"/>
  <c r="I79" i="22"/>
  <c r="I81" i="22"/>
  <c r="I83" i="22"/>
  <c r="I85" i="22"/>
  <c r="I87" i="22"/>
  <c r="P126" i="58"/>
  <c r="K59" i="50"/>
  <c r="K38" i="50"/>
  <c r="K37" i="50"/>
  <c r="K39" i="50"/>
  <c r="K85" i="50"/>
  <c r="K58" i="50"/>
  <c r="K40" i="50"/>
  <c r="K87" i="50"/>
  <c r="K88" i="50"/>
  <c r="K60" i="50"/>
  <c r="K86" i="50"/>
  <c r="K84" i="50"/>
  <c r="K57" i="50"/>
  <c r="I132" i="41"/>
  <c r="E107" i="41"/>
  <c r="D98" i="41"/>
  <c r="D121" i="41"/>
  <c r="E113" i="41"/>
  <c r="E98" i="41"/>
  <c r="E105" i="41"/>
  <c r="E103" i="41"/>
  <c r="E108" i="41"/>
  <c r="D100" i="41"/>
  <c r="D111" i="41"/>
  <c r="E97" i="41"/>
  <c r="E115" i="41"/>
  <c r="E122" i="41"/>
  <c r="E102" i="41"/>
  <c r="J89" i="41"/>
  <c r="E100" i="41"/>
  <c r="D122" i="41"/>
  <c r="D103" i="41"/>
  <c r="D99" i="41"/>
  <c r="D101" i="41"/>
  <c r="I131" i="41"/>
  <c r="E99" i="41"/>
  <c r="D110" i="41"/>
  <c r="E120" i="41"/>
  <c r="D105" i="41"/>
  <c r="D115" i="41"/>
  <c r="E114" i="41"/>
  <c r="K89" i="41"/>
  <c r="D109" i="41"/>
  <c r="D119" i="41"/>
  <c r="D106" i="41"/>
  <c r="E119" i="41"/>
  <c r="D116" i="41"/>
  <c r="E117" i="41"/>
  <c r="E101" i="41"/>
  <c r="E116" i="41"/>
  <c r="D120" i="41"/>
  <c r="D113" i="41"/>
  <c r="E106" i="41"/>
  <c r="E110" i="41"/>
  <c r="E109" i="41"/>
  <c r="D97" i="41"/>
  <c r="E121" i="41"/>
  <c r="E104" i="41"/>
  <c r="E112" i="41"/>
  <c r="D102" i="41"/>
  <c r="D95" i="41"/>
  <c r="D107" i="41"/>
  <c r="D112" i="41"/>
  <c r="E118" i="41"/>
  <c r="E111" i="41"/>
  <c r="C89" i="41"/>
  <c r="D118" i="41"/>
  <c r="D108" i="41"/>
  <c r="D123" i="41"/>
  <c r="D96" i="41"/>
  <c r="E123" i="41"/>
  <c r="D104" i="41"/>
  <c r="D117" i="41"/>
  <c r="D114" i="41"/>
  <c r="W221" i="58"/>
  <c r="W222" i="58"/>
  <c r="O89" i="41"/>
  <c r="V223" i="58"/>
  <c r="AA174" i="58"/>
  <c r="AA175" i="58"/>
  <c r="J52" i="2"/>
  <c r="I53" i="2"/>
  <c r="D41" i="2"/>
  <c r="U81" i="43"/>
  <c r="U92" i="22"/>
  <c r="J85" i="22"/>
  <c r="N32" i="22"/>
  <c r="U79" i="22"/>
  <c r="J77" i="22"/>
  <c r="N24" i="22"/>
  <c r="U89" i="22"/>
  <c r="J82" i="22"/>
  <c r="N29" i="22"/>
  <c r="J83" i="22"/>
  <c r="U90" i="22"/>
  <c r="N30" i="22"/>
  <c r="U77" i="22"/>
  <c r="J75" i="22"/>
  <c r="N22" i="22"/>
  <c r="U87" i="22"/>
  <c r="J80" i="22"/>
  <c r="N27" i="22"/>
  <c r="J81" i="22"/>
  <c r="U88" i="22"/>
  <c r="N28" i="22"/>
  <c r="U93" i="22"/>
  <c r="J86" i="22"/>
  <c r="N33" i="22"/>
  <c r="U80" i="22"/>
  <c r="J78" i="22"/>
  <c r="N25" i="22"/>
  <c r="J87" i="22"/>
  <c r="U94" i="22"/>
  <c r="N34" i="22"/>
  <c r="U81" i="22"/>
  <c r="J79" i="22"/>
  <c r="N26" i="22"/>
  <c r="U91" i="22"/>
  <c r="J84" i="22"/>
  <c r="N31" i="22"/>
  <c r="U78" i="22"/>
  <c r="J76" i="22"/>
  <c r="N23" i="22"/>
  <c r="L88" i="50"/>
  <c r="R88" i="50"/>
  <c r="L84" i="50"/>
  <c r="R84" i="50"/>
  <c r="L87" i="50"/>
  <c r="R87" i="50"/>
  <c r="L39" i="50"/>
  <c r="R39" i="50"/>
  <c r="L85" i="50"/>
  <c r="R85" i="50"/>
  <c r="L59" i="50"/>
  <c r="R59" i="50"/>
  <c r="L40" i="50"/>
  <c r="R40" i="50"/>
  <c r="L37" i="50"/>
  <c r="R37" i="50"/>
  <c r="L57" i="50"/>
  <c r="R57" i="50"/>
  <c r="L86" i="50"/>
  <c r="R86" i="50"/>
  <c r="L60" i="50"/>
  <c r="R60" i="50"/>
  <c r="L58" i="50"/>
  <c r="R58" i="50"/>
  <c r="L38" i="50"/>
  <c r="R38" i="50"/>
  <c r="J131" i="41"/>
  <c r="J132" i="41"/>
  <c r="C132" i="41"/>
  <c r="I133" i="41"/>
  <c r="C131" i="41"/>
  <c r="D89" i="41"/>
  <c r="W223" i="58"/>
  <c r="AD174" i="58"/>
  <c r="AB174" i="58"/>
  <c r="AD175" i="58"/>
  <c r="AB175" i="58"/>
  <c r="AA176" i="58"/>
  <c r="H53" i="2"/>
  <c r="J55" i="2"/>
  <c r="I56" i="2"/>
  <c r="G59" i="2"/>
  <c r="F1" i="30"/>
  <c r="D59" i="2"/>
  <c r="F59" i="2"/>
  <c r="H82" i="2"/>
  <c r="F82" i="2"/>
  <c r="G82" i="2"/>
  <c r="F1" i="45"/>
  <c r="I82" i="2"/>
  <c r="D82" i="2"/>
  <c r="J59" i="2"/>
  <c r="E59" i="2"/>
  <c r="E41" i="2"/>
  <c r="E82" i="2"/>
  <c r="H59" i="2"/>
  <c r="V81" i="43"/>
  <c r="O23" i="22"/>
  <c r="O26" i="22"/>
  <c r="O25" i="22"/>
  <c r="O27" i="22"/>
  <c r="O22" i="22"/>
  <c r="O24" i="22"/>
  <c r="O32" i="22"/>
  <c r="O31" i="22"/>
  <c r="O34" i="22"/>
  <c r="O33" i="22"/>
  <c r="O28" i="22"/>
  <c r="O29" i="22"/>
  <c r="U82" i="22"/>
  <c r="I111" i="22"/>
  <c r="U95" i="22"/>
  <c r="I112" i="22"/>
  <c r="O30" i="22"/>
  <c r="S85" i="50"/>
  <c r="S40" i="50"/>
  <c r="S88" i="50"/>
  <c r="S38" i="50"/>
  <c r="S86" i="50"/>
  <c r="S87" i="50"/>
  <c r="S58" i="50"/>
  <c r="S59" i="50"/>
  <c r="S39" i="50"/>
  <c r="S37" i="50"/>
  <c r="S84" i="50"/>
  <c r="S60" i="50"/>
  <c r="S57" i="50"/>
  <c r="AM48" i="43"/>
  <c r="J133" i="41"/>
  <c r="O68" i="2"/>
  <c r="Q71" i="2"/>
  <c r="AL23" i="43"/>
  <c r="AM23" i="43"/>
  <c r="P68" i="2"/>
  <c r="D131" i="41"/>
  <c r="D132" i="41"/>
  <c r="Q68" i="2"/>
  <c r="O65" i="2"/>
  <c r="Q65" i="2"/>
  <c r="E132" i="41"/>
  <c r="O71" i="2"/>
  <c r="AN23" i="43"/>
  <c r="C133" i="41"/>
  <c r="E131" i="41"/>
  <c r="P71" i="2"/>
  <c r="P65" i="2"/>
  <c r="O69" i="2"/>
  <c r="P69" i="2"/>
  <c r="Q70" i="2"/>
  <c r="Q69" i="2"/>
  <c r="AD176" i="58"/>
  <c r="AB176" i="58"/>
  <c r="AM38" i="43"/>
  <c r="AM41" i="43"/>
  <c r="D39" i="2"/>
  <c r="D42" i="2"/>
  <c r="M87" i="43"/>
  <c r="D49" i="2"/>
  <c r="D44" i="2"/>
  <c r="D43" i="2"/>
  <c r="D40" i="2"/>
  <c r="M88" i="43"/>
  <c r="D48" i="2"/>
  <c r="AM104" i="43"/>
  <c r="AM107" i="43"/>
  <c r="M86" i="43"/>
  <c r="D45" i="2"/>
  <c r="D46" i="2"/>
  <c r="H81" i="43"/>
  <c r="W81" i="43"/>
  <c r="AM49" i="43"/>
  <c r="E133" i="41"/>
  <c r="AN24" i="43"/>
  <c r="AM24" i="43"/>
  <c r="D133" i="41"/>
  <c r="AL24" i="43"/>
  <c r="U82" i="43"/>
  <c r="I95" i="2"/>
  <c r="H72" i="2"/>
  <c r="AM108" i="43"/>
  <c r="AM109" i="43"/>
  <c r="AM42" i="43"/>
  <c r="AM43" i="43"/>
  <c r="N59" i="22"/>
  <c r="N58" i="22"/>
  <c r="J112" i="22"/>
  <c r="J111" i="22"/>
  <c r="I113" i="22"/>
  <c r="AL22" i="43"/>
  <c r="AM22" i="43"/>
  <c r="AM47" i="43"/>
  <c r="AN22" i="43"/>
  <c r="N27" i="43"/>
  <c r="V82" i="43"/>
  <c r="U142" i="43"/>
  <c r="O58" i="22"/>
  <c r="N60" i="22"/>
  <c r="O59" i="22"/>
  <c r="J113" i="22"/>
  <c r="W82" i="43"/>
  <c r="V143" i="43"/>
  <c r="O60" i="22"/>
  <c r="I62" i="41"/>
  <c r="I60" i="41"/>
  <c r="I61" i="41"/>
  <c r="M9" i="43"/>
  <c r="AL103" i="43"/>
  <c r="AL104" i="43"/>
  <c r="AL107" i="43"/>
  <c r="W143" i="43"/>
  <c r="M10" i="43"/>
  <c r="H82" i="43"/>
  <c r="I63" i="41"/>
  <c r="I64" i="41"/>
  <c r="AL109" i="43"/>
  <c r="AL108" i="43"/>
  <c r="H142" i="43"/>
  <c r="K112" i="22"/>
  <c r="K111" i="22"/>
  <c r="K113" i="22"/>
  <c r="K85" i="22"/>
  <c r="K77" i="22"/>
  <c r="K75" i="22"/>
  <c r="K80" i="22"/>
  <c r="K78" i="22"/>
  <c r="K79" i="22"/>
  <c r="K76" i="22"/>
  <c r="K82" i="22"/>
  <c r="K83" i="22"/>
  <c r="K86" i="22"/>
  <c r="K84" i="22"/>
  <c r="K81" i="22"/>
  <c r="K87" i="22"/>
  <c r="K23" i="22"/>
  <c r="K29" i="22"/>
  <c r="K24" i="22"/>
  <c r="K31" i="22"/>
  <c r="K33" i="22"/>
  <c r="K25" i="22"/>
  <c r="K28" i="22"/>
  <c r="K22" i="22"/>
  <c r="K34" i="22"/>
  <c r="K30" i="22"/>
  <c r="K26" i="22"/>
  <c r="K32" i="22"/>
  <c r="K27" i="22"/>
  <c r="P30" i="22"/>
  <c r="P33" i="22"/>
  <c r="P24" i="22"/>
  <c r="P34" i="22"/>
  <c r="P22" i="22"/>
  <c r="P29" i="22"/>
  <c r="P27" i="22"/>
  <c r="P28" i="22"/>
  <c r="P23" i="22"/>
  <c r="P32" i="22"/>
  <c r="P26" i="22"/>
  <c r="P25" i="22"/>
  <c r="P31" i="22"/>
  <c r="R519" i="28"/>
  <c r="R518" i="28"/>
  <c r="R520" i="28"/>
  <c r="K326" i="41"/>
  <c r="E326" i="41"/>
  <c r="F23" i="49"/>
  <c r="R53" i="15"/>
  <c r="O54" i="15"/>
  <c r="AO41" i="15"/>
  <c r="B59" i="15"/>
  <c r="AX29" i="15"/>
  <c r="C31" i="15"/>
  <c r="AL58" i="15"/>
  <c r="E23" i="15"/>
  <c r="AM16" i="15"/>
  <c r="N54" i="15"/>
  <c r="AU59" i="15"/>
  <c r="U19" i="15"/>
  <c r="AA48" i="15"/>
  <c r="K21" i="15"/>
  <c r="Y18" i="15"/>
  <c r="AE37" i="15"/>
  <c r="K24" i="15"/>
  <c r="Q29" i="15"/>
  <c r="L24" i="15"/>
  <c r="X28" i="15"/>
  <c r="AS39" i="15"/>
  <c r="BA31" i="15"/>
  <c r="X45" i="15"/>
  <c r="R58" i="15"/>
  <c r="B16" i="15"/>
  <c r="AW20" i="15"/>
  <c r="AL21" i="15"/>
  <c r="AW54" i="15"/>
  <c r="AE28" i="15"/>
  <c r="AC10" i="15"/>
  <c r="AV32" i="15"/>
  <c r="AW22" i="15"/>
  <c r="AQ21" i="15"/>
  <c r="V26" i="15"/>
  <c r="AQ54" i="15"/>
  <c r="T24" i="15"/>
  <c r="AN27" i="15"/>
  <c r="AT18" i="15"/>
  <c r="L43" i="15"/>
  <c r="AC50" i="15"/>
  <c r="C35" i="15"/>
  <c r="AA49" i="15"/>
  <c r="W39" i="15"/>
  <c r="O28" i="15"/>
  <c r="P30" i="15"/>
  <c r="Z18" i="15"/>
  <c r="P28" i="15"/>
  <c r="T49" i="15"/>
  <c r="V41" i="15"/>
  <c r="AO56" i="15"/>
  <c r="AY51" i="15"/>
  <c r="I11" i="15"/>
  <c r="AA36" i="15"/>
  <c r="Y49" i="15"/>
  <c r="AF43" i="15"/>
  <c r="U13" i="15"/>
  <c r="S43" i="15"/>
  <c r="U18" i="15"/>
  <c r="AN46" i="15"/>
  <c r="AH52" i="15"/>
  <c r="AF45" i="15"/>
  <c r="AV57" i="15"/>
  <c r="L48" i="15"/>
  <c r="AP54" i="15"/>
  <c r="I24" i="15"/>
  <c r="C10" i="15"/>
  <c r="AP49" i="15"/>
  <c r="X24" i="15"/>
  <c r="H11" i="15"/>
  <c r="X18" i="15"/>
  <c r="Q25" i="15"/>
  <c r="AP58" i="15"/>
  <c r="W37" i="15"/>
  <c r="AJ55" i="15"/>
  <c r="U42" i="15"/>
  <c r="AR27" i="15"/>
  <c r="AF25" i="15"/>
  <c r="Q40" i="15"/>
  <c r="AU51" i="15"/>
  <c r="K16" i="15"/>
  <c r="L27" i="15"/>
  <c r="AY42" i="15"/>
  <c r="O43" i="15"/>
  <c r="O49" i="15"/>
  <c r="G43" i="15"/>
  <c r="AJ39" i="15"/>
  <c r="AJ13" i="15"/>
  <c r="Q18" i="15"/>
  <c r="G30" i="15"/>
  <c r="T21" i="15"/>
  <c r="C57" i="15"/>
  <c r="AK21" i="15"/>
  <c r="V10" i="15"/>
  <c r="G26" i="15"/>
  <c r="J26" i="15"/>
  <c r="C25" i="15"/>
  <c r="T32" i="15"/>
  <c r="W48" i="15"/>
  <c r="U33" i="15"/>
  <c r="H50" i="15"/>
  <c r="T51" i="15"/>
  <c r="L29" i="15"/>
  <c r="C34" i="15"/>
  <c r="AQ34" i="15"/>
  <c r="AV39" i="15"/>
  <c r="O57" i="15"/>
  <c r="AM24" i="15"/>
  <c r="AL24" i="15"/>
  <c r="AM46" i="15"/>
  <c r="BA17" i="15"/>
  <c r="H29" i="15"/>
  <c r="AN34" i="15"/>
  <c r="F26" i="15"/>
  <c r="I35" i="15"/>
  <c r="J27" i="15"/>
  <c r="L18" i="15"/>
  <c r="AY45" i="15"/>
  <c r="AA22" i="15"/>
  <c r="D19" i="15"/>
  <c r="AA41" i="15"/>
  <c r="M58" i="15"/>
  <c r="H59" i="15"/>
  <c r="AF32" i="15"/>
  <c r="AJ27" i="15"/>
  <c r="AG16" i="15"/>
  <c r="AQ44" i="15"/>
  <c r="I42" i="15"/>
  <c r="Y12" i="15"/>
  <c r="AP52" i="15"/>
  <c r="H17" i="15"/>
  <c r="Q36" i="15"/>
  <c r="AY29" i="15"/>
  <c r="AT37" i="15"/>
  <c r="AV54" i="15"/>
  <c r="AB37" i="15"/>
  <c r="AB39" i="15"/>
  <c r="AY59" i="15"/>
  <c r="AA55" i="15"/>
  <c r="AM32" i="15"/>
  <c r="AC16" i="15"/>
  <c r="AU35" i="15"/>
  <c r="AT17" i="15"/>
  <c r="X14" i="15"/>
  <c r="I53" i="15"/>
  <c r="M39" i="15"/>
  <c r="R17" i="15"/>
  <c r="AK16" i="15"/>
  <c r="L56" i="15"/>
  <c r="AN25" i="15"/>
  <c r="AS21" i="15"/>
  <c r="AD40" i="15"/>
  <c r="AK52" i="15"/>
  <c r="AK37" i="15"/>
  <c r="AK41" i="15"/>
  <c r="AQ16" i="15"/>
  <c r="X29" i="15"/>
  <c r="AT32" i="15"/>
  <c r="AE26" i="15"/>
  <c r="L49" i="15"/>
  <c r="AC44" i="15"/>
  <c r="D33" i="15"/>
  <c r="AZ44" i="15"/>
  <c r="AC18" i="15"/>
  <c r="AO33" i="15"/>
  <c r="AR31" i="15"/>
  <c r="AJ15" i="15"/>
  <c r="R18" i="15"/>
  <c r="L47" i="15"/>
  <c r="AQ27" i="15"/>
  <c r="AH38" i="15"/>
  <c r="AC35" i="15"/>
  <c r="AG11" i="15"/>
  <c r="I41" i="15"/>
  <c r="U21" i="15"/>
  <c r="AT24" i="15"/>
  <c r="AV41" i="15"/>
  <c r="AK44" i="15"/>
  <c r="C46" i="15"/>
  <c r="J39" i="15"/>
  <c r="AO22" i="15"/>
  <c r="AW32" i="15"/>
  <c r="AP36" i="15"/>
  <c r="B24" i="15"/>
  <c r="J56" i="15"/>
  <c r="M29" i="15"/>
  <c r="W33" i="15"/>
  <c r="E20" i="15"/>
  <c r="N36" i="15"/>
  <c r="AU17" i="15"/>
  <c r="AS52" i="15"/>
  <c r="N45" i="15"/>
  <c r="N22" i="15"/>
  <c r="AA21" i="15"/>
  <c r="AF22" i="15"/>
  <c r="U30" i="15"/>
  <c r="AT50" i="15"/>
  <c r="Q45" i="15"/>
  <c r="AM29" i="15"/>
  <c r="B26" i="15"/>
  <c r="Q39" i="15"/>
  <c r="AK28" i="15"/>
  <c r="AU23" i="15"/>
  <c r="K13" i="15"/>
  <c r="Y31" i="15"/>
  <c r="U25" i="15"/>
  <c r="E29" i="15"/>
  <c r="H41" i="15"/>
  <c r="G53" i="15"/>
  <c r="Z42" i="15"/>
  <c r="D17" i="15"/>
  <c r="B51" i="15"/>
  <c r="AO52" i="15"/>
  <c r="AP17" i="15"/>
  <c r="M34" i="15"/>
  <c r="AF51" i="15"/>
  <c r="AO59" i="15"/>
  <c r="AK36" i="15"/>
  <c r="AD49" i="15"/>
  <c r="W52" i="15"/>
  <c r="AN15" i="15"/>
  <c r="AE14" i="15"/>
  <c r="AS22" i="15"/>
  <c r="AN58" i="15"/>
  <c r="I20" i="15"/>
  <c r="AD32" i="15"/>
  <c r="AA28" i="15"/>
  <c r="AV29" i="15"/>
  <c r="AP47" i="15"/>
  <c r="Y55" i="15"/>
  <c r="D55" i="15"/>
  <c r="AM18" i="15"/>
  <c r="G21" i="15"/>
  <c r="AH15" i="15"/>
  <c r="F30" i="15"/>
  <c r="AD45" i="15"/>
  <c r="AG21" i="15"/>
  <c r="O23" i="15"/>
  <c r="R35" i="15"/>
  <c r="AE38" i="15"/>
  <c r="F25" i="15"/>
  <c r="AZ37" i="15"/>
  <c r="E33" i="15"/>
  <c r="Y24" i="15"/>
  <c r="AU57" i="15"/>
  <c r="AH59" i="15"/>
  <c r="AD50" i="15"/>
  <c r="Y20" i="15"/>
  <c r="AO21" i="15"/>
  <c r="Y44" i="15"/>
  <c r="D49" i="15"/>
  <c r="AK45" i="15"/>
  <c r="Q53" i="15"/>
  <c r="P17" i="15"/>
  <c r="AL37" i="15"/>
  <c r="AE50" i="15"/>
  <c r="AN16" i="15"/>
  <c r="AG53" i="15"/>
  <c r="AM19" i="15"/>
  <c r="AR52" i="15"/>
  <c r="AJ20" i="15"/>
  <c r="AX11" i="15"/>
  <c r="X30" i="15"/>
  <c r="P33" i="15"/>
  <c r="B53" i="15"/>
  <c r="C44" i="15"/>
  <c r="AE21" i="15"/>
  <c r="Y54" i="15"/>
  <c r="AJ16" i="15"/>
  <c r="K27" i="15"/>
  <c r="H49" i="15"/>
  <c r="AO28" i="15"/>
  <c r="D11" i="15"/>
  <c r="U17" i="15"/>
  <c r="T15" i="15"/>
  <c r="AE46" i="15"/>
  <c r="L11" i="15"/>
  <c r="P32" i="15"/>
  <c r="S56" i="15"/>
  <c r="AJ54" i="15"/>
  <c r="AW58" i="15"/>
  <c r="AS14" i="15"/>
  <c r="AI54" i="15"/>
  <c r="AG44" i="15"/>
  <c r="Z23" i="15"/>
  <c r="H57" i="15"/>
  <c r="AT55" i="15"/>
  <c r="AF33" i="15"/>
  <c r="AU16" i="15"/>
  <c r="Z16" i="15"/>
  <c r="AM49" i="15"/>
  <c r="AQ20" i="15"/>
  <c r="G22" i="15"/>
  <c r="AJ40" i="15"/>
  <c r="AL27" i="15"/>
  <c r="AC25" i="15"/>
  <c r="M30" i="15"/>
  <c r="P53" i="15"/>
  <c r="V47" i="15"/>
  <c r="R37" i="15"/>
  <c r="AH48" i="15"/>
  <c r="W13" i="15"/>
  <c r="J20" i="15"/>
  <c r="AH22" i="15"/>
  <c r="U10" i="15"/>
  <c r="AR38" i="15"/>
  <c r="AU53" i="15"/>
  <c r="AM38" i="15"/>
  <c r="Q10" i="15"/>
  <c r="U55" i="15"/>
  <c r="AG14" i="15"/>
  <c r="AY27" i="15"/>
  <c r="AQ56" i="15"/>
  <c r="AE42" i="15"/>
  <c r="AQ11" i="15"/>
  <c r="AD13" i="15"/>
  <c r="AI45" i="15"/>
  <c r="AP19" i="15"/>
  <c r="M52" i="15"/>
  <c r="BA29" i="15"/>
  <c r="AX47" i="15"/>
  <c r="AA29" i="15"/>
  <c r="I38" i="15"/>
  <c r="C30" i="15"/>
  <c r="AO55" i="15"/>
  <c r="AI56" i="15"/>
  <c r="U46" i="15"/>
  <c r="AD26" i="15"/>
  <c r="M14" i="15"/>
  <c r="AG25" i="15"/>
  <c r="V44" i="15"/>
  <c r="S11" i="15"/>
  <c r="I54" i="15"/>
  <c r="AI43" i="15"/>
  <c r="Q52" i="15"/>
  <c r="C38" i="15"/>
  <c r="AW45" i="15"/>
  <c r="AT54" i="15"/>
  <c r="AS35" i="15"/>
  <c r="AL23" i="15"/>
  <c r="AI30" i="15"/>
  <c r="Y21" i="15"/>
  <c r="O33" i="15"/>
  <c r="AW23" i="15"/>
  <c r="AY21" i="15"/>
  <c r="Y56" i="15"/>
  <c r="S24" i="15"/>
  <c r="AZ39" i="15"/>
  <c r="AP45" i="15"/>
  <c r="AW26" i="15"/>
  <c r="B56" i="15"/>
  <c r="I49" i="15"/>
  <c r="AU26" i="15"/>
  <c r="AJ51" i="15"/>
  <c r="AE29" i="15"/>
  <c r="AY33" i="15"/>
  <c r="AU43" i="15"/>
  <c r="AR53" i="15"/>
  <c r="AO30" i="15"/>
  <c r="AX32" i="15"/>
  <c r="AP40" i="15"/>
  <c r="AM25" i="15"/>
  <c r="Q11" i="15"/>
  <c r="AY50" i="15"/>
  <c r="E14" i="15"/>
  <c r="AJ36" i="15"/>
  <c r="BA55" i="15"/>
  <c r="AE44" i="15"/>
  <c r="D24" i="15"/>
  <c r="N12" i="15"/>
  <c r="Z57" i="15"/>
  <c r="AV37" i="15"/>
  <c r="AZ55" i="15"/>
  <c r="F17" i="15"/>
  <c r="C19" i="15"/>
  <c r="AA38" i="15"/>
  <c r="AV33" i="15"/>
  <c r="AR45" i="15"/>
  <c r="AK26" i="15"/>
  <c r="Z49" i="15"/>
  <c r="AS54" i="15"/>
  <c r="AU39" i="15"/>
  <c r="AO37" i="15"/>
  <c r="AX57" i="15"/>
  <c r="AB12" i="15"/>
  <c r="M47" i="15"/>
  <c r="AK18" i="15"/>
  <c r="AV26" i="15"/>
  <c r="AN28" i="15"/>
  <c r="AS24" i="15"/>
  <c r="AT49" i="15"/>
  <c r="BA46" i="15"/>
  <c r="U14" i="15"/>
  <c r="AX37" i="15"/>
  <c r="N39" i="15"/>
  <c r="U53" i="15"/>
  <c r="AK59" i="15"/>
  <c r="P13" i="15"/>
  <c r="AS46" i="15"/>
  <c r="AR36" i="15"/>
  <c r="Z39" i="15"/>
  <c r="AH44" i="15"/>
  <c r="AX16" i="15"/>
  <c r="R59" i="15"/>
  <c r="AE59" i="15"/>
  <c r="R15" i="15"/>
  <c r="AW34" i="15"/>
  <c r="Z14" i="15"/>
  <c r="AR26" i="15"/>
  <c r="W34" i="15"/>
  <c r="M27" i="15"/>
  <c r="V40" i="15"/>
  <c r="AP42" i="15"/>
  <c r="L42" i="15"/>
  <c r="AU48" i="15"/>
  <c r="I26" i="15"/>
  <c r="O32" i="15"/>
  <c r="AC48" i="15"/>
  <c r="AO42" i="15"/>
  <c r="AH14" i="15"/>
  <c r="AC19" i="15"/>
  <c r="B49" i="15"/>
  <c r="Y11" i="15"/>
  <c r="M35" i="15"/>
  <c r="AR14" i="15"/>
  <c r="AL43" i="15"/>
  <c r="AI42" i="15"/>
  <c r="AS16" i="15"/>
  <c r="AK11" i="15"/>
  <c r="AD18" i="15"/>
  <c r="AV25" i="15"/>
  <c r="AD39" i="15"/>
  <c r="L35" i="15"/>
  <c r="L46" i="15"/>
  <c r="AS50" i="15"/>
  <c r="AX26" i="15"/>
  <c r="AX30" i="15"/>
  <c r="AT15" i="15"/>
  <c r="V34" i="15"/>
  <c r="AI59" i="15"/>
  <c r="AT33" i="15"/>
  <c r="U29" i="15"/>
  <c r="AR28" i="15"/>
  <c r="AD34" i="15"/>
  <c r="AQ24" i="15"/>
  <c r="AK54" i="15"/>
  <c r="AS27" i="15"/>
  <c r="AN19" i="15"/>
  <c r="AN53" i="15"/>
  <c r="K18" i="15"/>
  <c r="AM31" i="15"/>
  <c r="G59" i="15"/>
  <c r="AP24" i="15"/>
  <c r="B30" i="15"/>
  <c r="AX49" i="15"/>
  <c r="M49" i="15"/>
  <c r="AY23" i="15"/>
  <c r="AA15" i="15"/>
  <c r="AQ15" i="15"/>
  <c r="E12" i="15"/>
  <c r="X49" i="15"/>
  <c r="Z33" i="15"/>
  <c r="D18" i="15"/>
  <c r="U44" i="15"/>
  <c r="L26" i="15"/>
  <c r="BA19" i="15"/>
  <c r="BA47" i="15"/>
  <c r="G20" i="15"/>
  <c r="AU20" i="15"/>
  <c r="AY47" i="15"/>
  <c r="AB17" i="15"/>
  <c r="AR55" i="15"/>
  <c r="AZ32" i="15"/>
  <c r="D42" i="15"/>
  <c r="BA32" i="15"/>
  <c r="T34" i="15"/>
  <c r="J47" i="15"/>
  <c r="P40" i="15"/>
  <c r="AC59" i="15"/>
  <c r="V54" i="15"/>
  <c r="Q56" i="15"/>
  <c r="AY56" i="15"/>
  <c r="Z28" i="15"/>
  <c r="B41" i="15"/>
  <c r="L44" i="15"/>
  <c r="AN55" i="15"/>
  <c r="O15" i="15"/>
  <c r="D48" i="15"/>
  <c r="P47" i="15"/>
  <c r="Z37" i="15"/>
  <c r="H30" i="15"/>
  <c r="AE16" i="15"/>
  <c r="H26" i="15"/>
  <c r="AQ32" i="15"/>
  <c r="AV12" i="15"/>
  <c r="AI53" i="15"/>
  <c r="P37" i="15"/>
  <c r="I36" i="15"/>
  <c r="AO12" i="15"/>
  <c r="L57" i="15"/>
  <c r="AQ37" i="15"/>
  <c r="S54" i="15"/>
  <c r="AB36" i="15"/>
  <c r="AR12" i="15"/>
  <c r="AG50" i="15"/>
  <c r="AE10" i="15"/>
  <c r="M48" i="15"/>
  <c r="AT36" i="15"/>
  <c r="AM30" i="15"/>
  <c r="AD31" i="15"/>
  <c r="U58" i="15"/>
  <c r="AV36" i="15"/>
  <c r="AS26" i="15"/>
  <c r="AN17" i="15"/>
  <c r="D40" i="15"/>
  <c r="AK39" i="15"/>
  <c r="U49" i="15"/>
  <c r="AE23" i="15"/>
  <c r="BA42" i="15"/>
  <c r="O17" i="15"/>
  <c r="P59" i="15"/>
  <c r="AY24" i="15"/>
  <c r="H38" i="15"/>
  <c r="AN38" i="15"/>
  <c r="AO27" i="15"/>
  <c r="AC51" i="15"/>
  <c r="W18" i="15"/>
  <c r="G42" i="15"/>
  <c r="AC47" i="15"/>
  <c r="E24" i="15"/>
  <c r="AZ59" i="15"/>
  <c r="L16" i="15"/>
  <c r="J29" i="15"/>
  <c r="N44" i="15"/>
  <c r="AS51" i="15"/>
  <c r="AZ51" i="15"/>
  <c r="T53" i="15"/>
  <c r="J55" i="15"/>
  <c r="E11" i="15"/>
  <c r="AW59" i="15"/>
  <c r="AR46" i="15"/>
  <c r="R47" i="15"/>
  <c r="V32" i="15"/>
  <c r="AU13" i="15"/>
  <c r="AR22" i="15"/>
  <c r="AR17" i="15"/>
  <c r="N16" i="15"/>
  <c r="H24" i="15"/>
  <c r="AN45" i="15"/>
  <c r="AY15" i="15"/>
  <c r="AP43" i="15"/>
  <c r="AM47" i="15"/>
  <c r="F34" i="15"/>
  <c r="J38" i="15"/>
  <c r="W22" i="15"/>
  <c r="Y13" i="15"/>
  <c r="N48" i="15"/>
  <c r="AB50" i="15"/>
  <c r="AB31" i="15"/>
  <c r="G11" i="15"/>
  <c r="G16" i="15"/>
  <c r="AD11" i="15"/>
  <c r="V53" i="15"/>
  <c r="G17" i="15"/>
  <c r="AA35" i="15"/>
  <c r="AU44" i="15"/>
  <c r="X42" i="15"/>
  <c r="AF58" i="15"/>
  <c r="AJ56" i="15"/>
  <c r="D21" i="15"/>
  <c r="AR56" i="15"/>
  <c r="O11" i="15"/>
  <c r="AZ18" i="15"/>
  <c r="F18" i="15"/>
  <c r="AM27" i="15"/>
  <c r="B32" i="15"/>
  <c r="Y46" i="15"/>
  <c r="K14" i="15"/>
  <c r="AM58" i="15"/>
  <c r="AN52" i="15"/>
  <c r="D26" i="15"/>
  <c r="AH21" i="15"/>
  <c r="H21" i="15"/>
  <c r="AX35" i="15"/>
  <c r="I59" i="15"/>
  <c r="P55" i="15"/>
  <c r="M18" i="15"/>
  <c r="AN24" i="15"/>
  <c r="AU49" i="15"/>
  <c r="H52" i="15"/>
  <c r="B14" i="15"/>
  <c r="AH16" i="15"/>
  <c r="AH20" i="15"/>
  <c r="AZ23" i="15"/>
  <c r="AH58" i="15"/>
  <c r="U16" i="15"/>
  <c r="AS41" i="15"/>
  <c r="AN30" i="15"/>
  <c r="Y38" i="15"/>
  <c r="AJ47" i="15"/>
  <c r="U36" i="15"/>
  <c r="G56" i="15"/>
  <c r="AU47" i="15"/>
  <c r="AF39" i="15"/>
  <c r="J57" i="15"/>
  <c r="X12" i="15"/>
  <c r="AI26" i="15"/>
  <c r="AQ51" i="15"/>
  <c r="AI27" i="15"/>
  <c r="AP48" i="15"/>
  <c r="AK51" i="15"/>
  <c r="U47" i="15"/>
  <c r="J28" i="15"/>
  <c r="N30" i="15"/>
  <c r="B36" i="15"/>
  <c r="AG59" i="15"/>
  <c r="F22" i="15"/>
  <c r="F19" i="15"/>
  <c r="AH46" i="15"/>
  <c r="M57" i="15"/>
  <c r="D31" i="15"/>
  <c r="AW56" i="15"/>
  <c r="I25" i="15"/>
  <c r="X48" i="15"/>
  <c r="V30" i="15"/>
  <c r="AS58" i="15"/>
  <c r="X33" i="15"/>
  <c r="V56" i="15"/>
  <c r="W43" i="15"/>
  <c r="J33" i="15"/>
  <c r="C49" i="15"/>
  <c r="AD37" i="15"/>
  <c r="B39" i="15"/>
  <c r="M42" i="15"/>
  <c r="N51" i="15"/>
  <c r="AR10" i="15"/>
  <c r="AP44" i="15"/>
  <c r="W57" i="15"/>
  <c r="AI32" i="15"/>
  <c r="AG18" i="15"/>
  <c r="F10" i="15"/>
  <c r="AG51" i="15"/>
  <c r="Q55" i="15"/>
  <c r="B34" i="15"/>
  <c r="C56" i="15"/>
  <c r="V52" i="15"/>
  <c r="AX10" i="15"/>
  <c r="AH43" i="15"/>
  <c r="G58" i="15"/>
  <c r="Z19" i="15"/>
  <c r="M25" i="15"/>
  <c r="AV44" i="15"/>
  <c r="J51" i="15"/>
  <c r="AH11" i="15"/>
  <c r="F29" i="15"/>
  <c r="H36" i="15"/>
  <c r="Q22" i="15"/>
  <c r="H27" i="15"/>
  <c r="T43" i="15"/>
  <c r="AX14" i="15"/>
  <c r="AF57" i="15"/>
  <c r="AL41" i="15"/>
  <c r="AT20" i="15"/>
  <c r="I12" i="15"/>
  <c r="AQ46" i="15"/>
  <c r="AY28" i="15"/>
  <c r="D56" i="15"/>
  <c r="AG45" i="15"/>
  <c r="Y33" i="15"/>
  <c r="AW29" i="15"/>
  <c r="R20" i="15"/>
  <c r="AQ29" i="15"/>
  <c r="O38" i="15"/>
  <c r="AG35" i="15"/>
  <c r="AZ38" i="15"/>
  <c r="BA34" i="15"/>
  <c r="W28" i="15"/>
  <c r="AI34" i="15"/>
  <c r="AF13" i="15"/>
  <c r="S52" i="15"/>
  <c r="AF40" i="15"/>
  <c r="AZ58" i="15"/>
  <c r="AZ52" i="15"/>
  <c r="AP20" i="15"/>
  <c r="L50" i="15"/>
  <c r="R38" i="15"/>
  <c r="AT56" i="15"/>
  <c r="AB29" i="15"/>
  <c r="AO24" i="15"/>
  <c r="B20" i="15"/>
  <c r="AF15" i="15"/>
  <c r="AM48" i="15"/>
  <c r="P18" i="15"/>
  <c r="I45" i="15"/>
  <c r="AU40" i="15"/>
  <c r="P31" i="15"/>
  <c r="AQ17" i="15"/>
  <c r="W50" i="15"/>
  <c r="T27" i="15"/>
  <c r="AG40" i="15"/>
  <c r="AJ23" i="15"/>
  <c r="S39" i="15"/>
  <c r="C39" i="15"/>
  <c r="B46" i="15"/>
  <c r="AH35" i="15"/>
  <c r="N50" i="15"/>
  <c r="AN31" i="15"/>
  <c r="R45" i="15"/>
  <c r="S21" i="15"/>
  <c r="J41" i="15"/>
  <c r="B22" i="15"/>
  <c r="BA43" i="15"/>
  <c r="AI47" i="15"/>
  <c r="X11" i="15"/>
  <c r="T42" i="15"/>
  <c r="AH24" i="15"/>
  <c r="AM11" i="15"/>
  <c r="H25" i="15"/>
  <c r="AO14" i="15"/>
  <c r="AP29" i="15"/>
  <c r="AN13" i="15"/>
  <c r="AF55" i="15"/>
  <c r="L55" i="15"/>
  <c r="AU28" i="15"/>
  <c r="Q54" i="15"/>
  <c r="AW14" i="15"/>
  <c r="C13" i="15"/>
  <c r="E10" i="15"/>
  <c r="AO51" i="15"/>
  <c r="AZ22" i="15"/>
  <c r="K12" i="15"/>
  <c r="AE53" i="15"/>
  <c r="M20" i="15"/>
  <c r="AE56" i="15"/>
  <c r="AA14" i="15"/>
  <c r="AZ45" i="15"/>
  <c r="V11" i="15"/>
  <c r="Q59" i="15"/>
  <c r="AC22" i="15"/>
  <c r="F27" i="15"/>
  <c r="Q24" i="15"/>
  <c r="T18" i="15"/>
  <c r="AB40" i="15"/>
  <c r="X31" i="15"/>
  <c r="AV55" i="15"/>
  <c r="AU37" i="15"/>
  <c r="AJ25" i="15"/>
  <c r="F13" i="15"/>
  <c r="AN41" i="15"/>
  <c r="AF36" i="15"/>
  <c r="V18" i="15"/>
  <c r="U35" i="15"/>
  <c r="K20" i="15"/>
  <c r="AY10" i="15"/>
  <c r="V49" i="15"/>
  <c r="AD51" i="15"/>
  <c r="P12" i="15"/>
  <c r="AC42" i="15"/>
  <c r="S20" i="15"/>
  <c r="H54" i="15"/>
  <c r="AB14" i="15"/>
  <c r="AH10" i="15"/>
  <c r="AC27" i="15"/>
  <c r="V55" i="15"/>
  <c r="H55" i="15"/>
  <c r="AB22" i="15"/>
  <c r="H326" i="41"/>
  <c r="O58" i="15"/>
  <c r="G18" i="15"/>
  <c r="J19" i="15"/>
  <c r="AS20" i="15"/>
  <c r="AZ54" i="15"/>
  <c r="U38" i="15"/>
  <c r="AV24" i="15"/>
  <c r="M41" i="15"/>
  <c r="G41" i="15"/>
  <c r="AU31" i="15"/>
  <c r="I47" i="15"/>
  <c r="AS44" i="15"/>
  <c r="I13" i="15"/>
  <c r="Q30" i="15"/>
  <c r="AC11" i="15"/>
  <c r="AA13" i="15"/>
  <c r="D16" i="15"/>
  <c r="F31" i="15"/>
  <c r="J16" i="15"/>
  <c r="AF18" i="15"/>
  <c r="AP13" i="15"/>
  <c r="BA27" i="15"/>
  <c r="C27" i="15"/>
  <c r="AV56" i="15"/>
  <c r="AB19" i="15"/>
  <c r="S49" i="15"/>
  <c r="AJ19" i="15"/>
  <c r="N10" i="15"/>
  <c r="AV22" i="15"/>
  <c r="G39" i="15"/>
  <c r="AE39" i="15"/>
  <c r="AE27" i="15"/>
  <c r="C40" i="15"/>
  <c r="AL42" i="15"/>
  <c r="BA38" i="15"/>
  <c r="Z40" i="15"/>
  <c r="AL40" i="15"/>
  <c r="AL32" i="15"/>
  <c r="AJ43" i="15"/>
  <c r="AG33" i="15"/>
  <c r="AW42" i="15"/>
  <c r="AD38" i="15"/>
  <c r="AS25" i="15"/>
  <c r="AM59" i="15"/>
  <c r="T54" i="15"/>
  <c r="V28" i="15"/>
  <c r="N11" i="15"/>
  <c r="AB41" i="15"/>
  <c r="D45" i="15"/>
  <c r="AT21" i="15"/>
  <c r="AC54" i="15"/>
  <c r="AF20" i="15"/>
  <c r="BA48" i="15"/>
  <c r="T20" i="15"/>
  <c r="S28" i="15"/>
  <c r="AR20" i="15"/>
  <c r="C48" i="15"/>
  <c r="D22" i="15"/>
  <c r="AG37" i="15"/>
  <c r="AI17" i="15"/>
  <c r="W51" i="15"/>
  <c r="AP23" i="15"/>
  <c r="AC45" i="15"/>
  <c r="AB35" i="15"/>
  <c r="R29" i="15"/>
  <c r="J58" i="15"/>
  <c r="V48" i="15"/>
  <c r="J50" i="15"/>
  <c r="S42" i="15"/>
  <c r="W58" i="15"/>
  <c r="AD14" i="15"/>
  <c r="AU46" i="15"/>
  <c r="AQ14" i="15"/>
  <c r="AC57" i="15"/>
  <c r="AF10" i="15"/>
  <c r="AJ41" i="15"/>
  <c r="R26" i="15"/>
  <c r="F15" i="15"/>
  <c r="I17" i="15"/>
  <c r="Z27" i="15"/>
  <c r="M45" i="15"/>
  <c r="B55" i="15"/>
  <c r="AZ21" i="15"/>
  <c r="R54" i="15"/>
  <c r="AH57" i="15"/>
  <c r="S59" i="15"/>
  <c r="F12" i="15"/>
  <c r="AK43" i="15"/>
  <c r="R33" i="15"/>
  <c r="T39" i="15"/>
  <c r="O59" i="15"/>
  <c r="AY19" i="15"/>
  <c r="AG36" i="15"/>
  <c r="AN43" i="15"/>
  <c r="G36" i="15"/>
  <c r="AG52" i="15"/>
  <c r="AQ28" i="15"/>
  <c r="O31" i="15"/>
  <c r="AC12" i="15"/>
  <c r="AN51" i="15"/>
  <c r="AK15" i="15"/>
  <c r="AC20" i="15"/>
  <c r="H19" i="15"/>
  <c r="L39" i="15"/>
  <c r="G33" i="15"/>
  <c r="AY55" i="15"/>
  <c r="AL28" i="15"/>
  <c r="AK35" i="15"/>
  <c r="I39" i="15"/>
  <c r="AR44" i="15"/>
  <c r="D23" i="15"/>
  <c r="O10" i="15"/>
  <c r="S14" i="15"/>
  <c r="AG10" i="15"/>
  <c r="AA50" i="15"/>
  <c r="C54" i="15"/>
  <c r="Y51" i="15"/>
  <c r="G19" i="15"/>
  <c r="X25" i="15"/>
  <c r="P58" i="15"/>
  <c r="O34" i="15"/>
  <c r="AF14" i="15"/>
  <c r="F33" i="15"/>
  <c r="O16" i="15"/>
  <c r="I55" i="15"/>
  <c r="D47" i="15"/>
  <c r="AD35" i="15"/>
  <c r="AC38" i="15"/>
  <c r="L36" i="15"/>
  <c r="AT16" i="15"/>
  <c r="T22" i="15"/>
  <c r="AO39" i="15"/>
  <c r="AQ18" i="15"/>
  <c r="T26" i="15"/>
  <c r="D13" i="15"/>
  <c r="AL19" i="15"/>
  <c r="P57" i="15"/>
  <c r="G37" i="15"/>
  <c r="AM41" i="15"/>
  <c r="Z45" i="15"/>
  <c r="AA11" i="15"/>
  <c r="AK34" i="15"/>
  <c r="I31" i="15"/>
  <c r="M33" i="15"/>
  <c r="N14" i="15"/>
  <c r="AD22" i="15"/>
  <c r="B33" i="15"/>
  <c r="AN44" i="15"/>
  <c r="O56" i="15"/>
  <c r="P43" i="15"/>
  <c r="AX52" i="15"/>
  <c r="J14" i="15"/>
  <c r="N26" i="15"/>
  <c r="AW31" i="15"/>
  <c r="S45" i="15"/>
  <c r="AS19" i="15"/>
  <c r="AW50" i="15"/>
  <c r="Y47" i="15"/>
  <c r="T30" i="15"/>
  <c r="AU42" i="15"/>
  <c r="B13" i="15"/>
  <c r="N53" i="15"/>
  <c r="G15" i="15"/>
  <c r="AI21" i="15"/>
  <c r="AD52" i="15"/>
  <c r="BA21" i="15"/>
  <c r="AK30" i="15"/>
  <c r="M11" i="15"/>
  <c r="AE41" i="15"/>
  <c r="Z22" i="15"/>
  <c r="AV58" i="15"/>
  <c r="AO50" i="15"/>
  <c r="G23" i="15"/>
  <c r="AJ48" i="15"/>
  <c r="AF28" i="15"/>
  <c r="AO11" i="15"/>
  <c r="T36" i="15"/>
  <c r="H15" i="15"/>
  <c r="AY49" i="15"/>
  <c r="C53" i="15"/>
  <c r="O26" i="15"/>
  <c r="AO48" i="15"/>
  <c r="AV27" i="15"/>
  <c r="AH19" i="15"/>
  <c r="AP32" i="15"/>
  <c r="D25" i="15"/>
  <c r="AG15" i="15"/>
  <c r="AS31" i="15"/>
  <c r="AH23" i="15"/>
  <c r="AN11" i="15"/>
  <c r="AH55" i="15"/>
  <c r="AC37" i="15"/>
  <c r="AC31" i="15"/>
  <c r="G28" i="15"/>
  <c r="Q17" i="15"/>
  <c r="B37" i="15"/>
  <c r="W44" i="15"/>
  <c r="AL39" i="15"/>
  <c r="AZ29" i="15"/>
  <c r="AN48" i="15"/>
  <c r="Y37" i="15"/>
  <c r="N15" i="15"/>
  <c r="AN40" i="15"/>
  <c r="AV48" i="15"/>
  <c r="E28" i="15"/>
  <c r="AL47" i="15"/>
  <c r="AT53" i="15"/>
  <c r="U31" i="15"/>
  <c r="AB32" i="15"/>
  <c r="S32" i="15"/>
  <c r="D58" i="15"/>
  <c r="AR42" i="15"/>
  <c r="AO19" i="15"/>
  <c r="S36" i="15"/>
  <c r="P19" i="15"/>
  <c r="AX53" i="15"/>
  <c r="AC33" i="15"/>
  <c r="I28" i="15"/>
  <c r="T45" i="15"/>
  <c r="AM44" i="15"/>
  <c r="AL49" i="15"/>
  <c r="O52" i="15"/>
  <c r="Z12" i="15"/>
  <c r="O44" i="15"/>
  <c r="AV19" i="15"/>
  <c r="AO49" i="15"/>
  <c r="G12" i="15"/>
  <c r="AR15" i="15"/>
  <c r="X38" i="15"/>
  <c r="AM54" i="15"/>
  <c r="AO47" i="15"/>
  <c r="K26" i="15"/>
  <c r="O18" i="15"/>
  <c r="AP14" i="15"/>
  <c r="AH31" i="15"/>
  <c r="Y26" i="15"/>
  <c r="T50" i="15"/>
  <c r="AL33" i="15"/>
  <c r="W14" i="15"/>
  <c r="AQ22" i="15"/>
  <c r="K22" i="15"/>
  <c r="C21" i="15"/>
  <c r="D35" i="15"/>
  <c r="O22" i="15"/>
  <c r="AB56" i="15"/>
  <c r="C15" i="15"/>
  <c r="BA51" i="15"/>
  <c r="S18" i="15"/>
  <c r="AJ18" i="15"/>
  <c r="J31" i="15"/>
  <c r="N20" i="15"/>
  <c r="X41" i="15"/>
  <c r="BA26" i="15"/>
  <c r="AE58" i="15"/>
  <c r="U51" i="15"/>
  <c r="AP28" i="15"/>
  <c r="S16" i="15"/>
  <c r="AY54" i="15"/>
  <c r="W26" i="15"/>
  <c r="N28" i="15"/>
  <c r="AF31" i="15"/>
  <c r="AI41" i="15"/>
  <c r="N13" i="15"/>
  <c r="AA52" i="15"/>
  <c r="H18" i="15"/>
  <c r="AV15" i="15"/>
  <c r="AV16" i="15"/>
  <c r="U20" i="15"/>
  <c r="T57" i="15"/>
  <c r="AP34" i="15"/>
  <c r="L58" i="15"/>
  <c r="R25" i="15"/>
  <c r="S27" i="15"/>
  <c r="AF52" i="15"/>
  <c r="AI35" i="15"/>
  <c r="AH27" i="15"/>
  <c r="N23" i="15"/>
  <c r="AM43" i="15"/>
  <c r="B17" i="15"/>
  <c r="D14" i="15"/>
  <c r="AV49" i="15"/>
  <c r="AI23" i="15"/>
  <c r="AV14" i="15"/>
  <c r="AV52" i="15"/>
  <c r="AM17" i="15"/>
  <c r="C52" i="15"/>
  <c r="AB25" i="15"/>
  <c r="AG49" i="15"/>
  <c r="AS28" i="15"/>
  <c r="W35" i="15"/>
  <c r="AV46" i="15"/>
  <c r="N40" i="15"/>
  <c r="AX34" i="15"/>
  <c r="AR32" i="15"/>
  <c r="AE36" i="15"/>
  <c r="Y53" i="15"/>
  <c r="B12" i="15"/>
  <c r="AZ13" i="15"/>
  <c r="AC46" i="15"/>
  <c r="AB27" i="15"/>
  <c r="AB24" i="15"/>
  <c r="AC53" i="15"/>
  <c r="G40" i="15"/>
  <c r="I14" i="15"/>
  <c r="AG23" i="15"/>
  <c r="AA45" i="15"/>
  <c r="AB44" i="15"/>
  <c r="V33" i="15"/>
  <c r="M50" i="15"/>
  <c r="AK56" i="15"/>
  <c r="G57" i="15"/>
  <c r="F16" i="15"/>
  <c r="AL13" i="15"/>
  <c r="AF53" i="15"/>
  <c r="W30" i="15"/>
  <c r="AC39" i="15"/>
  <c r="AN54" i="15"/>
  <c r="T38" i="15"/>
  <c r="K25" i="15"/>
  <c r="AW53" i="15"/>
  <c r="AA30" i="15"/>
  <c r="AP16" i="15"/>
  <c r="X39" i="15"/>
  <c r="AK38" i="15"/>
  <c r="AI51" i="15"/>
  <c r="AZ49" i="15"/>
  <c r="AD15" i="15"/>
  <c r="X51" i="15"/>
  <c r="J36" i="15"/>
  <c r="E16" i="15"/>
  <c r="BA10" i="15"/>
  <c r="Y23" i="15"/>
  <c r="AM13" i="15"/>
  <c r="O20" i="15"/>
  <c r="AR30" i="15"/>
  <c r="AJ38" i="15"/>
  <c r="AD10" i="15"/>
  <c r="AD43" i="15"/>
  <c r="AZ53" i="15"/>
  <c r="AT52" i="15"/>
  <c r="R49" i="15"/>
  <c r="C33" i="15"/>
  <c r="AO29" i="15"/>
  <c r="Z24" i="15"/>
  <c r="G27" i="15"/>
  <c r="AJ42" i="15"/>
  <c r="AA44" i="15"/>
  <c r="AW47" i="15"/>
  <c r="X46" i="15"/>
  <c r="C29" i="15"/>
  <c r="L30" i="15"/>
  <c r="AS53" i="15"/>
  <c r="U56" i="15"/>
  <c r="M59" i="15"/>
  <c r="AG28" i="15"/>
  <c r="AK29" i="15"/>
  <c r="AL20" i="15"/>
  <c r="T25" i="15"/>
  <c r="AP38" i="15"/>
  <c r="V21" i="15"/>
  <c r="AQ42" i="15"/>
  <c r="N46" i="15"/>
  <c r="B35" i="15"/>
  <c r="AR49" i="15"/>
  <c r="N55" i="15"/>
  <c r="O39" i="15"/>
  <c r="AS43" i="15"/>
  <c r="AR35" i="15"/>
  <c r="S57" i="15"/>
  <c r="T31" i="15"/>
  <c r="Q49" i="15"/>
  <c r="U22" i="15"/>
  <c r="S19" i="15"/>
  <c r="AP12" i="15"/>
  <c r="N31" i="15"/>
  <c r="AD28" i="15"/>
  <c r="S29" i="15"/>
  <c r="V45" i="15"/>
  <c r="AL59" i="15"/>
  <c r="AL38" i="15"/>
  <c r="AO38" i="15"/>
  <c r="AS12" i="15"/>
  <c r="AY58" i="15"/>
  <c r="M43" i="15"/>
  <c r="AH13" i="15"/>
  <c r="J13" i="15"/>
  <c r="BA15" i="15"/>
  <c r="AE15" i="15"/>
  <c r="AA51" i="15"/>
  <c r="H44" i="15"/>
  <c r="AZ36" i="15"/>
  <c r="AL15" i="15"/>
  <c r="AO17" i="15"/>
  <c r="AL55" i="15"/>
  <c r="H31" i="15"/>
  <c r="AC34" i="15"/>
  <c r="G34" i="15"/>
  <c r="Z43" i="15"/>
  <c r="AX54" i="15"/>
  <c r="X47" i="15"/>
  <c r="AZ19" i="15"/>
  <c r="AS56" i="15"/>
  <c r="AL35" i="15"/>
  <c r="X59" i="15"/>
  <c r="B42" i="15"/>
  <c r="Q46" i="15"/>
  <c r="U12" i="15"/>
  <c r="B28" i="15"/>
  <c r="AO16" i="15"/>
  <c r="AD53" i="15"/>
  <c r="G44" i="15"/>
  <c r="AO31" i="15"/>
  <c r="AV59" i="15"/>
  <c r="T52" i="15"/>
  <c r="L19" i="15"/>
  <c r="AJ28" i="15"/>
  <c r="AO35" i="15"/>
  <c r="AD47" i="15"/>
  <c r="U45" i="15"/>
  <c r="V29" i="15"/>
  <c r="C55" i="15"/>
  <c r="AJ50" i="15"/>
  <c r="M44" i="15"/>
  <c r="AR40" i="15"/>
  <c r="Q20" i="15"/>
  <c r="I56" i="15"/>
  <c r="L13" i="15"/>
  <c r="AA26" i="15"/>
  <c r="AD17" i="15"/>
  <c r="T46" i="15"/>
  <c r="AH36" i="15"/>
  <c r="AE31" i="15"/>
  <c r="Z46" i="15"/>
  <c r="AM20" i="15"/>
  <c r="X54" i="15"/>
  <c r="AX59" i="15"/>
  <c r="AW33" i="15"/>
  <c r="AH39" i="15"/>
  <c r="AL17" i="15"/>
  <c r="AG26" i="15"/>
  <c r="AI10" i="15"/>
  <c r="AN12" i="15"/>
  <c r="AU41" i="15"/>
  <c r="AH53" i="15"/>
  <c r="AX44" i="15"/>
  <c r="G38" i="15"/>
  <c r="AT41" i="15"/>
  <c r="AW35" i="15"/>
  <c r="B31" i="15"/>
  <c r="AQ41" i="15"/>
  <c r="AS48" i="15"/>
  <c r="AB58" i="15"/>
  <c r="J25" i="15"/>
  <c r="AG55" i="15"/>
  <c r="AN33" i="15"/>
  <c r="G49" i="15"/>
  <c r="AY46" i="15"/>
  <c r="AS33" i="15"/>
  <c r="AX25" i="15"/>
  <c r="I32" i="15"/>
  <c r="Z25" i="15"/>
  <c r="AJ21" i="15"/>
  <c r="AA19" i="15"/>
  <c r="AI31" i="15"/>
  <c r="AD44" i="15"/>
  <c r="AZ43" i="15"/>
  <c r="AL51" i="15"/>
  <c r="AU50" i="15"/>
  <c r="AP55" i="15"/>
  <c r="AG46" i="15"/>
  <c r="AX23" i="15"/>
  <c r="N41" i="15"/>
  <c r="U50" i="15"/>
  <c r="P38" i="15"/>
  <c r="AA37" i="15"/>
  <c r="AO13" i="15"/>
  <c r="V22" i="15"/>
  <c r="S17" i="15"/>
  <c r="W54" i="15"/>
  <c r="AY48" i="15"/>
  <c r="Z31" i="15"/>
  <c r="AC28" i="15"/>
  <c r="AA10" i="15"/>
  <c r="N47" i="15"/>
  <c r="O40" i="15"/>
  <c r="AM33" i="15"/>
  <c r="AR54" i="15"/>
  <c r="G14" i="15"/>
  <c r="O51" i="15"/>
  <c r="I58" i="15"/>
  <c r="J30" i="15"/>
  <c r="V25" i="15"/>
  <c r="AH29" i="15"/>
  <c r="E34" i="15"/>
  <c r="N21" i="15"/>
  <c r="Q21" i="15"/>
  <c r="Z15" i="15"/>
  <c r="BA18" i="15"/>
  <c r="U57" i="15"/>
  <c r="AE24" i="15"/>
  <c r="AI38" i="15"/>
  <c r="P50" i="15"/>
  <c r="L59" i="15"/>
  <c r="AZ48" i="15"/>
  <c r="AW48" i="15"/>
  <c r="R24" i="15"/>
  <c r="AH17" i="15"/>
  <c r="R28" i="15"/>
  <c r="P22" i="15"/>
  <c r="AF48" i="15"/>
  <c r="AN23" i="15"/>
  <c r="AN35" i="15"/>
  <c r="C26" i="15"/>
  <c r="AB42" i="15"/>
  <c r="T10" i="15"/>
  <c r="R52" i="15"/>
  <c r="W38" i="15"/>
  <c r="AE40" i="15"/>
  <c r="AO40" i="15"/>
  <c r="AH56" i="15"/>
  <c r="BA50" i="15"/>
  <c r="AD46" i="15"/>
  <c r="AN26" i="15"/>
  <c r="I46" i="15"/>
  <c r="X55" i="15"/>
  <c r="AY31" i="15"/>
  <c r="AT38" i="15"/>
  <c r="S37" i="15"/>
  <c r="C23" i="15"/>
  <c r="E13" i="15"/>
  <c r="W16" i="15"/>
  <c r="AT39" i="15"/>
  <c r="AZ25" i="15"/>
  <c r="Z48" i="15"/>
  <c r="X19" i="15"/>
  <c r="Y45" i="15"/>
  <c r="B19" i="15"/>
  <c r="AP39" i="15"/>
  <c r="AX42" i="15"/>
  <c r="AY30" i="15"/>
  <c r="AD30" i="15"/>
  <c r="X40" i="15"/>
  <c r="AI22" i="15"/>
  <c r="Z21" i="15"/>
  <c r="AP59" i="15"/>
  <c r="AN20" i="15"/>
  <c r="AS49" i="15"/>
  <c r="BA41" i="15"/>
  <c r="Y14" i="15"/>
  <c r="N37" i="15"/>
  <c r="AW51" i="15"/>
  <c r="J49" i="15"/>
  <c r="AV28" i="15"/>
  <c r="AN29" i="15"/>
  <c r="AQ30" i="15"/>
  <c r="V17" i="15"/>
  <c r="AJ33" i="15"/>
  <c r="S40" i="15"/>
  <c r="AD58" i="15"/>
  <c r="AK53" i="15"/>
  <c r="AL25" i="15"/>
  <c r="AB30" i="15"/>
  <c r="Y39" i="15"/>
  <c r="P52" i="15"/>
  <c r="AQ45" i="15"/>
  <c r="R46" i="15"/>
  <c r="Y30" i="15"/>
  <c r="AK25" i="15"/>
  <c r="AU55" i="15"/>
  <c r="I168" i="41"/>
  <c r="AX41" i="15"/>
  <c r="AF44" i="15"/>
  <c r="AF38" i="15"/>
  <c r="AX20" i="15"/>
  <c r="J45" i="15"/>
  <c r="D32" i="15"/>
  <c r="AX12" i="15"/>
  <c r="AC56" i="15"/>
  <c r="AZ57" i="15"/>
  <c r="AF27" i="15"/>
  <c r="B11" i="15"/>
  <c r="AL54" i="15"/>
  <c r="BA49" i="15"/>
  <c r="AT26" i="15"/>
  <c r="G29" i="15"/>
  <c r="AG39" i="15"/>
  <c r="AL50" i="15"/>
  <c r="E22" i="15"/>
  <c r="L32" i="15"/>
  <c r="T58" i="15"/>
  <c r="R22" i="15"/>
  <c r="B21" i="15"/>
  <c r="AY57" i="15"/>
  <c r="AZ41" i="15"/>
  <c r="AC15" i="15"/>
  <c r="AA27" i="15"/>
  <c r="B50" i="15"/>
  <c r="Z41" i="15"/>
  <c r="AJ59" i="15"/>
  <c r="BA24" i="15"/>
  <c r="AK14" i="15"/>
  <c r="AT34" i="15"/>
  <c r="J18" i="15"/>
  <c r="J53" i="15"/>
  <c r="AB11" i="15"/>
  <c r="V14" i="15"/>
  <c r="U54" i="15"/>
  <c r="M17" i="15"/>
  <c r="AE47" i="15"/>
  <c r="Z11" i="15"/>
  <c r="Y25" i="15"/>
  <c r="K34" i="15"/>
  <c r="L34" i="15"/>
  <c r="AZ26" i="15"/>
  <c r="S58" i="15"/>
  <c r="J46" i="15"/>
  <c r="AR58" i="15"/>
  <c r="AA40" i="15"/>
  <c r="AM57" i="15"/>
  <c r="AC26" i="15"/>
  <c r="AZ42" i="15"/>
  <c r="L33" i="15"/>
  <c r="AW15" i="15"/>
  <c r="R23" i="15"/>
  <c r="I192" i="41"/>
  <c r="P35" i="15"/>
  <c r="AW16" i="15"/>
  <c r="AM26" i="15"/>
  <c r="S41" i="15"/>
  <c r="AZ27" i="15"/>
  <c r="V35" i="15"/>
  <c r="AO57" i="15"/>
  <c r="AV18" i="15"/>
  <c r="Q42" i="15"/>
  <c r="AO20" i="15"/>
  <c r="AT35" i="15"/>
  <c r="J40" i="15"/>
  <c r="AI37" i="15"/>
  <c r="AB10" i="15"/>
  <c r="X20" i="15"/>
  <c r="AM50" i="15"/>
  <c r="AO45" i="15"/>
  <c r="AA32" i="15"/>
  <c r="V50" i="15"/>
  <c r="S51" i="15"/>
  <c r="R56" i="15"/>
  <c r="V24" i="15"/>
  <c r="V13" i="15"/>
  <c r="AL12" i="15"/>
  <c r="AH12" i="15"/>
  <c r="Z35" i="15"/>
  <c r="AP50" i="15"/>
  <c r="W20" i="15"/>
  <c r="AL34" i="15"/>
  <c r="AF37" i="15"/>
  <c r="J24" i="15"/>
  <c r="AC43" i="15"/>
  <c r="AU54" i="15"/>
  <c r="AL57" i="15"/>
  <c r="J15" i="15"/>
  <c r="AX33" i="15"/>
  <c r="N25" i="15"/>
  <c r="AQ12" i="15"/>
  <c r="D28" i="15"/>
  <c r="AE20" i="15"/>
  <c r="AM52" i="15"/>
  <c r="E19" i="15"/>
  <c r="AP11" i="15"/>
  <c r="AK10" i="15"/>
  <c r="AU27" i="15"/>
  <c r="BA22" i="15"/>
  <c r="W29" i="15"/>
  <c r="Q33" i="15"/>
  <c r="J22" i="15"/>
  <c r="O24" i="15"/>
  <c r="H39" i="15"/>
  <c r="AD29" i="15"/>
  <c r="AV11" i="15"/>
  <c r="M55" i="15"/>
  <c r="AN21" i="15"/>
  <c r="AW55" i="15"/>
  <c r="R32" i="15"/>
  <c r="J10" i="15"/>
  <c r="AX58" i="15"/>
  <c r="AG22" i="15"/>
  <c r="E21" i="15"/>
  <c r="AU58" i="15"/>
  <c r="AB20" i="15"/>
  <c r="BA52" i="15"/>
  <c r="G31" i="15"/>
  <c r="AZ46" i="15"/>
  <c r="AW11" i="15"/>
  <c r="AX28" i="15"/>
  <c r="G32" i="15"/>
  <c r="AS30" i="15"/>
  <c r="AJ12" i="15"/>
  <c r="F14" i="15"/>
  <c r="K31" i="15"/>
  <c r="Y57" i="15"/>
  <c r="AR23" i="15"/>
  <c r="AJ32" i="15"/>
  <c r="AU38" i="15"/>
  <c r="Z58" i="15"/>
  <c r="AZ14" i="15"/>
  <c r="AI33" i="15"/>
  <c r="AN14" i="15"/>
  <c r="AB47" i="15"/>
  <c r="AQ47" i="15"/>
  <c r="Y43" i="15"/>
  <c r="R11" i="15"/>
  <c r="AI24" i="15"/>
  <c r="B18" i="15"/>
  <c r="AJ35" i="15"/>
  <c r="T55" i="15"/>
  <c r="Q32" i="15"/>
  <c r="AN39" i="15"/>
  <c r="BA16" i="15"/>
  <c r="AT58" i="15"/>
  <c r="AX21" i="15"/>
  <c r="AT25" i="15"/>
  <c r="AY12" i="15"/>
  <c r="I165" i="41"/>
  <c r="M56" i="15"/>
  <c r="AG29" i="15"/>
  <c r="Q15" i="15"/>
  <c r="T47" i="15"/>
  <c r="O36" i="15"/>
  <c r="W55" i="15"/>
  <c r="AA12" i="15"/>
  <c r="K11" i="15"/>
  <c r="AQ40" i="15"/>
  <c r="AD56" i="15"/>
  <c r="H34" i="15"/>
  <c r="E25" i="15"/>
  <c r="AG54" i="15"/>
  <c r="U40" i="15"/>
  <c r="AN10" i="15"/>
  <c r="E27" i="15"/>
  <c r="W12" i="15"/>
  <c r="R50" i="15"/>
  <c r="AT48" i="15"/>
  <c r="D44" i="15"/>
  <c r="AS23" i="15"/>
  <c r="I37" i="15"/>
  <c r="Z54" i="15"/>
  <c r="Q35" i="15"/>
  <c r="AT13" i="15"/>
  <c r="L21" i="15"/>
  <c r="J189" i="41"/>
  <c r="Z32" i="15"/>
  <c r="C43" i="15"/>
  <c r="AV35" i="15"/>
  <c r="H51" i="15"/>
  <c r="D27" i="15"/>
  <c r="U52" i="15"/>
  <c r="AB33" i="15"/>
  <c r="AT43" i="15"/>
  <c r="AM28" i="15"/>
  <c r="AP35" i="15"/>
  <c r="AE22" i="15"/>
  <c r="AX51" i="15"/>
  <c r="AA16" i="15"/>
  <c r="AJ17" i="15"/>
  <c r="AX24" i="15"/>
  <c r="Y17" i="15"/>
  <c r="O55" i="15"/>
  <c r="J35" i="15"/>
  <c r="AW13" i="15"/>
  <c r="AI50" i="15"/>
  <c r="Z50" i="15"/>
  <c r="W56" i="15"/>
  <c r="AM34" i="15"/>
  <c r="AL22" i="15"/>
  <c r="N33" i="15"/>
  <c r="G13" i="15"/>
  <c r="Z56" i="15"/>
  <c r="AV51" i="15"/>
  <c r="H20" i="15"/>
  <c r="AC55" i="15"/>
  <c r="AT45" i="15"/>
  <c r="AC30" i="15"/>
  <c r="BA11" i="15"/>
  <c r="Y52" i="15"/>
  <c r="Q58" i="15"/>
  <c r="V58" i="15"/>
  <c r="U41" i="15"/>
  <c r="AA33" i="15"/>
  <c r="AJ24" i="15"/>
  <c r="X43" i="15"/>
  <c r="Y16" i="15"/>
  <c r="M12" i="15"/>
  <c r="AF56" i="15"/>
  <c r="AD23" i="15"/>
  <c r="L10" i="15"/>
  <c r="AX48" i="15"/>
  <c r="AL45" i="15"/>
  <c r="W11" i="15"/>
  <c r="AL11" i="15"/>
  <c r="O13" i="15"/>
  <c r="AS47" i="15"/>
  <c r="AO23" i="15"/>
  <c r="C50" i="15"/>
  <c r="AS42" i="15"/>
  <c r="T44" i="15"/>
  <c r="O42" i="15"/>
  <c r="U24" i="15"/>
  <c r="R30" i="15"/>
  <c r="AR18" i="15"/>
  <c r="AW12" i="15"/>
  <c r="X21" i="15"/>
  <c r="C24" i="15"/>
  <c r="AE34" i="15"/>
  <c r="O12" i="15"/>
  <c r="Y40" i="15"/>
  <c r="AR16" i="15"/>
  <c r="AW28" i="15"/>
  <c r="N57" i="15"/>
  <c r="G24" i="15"/>
  <c r="AA17" i="15"/>
  <c r="AK42" i="15"/>
  <c r="Q41" i="15"/>
  <c r="Z10" i="15"/>
  <c r="Y32" i="15"/>
  <c r="AM45" i="15"/>
  <c r="O46" i="15"/>
  <c r="W49" i="15"/>
  <c r="AJ46" i="15"/>
  <c r="P25" i="15"/>
  <c r="AM10" i="15"/>
  <c r="AT44" i="15"/>
  <c r="R27" i="15"/>
  <c r="AZ15" i="15"/>
  <c r="W42" i="15"/>
  <c r="T13" i="15"/>
  <c r="S13" i="15"/>
  <c r="P42" i="15"/>
  <c r="AT59" i="15"/>
  <c r="P56" i="15"/>
  <c r="AF12" i="15"/>
  <c r="D52" i="15"/>
  <c r="AE52" i="15"/>
  <c r="R16" i="15"/>
  <c r="AB45" i="15"/>
  <c r="AZ16" i="15"/>
  <c r="O47" i="15"/>
  <c r="V57" i="15"/>
  <c r="AZ56" i="15"/>
  <c r="L14" i="15"/>
  <c r="AH18" i="15"/>
  <c r="AK50" i="15"/>
  <c r="P21" i="15"/>
  <c r="D20" i="15"/>
  <c r="X32" i="15"/>
  <c r="AK23" i="15"/>
  <c r="AC17" i="15"/>
  <c r="H45" i="15"/>
  <c r="AD12" i="15"/>
  <c r="G51" i="15"/>
  <c r="AI16" i="15"/>
  <c r="H48" i="15"/>
  <c r="J220" i="41"/>
  <c r="AF11" i="15"/>
  <c r="AG17" i="15"/>
  <c r="AE32" i="15"/>
  <c r="R14" i="15"/>
  <c r="AB49" i="15"/>
  <c r="AS45" i="15"/>
  <c r="AE54" i="15"/>
  <c r="AA56" i="15"/>
  <c r="AS29" i="15"/>
  <c r="AH47" i="15"/>
  <c r="AQ13" i="15"/>
  <c r="AP21" i="15"/>
  <c r="AD16" i="15"/>
  <c r="AY52" i="15"/>
  <c r="D51" i="15"/>
  <c r="AJ29" i="15"/>
  <c r="I15" i="15"/>
  <c r="C22" i="15"/>
  <c r="J224" i="41"/>
  <c r="AA34" i="15"/>
  <c r="AM56" i="15"/>
  <c r="X23" i="15"/>
  <c r="AC14" i="15"/>
  <c r="AG56" i="15"/>
  <c r="AB16" i="15"/>
  <c r="AP10" i="15"/>
  <c r="V31" i="15"/>
  <c r="AH25" i="15"/>
  <c r="AT10" i="15"/>
  <c r="AU45" i="15"/>
  <c r="Z38" i="15"/>
  <c r="M26" i="15"/>
  <c r="AD20" i="15"/>
  <c r="C20" i="15"/>
  <c r="AC13" i="15"/>
  <c r="N59" i="15"/>
  <c r="J48" i="15"/>
  <c r="P41" i="15"/>
  <c r="AA24" i="15"/>
  <c r="O25" i="15"/>
  <c r="AR25" i="15"/>
  <c r="B23" i="15"/>
  <c r="AW57" i="15"/>
  <c r="W25" i="15"/>
  <c r="AY13" i="15"/>
  <c r="AY11" i="15"/>
  <c r="AO32" i="15"/>
  <c r="I44" i="15"/>
  <c r="AM12" i="15"/>
  <c r="X13" i="15"/>
  <c r="AG31" i="15"/>
  <c r="S10" i="15"/>
  <c r="AV10" i="15"/>
  <c r="AY39" i="15"/>
  <c r="AV53" i="15"/>
  <c r="AM51" i="15"/>
  <c r="AM53" i="15"/>
  <c r="AW40" i="15"/>
  <c r="AZ31" i="15"/>
  <c r="V39" i="15"/>
  <c r="BA56" i="15"/>
  <c r="AI55" i="15"/>
  <c r="AS15" i="15"/>
  <c r="Q31" i="15"/>
  <c r="Y48" i="15"/>
  <c r="AY37" i="15"/>
  <c r="H42" i="15"/>
  <c r="D38" i="15"/>
  <c r="AD42" i="15"/>
  <c r="AH37" i="15"/>
  <c r="AM36" i="15"/>
  <c r="AR19" i="15"/>
  <c r="S15" i="15"/>
  <c r="BA13" i="15"/>
  <c r="P34" i="15"/>
  <c r="AV30" i="15"/>
  <c r="J219" i="41"/>
  <c r="D29" i="15"/>
  <c r="AJ30" i="15"/>
  <c r="Q43" i="15"/>
  <c r="O19" i="15"/>
  <c r="AK33" i="15"/>
  <c r="U39" i="15"/>
  <c r="T23" i="15"/>
  <c r="AM40" i="15"/>
  <c r="W59" i="15"/>
  <c r="AF30" i="15"/>
  <c r="AF47" i="15"/>
  <c r="AG42" i="15"/>
  <c r="AX38" i="15"/>
  <c r="AX46" i="15"/>
  <c r="AP53" i="15"/>
  <c r="D57" i="15"/>
  <c r="AP15" i="15"/>
  <c r="V23" i="15"/>
  <c r="AU56" i="15"/>
  <c r="U23" i="15"/>
  <c r="AK13" i="15"/>
  <c r="AN18" i="15"/>
  <c r="V20" i="15"/>
  <c r="AW39" i="15"/>
  <c r="BA30" i="15"/>
  <c r="I40" i="15"/>
  <c r="AP26" i="15"/>
  <c r="S25" i="15"/>
  <c r="AF46" i="15"/>
  <c r="B47" i="15"/>
  <c r="AU22" i="15"/>
  <c r="AW25" i="15"/>
  <c r="W23" i="15"/>
  <c r="AB26" i="15"/>
  <c r="BA25" i="15"/>
  <c r="T56" i="15"/>
  <c r="U34" i="15"/>
  <c r="L40" i="15"/>
  <c r="Z36" i="15"/>
  <c r="U43" i="15"/>
  <c r="AJ22" i="15"/>
  <c r="AZ24" i="15"/>
  <c r="AU30" i="15"/>
  <c r="I18" i="15"/>
  <c r="AI19" i="15"/>
  <c r="AA47" i="15"/>
  <c r="AH54" i="15"/>
  <c r="AE12" i="15"/>
  <c r="AZ40" i="15"/>
  <c r="S53" i="15"/>
  <c r="X35" i="15"/>
  <c r="AH45" i="15"/>
  <c r="AR21" i="15"/>
  <c r="Z44" i="15"/>
  <c r="BA12" i="15"/>
  <c r="R39" i="15"/>
  <c r="AS18" i="15"/>
  <c r="G46" i="15"/>
  <c r="B29" i="15"/>
  <c r="M10" i="15"/>
  <c r="K15" i="15"/>
  <c r="AR39" i="15"/>
  <c r="AU36" i="15"/>
  <c r="C28" i="15"/>
  <c r="S47" i="15"/>
  <c r="Z52" i="15"/>
  <c r="Y19" i="15"/>
  <c r="AU52" i="15"/>
  <c r="AO53" i="15"/>
  <c r="AL30" i="15"/>
  <c r="AJ44" i="15"/>
  <c r="AP33" i="15"/>
  <c r="AE43" i="15"/>
  <c r="AI44" i="15"/>
  <c r="AZ28" i="15"/>
  <c r="AK22" i="15"/>
  <c r="I16" i="15"/>
  <c r="AA42" i="15"/>
  <c r="AV13" i="15"/>
  <c r="AU25" i="15"/>
  <c r="AB28" i="15"/>
  <c r="H12" i="15"/>
  <c r="AS37" i="15"/>
  <c r="AX56" i="15"/>
  <c r="AY38" i="15"/>
  <c r="AN57" i="15"/>
  <c r="M23" i="15"/>
  <c r="AK31" i="15"/>
  <c r="X22" i="15"/>
  <c r="AN49" i="15"/>
  <c r="AS17" i="15"/>
  <c r="AF54" i="15"/>
  <c r="AK17" i="15"/>
  <c r="R48" i="15"/>
  <c r="T41" i="15"/>
  <c r="AR11" i="15"/>
  <c r="AI15" i="15"/>
  <c r="AH33" i="15"/>
  <c r="AX55" i="15"/>
  <c r="AL46" i="15"/>
  <c r="H10" i="15"/>
  <c r="S44" i="15"/>
  <c r="BA57" i="15"/>
  <c r="I189" i="41"/>
  <c r="L17" i="15"/>
  <c r="R51" i="15"/>
  <c r="AQ19" i="15"/>
  <c r="W47" i="15"/>
  <c r="Q50" i="15"/>
  <c r="R36" i="15"/>
  <c r="K10" i="15"/>
  <c r="AT29" i="15"/>
  <c r="S38" i="15"/>
  <c r="AW21" i="15"/>
  <c r="W46" i="15"/>
  <c r="AM22" i="15"/>
  <c r="AY44" i="15"/>
  <c r="U11" i="15"/>
  <c r="E17" i="15"/>
  <c r="W40" i="15"/>
  <c r="BA44" i="15"/>
  <c r="K17" i="15"/>
  <c r="T33" i="15"/>
  <c r="Z20" i="15"/>
  <c r="C14" i="15"/>
  <c r="J11" i="15"/>
  <c r="R44" i="15"/>
  <c r="AY18" i="15"/>
  <c r="AQ43" i="15"/>
  <c r="AH26" i="15"/>
  <c r="Z47" i="15"/>
  <c r="I224" i="41"/>
  <c r="E15" i="15"/>
  <c r="AG38" i="15"/>
  <c r="AQ49" i="15"/>
  <c r="W36" i="15"/>
  <c r="X56" i="15"/>
  <c r="AJ26" i="15"/>
  <c r="AI14" i="15"/>
  <c r="BA53" i="15"/>
  <c r="AG47" i="15"/>
  <c r="Q13" i="15"/>
  <c r="AI13" i="15"/>
  <c r="AS40" i="15"/>
  <c r="AF19" i="15"/>
  <c r="AV21" i="15"/>
  <c r="M31" i="15"/>
  <c r="BA59" i="15"/>
  <c r="R42" i="15"/>
  <c r="I29" i="15"/>
  <c r="AA20" i="15"/>
  <c r="AT12" i="15"/>
  <c r="P24" i="15"/>
  <c r="AC32" i="15"/>
  <c r="AP31" i="15"/>
  <c r="AH40" i="15"/>
  <c r="G45" i="15"/>
  <c r="P14" i="15"/>
  <c r="AO43" i="15"/>
  <c r="BA37" i="15"/>
  <c r="AB52" i="15"/>
  <c r="I220" i="41"/>
  <c r="Q23" i="15"/>
  <c r="P11" i="15"/>
  <c r="U26" i="15"/>
  <c r="AW38" i="15"/>
  <c r="I193" i="41"/>
  <c r="W53" i="15"/>
  <c r="AU32" i="15"/>
  <c r="B45" i="15"/>
  <c r="AQ50" i="15"/>
  <c r="T16" i="15"/>
  <c r="AK32" i="15"/>
  <c r="Z13" i="15"/>
  <c r="AY26" i="15"/>
  <c r="O53" i="15"/>
  <c r="M54" i="15"/>
  <c r="AX27" i="15"/>
  <c r="AU11" i="15"/>
  <c r="V43" i="15"/>
  <c r="AK40" i="15"/>
  <c r="V37" i="15"/>
  <c r="AL48" i="15"/>
  <c r="I57" i="15"/>
  <c r="AM15" i="15"/>
  <c r="AK55" i="15"/>
  <c r="L38" i="15"/>
  <c r="AK12" i="15"/>
  <c r="M24" i="15"/>
  <c r="H14" i="15"/>
  <c r="F20" i="15"/>
  <c r="T12" i="15"/>
  <c r="AF16" i="15"/>
  <c r="W21" i="15"/>
  <c r="AC49" i="15"/>
  <c r="AC52" i="15"/>
  <c r="AW19" i="15"/>
  <c r="Z51" i="15"/>
  <c r="AT51" i="15"/>
  <c r="AQ25" i="15"/>
  <c r="AT40" i="15"/>
  <c r="J165" i="41"/>
  <c r="AI40" i="15"/>
  <c r="I48" i="15"/>
  <c r="AD25" i="15"/>
  <c r="AY36" i="15"/>
  <c r="I51" i="15"/>
  <c r="AQ36" i="15"/>
  <c r="AQ52" i="15"/>
  <c r="Y41" i="15"/>
  <c r="Y36" i="15"/>
  <c r="AZ34" i="15"/>
  <c r="AU18" i="15"/>
  <c r="AE18" i="15"/>
  <c r="AI20" i="15"/>
  <c r="AS59" i="15"/>
  <c r="AG32" i="15"/>
  <c r="AJ11" i="15"/>
  <c r="AS13" i="15"/>
  <c r="B43" i="15"/>
  <c r="P26" i="15"/>
  <c r="AY20" i="15"/>
  <c r="N35" i="15"/>
  <c r="J170" i="41"/>
  <c r="I30" i="15"/>
  <c r="C45" i="15"/>
  <c r="R12" i="15"/>
  <c r="R57" i="15"/>
  <c r="N24" i="15"/>
  <c r="Z17" i="15"/>
  <c r="B54" i="15"/>
  <c r="K23" i="15"/>
  <c r="AQ31" i="15"/>
  <c r="J43" i="15"/>
  <c r="Q48" i="15"/>
  <c r="AT30" i="15"/>
  <c r="BA35" i="15"/>
  <c r="U59" i="15"/>
  <c r="S26" i="15"/>
  <c r="AO54" i="15"/>
  <c r="B57" i="15"/>
  <c r="M22" i="15"/>
  <c r="O41" i="15"/>
  <c r="F24" i="15"/>
  <c r="AV40" i="15"/>
  <c r="Y28" i="15"/>
  <c r="S46" i="15"/>
  <c r="S34" i="15"/>
  <c r="AI48" i="15"/>
  <c r="BA54" i="15"/>
  <c r="AT28" i="15"/>
  <c r="AQ33" i="15"/>
  <c r="H53" i="15"/>
  <c r="AB54" i="15"/>
  <c r="I43" i="15"/>
  <c r="AB57" i="15"/>
  <c r="AP30" i="15"/>
  <c r="K30" i="15"/>
  <c r="M38" i="15"/>
  <c r="B10" i="15"/>
  <c r="Z34" i="15"/>
  <c r="AZ17" i="15"/>
  <c r="AA25" i="15"/>
  <c r="I23" i="15"/>
  <c r="AQ35" i="15"/>
  <c r="AE55" i="15"/>
  <c r="S22" i="15"/>
  <c r="AK20" i="15"/>
  <c r="V42" i="15"/>
  <c r="AX18" i="15"/>
  <c r="D34" i="15"/>
  <c r="AS57" i="15"/>
  <c r="T19" i="15"/>
  <c r="AF23" i="15"/>
  <c r="L41" i="15"/>
  <c r="AH42" i="15"/>
  <c r="L12" i="15"/>
  <c r="W10" i="15"/>
  <c r="E26" i="15"/>
  <c r="AR57" i="15"/>
  <c r="AD19" i="15"/>
  <c r="R21" i="15"/>
  <c r="AE25" i="15"/>
  <c r="S31" i="15"/>
  <c r="AA59" i="15"/>
  <c r="AG48" i="15"/>
  <c r="S35" i="15"/>
  <c r="AM35" i="15"/>
  <c r="J42" i="15"/>
  <c r="AR13" i="15"/>
  <c r="AF35" i="15"/>
  <c r="C41" i="15"/>
  <c r="AB21" i="15"/>
  <c r="I22" i="15"/>
  <c r="C37" i="15"/>
  <c r="AG19" i="15"/>
  <c r="L23" i="15"/>
  <c r="AT42" i="15"/>
  <c r="U32" i="15"/>
  <c r="Y35" i="15"/>
  <c r="T29" i="15"/>
  <c r="M19" i="15"/>
  <c r="H13" i="15"/>
  <c r="C36" i="15"/>
  <c r="AW46" i="15"/>
  <c r="D46" i="15"/>
  <c r="AE17" i="15"/>
  <c r="N58" i="15"/>
  <c r="B38" i="15"/>
  <c r="AE51" i="15"/>
  <c r="AZ20" i="15"/>
  <c r="AT23" i="15"/>
  <c r="Q27" i="15"/>
  <c r="M28" i="15"/>
  <c r="AH30" i="15"/>
  <c r="AC41" i="15"/>
  <c r="AV23" i="15"/>
  <c r="BA45" i="15"/>
  <c r="Z59" i="15"/>
  <c r="AF24" i="15"/>
  <c r="N18" i="15"/>
  <c r="Y58" i="15"/>
  <c r="AR43" i="15"/>
  <c r="AB34" i="15"/>
  <c r="H22" i="15"/>
  <c r="AS38" i="15"/>
  <c r="AP37" i="15"/>
  <c r="AU33" i="15"/>
  <c r="C59" i="15"/>
  <c r="I219" i="41"/>
  <c r="AL52" i="15"/>
  <c r="I10" i="15"/>
  <c r="AG27" i="15"/>
  <c r="Q16" i="15"/>
  <c r="X17" i="15"/>
  <c r="AO15" i="15"/>
  <c r="M53" i="15"/>
  <c r="D10" i="15"/>
  <c r="U27" i="15"/>
  <c r="C47" i="15"/>
  <c r="E18" i="15"/>
  <c r="L37" i="15"/>
  <c r="AW52" i="15"/>
  <c r="R55" i="15"/>
  <c r="X34" i="15"/>
  <c r="B52" i="15"/>
  <c r="S50" i="15"/>
  <c r="AA39" i="15"/>
  <c r="AQ26" i="15"/>
  <c r="V59" i="15"/>
  <c r="M15" i="15"/>
  <c r="AQ38" i="15"/>
  <c r="AF41" i="15"/>
  <c r="AD41" i="15"/>
  <c r="AR47" i="15"/>
  <c r="AX43" i="15"/>
  <c r="AM14" i="15"/>
  <c r="W27" i="15"/>
  <c r="C18" i="15"/>
  <c r="G55" i="15"/>
  <c r="AS34" i="15"/>
  <c r="I191" i="41"/>
  <c r="AS36" i="15"/>
  <c r="AI12" i="15"/>
  <c r="W31" i="15"/>
  <c r="AZ35" i="15"/>
  <c r="Q37" i="15"/>
  <c r="T17" i="15"/>
  <c r="L51" i="15"/>
  <c r="G48" i="15"/>
  <c r="AT31" i="15"/>
  <c r="AC29" i="15"/>
  <c r="AA54" i="15"/>
  <c r="AK19" i="15"/>
  <c r="T14" i="15"/>
  <c r="AA43" i="15"/>
  <c r="AF29" i="15"/>
  <c r="U15" i="15"/>
  <c r="AP57" i="15"/>
  <c r="D39" i="15"/>
  <c r="AY41" i="15"/>
  <c r="AW49" i="15"/>
  <c r="Q51" i="15"/>
  <c r="K32" i="15"/>
  <c r="AG58" i="15"/>
  <c r="T35" i="15"/>
  <c r="AT22" i="15"/>
  <c r="AC40" i="15"/>
  <c r="I33" i="15"/>
  <c r="D50" i="15"/>
  <c r="AN37" i="15"/>
  <c r="AQ57" i="15"/>
  <c r="N43" i="15"/>
  <c r="AQ58" i="15"/>
  <c r="H37" i="15"/>
  <c r="S12" i="15"/>
  <c r="AW36" i="15"/>
  <c r="AD54" i="15"/>
  <c r="AS10" i="15"/>
  <c r="AE11" i="15"/>
  <c r="AL26" i="15"/>
  <c r="Q44" i="15"/>
  <c r="H16" i="15"/>
  <c r="J23" i="15"/>
  <c r="G25" i="15"/>
  <c r="AO26" i="15"/>
  <c r="AI52" i="15"/>
  <c r="J168" i="41"/>
  <c r="AU14" i="15"/>
  <c r="AB59" i="15"/>
  <c r="AE35" i="15"/>
  <c r="AH49" i="15"/>
  <c r="V16" i="15"/>
  <c r="D15" i="15"/>
  <c r="H35" i="15"/>
  <c r="U28" i="15"/>
  <c r="AQ23" i="15"/>
  <c r="AK24" i="15"/>
  <c r="AT19" i="15"/>
  <c r="AJ37" i="15"/>
  <c r="J34" i="15"/>
  <c r="Q28" i="15"/>
  <c r="E30" i="15"/>
  <c r="J21" i="15"/>
  <c r="AY16" i="15"/>
  <c r="AL16" i="15"/>
  <c r="AK49" i="15"/>
  <c r="AB55" i="15"/>
  <c r="N56" i="15"/>
  <c r="AP27" i="15"/>
  <c r="AN56" i="15"/>
  <c r="AC24" i="15"/>
  <c r="AV20" i="15"/>
  <c r="G50" i="15"/>
  <c r="Z30" i="15"/>
  <c r="AW37" i="15"/>
  <c r="C11" i="15"/>
  <c r="P45" i="15"/>
  <c r="AO25" i="15"/>
  <c r="X15" i="15"/>
  <c r="AU21" i="15"/>
  <c r="AE49" i="15"/>
  <c r="AO44" i="15"/>
  <c r="AJ52" i="15"/>
  <c r="AL56" i="15"/>
  <c r="AF26" i="15"/>
  <c r="W45" i="15"/>
  <c r="AK57" i="15"/>
  <c r="J225" i="41"/>
  <c r="R31" i="15"/>
  <c r="AB15" i="15"/>
  <c r="AD48" i="15"/>
  <c r="AV17" i="15"/>
  <c r="AJ57" i="15"/>
  <c r="AX13" i="15"/>
  <c r="K28" i="15"/>
  <c r="X27" i="15"/>
  <c r="AW10" i="15"/>
  <c r="U48" i="15"/>
  <c r="AW43" i="15"/>
  <c r="V15" i="15"/>
  <c r="D225" i="41"/>
  <c r="C224" i="41"/>
  <c r="C219" i="41"/>
  <c r="C193" i="41"/>
  <c r="AR54" i="43"/>
  <c r="S26" i="28"/>
  <c r="R86" i="35"/>
  <c r="C191" i="41"/>
  <c r="D169" i="41"/>
  <c r="D223" i="41"/>
  <c r="C170" i="41"/>
  <c r="C42" i="15"/>
  <c r="AH51" i="15"/>
  <c r="AH41" i="15"/>
  <c r="Y10" i="15"/>
  <c r="L31" i="15"/>
  <c r="AM23" i="15"/>
  <c r="AL44" i="15"/>
  <c r="J54" i="15"/>
  <c r="G54" i="15"/>
  <c r="B15" i="15"/>
  <c r="L54" i="15"/>
  <c r="AZ10" i="15"/>
  <c r="AM39" i="15"/>
  <c r="AU15" i="15"/>
  <c r="D41" i="15"/>
  <c r="N49" i="15"/>
  <c r="AL31" i="15"/>
  <c r="AJ53" i="15"/>
  <c r="AG13" i="15"/>
  <c r="AG12" i="15"/>
  <c r="Q57" i="15"/>
  <c r="Q34" i="15"/>
  <c r="AC21" i="15"/>
  <c r="AI57" i="15"/>
  <c r="P36" i="15"/>
  <c r="AA46" i="15"/>
  <c r="K33" i="15"/>
  <c r="E31" i="15"/>
  <c r="Q38" i="15"/>
  <c r="AF59" i="15"/>
  <c r="AX19" i="15"/>
  <c r="Y29" i="15"/>
  <c r="C17" i="15"/>
  <c r="AP25" i="15"/>
  <c r="AY40" i="15"/>
  <c r="J191" i="41"/>
  <c r="AD24" i="15"/>
  <c r="AG24" i="15"/>
  <c r="AR37" i="15"/>
  <c r="X16" i="15"/>
  <c r="AI11" i="15"/>
  <c r="AZ12" i="15"/>
  <c r="AQ10" i="15"/>
  <c r="Q26" i="15"/>
  <c r="D12" i="15"/>
  <c r="K29" i="15"/>
  <c r="AL10" i="15"/>
  <c r="N17" i="15"/>
  <c r="AB23" i="15"/>
  <c r="AB46" i="15"/>
  <c r="AR34" i="15"/>
  <c r="P23" i="15"/>
  <c r="AY34" i="15"/>
  <c r="M32" i="15"/>
  <c r="F23" i="15"/>
  <c r="AA23" i="15"/>
  <c r="P10" i="15"/>
  <c r="AZ50" i="15"/>
  <c r="AI58" i="15"/>
  <c r="AY14" i="15"/>
  <c r="W41" i="15"/>
  <c r="X44" i="15"/>
  <c r="AZ33" i="15"/>
  <c r="W32" i="15"/>
  <c r="Q19" i="15"/>
  <c r="D59" i="15"/>
  <c r="AJ31" i="15"/>
  <c r="S23" i="15"/>
  <c r="AQ55" i="15"/>
  <c r="N29" i="15"/>
  <c r="L15" i="15"/>
  <c r="B25" i="15"/>
  <c r="H40" i="15"/>
  <c r="AR59" i="15"/>
  <c r="N32" i="15"/>
  <c r="J52" i="15"/>
  <c r="R19" i="15"/>
  <c r="I223" i="41"/>
  <c r="Y42" i="15"/>
  <c r="C12" i="15"/>
  <c r="D30" i="15"/>
  <c r="AC23" i="15"/>
  <c r="AF21" i="15"/>
  <c r="AX39" i="15"/>
  <c r="AV50" i="15"/>
  <c r="AL36" i="15"/>
  <c r="AR24" i="15"/>
  <c r="C16" i="15"/>
  <c r="Z26" i="15"/>
  <c r="D43" i="15"/>
  <c r="T59" i="15"/>
  <c r="AN42" i="15"/>
  <c r="AX17" i="15"/>
  <c r="X37" i="15"/>
  <c r="AS11" i="15"/>
  <c r="AU10" i="15"/>
  <c r="X57" i="15"/>
  <c r="AN59" i="15"/>
  <c r="AB43" i="15"/>
  <c r="AK58" i="15"/>
  <c r="V51" i="15"/>
  <c r="J12" i="15"/>
  <c r="V19" i="15"/>
  <c r="AE57" i="15"/>
  <c r="X52" i="15"/>
  <c r="Y50" i="15"/>
  <c r="Z53" i="15"/>
  <c r="AP51" i="15"/>
  <c r="AM37" i="15"/>
  <c r="L25" i="15"/>
  <c r="BA39" i="15"/>
  <c r="AK46" i="15"/>
  <c r="F11" i="15"/>
  <c r="T48" i="15"/>
  <c r="R43" i="15"/>
  <c r="AV47" i="15"/>
  <c r="R34" i="15"/>
  <c r="AW24" i="15"/>
  <c r="H56" i="15"/>
  <c r="AI25" i="15"/>
  <c r="BA36" i="15"/>
  <c r="F28" i="15"/>
  <c r="D53" i="15"/>
  <c r="H32" i="15"/>
  <c r="AD55" i="15"/>
  <c r="AX36" i="15"/>
  <c r="AP41" i="15"/>
  <c r="R41" i="15"/>
  <c r="S33" i="15"/>
  <c r="D47" i="2"/>
  <c r="E51" i="41"/>
  <c r="D189" i="41"/>
  <c r="R85" i="35"/>
  <c r="C165" i="41"/>
  <c r="D191" i="41"/>
  <c r="I55" i="2"/>
  <c r="I25" i="2"/>
  <c r="K26" i="2"/>
  <c r="AI36" i="15"/>
  <c r="N19" i="15"/>
  <c r="P46" i="15"/>
  <c r="AQ39" i="15"/>
  <c r="AZ11" i="15"/>
  <c r="AY53" i="15"/>
  <c r="N27" i="15"/>
  <c r="B44" i="15"/>
  <c r="S30" i="15"/>
  <c r="I34" i="15"/>
  <c r="O21" i="15"/>
  <c r="AA31" i="15"/>
  <c r="AO58" i="15"/>
  <c r="AI18" i="15"/>
  <c r="AH50" i="15"/>
  <c r="AR50" i="15"/>
  <c r="X58" i="15"/>
  <c r="H28" i="15"/>
  <c r="R10" i="15"/>
  <c r="BA33" i="15"/>
  <c r="AJ10" i="15"/>
  <c r="AY17" i="15"/>
  <c r="H46" i="15"/>
  <c r="P39" i="15"/>
  <c r="I170" i="41"/>
  <c r="I27" i="15"/>
  <c r="AZ47" i="15"/>
  <c r="Y15" i="15"/>
  <c r="AE33" i="15"/>
  <c r="AE30" i="15"/>
  <c r="BA28" i="15"/>
  <c r="BA14" i="15"/>
  <c r="AO18" i="15"/>
  <c r="W17" i="15"/>
  <c r="Y27" i="15"/>
  <c r="R13" i="15"/>
  <c r="G10" i="15"/>
  <c r="AJ58" i="15"/>
  <c r="AB53" i="15"/>
  <c r="AV45" i="15"/>
  <c r="F21" i="15"/>
  <c r="P27" i="15"/>
  <c r="AY35" i="15"/>
  <c r="B27" i="15"/>
  <c r="G52" i="15"/>
  <c r="T40" i="15"/>
  <c r="AI29" i="15"/>
  <c r="P20" i="15"/>
  <c r="AU34" i="15"/>
  <c r="C58" i="15"/>
  <c r="AV42" i="15"/>
  <c r="AM42" i="15"/>
  <c r="S55" i="15"/>
  <c r="B40" i="15"/>
  <c r="AV31" i="15"/>
  <c r="AD21" i="15"/>
  <c r="AA53" i="15"/>
  <c r="T11" i="15"/>
  <c r="AM55" i="15"/>
  <c r="AK48" i="15"/>
  <c r="O50" i="15"/>
  <c r="AB13" i="15"/>
  <c r="AL53" i="15"/>
  <c r="O30" i="15"/>
  <c r="AY43" i="15"/>
  <c r="AD33" i="15"/>
  <c r="T28" i="15"/>
  <c r="Q47" i="15"/>
  <c r="X53" i="15"/>
  <c r="AY22" i="15"/>
  <c r="Y59" i="15"/>
  <c r="P16" i="15"/>
  <c r="V38" i="15"/>
  <c r="AE19" i="15"/>
  <c r="M21" i="15"/>
  <c r="X26" i="15"/>
  <c r="L53" i="15"/>
  <c r="G47" i="15"/>
  <c r="T37" i="15"/>
  <c r="N42" i="15"/>
  <c r="M36" i="15"/>
  <c r="I50" i="15"/>
  <c r="AB48" i="15"/>
  <c r="AV43" i="15"/>
  <c r="AG57" i="15"/>
  <c r="V46" i="15"/>
  <c r="J44" i="15"/>
  <c r="AG41" i="15"/>
  <c r="L45" i="15"/>
  <c r="AN22" i="15"/>
  <c r="AJ45" i="15"/>
  <c r="W15" i="15"/>
  <c r="AF49" i="15"/>
  <c r="Z29" i="15"/>
  <c r="AR29" i="15"/>
  <c r="AF34" i="15"/>
  <c r="AP22" i="15"/>
  <c r="M37" i="15"/>
  <c r="Y34" i="15"/>
  <c r="F32" i="15"/>
  <c r="H33" i="15"/>
  <c r="AV38" i="15"/>
  <c r="Q12" i="15"/>
  <c r="K19" i="15"/>
  <c r="J223" i="41"/>
  <c r="V27" i="15"/>
  <c r="AU29" i="15"/>
  <c r="N34" i="15"/>
  <c r="G35" i="15"/>
  <c r="AN47" i="15"/>
  <c r="AG34" i="15"/>
  <c r="AQ59" i="15"/>
  <c r="AT46" i="15"/>
  <c r="AR33" i="15"/>
  <c r="AN32" i="15"/>
  <c r="J192" i="41"/>
  <c r="P49" i="15"/>
  <c r="V36" i="15"/>
  <c r="Q14" i="15"/>
  <c r="AF17" i="15"/>
  <c r="AE45" i="15"/>
  <c r="AJ14" i="15"/>
  <c r="AT47" i="15"/>
  <c r="L28" i="15"/>
  <c r="L52" i="15"/>
  <c r="AW30" i="15"/>
  <c r="AG43" i="15"/>
  <c r="AI28" i="15"/>
  <c r="AR51" i="15"/>
  <c r="D168" i="41"/>
  <c r="D52" i="2"/>
  <c r="S136" i="43"/>
  <c r="L62" i="3"/>
  <c r="L52" i="3"/>
  <c r="P102" i="35"/>
  <c r="AA102" i="35"/>
  <c r="S139" i="43"/>
  <c r="S86" i="43"/>
  <c r="S106" i="43"/>
  <c r="X106" i="43"/>
  <c r="L22" i="3"/>
  <c r="P20" i="35"/>
  <c r="P104" i="35"/>
  <c r="P55" i="35"/>
  <c r="L23" i="3"/>
  <c r="L69" i="3"/>
  <c r="M69" i="3"/>
  <c r="S62" i="43"/>
  <c r="X62" i="43"/>
  <c r="P105" i="35"/>
  <c r="S129" i="43"/>
  <c r="X129" i="43"/>
  <c r="L38" i="3"/>
  <c r="L40" i="3"/>
  <c r="P26" i="35"/>
  <c r="P28" i="35"/>
  <c r="L72" i="3"/>
  <c r="L58" i="3"/>
  <c r="L96" i="3"/>
  <c r="L129" i="3"/>
  <c r="C223" i="41"/>
  <c r="R84" i="35"/>
  <c r="L87" i="3"/>
  <c r="R83" i="35"/>
  <c r="L114" i="3"/>
  <c r="S74" i="43"/>
  <c r="T74" i="43"/>
  <c r="P23" i="35"/>
  <c r="L107" i="3"/>
  <c r="D165" i="41"/>
  <c r="S52" i="43"/>
  <c r="L109" i="3"/>
  <c r="L128" i="3"/>
  <c r="P71" i="35"/>
  <c r="L132" i="3"/>
  <c r="L67" i="3"/>
  <c r="S34" i="43"/>
  <c r="L122" i="3"/>
  <c r="S131" i="43"/>
  <c r="T131" i="43"/>
  <c r="P128" i="35"/>
  <c r="P27" i="35"/>
  <c r="L126" i="3"/>
  <c r="S137" i="43"/>
  <c r="S83" i="43"/>
  <c r="L68" i="3"/>
  <c r="AR91" i="43"/>
  <c r="P90" i="35"/>
  <c r="X83" i="43"/>
  <c r="D193" i="41"/>
  <c r="L65" i="3"/>
  <c r="L14" i="3"/>
  <c r="S16" i="43"/>
  <c r="S126" i="43"/>
  <c r="L111" i="3"/>
  <c r="S114" i="43"/>
  <c r="S72" i="43"/>
  <c r="S43" i="43"/>
  <c r="S39" i="43"/>
  <c r="L49" i="3"/>
  <c r="L63" i="3"/>
  <c r="S38" i="43"/>
  <c r="P24" i="35"/>
  <c r="M14" i="3"/>
  <c r="P115" i="35"/>
  <c r="S127" i="43"/>
  <c r="L134" i="3"/>
  <c r="S89" i="43"/>
  <c r="P69" i="35"/>
  <c r="P100" i="35"/>
  <c r="L135" i="3"/>
  <c r="S128" i="43"/>
  <c r="S22" i="43"/>
  <c r="L113" i="3"/>
  <c r="S100" i="43"/>
  <c r="T128" i="43"/>
  <c r="AR47" i="43"/>
  <c r="D170" i="41"/>
  <c r="S68" i="43"/>
  <c r="P38" i="35"/>
  <c r="P126" i="35"/>
  <c r="P107" i="35"/>
  <c r="P109" i="35"/>
  <c r="L28" i="3"/>
  <c r="P85" i="35"/>
  <c r="L41" i="3"/>
  <c r="P118" i="35"/>
  <c r="L131" i="3"/>
  <c r="S91" i="43"/>
  <c r="L59" i="3"/>
  <c r="M131" i="3"/>
  <c r="L80" i="3"/>
  <c r="S59" i="43"/>
  <c r="S48" i="43"/>
  <c r="P87" i="35"/>
  <c r="P61" i="35"/>
  <c r="S31" i="43"/>
  <c r="P97" i="35"/>
  <c r="I19" i="15"/>
  <c r="U37" i="15"/>
  <c r="AN36" i="15"/>
  <c r="AQ48" i="15"/>
  <c r="AC58" i="15"/>
  <c r="AI39" i="15"/>
  <c r="AI49" i="15"/>
  <c r="P54" i="15"/>
  <c r="AJ34" i="15"/>
  <c r="R40" i="15"/>
  <c r="AU12" i="15"/>
  <c r="J59" i="15"/>
  <c r="AU24" i="15"/>
  <c r="E32" i="15"/>
  <c r="D37" i="15"/>
  <c r="P15" i="15"/>
  <c r="I21" i="15"/>
  <c r="P29" i="15"/>
  <c r="AW41" i="15"/>
  <c r="AO36" i="15"/>
  <c r="P48" i="15"/>
  <c r="BA23" i="15"/>
  <c r="C32" i="15"/>
  <c r="N52" i="15"/>
  <c r="AI46" i="15"/>
  <c r="M46" i="15"/>
  <c r="AV34" i="15"/>
  <c r="P44" i="15"/>
  <c r="AT11" i="15"/>
  <c r="L20" i="15"/>
  <c r="M40" i="15"/>
  <c r="O27" i="15"/>
  <c r="BA20" i="15"/>
  <c r="I225" i="41"/>
  <c r="H43" i="15"/>
  <c r="AX31" i="15"/>
  <c r="AD57" i="15"/>
  <c r="AX45" i="15"/>
  <c r="W24" i="15"/>
  <c r="AE13" i="15"/>
  <c r="O29" i="15"/>
  <c r="AO34" i="15"/>
  <c r="AF50" i="15"/>
  <c r="D36" i="15"/>
  <c r="AT57" i="15"/>
  <c r="X10" i="15"/>
  <c r="AB18" i="15"/>
  <c r="AD59" i="15"/>
  <c r="H58" i="15"/>
  <c r="V12" i="15"/>
  <c r="AD27" i="15"/>
  <c r="AW44" i="15"/>
  <c r="Y22" i="15"/>
  <c r="AH34" i="15"/>
  <c r="M16" i="15"/>
  <c r="AG30" i="15"/>
  <c r="J193" i="41"/>
  <c r="J37" i="15"/>
  <c r="O14" i="15"/>
  <c r="B58" i="15"/>
  <c r="O48" i="15"/>
  <c r="N38" i="15"/>
  <c r="P51" i="15"/>
  <c r="AL14" i="15"/>
  <c r="B48" i="15"/>
  <c r="AP18" i="15"/>
  <c r="AF42" i="15"/>
  <c r="AB51" i="15"/>
  <c r="H23" i="15"/>
  <c r="S48" i="15"/>
  <c r="AP46" i="15"/>
  <c r="AT14" i="15"/>
  <c r="AC36" i="15"/>
  <c r="W19" i="15"/>
  <c r="AL29" i="15"/>
  <c r="AQ53" i="15"/>
  <c r="AS32" i="15"/>
  <c r="X50" i="15"/>
  <c r="AU19" i="15"/>
  <c r="D54" i="15"/>
  <c r="AJ49" i="15"/>
  <c r="AL18" i="15"/>
  <c r="AM21" i="15"/>
  <c r="AH28" i="15"/>
  <c r="AK27" i="15"/>
  <c r="C51" i="15"/>
  <c r="AG20" i="15"/>
  <c r="AZ30" i="15"/>
  <c r="AT27" i="15"/>
  <c r="I169" i="41"/>
  <c r="M51" i="15"/>
  <c r="AW17" i="15"/>
  <c r="AN50" i="15"/>
  <c r="AA57" i="15"/>
  <c r="BA40" i="15"/>
  <c r="AB38" i="15"/>
  <c r="AA58" i="15"/>
  <c r="M13" i="15"/>
  <c r="O35" i="15"/>
  <c r="J17" i="15"/>
  <c r="AA18" i="15"/>
  <c r="AD36" i="15"/>
  <c r="AX40" i="15"/>
  <c r="AX50" i="15"/>
  <c r="AE48" i="15"/>
  <c r="AY25" i="15"/>
  <c r="J32" i="15"/>
  <c r="AP56" i="15"/>
  <c r="Z55" i="15"/>
  <c r="AW27" i="15"/>
  <c r="O37" i="15"/>
  <c r="O45" i="15"/>
  <c r="AO10" i="15"/>
  <c r="I52" i="15"/>
  <c r="AW18" i="15"/>
  <c r="X36" i="15"/>
  <c r="AR48" i="15"/>
  <c r="AX15" i="15"/>
  <c r="AY32" i="15"/>
  <c r="BA58" i="15"/>
  <c r="L22" i="15"/>
  <c r="J169" i="41"/>
  <c r="AH32" i="15"/>
  <c r="H47" i="15"/>
  <c r="AX22" i="15"/>
  <c r="AK47" i="15"/>
  <c r="AS55" i="15"/>
  <c r="AR41" i="15"/>
  <c r="AO46" i="15"/>
  <c r="C169" i="41"/>
  <c r="P113" i="35"/>
  <c r="AA113" i="35"/>
  <c r="P68" i="35"/>
  <c r="AA68" i="35"/>
  <c r="P120" i="35"/>
  <c r="AA120" i="35"/>
  <c r="P92" i="35"/>
  <c r="L32" i="3"/>
  <c r="M32" i="3"/>
  <c r="P43" i="35"/>
  <c r="AA43" i="35"/>
  <c r="S40" i="43"/>
  <c r="P132" i="35"/>
  <c r="S107" i="43"/>
  <c r="L31" i="3"/>
  <c r="P67" i="35"/>
  <c r="S23" i="43"/>
  <c r="X23" i="43"/>
  <c r="X86" i="43"/>
  <c r="S108" i="43"/>
  <c r="T108" i="43"/>
  <c r="P89" i="35"/>
  <c r="P63" i="35"/>
  <c r="S105" i="43"/>
  <c r="S84" i="43"/>
  <c r="S55" i="43"/>
  <c r="T55" i="43"/>
  <c r="S111" i="43"/>
  <c r="X111" i="43"/>
  <c r="P72" i="35"/>
  <c r="L17" i="3"/>
  <c r="S33" i="43"/>
  <c r="L61" i="3"/>
  <c r="T129" i="43"/>
  <c r="AR19" i="43"/>
  <c r="D220" i="41"/>
  <c r="L50" i="3"/>
  <c r="S82" i="43"/>
  <c r="T82" i="43"/>
  <c r="L119" i="3"/>
  <c r="S110" i="43"/>
  <c r="L85" i="3"/>
  <c r="P73" i="35"/>
  <c r="AA73" i="35"/>
  <c r="M50" i="3"/>
  <c r="C225" i="41"/>
  <c r="D224" i="41"/>
  <c r="L101" i="3"/>
  <c r="L70" i="3"/>
  <c r="L57" i="3"/>
  <c r="S119" i="43"/>
  <c r="X119" i="43"/>
  <c r="S124" i="43"/>
  <c r="X124" i="43"/>
  <c r="M107" i="3"/>
  <c r="P91" i="35"/>
  <c r="S101" i="43"/>
  <c r="P19" i="35"/>
  <c r="L97" i="3"/>
  <c r="P57" i="35"/>
  <c r="S53" i="43"/>
  <c r="X53" i="43"/>
  <c r="L92" i="3"/>
  <c r="L25" i="3"/>
  <c r="S57" i="43"/>
  <c r="S125" i="43"/>
  <c r="T125" i="43"/>
  <c r="S63" i="43"/>
  <c r="X139" i="43"/>
  <c r="X55" i="43"/>
  <c r="AR22" i="43"/>
  <c r="C220" i="41"/>
  <c r="L121" i="3"/>
  <c r="P54" i="35"/>
  <c r="L47" i="3"/>
  <c r="M47" i="3"/>
  <c r="L138" i="3"/>
  <c r="P15" i="35"/>
  <c r="S117" i="43"/>
  <c r="T117" i="43"/>
  <c r="M121" i="3"/>
  <c r="D219" i="41"/>
  <c r="S15" i="43"/>
  <c r="AS22" i="43"/>
  <c r="P134" i="35"/>
  <c r="L53" i="3"/>
  <c r="L34" i="3"/>
  <c r="X39" i="43"/>
  <c r="P59" i="35"/>
  <c r="P47" i="35"/>
  <c r="L106" i="3"/>
  <c r="P121" i="35"/>
  <c r="S60" i="43"/>
  <c r="X60" i="43"/>
  <c r="S26" i="43"/>
  <c r="T26" i="43"/>
  <c r="S46" i="43"/>
  <c r="P131" i="35"/>
  <c r="S51" i="43"/>
  <c r="P111" i="35"/>
  <c r="L136" i="3"/>
  <c r="S116" i="43"/>
  <c r="T139" i="43"/>
  <c r="X107" i="43"/>
  <c r="T101" i="43"/>
  <c r="T89" i="43"/>
  <c r="T51" i="43"/>
  <c r="D192" i="41"/>
  <c r="C192" i="41"/>
  <c r="L43" i="3"/>
  <c r="M43" i="3"/>
  <c r="S35" i="43"/>
  <c r="L102" i="3"/>
  <c r="S94" i="43"/>
  <c r="L18" i="3"/>
  <c r="L66" i="3"/>
  <c r="C168" i="41"/>
  <c r="P82" i="35"/>
  <c r="C189" i="41"/>
  <c r="S123" i="43"/>
  <c r="S132" i="43"/>
  <c r="S138" i="43"/>
  <c r="M57" i="3"/>
  <c r="M67" i="3"/>
  <c r="L118" i="3"/>
  <c r="P56" i="35"/>
  <c r="S102" i="43"/>
  <c r="L139" i="3"/>
  <c r="P25" i="35"/>
  <c r="P99" i="35"/>
  <c r="P117" i="35"/>
  <c r="L21" i="3"/>
  <c r="S99" i="43"/>
  <c r="S135" i="43"/>
  <c r="P127" i="35"/>
  <c r="S54" i="43"/>
  <c r="T35" i="43"/>
  <c r="X72" i="43"/>
  <c r="T107" i="43"/>
  <c r="X51" i="43"/>
  <c r="T135" i="43"/>
  <c r="AS23" i="43"/>
  <c r="T127" i="43"/>
  <c r="T116" i="43"/>
  <c r="T138" i="43"/>
  <c r="X59" i="43"/>
  <c r="X99" i="43"/>
  <c r="P112" i="35"/>
  <c r="S120" i="43"/>
  <c r="P64" i="35"/>
  <c r="S45" i="43"/>
  <c r="S73" i="43"/>
  <c r="X43" i="43"/>
  <c r="X101" i="43"/>
  <c r="X26" i="43"/>
  <c r="T111" i="43"/>
  <c r="AR25" i="43"/>
  <c r="X127" i="43"/>
  <c r="X116" i="43"/>
  <c r="T132" i="43"/>
  <c r="X48" i="43"/>
  <c r="X31" i="43"/>
  <c r="T120" i="43"/>
  <c r="T45" i="43"/>
  <c r="L90" i="3"/>
  <c r="L82" i="3"/>
  <c r="S122" i="43"/>
  <c r="T122" i="43"/>
  <c r="S112" i="43"/>
  <c r="P108" i="35"/>
  <c r="X94" i="43"/>
  <c r="X15" i="43"/>
  <c r="X91" i="43"/>
  <c r="T62" i="43"/>
  <c r="X102" i="43"/>
  <c r="X89" i="43"/>
  <c r="T54" i="43"/>
  <c r="X38" i="43"/>
  <c r="T46" i="43"/>
  <c r="T22" i="43"/>
  <c r="T100" i="43"/>
  <c r="T68" i="43"/>
  <c r="T123" i="43"/>
  <c r="X132" i="43"/>
  <c r="T48" i="43"/>
  <c r="T31" i="43"/>
  <c r="X120" i="43"/>
  <c r="AR88" i="43"/>
  <c r="S98" i="43"/>
  <c r="L137" i="3"/>
  <c r="P122" i="35"/>
  <c r="T23" i="43"/>
  <c r="X108" i="43"/>
  <c r="X131" i="43"/>
  <c r="T60" i="43"/>
  <c r="T53" i="43"/>
  <c r="X128" i="43"/>
  <c r="T98" i="43"/>
  <c r="X125" i="43"/>
  <c r="X73" i="43"/>
  <c r="X52" i="43"/>
  <c r="T38" i="43"/>
  <c r="X46" i="43"/>
  <c r="X22" i="43"/>
  <c r="X100" i="43"/>
  <c r="X123" i="43"/>
  <c r="X138" i="43"/>
  <c r="T59" i="43"/>
  <c r="T99" i="43"/>
  <c r="X122" i="43"/>
  <c r="X45" i="43"/>
  <c r="S49" i="43"/>
  <c r="L133" i="3"/>
  <c r="P62" i="35"/>
  <c r="P96" i="35"/>
  <c r="L110" i="3"/>
  <c r="P65" i="35"/>
  <c r="L44" i="3"/>
  <c r="P52" i="35"/>
  <c r="L88" i="3"/>
  <c r="P103" i="35"/>
  <c r="L127" i="3"/>
  <c r="S27" i="43"/>
  <c r="T27" i="43"/>
  <c r="P138" i="35"/>
  <c r="P114" i="35"/>
  <c r="L16" i="3"/>
  <c r="M16" i="3"/>
  <c r="L84" i="3"/>
  <c r="P53" i="35"/>
  <c r="S90" i="43"/>
  <c r="X90" i="43"/>
  <c r="P37" i="35"/>
  <c r="P83" i="35"/>
  <c r="S70" i="43"/>
  <c r="S140" i="43"/>
  <c r="S44" i="43"/>
  <c r="P137" i="35"/>
  <c r="P74" i="35"/>
  <c r="L117" i="3"/>
  <c r="S133" i="43"/>
  <c r="L26" i="3"/>
  <c r="P35" i="35"/>
  <c r="L115" i="3"/>
  <c r="S56" i="43"/>
  <c r="L60" i="3"/>
  <c r="P48" i="35"/>
  <c r="AA48" i="35"/>
  <c r="P17" i="35"/>
  <c r="L89" i="3"/>
  <c r="P39" i="35"/>
  <c r="L56" i="3"/>
  <c r="L37" i="3"/>
  <c r="M37" i="3"/>
  <c r="L24" i="3"/>
  <c r="P133" i="35"/>
  <c r="S109" i="43"/>
  <c r="P130" i="35"/>
  <c r="L51" i="3"/>
  <c r="P30" i="35"/>
  <c r="P81" i="35"/>
  <c r="P129" i="35"/>
  <c r="P21" i="35"/>
  <c r="L91" i="3"/>
  <c r="L55" i="3"/>
  <c r="P116" i="35"/>
  <c r="P60" i="35"/>
  <c r="L93" i="3"/>
  <c r="S66" i="43"/>
  <c r="S92" i="43"/>
  <c r="X92" i="43"/>
  <c r="L100" i="3"/>
  <c r="L124" i="3"/>
  <c r="S96" i="43"/>
  <c r="X96" i="43"/>
  <c r="S19" i="43"/>
  <c r="S87" i="43"/>
  <c r="P139" i="35"/>
  <c r="S30" i="43"/>
  <c r="P101" i="35"/>
  <c r="L36" i="3"/>
  <c r="M36" i="3"/>
  <c r="S81" i="43"/>
  <c r="L86" i="3"/>
  <c r="P94" i="35"/>
  <c r="S67" i="43"/>
  <c r="L64" i="3"/>
  <c r="P106" i="35"/>
  <c r="L99" i="3"/>
  <c r="S71" i="43"/>
  <c r="S61" i="43"/>
  <c r="P36" i="35"/>
  <c r="S32" i="43"/>
  <c r="S134" i="43"/>
  <c r="L19" i="3"/>
  <c r="P70" i="35"/>
  <c r="P136" i="35"/>
  <c r="L98" i="3"/>
  <c r="S113" i="43"/>
  <c r="T113" i="43"/>
  <c r="S85" i="43"/>
  <c r="S21" i="43"/>
  <c r="T21" i="43"/>
  <c r="L95" i="3"/>
  <c r="L48" i="3"/>
  <c r="P124" i="35"/>
  <c r="L30" i="3"/>
  <c r="L15" i="3"/>
  <c r="P125" i="35"/>
  <c r="S42" i="43"/>
  <c r="S65" i="43"/>
  <c r="L116" i="3"/>
  <c r="L104" i="3"/>
  <c r="S121" i="43"/>
  <c r="S115" i="43"/>
  <c r="X115" i="43"/>
  <c r="L105" i="3"/>
  <c r="S25" i="43"/>
  <c r="T25" i="43"/>
  <c r="P50" i="35"/>
  <c r="P135" i="35"/>
  <c r="P31" i="35"/>
  <c r="P88" i="35"/>
  <c r="AS88" i="43"/>
  <c r="S18" i="43"/>
  <c r="S17" i="43"/>
  <c r="S88" i="43"/>
  <c r="AS25" i="43"/>
  <c r="S118" i="43"/>
  <c r="S50" i="43"/>
  <c r="L112" i="3"/>
  <c r="P110" i="35"/>
  <c r="L81" i="3"/>
  <c r="L73" i="3"/>
  <c r="P34" i="35"/>
  <c r="S36" i="43"/>
  <c r="P66" i="35"/>
  <c r="L42" i="3"/>
  <c r="P18" i="35"/>
  <c r="P32" i="35"/>
  <c r="P33" i="35"/>
  <c r="S97" i="43"/>
  <c r="S41" i="43"/>
  <c r="X41" i="43"/>
  <c r="P51" i="35"/>
  <c r="S20" i="43"/>
  <c r="S103" i="43"/>
  <c r="P86" i="35"/>
  <c r="L27" i="3"/>
  <c r="M27" i="3"/>
  <c r="P41" i="35"/>
  <c r="L123" i="3"/>
  <c r="S104" i="43"/>
  <c r="P46" i="35"/>
  <c r="P22" i="35"/>
  <c r="S47" i="43"/>
  <c r="S24" i="43"/>
  <c r="P93" i="35"/>
  <c r="L35" i="3"/>
  <c r="L103" i="3"/>
  <c r="P49" i="35"/>
  <c r="L29" i="3"/>
  <c r="P40" i="35"/>
  <c r="P123" i="35"/>
  <c r="P98" i="35"/>
  <c r="L94" i="3"/>
  <c r="L108" i="3"/>
  <c r="L83" i="3"/>
  <c r="L120" i="3"/>
  <c r="L71" i="3"/>
  <c r="M71" i="3"/>
  <c r="L125" i="3"/>
  <c r="P140" i="35"/>
  <c r="S93" i="43"/>
  <c r="T93" i="43"/>
  <c r="S28" i="43"/>
  <c r="S95" i="43"/>
  <c r="P16" i="35"/>
  <c r="AA16" i="35"/>
  <c r="L130" i="3"/>
  <c r="AS91" i="43"/>
  <c r="S37" i="43"/>
  <c r="L45" i="3"/>
  <c r="S58" i="43"/>
  <c r="P42" i="35"/>
  <c r="S130" i="43"/>
  <c r="P84" i="35"/>
  <c r="L46" i="3"/>
  <c r="S69" i="43"/>
  <c r="L20" i="3"/>
  <c r="L54" i="3"/>
  <c r="P29" i="35"/>
  <c r="S64" i="43"/>
  <c r="X64" i="43"/>
  <c r="L39" i="3"/>
  <c r="P119" i="35"/>
  <c r="P58" i="35"/>
  <c r="AA58" i="35"/>
  <c r="P44" i="35"/>
  <c r="AA44" i="35"/>
  <c r="P95" i="35"/>
  <c r="AA95" i="35"/>
  <c r="P45" i="35"/>
  <c r="L33" i="3"/>
  <c r="S29" i="43"/>
  <c r="X29" i="43"/>
  <c r="T136" i="43"/>
  <c r="X136" i="43"/>
  <c r="T34" i="43"/>
  <c r="X137" i="43"/>
  <c r="T126" i="43"/>
  <c r="X114" i="43"/>
  <c r="T114" i="43"/>
  <c r="T40" i="43"/>
  <c r="X40" i="43"/>
  <c r="T105" i="43"/>
  <c r="X105" i="43"/>
  <c r="X84" i="43"/>
  <c r="T84" i="43"/>
  <c r="X33" i="43"/>
  <c r="T33" i="43"/>
  <c r="X110" i="43"/>
  <c r="T110" i="43"/>
  <c r="X57" i="43"/>
  <c r="X63" i="43"/>
  <c r="T112" i="43"/>
  <c r="T49" i="43"/>
  <c r="X70" i="43"/>
  <c r="T70" i="43"/>
  <c r="T140" i="43"/>
  <c r="X140" i="43"/>
  <c r="T44" i="43"/>
  <c r="X44" i="43"/>
  <c r="T133" i="43"/>
  <c r="X133" i="43"/>
  <c r="T56" i="43"/>
  <c r="X56" i="43"/>
  <c r="T109" i="43"/>
  <c r="X109" i="43"/>
  <c r="T66" i="43"/>
  <c r="X66" i="43"/>
  <c r="X19" i="43"/>
  <c r="X87" i="43"/>
  <c r="T87" i="43"/>
  <c r="T30" i="43"/>
  <c r="T81" i="43"/>
  <c r="X67" i="43"/>
  <c r="T67" i="43"/>
  <c r="T71" i="43"/>
  <c r="X71" i="43"/>
  <c r="T61" i="43"/>
  <c r="X61" i="43"/>
  <c r="T32" i="43"/>
  <c r="X32" i="43"/>
  <c r="T134" i="43"/>
  <c r="X134" i="43"/>
  <c r="T85" i="43"/>
  <c r="X85" i="43"/>
  <c r="T42" i="43"/>
  <c r="T65" i="43"/>
  <c r="X65" i="43"/>
  <c r="T121" i="43"/>
  <c r="X121" i="43"/>
  <c r="T18" i="43"/>
  <c r="X18" i="43"/>
  <c r="T17" i="43"/>
  <c r="T88" i="43"/>
  <c r="X118" i="43"/>
  <c r="T118" i="43"/>
  <c r="X50" i="43"/>
  <c r="T50" i="43"/>
  <c r="T36" i="43"/>
  <c r="X36" i="43"/>
  <c r="X97" i="43"/>
  <c r="T97" i="43"/>
  <c r="T20" i="43"/>
  <c r="X20" i="43"/>
  <c r="X103" i="43"/>
  <c r="T103" i="43"/>
  <c r="T104" i="43"/>
  <c r="X104" i="43"/>
  <c r="T47" i="43"/>
  <c r="T24" i="43"/>
  <c r="T28" i="43"/>
  <c r="X28" i="43"/>
  <c r="T95" i="43"/>
  <c r="X95" i="43"/>
  <c r="X37" i="43"/>
  <c r="T37" i="43"/>
  <c r="X58" i="43"/>
  <c r="T58" i="43"/>
  <c r="X130" i="43"/>
  <c r="T130" i="43"/>
  <c r="X69" i="43"/>
  <c r="T69" i="43"/>
  <c r="AS54" i="43"/>
  <c r="AS19" i="43"/>
  <c r="AA15" i="43"/>
  <c r="N33" i="43"/>
  <c r="AS47" i="43"/>
  <c r="L158" i="49"/>
  <c r="G143" i="49"/>
  <c r="G210" i="49"/>
  <c r="G194" i="49"/>
  <c r="L115" i="49"/>
  <c r="G193" i="49"/>
  <c r="G191" i="49"/>
  <c r="G184" i="49"/>
  <c r="L187" i="49"/>
  <c r="G111" i="49"/>
  <c r="L206" i="49"/>
  <c r="G204" i="49"/>
  <c r="L202" i="49"/>
  <c r="L196" i="49"/>
  <c r="G202" i="49"/>
  <c r="L193" i="49"/>
  <c r="L210" i="49"/>
  <c r="L175" i="49"/>
  <c r="G200" i="49"/>
  <c r="G141" i="49"/>
  <c r="G161" i="49"/>
  <c r="L180" i="49"/>
  <c r="L164" i="49"/>
  <c r="L211" i="49"/>
  <c r="L209" i="49"/>
  <c r="G90" i="49"/>
  <c r="L186" i="49"/>
  <c r="G197" i="49"/>
  <c r="L183" i="49"/>
  <c r="G170" i="49"/>
  <c r="L191" i="49"/>
  <c r="L204" i="49"/>
  <c r="G106" i="49"/>
  <c r="L199" i="49"/>
  <c r="G182" i="49"/>
  <c r="L163" i="49"/>
  <c r="G176" i="49"/>
  <c r="L44" i="49"/>
  <c r="L173" i="49"/>
  <c r="L155" i="49"/>
  <c r="L200" i="49"/>
  <c r="G186" i="49"/>
  <c r="L171" i="49"/>
  <c r="G156" i="49"/>
  <c r="G189" i="49"/>
  <c r="L174" i="49"/>
  <c r="L192" i="49"/>
  <c r="L169" i="49"/>
  <c r="G196" i="49"/>
  <c r="G131" i="49"/>
  <c r="L37" i="49"/>
  <c r="L166" i="49"/>
  <c r="L195" i="49"/>
  <c r="G101" i="49"/>
  <c r="G166" i="49"/>
  <c r="L201" i="49"/>
  <c r="G205" i="49"/>
  <c r="L203" i="49"/>
  <c r="L212" i="49"/>
  <c r="L139" i="49"/>
  <c r="L182" i="49"/>
  <c r="G160" i="49"/>
  <c r="G207" i="49"/>
  <c r="G195" i="49"/>
  <c r="G179" i="49"/>
  <c r="G174" i="49"/>
  <c r="G199" i="49"/>
  <c r="L179" i="49"/>
  <c r="G121" i="49"/>
  <c r="G188" i="49"/>
  <c r="L167" i="49"/>
  <c r="L205" i="49"/>
  <c r="L194" i="49"/>
  <c r="G203" i="49"/>
  <c r="L168" i="49"/>
  <c r="G208" i="49"/>
  <c r="L177" i="49"/>
  <c r="G198" i="49"/>
  <c r="G177" i="49"/>
  <c r="G209" i="49"/>
  <c r="G183" i="49"/>
  <c r="G175" i="49"/>
  <c r="G145" i="49"/>
  <c r="L190" i="49"/>
  <c r="G88" i="49"/>
  <c r="G158" i="49"/>
  <c r="G190" i="49"/>
  <c r="G117" i="49"/>
  <c r="L176" i="49"/>
  <c r="G167" i="49"/>
  <c r="L159" i="49"/>
  <c r="L129" i="49"/>
  <c r="L188" i="49"/>
  <c r="L178" i="49"/>
  <c r="G124" i="49"/>
  <c r="M36" i="43"/>
  <c r="AH86" i="43"/>
  <c r="AA86" i="43"/>
  <c r="AC86" i="43"/>
  <c r="AF86" i="43"/>
  <c r="AB86" i="43"/>
  <c r="AG86" i="43"/>
  <c r="K158" i="49"/>
  <c r="K59" i="35"/>
  <c r="L59" i="35"/>
  <c r="AB59" i="35"/>
  <c r="K134" i="49"/>
  <c r="F143" i="49"/>
  <c r="L114" i="35"/>
  <c r="AB114" i="35"/>
  <c r="K56" i="49"/>
  <c r="K114" i="35"/>
  <c r="W51" i="48"/>
  <c r="W50" i="48"/>
  <c r="W52" i="48"/>
  <c r="W49" i="48"/>
  <c r="K88" i="49"/>
  <c r="L141" i="3"/>
  <c r="K148" i="49"/>
  <c r="K42" i="49"/>
  <c r="AB100" i="35"/>
  <c r="L100" i="35"/>
  <c r="K100" i="35"/>
  <c r="F118" i="49"/>
  <c r="AB72" i="43"/>
  <c r="AF72" i="43"/>
  <c r="AG72" i="43"/>
  <c r="AH72" i="43"/>
  <c r="AA72" i="43"/>
  <c r="AC72" i="43"/>
  <c r="F210" i="49"/>
  <c r="AB29" i="35"/>
  <c r="L29" i="35"/>
  <c r="AB49" i="43"/>
  <c r="AG49" i="43"/>
  <c r="F187" i="49"/>
  <c r="AA49" i="43"/>
  <c r="AC49" i="43"/>
  <c r="AH49" i="43"/>
  <c r="AF49" i="43"/>
  <c r="AB56" i="43"/>
  <c r="AH56" i="43"/>
  <c r="AF56" i="43"/>
  <c r="AA56" i="43"/>
  <c r="AC56" i="43"/>
  <c r="AG56" i="43"/>
  <c r="F194" i="49"/>
  <c r="K115" i="49"/>
  <c r="AB123" i="35"/>
  <c r="L123" i="35"/>
  <c r="K65" i="49"/>
  <c r="K123" i="35"/>
  <c r="AB55" i="43"/>
  <c r="AA55" i="43"/>
  <c r="AC55" i="43"/>
  <c r="AH55" i="43"/>
  <c r="F193" i="49"/>
  <c r="AG55" i="43"/>
  <c r="AF55" i="43"/>
  <c r="K40" i="49"/>
  <c r="AB98" i="35"/>
  <c r="K98" i="35"/>
  <c r="L98" i="35"/>
  <c r="AG21" i="43"/>
  <c r="F159" i="49"/>
  <c r="AA21" i="43"/>
  <c r="AC21" i="43"/>
  <c r="AF21" i="43"/>
  <c r="AB21" i="43"/>
  <c r="AH21" i="43"/>
  <c r="AB18" i="35"/>
  <c r="L18" i="35"/>
  <c r="AB53" i="43"/>
  <c r="AA53" i="43"/>
  <c r="AC53" i="43"/>
  <c r="F191" i="49"/>
  <c r="AF53" i="43"/>
  <c r="AG53" i="43"/>
  <c r="AH53" i="43"/>
  <c r="F93" i="49"/>
  <c r="AB88" i="35"/>
  <c r="K30" i="49"/>
  <c r="L88" i="35"/>
  <c r="K88" i="35"/>
  <c r="K126" i="49"/>
  <c r="AG46" i="43"/>
  <c r="AB46" i="43"/>
  <c r="F184" i="49"/>
  <c r="AA46" i="43"/>
  <c r="AC46" i="43"/>
  <c r="AH46" i="43"/>
  <c r="AF46" i="43"/>
  <c r="AG115" i="43"/>
  <c r="AH115" i="43"/>
  <c r="AF115" i="43"/>
  <c r="AB115" i="43"/>
  <c r="AA115" i="43"/>
  <c r="AC115" i="43"/>
  <c r="K187" i="49"/>
  <c r="F111" i="49"/>
  <c r="AH134" i="43"/>
  <c r="AB134" i="43"/>
  <c r="AF134" i="43"/>
  <c r="AG134" i="43"/>
  <c r="K206" i="49"/>
  <c r="AA134" i="43"/>
  <c r="AC134" i="43"/>
  <c r="K97" i="35"/>
  <c r="K39" i="49"/>
  <c r="L97" i="35"/>
  <c r="AB97" i="35"/>
  <c r="K32" i="35"/>
  <c r="L32" i="35"/>
  <c r="AB32" i="35"/>
  <c r="K139" i="35"/>
  <c r="AB139" i="35"/>
  <c r="L139" i="35"/>
  <c r="K81" i="49"/>
  <c r="AB66" i="43"/>
  <c r="F204" i="49"/>
  <c r="AG66" i="43"/>
  <c r="AA66" i="43"/>
  <c r="AC66" i="43"/>
  <c r="AF66" i="43"/>
  <c r="AH66" i="43"/>
  <c r="AF130" i="43"/>
  <c r="AH130" i="43"/>
  <c r="AB130" i="43"/>
  <c r="AG130" i="43"/>
  <c r="AA130" i="43"/>
  <c r="AC130" i="43"/>
  <c r="K202" i="49"/>
  <c r="AB124" i="43"/>
  <c r="AF124" i="43"/>
  <c r="AA124" i="43"/>
  <c r="AC124" i="43"/>
  <c r="AG124" i="43"/>
  <c r="K196" i="49"/>
  <c r="AH124" i="43"/>
  <c r="L58" i="35"/>
  <c r="K58" i="35"/>
  <c r="AB58" i="35"/>
  <c r="K123" i="49"/>
  <c r="K93" i="35"/>
  <c r="AB93" i="35"/>
  <c r="K35" i="49"/>
  <c r="L93" i="35"/>
  <c r="AG64" i="43"/>
  <c r="F202" i="49"/>
  <c r="AA64" i="43"/>
  <c r="AC64" i="43"/>
  <c r="AB64" i="43"/>
  <c r="AF64" i="43"/>
  <c r="AH64" i="43"/>
  <c r="F140" i="49"/>
  <c r="AH121" i="43"/>
  <c r="AF121" i="43"/>
  <c r="AB121" i="43"/>
  <c r="K193" i="49"/>
  <c r="AG121" i="43"/>
  <c r="AA121" i="43"/>
  <c r="AC121" i="43"/>
  <c r="K89" i="49"/>
  <c r="AG138" i="43"/>
  <c r="AA138" i="43"/>
  <c r="AC138" i="43"/>
  <c r="AB138" i="43"/>
  <c r="AH138" i="43"/>
  <c r="AF138" i="43"/>
  <c r="K210" i="49"/>
  <c r="AA103" i="43"/>
  <c r="AC103" i="43"/>
  <c r="AF103" i="43"/>
  <c r="K175" i="49"/>
  <c r="AH103" i="43"/>
  <c r="AB103" i="43"/>
  <c r="AG103" i="43"/>
  <c r="AB62" i="43"/>
  <c r="AG62" i="43"/>
  <c r="F200" i="49"/>
  <c r="AH62" i="43"/>
  <c r="AA62" i="43"/>
  <c r="AC62" i="43"/>
  <c r="AF62" i="43"/>
  <c r="AB117" i="35"/>
  <c r="L117" i="35"/>
  <c r="K117" i="35"/>
  <c r="K59" i="49"/>
  <c r="F108" i="49"/>
  <c r="L140" i="35"/>
  <c r="K140" i="35"/>
  <c r="AB140" i="35"/>
  <c r="K82" i="49"/>
  <c r="M32" i="43"/>
  <c r="AB106" i="35"/>
  <c r="K106" i="35"/>
  <c r="L106" i="35"/>
  <c r="K48" i="49"/>
  <c r="F141" i="49"/>
  <c r="L43" i="35"/>
  <c r="K43" i="35"/>
  <c r="AB43" i="35"/>
  <c r="F172" i="49"/>
  <c r="AF34" i="43"/>
  <c r="AH34" i="43"/>
  <c r="AG34" i="43"/>
  <c r="AB34" i="43"/>
  <c r="AA34" i="43"/>
  <c r="AC34" i="43"/>
  <c r="L21" i="35"/>
  <c r="AB21" i="35"/>
  <c r="AG23" i="43"/>
  <c r="AH23" i="43"/>
  <c r="F161" i="49"/>
  <c r="AA23" i="43"/>
  <c r="AC23" i="43"/>
  <c r="AF23" i="43"/>
  <c r="AB23" i="43"/>
  <c r="F102" i="49"/>
  <c r="K115" i="35"/>
  <c r="K57" i="49"/>
  <c r="AB115" i="35"/>
  <c r="L115" i="35"/>
  <c r="L137" i="35"/>
  <c r="K137" i="35"/>
  <c r="AB137" i="35"/>
  <c r="K79" i="49"/>
  <c r="F133" i="49"/>
  <c r="AF117" i="43"/>
  <c r="AA117" i="43"/>
  <c r="AC117" i="43"/>
  <c r="AH117" i="43"/>
  <c r="K189" i="49"/>
  <c r="AB117" i="43"/>
  <c r="AG117" i="43"/>
  <c r="L65" i="35"/>
  <c r="K65" i="35"/>
  <c r="AB65" i="35"/>
  <c r="F89" i="49"/>
  <c r="L24" i="35"/>
  <c r="AB24" i="35"/>
  <c r="L73" i="35"/>
  <c r="AB73" i="35"/>
  <c r="K73" i="35"/>
  <c r="K180" i="49"/>
  <c r="AA108" i="43"/>
  <c r="AC108" i="43"/>
  <c r="AB108" i="43"/>
  <c r="AF108" i="43"/>
  <c r="AH108" i="43"/>
  <c r="AG108" i="43"/>
  <c r="L28" i="35"/>
  <c r="AB28" i="35"/>
  <c r="AF92" i="43"/>
  <c r="AG92" i="43"/>
  <c r="K164" i="49"/>
  <c r="AB92" i="43"/>
  <c r="AA92" i="43"/>
  <c r="AC92" i="43"/>
  <c r="AH92" i="43"/>
  <c r="AB139" i="43"/>
  <c r="AF139" i="43"/>
  <c r="K211" i="49"/>
  <c r="AA139" i="43"/>
  <c r="AC139" i="43"/>
  <c r="AG139" i="43"/>
  <c r="AH139" i="43"/>
  <c r="AB91" i="35"/>
  <c r="K33" i="49"/>
  <c r="L91" i="35"/>
  <c r="K91" i="35"/>
  <c r="AB137" i="43"/>
  <c r="AF137" i="43"/>
  <c r="AH137" i="43"/>
  <c r="K209" i="49"/>
  <c r="AA137" i="43"/>
  <c r="AC137" i="43"/>
  <c r="AG137" i="43"/>
  <c r="F97" i="49"/>
  <c r="F90" i="49"/>
  <c r="K47" i="35"/>
  <c r="L47" i="35"/>
  <c r="AB47" i="35"/>
  <c r="K143" i="49"/>
  <c r="K52" i="35"/>
  <c r="AB52" i="35"/>
  <c r="L52" i="35"/>
  <c r="AB114" i="43"/>
  <c r="K186" i="49"/>
  <c r="AA114" i="43"/>
  <c r="AC114" i="43"/>
  <c r="AH114" i="43"/>
  <c r="AG114" i="43"/>
  <c r="AF114" i="43"/>
  <c r="AH59" i="43"/>
  <c r="AA59" i="43"/>
  <c r="AC59" i="43"/>
  <c r="AG59" i="43"/>
  <c r="AB59" i="43"/>
  <c r="F197" i="49"/>
  <c r="AF59" i="43"/>
  <c r="F95" i="49"/>
  <c r="F134" i="49"/>
  <c r="AB23" i="35"/>
  <c r="L23" i="35"/>
  <c r="F128" i="49"/>
  <c r="AA111" i="43"/>
  <c r="AC111" i="43"/>
  <c r="AB111" i="43"/>
  <c r="K183" i="49"/>
  <c r="AH111" i="43"/>
  <c r="AF111" i="43"/>
  <c r="AG111" i="43"/>
  <c r="K102" i="49"/>
  <c r="K103" i="49"/>
  <c r="L40" i="35"/>
  <c r="AB40" i="35"/>
  <c r="K40" i="35"/>
  <c r="K100" i="49"/>
  <c r="AB70" i="35"/>
  <c r="L70" i="35"/>
  <c r="K70" i="35"/>
  <c r="N98" i="43"/>
  <c r="I93" i="41"/>
  <c r="F116" i="49"/>
  <c r="AB131" i="35"/>
  <c r="L131" i="35"/>
  <c r="K131" i="35"/>
  <c r="K73" i="49"/>
  <c r="K113" i="49"/>
  <c r="F98" i="49"/>
  <c r="AB56" i="35"/>
  <c r="K56" i="35"/>
  <c r="L56" i="35"/>
  <c r="AB112" i="35"/>
  <c r="K112" i="35"/>
  <c r="K54" i="49"/>
  <c r="L112" i="35"/>
  <c r="K33" i="35"/>
  <c r="L33" i="35"/>
  <c r="AB33" i="35"/>
  <c r="AG30" i="43"/>
  <c r="F168" i="49"/>
  <c r="AA30" i="43"/>
  <c r="AC30" i="43"/>
  <c r="AB30" i="43"/>
  <c r="AF30" i="43"/>
  <c r="AH30" i="43"/>
  <c r="AF32" i="43"/>
  <c r="AB32" i="43"/>
  <c r="AA32" i="43"/>
  <c r="AC32" i="43"/>
  <c r="AG32" i="43"/>
  <c r="AH32" i="43"/>
  <c r="F170" i="49"/>
  <c r="K42" i="35"/>
  <c r="L42" i="35"/>
  <c r="AB42" i="35"/>
  <c r="AF119" i="43"/>
  <c r="AA119" i="43"/>
  <c r="AC119" i="43"/>
  <c r="AH119" i="43"/>
  <c r="AB119" i="43"/>
  <c r="AG119" i="43"/>
  <c r="K191" i="49"/>
  <c r="K44" i="35"/>
  <c r="AB44" i="35"/>
  <c r="L44" i="35"/>
  <c r="K101" i="49"/>
  <c r="AH24" i="43"/>
  <c r="AF24" i="43"/>
  <c r="AB24" i="43"/>
  <c r="AA24" i="43"/>
  <c r="AC24" i="43"/>
  <c r="AG24" i="43"/>
  <c r="F162" i="49"/>
  <c r="F113" i="49"/>
  <c r="F92" i="49"/>
  <c r="AB35" i="35"/>
  <c r="L35" i="35"/>
  <c r="K35" i="35"/>
  <c r="K52" i="49"/>
  <c r="K110" i="35"/>
  <c r="L110" i="35"/>
  <c r="AB110" i="35"/>
  <c r="AH132" i="43"/>
  <c r="AB132" i="43"/>
  <c r="AA132" i="43"/>
  <c r="AC132" i="43"/>
  <c r="AG132" i="43"/>
  <c r="AF132" i="43"/>
  <c r="K204" i="49"/>
  <c r="AB86" i="35"/>
  <c r="L86" i="35"/>
  <c r="K86" i="35"/>
  <c r="K28" i="49"/>
  <c r="K112" i="49"/>
  <c r="K98" i="49"/>
  <c r="F127" i="49"/>
  <c r="AF93" i="43"/>
  <c r="AA93" i="43"/>
  <c r="AC93" i="43"/>
  <c r="AB93" i="43"/>
  <c r="K165" i="49"/>
  <c r="AG93" i="43"/>
  <c r="AH93" i="43"/>
  <c r="AB105" i="35"/>
  <c r="K47" i="49"/>
  <c r="K105" i="35"/>
  <c r="L105" i="35"/>
  <c r="F138" i="49"/>
  <c r="K140" i="49"/>
  <c r="F106" i="49"/>
  <c r="K130" i="49"/>
  <c r="L129" i="35"/>
  <c r="K71" i="49"/>
  <c r="K129" i="35"/>
  <c r="AB129" i="35"/>
  <c r="AB67" i="35"/>
  <c r="L67" i="35"/>
  <c r="K67" i="35"/>
  <c r="K109" i="35"/>
  <c r="AB109" i="35"/>
  <c r="L109" i="35"/>
  <c r="K51" i="49"/>
  <c r="AH127" i="43"/>
  <c r="AF127" i="43"/>
  <c r="K199" i="49"/>
  <c r="AG127" i="43"/>
  <c r="AA127" i="43"/>
  <c r="AC127" i="43"/>
  <c r="AB127" i="43"/>
  <c r="AG44" i="43"/>
  <c r="F182" i="49"/>
  <c r="AF44" i="43"/>
  <c r="AB44" i="43"/>
  <c r="AA44" i="43"/>
  <c r="AC44" i="43"/>
  <c r="AH44" i="43"/>
  <c r="AF91" i="43"/>
  <c r="K163" i="49"/>
  <c r="AG91" i="43"/>
  <c r="AA91" i="43"/>
  <c r="AC91" i="43"/>
  <c r="AB91" i="43"/>
  <c r="AH91" i="43"/>
  <c r="AB15" i="35"/>
  <c r="P76" i="35"/>
  <c r="W16" i="48"/>
  <c r="L15" i="35"/>
  <c r="W14" i="48"/>
  <c r="K118" i="49"/>
  <c r="M98" i="43"/>
  <c r="AH38" i="43"/>
  <c r="AF38" i="43"/>
  <c r="AG38" i="43"/>
  <c r="F176" i="49"/>
  <c r="AA38" i="43"/>
  <c r="AC38" i="43"/>
  <c r="AB38" i="43"/>
  <c r="K93" i="49"/>
  <c r="AB89" i="35"/>
  <c r="K31" i="49"/>
  <c r="L89" i="35"/>
  <c r="K89" i="35"/>
  <c r="F146" i="49"/>
  <c r="K108" i="49"/>
  <c r="L102" i="35"/>
  <c r="K102" i="35"/>
  <c r="K44" i="49"/>
  <c r="AB102" i="35"/>
  <c r="AB101" i="43"/>
  <c r="K173" i="49"/>
  <c r="AF101" i="43"/>
  <c r="AH101" i="43"/>
  <c r="AA101" i="43"/>
  <c r="AC101" i="43"/>
  <c r="AG101" i="43"/>
  <c r="AB83" i="43"/>
  <c r="K155" i="49"/>
  <c r="AF83" i="43"/>
  <c r="AH83" i="43"/>
  <c r="AA83" i="43"/>
  <c r="AC83" i="43"/>
  <c r="AG83" i="43"/>
  <c r="AB55" i="35"/>
  <c r="K55" i="35"/>
  <c r="L55" i="35"/>
  <c r="K92" i="49"/>
  <c r="K114" i="49"/>
  <c r="AH128" i="43"/>
  <c r="AG128" i="43"/>
  <c r="K200" i="49"/>
  <c r="AA128" i="43"/>
  <c r="AC128" i="43"/>
  <c r="AF128" i="43"/>
  <c r="AB128" i="43"/>
  <c r="K96" i="49"/>
  <c r="K119" i="49"/>
  <c r="AF48" i="43"/>
  <c r="AA48" i="43"/>
  <c r="AC48" i="43"/>
  <c r="F186" i="49"/>
  <c r="AH48" i="43"/>
  <c r="AG48" i="43"/>
  <c r="AB48" i="43"/>
  <c r="AA99" i="43"/>
  <c r="AC99" i="43"/>
  <c r="AF99" i="43"/>
  <c r="K171" i="49"/>
  <c r="AB99" i="43"/>
  <c r="AG99" i="43"/>
  <c r="AH99" i="43"/>
  <c r="K48" i="35"/>
  <c r="AB48" i="35"/>
  <c r="L48" i="35"/>
  <c r="F212" i="49"/>
  <c r="AB74" i="43"/>
  <c r="AG74" i="43"/>
  <c r="AA74" i="43"/>
  <c r="AC74" i="43"/>
  <c r="AH74" i="43"/>
  <c r="AF74" i="43"/>
  <c r="F94" i="49"/>
  <c r="AB72" i="35"/>
  <c r="L72" i="35"/>
  <c r="K72" i="35"/>
  <c r="K116" i="49"/>
  <c r="F122" i="49"/>
  <c r="F103" i="49"/>
  <c r="F99" i="49"/>
  <c r="K136" i="35"/>
  <c r="AB136" i="35"/>
  <c r="K78" i="49"/>
  <c r="L136" i="35"/>
  <c r="F156" i="49"/>
  <c r="AB18" i="43"/>
  <c r="AG18" i="43"/>
  <c r="AA18" i="43"/>
  <c r="AC18" i="43"/>
  <c r="AF18" i="43"/>
  <c r="AH18" i="43"/>
  <c r="K66" i="35"/>
  <c r="AB66" i="35"/>
  <c r="L66" i="35"/>
  <c r="AF51" i="43"/>
  <c r="AH51" i="43"/>
  <c r="AB51" i="43"/>
  <c r="AG51" i="43"/>
  <c r="F189" i="49"/>
  <c r="AA51" i="43"/>
  <c r="AC51" i="43"/>
  <c r="AA25" i="43"/>
  <c r="AC25" i="43"/>
  <c r="AH25" i="43"/>
  <c r="AG25" i="43"/>
  <c r="F163" i="49"/>
  <c r="AF25" i="43"/>
  <c r="AB25" i="43"/>
  <c r="K75" i="49"/>
  <c r="L133" i="35"/>
  <c r="K133" i="35"/>
  <c r="AB133" i="35"/>
  <c r="AA102" i="43"/>
  <c r="AC102" i="43"/>
  <c r="AG102" i="43"/>
  <c r="AB102" i="43"/>
  <c r="K174" i="49"/>
  <c r="AF102" i="43"/>
  <c r="AH102" i="43"/>
  <c r="AG120" i="43"/>
  <c r="AB120" i="43"/>
  <c r="AF120" i="43"/>
  <c r="AA120" i="43"/>
  <c r="AC120" i="43"/>
  <c r="AH120" i="43"/>
  <c r="K192" i="49"/>
  <c r="AB97" i="43"/>
  <c r="AG97" i="43"/>
  <c r="K169" i="49"/>
  <c r="AA97" i="43"/>
  <c r="AC97" i="43"/>
  <c r="AH97" i="43"/>
  <c r="AF97" i="43"/>
  <c r="K43" i="49"/>
  <c r="AB101" i="35"/>
  <c r="K101" i="35"/>
  <c r="L101" i="35"/>
  <c r="L36" i="35"/>
  <c r="AB36" i="35"/>
  <c r="K36" i="35"/>
  <c r="F196" i="49"/>
  <c r="AA58" i="43"/>
  <c r="AC58" i="43"/>
  <c r="AB58" i="43"/>
  <c r="AG58" i="43"/>
  <c r="AF58" i="43"/>
  <c r="AH58" i="43"/>
  <c r="F131" i="49"/>
  <c r="AB95" i="35"/>
  <c r="L95" i="35"/>
  <c r="K37" i="49"/>
  <c r="K95" i="35"/>
  <c r="L60" i="35"/>
  <c r="K60" i="35"/>
  <c r="AB60" i="35"/>
  <c r="AF47" i="43"/>
  <c r="F185" i="49"/>
  <c r="AA47" i="43"/>
  <c r="AC47" i="43"/>
  <c r="AH47" i="43"/>
  <c r="AG47" i="43"/>
  <c r="AB47" i="43"/>
  <c r="L119" i="35"/>
  <c r="AB119" i="35"/>
  <c r="K61" i="49"/>
  <c r="K119" i="35"/>
  <c r="AG94" i="43"/>
  <c r="AH94" i="43"/>
  <c r="AB94" i="43"/>
  <c r="K166" i="49"/>
  <c r="AA94" i="43"/>
  <c r="AC94" i="43"/>
  <c r="AF94" i="43"/>
  <c r="F100" i="49"/>
  <c r="K120" i="49"/>
  <c r="AH123" i="43"/>
  <c r="AG123" i="43"/>
  <c r="AB123" i="43"/>
  <c r="K195" i="49"/>
  <c r="AA123" i="43"/>
  <c r="AC123" i="43"/>
  <c r="AF123" i="43"/>
  <c r="F101" i="49"/>
  <c r="K124" i="49"/>
  <c r="K90" i="49"/>
  <c r="K134" i="35"/>
  <c r="K76" i="49"/>
  <c r="L134" i="35"/>
  <c r="AB134" i="35"/>
  <c r="AA28" i="43"/>
  <c r="AC28" i="43"/>
  <c r="AH28" i="43"/>
  <c r="AB28" i="43"/>
  <c r="F166" i="49"/>
  <c r="AG28" i="43"/>
  <c r="AF28" i="43"/>
  <c r="AF129" i="43"/>
  <c r="K201" i="49"/>
  <c r="AA129" i="43"/>
  <c r="AC129" i="43"/>
  <c r="AG129" i="43"/>
  <c r="AH129" i="43"/>
  <c r="AB129" i="43"/>
  <c r="AB67" i="43"/>
  <c r="F205" i="49"/>
  <c r="AH67" i="43"/>
  <c r="AG67" i="43"/>
  <c r="AA67" i="43"/>
  <c r="AC67" i="43"/>
  <c r="AF67" i="43"/>
  <c r="K71" i="35"/>
  <c r="AB71" i="35"/>
  <c r="L71" i="35"/>
  <c r="K92" i="35"/>
  <c r="L92" i="35"/>
  <c r="K34" i="49"/>
  <c r="AB92" i="35"/>
  <c r="AA131" i="43"/>
  <c r="AC131" i="43"/>
  <c r="AF131" i="43"/>
  <c r="AG131" i="43"/>
  <c r="K203" i="49"/>
  <c r="AH131" i="43"/>
  <c r="AB131" i="43"/>
  <c r="W21" i="48"/>
  <c r="AB81" i="35"/>
  <c r="P142" i="35"/>
  <c r="L81" i="35"/>
  <c r="W23" i="48"/>
  <c r="W22" i="48"/>
  <c r="W24" i="48"/>
  <c r="F105" i="49"/>
  <c r="K49" i="49"/>
  <c r="AB107" i="35"/>
  <c r="L107" i="35"/>
  <c r="K107" i="35"/>
  <c r="K142" i="49"/>
  <c r="K212" i="49"/>
  <c r="AF140" i="43"/>
  <c r="AG140" i="43"/>
  <c r="AA140" i="43"/>
  <c r="AC140" i="43"/>
  <c r="AB140" i="43"/>
  <c r="AH140" i="43"/>
  <c r="K139" i="49"/>
  <c r="K146" i="49"/>
  <c r="K96" i="35"/>
  <c r="AB96" i="35"/>
  <c r="L96" i="35"/>
  <c r="K38" i="49"/>
  <c r="K170" i="49"/>
  <c r="AH98" i="43"/>
  <c r="AF98" i="43"/>
  <c r="AG98" i="43"/>
  <c r="AA98" i="43"/>
  <c r="AC98" i="43"/>
  <c r="AB98" i="43"/>
  <c r="F137" i="49"/>
  <c r="AG110" i="43"/>
  <c r="AA110" i="43"/>
  <c r="AC110" i="43"/>
  <c r="AH110" i="43"/>
  <c r="AB110" i="43"/>
  <c r="AF110" i="43"/>
  <c r="K182" i="49"/>
  <c r="K63" i="35"/>
  <c r="AB63" i="35"/>
  <c r="L63" i="35"/>
  <c r="F132" i="49"/>
  <c r="K132" i="49"/>
  <c r="F126" i="49"/>
  <c r="AB19" i="35"/>
  <c r="L19" i="35"/>
  <c r="F142" i="49"/>
  <c r="K104" i="35"/>
  <c r="L104" i="35"/>
  <c r="AB104" i="35"/>
  <c r="K46" i="49"/>
  <c r="L53" i="35"/>
  <c r="K53" i="35"/>
  <c r="AB53" i="35"/>
  <c r="K121" i="35"/>
  <c r="K63" i="49"/>
  <c r="AB121" i="35"/>
  <c r="L121" i="35"/>
  <c r="AA22" i="43"/>
  <c r="AC22" i="43"/>
  <c r="AF22" i="43"/>
  <c r="F160" i="49"/>
  <c r="AB22" i="43"/>
  <c r="AG22" i="43"/>
  <c r="AH22" i="43"/>
  <c r="AB103" i="35"/>
  <c r="K103" i="35"/>
  <c r="K45" i="49"/>
  <c r="L103" i="35"/>
  <c r="AB126" i="43"/>
  <c r="AA126" i="43"/>
  <c r="AC126" i="43"/>
  <c r="AG126" i="43"/>
  <c r="AF126" i="43"/>
  <c r="K198" i="49"/>
  <c r="AH126" i="43"/>
  <c r="K87" i="35"/>
  <c r="K29" i="49"/>
  <c r="AB87" i="35"/>
  <c r="L87" i="35"/>
  <c r="AH135" i="43"/>
  <c r="K207" i="49"/>
  <c r="AA135" i="43"/>
  <c r="AC135" i="43"/>
  <c r="AB135" i="43"/>
  <c r="AG135" i="43"/>
  <c r="AF135" i="43"/>
  <c r="AB17" i="35"/>
  <c r="L17" i="35"/>
  <c r="K122" i="49"/>
  <c r="AG69" i="43"/>
  <c r="F207" i="49"/>
  <c r="AA69" i="43"/>
  <c r="AC69" i="43"/>
  <c r="AH69" i="43"/>
  <c r="AF69" i="43"/>
  <c r="AB69" i="43"/>
  <c r="F91" i="49"/>
  <c r="K91" i="49"/>
  <c r="K124" i="35"/>
  <c r="K66" i="49"/>
  <c r="AB124" i="35"/>
  <c r="L124" i="35"/>
  <c r="L49" i="35"/>
  <c r="AB49" i="35"/>
  <c r="K49" i="35"/>
  <c r="AF57" i="43"/>
  <c r="F195" i="49"/>
  <c r="AB57" i="43"/>
  <c r="AG57" i="43"/>
  <c r="AA57" i="43"/>
  <c r="AC57" i="43"/>
  <c r="AH57" i="43"/>
  <c r="K106" i="49"/>
  <c r="AB17" i="43"/>
  <c r="F155" i="49"/>
  <c r="AF17" i="43"/>
  <c r="AG17" i="43"/>
  <c r="AA17" i="43"/>
  <c r="AC17" i="43"/>
  <c r="AH17" i="43"/>
  <c r="A34" i="41"/>
  <c r="G178" i="49"/>
  <c r="G157" i="49"/>
  <c r="L111" i="35"/>
  <c r="AB111" i="35"/>
  <c r="K111" i="35"/>
  <c r="K53" i="49"/>
  <c r="AG41" i="43"/>
  <c r="AB41" i="43"/>
  <c r="AA41" i="43"/>
  <c r="AC41" i="43"/>
  <c r="F179" i="49"/>
  <c r="AF41" i="43"/>
  <c r="AH41" i="43"/>
  <c r="K110" i="49"/>
  <c r="AF36" i="43"/>
  <c r="AA36" i="43"/>
  <c r="AC36" i="43"/>
  <c r="AG36" i="43"/>
  <c r="AB36" i="43"/>
  <c r="F174" i="49"/>
  <c r="AH36" i="43"/>
  <c r="AB64" i="35"/>
  <c r="L64" i="35"/>
  <c r="K64" i="35"/>
  <c r="F144" i="49"/>
  <c r="L41" i="35"/>
  <c r="AB41" i="35"/>
  <c r="K41" i="35"/>
  <c r="G164" i="49"/>
  <c r="G169" i="49"/>
  <c r="G171" i="49"/>
  <c r="G181" i="49"/>
  <c r="L197" i="49"/>
  <c r="L62" i="49"/>
  <c r="L162" i="49"/>
  <c r="L156" i="49"/>
  <c r="G211" i="49"/>
  <c r="L161" i="49"/>
  <c r="L181" i="49"/>
  <c r="N32" i="43"/>
  <c r="F93" i="41"/>
  <c r="AB45" i="35"/>
  <c r="K45" i="35"/>
  <c r="L45" i="35"/>
  <c r="K147" i="49"/>
  <c r="F119" i="49"/>
  <c r="K136" i="49"/>
  <c r="L126" i="35"/>
  <c r="K68" i="49"/>
  <c r="AB126" i="35"/>
  <c r="K126" i="35"/>
  <c r="AB61" i="43"/>
  <c r="AA61" i="43"/>
  <c r="AC61" i="43"/>
  <c r="AG61" i="43"/>
  <c r="F199" i="49"/>
  <c r="AF61" i="43"/>
  <c r="AH61" i="43"/>
  <c r="L22" i="35"/>
  <c r="AB22" i="35"/>
  <c r="AA107" i="43"/>
  <c r="AC107" i="43"/>
  <c r="AB107" i="43"/>
  <c r="AF107" i="43"/>
  <c r="AH107" i="43"/>
  <c r="AG107" i="43"/>
  <c r="K179" i="49"/>
  <c r="F121" i="49"/>
  <c r="L116" i="35"/>
  <c r="AB116" i="35"/>
  <c r="K58" i="49"/>
  <c r="K116" i="35"/>
  <c r="AF50" i="43"/>
  <c r="F188" i="49"/>
  <c r="AG50" i="43"/>
  <c r="AB50" i="43"/>
  <c r="AA50" i="43"/>
  <c r="AC50" i="43"/>
  <c r="AH50" i="43"/>
  <c r="K118" i="35"/>
  <c r="K60" i="49"/>
  <c r="AB118" i="35"/>
  <c r="L118" i="35"/>
  <c r="AB95" i="43"/>
  <c r="AH95" i="43"/>
  <c r="AF95" i="43"/>
  <c r="AA95" i="43"/>
  <c r="AC95" i="43"/>
  <c r="K167" i="49"/>
  <c r="AG95" i="43"/>
  <c r="AH133" i="43"/>
  <c r="AF133" i="43"/>
  <c r="AA133" i="43"/>
  <c r="AC133" i="43"/>
  <c r="AG133" i="43"/>
  <c r="K205" i="49"/>
  <c r="AB133" i="43"/>
  <c r="AH122" i="43"/>
  <c r="AA122" i="43"/>
  <c r="AC122" i="43"/>
  <c r="K194" i="49"/>
  <c r="AF122" i="43"/>
  <c r="AG122" i="43"/>
  <c r="AB122" i="43"/>
  <c r="F123" i="49"/>
  <c r="K120" i="35"/>
  <c r="L120" i="35"/>
  <c r="K62" i="49"/>
  <c r="AB120" i="35"/>
  <c r="AB65" i="43"/>
  <c r="AH65" i="43"/>
  <c r="AG65" i="43"/>
  <c r="F203" i="49"/>
  <c r="AA65" i="43"/>
  <c r="AC65" i="43"/>
  <c r="AF65" i="43"/>
  <c r="AB94" i="35"/>
  <c r="K94" i="35"/>
  <c r="L94" i="35"/>
  <c r="K36" i="49"/>
  <c r="AA96" i="43"/>
  <c r="AC96" i="43"/>
  <c r="AH96" i="43"/>
  <c r="AB96" i="43"/>
  <c r="K168" i="49"/>
  <c r="AG96" i="43"/>
  <c r="AF96" i="43"/>
  <c r="AF90" i="43"/>
  <c r="AA90" i="43"/>
  <c r="AC90" i="43"/>
  <c r="K162" i="49"/>
  <c r="AH90" i="43"/>
  <c r="AB90" i="43"/>
  <c r="AG90" i="43"/>
  <c r="F112" i="49"/>
  <c r="AB30" i="35"/>
  <c r="L30" i="35"/>
  <c r="AB20" i="35"/>
  <c r="L20" i="35"/>
  <c r="AA16" i="43"/>
  <c r="AC16" i="43"/>
  <c r="K70" i="49"/>
  <c r="L128" i="35"/>
  <c r="K128" i="35"/>
  <c r="AB128" i="35"/>
  <c r="AG70" i="43"/>
  <c r="AA70" i="43"/>
  <c r="AC70" i="43"/>
  <c r="AB70" i="43"/>
  <c r="AF70" i="43"/>
  <c r="F208" i="49"/>
  <c r="AH70" i="43"/>
  <c r="K135" i="49"/>
  <c r="K127" i="49"/>
  <c r="K161" i="49"/>
  <c r="AF89" i="43"/>
  <c r="AA89" i="43"/>
  <c r="AC89" i="43"/>
  <c r="AG89" i="43"/>
  <c r="AB89" i="43"/>
  <c r="AH89" i="43"/>
  <c r="K97" i="49"/>
  <c r="L157" i="49"/>
  <c r="K128" i="49"/>
  <c r="G201" i="49"/>
  <c r="AB62" i="35"/>
  <c r="K62" i="35"/>
  <c r="L62" i="35"/>
  <c r="AG113" i="43"/>
  <c r="K185" i="49"/>
  <c r="AF113" i="43"/>
  <c r="AB113" i="43"/>
  <c r="AA113" i="43"/>
  <c r="AC113" i="43"/>
  <c r="AH113" i="43"/>
  <c r="F136" i="49"/>
  <c r="AA105" i="43"/>
  <c r="AC105" i="43"/>
  <c r="AH105" i="43"/>
  <c r="AF105" i="43"/>
  <c r="K177" i="49"/>
  <c r="AG105" i="43"/>
  <c r="AB105" i="43"/>
  <c r="O96" i="41"/>
  <c r="AB50" i="35"/>
  <c r="K50" i="35"/>
  <c r="L50" i="35"/>
  <c r="AH88" i="43"/>
  <c r="AB88" i="43"/>
  <c r="AG88" i="43"/>
  <c r="AA88" i="43"/>
  <c r="AC88" i="43"/>
  <c r="AF88" i="43"/>
  <c r="K160" i="49"/>
  <c r="K105" i="49"/>
  <c r="K145" i="49"/>
  <c r="L51" i="35"/>
  <c r="AB51" i="35"/>
  <c r="K51" i="35"/>
  <c r="K181" i="49"/>
  <c r="AG109" i="43"/>
  <c r="AF109" i="43"/>
  <c r="AB109" i="43"/>
  <c r="AA109" i="43"/>
  <c r="AC109" i="43"/>
  <c r="AH109" i="43"/>
  <c r="F198" i="49"/>
  <c r="AF60" i="43"/>
  <c r="AB60" i="43"/>
  <c r="AA60" i="43"/>
  <c r="AC60" i="43"/>
  <c r="AG60" i="43"/>
  <c r="AH60" i="43"/>
  <c r="K104" i="49"/>
  <c r="K109" i="49"/>
  <c r="O99" i="41"/>
  <c r="O106" i="41"/>
  <c r="O193" i="41"/>
  <c r="O189" i="41"/>
  <c r="G110" i="49"/>
  <c r="L208" i="49"/>
  <c r="M102" i="43"/>
  <c r="K117" i="49"/>
  <c r="AG35" i="43"/>
  <c r="AB35" i="43"/>
  <c r="AF35" i="43"/>
  <c r="AH35" i="43"/>
  <c r="AA35" i="43"/>
  <c r="AC35" i="43"/>
  <c r="F173" i="49"/>
  <c r="K61" i="35"/>
  <c r="L61" i="35"/>
  <c r="AB61" i="35"/>
  <c r="K121" i="49"/>
  <c r="AB132" i="35"/>
  <c r="L132" i="35"/>
  <c r="K132" i="35"/>
  <c r="K74" i="49"/>
  <c r="K131" i="49"/>
  <c r="F120" i="49"/>
  <c r="AB127" i="35"/>
  <c r="K69" i="49"/>
  <c r="K127" i="35"/>
  <c r="L127" i="35"/>
  <c r="F115" i="49"/>
  <c r="F110" i="49"/>
  <c r="K111" i="49"/>
  <c r="F171" i="49"/>
  <c r="AG33" i="43"/>
  <c r="AB33" i="43"/>
  <c r="AF33" i="43"/>
  <c r="AA33" i="43"/>
  <c r="AC33" i="43"/>
  <c r="AH33" i="43"/>
  <c r="AG39" i="43"/>
  <c r="AA39" i="43"/>
  <c r="AC39" i="43"/>
  <c r="AH39" i="43"/>
  <c r="AF39" i="43"/>
  <c r="AB39" i="43"/>
  <c r="F177" i="49"/>
  <c r="F107" i="49"/>
  <c r="K34" i="35"/>
  <c r="AB34" i="35"/>
  <c r="L34" i="35"/>
  <c r="AG125" i="43"/>
  <c r="AF125" i="43"/>
  <c r="AA125" i="43"/>
  <c r="AC125" i="43"/>
  <c r="K197" i="49"/>
  <c r="AH125" i="43"/>
  <c r="AB125" i="43"/>
  <c r="AF19" i="43"/>
  <c r="F157" i="49"/>
  <c r="AG19" i="43"/>
  <c r="AH19" i="43"/>
  <c r="AB19" i="43"/>
  <c r="AA19" i="43"/>
  <c r="AC19" i="43"/>
  <c r="L38" i="35"/>
  <c r="AB38" i="35"/>
  <c r="K38" i="35"/>
  <c r="AB25" i="35"/>
  <c r="L25" i="35"/>
  <c r="K144" i="49"/>
  <c r="F96" i="49"/>
  <c r="AB54" i="35"/>
  <c r="L54" i="35"/>
  <c r="K54" i="35"/>
  <c r="AF71" i="43"/>
  <c r="AA71" i="43"/>
  <c r="AC71" i="43"/>
  <c r="AB71" i="43"/>
  <c r="F209" i="49"/>
  <c r="AH71" i="43"/>
  <c r="AG71" i="43"/>
  <c r="AG45" i="43"/>
  <c r="F183" i="49"/>
  <c r="AB45" i="43"/>
  <c r="AH45" i="43"/>
  <c r="AA45" i="43"/>
  <c r="AC45" i="43"/>
  <c r="AF45" i="43"/>
  <c r="AB27" i="43"/>
  <c r="AG27" i="43"/>
  <c r="AA27" i="43"/>
  <c r="AC27" i="43"/>
  <c r="AF27" i="43"/>
  <c r="F165" i="49"/>
  <c r="AH27" i="43"/>
  <c r="AB16" i="35"/>
  <c r="L16" i="35"/>
  <c r="F129" i="49"/>
  <c r="AB37" i="43"/>
  <c r="F175" i="49"/>
  <c r="AG37" i="43"/>
  <c r="AA37" i="43"/>
  <c r="AC37" i="43"/>
  <c r="AF37" i="43"/>
  <c r="AH37" i="43"/>
  <c r="AB39" i="35"/>
  <c r="K39" i="35"/>
  <c r="L39" i="35"/>
  <c r="AB68" i="35"/>
  <c r="L68" i="35"/>
  <c r="K68" i="35"/>
  <c r="F145" i="49"/>
  <c r="K125" i="49"/>
  <c r="AH118" i="43"/>
  <c r="K190" i="49"/>
  <c r="AG118" i="43"/>
  <c r="AA118" i="43"/>
  <c r="AC118" i="43"/>
  <c r="AF118" i="43"/>
  <c r="AB118" i="43"/>
  <c r="L55" i="49"/>
  <c r="AH42" i="43"/>
  <c r="AB42" i="43"/>
  <c r="F180" i="49"/>
  <c r="AA42" i="43"/>
  <c r="AC42" i="43"/>
  <c r="AG42" i="43"/>
  <c r="AF42" i="43"/>
  <c r="F88" i="49"/>
  <c r="W42" i="48"/>
  <c r="W44" i="48"/>
  <c r="W43" i="48"/>
  <c r="W45" i="48"/>
  <c r="L75" i="3"/>
  <c r="F148" i="49"/>
  <c r="F114" i="49"/>
  <c r="AF112" i="43"/>
  <c r="AH112" i="43"/>
  <c r="AB112" i="43"/>
  <c r="AG112" i="43"/>
  <c r="AA112" i="43"/>
  <c r="AC112" i="43"/>
  <c r="K184" i="49"/>
  <c r="AG85" i="43"/>
  <c r="AB85" i="43"/>
  <c r="K157" i="49"/>
  <c r="AA85" i="43"/>
  <c r="AC85" i="43"/>
  <c r="AF85" i="43"/>
  <c r="AH85" i="43"/>
  <c r="AF82" i="43"/>
  <c r="K154" i="49"/>
  <c r="AA82" i="43"/>
  <c r="AC82" i="43"/>
  <c r="AB82" i="43"/>
  <c r="AG82" i="43"/>
  <c r="AH82" i="43"/>
  <c r="AB27" i="35"/>
  <c r="L27" i="35"/>
  <c r="K94" i="49"/>
  <c r="AB135" i="35"/>
  <c r="K77" i="49"/>
  <c r="K135" i="35"/>
  <c r="L135" i="35"/>
  <c r="AB136" i="43"/>
  <c r="AA136" i="43"/>
  <c r="AC136" i="43"/>
  <c r="AG136" i="43"/>
  <c r="AH136" i="43"/>
  <c r="AF136" i="43"/>
  <c r="K208" i="49"/>
  <c r="AB69" i="35"/>
  <c r="L69" i="35"/>
  <c r="K69" i="35"/>
  <c r="L46" i="35"/>
  <c r="AB46" i="35"/>
  <c r="K46" i="35"/>
  <c r="AH20" i="43"/>
  <c r="AF20" i="43"/>
  <c r="AB20" i="43"/>
  <c r="AA20" i="43"/>
  <c r="AC20" i="43"/>
  <c r="AG20" i="43"/>
  <c r="F158" i="49"/>
  <c r="O170" i="41"/>
  <c r="O165" i="41"/>
  <c r="O219" i="41"/>
  <c r="L83" i="35"/>
  <c r="K25" i="49"/>
  <c r="K83" i="35"/>
  <c r="AB83" i="35"/>
  <c r="AB82" i="35"/>
  <c r="L82" i="35"/>
  <c r="AB130" i="35"/>
  <c r="K130" i="35"/>
  <c r="L130" i="35"/>
  <c r="K72" i="49"/>
  <c r="K141" i="49"/>
  <c r="AB122" i="35"/>
  <c r="K122" i="35"/>
  <c r="L122" i="35"/>
  <c r="K64" i="49"/>
  <c r="S76" i="43"/>
  <c r="W28" i="48"/>
  <c r="W30" i="48"/>
  <c r="W29" i="48"/>
  <c r="W31" i="48"/>
  <c r="K95" i="49"/>
  <c r="AA84" i="43"/>
  <c r="AC84" i="43"/>
  <c r="K156" i="49"/>
  <c r="AG84" i="43"/>
  <c r="AB84" i="43"/>
  <c r="AF84" i="43"/>
  <c r="AH84" i="43"/>
  <c r="K137" i="49"/>
  <c r="F104" i="49"/>
  <c r="K57" i="35"/>
  <c r="L57" i="35"/>
  <c r="AB57" i="35"/>
  <c r="O98" i="41"/>
  <c r="AG52" i="43"/>
  <c r="AF52" i="43"/>
  <c r="F190" i="49"/>
  <c r="AA52" i="43"/>
  <c r="AC52" i="43"/>
  <c r="AH52" i="43"/>
  <c r="AB52" i="43"/>
  <c r="F117" i="49"/>
  <c r="L172" i="49"/>
  <c r="F125" i="49"/>
  <c r="AA40" i="43"/>
  <c r="AC40" i="43"/>
  <c r="F178" i="49"/>
  <c r="AB40" i="43"/>
  <c r="AF40" i="43"/>
  <c r="AG40" i="43"/>
  <c r="AH40" i="43"/>
  <c r="AG104" i="43"/>
  <c r="AA104" i="43"/>
  <c r="AC104" i="43"/>
  <c r="AF104" i="43"/>
  <c r="AB104" i="43"/>
  <c r="AH104" i="43"/>
  <c r="K176" i="49"/>
  <c r="AF26" i="43"/>
  <c r="F164" i="49"/>
  <c r="AH26" i="43"/>
  <c r="AB26" i="43"/>
  <c r="AA26" i="43"/>
  <c r="AC26" i="43"/>
  <c r="AG26" i="43"/>
  <c r="AG100" i="43"/>
  <c r="AB100" i="43"/>
  <c r="AA100" i="43"/>
  <c r="AC100" i="43"/>
  <c r="AF100" i="43"/>
  <c r="AH100" i="43"/>
  <c r="K172" i="49"/>
  <c r="K27" i="49"/>
  <c r="K85" i="35"/>
  <c r="L85" i="35"/>
  <c r="V85" i="35"/>
  <c r="W85" i="35"/>
  <c r="AB85" i="35"/>
  <c r="AG81" i="43"/>
  <c r="AF81" i="43"/>
  <c r="S142" i="43"/>
  <c r="K213" i="49"/>
  <c r="AH81" i="43"/>
  <c r="AA81" i="43"/>
  <c r="AB81" i="43"/>
  <c r="K153" i="49"/>
  <c r="W37" i="48"/>
  <c r="W36" i="48"/>
  <c r="W38" i="48"/>
  <c r="W35" i="48"/>
  <c r="F169" i="49"/>
  <c r="AF31" i="43"/>
  <c r="AB31" i="43"/>
  <c r="AA31" i="43"/>
  <c r="AC31" i="43"/>
  <c r="AG31" i="43"/>
  <c r="AH31" i="43"/>
  <c r="AF54" i="43"/>
  <c r="F192" i="49"/>
  <c r="AB54" i="43"/>
  <c r="AG54" i="43"/>
  <c r="AA54" i="43"/>
  <c r="AC54" i="43"/>
  <c r="AH54" i="43"/>
  <c r="AF43" i="43"/>
  <c r="AA43" i="43"/>
  <c r="AC43" i="43"/>
  <c r="AH43" i="43"/>
  <c r="AB43" i="43"/>
  <c r="F181" i="49"/>
  <c r="AG43" i="43"/>
  <c r="AB29" i="43"/>
  <c r="AA29" i="43"/>
  <c r="AC29" i="43"/>
  <c r="AF29" i="43"/>
  <c r="F167" i="49"/>
  <c r="AH29" i="43"/>
  <c r="AG29" i="43"/>
  <c r="K26" i="49"/>
  <c r="K84" i="35"/>
  <c r="L84" i="35"/>
  <c r="V84" i="35"/>
  <c r="W84" i="35"/>
  <c r="AB84" i="35"/>
  <c r="F135" i="49"/>
  <c r="AA87" i="43"/>
  <c r="AC87" i="43"/>
  <c r="AG87" i="43"/>
  <c r="AF87" i="43"/>
  <c r="AH87" i="43"/>
  <c r="K159" i="49"/>
  <c r="AB87" i="43"/>
  <c r="AH68" i="43"/>
  <c r="F206" i="49"/>
  <c r="AG68" i="43"/>
  <c r="AF68" i="43"/>
  <c r="AB68" i="43"/>
  <c r="AA68" i="43"/>
  <c r="AC68" i="43"/>
  <c r="F109" i="49"/>
  <c r="K90" i="35"/>
  <c r="K32" i="49"/>
  <c r="AB90" i="35"/>
  <c r="L90" i="35"/>
  <c r="K129" i="49"/>
  <c r="F147" i="49"/>
  <c r="AB116" i="43"/>
  <c r="K188" i="49"/>
  <c r="AF116" i="43"/>
  <c r="AA116" i="43"/>
  <c r="AC116" i="43"/>
  <c r="AG116" i="43"/>
  <c r="AH116" i="43"/>
  <c r="K80" i="49"/>
  <c r="K138" i="35"/>
  <c r="AB138" i="35"/>
  <c r="L138" i="35"/>
  <c r="K138" i="49"/>
  <c r="AB99" i="35"/>
  <c r="K99" i="35"/>
  <c r="L99" i="35"/>
  <c r="K41" i="49"/>
  <c r="AB73" i="43"/>
  <c r="AG73" i="43"/>
  <c r="AF73" i="43"/>
  <c r="AH73" i="43"/>
  <c r="AA73" i="43"/>
  <c r="AC73" i="43"/>
  <c r="F211" i="49"/>
  <c r="F130" i="49"/>
  <c r="K107" i="49"/>
  <c r="K55" i="49"/>
  <c r="K113" i="35"/>
  <c r="AB113" i="35"/>
  <c r="L113" i="35"/>
  <c r="K99" i="49"/>
  <c r="N102" i="43"/>
  <c r="AB37" i="35"/>
  <c r="K37" i="35"/>
  <c r="L37" i="35"/>
  <c r="L74" i="35"/>
  <c r="AB74" i="35"/>
  <c r="K74" i="35"/>
  <c r="AA63" i="43"/>
  <c r="AC63" i="43"/>
  <c r="AG63" i="43"/>
  <c r="AF63" i="43"/>
  <c r="AB63" i="43"/>
  <c r="F201" i="49"/>
  <c r="AH63" i="43"/>
  <c r="K133" i="49"/>
  <c r="F139" i="49"/>
  <c r="AB125" i="35"/>
  <c r="L125" i="35"/>
  <c r="K67" i="49"/>
  <c r="K125" i="35"/>
  <c r="N36" i="43"/>
  <c r="AG106" i="43"/>
  <c r="AH106" i="43"/>
  <c r="AF106" i="43"/>
  <c r="K178" i="49"/>
  <c r="AB106" i="43"/>
  <c r="AA106" i="43"/>
  <c r="AC106" i="43"/>
  <c r="F124" i="49"/>
  <c r="L26" i="35"/>
  <c r="AB26" i="35"/>
  <c r="AB108" i="35"/>
  <c r="K50" i="49"/>
  <c r="L108" i="35"/>
  <c r="K108" i="35"/>
  <c r="AB31" i="35"/>
  <c r="L31" i="35"/>
  <c r="AS86" i="43"/>
  <c r="AM19" i="43"/>
  <c r="N28" i="43"/>
  <c r="AR55" i="43"/>
  <c r="AR56" i="43"/>
  <c r="AS48" i="43"/>
  <c r="AR20" i="43"/>
  <c r="AR21" i="43"/>
  <c r="AS20" i="43"/>
  <c r="AS114" i="43"/>
  <c r="AS115" i="43"/>
  <c r="N82" i="43"/>
  <c r="E52" i="41"/>
  <c r="AR121" i="43"/>
  <c r="AR122" i="43"/>
  <c r="N94" i="43"/>
  <c r="AR114" i="43"/>
  <c r="AR115" i="43"/>
  <c r="AM85" i="43"/>
  <c r="AS121" i="43"/>
  <c r="AS122" i="43"/>
  <c r="N83" i="43"/>
  <c r="D53" i="2"/>
  <c r="AR86" i="43"/>
  <c r="AR87" i="43"/>
  <c r="AR48" i="43"/>
  <c r="AR49" i="43"/>
  <c r="AS55" i="43"/>
  <c r="O191" i="41"/>
  <c r="O95" i="41"/>
  <c r="A47" i="41"/>
  <c r="O225" i="41"/>
  <c r="O104" i="41"/>
  <c r="O105" i="41"/>
  <c r="O97" i="41"/>
  <c r="O103" i="41"/>
  <c r="O223" i="41"/>
  <c r="C7" i="59"/>
  <c r="O107" i="41"/>
  <c r="D50" i="2"/>
  <c r="O100" i="41"/>
  <c r="O192" i="41"/>
  <c r="O101" i="41"/>
  <c r="O220" i="41"/>
  <c r="O168" i="41"/>
  <c r="S513" i="28"/>
  <c r="S514" i="28"/>
  <c r="S512" i="28"/>
  <c r="O102" i="41"/>
  <c r="O169" i="41"/>
  <c r="AS24" i="43"/>
  <c r="F153" i="49"/>
  <c r="G153" i="49"/>
  <c r="F154" i="49"/>
  <c r="G24" i="49"/>
  <c r="K83" i="49"/>
  <c r="K24" i="49"/>
  <c r="F83" i="49"/>
  <c r="F24" i="49"/>
  <c r="K23" i="49"/>
  <c r="G23" i="49"/>
  <c r="AA98" i="35"/>
  <c r="X88" i="43"/>
  <c r="AA101" i="35"/>
  <c r="AA37" i="35"/>
  <c r="X98" i="43"/>
  <c r="X135" i="43"/>
  <c r="X35" i="43"/>
  <c r="M85" i="3"/>
  <c r="AA38" i="35"/>
  <c r="X126" i="43"/>
  <c r="X34" i="43"/>
  <c r="W9" i="35"/>
  <c r="AA97" i="35"/>
  <c r="M80" i="3"/>
  <c r="AA138" i="35"/>
  <c r="AA110" i="35"/>
  <c r="AA35" i="35"/>
  <c r="T41" i="43"/>
  <c r="M51" i="3"/>
  <c r="M55" i="3"/>
  <c r="M94" i="3"/>
  <c r="AA139" i="35"/>
  <c r="M17" i="3"/>
  <c r="M20" i="3"/>
  <c r="M98" i="3"/>
  <c r="M30" i="3"/>
  <c r="Q74" i="35"/>
  <c r="Q47" i="35"/>
  <c r="Q105" i="35"/>
  <c r="Q56" i="35"/>
  <c r="Q53" i="35"/>
  <c r="Q88" i="35"/>
  <c r="AA108" i="35"/>
  <c r="AA61" i="35"/>
  <c r="M88" i="3"/>
  <c r="M18" i="3"/>
  <c r="AA100" i="35"/>
  <c r="AA18" i="35"/>
  <c r="M56" i="3"/>
  <c r="AA81" i="35"/>
  <c r="AA49" i="35"/>
  <c r="AA71" i="35"/>
  <c r="M114" i="3"/>
  <c r="AA42" i="35"/>
  <c r="M19" i="3"/>
  <c r="T106" i="43"/>
  <c r="Q140" i="35"/>
  <c r="Q134" i="35"/>
  <c r="Q123" i="35"/>
  <c r="Q121" i="35"/>
  <c r="Q64" i="35"/>
  <c r="Q67" i="35"/>
  <c r="AA122" i="35"/>
  <c r="AA62" i="35"/>
  <c r="X25" i="43"/>
  <c r="M84" i="3"/>
  <c r="AA74" i="35"/>
  <c r="AA59" i="35"/>
  <c r="X117" i="43"/>
  <c r="M25" i="3"/>
  <c r="AA19" i="35"/>
  <c r="M124" i="3"/>
  <c r="M119" i="3"/>
  <c r="AA28" i="35"/>
  <c r="T64" i="43"/>
  <c r="T86" i="43"/>
  <c r="Q48" i="35"/>
  <c r="Q131" i="35"/>
  <c r="Q112" i="35"/>
  <c r="Q101" i="35"/>
  <c r="Q90" i="35"/>
  <c r="Q108" i="35"/>
  <c r="M90" i="3"/>
  <c r="M110" i="3"/>
  <c r="M41" i="3"/>
  <c r="AA83" i="35"/>
  <c r="AA121" i="35"/>
  <c r="AA33" i="35"/>
  <c r="M123" i="3"/>
  <c r="M126" i="3"/>
  <c r="AA40" i="35"/>
  <c r="M120" i="3"/>
  <c r="M129" i="3"/>
  <c r="M40" i="3"/>
  <c r="AA55" i="35"/>
  <c r="M52" i="3"/>
  <c r="Q65" i="35"/>
  <c r="Q132" i="35"/>
  <c r="Q32" i="35"/>
  <c r="Q127" i="35"/>
  <c r="Q91" i="35"/>
  <c r="Q119" i="35"/>
  <c r="AA104" i="35"/>
  <c r="Q72" i="35"/>
  <c r="Q120" i="35"/>
  <c r="Q41" i="35"/>
  <c r="Q85" i="35"/>
  <c r="X24" i="43"/>
  <c r="X17" i="43"/>
  <c r="X30" i="43"/>
  <c r="AA114" i="35"/>
  <c r="X112" i="43"/>
  <c r="T102" i="43"/>
  <c r="M138" i="3"/>
  <c r="T91" i="43"/>
  <c r="M49" i="3"/>
  <c r="X16" i="43"/>
  <c r="M87" i="3"/>
  <c r="AR23" i="43"/>
  <c r="AA25" i="35"/>
  <c r="M105" i="3"/>
  <c r="M28" i="3"/>
  <c r="M81" i="3"/>
  <c r="M115" i="3"/>
  <c r="AA39" i="35"/>
  <c r="M68" i="3"/>
  <c r="AA116" i="35"/>
  <c r="M108" i="3"/>
  <c r="X74" i="43"/>
  <c r="M64" i="3"/>
  <c r="AA29" i="35"/>
  <c r="M22" i="3"/>
  <c r="Q60" i="35"/>
  <c r="Q36" i="35"/>
  <c r="Q128" i="35"/>
  <c r="Q125" i="35"/>
  <c r="Q139" i="35"/>
  <c r="Q138" i="35"/>
  <c r="AA64" i="35"/>
  <c r="AA96" i="35"/>
  <c r="M127" i="3"/>
  <c r="T90" i="43"/>
  <c r="M117" i="3"/>
  <c r="AA24" i="35"/>
  <c r="AA15" i="35"/>
  <c r="AA21" i="35"/>
  <c r="M122" i="3"/>
  <c r="M128" i="3"/>
  <c r="M130" i="3"/>
  <c r="M99" i="3"/>
  <c r="M39" i="3"/>
  <c r="M48" i="3"/>
  <c r="Q93" i="35"/>
  <c r="Q37" i="35"/>
  <c r="Q106" i="35"/>
  <c r="Q84" i="35"/>
  <c r="Q97" i="35"/>
  <c r="Q117" i="35"/>
  <c r="Q104" i="35"/>
  <c r="M82" i="3"/>
  <c r="M116" i="3"/>
  <c r="AA50" i="35"/>
  <c r="X68" i="43"/>
  <c r="AA34" i="35"/>
  <c r="M60" i="3"/>
  <c r="M111" i="3"/>
  <c r="AA93" i="35"/>
  <c r="M93" i="3"/>
  <c r="T96" i="43"/>
  <c r="M61" i="3"/>
  <c r="AA84" i="35"/>
  <c r="AA67" i="35"/>
  <c r="AA92" i="35"/>
  <c r="Q129" i="35"/>
  <c r="Q51" i="35"/>
  <c r="Q58" i="35"/>
  <c r="Q96" i="35"/>
  <c r="Q55" i="35"/>
  <c r="Q73" i="35"/>
  <c r="AA117" i="35"/>
  <c r="M118" i="3"/>
  <c r="AA85" i="35"/>
  <c r="M112" i="3"/>
  <c r="M106" i="3"/>
  <c r="AA17" i="35"/>
  <c r="AA90" i="35"/>
  <c r="AA27" i="35"/>
  <c r="T92" i="43"/>
  <c r="M125" i="3"/>
  <c r="M45" i="3"/>
  <c r="AA36" i="35"/>
  <c r="M33" i="3"/>
  <c r="Q62" i="35"/>
  <c r="Q43" i="35"/>
  <c r="Q66" i="35"/>
  <c r="X47" i="43"/>
  <c r="X42" i="43"/>
  <c r="T19" i="43"/>
  <c r="M44" i="3"/>
  <c r="T73" i="43"/>
  <c r="T94" i="43"/>
  <c r="T63" i="43"/>
  <c r="AA109" i="35"/>
  <c r="T43" i="43"/>
  <c r="T83" i="43"/>
  <c r="AS89" i="43"/>
  <c r="M137" i="3"/>
  <c r="AA87" i="35"/>
  <c r="AA118" i="35"/>
  <c r="AA126" i="35"/>
  <c r="AA69" i="35"/>
  <c r="M34" i="3"/>
  <c r="AA86" i="35"/>
  <c r="M92" i="3"/>
  <c r="M29" i="3"/>
  <c r="M70" i="3"/>
  <c r="X82" i="43"/>
  <c r="AA26" i="35"/>
  <c r="AA70" i="35"/>
  <c r="M95" i="3"/>
  <c r="Q46" i="35"/>
  <c r="Q44" i="35"/>
  <c r="Q111" i="35"/>
  <c r="Q102" i="35"/>
  <c r="Q135" i="35"/>
  <c r="Q61" i="35"/>
  <c r="Q54" i="35"/>
  <c r="M21" i="3"/>
  <c r="AA56" i="35"/>
  <c r="AA135" i="35"/>
  <c r="M113" i="3"/>
  <c r="M26" i="3"/>
  <c r="AA134" i="35"/>
  <c r="AA130" i="35"/>
  <c r="M35" i="3"/>
  <c r="AA123" i="35"/>
  <c r="M109" i="3"/>
  <c r="M96" i="3"/>
  <c r="M38" i="3"/>
  <c r="AA119" i="35"/>
  <c r="AA45" i="35"/>
  <c r="Q42" i="35"/>
  <c r="Q57" i="35"/>
  <c r="Q92" i="35"/>
  <c r="Q63" i="35"/>
  <c r="Q103" i="35"/>
  <c r="Q87" i="35"/>
  <c r="Q116" i="35"/>
  <c r="M15" i="3"/>
  <c r="AA65" i="35"/>
  <c r="AA82" i="35"/>
  <c r="AA111" i="35"/>
  <c r="AA66" i="35"/>
  <c r="M63" i="3"/>
  <c r="M65" i="3"/>
  <c r="AA57" i="35"/>
  <c r="T124" i="43"/>
  <c r="T52" i="43"/>
  <c r="AA94" i="35"/>
  <c r="AA63" i="35"/>
  <c r="M31" i="3"/>
  <c r="M62" i="3"/>
  <c r="Q126" i="35"/>
  <c r="Q99" i="35"/>
  <c r="Q50" i="35"/>
  <c r="Q136" i="35"/>
  <c r="Q89" i="35"/>
  <c r="M133" i="3"/>
  <c r="AA52" i="35"/>
  <c r="M66" i="3"/>
  <c r="AA137" i="35"/>
  <c r="AA115" i="35"/>
  <c r="T39" i="43"/>
  <c r="AA22" i="35"/>
  <c r="AA128" i="35"/>
  <c r="M100" i="3"/>
  <c r="X93" i="43"/>
  <c r="M72" i="3"/>
  <c r="M54" i="3"/>
  <c r="AA132" i="35"/>
  <c r="Q70" i="35"/>
  <c r="Q71" i="35"/>
  <c r="Q59" i="35"/>
  <c r="Q113" i="35"/>
  <c r="Q110" i="35"/>
  <c r="Q35" i="35"/>
  <c r="M23" i="3"/>
  <c r="Q137" i="35"/>
  <c r="Q40" i="35"/>
  <c r="Q34" i="35"/>
  <c r="Q107" i="35"/>
  <c r="AA41" i="35"/>
  <c r="X81" i="43"/>
  <c r="AA133" i="35"/>
  <c r="X49" i="43"/>
  <c r="X54" i="43"/>
  <c r="M102" i="3"/>
  <c r="T57" i="43"/>
  <c r="AA107" i="35"/>
  <c r="T72" i="43"/>
  <c r="T137" i="43"/>
  <c r="W4" i="35"/>
  <c r="AA112" i="35"/>
  <c r="M104" i="3"/>
  <c r="X27" i="43"/>
  <c r="M136" i="3"/>
  <c r="M134" i="3"/>
  <c r="M53" i="3"/>
  <c r="AA54" i="35"/>
  <c r="M91" i="3"/>
  <c r="AA91" i="35"/>
  <c r="M101" i="3"/>
  <c r="M86" i="3"/>
  <c r="M46" i="3"/>
  <c r="AA136" i="35"/>
  <c r="AA124" i="35"/>
  <c r="Q95" i="35"/>
  <c r="Q118" i="35"/>
  <c r="Q122" i="35"/>
  <c r="Q83" i="35"/>
  <c r="Q109" i="35"/>
  <c r="Q68" i="35"/>
  <c r="Q52" i="35"/>
  <c r="AA125" i="35"/>
  <c r="T115" i="43"/>
  <c r="AA31" i="35"/>
  <c r="AA131" i="35"/>
  <c r="M42" i="3"/>
  <c r="M89" i="3"/>
  <c r="AA46" i="35"/>
  <c r="M103" i="3"/>
  <c r="T119" i="43"/>
  <c r="AA140" i="35"/>
  <c r="M58" i="3"/>
  <c r="AA89" i="35"/>
  <c r="AA20" i="35"/>
  <c r="T29" i="43"/>
  <c r="Q45" i="35"/>
  <c r="Q98" i="35"/>
  <c r="Q124" i="35"/>
  <c r="Q33" i="35"/>
  <c r="Q39" i="35"/>
  <c r="Q114" i="35"/>
  <c r="Q94" i="35"/>
  <c r="AA99" i="35"/>
  <c r="M59" i="3"/>
  <c r="AA88" i="35"/>
  <c r="M135" i="3"/>
  <c r="AA47" i="35"/>
  <c r="AA51" i="35"/>
  <c r="AA30" i="35"/>
  <c r="M97" i="3"/>
  <c r="M132" i="3"/>
  <c r="AA23" i="35"/>
  <c r="AA72" i="35"/>
  <c r="AA105" i="35"/>
  <c r="X113" i="43"/>
  <c r="Q69" i="35"/>
  <c r="Q86" i="35"/>
  <c r="Q38" i="35"/>
  <c r="Q115" i="35"/>
  <c r="Q130" i="35"/>
  <c r="AA127" i="35"/>
  <c r="M139" i="3"/>
  <c r="AA103" i="35"/>
  <c r="AA53" i="35"/>
  <c r="M73" i="3"/>
  <c r="AA32" i="35"/>
  <c r="M24" i="3"/>
  <c r="AA129" i="35"/>
  <c r="AA60" i="35"/>
  <c r="M83" i="3"/>
  <c r="AA106" i="35"/>
  <c r="X21" i="43"/>
  <c r="Q100" i="35"/>
  <c r="Q133" i="35"/>
  <c r="Q49" i="35"/>
  <c r="G31" i="49"/>
  <c r="G38" i="49"/>
  <c r="G28" i="49"/>
  <c r="G39" i="49"/>
  <c r="L49" i="49"/>
  <c r="L110" i="49"/>
  <c r="G192" i="49"/>
  <c r="G187" i="49"/>
  <c r="L75" i="49"/>
  <c r="L153" i="49"/>
  <c r="G30" i="49"/>
  <c r="G34" i="49"/>
  <c r="AS90" i="43"/>
  <c r="N101" i="43"/>
  <c r="N99" i="43"/>
  <c r="L51" i="49"/>
  <c r="G118" i="49"/>
  <c r="G180" i="49"/>
  <c r="G185" i="49"/>
  <c r="G35" i="49"/>
  <c r="G25" i="49"/>
  <c r="G29" i="49"/>
  <c r="G32" i="49"/>
  <c r="G37" i="49"/>
  <c r="G33" i="49"/>
  <c r="L95" i="49"/>
  <c r="G154" i="49"/>
  <c r="G123" i="49"/>
  <c r="L146" i="49"/>
  <c r="L184" i="49"/>
  <c r="L56" i="49"/>
  <c r="G168" i="49"/>
  <c r="G155" i="49"/>
  <c r="G162" i="49"/>
  <c r="G36" i="49"/>
  <c r="G27" i="49"/>
  <c r="G50" i="49"/>
  <c r="G26" i="49"/>
  <c r="G172" i="49"/>
  <c r="L198" i="49"/>
  <c r="L93" i="49"/>
  <c r="G173" i="49"/>
  <c r="L207" i="49"/>
  <c r="L170" i="49"/>
  <c r="L43" i="49"/>
  <c r="L160" i="49"/>
  <c r="L40" i="49"/>
  <c r="O93" i="41"/>
  <c r="A4" i="18"/>
  <c r="A12" i="18"/>
  <c r="C4" i="18"/>
  <c r="D92" i="18"/>
  <c r="AS49" i="43"/>
  <c r="N16" i="43"/>
  <c r="G107" i="49"/>
  <c r="G126" i="49"/>
  <c r="G159" i="49"/>
  <c r="X76" i="43"/>
  <c r="F85" i="2"/>
  <c r="F86" i="2"/>
  <c r="F87" i="2"/>
  <c r="F88" i="2"/>
  <c r="L74" i="49"/>
  <c r="L46" i="49"/>
  <c r="G97" i="49"/>
  <c r="G128" i="49"/>
  <c r="G114" i="49"/>
  <c r="L48" i="49"/>
  <c r="G146" i="49"/>
  <c r="G119" i="49"/>
  <c r="L137" i="49"/>
  <c r="L165" i="49"/>
  <c r="L133" i="49"/>
  <c r="L128" i="49"/>
  <c r="L91" i="49"/>
  <c r="L108" i="49"/>
  <c r="L70" i="49"/>
  <c r="L134" i="49"/>
  <c r="L71" i="49"/>
  <c r="L32" i="49"/>
  <c r="L131" i="49"/>
  <c r="G98" i="49"/>
  <c r="L57" i="49"/>
  <c r="L114" i="49"/>
  <c r="L63" i="49"/>
  <c r="G147" i="49"/>
  <c r="L79" i="49"/>
  <c r="L120" i="49"/>
  <c r="L25" i="49"/>
  <c r="G140" i="49"/>
  <c r="L27" i="49"/>
  <c r="G115" i="49"/>
  <c r="L45" i="49"/>
  <c r="L126" i="49"/>
  <c r="L118" i="49"/>
  <c r="L147" i="49"/>
  <c r="L141" i="49"/>
  <c r="L59" i="49"/>
  <c r="L98" i="49"/>
  <c r="L69" i="49"/>
  <c r="G136" i="49"/>
  <c r="L34" i="49"/>
  <c r="T142" i="43"/>
  <c r="L185" i="49"/>
  <c r="G105" i="49"/>
  <c r="L47" i="49"/>
  <c r="L26" i="49"/>
  <c r="L36" i="49"/>
  <c r="G135" i="49"/>
  <c r="L127" i="49"/>
  <c r="L132" i="49"/>
  <c r="L140" i="49"/>
  <c r="L101" i="49"/>
  <c r="L105" i="49"/>
  <c r="L35" i="49"/>
  <c r="G99" i="49"/>
  <c r="G139" i="49"/>
  <c r="L119" i="49"/>
  <c r="L189" i="49"/>
  <c r="G137" i="49"/>
  <c r="G134" i="49"/>
  <c r="L143" i="49"/>
  <c r="L53" i="49"/>
  <c r="G206" i="49"/>
  <c r="L92" i="49"/>
  <c r="L30" i="49"/>
  <c r="G163" i="49"/>
  <c r="G133" i="49"/>
  <c r="L124" i="49"/>
  <c r="L41" i="49"/>
  <c r="M75" i="3"/>
  <c r="G148" i="49"/>
  <c r="G89" i="49"/>
  <c r="L90" i="49"/>
  <c r="L64" i="49"/>
  <c r="G122" i="49"/>
  <c r="L61" i="49"/>
  <c r="G113" i="49"/>
  <c r="G93" i="49"/>
  <c r="L31" i="49"/>
  <c r="G112" i="49"/>
  <c r="L107" i="49"/>
  <c r="G132" i="49"/>
  <c r="L104" i="49"/>
  <c r="L138" i="49"/>
  <c r="L122" i="49"/>
  <c r="L82" i="49"/>
  <c r="L117" i="49"/>
  <c r="L136" i="49"/>
  <c r="L65" i="49"/>
  <c r="L130" i="49"/>
  <c r="L111" i="49"/>
  <c r="G109" i="49"/>
  <c r="AA142" i="35"/>
  <c r="G85" i="2"/>
  <c r="L72" i="49"/>
  <c r="AA76" i="35"/>
  <c r="D85" i="2"/>
  <c r="G130" i="49"/>
  <c r="L97" i="49"/>
  <c r="L76" i="49"/>
  <c r="G116" i="49"/>
  <c r="G100" i="49"/>
  <c r="L125" i="49"/>
  <c r="L42" i="49"/>
  <c r="L73" i="49"/>
  <c r="L121" i="49"/>
  <c r="G92" i="49"/>
  <c r="L77" i="49"/>
  <c r="L135" i="49"/>
  <c r="L96" i="49"/>
  <c r="L38" i="49"/>
  <c r="L67" i="49"/>
  <c r="G95" i="49"/>
  <c r="L50" i="49"/>
  <c r="G104" i="49"/>
  <c r="L66" i="49"/>
  <c r="L103" i="49"/>
  <c r="G96" i="49"/>
  <c r="L106" i="49"/>
  <c r="L78" i="49"/>
  <c r="G94" i="49"/>
  <c r="G120" i="49"/>
  <c r="G138" i="49"/>
  <c r="G91" i="49"/>
  <c r="L94" i="49"/>
  <c r="L154" i="49"/>
  <c r="X142" i="43"/>
  <c r="L213" i="49"/>
  <c r="G212" i="49"/>
  <c r="L81" i="49"/>
  <c r="L109" i="49"/>
  <c r="G144" i="49"/>
  <c r="L116" i="49"/>
  <c r="L102" i="49"/>
  <c r="L33" i="49"/>
  <c r="G103" i="49"/>
  <c r="L58" i="49"/>
  <c r="G129" i="49"/>
  <c r="L99" i="49"/>
  <c r="L100" i="49"/>
  <c r="G142" i="49"/>
  <c r="G125" i="49"/>
  <c r="L28" i="49"/>
  <c r="G127" i="49"/>
  <c r="G108" i="49"/>
  <c r="L123" i="49"/>
  <c r="L142" i="49"/>
  <c r="L89" i="49"/>
  <c r="L52" i="49"/>
  <c r="L144" i="49"/>
  <c r="L68" i="49"/>
  <c r="G102" i="49"/>
  <c r="L80" i="49"/>
  <c r="G165" i="49"/>
  <c r="L60" i="49"/>
  <c r="L113" i="49"/>
  <c r="L88" i="49"/>
  <c r="M141" i="3"/>
  <c r="L148" i="49"/>
  <c r="L112" i="49"/>
  <c r="L29" i="49"/>
  <c r="L39" i="49"/>
  <c r="L54" i="49"/>
  <c r="L145" i="49"/>
  <c r="M33" i="43"/>
  <c r="AR24" i="43"/>
  <c r="M35" i="43"/>
  <c r="AS56" i="43"/>
  <c r="N17" i="43"/>
  <c r="N35" i="43"/>
  <c r="AS87" i="43"/>
  <c r="N80" i="43"/>
  <c r="M81" i="43"/>
  <c r="AT19" i="43"/>
  <c r="L20" i="43"/>
  <c r="M20" i="43"/>
  <c r="L21" i="43"/>
  <c r="M21" i="43"/>
  <c r="AT47" i="43"/>
  <c r="L22" i="43"/>
  <c r="M22" i="43"/>
  <c r="AT54" i="43"/>
  <c r="W56" i="48"/>
  <c r="AE88" i="43"/>
  <c r="AD88" i="43"/>
  <c r="V94" i="35"/>
  <c r="W94" i="35"/>
  <c r="U94" i="35"/>
  <c r="U118" i="35"/>
  <c r="V118" i="35"/>
  <c r="W118" i="35"/>
  <c r="AD36" i="43"/>
  <c r="AE36" i="43"/>
  <c r="U81" i="35"/>
  <c r="U82" i="35"/>
  <c r="L143" i="35"/>
  <c r="L142" i="35"/>
  <c r="AD38" i="43"/>
  <c r="AE38" i="43"/>
  <c r="V42" i="35"/>
  <c r="W42" i="35"/>
  <c r="U42" i="35"/>
  <c r="AE114" i="43"/>
  <c r="AD114" i="43"/>
  <c r="V130" i="35"/>
  <c r="W130" i="35"/>
  <c r="U130" i="35"/>
  <c r="U46" i="35"/>
  <c r="V46" i="35"/>
  <c r="W46" i="35"/>
  <c r="AE41" i="43"/>
  <c r="AD41" i="43"/>
  <c r="U124" i="35"/>
  <c r="V124" i="35"/>
  <c r="W124" i="35"/>
  <c r="V53" i="35"/>
  <c r="W53" i="35"/>
  <c r="U53" i="35"/>
  <c r="V112" i="35"/>
  <c r="W112" i="35"/>
  <c r="U112" i="35"/>
  <c r="V52" i="35"/>
  <c r="W52" i="35"/>
  <c r="U52" i="35"/>
  <c r="AD124" i="43"/>
  <c r="AE124" i="43"/>
  <c r="AE86" i="43"/>
  <c r="AD86" i="43"/>
  <c r="U50" i="35"/>
  <c r="V50" i="35"/>
  <c r="W50" i="35"/>
  <c r="AD110" i="43"/>
  <c r="AE110" i="43"/>
  <c r="AD120" i="43"/>
  <c r="AE120" i="43"/>
  <c r="V66" i="35"/>
  <c r="W66" i="35"/>
  <c r="U66" i="35"/>
  <c r="AD99" i="43"/>
  <c r="AE99" i="43"/>
  <c r="U15" i="35"/>
  <c r="U16" i="35"/>
  <c r="L76" i="35"/>
  <c r="L77" i="35"/>
  <c r="AE127" i="43"/>
  <c r="AD127" i="43"/>
  <c r="U129" i="35"/>
  <c r="V129" i="35"/>
  <c r="W129" i="35"/>
  <c r="AE24" i="43"/>
  <c r="AD24" i="43"/>
  <c r="AD30" i="43"/>
  <c r="AE30" i="43"/>
  <c r="V28" i="35"/>
  <c r="W28" i="35"/>
  <c r="U28" i="35"/>
  <c r="V65" i="35"/>
  <c r="W65" i="35"/>
  <c r="U65" i="35"/>
  <c r="V117" i="35"/>
  <c r="W117" i="35"/>
  <c r="U117" i="35"/>
  <c r="AD121" i="43"/>
  <c r="AE121" i="43"/>
  <c r="AD115" i="43"/>
  <c r="AE115" i="43"/>
  <c r="AD46" i="43"/>
  <c r="AE46" i="43"/>
  <c r="AD55" i="43"/>
  <c r="AE55" i="43"/>
  <c r="N29" i="43"/>
  <c r="E53" i="41"/>
  <c r="N95" i="43"/>
  <c r="AS21" i="43"/>
  <c r="N14" i="43"/>
  <c r="U26" i="35"/>
  <c r="V26" i="35"/>
  <c r="W26" i="35"/>
  <c r="V37" i="35"/>
  <c r="W37" i="35"/>
  <c r="U37" i="35"/>
  <c r="AE116" i="43"/>
  <c r="AD116" i="43"/>
  <c r="V83" i="35"/>
  <c r="W83" i="35"/>
  <c r="U83" i="35"/>
  <c r="U84" i="35"/>
  <c r="U85" i="35"/>
  <c r="U69" i="35"/>
  <c r="V69" i="35"/>
  <c r="W69" i="35"/>
  <c r="V135" i="35"/>
  <c r="W135" i="35"/>
  <c r="U135" i="35"/>
  <c r="AD27" i="43"/>
  <c r="AE27" i="43"/>
  <c r="AE109" i="43"/>
  <c r="AD109" i="43"/>
  <c r="V120" i="35"/>
  <c r="W120" i="35"/>
  <c r="U120" i="35"/>
  <c r="AD107" i="43"/>
  <c r="AE107" i="43"/>
  <c r="AE57" i="43"/>
  <c r="AD57" i="43"/>
  <c r="AE135" i="43"/>
  <c r="AD135" i="43"/>
  <c r="V121" i="35"/>
  <c r="W121" i="35"/>
  <c r="U121" i="35"/>
  <c r="V107" i="35"/>
  <c r="W107" i="35"/>
  <c r="U107" i="35"/>
  <c r="AB142" i="35"/>
  <c r="V36" i="35"/>
  <c r="W36" i="35"/>
  <c r="U36" i="35"/>
  <c r="U136" i="35"/>
  <c r="V136" i="35"/>
  <c r="W136" i="35"/>
  <c r="AE74" i="43"/>
  <c r="AD74" i="43"/>
  <c r="W15" i="48"/>
  <c r="W58" i="48"/>
  <c r="V35" i="35"/>
  <c r="W35" i="35"/>
  <c r="U35" i="35"/>
  <c r="AE119" i="43"/>
  <c r="AD119" i="43"/>
  <c r="V73" i="35"/>
  <c r="W73" i="35"/>
  <c r="U73" i="35"/>
  <c r="AE23" i="43"/>
  <c r="AD23" i="43"/>
  <c r="V21" i="35"/>
  <c r="W21" i="35"/>
  <c r="U21" i="35"/>
  <c r="AD103" i="43"/>
  <c r="AE103" i="43"/>
  <c r="AE138" i="43"/>
  <c r="AD138" i="43"/>
  <c r="U58" i="35"/>
  <c r="V58" i="35"/>
  <c r="W58" i="35"/>
  <c r="U32" i="35"/>
  <c r="V32" i="35"/>
  <c r="W32" i="35"/>
  <c r="AE49" i="43"/>
  <c r="AD49" i="43"/>
  <c r="AD81" i="43"/>
  <c r="AE81" i="43"/>
  <c r="AB142" i="43"/>
  <c r="AD104" i="43"/>
  <c r="AE104" i="43"/>
  <c r="V49" i="35"/>
  <c r="W49" i="35"/>
  <c r="U49" i="35"/>
  <c r="AD126" i="43"/>
  <c r="AE126" i="43"/>
  <c r="V23" i="35"/>
  <c r="W23" i="35"/>
  <c r="U23" i="35"/>
  <c r="J30" i="2"/>
  <c r="A45" i="41"/>
  <c r="U39" i="35"/>
  <c r="V39" i="35"/>
  <c r="W39" i="35"/>
  <c r="V54" i="35"/>
  <c r="W54" i="35"/>
  <c r="U54" i="35"/>
  <c r="U51" i="35"/>
  <c r="V51" i="35"/>
  <c r="W51" i="35"/>
  <c r="U41" i="35"/>
  <c r="V41" i="35"/>
  <c r="W41" i="35"/>
  <c r="V103" i="35"/>
  <c r="W103" i="35"/>
  <c r="U103" i="35"/>
  <c r="U109" i="35"/>
  <c r="V109" i="35"/>
  <c r="W109" i="35"/>
  <c r="U91" i="35"/>
  <c r="V91" i="35"/>
  <c r="W91" i="35"/>
  <c r="AE62" i="43"/>
  <c r="AD62" i="43"/>
  <c r="U18" i="35"/>
  <c r="V18" i="35"/>
  <c r="W18" i="35"/>
  <c r="U114" i="35"/>
  <c r="V114" i="35"/>
  <c r="W114" i="35"/>
  <c r="V74" i="35"/>
  <c r="W74" i="35"/>
  <c r="U74" i="35"/>
  <c r="AD87" i="43"/>
  <c r="AE87" i="43"/>
  <c r="AH142" i="43"/>
  <c r="AE26" i="43"/>
  <c r="AD26" i="43"/>
  <c r="AD118" i="43"/>
  <c r="AE118" i="43"/>
  <c r="V38" i="35"/>
  <c r="W38" i="35"/>
  <c r="U38" i="35"/>
  <c r="AE19" i="43"/>
  <c r="AD19" i="43"/>
  <c r="AE39" i="43"/>
  <c r="AD39" i="43"/>
  <c r="AE33" i="43"/>
  <c r="AD33" i="43"/>
  <c r="AD35" i="43"/>
  <c r="AE35" i="43"/>
  <c r="U20" i="35"/>
  <c r="V20" i="35"/>
  <c r="W20" i="35"/>
  <c r="AD96" i="43"/>
  <c r="AE96" i="43"/>
  <c r="U64" i="35"/>
  <c r="V64" i="35"/>
  <c r="W64" i="35"/>
  <c r="V133" i="35"/>
  <c r="W133" i="35"/>
  <c r="U133" i="35"/>
  <c r="AE101" i="43"/>
  <c r="AD101" i="43"/>
  <c r="AE92" i="43"/>
  <c r="AD92" i="43"/>
  <c r="AE68" i="43"/>
  <c r="AD68" i="43"/>
  <c r="AE43" i="43"/>
  <c r="AD43" i="43"/>
  <c r="AG142" i="43"/>
  <c r="AE84" i="43"/>
  <c r="AD84" i="43"/>
  <c r="AE82" i="43"/>
  <c r="AD82" i="43"/>
  <c r="AE85" i="43"/>
  <c r="AD85" i="43"/>
  <c r="A60" i="18"/>
  <c r="A96" i="18"/>
  <c r="A61" i="18"/>
  <c r="A102" i="18"/>
  <c r="A112" i="18"/>
  <c r="A86" i="18"/>
  <c r="B52" i="18"/>
  <c r="A103" i="18"/>
  <c r="B17" i="18"/>
  <c r="B54" i="18"/>
  <c r="B67" i="18"/>
  <c r="B109" i="18"/>
  <c r="B86" i="18"/>
  <c r="AD71" i="43"/>
  <c r="AE71" i="43"/>
  <c r="AD89" i="43"/>
  <c r="AE89" i="43"/>
  <c r="U116" i="35"/>
  <c r="V116" i="35"/>
  <c r="W116" i="35"/>
  <c r="AD61" i="43"/>
  <c r="AE61" i="43"/>
  <c r="U45" i="35"/>
  <c r="V45" i="35"/>
  <c r="W45" i="35"/>
  <c r="V63" i="35"/>
  <c r="W63" i="35"/>
  <c r="U63" i="35"/>
  <c r="AE131" i="43"/>
  <c r="AD131" i="43"/>
  <c r="V92" i="35"/>
  <c r="W92" i="35"/>
  <c r="U92" i="35"/>
  <c r="V134" i="35"/>
  <c r="W134" i="35"/>
  <c r="U134" i="35"/>
  <c r="AE47" i="43"/>
  <c r="AD47" i="43"/>
  <c r="V60" i="35"/>
  <c r="W60" i="35"/>
  <c r="U60" i="35"/>
  <c r="AE97" i="43"/>
  <c r="AD97" i="43"/>
  <c r="U48" i="35"/>
  <c r="V48" i="35"/>
  <c r="W48" i="35"/>
  <c r="AB76" i="35"/>
  <c r="U67" i="35"/>
  <c r="V67" i="35"/>
  <c r="W67" i="35"/>
  <c r="V56" i="35"/>
  <c r="W56" i="35"/>
  <c r="U56" i="35"/>
  <c r="AD111" i="43"/>
  <c r="AE111" i="43"/>
  <c r="V24" i="35"/>
  <c r="W24" i="35"/>
  <c r="U24" i="35"/>
  <c r="U137" i="35"/>
  <c r="V137" i="35"/>
  <c r="W137" i="35"/>
  <c r="AE34" i="43"/>
  <c r="AD34" i="43"/>
  <c r="AE130" i="43"/>
  <c r="AD130" i="43"/>
  <c r="AE66" i="43"/>
  <c r="AD66" i="43"/>
  <c r="AD134" i="43"/>
  <c r="AE134" i="43"/>
  <c r="V123" i="35"/>
  <c r="W123" i="35"/>
  <c r="U123" i="35"/>
  <c r="AD56" i="43"/>
  <c r="AE56" i="43"/>
  <c r="V29" i="35"/>
  <c r="W29" i="35"/>
  <c r="U29" i="35"/>
  <c r="U59" i="35"/>
  <c r="V59" i="35"/>
  <c r="W59" i="35"/>
  <c r="AE113" i="43"/>
  <c r="AD113" i="43"/>
  <c r="U30" i="35"/>
  <c r="V30" i="35"/>
  <c r="W30" i="35"/>
  <c r="AD129" i="43"/>
  <c r="AE129" i="43"/>
  <c r="V102" i="35"/>
  <c r="W102" i="35"/>
  <c r="U102" i="35"/>
  <c r="G4" i="18"/>
  <c r="AA142" i="43"/>
  <c r="AC81" i="43"/>
  <c r="AC142" i="43"/>
  <c r="AE125" i="43"/>
  <c r="AD125" i="43"/>
  <c r="U126" i="35"/>
  <c r="V126" i="35"/>
  <c r="W126" i="35"/>
  <c r="AE28" i="43"/>
  <c r="AD28" i="43"/>
  <c r="AE139" i="43"/>
  <c r="AD139" i="43"/>
  <c r="V98" i="35"/>
  <c r="W98" i="35"/>
  <c r="U98" i="35"/>
  <c r="V138" i="35"/>
  <c r="W138" i="35"/>
  <c r="U138" i="35"/>
  <c r="AD29" i="43"/>
  <c r="AE29" i="43"/>
  <c r="V127" i="35"/>
  <c r="W127" i="35"/>
  <c r="U127" i="35"/>
  <c r="AE54" i="43"/>
  <c r="AD54" i="43"/>
  <c r="AF142" i="43"/>
  <c r="M100" i="43"/>
  <c r="V122" i="35"/>
  <c r="W122" i="35"/>
  <c r="U122" i="35"/>
  <c r="AE20" i="43"/>
  <c r="AD20" i="43"/>
  <c r="V62" i="35"/>
  <c r="W62" i="35"/>
  <c r="U62" i="35"/>
  <c r="U128" i="35"/>
  <c r="V128" i="35"/>
  <c r="W128" i="35"/>
  <c r="AD133" i="43"/>
  <c r="AE133" i="43"/>
  <c r="U104" i="35"/>
  <c r="V104" i="35"/>
  <c r="W104" i="35"/>
  <c r="U101" i="35"/>
  <c r="V101" i="35"/>
  <c r="W101" i="35"/>
  <c r="U131" i="35"/>
  <c r="V131" i="35"/>
  <c r="W131" i="35"/>
  <c r="AD117" i="43"/>
  <c r="AE117" i="43"/>
  <c r="V93" i="35"/>
  <c r="W93" i="35"/>
  <c r="U93" i="35"/>
  <c r="AD21" i="43"/>
  <c r="AE21" i="43"/>
  <c r="AE72" i="43"/>
  <c r="AD72" i="43"/>
  <c r="V108" i="35"/>
  <c r="W108" i="35"/>
  <c r="U108" i="35"/>
  <c r="AD106" i="43"/>
  <c r="AE106" i="43"/>
  <c r="U125" i="35"/>
  <c r="V125" i="35"/>
  <c r="W125" i="35"/>
  <c r="U99" i="35"/>
  <c r="V99" i="35"/>
  <c r="W99" i="35"/>
  <c r="D61" i="18"/>
  <c r="D60" i="18"/>
  <c r="D95" i="18"/>
  <c r="D27" i="18"/>
  <c r="C43" i="18"/>
  <c r="D112" i="18"/>
  <c r="C68" i="18"/>
  <c r="D110" i="18"/>
  <c r="C11" i="18"/>
  <c r="D71" i="18"/>
  <c r="C86" i="18"/>
  <c r="C51" i="18"/>
  <c r="C69" i="18"/>
  <c r="C57" i="18"/>
  <c r="C34" i="18"/>
  <c r="C89" i="18"/>
  <c r="C23" i="18"/>
  <c r="D77" i="18"/>
  <c r="D74" i="18"/>
  <c r="D57" i="18"/>
  <c r="D42" i="18"/>
  <c r="C45" i="18"/>
  <c r="D11" i="18"/>
  <c r="C79" i="18"/>
  <c r="C70" i="18"/>
  <c r="C106" i="18"/>
  <c r="D17" i="18"/>
  <c r="D29" i="18"/>
  <c r="C66" i="18"/>
  <c r="C42" i="18"/>
  <c r="D59" i="18"/>
  <c r="C41" i="18"/>
  <c r="D53" i="18"/>
  <c r="D52" i="18"/>
  <c r="C72" i="18"/>
  <c r="D108" i="18"/>
  <c r="D40" i="18"/>
  <c r="C26" i="18"/>
  <c r="D73" i="18"/>
  <c r="D109" i="18"/>
  <c r="C17" i="18"/>
  <c r="C24" i="18"/>
  <c r="C59" i="18"/>
  <c r="C77" i="18"/>
  <c r="C111" i="18"/>
  <c r="D22" i="18"/>
  <c r="D87" i="18"/>
  <c r="D32" i="18"/>
  <c r="D24" i="18"/>
  <c r="C54" i="18"/>
  <c r="C29" i="18"/>
  <c r="D84" i="18"/>
  <c r="C31" i="18"/>
  <c r="D80" i="18"/>
  <c r="D90" i="18"/>
  <c r="D38" i="18"/>
  <c r="C110" i="18"/>
  <c r="D106" i="18"/>
  <c r="C37" i="18"/>
  <c r="D51" i="18"/>
  <c r="D33" i="18"/>
  <c r="C114" i="18"/>
  <c r="C63" i="18"/>
  <c r="D114" i="18"/>
  <c r="D79" i="18"/>
  <c r="C60" i="18"/>
  <c r="C44" i="18"/>
  <c r="C95" i="18"/>
  <c r="C93" i="18"/>
  <c r="D50" i="18"/>
  <c r="C100" i="18"/>
  <c r="C61" i="18"/>
  <c r="C36" i="18"/>
  <c r="C47" i="18"/>
  <c r="D64" i="18"/>
  <c r="C112" i="18"/>
  <c r="C102" i="18"/>
  <c r="C32" i="18"/>
  <c r="D62" i="18"/>
  <c r="D13" i="18"/>
  <c r="C6" i="18"/>
  <c r="C7" i="18"/>
  <c r="V9" i="35"/>
  <c r="D25" i="18"/>
  <c r="C58" i="18"/>
  <c r="C12" i="18"/>
  <c r="D76" i="18"/>
  <c r="D19" i="18"/>
  <c r="C103" i="18"/>
  <c r="C56" i="18"/>
  <c r="D75" i="18"/>
  <c r="D58" i="18"/>
  <c r="D43" i="18"/>
  <c r="D107" i="18"/>
  <c r="D67" i="18"/>
  <c r="D56" i="18"/>
  <c r="C83" i="18"/>
  <c r="C25" i="18"/>
  <c r="D82" i="18"/>
  <c r="D72" i="18"/>
  <c r="D69" i="18"/>
  <c r="D81" i="18"/>
  <c r="C21" i="18"/>
  <c r="C90" i="18"/>
  <c r="C98" i="18"/>
  <c r="C52" i="18"/>
  <c r="D86" i="18"/>
  <c r="C39" i="18"/>
  <c r="AE100" i="43"/>
  <c r="AD100" i="43"/>
  <c r="AE52" i="43"/>
  <c r="AD52" i="43"/>
  <c r="AD42" i="43"/>
  <c r="AE42" i="43"/>
  <c r="V25" i="35"/>
  <c r="W25" i="35"/>
  <c r="U25" i="35"/>
  <c r="V61" i="35"/>
  <c r="W61" i="35"/>
  <c r="U61" i="35"/>
  <c r="AD60" i="43"/>
  <c r="AE60" i="43"/>
  <c r="AE122" i="43"/>
  <c r="AD122" i="43"/>
  <c r="AE50" i="43"/>
  <c r="AD50" i="43"/>
  <c r="U111" i="35"/>
  <c r="V111" i="35"/>
  <c r="W111" i="35"/>
  <c r="AD17" i="43"/>
  <c r="AE17" i="43"/>
  <c r="V17" i="35"/>
  <c r="W17" i="35"/>
  <c r="U17" i="35"/>
  <c r="V96" i="35"/>
  <c r="W96" i="35"/>
  <c r="U96" i="35"/>
  <c r="AD123" i="43"/>
  <c r="AE123" i="43"/>
  <c r="AD94" i="43"/>
  <c r="AE94" i="43"/>
  <c r="AE58" i="43"/>
  <c r="AD58" i="43"/>
  <c r="AD25" i="43"/>
  <c r="AE25" i="43"/>
  <c r="AD48" i="43"/>
  <c r="AE48" i="43"/>
  <c r="AD128" i="43"/>
  <c r="AE128" i="43"/>
  <c r="V55" i="35"/>
  <c r="W55" i="35"/>
  <c r="U55" i="35"/>
  <c r="AD83" i="43"/>
  <c r="AE83" i="43"/>
  <c r="AE44" i="43"/>
  <c r="AD44" i="43"/>
  <c r="AD93" i="43"/>
  <c r="AE93" i="43"/>
  <c r="U86" i="35"/>
  <c r="V86" i="35"/>
  <c r="W86" i="35"/>
  <c r="U44" i="35"/>
  <c r="V44" i="35"/>
  <c r="W44" i="35"/>
  <c r="AD32" i="43"/>
  <c r="AE32" i="43"/>
  <c r="V40" i="35"/>
  <c r="W40" i="35"/>
  <c r="U40" i="35"/>
  <c r="V47" i="35"/>
  <c r="W47" i="35"/>
  <c r="U47" i="35"/>
  <c r="AD108" i="43"/>
  <c r="AE108" i="43"/>
  <c r="U115" i="35"/>
  <c r="V115" i="35"/>
  <c r="W115" i="35"/>
  <c r="V140" i="35"/>
  <c r="W140" i="35"/>
  <c r="U140" i="35"/>
  <c r="U97" i="35"/>
  <c r="V97" i="35"/>
  <c r="W97" i="35"/>
  <c r="V88" i="35"/>
  <c r="W88" i="35"/>
  <c r="U88" i="35"/>
  <c r="AE65" i="43"/>
  <c r="AD65" i="43"/>
  <c r="U95" i="35"/>
  <c r="V95" i="35"/>
  <c r="W95" i="35"/>
  <c r="AD64" i="43"/>
  <c r="AE64" i="43"/>
  <c r="U113" i="35"/>
  <c r="V113" i="35"/>
  <c r="W113" i="35"/>
  <c r="V27" i="35"/>
  <c r="W27" i="35"/>
  <c r="U27" i="35"/>
  <c r="AD37" i="43"/>
  <c r="AE37" i="43"/>
  <c r="AD18" i="43"/>
  <c r="AE18" i="43"/>
  <c r="V70" i="35"/>
  <c r="W70" i="35"/>
  <c r="U70" i="35"/>
  <c r="U31" i="35"/>
  <c r="V31" i="35"/>
  <c r="W31" i="35"/>
  <c r="AE31" i="43"/>
  <c r="AD31" i="43"/>
  <c r="AE136" i="43"/>
  <c r="AD136" i="43"/>
  <c r="AE112" i="43"/>
  <c r="AD112" i="43"/>
  <c r="U132" i="35"/>
  <c r="V132" i="35"/>
  <c r="W132" i="35"/>
  <c r="AE63" i="43"/>
  <c r="AD63" i="43"/>
  <c r="AE73" i="43"/>
  <c r="AD73" i="43"/>
  <c r="AE90" i="43"/>
  <c r="AD90" i="43"/>
  <c r="AE140" i="43"/>
  <c r="AD140" i="43"/>
  <c r="V119" i="35"/>
  <c r="W119" i="35"/>
  <c r="U119" i="35"/>
  <c r="V72" i="35"/>
  <c r="W72" i="35"/>
  <c r="U72" i="35"/>
  <c r="V89" i="35"/>
  <c r="W89" i="35"/>
  <c r="U89" i="35"/>
  <c r="AD132" i="43"/>
  <c r="AE132" i="43"/>
  <c r="V43" i="35"/>
  <c r="W43" i="35"/>
  <c r="U43" i="35"/>
  <c r="U90" i="35"/>
  <c r="V90" i="35"/>
  <c r="W90" i="35"/>
  <c r="AE40" i="43"/>
  <c r="AD40" i="43"/>
  <c r="V57" i="35"/>
  <c r="W57" i="35"/>
  <c r="U57" i="35"/>
  <c r="AC15" i="43"/>
  <c r="AC76" i="43"/>
  <c r="AA76" i="43"/>
  <c r="U68" i="35"/>
  <c r="V68" i="35"/>
  <c r="W68" i="35"/>
  <c r="AE45" i="43"/>
  <c r="AD45" i="43"/>
  <c r="U34" i="35"/>
  <c r="V34" i="35"/>
  <c r="W34" i="35"/>
  <c r="AD105" i="43"/>
  <c r="AE105" i="43"/>
  <c r="AE70" i="43"/>
  <c r="AD70" i="43"/>
  <c r="AE95" i="43"/>
  <c r="AD95" i="43"/>
  <c r="V22" i="35"/>
  <c r="W22" i="35"/>
  <c r="U22" i="35"/>
  <c r="AE69" i="43"/>
  <c r="AD69" i="43"/>
  <c r="V87" i="35"/>
  <c r="W87" i="35"/>
  <c r="U87" i="35"/>
  <c r="AE22" i="43"/>
  <c r="AD22" i="43"/>
  <c r="V19" i="35"/>
  <c r="W19" i="35"/>
  <c r="U19" i="35"/>
  <c r="AE98" i="43"/>
  <c r="AD98" i="43"/>
  <c r="U71" i="35"/>
  <c r="V71" i="35"/>
  <c r="W71" i="35"/>
  <c r="AD67" i="43"/>
  <c r="AE67" i="43"/>
  <c r="AD102" i="43"/>
  <c r="AE102" i="43"/>
  <c r="AD51" i="43"/>
  <c r="AE51" i="43"/>
  <c r="AE91" i="43"/>
  <c r="AD91" i="43"/>
  <c r="V105" i="35"/>
  <c r="W105" i="35"/>
  <c r="U105" i="35"/>
  <c r="V110" i="35"/>
  <c r="W110" i="35"/>
  <c r="U110" i="35"/>
  <c r="U33" i="35"/>
  <c r="V33" i="35"/>
  <c r="W33" i="35"/>
  <c r="AD59" i="43"/>
  <c r="AE59" i="43"/>
  <c r="AE137" i="43"/>
  <c r="AD137" i="43"/>
  <c r="U106" i="35"/>
  <c r="V106" i="35"/>
  <c r="W106" i="35"/>
  <c r="U139" i="35"/>
  <c r="V139" i="35"/>
  <c r="W139" i="35"/>
  <c r="AD53" i="43"/>
  <c r="AE53" i="43"/>
  <c r="U100" i="35"/>
  <c r="V100" i="35"/>
  <c r="W100" i="35"/>
  <c r="F213" i="49"/>
  <c r="L24" i="49"/>
  <c r="L23" i="49"/>
  <c r="L83" i="49"/>
  <c r="G83" i="49"/>
  <c r="N20" i="43"/>
  <c r="N21" i="43"/>
  <c r="N22" i="43"/>
  <c r="A26" i="18"/>
  <c r="B97" i="18"/>
  <c r="B47" i="18"/>
  <c r="B48" i="18"/>
  <c r="A85" i="18"/>
  <c r="B69" i="18"/>
  <c r="B73" i="18"/>
  <c r="B87" i="18"/>
  <c r="A23" i="18"/>
  <c r="A111" i="18"/>
  <c r="B83" i="18"/>
  <c r="A40" i="18"/>
  <c r="B13" i="18"/>
  <c r="A27" i="18"/>
  <c r="B62" i="18"/>
  <c r="A49" i="18"/>
  <c r="B43" i="18"/>
  <c r="A87" i="18"/>
  <c r="B30" i="18"/>
  <c r="A15" i="18"/>
  <c r="B37" i="18"/>
  <c r="A91" i="18"/>
  <c r="B101" i="18"/>
  <c r="A80" i="18"/>
  <c r="A75" i="18"/>
  <c r="B90" i="18"/>
  <c r="B32" i="18"/>
  <c r="A48" i="18"/>
  <c r="B100" i="18"/>
  <c r="A51" i="18"/>
  <c r="B80" i="18"/>
  <c r="A77" i="18"/>
  <c r="B74" i="18"/>
  <c r="A10" i="18"/>
  <c r="A107" i="18"/>
  <c r="B70" i="18"/>
  <c r="A113" i="18"/>
  <c r="A83" i="18"/>
  <c r="A99" i="18"/>
  <c r="A24" i="18"/>
  <c r="A45" i="18"/>
  <c r="A62" i="18"/>
  <c r="B46" i="18"/>
  <c r="B42" i="18"/>
  <c r="B31" i="18"/>
  <c r="B114" i="18"/>
  <c r="B29" i="18"/>
  <c r="A38" i="18"/>
  <c r="A46" i="18"/>
  <c r="B76" i="18"/>
  <c r="A41" i="18"/>
  <c r="B39" i="18"/>
  <c r="A100" i="18"/>
  <c r="A16" i="18"/>
  <c r="A42" i="18"/>
  <c r="B15" i="18"/>
  <c r="A92" i="18"/>
  <c r="A31" i="18"/>
  <c r="B68" i="18"/>
  <c r="A11" i="18"/>
  <c r="A84" i="18"/>
  <c r="B95" i="18"/>
  <c r="B71" i="18"/>
  <c r="A78" i="18"/>
  <c r="B55" i="18"/>
  <c r="A50" i="18"/>
  <c r="A20" i="18"/>
  <c r="A57" i="18"/>
  <c r="B104" i="18"/>
  <c r="B85" i="18"/>
  <c r="B91" i="18"/>
  <c r="A79" i="18"/>
  <c r="A52" i="18"/>
  <c r="B20" i="18"/>
  <c r="A25" i="18"/>
  <c r="A63" i="18"/>
  <c r="B81" i="18"/>
  <c r="B36" i="18"/>
  <c r="A70" i="18"/>
  <c r="A44" i="18"/>
  <c r="A32" i="18"/>
  <c r="B28" i="18"/>
  <c r="B99" i="18"/>
  <c r="B26" i="18"/>
  <c r="B106" i="18"/>
  <c r="B61" i="18"/>
  <c r="B60" i="18"/>
  <c r="B10" i="18"/>
  <c r="B22" i="18"/>
  <c r="A89" i="18"/>
  <c r="B25" i="18"/>
  <c r="A36" i="18"/>
  <c r="B94" i="18"/>
  <c r="B14" i="18"/>
  <c r="B21" i="18"/>
  <c r="A97" i="18"/>
  <c r="A28" i="18"/>
  <c r="B98" i="18"/>
  <c r="B112" i="18"/>
  <c r="A109" i="18"/>
  <c r="B23" i="18"/>
  <c r="A43" i="18"/>
  <c r="B105" i="18"/>
  <c r="A74" i="18"/>
  <c r="B102" i="18"/>
  <c r="B66" i="18"/>
  <c r="B75" i="18"/>
  <c r="B113" i="18"/>
  <c r="A66" i="18"/>
  <c r="A105" i="18"/>
  <c r="A18" i="18"/>
  <c r="A106" i="18"/>
  <c r="A76" i="18"/>
  <c r="A82" i="18"/>
  <c r="B58" i="18"/>
  <c r="B19" i="18"/>
  <c r="B78" i="18"/>
  <c r="A114" i="18"/>
  <c r="A47" i="18"/>
  <c r="B18" i="18"/>
  <c r="A59" i="18"/>
  <c r="A110" i="18"/>
  <c r="A68" i="18"/>
  <c r="A54" i="18"/>
  <c r="B82" i="18"/>
  <c r="B79" i="18"/>
  <c r="A64" i="18"/>
  <c r="B77" i="18"/>
  <c r="B49" i="18"/>
  <c r="B11" i="18"/>
  <c r="A90" i="18"/>
  <c r="B35" i="18"/>
  <c r="A37" i="18"/>
  <c r="A104" i="18"/>
  <c r="A69" i="18"/>
  <c r="B45" i="18"/>
  <c r="B34" i="18"/>
  <c r="B41" i="18"/>
  <c r="B57" i="18"/>
  <c r="A81" i="18"/>
  <c r="B88" i="18"/>
  <c r="A67" i="18"/>
  <c r="A88" i="18"/>
  <c r="A58" i="18"/>
  <c r="B63" i="18"/>
  <c r="A13" i="18"/>
  <c r="A94" i="18"/>
  <c r="A55" i="18"/>
  <c r="B96" i="18"/>
  <c r="B64" i="18"/>
  <c r="B110" i="18"/>
  <c r="B40" i="18"/>
  <c r="A93" i="18"/>
  <c r="B65" i="18"/>
  <c r="A22" i="18"/>
  <c r="A72" i="18"/>
  <c r="B44" i="18"/>
  <c r="B59" i="18"/>
  <c r="A14" i="18"/>
  <c r="A53" i="18"/>
  <c r="A101" i="18"/>
  <c r="A56" i="18"/>
  <c r="B24" i="18"/>
  <c r="A33" i="18"/>
  <c r="A30" i="18"/>
  <c r="A21" i="18"/>
  <c r="B56" i="18"/>
  <c r="B27" i="18"/>
  <c r="A19" i="18"/>
  <c r="B16" i="18"/>
  <c r="B51" i="18"/>
  <c r="B12" i="18"/>
  <c r="B50" i="18"/>
  <c r="B38" i="18"/>
  <c r="B107" i="18"/>
  <c r="B89" i="18"/>
  <c r="A29" i="18"/>
  <c r="A95" i="18"/>
  <c r="B111" i="18"/>
  <c r="B84" i="18"/>
  <c r="B33" i="18"/>
  <c r="A65" i="18"/>
  <c r="A71" i="18"/>
  <c r="A98" i="18"/>
  <c r="A73" i="18"/>
  <c r="A39" i="18"/>
  <c r="A34" i="18"/>
  <c r="A108" i="18"/>
  <c r="B108" i="18"/>
  <c r="A35" i="18"/>
  <c r="B103" i="18"/>
  <c r="A17" i="18"/>
  <c r="B93" i="18"/>
  <c r="B92" i="18"/>
  <c r="B53" i="18"/>
  <c r="B72" i="18"/>
  <c r="D85" i="18"/>
  <c r="C76" i="18"/>
  <c r="C94" i="18"/>
  <c r="C20" i="18"/>
  <c r="C62" i="18"/>
  <c r="D44" i="18"/>
  <c r="D89" i="18"/>
  <c r="C82" i="18"/>
  <c r="D36" i="18"/>
  <c r="C15" i="18"/>
  <c r="D45" i="18"/>
  <c r="C27" i="18"/>
  <c r="D20" i="18"/>
  <c r="C99" i="18"/>
  <c r="C84" i="18"/>
  <c r="C13" i="18"/>
  <c r="C5" i="18"/>
  <c r="D103" i="18"/>
  <c r="D12" i="18"/>
  <c r="D63" i="18"/>
  <c r="C35" i="18"/>
  <c r="C55" i="18"/>
  <c r="C101" i="18"/>
  <c r="C113" i="18"/>
  <c r="D35" i="18"/>
  <c r="C30" i="18"/>
  <c r="C46" i="18"/>
  <c r="D28" i="18"/>
  <c r="D49" i="18"/>
  <c r="C71" i="18"/>
  <c r="D10" i="18"/>
  <c r="D15" i="18"/>
  <c r="C85" i="18"/>
  <c r="D26" i="18"/>
  <c r="C48" i="18"/>
  <c r="C92" i="18"/>
  <c r="C67" i="18"/>
  <c r="C16" i="18"/>
  <c r="C105" i="18"/>
  <c r="D102" i="18"/>
  <c r="C73" i="18"/>
  <c r="D68" i="18"/>
  <c r="D30" i="18"/>
  <c r="D97" i="18"/>
  <c r="D99" i="18"/>
  <c r="C109" i="18"/>
  <c r="D111" i="18"/>
  <c r="D31" i="18"/>
  <c r="C19" i="18"/>
  <c r="C14" i="18"/>
  <c r="C74" i="18"/>
  <c r="D46" i="18"/>
  <c r="D14" i="18"/>
  <c r="D94" i="18"/>
  <c r="D101" i="18"/>
  <c r="C104" i="18"/>
  <c r="C50" i="18"/>
  <c r="D34" i="18"/>
  <c r="C107" i="18"/>
  <c r="D88" i="18"/>
  <c r="D93" i="18"/>
  <c r="D21" i="18"/>
  <c r="C65" i="18"/>
  <c r="D104" i="18"/>
  <c r="D66" i="18"/>
  <c r="C78" i="18"/>
  <c r="D23" i="18"/>
  <c r="C53" i="18"/>
  <c r="C81" i="18"/>
  <c r="D39" i="18"/>
  <c r="D100" i="18"/>
  <c r="C75" i="18"/>
  <c r="D91" i="18"/>
  <c r="C108" i="18"/>
  <c r="C49" i="18"/>
  <c r="D96" i="18"/>
  <c r="D55" i="18"/>
  <c r="D48" i="18"/>
  <c r="D105" i="18"/>
  <c r="C38" i="18"/>
  <c r="C18" i="18"/>
  <c r="D18" i="18"/>
  <c r="C80" i="18"/>
  <c r="C22" i="18"/>
  <c r="D83" i="18"/>
  <c r="C87" i="18"/>
  <c r="D113" i="18"/>
  <c r="C88" i="18"/>
  <c r="D70" i="18"/>
  <c r="C91" i="18"/>
  <c r="C96" i="18"/>
  <c r="C28" i="18"/>
  <c r="D98" i="18"/>
  <c r="D78" i="18"/>
  <c r="D41" i="18"/>
  <c r="D16" i="18"/>
  <c r="D65" i="18"/>
  <c r="C97" i="18"/>
  <c r="C40" i="18"/>
  <c r="C33" i="18"/>
  <c r="C10" i="18"/>
  <c r="D54" i="18"/>
  <c r="D47" i="18"/>
  <c r="D37" i="18"/>
  <c r="C64" i="18"/>
  <c r="K80" i="35"/>
  <c r="B15" i="35"/>
  <c r="G213" i="49"/>
  <c r="E85" i="2"/>
  <c r="G62" i="2"/>
  <c r="H85" i="2"/>
  <c r="H86" i="2"/>
  <c r="N81" i="43"/>
  <c r="H80" i="43"/>
  <c r="AR95" i="43"/>
  <c r="AS96" i="43"/>
  <c r="AS97" i="43"/>
  <c r="AS98" i="43"/>
  <c r="AS99" i="43"/>
  <c r="N91" i="43"/>
  <c r="I85" i="2"/>
  <c r="I86" i="2"/>
  <c r="I87" i="2"/>
  <c r="I88" i="2"/>
  <c r="U15" i="43"/>
  <c r="U16" i="43"/>
  <c r="V16" i="43"/>
  <c r="F95" i="2"/>
  <c r="G72" i="2"/>
  <c r="A6" i="18"/>
  <c r="A7" i="18"/>
  <c r="V4" i="35"/>
  <c r="K14" i="35"/>
  <c r="A15" i="35"/>
  <c r="A5" i="18"/>
  <c r="E69" i="41"/>
  <c r="G30" i="39"/>
  <c r="K81" i="35"/>
  <c r="K82" i="35"/>
  <c r="AD142" i="43"/>
  <c r="H30" i="39"/>
  <c r="H69" i="41"/>
  <c r="D86" i="2"/>
  <c r="E62" i="2"/>
  <c r="D97" i="2"/>
  <c r="X9" i="35"/>
  <c r="AE142" i="43"/>
  <c r="H67" i="18"/>
  <c r="G38" i="18"/>
  <c r="G35" i="18"/>
  <c r="G50" i="18"/>
  <c r="G105" i="18"/>
  <c r="H35" i="18"/>
  <c r="H94" i="18"/>
  <c r="H48" i="18"/>
  <c r="G10" i="18"/>
  <c r="G69" i="18"/>
  <c r="G83" i="18"/>
  <c r="G70" i="18"/>
  <c r="G76" i="18"/>
  <c r="H99" i="18"/>
  <c r="G33" i="18"/>
  <c r="H58" i="18"/>
  <c r="H75" i="18"/>
  <c r="H76" i="18"/>
  <c r="H10" i="18"/>
  <c r="G60" i="18"/>
  <c r="H45" i="18"/>
  <c r="G36" i="18"/>
  <c r="G90" i="18"/>
  <c r="H33" i="18"/>
  <c r="G22" i="18"/>
  <c r="H62" i="18"/>
  <c r="H54" i="18"/>
  <c r="G85" i="18"/>
  <c r="H38" i="18"/>
  <c r="H49" i="18"/>
  <c r="G106" i="18"/>
  <c r="G14" i="18"/>
  <c r="G113" i="18"/>
  <c r="G94" i="18"/>
  <c r="H107" i="18"/>
  <c r="H69" i="18"/>
  <c r="G88" i="18"/>
  <c r="H106" i="18"/>
  <c r="H81" i="18"/>
  <c r="H44" i="18"/>
  <c r="G99" i="18"/>
  <c r="H41" i="18"/>
  <c r="G41" i="18"/>
  <c r="G23" i="18"/>
  <c r="G92" i="18"/>
  <c r="G112" i="18"/>
  <c r="H104" i="18"/>
  <c r="H36" i="18"/>
  <c r="G87" i="18"/>
  <c r="G110" i="18"/>
  <c r="G80" i="18"/>
  <c r="H50" i="18"/>
  <c r="G19" i="18"/>
  <c r="G34" i="18"/>
  <c r="H56" i="18"/>
  <c r="G98" i="18"/>
  <c r="G53" i="18"/>
  <c r="G30" i="18"/>
  <c r="H66" i="18"/>
  <c r="H96" i="18"/>
  <c r="H103" i="18"/>
  <c r="G64" i="18"/>
  <c r="G37" i="18"/>
  <c r="H52" i="18"/>
  <c r="H29" i="18"/>
  <c r="H79" i="18"/>
  <c r="H47" i="18"/>
  <c r="G40" i="18"/>
  <c r="H17" i="18"/>
  <c r="H46" i="18"/>
  <c r="H53" i="18"/>
  <c r="H39" i="18"/>
  <c r="G48" i="18"/>
  <c r="H114" i="18"/>
  <c r="G97" i="18"/>
  <c r="G71" i="18"/>
  <c r="G7" i="18"/>
  <c r="G61" i="18"/>
  <c r="H61" i="18"/>
  <c r="G95" i="18"/>
  <c r="G74" i="18"/>
  <c r="G62" i="18"/>
  <c r="H16" i="18"/>
  <c r="H68" i="18"/>
  <c r="H19" i="18"/>
  <c r="H59" i="18"/>
  <c r="H97" i="18"/>
  <c r="G65" i="18"/>
  <c r="H60" i="18"/>
  <c r="G84" i="18"/>
  <c r="H30" i="18"/>
  <c r="G47" i="18"/>
  <c r="H23" i="18"/>
  <c r="G18" i="18"/>
  <c r="H110" i="18"/>
  <c r="G24" i="18"/>
  <c r="H34" i="18"/>
  <c r="G54" i="18"/>
  <c r="H21" i="18"/>
  <c r="H95" i="18"/>
  <c r="H102" i="18"/>
  <c r="G67" i="18"/>
  <c r="G55" i="18"/>
  <c r="H109" i="18"/>
  <c r="H15" i="18"/>
  <c r="H92" i="18"/>
  <c r="H24" i="18"/>
  <c r="G102" i="18"/>
  <c r="H88" i="18"/>
  <c r="H65" i="18"/>
  <c r="G63" i="18"/>
  <c r="H113" i="18"/>
  <c r="H101" i="18"/>
  <c r="G75" i="18"/>
  <c r="H86" i="18"/>
  <c r="G52" i="18"/>
  <c r="H11" i="18"/>
  <c r="G26" i="18"/>
  <c r="G81" i="18"/>
  <c r="H63" i="18"/>
  <c r="H100" i="18"/>
  <c r="G78" i="18"/>
  <c r="H32" i="18"/>
  <c r="H13" i="18"/>
  <c r="H31" i="18"/>
  <c r="H55" i="18"/>
  <c r="G93" i="18"/>
  <c r="H37" i="18"/>
  <c r="G108" i="18"/>
  <c r="G66" i="18"/>
  <c r="H42" i="18"/>
  <c r="H89" i="18"/>
  <c r="G49" i="18"/>
  <c r="G31" i="18"/>
  <c r="G16" i="18"/>
  <c r="G104" i="18"/>
  <c r="H91" i="18"/>
  <c r="G114" i="18"/>
  <c r="G44" i="18"/>
  <c r="G109" i="18"/>
  <c r="G21" i="18"/>
  <c r="G86" i="18"/>
  <c r="G56" i="18"/>
  <c r="G111" i="18"/>
  <c r="H77" i="18"/>
  <c r="H18" i="18"/>
  <c r="G27" i="18"/>
  <c r="G51" i="18"/>
  <c r="H90" i="18"/>
  <c r="H64" i="18"/>
  <c r="H93" i="18"/>
  <c r="G58" i="18"/>
  <c r="H25" i="18"/>
  <c r="H111" i="18"/>
  <c r="G57" i="18"/>
  <c r="G32" i="18"/>
  <c r="H105" i="18"/>
  <c r="H12" i="18"/>
  <c r="G96" i="18"/>
  <c r="G79" i="18"/>
  <c r="G59" i="18"/>
  <c r="H26" i="18"/>
  <c r="G17" i="18"/>
  <c r="G68" i="18"/>
  <c r="H20" i="18"/>
  <c r="G28" i="18"/>
  <c r="G77" i="18"/>
  <c r="H43" i="18"/>
  <c r="G89" i="18"/>
  <c r="G91" i="18"/>
  <c r="G82" i="18"/>
  <c r="G12" i="18"/>
  <c r="H22" i="18"/>
  <c r="G29" i="18"/>
  <c r="H80" i="18"/>
  <c r="H108" i="18"/>
  <c r="H27" i="18"/>
  <c r="H51" i="18"/>
  <c r="H84" i="18"/>
  <c r="H87" i="18"/>
  <c r="H40" i="18"/>
  <c r="H98" i="18"/>
  <c r="H112" i="18"/>
  <c r="H78" i="18"/>
  <c r="H72" i="18"/>
  <c r="G15" i="18"/>
  <c r="G11" i="18"/>
  <c r="H28" i="18"/>
  <c r="G107" i="18"/>
  <c r="G20" i="18"/>
  <c r="H71" i="18"/>
  <c r="H14" i="18"/>
  <c r="H83" i="18"/>
  <c r="G103" i="18"/>
  <c r="G101" i="18"/>
  <c r="H74" i="18"/>
  <c r="G100" i="18"/>
  <c r="G42" i="18"/>
  <c r="H57" i="18"/>
  <c r="G43" i="18"/>
  <c r="G13" i="18"/>
  <c r="G46" i="18"/>
  <c r="H73" i="18"/>
  <c r="G72" i="18"/>
  <c r="H82" i="18"/>
  <c r="G25" i="18"/>
  <c r="G39" i="18"/>
  <c r="H85" i="18"/>
  <c r="G73" i="18"/>
  <c r="H70" i="18"/>
  <c r="G45" i="18"/>
  <c r="E4" i="18"/>
  <c r="AS95" i="43"/>
  <c r="G86" i="2"/>
  <c r="W57" i="48"/>
  <c r="W17" i="48"/>
  <c r="W59" i="48"/>
  <c r="I96" i="2"/>
  <c r="H73" i="2"/>
  <c r="I70" i="41"/>
  <c r="N100" i="43"/>
  <c r="F60" i="41"/>
  <c r="F61" i="41"/>
  <c r="H61" i="41"/>
  <c r="H60" i="41"/>
  <c r="Q82" i="35"/>
  <c r="H29" i="2"/>
  <c r="H26" i="2"/>
  <c r="Q81" i="35"/>
  <c r="H30" i="2"/>
  <c r="F27" i="2"/>
  <c r="E86" i="2"/>
  <c r="H25" i="39"/>
  <c r="M8" i="2"/>
  <c r="C1" i="35"/>
  <c r="F62" i="2"/>
  <c r="G97" i="2"/>
  <c r="F74" i="2"/>
  <c r="H71" i="41"/>
  <c r="H62" i="2"/>
  <c r="I97" i="2"/>
  <c r="H74" i="2"/>
  <c r="I71" i="41"/>
  <c r="D62" i="2"/>
  <c r="AR96" i="43"/>
  <c r="AR97" i="43"/>
  <c r="AR98" i="43"/>
  <c r="AR99" i="43"/>
  <c r="N90" i="43"/>
  <c r="G25" i="39"/>
  <c r="I25" i="39"/>
  <c r="K29" i="35"/>
  <c r="K18" i="35"/>
  <c r="K28" i="35"/>
  <c r="K20" i="35"/>
  <c r="K19" i="35"/>
  <c r="K27" i="35"/>
  <c r="K21" i="35"/>
  <c r="K24" i="35"/>
  <c r="K17" i="35"/>
  <c r="K30" i="35"/>
  <c r="K25" i="35"/>
  <c r="K26" i="35"/>
  <c r="K23" i="35"/>
  <c r="K22" i="35"/>
  <c r="K31" i="35"/>
  <c r="C9" i="39"/>
  <c r="C10" i="39"/>
  <c r="X4" i="35"/>
  <c r="V15" i="43"/>
  <c r="W16" i="43"/>
  <c r="U76" i="43"/>
  <c r="F97" i="2"/>
  <c r="G74" i="2"/>
  <c r="F71" i="41"/>
  <c r="K16" i="35"/>
  <c r="K15" i="35"/>
  <c r="I18" i="49"/>
  <c r="E19" i="41"/>
  <c r="A27" i="41"/>
  <c r="V82" i="35"/>
  <c r="A29" i="41"/>
  <c r="Q142" i="35"/>
  <c r="G95" i="2"/>
  <c r="F72" i="2"/>
  <c r="V81" i="35"/>
  <c r="A33" i="41"/>
  <c r="A32" i="41"/>
  <c r="E74" i="2"/>
  <c r="E71" i="41"/>
  <c r="J29" i="2"/>
  <c r="A44" i="41"/>
  <c r="H87" i="2"/>
  <c r="H63" i="2"/>
  <c r="D87" i="2"/>
  <c r="E63" i="2"/>
  <c r="G19" i="39"/>
  <c r="D63" i="2"/>
  <c r="E64" i="18"/>
  <c r="F47" i="18"/>
  <c r="E62" i="18"/>
  <c r="E96" i="18"/>
  <c r="F62" i="18"/>
  <c r="F69" i="18"/>
  <c r="E53" i="18"/>
  <c r="E56" i="18"/>
  <c r="F24" i="18"/>
  <c r="E31" i="18"/>
  <c r="F33" i="18"/>
  <c r="E106" i="18"/>
  <c r="F66" i="18"/>
  <c r="F11" i="18"/>
  <c r="E110" i="18"/>
  <c r="E94" i="18"/>
  <c r="F28" i="18"/>
  <c r="F80" i="18"/>
  <c r="F55" i="18"/>
  <c r="E46" i="18"/>
  <c r="F101" i="18"/>
  <c r="E107" i="18"/>
  <c r="E95" i="18"/>
  <c r="E109" i="18"/>
  <c r="E90" i="18"/>
  <c r="F113" i="18"/>
  <c r="E77" i="18"/>
  <c r="F92" i="18"/>
  <c r="E69" i="18"/>
  <c r="F106" i="18"/>
  <c r="F104" i="18"/>
  <c r="F60" i="18"/>
  <c r="E100" i="18"/>
  <c r="E98" i="18"/>
  <c r="E54" i="18"/>
  <c r="E36" i="18"/>
  <c r="F58" i="18"/>
  <c r="E104" i="18"/>
  <c r="E79" i="18"/>
  <c r="F72" i="18"/>
  <c r="E44" i="18"/>
  <c r="E105" i="18"/>
  <c r="E78" i="18"/>
  <c r="E33" i="18"/>
  <c r="F59" i="18"/>
  <c r="E111" i="18"/>
  <c r="E70" i="18"/>
  <c r="F40" i="18"/>
  <c r="F107" i="18"/>
  <c r="F41" i="18"/>
  <c r="F67" i="18"/>
  <c r="F68" i="18"/>
  <c r="E40" i="18"/>
  <c r="E22" i="18"/>
  <c r="E68" i="18"/>
  <c r="E83" i="18"/>
  <c r="E71" i="18"/>
  <c r="F46" i="18"/>
  <c r="E25" i="18"/>
  <c r="F27" i="18"/>
  <c r="E80" i="18"/>
  <c r="F21" i="18"/>
  <c r="F32" i="18"/>
  <c r="F48" i="18"/>
  <c r="E38" i="18"/>
  <c r="F53" i="18"/>
  <c r="F36" i="18"/>
  <c r="F31" i="18"/>
  <c r="E86" i="18"/>
  <c r="F14" i="18"/>
  <c r="E74" i="18"/>
  <c r="F88" i="18"/>
  <c r="E66" i="18"/>
  <c r="F83" i="18"/>
  <c r="E42" i="18"/>
  <c r="E19" i="18"/>
  <c r="E59" i="18"/>
  <c r="F54" i="18"/>
  <c r="F39" i="18"/>
  <c r="E67" i="18"/>
  <c r="E28" i="18"/>
  <c r="F82" i="18"/>
  <c r="E23" i="18"/>
  <c r="F71" i="18"/>
  <c r="F108" i="18"/>
  <c r="E50" i="18"/>
  <c r="E60" i="18"/>
  <c r="F99" i="18"/>
  <c r="F86" i="18"/>
  <c r="E82" i="18"/>
  <c r="F93" i="18"/>
  <c r="F23" i="18"/>
  <c r="E43" i="18"/>
  <c r="F26" i="18"/>
  <c r="F10" i="18"/>
  <c r="E72" i="18"/>
  <c r="F105" i="18"/>
  <c r="E108" i="18"/>
  <c r="E30" i="18"/>
  <c r="E29" i="18"/>
  <c r="E37" i="18"/>
  <c r="F91" i="18"/>
  <c r="F79" i="18"/>
  <c r="F81" i="18"/>
  <c r="E88" i="18"/>
  <c r="E20" i="18"/>
  <c r="E61" i="18"/>
  <c r="E18" i="18"/>
  <c r="E58" i="18"/>
  <c r="E39" i="18"/>
  <c r="E35" i="18"/>
  <c r="E84" i="18"/>
  <c r="E63" i="18"/>
  <c r="F57" i="18"/>
  <c r="F52" i="18"/>
  <c r="F75" i="18"/>
  <c r="F16" i="18"/>
  <c r="E87" i="18"/>
  <c r="F37" i="18"/>
  <c r="F78" i="18"/>
  <c r="F30" i="18"/>
  <c r="E75" i="18"/>
  <c r="E15" i="18"/>
  <c r="E5" i="18"/>
  <c r="F77" i="18"/>
  <c r="F103" i="18"/>
  <c r="F110" i="18"/>
  <c r="E99" i="18"/>
  <c r="E48" i="18"/>
  <c r="F112" i="18"/>
  <c r="F114" i="18"/>
  <c r="E41" i="18"/>
  <c r="F44" i="18"/>
  <c r="E91" i="18"/>
  <c r="F63" i="18"/>
  <c r="E12" i="18"/>
  <c r="F56" i="18"/>
  <c r="F34" i="18"/>
  <c r="E10" i="18"/>
  <c r="F96" i="18"/>
  <c r="F90" i="18"/>
  <c r="F51" i="18"/>
  <c r="E14" i="18"/>
  <c r="E93" i="18"/>
  <c r="F111" i="18"/>
  <c r="F97" i="18"/>
  <c r="E57" i="18"/>
  <c r="E49" i="18"/>
  <c r="F84" i="18"/>
  <c r="E92" i="18"/>
  <c r="F87" i="18"/>
  <c r="F18" i="18"/>
  <c r="E65" i="18"/>
  <c r="F22" i="18"/>
  <c r="F89" i="18"/>
  <c r="E76" i="18"/>
  <c r="E113" i="18"/>
  <c r="E34" i="18"/>
  <c r="F15" i="18"/>
  <c r="E6" i="18"/>
  <c r="E45" i="18"/>
  <c r="E102" i="18"/>
  <c r="F65" i="18"/>
  <c r="E17" i="18"/>
  <c r="F100" i="18"/>
  <c r="E47" i="18"/>
  <c r="F98" i="18"/>
  <c r="F64" i="18"/>
  <c r="F43" i="18"/>
  <c r="E73" i="18"/>
  <c r="F42" i="18"/>
  <c r="F102" i="18"/>
  <c r="E97" i="18"/>
  <c r="E21" i="18"/>
  <c r="F25" i="18"/>
  <c r="F94" i="18"/>
  <c r="E51" i="18"/>
  <c r="F70" i="18"/>
  <c r="E85" i="18"/>
  <c r="F76" i="18"/>
  <c r="E112" i="18"/>
  <c r="E89" i="18"/>
  <c r="F50" i="18"/>
  <c r="F95" i="18"/>
  <c r="F13" i="18"/>
  <c r="F85" i="18"/>
  <c r="E103" i="18"/>
  <c r="E55" i="18"/>
  <c r="F61" i="18"/>
  <c r="F45" i="18"/>
  <c r="E27" i="18"/>
  <c r="F17" i="18"/>
  <c r="F20" i="18"/>
  <c r="F12" i="18"/>
  <c r="F73" i="18"/>
  <c r="E11" i="18"/>
  <c r="E114" i="18"/>
  <c r="E13" i="18"/>
  <c r="E24" i="18"/>
  <c r="F35" i="18"/>
  <c r="E16" i="18"/>
  <c r="E32" i="18"/>
  <c r="F38" i="18"/>
  <c r="E26" i="18"/>
  <c r="F19" i="18"/>
  <c r="E81" i="18"/>
  <c r="F29" i="18"/>
  <c r="F74" i="18"/>
  <c r="E101" i="18"/>
  <c r="E52" i="18"/>
  <c r="F49" i="18"/>
  <c r="F109" i="18"/>
  <c r="H44" i="39"/>
  <c r="K142" i="35"/>
  <c r="I30" i="39"/>
  <c r="G87" i="2"/>
  <c r="F63" i="2"/>
  <c r="E87" i="2"/>
  <c r="G63" i="2"/>
  <c r="F2" i="30"/>
  <c r="C5" i="59"/>
  <c r="F4" i="45"/>
  <c r="F62" i="41"/>
  <c r="E60" i="41"/>
  <c r="E62" i="41"/>
  <c r="E61" i="41"/>
  <c r="H62" i="41"/>
  <c r="R81" i="35"/>
  <c r="Q28" i="35"/>
  <c r="Q20" i="35"/>
  <c r="Q19" i="35"/>
  <c r="Q27" i="35"/>
  <c r="Q21" i="35"/>
  <c r="I230" i="41"/>
  <c r="Q24" i="35"/>
  <c r="Q17" i="35"/>
  <c r="Q30" i="35"/>
  <c r="Q25" i="35"/>
  <c r="Q15" i="35"/>
  <c r="Q23" i="35"/>
  <c r="Q22" i="35"/>
  <c r="Q29" i="35"/>
  <c r="R82" i="35"/>
  <c r="Q26" i="35"/>
  <c r="Q31" i="35"/>
  <c r="Q18" i="35"/>
  <c r="Q16" i="35"/>
  <c r="R16" i="35"/>
  <c r="G44" i="39"/>
  <c r="D74" i="2"/>
  <c r="K76" i="35"/>
  <c r="R142" i="35"/>
  <c r="M15" i="43"/>
  <c r="E7" i="18"/>
  <c r="N15" i="43"/>
  <c r="H14" i="43"/>
  <c r="AR29" i="43"/>
  <c r="AR30" i="43"/>
  <c r="AR31" i="43"/>
  <c r="AR32" i="43"/>
  <c r="AR33" i="43"/>
  <c r="N24" i="43"/>
  <c r="C23" i="39"/>
  <c r="C27" i="39"/>
  <c r="W15" i="43"/>
  <c r="V77" i="43"/>
  <c r="V16" i="35"/>
  <c r="Q76" i="35"/>
  <c r="D95" i="2"/>
  <c r="E72" i="2"/>
  <c r="V15" i="35"/>
  <c r="W82" i="35"/>
  <c r="B2" i="30"/>
  <c r="C8" i="59"/>
  <c r="B2" i="45"/>
  <c r="I44" i="39"/>
  <c r="G88" i="2"/>
  <c r="F64" i="2"/>
  <c r="E88" i="2"/>
  <c r="G65" i="2"/>
  <c r="G64" i="2"/>
  <c r="H64" i="2"/>
  <c r="H88" i="2"/>
  <c r="H65" i="2"/>
  <c r="J8" i="22"/>
  <c r="V143" i="35"/>
  <c r="W81" i="35"/>
  <c r="H19" i="39"/>
  <c r="I19" i="39"/>
  <c r="D88" i="2"/>
  <c r="E64" i="2"/>
  <c r="G20" i="39"/>
  <c r="D64" i="2"/>
  <c r="F63" i="41"/>
  <c r="F64" i="41"/>
  <c r="H63" i="41"/>
  <c r="E63" i="41"/>
  <c r="R15" i="35"/>
  <c r="F230" i="41"/>
  <c r="C230" i="41"/>
  <c r="R76" i="35"/>
  <c r="D72" i="2"/>
  <c r="V77" i="35"/>
  <c r="W2" i="35"/>
  <c r="AS29" i="43"/>
  <c r="AS30" i="43"/>
  <c r="AS31" i="43"/>
  <c r="AS32" i="43"/>
  <c r="AS33" i="43"/>
  <c r="N25" i="43"/>
  <c r="H15" i="43"/>
  <c r="AB15" i="43"/>
  <c r="H16" i="43"/>
  <c r="AE127" i="58"/>
  <c r="AI127" i="58"/>
  <c r="AE128" i="58"/>
  <c r="AI128" i="58"/>
  <c r="AE129" i="58"/>
  <c r="AI129" i="58"/>
  <c r="AL37" i="43"/>
  <c r="AL38" i="43"/>
  <c r="AL41" i="43"/>
  <c r="L9" i="43"/>
  <c r="W77" i="43"/>
  <c r="L10" i="43"/>
  <c r="W16" i="35"/>
  <c r="I8" i="22"/>
  <c r="W15" i="35"/>
  <c r="F65" i="2"/>
  <c r="K72" i="59"/>
  <c r="V5" i="35"/>
  <c r="W77" i="35"/>
  <c r="P8" i="35"/>
  <c r="P10" i="35"/>
  <c r="H20" i="39"/>
  <c r="I20" i="39"/>
  <c r="V10" i="35"/>
  <c r="W7" i="35"/>
  <c r="Q8" i="35"/>
  <c r="Q10" i="35"/>
  <c r="G96" i="2"/>
  <c r="F73" i="2"/>
  <c r="H70" i="41"/>
  <c r="W143" i="35"/>
  <c r="C9" i="59"/>
  <c r="B3" i="30"/>
  <c r="B3" i="45"/>
  <c r="D65" i="2"/>
  <c r="E65" i="2"/>
  <c r="F65" i="41"/>
  <c r="Y223" i="58"/>
  <c r="Y221" i="58"/>
  <c r="Y222" i="58"/>
  <c r="Y176" i="58"/>
  <c r="Y174" i="58"/>
  <c r="Y175" i="58"/>
  <c r="Y141" i="58"/>
  <c r="Y151" i="58"/>
  <c r="Y155" i="58"/>
  <c r="Y163" i="58"/>
  <c r="Y164" i="58"/>
  <c r="Y161" i="58"/>
  <c r="Y149" i="58"/>
  <c r="Y142" i="58"/>
  <c r="Y143" i="58"/>
  <c r="Y154" i="58"/>
  <c r="Y159" i="58"/>
  <c r="Y165" i="58"/>
  <c r="Y152" i="58"/>
  <c r="Y160" i="58"/>
  <c r="Y158" i="58"/>
  <c r="Y150" i="58"/>
  <c r="Y166" i="58"/>
  <c r="Y145" i="58"/>
  <c r="Y144" i="58"/>
  <c r="Y146" i="58"/>
  <c r="Y140" i="58"/>
  <c r="Y153" i="58"/>
  <c r="Y156" i="58"/>
  <c r="Y157" i="58"/>
  <c r="Y162" i="58"/>
  <c r="Y147" i="58"/>
  <c r="Y148" i="58"/>
  <c r="Y139" i="58"/>
  <c r="Y206" i="58"/>
  <c r="Y212" i="58"/>
  <c r="Y204" i="58"/>
  <c r="Y194" i="58"/>
  <c r="Y193" i="58"/>
  <c r="Y185" i="58"/>
  <c r="Y210" i="58"/>
  <c r="Y203" i="58"/>
  <c r="Y207" i="58"/>
  <c r="Y205" i="58"/>
  <c r="Y208" i="58"/>
  <c r="Y196" i="58"/>
  <c r="Y189" i="58"/>
  <c r="Y186" i="58"/>
  <c r="Y213" i="58"/>
  <c r="Y198" i="58"/>
  <c r="Y201" i="58"/>
  <c r="Y202" i="58"/>
  <c r="Y192" i="58"/>
  <c r="Y191" i="58"/>
  <c r="Y190" i="58"/>
  <c r="Y187" i="58"/>
  <c r="Y209" i="58"/>
  <c r="Y199" i="58"/>
  <c r="Y211" i="58"/>
  <c r="Y200" i="58"/>
  <c r="Y197" i="58"/>
  <c r="Y195" i="58"/>
  <c r="Y188" i="58"/>
  <c r="Y138" i="58"/>
  <c r="H64" i="41"/>
  <c r="E64" i="41"/>
  <c r="H65" i="41"/>
  <c r="E65" i="41"/>
  <c r="H98" i="41"/>
  <c r="H123" i="41"/>
  <c r="K104" i="41"/>
  <c r="K101" i="41"/>
  <c r="K119" i="41"/>
  <c r="H118" i="41"/>
  <c r="H110" i="41"/>
  <c r="K117" i="41"/>
  <c r="K121" i="41"/>
  <c r="H91" i="41"/>
  <c r="H106" i="41"/>
  <c r="H113" i="41"/>
  <c r="K115" i="41"/>
  <c r="K110" i="41"/>
  <c r="T15" i="43"/>
  <c r="H99" i="41"/>
  <c r="H114" i="41"/>
  <c r="K118" i="41"/>
  <c r="H92" i="41"/>
  <c r="H121" i="41"/>
  <c r="H97" i="41"/>
  <c r="K113" i="41"/>
  <c r="K109" i="41"/>
  <c r="H90" i="41"/>
  <c r="H111" i="41"/>
  <c r="H104" i="41"/>
  <c r="K99" i="41"/>
  <c r="K98" i="41"/>
  <c r="K133" i="41"/>
  <c r="H116" i="41"/>
  <c r="H105" i="41"/>
  <c r="K96" i="41"/>
  <c r="H95" i="41"/>
  <c r="K131" i="41"/>
  <c r="H122" i="41"/>
  <c r="H96" i="41"/>
  <c r="T16" i="43"/>
  <c r="H100" i="41"/>
  <c r="H119" i="41"/>
  <c r="K106" i="41"/>
  <c r="K105" i="41"/>
  <c r="H133" i="41"/>
  <c r="H117" i="41"/>
  <c r="K116" i="41"/>
  <c r="K111" i="41"/>
  <c r="H131" i="41"/>
  <c r="H115" i="41"/>
  <c r="K122" i="41"/>
  <c r="K112" i="41"/>
  <c r="K123" i="41"/>
  <c r="H132" i="41"/>
  <c r="H107" i="41"/>
  <c r="K114" i="41"/>
  <c r="K102" i="41"/>
  <c r="K132" i="41"/>
  <c r="H109" i="41"/>
  <c r="K108" i="41"/>
  <c r="H108" i="41"/>
  <c r="H102" i="41"/>
  <c r="K103" i="41"/>
  <c r="K100" i="41"/>
  <c r="H112" i="41"/>
  <c r="H101" i="41"/>
  <c r="K95" i="41"/>
  <c r="K97" i="41"/>
  <c r="K107" i="41"/>
  <c r="H120" i="41"/>
  <c r="H103" i="41"/>
  <c r="K120" i="41"/>
  <c r="D96" i="2"/>
  <c r="P105" i="41"/>
  <c r="P104" i="41"/>
  <c r="P119" i="41"/>
  <c r="P114" i="41"/>
  <c r="P113" i="41"/>
  <c r="P110" i="41"/>
  <c r="P97" i="41"/>
  <c r="P103" i="41"/>
  <c r="P101" i="41"/>
  <c r="P102" i="41"/>
  <c r="P123" i="41"/>
  <c r="P107" i="41"/>
  <c r="P115" i="41"/>
  <c r="P117" i="41"/>
  <c r="P109" i="41"/>
  <c r="P122" i="41"/>
  <c r="P116" i="41"/>
  <c r="P111" i="41"/>
  <c r="P100" i="41"/>
  <c r="P99" i="41"/>
  <c r="P106" i="41"/>
  <c r="P118" i="41"/>
  <c r="P121" i="41"/>
  <c r="P120" i="41"/>
  <c r="P112" i="41"/>
  <c r="P108" i="41"/>
  <c r="P98" i="41"/>
  <c r="M85" i="50"/>
  <c r="H76" i="43"/>
  <c r="AB16" i="43"/>
  <c r="AE16" i="43"/>
  <c r="AG16" i="43"/>
  <c r="AH16" i="43"/>
  <c r="T76" i="43"/>
  <c r="J75" i="59"/>
  <c r="J74" i="59"/>
  <c r="J73" i="59"/>
  <c r="M58" i="50"/>
  <c r="AL43" i="43"/>
  <c r="AL42" i="43"/>
  <c r="AB76" i="43"/>
  <c r="AD15" i="43"/>
  <c r="AE15" i="43"/>
  <c r="M60" i="50"/>
  <c r="M40" i="50"/>
  <c r="M87" i="50"/>
  <c r="M86" i="50"/>
  <c r="M59" i="50"/>
  <c r="M38" i="50"/>
  <c r="M37" i="50"/>
  <c r="M57" i="50"/>
  <c r="M88" i="50"/>
  <c r="K6" i="50"/>
  <c r="M84" i="50"/>
  <c r="J6" i="22"/>
  <c r="H21" i="39"/>
  <c r="M39" i="50"/>
  <c r="AD139" i="58"/>
  <c r="K60" i="22"/>
  <c r="K59" i="22"/>
  <c r="K58" i="22"/>
  <c r="AD138" i="58"/>
  <c r="Q186" i="58"/>
  <c r="K79" i="59"/>
  <c r="K86" i="59"/>
  <c r="K88" i="59"/>
  <c r="K91" i="59"/>
  <c r="K102" i="59"/>
  <c r="K90" i="59"/>
  <c r="K100" i="59"/>
  <c r="K78" i="59"/>
  <c r="K81" i="59"/>
  <c r="K82" i="59"/>
  <c r="K83" i="59"/>
  <c r="K93" i="59"/>
  <c r="K92" i="59"/>
  <c r="K89" i="59"/>
  <c r="K104" i="59"/>
  <c r="K77" i="59"/>
  <c r="K80" i="59"/>
  <c r="K87" i="59"/>
  <c r="K99" i="59"/>
  <c r="K96" i="59"/>
  <c r="K98" i="59"/>
  <c r="K94" i="59"/>
  <c r="K101" i="59"/>
  <c r="K76" i="59"/>
  <c r="K84" i="59"/>
  <c r="K85" i="59"/>
  <c r="K95" i="59"/>
  <c r="K103" i="59"/>
  <c r="K97" i="59"/>
  <c r="J92" i="59"/>
  <c r="J102" i="59"/>
  <c r="J104" i="59"/>
  <c r="J103" i="59"/>
  <c r="J98" i="59"/>
  <c r="J89" i="59"/>
  <c r="J96" i="59"/>
  <c r="J90" i="59"/>
  <c r="J99" i="59"/>
  <c r="J93" i="59"/>
  <c r="J95" i="59"/>
  <c r="J91" i="59"/>
  <c r="J101" i="59"/>
  <c r="J100" i="59"/>
  <c r="J94" i="59"/>
  <c r="J97" i="59"/>
  <c r="J82" i="59"/>
  <c r="J84" i="59"/>
  <c r="J83" i="59"/>
  <c r="J85" i="59"/>
  <c r="J88" i="59"/>
  <c r="J87" i="59"/>
  <c r="J86" i="59"/>
  <c r="J80" i="59"/>
  <c r="J79" i="59"/>
  <c r="J76" i="59"/>
  <c r="J77" i="59"/>
  <c r="J78" i="59"/>
  <c r="J81" i="59"/>
  <c r="P9" i="35"/>
  <c r="X2" i="35"/>
  <c r="E73" i="2"/>
  <c r="E70" i="41"/>
  <c r="B4" i="45"/>
  <c r="L4" i="28"/>
  <c r="F3" i="30"/>
  <c r="C10" i="59"/>
  <c r="Q9" i="35"/>
  <c r="X7" i="35"/>
  <c r="G60" i="50"/>
  <c r="J6" i="50"/>
  <c r="G39" i="50"/>
  <c r="G40" i="50"/>
  <c r="G84" i="50"/>
  <c r="G58" i="50"/>
  <c r="G85" i="50"/>
  <c r="G38" i="50"/>
  <c r="G59" i="50"/>
  <c r="G37" i="50"/>
  <c r="G57" i="50"/>
  <c r="G87" i="50"/>
  <c r="G86" i="50"/>
  <c r="G88" i="50"/>
  <c r="G21" i="39"/>
  <c r="I21" i="39"/>
  <c r="I6" i="22"/>
  <c r="J27" i="2"/>
  <c r="K193" i="41"/>
  <c r="H220" i="41"/>
  <c r="E92" i="41"/>
  <c r="H170" i="41"/>
  <c r="H223" i="41"/>
  <c r="K165" i="41"/>
  <c r="K191" i="41"/>
  <c r="H165" i="41"/>
  <c r="K168" i="41"/>
  <c r="K192" i="41"/>
  <c r="H189" i="41"/>
  <c r="K169" i="41"/>
  <c r="H169" i="41"/>
  <c r="E90" i="41"/>
  <c r="H193" i="41"/>
  <c r="H219" i="41"/>
  <c r="H168" i="41"/>
  <c r="E96" i="41"/>
  <c r="K170" i="41"/>
  <c r="E95" i="41"/>
  <c r="K225" i="41"/>
  <c r="K189" i="41"/>
  <c r="H224" i="41"/>
  <c r="K224" i="41"/>
  <c r="H192" i="41"/>
  <c r="E91" i="41"/>
  <c r="H191" i="41"/>
  <c r="K223" i="41"/>
  <c r="H225" i="41"/>
  <c r="K219" i="41"/>
  <c r="K220" i="41"/>
  <c r="E89" i="41"/>
  <c r="AD16" i="43"/>
  <c r="AF16" i="43"/>
  <c r="P95" i="41"/>
  <c r="P96" i="41"/>
  <c r="P91" i="41"/>
  <c r="P92" i="41"/>
  <c r="P90" i="41"/>
  <c r="AG15" i="43"/>
  <c r="AE76" i="43"/>
  <c r="AF15" i="43"/>
  <c r="AF76" i="43"/>
  <c r="M34" i="43"/>
  <c r="P59" i="22"/>
  <c r="P60" i="22"/>
  <c r="P58" i="22"/>
  <c r="A42" i="41"/>
  <c r="T39" i="50"/>
  <c r="T85" i="50"/>
  <c r="T88" i="50"/>
  <c r="T58" i="50"/>
  <c r="T37" i="50"/>
  <c r="T60" i="50"/>
  <c r="T86" i="50"/>
  <c r="T38" i="50"/>
  <c r="T84" i="50"/>
  <c r="T87" i="50"/>
  <c r="J72" i="59"/>
  <c r="T59" i="50"/>
  <c r="T57" i="50"/>
  <c r="T40" i="50"/>
  <c r="E165" i="41"/>
  <c r="E169" i="41"/>
  <c r="E193" i="41"/>
  <c r="E192" i="41"/>
  <c r="E220" i="41"/>
  <c r="E191" i="41"/>
  <c r="E189" i="41"/>
  <c r="E224" i="41"/>
  <c r="E168" i="41"/>
  <c r="E223" i="41"/>
  <c r="E225" i="41"/>
  <c r="E219" i="41"/>
  <c r="E170" i="41"/>
  <c r="AD76" i="43"/>
  <c r="AH15" i="43"/>
  <c r="AH76" i="43"/>
  <c r="AG76" i="43"/>
  <c r="P89" i="41"/>
  <c r="P223" i="41"/>
  <c r="P193" i="41"/>
  <c r="P165" i="41"/>
  <c r="P191" i="41"/>
  <c r="P225" i="41"/>
  <c r="P220" i="41"/>
  <c r="P168" i="41"/>
  <c r="P170" i="41"/>
  <c r="P189" i="41"/>
  <c r="P192" i="41"/>
  <c r="P219" i="41"/>
  <c r="P169" i="41"/>
  <c r="N34" i="43"/>
  <c r="F96" i="2"/>
  <c r="J28" i="2"/>
  <c r="A43" i="41"/>
  <c r="G73" i="2"/>
  <c r="F70" i="41"/>
  <c r="D73" i="2"/>
  <c r="O251" i="41"/>
  <c r="O252" i="41"/>
  <c r="O254" i="41"/>
  <c r="O258" i="41"/>
  <c r="O256" i="41"/>
  <c r="O255" i="41"/>
  <c r="O259" i="41"/>
  <c r="O253" i="41"/>
  <c r="O257" i="41"/>
  <c r="K27" i="2"/>
  <c r="A48" i="41"/>
</calcChain>
</file>

<file path=xl/comments1.xml><?xml version="1.0" encoding="utf-8"?>
<comments xmlns="http://schemas.openxmlformats.org/spreadsheetml/2006/main">
  <authors>
    <author>Wayne Anderson</author>
    <author>Sarah Kennedy</author>
  </authors>
  <commentList>
    <comment ref="I7" authorId="0">
      <text>
        <r>
          <rPr>
            <sz val="8"/>
            <color indexed="81"/>
            <rFont val="Tahoma"/>
            <family val="2"/>
          </rPr>
          <t>Enter volume to be used for calculation of "Analyte" concentrations:
ISO-K samples use VolumeNTP1
PM10/PM2.5 samples use VolumeNTP3</t>
        </r>
      </text>
    </comment>
    <comment ref="J7" authorId="0">
      <text>
        <r>
          <rPr>
            <sz val="8"/>
            <color indexed="81"/>
            <rFont val="Tahoma"/>
            <family val="2"/>
          </rPr>
          <t>Enter volume to be used for calculation of "Analyte" concentrations:
ISO-K samples use VolumeNTP2
PM10/PM2.5 samples use VolumeNTP4</t>
        </r>
      </text>
    </comment>
    <comment ref="B10" authorId="1">
      <text>
        <r>
          <rPr>
            <sz val="8"/>
            <color indexed="81"/>
            <rFont val="Tahoma"/>
            <family val="2"/>
          </rPr>
          <t>If result is &lt; DL then "&lt;" 
symbol  should be entered</t>
        </r>
      </text>
    </comment>
    <comment ref="J10" authorId="1">
      <text>
        <r>
          <rPr>
            <sz val="8"/>
            <color indexed="81"/>
            <rFont val="Tahoma"/>
            <family val="2"/>
          </rPr>
          <t>O2 and/or CO2 corrected concentration 
(see O2 and CO2 factors on "Gases" sheet)</t>
        </r>
      </text>
    </comment>
    <comment ref="M10" authorId="1">
      <text>
        <r>
          <rPr>
            <sz val="8"/>
            <color indexed="81"/>
            <rFont val="Tahoma"/>
            <family val="2"/>
          </rPr>
          <t>If result is &lt; DL then "&lt;" 
symbol  should be entered</t>
        </r>
      </text>
    </comment>
    <comment ref="O10" authorId="1">
      <text>
        <r>
          <rPr>
            <sz val="8"/>
            <color indexed="81"/>
            <rFont val="Tahoma"/>
            <family val="2"/>
          </rPr>
          <t>O2 and/or CO2 corrected concentration 
(see O2 and CO2 factors on "Gases" sheet)</t>
        </r>
      </text>
    </comment>
    <comment ref="A13" authorId="1">
      <text>
        <r>
          <rPr>
            <sz val="8"/>
            <color indexed="81"/>
            <rFont val="Tahoma"/>
            <family val="2"/>
          </rPr>
          <t>TPM results on this line</t>
        </r>
      </text>
    </comment>
    <comment ref="A14" authorId="1">
      <text>
        <r>
          <rPr>
            <sz val="8"/>
            <color indexed="81"/>
            <rFont val="Tahoma"/>
            <family val="2"/>
          </rPr>
          <t>PM coarse results on this line</t>
        </r>
      </text>
    </comment>
    <comment ref="A15" authorId="1">
      <text>
        <r>
          <rPr>
            <sz val="8"/>
            <color indexed="81"/>
            <rFont val="Tahoma"/>
            <family val="2"/>
          </rPr>
          <t>PM10 results on this line</t>
        </r>
      </text>
    </comment>
    <comment ref="A16" authorId="1">
      <text>
        <r>
          <rPr>
            <sz val="8"/>
            <color indexed="81"/>
            <rFont val="Tahoma"/>
            <family val="2"/>
          </rPr>
          <t>PM2.5 results on this line</t>
        </r>
      </text>
    </comment>
    <comment ref="B19" authorId="1">
      <text>
        <r>
          <rPr>
            <sz val="8"/>
            <color indexed="81"/>
            <rFont val="Tahoma"/>
            <family val="2"/>
          </rPr>
          <t>If result is &lt; DL then "&lt;" 
symbol  should be entered</t>
        </r>
      </text>
    </comment>
    <comment ref="J19" authorId="1">
      <text>
        <r>
          <rPr>
            <sz val="8"/>
            <color indexed="81"/>
            <rFont val="Tahoma"/>
            <family val="2"/>
          </rPr>
          <t>O2 and/or CO2 corrected concentration 
(see O2 and CO2 factors on "Gases" sheet)</t>
        </r>
      </text>
    </comment>
    <comment ref="M19" authorId="1">
      <text>
        <r>
          <rPr>
            <sz val="8"/>
            <color indexed="81"/>
            <rFont val="Tahoma"/>
            <family val="2"/>
          </rPr>
          <t>If result is &lt; DL then "&lt;" 
symbol  should be entered</t>
        </r>
      </text>
    </comment>
    <comment ref="O19" authorId="1">
      <text>
        <r>
          <rPr>
            <sz val="8"/>
            <color indexed="81"/>
            <rFont val="Tahoma"/>
            <family val="2"/>
          </rPr>
          <t>O2 and/or CO2 corrected concentration 
(see O2 and CO2 factors on "Gases" sheet)</t>
        </r>
      </text>
    </comment>
    <comment ref="B63" authorId="1">
      <text>
        <r>
          <rPr>
            <sz val="8"/>
            <color indexed="81"/>
            <rFont val="Tahoma"/>
            <family val="2"/>
          </rPr>
          <t>If result is &lt; DL then "&lt;" 
symbol  should be entered</t>
        </r>
      </text>
    </comment>
    <comment ref="J63" authorId="1">
      <text>
        <r>
          <rPr>
            <sz val="8"/>
            <color indexed="81"/>
            <rFont val="Tahoma"/>
            <family val="2"/>
          </rPr>
          <t>O2 and/or CO2 corrected concentration 
(see O2 and CO2 factors on "Gases" sheet)</t>
        </r>
      </text>
    </comment>
    <comment ref="A66" authorId="1">
      <text>
        <r>
          <rPr>
            <sz val="8"/>
            <color indexed="81"/>
            <rFont val="Tahoma"/>
            <family val="2"/>
          </rPr>
          <t>TPM results on this line</t>
        </r>
      </text>
    </comment>
    <comment ref="A67" authorId="1">
      <text>
        <r>
          <rPr>
            <sz val="8"/>
            <color indexed="81"/>
            <rFont val="Tahoma"/>
            <family val="2"/>
          </rPr>
          <t>PM coarse results on this line</t>
        </r>
      </text>
    </comment>
    <comment ref="A68" authorId="1">
      <text>
        <r>
          <rPr>
            <sz val="8"/>
            <color indexed="81"/>
            <rFont val="Tahoma"/>
            <family val="2"/>
          </rPr>
          <t>PM10 results on this line</t>
        </r>
      </text>
    </comment>
    <comment ref="A69" authorId="1">
      <text>
        <r>
          <rPr>
            <sz val="8"/>
            <color indexed="81"/>
            <rFont val="Tahoma"/>
            <family val="2"/>
          </rPr>
          <t>PM2.5 results on this line</t>
        </r>
      </text>
    </comment>
    <comment ref="B72" authorId="1">
      <text>
        <r>
          <rPr>
            <sz val="8"/>
            <color indexed="81"/>
            <rFont val="Tahoma"/>
            <family val="2"/>
          </rPr>
          <t>If result is &lt; DL then "&lt;" 
symbol  should be entered</t>
        </r>
      </text>
    </comment>
    <comment ref="J72" authorId="1">
      <text>
        <r>
          <rPr>
            <sz val="8"/>
            <color indexed="81"/>
            <rFont val="Tahoma"/>
            <family val="2"/>
          </rPr>
          <t>O2 and/or CO2 corrected concentration 
(see O2 and CO2 factors on "Gases" sheet)</t>
        </r>
      </text>
    </comment>
  </commentList>
</comments>
</file>

<file path=xl/comments2.xml><?xml version="1.0" encoding="utf-8"?>
<comments xmlns="http://schemas.openxmlformats.org/spreadsheetml/2006/main">
  <authors>
    <author>Testing</author>
    <author>Sarah Kennedy</author>
    <author>WAnderson</author>
    <author>Anderson</author>
    <author>wayne.anderson</author>
    <author>air-nb-5</author>
  </authors>
  <commentList>
    <comment ref="C2" authorId="0">
      <text>
        <r>
          <rPr>
            <sz val="8"/>
            <color indexed="81"/>
            <rFont val="Tahoma"/>
            <family val="2"/>
          </rPr>
          <t>Ektimo staff who actually performed the field sampling work</t>
        </r>
      </text>
    </comment>
    <comment ref="C3" authorId="0">
      <text>
        <r>
          <rPr>
            <sz val="8"/>
            <color indexed="81"/>
            <rFont val="Tahoma"/>
            <family val="2"/>
          </rPr>
          <t>Clients EPA Licence No.</t>
        </r>
      </text>
    </comment>
    <comment ref="E3" authorId="0">
      <text>
        <r>
          <rPr>
            <sz val="8"/>
            <color indexed="81"/>
            <rFont val="Tahoma"/>
            <family val="2"/>
          </rPr>
          <t>EML's Report No. or "Job"</t>
        </r>
      </text>
    </comment>
    <comment ref="H3" authorId="0">
      <text>
        <r>
          <rPr>
            <sz val="8"/>
            <color indexed="81"/>
            <rFont val="Tahoma"/>
            <family val="2"/>
          </rPr>
          <t>Suburb or regional area</t>
        </r>
      </text>
    </comment>
    <comment ref="H11" authorId="1">
      <text>
        <r>
          <rPr>
            <sz val="8"/>
            <color indexed="81"/>
            <rFont val="Tahoma"/>
            <family val="2"/>
          </rPr>
          <t xml:space="preserve">Sampling plane area, m² </t>
        </r>
      </text>
    </comment>
    <comment ref="I11" authorId="1">
      <text>
        <r>
          <rPr>
            <sz val="8"/>
            <color indexed="81"/>
            <rFont val="Tahoma"/>
            <family val="2"/>
          </rPr>
          <t>Circular ducts; 
enter diameter as Dimension A (mm)</t>
        </r>
      </text>
    </comment>
    <comment ref="J11" authorId="1">
      <text>
        <r>
          <rPr>
            <sz val="8"/>
            <color indexed="81"/>
            <rFont val="Tahoma"/>
            <family val="2"/>
          </rPr>
          <t>Rectangular ducts;
enter side with ports
as Dimension B (mm)</t>
        </r>
      </text>
    </comment>
    <comment ref="K11" authorId="1">
      <text>
        <r>
          <rPr>
            <sz val="8"/>
            <color indexed="81"/>
            <rFont val="Tahoma"/>
            <family val="2"/>
          </rPr>
          <t>Stack shape (cross-section)</t>
        </r>
      </text>
    </comment>
    <comment ref="H12" authorId="1">
      <text>
        <r>
          <rPr>
            <sz val="8"/>
            <color indexed="81"/>
            <rFont val="Tahoma"/>
            <family val="2"/>
          </rPr>
          <t xml:space="preserve">Exit plane area, m² </t>
        </r>
      </text>
    </comment>
    <comment ref="K12" authorId="1">
      <text>
        <r>
          <rPr>
            <sz val="8"/>
            <color indexed="81"/>
            <rFont val="Tahoma"/>
            <family val="2"/>
          </rPr>
          <t>EP shape (cross-section)</t>
        </r>
      </text>
    </comment>
    <comment ref="I13" authorId="2">
      <text>
        <r>
          <rPr>
            <sz val="8"/>
            <color indexed="81"/>
            <rFont val="Tahoma"/>
            <family val="2"/>
          </rPr>
          <t>Duct orientation; 
Vertical, horizontal or inclined</t>
        </r>
      </text>
    </comment>
    <comment ref="J13" authorId="1">
      <text>
        <r>
          <rPr>
            <sz val="8"/>
            <color indexed="81"/>
            <rFont val="Tahoma"/>
            <family val="2"/>
          </rPr>
          <t>Port depth (mm)</t>
        </r>
      </text>
    </comment>
    <comment ref="K13" authorId="2">
      <text>
        <r>
          <rPr>
            <sz val="8"/>
            <color indexed="81"/>
            <rFont val="Tahoma"/>
            <family val="2"/>
          </rPr>
          <t>Port orientation: one of the sampling ports should lie in the plane of the nearest upstream bend.</t>
        </r>
      </text>
    </comment>
    <comment ref="J16" authorId="2">
      <text>
        <r>
          <rPr>
            <sz val="8"/>
            <color indexed="81"/>
            <rFont val="Tahoma"/>
            <family val="2"/>
          </rPr>
          <t>Height above ground
in metres</t>
        </r>
      </text>
    </comment>
    <comment ref="J17" authorId="1">
      <text>
        <r>
          <rPr>
            <sz val="8"/>
            <color indexed="81"/>
            <rFont val="Tahoma"/>
            <family val="2"/>
          </rPr>
          <t>No. diameters (D)  sampling plane
 is upstream from disturbance</t>
        </r>
      </text>
    </comment>
    <comment ref="K17" authorId="2">
      <text>
        <r>
          <rPr>
            <sz val="8"/>
            <color indexed="81"/>
            <rFont val="Tahoma"/>
            <family val="2"/>
          </rPr>
          <t>No. diameters (D)  sampling plane should be (upstream)
from disturbance</t>
        </r>
      </text>
    </comment>
    <comment ref="J18" authorId="1">
      <text>
        <r>
          <rPr>
            <sz val="8"/>
            <color indexed="81"/>
            <rFont val="Tahoma"/>
            <family val="2"/>
          </rPr>
          <t>No. diameters (D)  sampling plane
is downstream from disturbance</t>
        </r>
      </text>
    </comment>
    <comment ref="K18" authorId="2">
      <text>
        <r>
          <rPr>
            <sz val="8"/>
            <color indexed="81"/>
            <rFont val="Tahoma"/>
            <family val="2"/>
          </rPr>
          <t>No. diameters (D)  sampling plane should be (downstream)
from disturbance</t>
        </r>
      </text>
    </comment>
    <comment ref="I19" authorId="2">
      <text>
        <r>
          <rPr>
            <sz val="8"/>
            <color indexed="81"/>
            <rFont val="Tahoma"/>
            <family val="2"/>
          </rPr>
          <t>Size &amp; number of ports
eg (2x4" BSP)</t>
        </r>
      </text>
    </comment>
    <comment ref="J19" authorId="1">
      <text>
        <r>
          <rPr>
            <sz val="8"/>
            <color indexed="81"/>
            <rFont val="Tahoma"/>
            <family val="2"/>
          </rPr>
          <t>No. of traverses sampled</t>
        </r>
      </text>
    </comment>
    <comment ref="K19" authorId="1">
      <text>
        <r>
          <rPr>
            <sz val="8"/>
            <color indexed="81"/>
            <rFont val="Tahoma"/>
            <family val="2"/>
          </rPr>
          <t>No. of traverses required</t>
        </r>
      </text>
    </comment>
    <comment ref="I20" authorId="3">
      <text>
        <r>
          <rPr>
            <sz val="8"/>
            <color indexed="81"/>
            <rFont val="Tahoma"/>
            <family val="2"/>
          </rPr>
          <t>Method for selecting traverse points: 
AS4323.1, USEPA Method 1 or VDI 2066</t>
        </r>
      </text>
    </comment>
    <comment ref="J20" authorId="2">
      <text>
        <r>
          <rPr>
            <sz val="8"/>
            <color indexed="81"/>
            <rFont val="Tahoma"/>
            <family val="2"/>
          </rPr>
          <t xml:space="preserve">Sampling point factor </t>
        </r>
      </text>
    </comment>
    <comment ref="K20" authorId="2">
      <text>
        <r>
          <rPr>
            <sz val="8"/>
            <color indexed="81"/>
            <rFont val="Tahoma"/>
            <family val="2"/>
          </rPr>
          <t>Minimum number of points per traverse 
(ie ideal sampling plane)</t>
        </r>
      </text>
    </comment>
    <comment ref="I21" authorId="1">
      <text>
        <r>
          <rPr>
            <sz val="8"/>
            <color indexed="81"/>
            <rFont val="Tahoma"/>
            <family val="2"/>
          </rPr>
          <t>Total number of points required
(ie including extra points for non-ideal SP's)</t>
        </r>
      </text>
    </comment>
    <comment ref="J21" authorId="2">
      <text>
        <r>
          <rPr>
            <sz val="8"/>
            <color indexed="81"/>
            <rFont val="Tahoma"/>
            <family val="2"/>
          </rPr>
          <t>No. of points per traverse 
actually sampled in field</t>
        </r>
      </text>
    </comment>
    <comment ref="K21" authorId="1">
      <text>
        <r>
          <rPr>
            <sz val="8"/>
            <color indexed="81"/>
            <rFont val="Tahoma"/>
            <family val="2"/>
          </rPr>
          <t>Required number of points per traverse 
(ie including extra points for non-ideal SP's)</t>
        </r>
      </text>
    </comment>
    <comment ref="H25" authorId="2">
      <text>
        <r>
          <rPr>
            <sz val="8"/>
            <color indexed="81"/>
            <rFont val="Tahoma"/>
            <family val="2"/>
          </rPr>
          <t>a) The gas velocity is not in the same direction at all points along each sampling traverse</t>
        </r>
      </text>
    </comment>
    <comment ref="I25" authorId="2">
      <text>
        <r>
          <rPr>
            <sz val="8"/>
            <color indexed="81"/>
            <rFont val="Tahoma"/>
            <family val="2"/>
          </rPr>
          <t>g) The gas temperature at the sampling plane is below the dew point</t>
        </r>
      </text>
    </comment>
    <comment ref="J25" authorId="2">
      <text>
        <r>
          <rPr>
            <sz val="8"/>
            <color indexed="81"/>
            <rFont val="Tahoma"/>
            <family val="2"/>
          </rPr>
          <t>1) No. traverses sampled is less than requirement</t>
        </r>
      </text>
    </comment>
    <comment ref="K25" authorId="2">
      <text>
        <r>
          <rPr>
            <sz val="8"/>
            <color indexed="81"/>
            <rFont val="Tahoma"/>
            <family val="2"/>
          </rPr>
          <t>7) Discharge assumed to be composed of dry air and moisture</t>
        </r>
      </text>
    </comment>
    <comment ref="H26" authorId="2">
      <text>
        <r>
          <rPr>
            <sz val="8"/>
            <color indexed="81"/>
            <rFont val="Tahoma"/>
            <family val="2"/>
          </rPr>
          <t>b) The gas velocity at some or all sampling points is less than 3 m/s</t>
        </r>
      </text>
    </comment>
    <comment ref="I26" authorId="2">
      <text>
        <r>
          <rPr>
            <sz val="8"/>
            <color indexed="81"/>
            <rFont val="Tahoma"/>
            <family val="2"/>
          </rPr>
          <t>h) The downstream disturbance is &lt;1D from the sampling plane</t>
        </r>
      </text>
    </comment>
    <comment ref="J26" authorId="2">
      <text>
        <r>
          <rPr>
            <sz val="8"/>
            <color indexed="81"/>
            <rFont val="Tahoma"/>
            <family val="2"/>
          </rPr>
          <t>2) No. points sampled is less than requirement</t>
        </r>
      </text>
    </comment>
    <comment ref="K26" authorId="2">
      <text>
        <r>
          <rPr>
            <sz val="8"/>
            <color indexed="81"/>
            <rFont val="Tahoma"/>
            <family val="2"/>
          </rPr>
          <t>8) Saturated stack; negligible dry flow rate &amp; component mass rates</t>
        </r>
      </text>
    </comment>
    <comment ref="D27" authorId="1">
      <text>
        <r>
          <rPr>
            <sz val="8"/>
            <color indexed="81"/>
            <rFont val="Tahoma"/>
            <family val="2"/>
          </rPr>
          <t>Fixed selection</t>
        </r>
      </text>
    </comment>
    <comment ref="H27" authorId="2">
      <text>
        <r>
          <rPr>
            <sz val="8"/>
            <color indexed="81"/>
            <rFont val="Tahoma"/>
            <family val="2"/>
          </rPr>
          <t>c) The gas profile has a cyclonic component which exceeds an angle of 15° to the duct axis</t>
        </r>
      </text>
    </comment>
    <comment ref="I27" authorId="2">
      <text>
        <r>
          <rPr>
            <sz val="8"/>
            <color indexed="81"/>
            <rFont val="Tahoma"/>
            <family val="2"/>
          </rPr>
          <t>h) The upstream disturbance is &lt;2D from the sampling plane</t>
        </r>
      </text>
    </comment>
    <comment ref="J27" authorId="2">
      <text>
        <r>
          <rPr>
            <sz val="8"/>
            <color indexed="81"/>
            <rFont val="Tahoma"/>
            <family val="2"/>
          </rPr>
          <t>3) Isokinetic rate is outside the criteria</t>
        </r>
      </text>
    </comment>
    <comment ref="K27" authorId="2">
      <text>
        <r>
          <rPr>
            <sz val="8"/>
            <color indexed="81"/>
            <rFont val="Tahoma"/>
            <family val="2"/>
          </rPr>
          <t>9) The licence limit has been exceeded for one or more discharge points and/or test parameters</t>
        </r>
      </text>
    </comment>
    <comment ref="D28" authorId="1">
      <text>
        <r>
          <rPr>
            <sz val="8"/>
            <color indexed="81"/>
            <rFont val="Tahoma"/>
            <family val="2"/>
          </rPr>
          <t>Fixed selection</t>
        </r>
      </text>
    </comment>
    <comment ref="H28" authorId="2">
      <text>
        <r>
          <rPr>
            <sz val="8"/>
            <color indexed="81"/>
            <rFont val="Tahoma"/>
            <family val="2"/>
          </rPr>
          <t>d) The temperature difference across the sampling plane is greater than 10%</t>
        </r>
      </text>
    </comment>
    <comment ref="I28" authorId="2">
      <text>
        <r>
          <rPr>
            <sz val="8"/>
            <color indexed="81"/>
            <rFont val="Tahoma"/>
            <family val="2"/>
          </rPr>
          <t>i) The stack or duct does not have the required number of access holes (ports)</t>
        </r>
      </text>
    </comment>
    <comment ref="J28" authorId="2">
      <text>
        <r>
          <rPr>
            <sz val="8"/>
            <color indexed="81"/>
            <rFont val="Tahoma"/>
            <family val="2"/>
          </rPr>
          <t>4) Isokinetic rate for PM10 or PM2.5 is outside the criteria</t>
        </r>
      </text>
    </comment>
    <comment ref="K28" authorId="2">
      <text>
        <r>
          <rPr>
            <sz val="8"/>
            <color indexed="81"/>
            <rFont val="Tahoma"/>
            <family val="2"/>
          </rPr>
          <t>10) All results reported on a dry basis at STP (except odour wet STP)</t>
        </r>
      </text>
    </comment>
    <comment ref="H29" authorId="2">
      <text>
        <r>
          <rPr>
            <sz val="8"/>
            <color indexed="81"/>
            <rFont val="Tahoma"/>
            <family val="2"/>
          </rPr>
          <t>e) The highest to lowest differential pressure ratio exceeds 9:1 (or 3:1 for gas velocity ratio)</t>
        </r>
      </text>
    </comment>
    <comment ref="I29" authorId="2">
      <text>
        <r>
          <rPr>
            <sz val="8"/>
            <color indexed="81"/>
            <rFont val="Tahoma"/>
            <family val="2"/>
          </rPr>
          <t>j) The sampling plane does not meet the required no. of diameters from the downstream disturbance but is &gt;=1D</t>
        </r>
      </text>
    </comment>
    <comment ref="J29" authorId="2">
      <text>
        <r>
          <rPr>
            <sz val="8"/>
            <color indexed="81"/>
            <rFont val="Tahoma"/>
            <family val="2"/>
          </rPr>
          <t>5) Velocity difference for TPM is outside the criteria</t>
        </r>
      </text>
    </comment>
    <comment ref="H30" authorId="2">
      <text>
        <r>
          <rPr>
            <sz val="8"/>
            <color indexed="81"/>
            <rFont val="Tahoma"/>
            <family val="2"/>
          </rPr>
          <t>f) The highest to lowest gas velocity ratio exceeds 1.6:1</t>
        </r>
      </text>
    </comment>
    <comment ref="I30" authorId="2">
      <text>
        <r>
          <rPr>
            <sz val="8"/>
            <color indexed="81"/>
            <rFont val="Tahoma"/>
            <family val="2"/>
          </rPr>
          <t>k) The sampling plane does not meet the required no. of diameters from the upstream disturbance but is &gt;=2D</t>
        </r>
      </text>
    </comment>
    <comment ref="J30" authorId="2">
      <text>
        <r>
          <rPr>
            <sz val="8"/>
            <color indexed="81"/>
            <rFont val="Tahoma"/>
            <family val="2"/>
          </rPr>
          <t>6) Velocity difference for PM10 or PM2.5 is outside the criteria</t>
        </r>
      </text>
    </comment>
    <comment ref="D31" authorId="1">
      <text>
        <r>
          <rPr>
            <sz val="8"/>
            <color indexed="81"/>
            <rFont val="Tahoma"/>
            <family val="2"/>
          </rPr>
          <t>Fixed selection</t>
        </r>
      </text>
    </comment>
    <comment ref="H33" authorId="1">
      <text>
        <r>
          <rPr>
            <sz val="8"/>
            <color indexed="81"/>
            <rFont val="Tahoma"/>
            <family val="2"/>
          </rPr>
          <t>Barometric pressure (hPa)</t>
        </r>
      </text>
    </comment>
    <comment ref="I33" authorId="1">
      <text>
        <r>
          <rPr>
            <sz val="8"/>
            <color indexed="81"/>
            <rFont val="Tahoma"/>
            <family val="2"/>
          </rPr>
          <t>Absolute stack pressure (hPa)</t>
        </r>
      </text>
    </comment>
    <comment ref="H34" authorId="1">
      <text>
        <r>
          <rPr>
            <sz val="8"/>
            <color indexed="81"/>
            <rFont val="Tahoma"/>
            <family val="2"/>
          </rPr>
          <t>Stack temperature (°C)</t>
        </r>
      </text>
    </comment>
    <comment ref="I34" authorId="3">
      <text>
        <r>
          <rPr>
            <sz val="8"/>
            <color indexed="81"/>
            <rFont val="Tahoma"/>
            <family val="2"/>
          </rPr>
          <t>L-type =1, S-type =0.84
Anemometer =anenmom</t>
        </r>
      </text>
    </comment>
    <comment ref="H35" authorId="1">
      <text>
        <r>
          <rPr>
            <sz val="8"/>
            <color indexed="81"/>
            <rFont val="Tahoma"/>
            <family val="2"/>
          </rPr>
          <t>Velocity pressure (Pa)</t>
        </r>
      </text>
    </comment>
    <comment ref="C36" authorId="1">
      <text>
        <r>
          <rPr>
            <sz val="8"/>
            <color indexed="81"/>
            <rFont val="Tahoma"/>
            <family val="2"/>
          </rPr>
          <t>Temperature for Volume Correction</t>
        </r>
      </text>
    </comment>
    <comment ref="D36" authorId="1">
      <text>
        <r>
          <rPr>
            <u/>
            <sz val="8"/>
            <color indexed="81"/>
            <rFont val="Tahoma"/>
            <family val="2"/>
          </rPr>
          <t>Volume Correction Conditions</t>
        </r>
        <r>
          <rPr>
            <sz val="8"/>
            <color indexed="81"/>
            <rFont val="Tahoma"/>
            <family val="2"/>
          </rPr>
          <t xml:space="preserve">
STP (1013.25hPa, 0°C) for stack testing, ambient and low volume sampling.
Workplace STP (1013.25hPa, 25°C) for workplace/OHS sampling.</t>
        </r>
      </text>
    </comment>
    <comment ref="E36" authorId="1">
      <text>
        <r>
          <rPr>
            <sz val="8"/>
            <color indexed="81"/>
            <rFont val="Tahoma"/>
            <family val="2"/>
          </rPr>
          <t>Molar volume at correction temperature and pressure (1013.25hPa)</t>
        </r>
      </text>
    </comment>
    <comment ref="D37" authorId="2">
      <text>
        <r>
          <rPr>
            <b/>
            <sz val="8"/>
            <color indexed="81"/>
            <rFont val="Tahoma"/>
            <family val="2"/>
          </rPr>
          <t>Above</t>
        </r>
        <r>
          <rPr>
            <sz val="8"/>
            <color indexed="81"/>
            <rFont val="Tahoma"/>
            <family val="2"/>
          </rPr>
          <t xml:space="preserve"> DL Results
Select the number of significant figures:
1, 2, 3, 4, engineering or scientific notation</t>
        </r>
      </text>
    </comment>
    <comment ref="E37" authorId="2">
      <text>
        <r>
          <rPr>
            <b/>
            <sz val="8"/>
            <color indexed="81"/>
            <rFont val="Tahoma"/>
            <family val="2"/>
          </rPr>
          <t>Below</t>
        </r>
        <r>
          <rPr>
            <sz val="8"/>
            <color indexed="81"/>
            <rFont val="Tahoma"/>
            <family val="2"/>
          </rPr>
          <t xml:space="preserve"> DL Results
Select the number of significant figures:
1, 2, 3, 4, engineering or scientific notation</t>
        </r>
      </text>
    </comment>
    <comment ref="C39" authorId="2">
      <text>
        <r>
          <rPr>
            <sz val="8"/>
            <color indexed="81"/>
            <rFont val="Tahoma"/>
            <family val="2"/>
          </rPr>
          <t>dry estimate %O2</t>
        </r>
      </text>
    </comment>
    <comment ref="D39" authorId="2">
      <text>
        <r>
          <rPr>
            <sz val="8"/>
            <color indexed="81"/>
            <rFont val="Tahoma"/>
            <family val="2"/>
          </rPr>
          <t>wet % O2</t>
        </r>
      </text>
    </comment>
    <comment ref="E39" authorId="2">
      <text>
        <r>
          <rPr>
            <sz val="8"/>
            <color indexed="81"/>
            <rFont val="Tahoma"/>
            <family val="2"/>
          </rPr>
          <t>dry % O2 
(default is 20.946%; IUPAC)</t>
        </r>
      </text>
    </comment>
    <comment ref="C40" authorId="2">
      <text>
        <r>
          <rPr>
            <sz val="8"/>
            <color indexed="81"/>
            <rFont val="Tahoma"/>
            <family val="2"/>
          </rPr>
          <t>dry estimate %O2</t>
        </r>
      </text>
    </comment>
    <comment ref="D40" authorId="2">
      <text>
        <r>
          <rPr>
            <sz val="8"/>
            <color indexed="81"/>
            <rFont val="Tahoma"/>
            <family val="2"/>
          </rPr>
          <t>wet % CO2</t>
        </r>
      </text>
    </comment>
    <comment ref="E40" authorId="2">
      <text>
        <r>
          <rPr>
            <sz val="8"/>
            <color indexed="81"/>
            <rFont val="Tahoma"/>
            <family val="2"/>
          </rPr>
          <t>dry % CO2
(default is 0.033%; IUPAC)</t>
        </r>
      </text>
    </comment>
    <comment ref="C41" authorId="2">
      <text>
        <r>
          <rPr>
            <sz val="8"/>
            <color indexed="81"/>
            <rFont val="Tahoma"/>
            <family val="2"/>
          </rPr>
          <t>estimated % H2O</t>
        </r>
      </text>
    </comment>
    <comment ref="D41" authorId="2">
      <text>
        <r>
          <rPr>
            <sz val="8"/>
            <color indexed="81"/>
            <rFont val="Tahoma"/>
            <family val="2"/>
          </rPr>
          <t>wet % H2O</t>
        </r>
      </text>
    </comment>
    <comment ref="E41" authorId="1">
      <text>
        <r>
          <rPr>
            <sz val="8"/>
            <color indexed="81"/>
            <rFont val="Tahoma"/>
            <family val="2"/>
          </rPr>
          <t>Bws</t>
        </r>
      </text>
    </comment>
    <comment ref="B42" authorId="2">
      <text>
        <r>
          <rPr>
            <sz val="8"/>
            <color indexed="81"/>
            <rFont val="Tahoma"/>
            <family val="2"/>
          </rPr>
          <t>Molecular Wt - Other1</t>
        </r>
      </text>
    </comment>
    <comment ref="C42" authorId="2">
      <text>
        <r>
          <rPr>
            <sz val="8"/>
            <color indexed="81"/>
            <rFont val="Tahoma"/>
            <family val="2"/>
          </rPr>
          <t>dry estimate %Other1</t>
        </r>
      </text>
    </comment>
    <comment ref="D42" authorId="2">
      <text>
        <r>
          <rPr>
            <sz val="8"/>
            <color indexed="81"/>
            <rFont val="Tahoma"/>
            <family val="2"/>
          </rPr>
          <t>wet % Other1</t>
        </r>
      </text>
    </comment>
    <comment ref="E42" authorId="2">
      <text>
        <r>
          <rPr>
            <sz val="8"/>
            <color indexed="81"/>
            <rFont val="Tahoma"/>
            <family val="2"/>
          </rPr>
          <t>dry % other1
(default Argon is 0.934%; IUPAC)</t>
        </r>
      </text>
    </comment>
    <comment ref="B43" authorId="2">
      <text>
        <r>
          <rPr>
            <sz val="8"/>
            <color indexed="81"/>
            <rFont val="Tahoma"/>
            <family val="2"/>
          </rPr>
          <t>Molecular Wt - Other2</t>
        </r>
      </text>
    </comment>
    <comment ref="C43" authorId="2">
      <text>
        <r>
          <rPr>
            <sz val="8"/>
            <color indexed="81"/>
            <rFont val="Tahoma"/>
            <family val="2"/>
          </rPr>
          <t>dry estimate %Other2</t>
        </r>
      </text>
    </comment>
    <comment ref="D43" authorId="2">
      <text>
        <r>
          <rPr>
            <sz val="8"/>
            <color indexed="81"/>
            <rFont val="Tahoma"/>
            <family val="2"/>
          </rPr>
          <t>wet % Other2</t>
        </r>
      </text>
    </comment>
    <comment ref="E43" authorId="2">
      <text>
        <r>
          <rPr>
            <sz val="8"/>
            <color indexed="81"/>
            <rFont val="Tahoma"/>
            <family val="2"/>
          </rPr>
          <t>dry % other2</t>
        </r>
      </text>
    </comment>
    <comment ref="B44" authorId="2">
      <text>
        <r>
          <rPr>
            <sz val="8"/>
            <color indexed="81"/>
            <rFont val="Tahoma"/>
            <family val="2"/>
          </rPr>
          <t>Molecular Wt - Other3</t>
        </r>
      </text>
    </comment>
    <comment ref="C44" authorId="2">
      <text>
        <r>
          <rPr>
            <sz val="8"/>
            <color indexed="81"/>
            <rFont val="Tahoma"/>
            <family val="2"/>
          </rPr>
          <t>dry estimate %Other3</t>
        </r>
      </text>
    </comment>
    <comment ref="D44" authorId="2">
      <text>
        <r>
          <rPr>
            <sz val="8"/>
            <color indexed="81"/>
            <rFont val="Tahoma"/>
            <family val="2"/>
          </rPr>
          <t>wet % Other3</t>
        </r>
      </text>
    </comment>
    <comment ref="E44" authorId="2">
      <text>
        <r>
          <rPr>
            <sz val="8"/>
            <color indexed="81"/>
            <rFont val="Tahoma"/>
            <family val="2"/>
          </rPr>
          <t>dry % other3</t>
        </r>
      </text>
    </comment>
    <comment ref="B45" authorId="2">
      <text>
        <r>
          <rPr>
            <sz val="8"/>
            <color indexed="81"/>
            <rFont val="Tahoma"/>
            <family val="2"/>
          </rPr>
          <t>Molecular Wt - Other4</t>
        </r>
      </text>
    </comment>
    <comment ref="C45" authorId="2">
      <text>
        <r>
          <rPr>
            <sz val="8"/>
            <color indexed="81"/>
            <rFont val="Tahoma"/>
            <family val="2"/>
          </rPr>
          <t>dry estimate %Other4</t>
        </r>
      </text>
    </comment>
    <comment ref="D45" authorId="2">
      <text>
        <r>
          <rPr>
            <sz val="8"/>
            <color indexed="81"/>
            <rFont val="Tahoma"/>
            <family val="2"/>
          </rPr>
          <t>wet % Other4</t>
        </r>
      </text>
    </comment>
    <comment ref="E45" authorId="2">
      <text>
        <r>
          <rPr>
            <sz val="8"/>
            <color indexed="81"/>
            <rFont val="Tahoma"/>
            <family val="2"/>
          </rPr>
          <t>dry % other4</t>
        </r>
      </text>
    </comment>
    <comment ref="B46" authorId="2">
      <text>
        <r>
          <rPr>
            <sz val="8"/>
            <color indexed="81"/>
            <rFont val="Tahoma"/>
            <family val="2"/>
          </rPr>
          <t>Molecular Wt - Other5</t>
        </r>
      </text>
    </comment>
    <comment ref="C46" authorId="2">
      <text>
        <r>
          <rPr>
            <sz val="8"/>
            <color indexed="81"/>
            <rFont val="Tahoma"/>
            <family val="2"/>
          </rPr>
          <t>dry estimate %Other5</t>
        </r>
      </text>
    </comment>
    <comment ref="D46" authorId="2">
      <text>
        <r>
          <rPr>
            <sz val="8"/>
            <color indexed="81"/>
            <rFont val="Tahoma"/>
            <family val="2"/>
          </rPr>
          <t>wet % Other5</t>
        </r>
      </text>
    </comment>
    <comment ref="E46" authorId="2">
      <text>
        <r>
          <rPr>
            <sz val="8"/>
            <color indexed="81"/>
            <rFont val="Tahoma"/>
            <family val="2"/>
          </rPr>
          <t>dry % other5</t>
        </r>
      </text>
    </comment>
    <comment ref="C47" authorId="2">
      <text>
        <r>
          <rPr>
            <sz val="8"/>
            <color indexed="81"/>
            <rFont val="Tahoma"/>
            <family val="2"/>
          </rPr>
          <t>dry estimate %N2</t>
        </r>
      </text>
    </comment>
    <comment ref="D47" authorId="2">
      <text>
        <r>
          <rPr>
            <sz val="8"/>
            <color indexed="81"/>
            <rFont val="Tahoma"/>
            <family val="2"/>
          </rPr>
          <t>wet % N2</t>
        </r>
      </text>
    </comment>
    <comment ref="E47" authorId="2">
      <text>
        <r>
          <rPr>
            <sz val="8"/>
            <color indexed="81"/>
            <rFont val="Tahoma"/>
            <family val="2"/>
          </rPr>
          <t>dry % N2</t>
        </r>
      </text>
    </comment>
    <comment ref="C48" authorId="2">
      <text>
        <r>
          <rPr>
            <sz val="8"/>
            <color indexed="81"/>
            <rFont val="Tahoma"/>
            <family val="2"/>
          </rPr>
          <t>dry estimate ppm CO</t>
        </r>
      </text>
    </comment>
    <comment ref="D48" authorId="2">
      <text>
        <r>
          <rPr>
            <sz val="8"/>
            <color indexed="81"/>
            <rFont val="Tahoma"/>
            <family val="2"/>
          </rPr>
          <t>wet ppm CO</t>
        </r>
      </text>
    </comment>
    <comment ref="E48" authorId="2">
      <text>
        <r>
          <rPr>
            <sz val="8"/>
            <color indexed="81"/>
            <rFont val="Tahoma"/>
            <family val="2"/>
          </rPr>
          <t>dry ppm CO</t>
        </r>
      </text>
    </comment>
    <comment ref="I48" authorId="4">
      <text>
        <r>
          <rPr>
            <sz val="8"/>
            <color indexed="81"/>
            <rFont val="Tahoma"/>
            <family val="2"/>
          </rPr>
          <t>Use moisture start/end 
cells in columns N &amp; O 
for multiple impingers.</t>
        </r>
      </text>
    </comment>
    <comment ref="J48" authorId="4">
      <text>
        <r>
          <rPr>
            <sz val="8"/>
            <color indexed="81"/>
            <rFont val="Tahoma"/>
            <family val="2"/>
          </rPr>
          <t>Use moisture start/end 
cells in columns N &amp; O 
for multiple impingers.</t>
        </r>
      </text>
    </comment>
    <comment ref="C49" authorId="2">
      <text>
        <r>
          <rPr>
            <sz val="8"/>
            <color indexed="81"/>
            <rFont val="Tahoma"/>
            <family val="2"/>
          </rPr>
          <t>dry estimate ppm NOx</t>
        </r>
      </text>
    </comment>
    <comment ref="D49" authorId="2">
      <text>
        <r>
          <rPr>
            <sz val="8"/>
            <color indexed="81"/>
            <rFont val="Tahoma"/>
            <family val="2"/>
          </rPr>
          <t>wet ppm NOx</t>
        </r>
      </text>
    </comment>
    <comment ref="E49" authorId="2">
      <text>
        <r>
          <rPr>
            <sz val="8"/>
            <color indexed="81"/>
            <rFont val="Tahoma"/>
            <family val="2"/>
          </rPr>
          <t>dry ppm NOx</t>
        </r>
      </text>
    </comment>
    <comment ref="I49" authorId="4">
      <text>
        <r>
          <rPr>
            <sz val="8"/>
            <color indexed="81"/>
            <rFont val="Tahoma"/>
            <family val="2"/>
          </rPr>
          <t>Use moisture start/end 
cells in columns N &amp; O 
for multiple impingers.</t>
        </r>
      </text>
    </comment>
    <comment ref="J49" authorId="4">
      <text>
        <r>
          <rPr>
            <sz val="8"/>
            <color indexed="81"/>
            <rFont val="Tahoma"/>
            <family val="2"/>
          </rPr>
          <t>Use moisture start/end 
cells in columns N &amp; O 
for multiple impingers.</t>
        </r>
      </text>
    </comment>
    <comment ref="D52" authorId="1">
      <text>
        <r>
          <rPr>
            <sz val="8"/>
            <color indexed="81"/>
            <rFont val="Tahoma"/>
            <family val="2"/>
          </rPr>
          <t>wet molecular weight
(g/mole)</t>
        </r>
      </text>
    </comment>
    <comment ref="E52" authorId="2">
      <text>
        <r>
          <rPr>
            <sz val="8"/>
            <color indexed="81"/>
            <rFont val="Tahoma"/>
            <family val="2"/>
          </rPr>
          <t>dry molecular weight
(g/mole)</t>
        </r>
      </text>
    </comment>
    <comment ref="D53" authorId="1">
      <text>
        <r>
          <rPr>
            <sz val="8"/>
            <color indexed="81"/>
            <rFont val="Tahoma"/>
            <family val="2"/>
          </rPr>
          <t>wet density
g/L (Kg/m3) @ NTP</t>
        </r>
      </text>
    </comment>
    <comment ref="E53" authorId="2">
      <text>
        <r>
          <rPr>
            <sz val="8"/>
            <color indexed="81"/>
            <rFont val="Tahoma"/>
            <family val="2"/>
          </rPr>
          <t>dry density
g/L (Kg/m3) @ NTP</t>
        </r>
      </text>
    </comment>
    <comment ref="I53" authorId="1">
      <text>
        <r>
          <rPr>
            <sz val="8"/>
            <color indexed="81"/>
            <rFont val="Tahoma"/>
            <family val="2"/>
          </rPr>
          <t>Average moisture content</t>
        </r>
      </text>
    </comment>
    <comment ref="I54" authorId="0">
      <text>
        <r>
          <rPr>
            <sz val="8"/>
            <color indexed="81"/>
            <rFont val="Tahoma"/>
            <family val="2"/>
          </rPr>
          <t>Saturated vapour concentration</t>
        </r>
      </text>
    </comment>
    <comment ref="I55" authorId="5">
      <text>
        <r>
          <rPr>
            <sz val="8"/>
            <color indexed="81"/>
            <rFont val="Tahoma"/>
            <family val="2"/>
          </rPr>
          <t>Dew point (°C)</t>
        </r>
      </text>
    </comment>
    <comment ref="J55" authorId="5">
      <text>
        <r>
          <rPr>
            <sz val="8"/>
            <color indexed="81"/>
            <rFont val="Tahoma"/>
            <family val="2"/>
          </rPr>
          <t>Relative humidity (%)</t>
        </r>
      </text>
    </comment>
    <comment ref="I56" authorId="1">
      <text>
        <r>
          <rPr>
            <sz val="8"/>
            <color indexed="81"/>
            <rFont val="Tahoma"/>
            <family val="2"/>
          </rPr>
          <t>Qualifying commment such as:
"Saturated", "Assumed saturated" etc.</t>
        </r>
      </text>
    </comment>
  </commentList>
</comments>
</file>

<file path=xl/comments3.xml><?xml version="1.0" encoding="utf-8"?>
<comments xmlns="http://schemas.openxmlformats.org/spreadsheetml/2006/main">
  <authors>
    <author>Sarah Kennedy</author>
    <author>WAnderson</author>
    <author>Wayne Anderson</author>
    <author>David</author>
    <author>Testing</author>
    <author>air-nb-5</author>
    <author>Field</author>
  </authors>
  <commentList>
    <comment ref="G2" authorId="0">
      <text>
        <r>
          <rPr>
            <sz val="8"/>
            <color indexed="81"/>
            <rFont val="Tahoma"/>
            <family val="2"/>
          </rPr>
          <t>Barometric pressure (hPa)</t>
        </r>
      </text>
    </comment>
    <comment ref="H2" authorId="0">
      <text>
        <r>
          <rPr>
            <sz val="8"/>
            <color indexed="81"/>
            <rFont val="Tahoma"/>
            <family val="2"/>
          </rPr>
          <t>Barometric pressure (hPa)</t>
        </r>
      </text>
    </comment>
    <comment ref="V2" authorId="0">
      <text>
        <r>
          <rPr>
            <sz val="8"/>
            <color indexed="81"/>
            <rFont val="Tahoma"/>
            <family val="2"/>
          </rPr>
          <t>Minimum sample volume:
Vic EPA 440.1: 1000L per test
Otherwise: 20L per min of test
(ie. 60 min test = 1200L)</t>
        </r>
      </text>
    </comment>
    <comment ref="W2" authorId="0">
      <text>
        <r>
          <rPr>
            <sz val="8"/>
            <color indexed="81"/>
            <rFont val="Tahoma"/>
            <family val="2"/>
          </rPr>
          <t>Predicted sample volume at meter 
(meter temp &amp; press)</t>
        </r>
      </text>
    </comment>
    <comment ref="X2" authorId="0">
      <text>
        <r>
          <rPr>
            <sz val="8"/>
            <color indexed="81"/>
            <rFont val="Tahoma"/>
            <family val="2"/>
          </rPr>
          <t>Predicted sample volume at NTP</t>
        </r>
      </text>
    </comment>
    <comment ref="Z2" authorId="1">
      <text>
        <r>
          <rPr>
            <sz val="8"/>
            <color indexed="81"/>
            <rFont val="Tahoma"/>
            <family val="2"/>
          </rPr>
          <t>x² coefficient of flowrate (x) vs flowmeter setting (y)</t>
        </r>
      </text>
    </comment>
    <comment ref="AB2" authorId="2">
      <text>
        <r>
          <rPr>
            <sz val="8"/>
            <color indexed="81"/>
            <rFont val="Tahoma"/>
            <family val="2"/>
          </rPr>
          <t>Meter ratio (Y) from 
PM kit calibration</t>
        </r>
      </text>
    </comment>
    <comment ref="G3" authorId="0">
      <text>
        <r>
          <rPr>
            <sz val="8"/>
            <color indexed="81"/>
            <rFont val="Tahoma"/>
            <family val="2"/>
          </rPr>
          <t>Stack static pressure (Pa)</t>
        </r>
      </text>
    </comment>
    <comment ref="H3" authorId="0">
      <text>
        <r>
          <rPr>
            <sz val="8"/>
            <color indexed="81"/>
            <rFont val="Tahoma"/>
            <family val="2"/>
          </rPr>
          <t>Stack static pressure (Pa)</t>
        </r>
      </text>
    </comment>
    <comment ref="V3" authorId="0">
      <text>
        <r>
          <rPr>
            <sz val="8"/>
            <color indexed="81"/>
            <rFont val="Tahoma"/>
            <family val="2"/>
          </rPr>
          <t>Minimum sample time per point:
AS 4323.2: 5min
USEPA M5: 2min
VDI 2066: 2min</t>
        </r>
      </text>
    </comment>
    <comment ref="W3" authorId="0">
      <text>
        <r>
          <rPr>
            <sz val="8"/>
            <color indexed="81"/>
            <rFont val="Tahoma"/>
            <family val="2"/>
          </rPr>
          <t>No. points actually sampled</t>
        </r>
      </text>
    </comment>
    <comment ref="X3" authorId="0">
      <text>
        <r>
          <rPr>
            <sz val="8"/>
            <color indexed="81"/>
            <rFont val="Tahoma"/>
            <family val="2"/>
          </rPr>
          <t>Run time, based on the number of 
sampling points and time per point. 
VDI 2066 has minimum run time of 30min.</t>
        </r>
      </text>
    </comment>
    <comment ref="Z3" authorId="1">
      <text>
        <r>
          <rPr>
            <sz val="8"/>
            <color indexed="81"/>
            <rFont val="Tahoma"/>
            <family val="2"/>
          </rPr>
          <t>x² exponent of flowrate (x) vs flowmeter setting (y)</t>
        </r>
      </text>
    </comment>
    <comment ref="G4" authorId="0">
      <text>
        <r>
          <rPr>
            <sz val="8"/>
            <color indexed="81"/>
            <rFont val="Tahoma"/>
            <family val="2"/>
          </rPr>
          <t>Absolute stack pressure (hPa)</t>
        </r>
      </text>
    </comment>
    <comment ref="H4" authorId="0">
      <text>
        <r>
          <rPr>
            <sz val="8"/>
            <color indexed="81"/>
            <rFont val="Tahoma"/>
            <family val="2"/>
          </rPr>
          <t>Absolute stack pressure (hPa)</t>
        </r>
      </text>
    </comment>
    <comment ref="V4" authorId="0">
      <text>
        <r>
          <rPr>
            <sz val="8"/>
            <color indexed="81"/>
            <rFont val="Tahoma"/>
            <family val="2"/>
          </rPr>
          <t>Selected nozzle.  Default selection is the 
largest of the 2 nozzles indicated.</t>
        </r>
      </text>
    </comment>
    <comment ref="W4" authorId="0">
      <text>
        <r>
          <rPr>
            <sz val="8"/>
            <color indexed="81"/>
            <rFont val="Tahoma"/>
            <family val="2"/>
          </rPr>
          <t>Ideal nozzle diameter</t>
        </r>
      </text>
    </comment>
    <comment ref="X4" authorId="0">
      <text>
        <r>
          <rPr>
            <sz val="8"/>
            <color indexed="81"/>
            <rFont val="Tahoma"/>
            <family val="2"/>
          </rPr>
          <t>2 nearest matching nozzles in kit 
(refer to "Nozzles" sheet)</t>
        </r>
      </text>
    </comment>
    <comment ref="Z4" authorId="1">
      <text>
        <r>
          <rPr>
            <sz val="8"/>
            <color indexed="81"/>
            <rFont val="Tahoma"/>
            <family val="2"/>
          </rPr>
          <t>x coefficient of flowrate (x) vs flowmeter setting (y)</t>
        </r>
      </text>
    </comment>
    <comment ref="G5" authorId="3">
      <text>
        <r>
          <rPr>
            <b/>
            <sz val="8"/>
            <color indexed="81"/>
            <rFont val="Tahoma"/>
            <family val="2"/>
          </rPr>
          <t>Use for stacks less than 60°C only</t>
        </r>
      </text>
    </comment>
    <comment ref="H5" authorId="0">
      <text>
        <r>
          <rPr>
            <sz val="8"/>
            <color indexed="81"/>
            <rFont val="Tahoma"/>
            <family val="2"/>
          </rPr>
          <t>Use for Stacks &lt;60°C only</t>
        </r>
      </text>
    </comment>
    <comment ref="V5" authorId="0">
      <text>
        <r>
          <rPr>
            <sz val="8"/>
            <color indexed="81"/>
            <rFont val="Tahoma"/>
            <family val="2"/>
          </rPr>
          <t>Average sampling rate, based on selected nozzle 
and sampling time (hence predicted meter volume)</t>
        </r>
      </text>
    </comment>
    <comment ref="W5" authorId="0">
      <text>
        <r>
          <rPr>
            <sz val="8"/>
            <color indexed="81"/>
            <rFont val="Tahoma"/>
            <family val="2"/>
          </rPr>
          <t>Ideal sampling rate (meter), calculated from sample volume required &amp; total sampling time</t>
        </r>
      </text>
    </comment>
    <comment ref="Z5" authorId="1">
      <text>
        <r>
          <rPr>
            <sz val="8"/>
            <color indexed="81"/>
            <rFont val="Tahoma"/>
            <family val="2"/>
          </rPr>
          <t>Constant (or y-intercept) of flowrate (x) vs flowmeter setting (y)</t>
        </r>
      </text>
    </comment>
    <comment ref="V7" authorId="0">
      <text>
        <r>
          <rPr>
            <sz val="8"/>
            <color indexed="81"/>
            <rFont val="Tahoma"/>
            <family val="2"/>
          </rPr>
          <t>Minimum sample volume:
Vic EPA 440.1: 1000L per test
Otherwise: 20L per min of test
(ie. 60 min test = 1200L)</t>
        </r>
      </text>
    </comment>
    <comment ref="W7" authorId="0">
      <text>
        <r>
          <rPr>
            <sz val="8"/>
            <color indexed="81"/>
            <rFont val="Tahoma"/>
            <family val="2"/>
          </rPr>
          <t>Predicted sample volume at meter 
(meter temp &amp; press)</t>
        </r>
      </text>
    </comment>
    <comment ref="X7" authorId="0">
      <text>
        <r>
          <rPr>
            <sz val="8"/>
            <color indexed="81"/>
            <rFont val="Tahoma"/>
            <family val="2"/>
          </rPr>
          <t>Predicted sample volume at NTP</t>
        </r>
      </text>
    </comment>
    <comment ref="Z7" authorId="1">
      <text>
        <r>
          <rPr>
            <sz val="8"/>
            <color indexed="81"/>
            <rFont val="Tahoma"/>
            <family val="2"/>
          </rPr>
          <t>x² coefficient of flowrate (x) vs flowmeter setting (y)</t>
        </r>
      </text>
    </comment>
    <comment ref="AB7" authorId="2">
      <text>
        <r>
          <rPr>
            <sz val="8"/>
            <color indexed="81"/>
            <rFont val="Tahoma"/>
            <family val="2"/>
          </rPr>
          <t>Meter ratio (Y) from 
PM kit calibration</t>
        </r>
      </text>
    </comment>
    <comment ref="P8" authorId="4">
      <text>
        <r>
          <rPr>
            <sz val="8"/>
            <color indexed="81"/>
            <rFont val="Tahoma"/>
            <family val="2"/>
          </rPr>
          <t>Predicted sample volume 
at meter.</t>
        </r>
      </text>
    </comment>
    <comment ref="Q8" authorId="4">
      <text>
        <r>
          <rPr>
            <sz val="8"/>
            <color indexed="81"/>
            <rFont val="Tahoma"/>
            <family val="2"/>
          </rPr>
          <t>Predicted sample volume 
at meter.</t>
        </r>
      </text>
    </comment>
    <comment ref="R8" authorId="5">
      <text>
        <r>
          <rPr>
            <sz val="8"/>
            <color indexed="81"/>
            <rFont val="Tahoma"/>
            <family val="2"/>
          </rPr>
          <t>Probe cross-sectional area,
TPM probe, 28 cm²
PM2.5 probe, 48 cm²
PM10 probe, 64 cm²
PM10+2.5 probe, 77 cm²</t>
        </r>
      </text>
    </comment>
    <comment ref="V8" authorId="0">
      <text>
        <r>
          <rPr>
            <sz val="8"/>
            <color indexed="81"/>
            <rFont val="Tahoma"/>
            <family val="2"/>
          </rPr>
          <t>Minimum sample time per point:
AS 4323.2: 5min
USEPA M5: 2min
VDI 2066: 2min</t>
        </r>
      </text>
    </comment>
    <comment ref="W8" authorId="0">
      <text>
        <r>
          <rPr>
            <sz val="8"/>
            <color indexed="81"/>
            <rFont val="Tahoma"/>
            <family val="2"/>
          </rPr>
          <t>No. points actually sampled</t>
        </r>
      </text>
    </comment>
    <comment ref="X8" authorId="0">
      <text>
        <r>
          <rPr>
            <sz val="8"/>
            <color indexed="81"/>
            <rFont val="Tahoma"/>
            <family val="2"/>
          </rPr>
          <t>Run time, based on the number of 
sampling points and time per point. 
VDI 2066 has minimum run time of 30min.</t>
        </r>
      </text>
    </comment>
    <comment ref="Z8" authorId="1">
      <text>
        <r>
          <rPr>
            <sz val="8"/>
            <color indexed="81"/>
            <rFont val="Tahoma"/>
            <family val="2"/>
          </rPr>
          <t>x² exponent of flowrate (x) vs flowmeter setting (y)</t>
        </r>
      </text>
    </comment>
    <comment ref="P9" authorId="4">
      <text>
        <r>
          <rPr>
            <sz val="8"/>
            <color indexed="81"/>
            <rFont val="Tahoma"/>
            <family val="2"/>
          </rPr>
          <t>Predicted sample volume 
at NTP.</t>
        </r>
      </text>
    </comment>
    <comment ref="Q9" authorId="4">
      <text>
        <r>
          <rPr>
            <sz val="8"/>
            <color indexed="81"/>
            <rFont val="Tahoma"/>
            <family val="2"/>
          </rPr>
          <t>Predicted sample volume 
at NTP.</t>
        </r>
      </text>
    </comment>
    <comment ref="R9" authorId="5">
      <text>
        <r>
          <rPr>
            <sz val="8"/>
            <color indexed="81"/>
            <rFont val="Tahoma"/>
            <family val="2"/>
          </rPr>
          <t>Probe blockage factor</t>
        </r>
      </text>
    </comment>
    <comment ref="V9" authorId="0">
      <text>
        <r>
          <rPr>
            <sz val="8"/>
            <color indexed="81"/>
            <rFont val="Tahoma"/>
            <family val="2"/>
          </rPr>
          <t>Selected nozzle.  Default selection is the 
largest of the 2 nozzles indicated.</t>
        </r>
      </text>
    </comment>
    <comment ref="W9" authorId="0">
      <text>
        <r>
          <rPr>
            <sz val="8"/>
            <color indexed="81"/>
            <rFont val="Tahoma"/>
            <family val="2"/>
          </rPr>
          <t>Ideal nozzle diameter</t>
        </r>
      </text>
    </comment>
    <comment ref="X9" authorId="0">
      <text>
        <r>
          <rPr>
            <sz val="8"/>
            <color indexed="81"/>
            <rFont val="Tahoma"/>
            <family val="2"/>
          </rPr>
          <t>2 nearest matching nozzles in kit 
(refer to "Nozzles" sheet)</t>
        </r>
      </text>
    </comment>
    <comment ref="Z9" authorId="1">
      <text>
        <r>
          <rPr>
            <sz val="8"/>
            <color indexed="81"/>
            <rFont val="Tahoma"/>
            <family val="2"/>
          </rPr>
          <t>x coefficient of flowrate (x) vs flowmeter setting (y)</t>
        </r>
      </text>
    </comment>
    <comment ref="V10" authorId="0">
      <text>
        <r>
          <rPr>
            <sz val="8"/>
            <color indexed="81"/>
            <rFont val="Tahoma"/>
            <family val="2"/>
          </rPr>
          <t>Average sampling rate, based on selected nozzle 
and sampling time (hence predicted meter volume)</t>
        </r>
      </text>
    </comment>
    <comment ref="W10" authorId="0">
      <text>
        <r>
          <rPr>
            <sz val="8"/>
            <color indexed="81"/>
            <rFont val="Tahoma"/>
            <family val="2"/>
          </rPr>
          <t>Ideal sampling rate (meter), calculated from sample volume required &amp; total sampling time</t>
        </r>
      </text>
    </comment>
    <comment ref="Z10" authorId="1">
      <text>
        <r>
          <rPr>
            <sz val="8"/>
            <color indexed="81"/>
            <rFont val="Tahoma"/>
            <family val="2"/>
          </rPr>
          <t>Constant (or y-intercept) of flowrate (x) vs flowmeter setting (y)</t>
        </r>
      </text>
    </comment>
    <comment ref="Q13" authorId="4">
      <text>
        <r>
          <rPr>
            <sz val="8"/>
            <color indexed="81"/>
            <rFont val="Tahoma"/>
            <family val="2"/>
          </rPr>
          <t>Sampling rate corrected for 
probe blockage factor (PBF) 
and meter pressure</t>
        </r>
      </text>
    </comment>
    <comment ref="R13" authorId="6">
      <text>
        <r>
          <rPr>
            <sz val="8"/>
            <color indexed="81"/>
            <rFont val="Tahoma"/>
            <family val="2"/>
          </rPr>
          <t>VA type flowmeters - L/min or % of scale
Orifice flowmeters - ∆H</t>
        </r>
      </text>
    </comment>
    <comment ref="W13" authorId="2">
      <text>
        <r>
          <rPr>
            <sz val="8"/>
            <color indexed="81"/>
            <rFont val="Tahoma"/>
            <family val="2"/>
          </rPr>
          <t>This is the meter reading predicted from the sum 
of the start volume plus the accumulated run volume 
at each point, corrected for meter ratio/factor.</t>
        </r>
      </text>
    </comment>
    <comment ref="H14" authorId="0">
      <text>
        <r>
          <rPr>
            <sz val="8"/>
            <color indexed="81"/>
            <rFont val="Tahoma"/>
            <family val="2"/>
          </rPr>
          <t>Stack temperature (°C)</t>
        </r>
      </text>
    </comment>
    <comment ref="I14" authorId="0">
      <text>
        <r>
          <rPr>
            <sz val="8"/>
            <color indexed="81"/>
            <rFont val="Tahoma"/>
            <family val="2"/>
          </rPr>
          <t>Meter temperature (°C)</t>
        </r>
      </text>
    </comment>
    <comment ref="J14" authorId="0">
      <text>
        <r>
          <rPr>
            <sz val="8"/>
            <color indexed="81"/>
            <rFont val="Tahoma"/>
            <family val="2"/>
          </rPr>
          <t>Meter pressure (kPa); enter a
negative value for a vacuum</t>
        </r>
      </text>
    </comment>
    <comment ref="L14" authorId="0">
      <text>
        <r>
          <rPr>
            <sz val="8"/>
            <color indexed="81"/>
            <rFont val="Tahoma"/>
            <family val="2"/>
          </rPr>
          <t>Minimum sample time per point:
AS 4323.2: 5min
USEPA M5: 2min
VDI 2066: 5min</t>
        </r>
      </text>
    </comment>
    <comment ref="V77" authorId="2">
      <text>
        <r>
          <rPr>
            <sz val="8"/>
            <color indexed="81"/>
            <rFont val="Tahoma"/>
            <family val="2"/>
          </rPr>
          <t>This is the uncorrected meter volume, 
predicted from the sum of the 
sampling rate * time at each point.</t>
        </r>
      </text>
    </comment>
    <comment ref="W77" authorId="2">
      <text>
        <r>
          <rPr>
            <sz val="8"/>
            <color indexed="81"/>
            <rFont val="Tahoma"/>
            <family val="2"/>
          </rPr>
          <t>This is the corrected meter volume, 
calculated from the predicted meter volume, 
the stack temperature and pressure.</t>
        </r>
      </text>
    </comment>
    <comment ref="Q79" authorId="4">
      <text>
        <r>
          <rPr>
            <sz val="8"/>
            <color indexed="81"/>
            <rFont val="Tahoma"/>
            <family val="2"/>
          </rPr>
          <t>Sampling rate corrected for 
probe blockage factor (PBF) 
and meter pressure</t>
        </r>
      </text>
    </comment>
    <comment ref="R79" authorId="6">
      <text>
        <r>
          <rPr>
            <sz val="8"/>
            <color indexed="81"/>
            <rFont val="Tahoma"/>
            <family val="2"/>
          </rPr>
          <t>VA type flowmeters - L/min or % of scale
Orifice flowmeters - ∆H</t>
        </r>
      </text>
    </comment>
    <comment ref="W79" authorId="2">
      <text>
        <r>
          <rPr>
            <sz val="8"/>
            <color indexed="81"/>
            <rFont val="Tahoma"/>
            <family val="2"/>
          </rPr>
          <t>This is the meter reading predicted from the sum 
of the start volume plus the accumulated run volume 
at each point, corrected for meter ratio/factor.</t>
        </r>
      </text>
    </comment>
    <comment ref="H80" authorId="0">
      <text>
        <r>
          <rPr>
            <sz val="8"/>
            <color indexed="81"/>
            <rFont val="Tahoma"/>
            <family val="2"/>
          </rPr>
          <t>Stack temperature (°C)</t>
        </r>
      </text>
    </comment>
    <comment ref="I80" authorId="0">
      <text>
        <r>
          <rPr>
            <sz val="8"/>
            <color indexed="81"/>
            <rFont val="Tahoma"/>
            <family val="2"/>
          </rPr>
          <t>Meter temperature (°C)</t>
        </r>
      </text>
    </comment>
    <comment ref="J80" authorId="0">
      <text>
        <r>
          <rPr>
            <sz val="8"/>
            <color indexed="81"/>
            <rFont val="Tahoma"/>
            <family val="2"/>
          </rPr>
          <t>Meter pressure (kPa); enter a
negative value for a vacuum</t>
        </r>
      </text>
    </comment>
    <comment ref="L80" authorId="0">
      <text>
        <r>
          <rPr>
            <sz val="8"/>
            <color indexed="81"/>
            <rFont val="Tahoma"/>
            <family val="2"/>
          </rPr>
          <t>Minimum sample time per point:
AS 4323.2: 5min
USEPA M5: 2min
VDI 2066: 5min</t>
        </r>
      </text>
    </comment>
    <comment ref="V143" authorId="2">
      <text>
        <r>
          <rPr>
            <sz val="8"/>
            <color indexed="81"/>
            <rFont val="Tahoma"/>
            <family val="2"/>
          </rPr>
          <t>This is the uncorrected meter volume, 
predicted from the sum of the 
sampling rate * time at each point.</t>
        </r>
      </text>
    </comment>
    <comment ref="W143" authorId="2">
      <text>
        <r>
          <rPr>
            <sz val="8"/>
            <color indexed="81"/>
            <rFont val="Tahoma"/>
            <family val="2"/>
          </rPr>
          <t>This is the corrected meter volume, 
calculated from the predicted meter volume, 
the stack temperature and pressure.</t>
        </r>
      </text>
    </comment>
  </commentList>
</comments>
</file>

<file path=xl/comments4.xml><?xml version="1.0" encoding="utf-8"?>
<comments xmlns="http://schemas.openxmlformats.org/spreadsheetml/2006/main">
  <authors>
    <author>Sarah Kennedy</author>
    <author>Anderson</author>
    <author>wayne.anderson</author>
    <author>WAnderson</author>
  </authors>
  <commentList>
    <comment ref="D2" authorId="0">
      <text>
        <r>
          <rPr>
            <sz val="8"/>
            <color indexed="81"/>
            <rFont val="Tahoma"/>
            <family val="2"/>
          </rPr>
          <t>Barometric pressure (hPa)</t>
        </r>
      </text>
    </comment>
    <comment ref="F2" authorId="0">
      <text>
        <r>
          <rPr>
            <sz val="8"/>
            <color indexed="81"/>
            <rFont val="Tahoma"/>
            <family val="2"/>
          </rPr>
          <t>Barometric pressure (hPa)</t>
        </r>
      </text>
    </comment>
    <comment ref="D3" authorId="0">
      <text>
        <r>
          <rPr>
            <sz val="8"/>
            <color indexed="81"/>
            <rFont val="Tahoma"/>
            <family val="2"/>
          </rPr>
          <t>Stack static pressure (Pa)</t>
        </r>
      </text>
    </comment>
    <comment ref="F3" authorId="0">
      <text>
        <r>
          <rPr>
            <sz val="8"/>
            <color indexed="81"/>
            <rFont val="Tahoma"/>
            <family val="2"/>
          </rPr>
          <t>Stack static pressure (Pa)</t>
        </r>
      </text>
    </comment>
    <comment ref="D4" authorId="0">
      <text>
        <r>
          <rPr>
            <sz val="8"/>
            <color indexed="81"/>
            <rFont val="Tahoma"/>
            <family val="2"/>
          </rPr>
          <t>Absolute stack pressure (hPa)</t>
        </r>
      </text>
    </comment>
    <comment ref="F4" authorId="0">
      <text>
        <r>
          <rPr>
            <sz val="8"/>
            <color indexed="81"/>
            <rFont val="Tahoma"/>
            <family val="2"/>
          </rPr>
          <t>Absolute stack pressure (hPa)</t>
        </r>
      </text>
    </comment>
    <comment ref="M6" authorId="1">
      <text>
        <r>
          <rPr>
            <sz val="8"/>
            <color indexed="81"/>
            <rFont val="Tahoma"/>
            <family val="2"/>
          </rPr>
          <t>Angle Measuring Device 
Rotational Offset (R</t>
        </r>
        <r>
          <rPr>
            <sz val="7"/>
            <color indexed="81"/>
            <rFont val="Tahoma"/>
            <family val="2"/>
          </rPr>
          <t>ADO</t>
        </r>
        <r>
          <rPr>
            <sz val="8"/>
            <color indexed="81"/>
            <rFont val="Tahoma"/>
            <family val="2"/>
          </rPr>
          <t>)</t>
        </r>
      </text>
    </comment>
    <comment ref="M7" authorId="1">
      <text>
        <r>
          <rPr>
            <sz val="8"/>
            <color indexed="81"/>
            <rFont val="Tahoma"/>
            <family val="2"/>
          </rPr>
          <t>Reference Scribe Line 
Rotational Offset (R</t>
        </r>
        <r>
          <rPr>
            <sz val="7"/>
            <color indexed="81"/>
            <rFont val="Tahoma"/>
            <family val="2"/>
          </rPr>
          <t>SLO</t>
        </r>
        <r>
          <rPr>
            <sz val="8"/>
            <color indexed="81"/>
            <rFont val="Tahoma"/>
            <family val="2"/>
          </rPr>
          <t>)</t>
        </r>
      </text>
    </comment>
    <comment ref="M9" authorId="1">
      <text>
        <r>
          <rPr>
            <sz val="8"/>
            <color indexed="81"/>
            <rFont val="Tahoma"/>
            <family val="2"/>
          </rPr>
          <t>Yaw Correction
= R</t>
        </r>
        <r>
          <rPr>
            <sz val="7"/>
            <color indexed="81"/>
            <rFont val="Tahoma"/>
            <family val="2"/>
          </rPr>
          <t>ADO</t>
        </r>
        <r>
          <rPr>
            <sz val="8"/>
            <color indexed="81"/>
            <rFont val="Tahoma"/>
            <family val="2"/>
          </rPr>
          <t xml:space="preserve"> + R</t>
        </r>
        <r>
          <rPr>
            <sz val="7"/>
            <color indexed="81"/>
            <rFont val="Tahoma"/>
            <family val="2"/>
          </rPr>
          <t>SLO</t>
        </r>
      </text>
    </comment>
    <comment ref="Q9" authorId="2">
      <text>
        <r>
          <rPr>
            <sz val="8"/>
            <color indexed="81"/>
            <rFont val="Tahoma"/>
            <family val="2"/>
          </rPr>
          <t>Factor:
Logger = 1°C/1mV
Manual = 1</t>
        </r>
      </text>
    </comment>
    <comment ref="R9" authorId="2">
      <text>
        <r>
          <rPr>
            <sz val="8"/>
            <color indexed="81"/>
            <rFont val="Tahoma"/>
            <family val="2"/>
          </rPr>
          <t>Factor:
Logger = 5inH2O/2V
Manual = 1</t>
        </r>
      </text>
    </comment>
    <comment ref="S9" authorId="2">
      <text>
        <r>
          <rPr>
            <sz val="8"/>
            <color indexed="81"/>
            <rFont val="Tahoma"/>
            <family val="2"/>
          </rPr>
          <t>Factor:
Logger = 180°C/1.8V
Manual = 1</t>
        </r>
      </text>
    </comment>
    <comment ref="T9" authorId="2">
      <text>
        <r>
          <rPr>
            <sz val="8"/>
            <color indexed="81"/>
            <rFont val="Tahoma"/>
            <family val="2"/>
          </rPr>
          <t>Factor:
Logger = 2.5inH2O/2V
Manual = 1</t>
        </r>
      </text>
    </comment>
    <comment ref="Q10" authorId="2">
      <text>
        <r>
          <rPr>
            <sz val="8"/>
            <color indexed="81"/>
            <rFont val="Tahoma"/>
            <family val="2"/>
          </rPr>
          <t>Offset:
Logger = -5mV
Manual = 0</t>
        </r>
      </text>
    </comment>
    <comment ref="R10" authorId="2">
      <text>
        <r>
          <rPr>
            <sz val="8"/>
            <color indexed="81"/>
            <rFont val="Tahoma"/>
            <family val="2"/>
          </rPr>
          <t>Offset:
Logger = 2.25V
Manual = 0</t>
        </r>
      </text>
    </comment>
    <comment ref="S10" authorId="2">
      <text>
        <r>
          <rPr>
            <sz val="8"/>
            <color indexed="81"/>
            <rFont val="Tahoma"/>
            <family val="2"/>
          </rPr>
          <t>Offset:
Logger = 1.80V
Manual = 0</t>
        </r>
      </text>
    </comment>
    <comment ref="T10" authorId="2">
      <text>
        <r>
          <rPr>
            <sz val="8"/>
            <color indexed="81"/>
            <rFont val="Tahoma"/>
            <family val="2"/>
          </rPr>
          <t>Offset:
Logger = 2.25V
Manual = 0</t>
        </r>
      </text>
    </comment>
    <comment ref="Q12" authorId="2">
      <text>
        <r>
          <rPr>
            <sz val="8"/>
            <color indexed="81"/>
            <rFont val="Tahoma"/>
            <family val="2"/>
          </rPr>
          <t>Temperature output:
Logger = V
Manual = °C</t>
        </r>
      </text>
    </comment>
    <comment ref="R12" authorId="2">
      <text>
        <r>
          <rPr>
            <sz val="8"/>
            <color indexed="81"/>
            <rFont val="Tahoma"/>
            <family val="2"/>
          </rPr>
          <t>Velocity ΔP output:
Logger = V
Manual = inH2O</t>
        </r>
      </text>
    </comment>
    <comment ref="S12" authorId="2">
      <text>
        <r>
          <rPr>
            <sz val="8"/>
            <color indexed="81"/>
            <rFont val="Tahoma"/>
            <family val="2"/>
          </rPr>
          <t>Yaw output:
Logger = V
Manual = °</t>
        </r>
      </text>
    </comment>
    <comment ref="T12" authorId="2">
      <text>
        <r>
          <rPr>
            <sz val="8"/>
            <color indexed="81"/>
            <rFont val="Tahoma"/>
            <family val="2"/>
          </rPr>
          <t>Pitch ΔP output:
Logger = V
Manual = inH2O</t>
        </r>
      </text>
    </comment>
    <comment ref="F13" authorId="0">
      <text>
        <r>
          <rPr>
            <sz val="8"/>
            <color indexed="81"/>
            <rFont val="Tahoma"/>
            <family val="2"/>
          </rPr>
          <t>Stack temperature (°C)</t>
        </r>
      </text>
    </comment>
    <comment ref="O14" authorId="3">
      <text>
        <r>
          <rPr>
            <sz val="8"/>
            <color indexed="81"/>
            <rFont val="Tahoma"/>
            <family val="2"/>
          </rPr>
          <t>Copy information from cells in 
3D Pitot data file and paste into cells starting at O14.</t>
        </r>
      </text>
    </comment>
    <comment ref="F79" authorId="0">
      <text>
        <r>
          <rPr>
            <sz val="8"/>
            <color indexed="81"/>
            <rFont val="Tahoma"/>
            <family val="2"/>
          </rPr>
          <t>Stack temperature (°C)</t>
        </r>
      </text>
    </comment>
    <comment ref="O80" authorId="3">
      <text>
        <r>
          <rPr>
            <sz val="8"/>
            <color indexed="81"/>
            <rFont val="Tahoma"/>
            <family val="2"/>
          </rPr>
          <t>Copy information from cells in 
3D Pitot data file and paste into cells starting at O80.</t>
        </r>
      </text>
    </comment>
  </commentList>
</comments>
</file>

<file path=xl/comments5.xml><?xml version="1.0" encoding="utf-8"?>
<comments xmlns="http://schemas.openxmlformats.org/spreadsheetml/2006/main">
  <authors>
    <author>Sarah Kennedy</author>
    <author>WAnderson</author>
    <author>Wayne Anderson</author>
    <author>Testing</author>
    <author>air-nb-5</author>
    <author>wayne.anderson</author>
    <author>Field</author>
    <author>Anderson</author>
  </authors>
  <commentList>
    <comment ref="C2" authorId="0">
      <text>
        <r>
          <rPr>
            <sz val="8"/>
            <color indexed="81"/>
            <rFont val="Tahoma"/>
            <family val="2"/>
          </rPr>
          <t>Barometric pressure (hPa)</t>
        </r>
      </text>
    </comment>
    <comment ref="E2" authorId="0">
      <text>
        <r>
          <rPr>
            <sz val="8"/>
            <color indexed="81"/>
            <rFont val="Tahoma"/>
            <family val="2"/>
          </rPr>
          <t>Barometric pressure (hPa)</t>
        </r>
      </text>
    </comment>
    <comment ref="R2" authorId="1">
      <text>
        <r>
          <rPr>
            <sz val="8"/>
            <color indexed="81"/>
            <rFont val="Tahoma"/>
            <family val="2"/>
          </rPr>
          <t>x² coefficient of flowrate (x) vs flowmeter setting (y)</t>
        </r>
      </text>
    </comment>
    <comment ref="T2" authorId="2">
      <text>
        <r>
          <rPr>
            <sz val="8"/>
            <color indexed="81"/>
            <rFont val="Tahoma"/>
            <family val="2"/>
          </rPr>
          <t>Meter ratio (Y) from 
PM kit calibration</t>
        </r>
      </text>
    </comment>
    <comment ref="C3" authorId="0">
      <text>
        <r>
          <rPr>
            <sz val="8"/>
            <color indexed="81"/>
            <rFont val="Tahoma"/>
            <family val="2"/>
          </rPr>
          <t>Stack static pressure (Pa)</t>
        </r>
      </text>
    </comment>
    <comment ref="E3" authorId="0">
      <text>
        <r>
          <rPr>
            <sz val="8"/>
            <color indexed="81"/>
            <rFont val="Tahoma"/>
            <family val="2"/>
          </rPr>
          <t>Stack static pressure (Pa)</t>
        </r>
      </text>
    </comment>
    <comment ref="R3" authorId="1">
      <text>
        <r>
          <rPr>
            <sz val="8"/>
            <color indexed="81"/>
            <rFont val="Tahoma"/>
            <family val="2"/>
          </rPr>
          <t>x² exponent of flowrate (x) vs flowmeter setting (y)</t>
        </r>
      </text>
    </comment>
    <comment ref="C4" authorId="0">
      <text>
        <r>
          <rPr>
            <sz val="8"/>
            <color indexed="81"/>
            <rFont val="Tahoma"/>
            <family val="2"/>
          </rPr>
          <t>Absolute stack pressure (hPa)</t>
        </r>
      </text>
    </comment>
    <comment ref="E4" authorId="0">
      <text>
        <r>
          <rPr>
            <sz val="8"/>
            <color indexed="81"/>
            <rFont val="Tahoma"/>
            <family val="2"/>
          </rPr>
          <t>Absolute stack pressure (hPa)</t>
        </r>
      </text>
    </comment>
    <comment ref="R4" authorId="1">
      <text>
        <r>
          <rPr>
            <sz val="8"/>
            <color indexed="81"/>
            <rFont val="Tahoma"/>
            <family val="2"/>
          </rPr>
          <t>x coefficient of flowrate (x) vs flowmeter setting (y)</t>
        </r>
      </text>
    </comment>
    <comment ref="R5" authorId="1">
      <text>
        <r>
          <rPr>
            <sz val="8"/>
            <color indexed="81"/>
            <rFont val="Tahoma"/>
            <family val="2"/>
          </rPr>
          <t>Constant (or y-intercept) of flowrate (x) vs flowmeter setting (y)</t>
        </r>
      </text>
    </comment>
    <comment ref="R7" authorId="1">
      <text>
        <r>
          <rPr>
            <sz val="8"/>
            <color indexed="81"/>
            <rFont val="Tahoma"/>
            <family val="2"/>
          </rPr>
          <t>x² coefficient of flowrate (x) vs flowmeter setting (y)</t>
        </r>
      </text>
    </comment>
    <comment ref="T7" authorId="2">
      <text>
        <r>
          <rPr>
            <sz val="8"/>
            <color indexed="81"/>
            <rFont val="Tahoma"/>
            <family val="2"/>
          </rPr>
          <t>Meter ratio (Y) from 
PM kit calibration</t>
        </r>
      </text>
    </comment>
    <comment ref="L8" authorId="3">
      <text>
        <r>
          <rPr>
            <b/>
            <sz val="8"/>
            <color indexed="81"/>
            <rFont val="Tahoma"/>
            <family val="2"/>
          </rPr>
          <t>PM10</t>
        </r>
        <r>
          <rPr>
            <sz val="8"/>
            <color indexed="81"/>
            <rFont val="Tahoma"/>
            <family val="2"/>
          </rPr>
          <t xml:space="preserve">  for 10µm by USEPA Method 201A
</t>
        </r>
        <r>
          <rPr>
            <b/>
            <sz val="8"/>
            <color indexed="81"/>
            <rFont val="Tahoma"/>
            <family val="2"/>
          </rPr>
          <t>PM2.5</t>
        </r>
        <r>
          <rPr>
            <sz val="8"/>
            <color indexed="81"/>
            <rFont val="Tahoma"/>
            <family val="2"/>
          </rPr>
          <t xml:space="preserve"> for 2.5µm by USEPA CTM 040
</t>
        </r>
        <r>
          <rPr>
            <b/>
            <sz val="8"/>
            <color indexed="81"/>
            <rFont val="Tahoma"/>
            <family val="2"/>
          </rPr>
          <t>PM10&amp;2.5</t>
        </r>
        <r>
          <rPr>
            <sz val="8"/>
            <color indexed="81"/>
            <rFont val="Tahoma"/>
            <family val="2"/>
          </rPr>
          <t xml:space="preserve"> for combined 10µm &amp; 2.5µm by USEPA CTM 040
</t>
        </r>
        <r>
          <rPr>
            <b/>
            <sz val="8"/>
            <color indexed="81"/>
            <rFont val="Tahoma"/>
            <family val="2"/>
          </rPr>
          <t>PM10_CTM</t>
        </r>
        <r>
          <rPr>
            <sz val="8"/>
            <color indexed="81"/>
            <rFont val="Tahoma"/>
            <family val="2"/>
          </rPr>
          <t xml:space="preserve"> for 10µm by USEPA CTM 040
</t>
        </r>
        <r>
          <rPr>
            <b/>
            <sz val="8"/>
            <color indexed="81"/>
            <rFont val="Tahoma"/>
            <family val="2"/>
          </rPr>
          <t>PM10_A</t>
        </r>
        <r>
          <rPr>
            <sz val="8"/>
            <color indexed="81"/>
            <rFont val="Tahoma"/>
            <family val="2"/>
          </rPr>
          <t xml:space="preserve"> for 10µm by Andersen method (not recommended)
</t>
        </r>
        <r>
          <rPr>
            <b/>
            <sz val="8"/>
            <color indexed="81"/>
            <rFont val="Tahoma"/>
            <family val="2"/>
          </rPr>
          <t>PM2.5_A</t>
        </r>
        <r>
          <rPr>
            <sz val="8"/>
            <color indexed="81"/>
            <rFont val="Tahoma"/>
            <family val="2"/>
          </rPr>
          <t xml:space="preserve"> for 2.5µm by Andersen method (not recommended)</t>
        </r>
      </text>
    </comment>
    <comment ref="M8" authorId="3">
      <text>
        <r>
          <rPr>
            <b/>
            <sz val="8"/>
            <color indexed="81"/>
            <rFont val="Tahoma"/>
            <family val="2"/>
          </rPr>
          <t>PM10</t>
        </r>
        <r>
          <rPr>
            <sz val="8"/>
            <color indexed="81"/>
            <rFont val="Tahoma"/>
            <family val="2"/>
          </rPr>
          <t xml:space="preserve">  for 10µm by USEPA Method 201A
</t>
        </r>
        <r>
          <rPr>
            <b/>
            <sz val="8"/>
            <color indexed="81"/>
            <rFont val="Tahoma"/>
            <family val="2"/>
          </rPr>
          <t>PM2.5</t>
        </r>
        <r>
          <rPr>
            <sz val="8"/>
            <color indexed="81"/>
            <rFont val="Tahoma"/>
            <family val="2"/>
          </rPr>
          <t xml:space="preserve"> for 2.5µm by USEPA CTM 040
</t>
        </r>
        <r>
          <rPr>
            <b/>
            <sz val="8"/>
            <color indexed="81"/>
            <rFont val="Tahoma"/>
            <family val="2"/>
          </rPr>
          <t>PM10&amp;2.5</t>
        </r>
        <r>
          <rPr>
            <sz val="8"/>
            <color indexed="81"/>
            <rFont val="Tahoma"/>
            <family val="2"/>
          </rPr>
          <t xml:space="preserve"> for combined 10µm &amp; 2.5µm by USEPA CTM 040
</t>
        </r>
        <r>
          <rPr>
            <b/>
            <sz val="8"/>
            <color indexed="81"/>
            <rFont val="Tahoma"/>
            <family val="2"/>
          </rPr>
          <t>PM10_CTM</t>
        </r>
        <r>
          <rPr>
            <sz val="8"/>
            <color indexed="81"/>
            <rFont val="Tahoma"/>
            <family val="2"/>
          </rPr>
          <t xml:space="preserve"> for 10µm by USEPA CTM 040
</t>
        </r>
        <r>
          <rPr>
            <b/>
            <sz val="8"/>
            <color indexed="81"/>
            <rFont val="Tahoma"/>
            <family val="2"/>
          </rPr>
          <t>PM10_A</t>
        </r>
        <r>
          <rPr>
            <sz val="8"/>
            <color indexed="81"/>
            <rFont val="Tahoma"/>
            <family val="2"/>
          </rPr>
          <t xml:space="preserve"> for 10µm by Andersen method (not recommended)
</t>
        </r>
        <r>
          <rPr>
            <b/>
            <sz val="8"/>
            <color indexed="81"/>
            <rFont val="Tahoma"/>
            <family val="2"/>
          </rPr>
          <t>PM2.5_A</t>
        </r>
        <r>
          <rPr>
            <sz val="8"/>
            <color indexed="81"/>
            <rFont val="Tahoma"/>
            <family val="2"/>
          </rPr>
          <t xml:space="preserve"> for 2.5µm by Andersen method (not recommended)</t>
        </r>
      </text>
    </comment>
    <comment ref="N8" authorId="4">
      <text>
        <r>
          <rPr>
            <sz val="8"/>
            <color indexed="81"/>
            <rFont val="Tahoma"/>
            <family val="2"/>
          </rPr>
          <t>Probe cross-sectional area,
TPM probe, 28 cm²
PM10 probe, 64 cm²
PM2.5 probe, 77 cm²</t>
        </r>
      </text>
    </comment>
    <comment ref="R8" authorId="1">
      <text>
        <r>
          <rPr>
            <sz val="8"/>
            <color indexed="81"/>
            <rFont val="Tahoma"/>
            <family val="2"/>
          </rPr>
          <t>x² exponent of flowrate (x) vs flowmeter setting (y)</t>
        </r>
      </text>
    </comment>
    <comment ref="L9" authorId="3">
      <text>
        <r>
          <rPr>
            <sz val="8"/>
            <color indexed="81"/>
            <rFont val="Tahoma"/>
            <family val="2"/>
          </rPr>
          <t>Predicted sample volume 
at meter.</t>
        </r>
      </text>
    </comment>
    <comment ref="M9" authorId="3">
      <text>
        <r>
          <rPr>
            <sz val="8"/>
            <color indexed="81"/>
            <rFont val="Tahoma"/>
            <family val="2"/>
          </rPr>
          <t>Predicted sample volume 
at meter.</t>
        </r>
      </text>
    </comment>
    <comment ref="N9" authorId="4">
      <text>
        <r>
          <rPr>
            <sz val="8"/>
            <color indexed="81"/>
            <rFont val="Tahoma"/>
            <family val="2"/>
          </rPr>
          <t>Probe blockage factor</t>
        </r>
      </text>
    </comment>
    <comment ref="R9" authorId="1">
      <text>
        <r>
          <rPr>
            <sz val="8"/>
            <color indexed="81"/>
            <rFont val="Tahoma"/>
            <family val="2"/>
          </rPr>
          <t>x coefficient of flowrate (x) vs flowmeter setting (y)</t>
        </r>
      </text>
    </comment>
    <comment ref="L10" authorId="3">
      <text>
        <r>
          <rPr>
            <sz val="8"/>
            <color indexed="81"/>
            <rFont val="Tahoma"/>
            <family val="2"/>
          </rPr>
          <t>Predicted sample volume 
at NTP.</t>
        </r>
      </text>
    </comment>
    <comment ref="M10" authorId="3">
      <text>
        <r>
          <rPr>
            <sz val="8"/>
            <color indexed="81"/>
            <rFont val="Tahoma"/>
            <family val="2"/>
          </rPr>
          <t>Predicted sample volume 
at NTP.</t>
        </r>
      </text>
    </comment>
    <comment ref="N10" authorId="3">
      <text>
        <r>
          <rPr>
            <sz val="8"/>
            <color indexed="81"/>
            <rFont val="Tahoma"/>
            <family val="2"/>
          </rPr>
          <t>Probe blockage velocity factor</t>
        </r>
      </text>
    </comment>
    <comment ref="R10" authorId="1">
      <text>
        <r>
          <rPr>
            <sz val="8"/>
            <color indexed="81"/>
            <rFont val="Tahoma"/>
            <family val="2"/>
          </rPr>
          <t>Constant (or y-intercept) of flowrate (x) vs flowmeter setting (y)</t>
        </r>
      </text>
    </comment>
    <comment ref="W13" authorId="2">
      <text>
        <r>
          <rPr>
            <sz val="8"/>
            <color indexed="81"/>
            <rFont val="Tahoma"/>
            <family val="2"/>
          </rPr>
          <t>This is the meter reading predicted from the sum 
of the start volume plus the accumulated run volume 
at each point, corrected for meter ratio/factor.</t>
        </r>
      </text>
    </comment>
    <comment ref="E14" authorId="0">
      <text>
        <r>
          <rPr>
            <sz val="8"/>
            <color indexed="81"/>
            <rFont val="Tahoma"/>
            <family val="2"/>
          </rPr>
          <t>Stack temperature (°C)</t>
        </r>
      </text>
    </comment>
    <comment ref="F14" authorId="0">
      <text>
        <r>
          <rPr>
            <sz val="8"/>
            <color indexed="81"/>
            <rFont val="Tahoma"/>
            <family val="2"/>
          </rPr>
          <t>Meter temperature (°C)</t>
        </r>
      </text>
    </comment>
    <comment ref="G14" authorId="0">
      <text>
        <r>
          <rPr>
            <sz val="8"/>
            <color indexed="81"/>
            <rFont val="Tahoma"/>
            <family val="2"/>
          </rPr>
          <t>Meter pressure (kPa); enter a
negative value for a vacuum</t>
        </r>
      </text>
    </comment>
    <comment ref="I14" authorId="0">
      <text>
        <r>
          <rPr>
            <sz val="8"/>
            <color indexed="81"/>
            <rFont val="Tahoma"/>
            <family val="2"/>
          </rPr>
          <t>Enter nominal dwell time</t>
        </r>
      </text>
    </comment>
    <comment ref="Q14" authorId="5">
      <text>
        <r>
          <rPr>
            <sz val="8"/>
            <color indexed="81"/>
            <rFont val="Tahoma"/>
            <family val="2"/>
          </rPr>
          <t>End time of sampling position. Overwrite if sampling paused.</t>
        </r>
      </text>
    </comment>
    <comment ref="T14" authorId="3">
      <text>
        <r>
          <rPr>
            <sz val="8"/>
            <color indexed="81"/>
            <rFont val="Tahoma"/>
            <family val="2"/>
          </rPr>
          <t>Sampling rate corrected for 
probe blockage factor (PBF) 
and meter pressure</t>
        </r>
      </text>
    </comment>
    <comment ref="AA14" authorId="3">
      <text>
        <r>
          <rPr>
            <sz val="8"/>
            <color indexed="81"/>
            <rFont val="Tahoma"/>
            <family val="2"/>
          </rPr>
          <t>Velocity corrected for 
probe blockage factor (PBVF)</t>
        </r>
      </text>
    </comment>
    <comment ref="AF14" authorId="3">
      <text>
        <r>
          <rPr>
            <sz val="8"/>
            <color indexed="81"/>
            <rFont val="Tahoma"/>
            <family val="2"/>
          </rPr>
          <t>Velocity corrected for 
probe blockage factor (PBVF)</t>
        </r>
      </text>
    </comment>
    <comment ref="AG14" authorId="3">
      <text>
        <r>
          <rPr>
            <sz val="8"/>
            <color indexed="81"/>
            <rFont val="Tahoma"/>
            <family val="2"/>
          </rPr>
          <t>Velocity corrected for 
probe blockage factor (PBVF)</t>
        </r>
      </text>
    </comment>
    <comment ref="AR19" authorId="1">
      <text>
        <r>
          <rPr>
            <sz val="8"/>
            <color indexed="81"/>
            <rFont val="Tahoma"/>
            <family val="2"/>
          </rPr>
          <t>ft³/min</t>
        </r>
      </text>
    </comment>
    <comment ref="AS19" authorId="1">
      <text>
        <r>
          <rPr>
            <sz val="8"/>
            <color indexed="81"/>
            <rFont val="Tahoma"/>
            <family val="2"/>
          </rPr>
          <t>L/min</t>
        </r>
      </text>
    </comment>
    <comment ref="AT19" authorId="1">
      <text>
        <r>
          <rPr>
            <sz val="8"/>
            <color indexed="81"/>
            <rFont val="Tahoma"/>
            <family val="2"/>
          </rPr>
          <t>m³/min</t>
        </r>
      </text>
    </comment>
    <comment ref="L20" authorId="2">
      <text>
        <r>
          <rPr>
            <sz val="8"/>
            <color indexed="81"/>
            <rFont val="Tahoma"/>
            <family val="2"/>
          </rPr>
          <t>Nozzle flow (L/min)</t>
        </r>
      </text>
    </comment>
    <comment ref="M20" authorId="2">
      <text>
        <r>
          <rPr>
            <sz val="8"/>
            <color indexed="81"/>
            <rFont val="Tahoma"/>
            <family val="2"/>
          </rPr>
          <t>Meter flow (L/min)</t>
        </r>
      </text>
    </comment>
    <comment ref="N20" authorId="6">
      <text>
        <r>
          <rPr>
            <sz val="8"/>
            <color indexed="81"/>
            <rFont val="Tahoma"/>
            <family val="2"/>
          </rPr>
          <t>Flowmeter setting
VA type flowmeters - L/min or % of scale
Orifice flowmeters - ∆H</t>
        </r>
      </text>
    </comment>
    <comment ref="AR20" authorId="3">
      <text>
        <r>
          <rPr>
            <sz val="8"/>
            <color indexed="81"/>
            <rFont val="Tahoma"/>
            <family val="2"/>
          </rPr>
          <t>Gas velocity (ft/sec) corrected for 
probe blockage factor (PBVF)</t>
        </r>
      </text>
    </comment>
    <comment ref="AS20" authorId="3">
      <text>
        <r>
          <rPr>
            <sz val="8"/>
            <color indexed="81"/>
            <rFont val="Tahoma"/>
            <family val="2"/>
          </rPr>
          <t>Velocity (m/sec) corrected for 
probe blockage factor (PBVF)</t>
        </r>
      </text>
    </comment>
    <comment ref="L21" authorId="2">
      <text>
        <r>
          <rPr>
            <sz val="8"/>
            <color indexed="81"/>
            <rFont val="Tahoma"/>
            <family val="2"/>
          </rPr>
          <t>Nozzle flow (-28°C)</t>
        </r>
      </text>
    </comment>
    <comment ref="M21" authorId="2">
      <text>
        <r>
          <rPr>
            <sz val="8"/>
            <color indexed="81"/>
            <rFont val="Tahoma"/>
            <family val="2"/>
          </rPr>
          <t>Meter flow (-28°C)</t>
        </r>
      </text>
    </comment>
    <comment ref="N21" authorId="6">
      <text>
        <r>
          <rPr>
            <sz val="8"/>
            <color indexed="81"/>
            <rFont val="Tahoma"/>
            <family val="2"/>
          </rPr>
          <t>Flowmeter setting (-28°C)
VA type flowmeters - L/min or % of scale
Orifice flowmeters - ∆H</t>
        </r>
      </text>
    </comment>
    <comment ref="AR21" authorId="0">
      <text>
        <r>
          <rPr>
            <sz val="8"/>
            <color indexed="81"/>
            <rFont val="Tahoma"/>
            <family val="2"/>
          </rPr>
          <t>inches</t>
        </r>
      </text>
    </comment>
    <comment ref="AS21" authorId="0">
      <text>
        <r>
          <rPr>
            <sz val="8"/>
            <color indexed="81"/>
            <rFont val="Tahoma"/>
            <family val="2"/>
          </rPr>
          <t>mm</t>
        </r>
      </text>
    </comment>
    <comment ref="L22" authorId="2">
      <text>
        <r>
          <rPr>
            <sz val="8"/>
            <color indexed="81"/>
            <rFont val="Tahoma"/>
            <family val="2"/>
          </rPr>
          <t>Nozzle flow (+28°C)</t>
        </r>
      </text>
    </comment>
    <comment ref="M22" authorId="2">
      <text>
        <r>
          <rPr>
            <sz val="8"/>
            <color indexed="81"/>
            <rFont val="Tahoma"/>
            <family val="2"/>
          </rPr>
          <t>Meter flow (+28°C)</t>
        </r>
      </text>
    </comment>
    <comment ref="N22" authorId="6">
      <text>
        <r>
          <rPr>
            <sz val="8"/>
            <color indexed="81"/>
            <rFont val="Tahoma"/>
            <family val="2"/>
          </rPr>
          <t>Flowmeter setting (+28°C)
VA type flowmeters - L/min or % of scale
Orifice flowmeters - ∆H</t>
        </r>
      </text>
    </comment>
    <comment ref="AR22" authorId="1">
      <text>
        <r>
          <rPr>
            <sz val="8"/>
            <color indexed="81"/>
            <rFont val="Tahoma"/>
            <family val="2"/>
          </rPr>
          <t>Predicted cut size (µm)</t>
        </r>
      </text>
    </comment>
    <comment ref="AS22" authorId="1">
      <text>
        <r>
          <rPr>
            <sz val="8"/>
            <color indexed="81"/>
            <rFont val="Tahoma"/>
            <family val="2"/>
          </rPr>
          <t>Actual cut size (µm)</t>
        </r>
      </text>
    </comment>
    <comment ref="AR23" authorId="1">
      <text>
        <r>
          <rPr>
            <sz val="8"/>
            <color indexed="81"/>
            <rFont val="Tahoma"/>
            <family val="2"/>
          </rPr>
          <t>Predicted cut size (µm)</t>
        </r>
      </text>
    </comment>
    <comment ref="AS23" authorId="1">
      <text>
        <r>
          <rPr>
            <sz val="8"/>
            <color indexed="81"/>
            <rFont val="Tahoma"/>
            <family val="2"/>
          </rPr>
          <t>Actual cut size (µm)</t>
        </r>
      </text>
    </comment>
    <comment ref="AR24" authorId="4">
      <text>
        <r>
          <rPr>
            <sz val="8"/>
            <color indexed="81"/>
            <rFont val="Tahoma"/>
            <family val="2"/>
          </rPr>
          <t>Pre-run Cunningham Correction Factor</t>
        </r>
      </text>
    </comment>
    <comment ref="AS24" authorId="4">
      <text>
        <r>
          <rPr>
            <sz val="8"/>
            <color indexed="81"/>
            <rFont val="Tahoma"/>
            <family val="2"/>
          </rPr>
          <t>Post-run Cunningham Correction Factor</t>
        </r>
      </text>
    </comment>
    <comment ref="AR25" authorId="4">
      <text>
        <r>
          <rPr>
            <sz val="8"/>
            <color indexed="81"/>
            <rFont val="Tahoma"/>
            <family val="2"/>
          </rPr>
          <t>Pre-run Reynolds Number</t>
        </r>
      </text>
    </comment>
    <comment ref="AS25" authorId="4">
      <text>
        <r>
          <rPr>
            <sz val="8"/>
            <color indexed="81"/>
            <rFont val="Tahoma"/>
            <family val="2"/>
          </rPr>
          <t>Pre-run Reynolds Number</t>
        </r>
      </text>
    </comment>
    <comment ref="AR29" authorId="3">
      <text>
        <r>
          <rPr>
            <sz val="8"/>
            <color indexed="81"/>
            <rFont val="Tahoma"/>
            <family val="2"/>
          </rPr>
          <t>Gas velocity (ft/sec) in selected nozzle at sampling rate 
corrected for probe blockage factor (PBVF)</t>
        </r>
      </text>
    </comment>
    <comment ref="AS29" authorId="3">
      <text>
        <r>
          <rPr>
            <sz val="8"/>
            <color indexed="81"/>
            <rFont val="Tahoma"/>
            <family val="2"/>
          </rPr>
          <t>Gas velocity (m/sec) in selected nozzle at sampling rate 
corrected for probe blockage factor (PBVF)</t>
        </r>
      </text>
    </comment>
    <comment ref="AR32" authorId="0">
      <text>
        <r>
          <rPr>
            <sz val="8"/>
            <color indexed="81"/>
            <rFont val="Tahoma"/>
            <family val="2"/>
          </rPr>
          <t>inches H2O</t>
        </r>
      </text>
    </comment>
    <comment ref="AS32" authorId="0">
      <text>
        <r>
          <rPr>
            <sz val="8"/>
            <color indexed="81"/>
            <rFont val="Tahoma"/>
            <family val="2"/>
          </rPr>
          <t>inches H2O</t>
        </r>
      </text>
    </comment>
    <comment ref="AR33" authorId="0">
      <text>
        <r>
          <rPr>
            <sz val="8"/>
            <color indexed="81"/>
            <rFont val="Tahoma"/>
            <family val="2"/>
          </rPr>
          <t>Pascals</t>
        </r>
      </text>
    </comment>
    <comment ref="AS33" authorId="0">
      <text>
        <r>
          <rPr>
            <sz val="8"/>
            <color indexed="81"/>
            <rFont val="Tahoma"/>
            <family val="2"/>
          </rPr>
          <t>Pascals</t>
        </r>
      </text>
    </comment>
    <comment ref="AL37" authorId="7">
      <text>
        <r>
          <rPr>
            <sz val="8"/>
            <color indexed="81"/>
            <rFont val="Tahoma"/>
            <family val="2"/>
          </rPr>
          <t>Predicted meter volume 
(Litres)</t>
        </r>
      </text>
    </comment>
    <comment ref="AM37" authorId="7">
      <text>
        <r>
          <rPr>
            <sz val="8"/>
            <color indexed="81"/>
            <rFont val="Tahoma"/>
            <family val="2"/>
          </rPr>
          <t>Actual meter volume 
(Litres)</t>
        </r>
      </text>
    </comment>
    <comment ref="AL38" authorId="7">
      <text>
        <r>
          <rPr>
            <sz val="8"/>
            <color indexed="81"/>
            <rFont val="Tahoma"/>
            <family val="2"/>
          </rPr>
          <t>Predicted cyclone volume 
(Litres)</t>
        </r>
      </text>
    </comment>
    <comment ref="AM38" authorId="7">
      <text>
        <r>
          <rPr>
            <sz val="8"/>
            <color indexed="81"/>
            <rFont val="Tahoma"/>
            <family val="2"/>
          </rPr>
          <t>Actual cyclone volume 
(Litres)</t>
        </r>
      </text>
    </comment>
    <comment ref="AL40" authorId="7">
      <text>
        <r>
          <rPr>
            <sz val="8"/>
            <color indexed="81"/>
            <rFont val="Tahoma"/>
            <family val="2"/>
          </rPr>
          <t>Predicted sampling time 
(minutes)</t>
        </r>
      </text>
    </comment>
    <comment ref="AM40" authorId="7">
      <text>
        <r>
          <rPr>
            <sz val="8"/>
            <color indexed="81"/>
            <rFont val="Tahoma"/>
            <family val="2"/>
          </rPr>
          <t>Actual sampling time 
(minutes)</t>
        </r>
      </text>
    </comment>
    <comment ref="AL41" authorId="7">
      <text>
        <r>
          <rPr>
            <sz val="8"/>
            <color indexed="81"/>
            <rFont val="Tahoma"/>
            <family val="2"/>
          </rPr>
          <t>Predicted sampling rate
(Litres/min)</t>
        </r>
      </text>
    </comment>
    <comment ref="AM41" authorId="7">
      <text>
        <r>
          <rPr>
            <sz val="8"/>
            <color indexed="81"/>
            <rFont val="Tahoma"/>
            <family val="2"/>
          </rPr>
          <t>Actual sampling rate
(Litres/min)</t>
        </r>
      </text>
    </comment>
    <comment ref="AL42" authorId="7">
      <text>
        <r>
          <rPr>
            <sz val="8"/>
            <color indexed="81"/>
            <rFont val="Tahoma"/>
            <family val="2"/>
          </rPr>
          <t>Predicted sampling rate
(m3/min)</t>
        </r>
      </text>
    </comment>
    <comment ref="AM42" authorId="7">
      <text>
        <r>
          <rPr>
            <sz val="8"/>
            <color indexed="81"/>
            <rFont val="Tahoma"/>
            <family val="2"/>
          </rPr>
          <t>Actual sampling rate
(m3/min)</t>
        </r>
      </text>
    </comment>
    <comment ref="AL43" authorId="7">
      <text>
        <r>
          <rPr>
            <sz val="8"/>
            <color indexed="81"/>
            <rFont val="Tahoma"/>
            <family val="2"/>
          </rPr>
          <t>Predicted sampling rate
(acfm)</t>
        </r>
      </text>
    </comment>
    <comment ref="AM43" authorId="7">
      <text>
        <r>
          <rPr>
            <sz val="8"/>
            <color indexed="81"/>
            <rFont val="Tahoma"/>
            <family val="2"/>
          </rPr>
          <t>Actual sampling rate
(acfm)</t>
        </r>
      </text>
    </comment>
    <comment ref="AR47" authorId="1">
      <text>
        <r>
          <rPr>
            <sz val="8"/>
            <color indexed="81"/>
            <rFont val="Tahoma"/>
            <family val="2"/>
          </rPr>
          <t>ft³/min</t>
        </r>
      </text>
    </comment>
    <comment ref="AS47" authorId="1">
      <text>
        <r>
          <rPr>
            <sz val="8"/>
            <color indexed="81"/>
            <rFont val="Tahoma"/>
            <family val="2"/>
          </rPr>
          <t>L/min</t>
        </r>
      </text>
    </comment>
    <comment ref="AT47" authorId="1">
      <text>
        <r>
          <rPr>
            <sz val="8"/>
            <color indexed="81"/>
            <rFont val="Tahoma"/>
            <family val="2"/>
          </rPr>
          <t>m³/min</t>
        </r>
      </text>
    </comment>
    <comment ref="AR48" authorId="3">
      <text>
        <r>
          <rPr>
            <sz val="8"/>
            <color indexed="81"/>
            <rFont val="Tahoma"/>
            <family val="2"/>
          </rPr>
          <t>Gas velocity (ft/sec) corrected for 
probe blockage factor (PBVF)</t>
        </r>
      </text>
    </comment>
    <comment ref="AS48" authorId="3">
      <text>
        <r>
          <rPr>
            <sz val="8"/>
            <color indexed="81"/>
            <rFont val="Tahoma"/>
            <family val="2"/>
          </rPr>
          <t>Velocity (m/sec) corrected for 
probe blockage factor (PBVF)</t>
        </r>
      </text>
    </comment>
    <comment ref="AR49" authorId="0">
      <text>
        <r>
          <rPr>
            <sz val="8"/>
            <color indexed="81"/>
            <rFont val="Tahoma"/>
            <family val="2"/>
          </rPr>
          <t>inches</t>
        </r>
      </text>
    </comment>
    <comment ref="AS49" authorId="0">
      <text>
        <r>
          <rPr>
            <sz val="8"/>
            <color indexed="81"/>
            <rFont val="Tahoma"/>
            <family val="2"/>
          </rPr>
          <t>mm</t>
        </r>
      </text>
    </comment>
    <comment ref="AR54" authorId="1">
      <text>
        <r>
          <rPr>
            <sz val="8"/>
            <color indexed="81"/>
            <rFont val="Tahoma"/>
            <family val="2"/>
          </rPr>
          <t>ft³/min</t>
        </r>
      </text>
    </comment>
    <comment ref="AS54" authorId="1">
      <text>
        <r>
          <rPr>
            <sz val="8"/>
            <color indexed="81"/>
            <rFont val="Tahoma"/>
            <family val="2"/>
          </rPr>
          <t>L/min</t>
        </r>
      </text>
    </comment>
    <comment ref="AT54" authorId="1">
      <text>
        <r>
          <rPr>
            <sz val="8"/>
            <color indexed="81"/>
            <rFont val="Tahoma"/>
            <family val="2"/>
          </rPr>
          <t>m³/min</t>
        </r>
      </text>
    </comment>
    <comment ref="AR55" authorId="3">
      <text>
        <r>
          <rPr>
            <sz val="8"/>
            <color indexed="81"/>
            <rFont val="Tahoma"/>
            <family val="2"/>
          </rPr>
          <t>Gas velocity (ft/sec) corrected for 
probe blockage factor (PBVF)</t>
        </r>
      </text>
    </comment>
    <comment ref="AS55" authorId="3">
      <text>
        <r>
          <rPr>
            <sz val="8"/>
            <color indexed="81"/>
            <rFont val="Tahoma"/>
            <family val="2"/>
          </rPr>
          <t>Velocity (m/sec) corrected for 
probe blockage factor (PBVF)</t>
        </r>
      </text>
    </comment>
    <comment ref="AR56" authorId="0">
      <text>
        <r>
          <rPr>
            <sz val="8"/>
            <color indexed="81"/>
            <rFont val="Tahoma"/>
            <family val="2"/>
          </rPr>
          <t>inches</t>
        </r>
      </text>
    </comment>
    <comment ref="AS56" authorId="0">
      <text>
        <r>
          <rPr>
            <sz val="8"/>
            <color indexed="81"/>
            <rFont val="Tahoma"/>
            <family val="2"/>
          </rPr>
          <t>mm</t>
        </r>
      </text>
    </comment>
    <comment ref="V77" authorId="2">
      <text>
        <r>
          <rPr>
            <sz val="8"/>
            <color indexed="81"/>
            <rFont val="Tahoma"/>
            <family val="2"/>
          </rPr>
          <t>This is the uncorrected meter volume, 
predicted from the sum of the 
sampling rate * time at each point.</t>
        </r>
      </text>
    </comment>
    <comment ref="W77" authorId="2">
      <text>
        <r>
          <rPr>
            <sz val="8"/>
            <color indexed="81"/>
            <rFont val="Tahoma"/>
            <family val="2"/>
          </rPr>
          <t>This is the corrected meter volume, 
calculated from the predicted meter volume, 
the stack temperature and pressure.</t>
        </r>
      </text>
    </comment>
    <comment ref="W79" authorId="2">
      <text>
        <r>
          <rPr>
            <sz val="8"/>
            <color indexed="81"/>
            <rFont val="Tahoma"/>
            <family val="2"/>
          </rPr>
          <t>This is the meter reading predicted from the sum 
of the start volume plus the accumulated run volume 
at each point, corrected for meter ratio/factor.</t>
        </r>
      </text>
    </comment>
    <comment ref="E80" authorId="0">
      <text>
        <r>
          <rPr>
            <sz val="8"/>
            <color indexed="81"/>
            <rFont val="Tahoma"/>
            <family val="2"/>
          </rPr>
          <t>Stack temperature (°C)</t>
        </r>
      </text>
    </comment>
    <comment ref="F80" authorId="0">
      <text>
        <r>
          <rPr>
            <sz val="8"/>
            <color indexed="81"/>
            <rFont val="Tahoma"/>
            <family val="2"/>
          </rPr>
          <t>Meter temperature (°C)</t>
        </r>
      </text>
    </comment>
    <comment ref="G80" authorId="0">
      <text>
        <r>
          <rPr>
            <sz val="8"/>
            <color indexed="81"/>
            <rFont val="Tahoma"/>
            <family val="2"/>
          </rPr>
          <t>Meter pressure (kPa); enter a
negative value for a vacuum</t>
        </r>
      </text>
    </comment>
    <comment ref="I80" authorId="0">
      <text>
        <r>
          <rPr>
            <sz val="8"/>
            <color indexed="81"/>
            <rFont val="Tahoma"/>
            <family val="2"/>
          </rPr>
          <t>Enter nominal dwell time</t>
        </r>
      </text>
    </comment>
    <comment ref="Q80" authorId="5">
      <text>
        <r>
          <rPr>
            <sz val="8"/>
            <color indexed="81"/>
            <rFont val="Tahoma"/>
            <family val="2"/>
          </rPr>
          <t xml:space="preserve">Time (minutes) from the start of the test to move probe to corresponding sampling point.
</t>
        </r>
      </text>
    </comment>
    <comment ref="T80" authorId="3">
      <text>
        <r>
          <rPr>
            <sz val="8"/>
            <color indexed="81"/>
            <rFont val="Tahoma"/>
            <family val="2"/>
          </rPr>
          <t>Sampling rate corrected for 
probe blockage factor (PBF) 
and meter pressure</t>
        </r>
      </text>
    </comment>
    <comment ref="AA80" authorId="3">
      <text>
        <r>
          <rPr>
            <sz val="8"/>
            <color indexed="81"/>
            <rFont val="Tahoma"/>
            <family val="2"/>
          </rPr>
          <t>Velocity corrected for 
probe blockage factor (PBVF)</t>
        </r>
      </text>
    </comment>
    <comment ref="AF80" authorId="3">
      <text>
        <r>
          <rPr>
            <sz val="8"/>
            <color indexed="81"/>
            <rFont val="Tahoma"/>
            <family val="2"/>
          </rPr>
          <t>Velocity corrected for 
probe blockage factor (PBVF)</t>
        </r>
      </text>
    </comment>
    <comment ref="AG80" authorId="3">
      <text>
        <r>
          <rPr>
            <sz val="8"/>
            <color indexed="81"/>
            <rFont val="Tahoma"/>
            <family val="2"/>
          </rPr>
          <t>Velocity corrected for 
probe blockage factor (PBVF)</t>
        </r>
      </text>
    </comment>
    <comment ref="AR85" authorId="1">
      <text>
        <r>
          <rPr>
            <sz val="8"/>
            <color indexed="81"/>
            <rFont val="Tahoma"/>
            <family val="2"/>
          </rPr>
          <t>ft³/min</t>
        </r>
      </text>
    </comment>
    <comment ref="AS85" authorId="1">
      <text>
        <r>
          <rPr>
            <sz val="8"/>
            <color indexed="81"/>
            <rFont val="Tahoma"/>
            <family val="2"/>
          </rPr>
          <t>L/min</t>
        </r>
      </text>
    </comment>
    <comment ref="AT85" authorId="1">
      <text>
        <r>
          <rPr>
            <sz val="8"/>
            <color indexed="81"/>
            <rFont val="Tahoma"/>
            <family val="2"/>
          </rPr>
          <t>m³/min</t>
        </r>
      </text>
    </comment>
    <comment ref="L86" authorId="2">
      <text>
        <r>
          <rPr>
            <sz val="8"/>
            <color indexed="81"/>
            <rFont val="Tahoma"/>
            <family val="2"/>
          </rPr>
          <t>Nozzle flow (L/min)</t>
        </r>
      </text>
    </comment>
    <comment ref="M86" authorId="2">
      <text>
        <r>
          <rPr>
            <sz val="8"/>
            <color indexed="81"/>
            <rFont val="Tahoma"/>
            <family val="2"/>
          </rPr>
          <t>Meter flow (L/min)</t>
        </r>
      </text>
    </comment>
    <comment ref="N86" authorId="6">
      <text>
        <r>
          <rPr>
            <sz val="8"/>
            <color indexed="81"/>
            <rFont val="Tahoma"/>
            <family val="2"/>
          </rPr>
          <t>Flowmeter setting
VA type flowmeters - L/min or % of scale
Orifice flowmeters - ∆H</t>
        </r>
      </text>
    </comment>
    <comment ref="AR86" authorId="3">
      <text>
        <r>
          <rPr>
            <sz val="8"/>
            <color indexed="81"/>
            <rFont val="Tahoma"/>
            <family val="2"/>
          </rPr>
          <t>Gas velocity (ft/sec) corrected for 
probe blockage factor (PBVF)</t>
        </r>
      </text>
    </comment>
    <comment ref="AS86" authorId="3">
      <text>
        <r>
          <rPr>
            <sz val="8"/>
            <color indexed="81"/>
            <rFont val="Tahoma"/>
            <family val="2"/>
          </rPr>
          <t>Velocity (m/sec) corrected for 
probe blockage factor (PBVF)</t>
        </r>
      </text>
    </comment>
    <comment ref="L87" authorId="2">
      <text>
        <r>
          <rPr>
            <sz val="8"/>
            <color indexed="81"/>
            <rFont val="Tahoma"/>
            <family val="2"/>
          </rPr>
          <t>Nozzle flow (-28°C)</t>
        </r>
      </text>
    </comment>
    <comment ref="M87" authorId="2">
      <text>
        <r>
          <rPr>
            <sz val="8"/>
            <color indexed="81"/>
            <rFont val="Tahoma"/>
            <family val="2"/>
          </rPr>
          <t>Meter flow (-28°C)</t>
        </r>
      </text>
    </comment>
    <comment ref="N87" authorId="6">
      <text>
        <r>
          <rPr>
            <sz val="8"/>
            <color indexed="81"/>
            <rFont val="Tahoma"/>
            <family val="2"/>
          </rPr>
          <t>Flowmeter setting (-28°C)
VA type flowmeters - L/min or % of scale
Orifice flowmeters - ∆H</t>
        </r>
      </text>
    </comment>
    <comment ref="AR87" authorId="0">
      <text>
        <r>
          <rPr>
            <sz val="8"/>
            <color indexed="81"/>
            <rFont val="Tahoma"/>
            <family val="2"/>
          </rPr>
          <t>inches</t>
        </r>
      </text>
    </comment>
    <comment ref="AS87" authorId="0">
      <text>
        <r>
          <rPr>
            <sz val="8"/>
            <color indexed="81"/>
            <rFont val="Tahoma"/>
            <family val="2"/>
          </rPr>
          <t>mm</t>
        </r>
      </text>
    </comment>
    <comment ref="L88" authorId="2">
      <text>
        <r>
          <rPr>
            <sz val="8"/>
            <color indexed="81"/>
            <rFont val="Tahoma"/>
            <family val="2"/>
          </rPr>
          <t>Nozzle flow (+28°C)</t>
        </r>
      </text>
    </comment>
    <comment ref="M88" authorId="2">
      <text>
        <r>
          <rPr>
            <sz val="8"/>
            <color indexed="81"/>
            <rFont val="Tahoma"/>
            <family val="2"/>
          </rPr>
          <t>Meter flow (+28°C)</t>
        </r>
      </text>
    </comment>
    <comment ref="N88" authorId="6">
      <text>
        <r>
          <rPr>
            <sz val="8"/>
            <color indexed="81"/>
            <rFont val="Tahoma"/>
            <family val="2"/>
          </rPr>
          <t>Flowmeter setting (+28°C)
VA type flowmeters - L/min or % of scale
Orifice flowmeters - ∆H</t>
        </r>
      </text>
    </comment>
    <comment ref="AR88" authorId="1">
      <text>
        <r>
          <rPr>
            <sz val="8"/>
            <color indexed="81"/>
            <rFont val="Tahoma"/>
            <family val="2"/>
          </rPr>
          <t>Predicted cut size (µm)</t>
        </r>
      </text>
    </comment>
    <comment ref="AS88" authorId="1">
      <text>
        <r>
          <rPr>
            <sz val="8"/>
            <color indexed="81"/>
            <rFont val="Tahoma"/>
            <family val="2"/>
          </rPr>
          <t>Actual cut size (µm)</t>
        </r>
      </text>
    </comment>
    <comment ref="AR89" authorId="1">
      <text>
        <r>
          <rPr>
            <sz val="8"/>
            <color indexed="81"/>
            <rFont val="Tahoma"/>
            <family val="2"/>
          </rPr>
          <t>Predicted cut size (µm)</t>
        </r>
      </text>
    </comment>
    <comment ref="AS89" authorId="1">
      <text>
        <r>
          <rPr>
            <sz val="8"/>
            <color indexed="81"/>
            <rFont val="Tahoma"/>
            <family val="2"/>
          </rPr>
          <t>Actual cut size (µm)</t>
        </r>
      </text>
    </comment>
    <comment ref="AR90" authorId="4">
      <text>
        <r>
          <rPr>
            <sz val="8"/>
            <color indexed="81"/>
            <rFont val="Tahoma"/>
            <family val="2"/>
          </rPr>
          <t>Pre-run Cunningham Correction Factor</t>
        </r>
      </text>
    </comment>
    <comment ref="AS90" authorId="4">
      <text>
        <r>
          <rPr>
            <sz val="8"/>
            <color indexed="81"/>
            <rFont val="Tahoma"/>
            <family val="2"/>
          </rPr>
          <t>Post-run Cunningham Correction Factor</t>
        </r>
      </text>
    </comment>
    <comment ref="AR91" authorId="4">
      <text>
        <r>
          <rPr>
            <sz val="8"/>
            <color indexed="81"/>
            <rFont val="Tahoma"/>
            <family val="2"/>
          </rPr>
          <t>Pre-run Reynolds Number</t>
        </r>
      </text>
    </comment>
    <comment ref="AS91" authorId="4">
      <text>
        <r>
          <rPr>
            <sz val="8"/>
            <color indexed="81"/>
            <rFont val="Tahoma"/>
            <family val="2"/>
          </rPr>
          <t>Pre-run Reynolds Number</t>
        </r>
      </text>
    </comment>
    <comment ref="AR95" authorId="3">
      <text>
        <r>
          <rPr>
            <sz val="8"/>
            <color indexed="81"/>
            <rFont val="Tahoma"/>
            <family val="2"/>
          </rPr>
          <t>Gas velocity (ft/sec) in selected nozzle at sampling rate 
corrected for probe blockage factor (PBVF)</t>
        </r>
      </text>
    </comment>
    <comment ref="AS95" authorId="3">
      <text>
        <r>
          <rPr>
            <sz val="8"/>
            <color indexed="81"/>
            <rFont val="Tahoma"/>
            <family val="2"/>
          </rPr>
          <t>Gas velocity (m/sec) in selected nozzle at sampling rate 
corrected for probe blockage factor (PBVF)</t>
        </r>
      </text>
    </comment>
    <comment ref="AR98" authorId="0">
      <text>
        <r>
          <rPr>
            <sz val="8"/>
            <color indexed="81"/>
            <rFont val="Tahoma"/>
            <family val="2"/>
          </rPr>
          <t>inches H2O</t>
        </r>
      </text>
    </comment>
    <comment ref="AS98" authorId="0">
      <text>
        <r>
          <rPr>
            <sz val="8"/>
            <color indexed="81"/>
            <rFont val="Tahoma"/>
            <family val="2"/>
          </rPr>
          <t>inches H2O</t>
        </r>
      </text>
    </comment>
    <comment ref="AR99" authorId="0">
      <text>
        <r>
          <rPr>
            <sz val="8"/>
            <color indexed="81"/>
            <rFont val="Tahoma"/>
            <family val="2"/>
          </rPr>
          <t>Pascals</t>
        </r>
      </text>
    </comment>
    <comment ref="AS99" authorId="0">
      <text>
        <r>
          <rPr>
            <sz val="8"/>
            <color indexed="81"/>
            <rFont val="Tahoma"/>
            <family val="2"/>
          </rPr>
          <t>Pascals</t>
        </r>
      </text>
    </comment>
    <comment ref="AL103" authorId="7">
      <text>
        <r>
          <rPr>
            <sz val="8"/>
            <color indexed="81"/>
            <rFont val="Tahoma"/>
            <family val="2"/>
          </rPr>
          <t>Predicted meter volume 
(Litres)</t>
        </r>
      </text>
    </comment>
    <comment ref="AM103" authorId="7">
      <text>
        <r>
          <rPr>
            <sz val="8"/>
            <color indexed="81"/>
            <rFont val="Tahoma"/>
            <family val="2"/>
          </rPr>
          <t>Actual meter volume 
(Litres)</t>
        </r>
      </text>
    </comment>
    <comment ref="AL104" authorId="7">
      <text>
        <r>
          <rPr>
            <sz val="8"/>
            <color indexed="81"/>
            <rFont val="Tahoma"/>
            <family val="2"/>
          </rPr>
          <t>Predicted cyclone volume 
(Litres)</t>
        </r>
      </text>
    </comment>
    <comment ref="AM104" authorId="7">
      <text>
        <r>
          <rPr>
            <sz val="8"/>
            <color indexed="81"/>
            <rFont val="Tahoma"/>
            <family val="2"/>
          </rPr>
          <t>Actual cyclone volume 
(Litres)</t>
        </r>
      </text>
    </comment>
    <comment ref="AL106" authorId="7">
      <text>
        <r>
          <rPr>
            <sz val="8"/>
            <color indexed="81"/>
            <rFont val="Tahoma"/>
            <family val="2"/>
          </rPr>
          <t>Predicted sampling time 
(minutes)</t>
        </r>
      </text>
    </comment>
    <comment ref="AM106" authorId="7">
      <text>
        <r>
          <rPr>
            <sz val="8"/>
            <color indexed="81"/>
            <rFont val="Tahoma"/>
            <family val="2"/>
          </rPr>
          <t>Actual sampling time 
(minutes)</t>
        </r>
      </text>
    </comment>
    <comment ref="AL107" authorId="7">
      <text>
        <r>
          <rPr>
            <sz val="8"/>
            <color indexed="81"/>
            <rFont val="Tahoma"/>
            <family val="2"/>
          </rPr>
          <t>Predicted sampling rate
(Litres/min)</t>
        </r>
      </text>
    </comment>
    <comment ref="AM107" authorId="7">
      <text>
        <r>
          <rPr>
            <sz val="8"/>
            <color indexed="81"/>
            <rFont val="Tahoma"/>
            <family val="2"/>
          </rPr>
          <t>Actual sampling rate
(Litres/min)</t>
        </r>
      </text>
    </comment>
    <comment ref="AL108" authorId="7">
      <text>
        <r>
          <rPr>
            <sz val="8"/>
            <color indexed="81"/>
            <rFont val="Tahoma"/>
            <family val="2"/>
          </rPr>
          <t>Predicted sampling rate
(m3/min)</t>
        </r>
      </text>
    </comment>
    <comment ref="AM108" authorId="7">
      <text>
        <r>
          <rPr>
            <sz val="8"/>
            <color indexed="81"/>
            <rFont val="Tahoma"/>
            <family val="2"/>
          </rPr>
          <t>Actual sampling rate
(m3/min)</t>
        </r>
      </text>
    </comment>
    <comment ref="AL109" authorId="7">
      <text>
        <r>
          <rPr>
            <sz val="8"/>
            <color indexed="81"/>
            <rFont val="Tahoma"/>
            <family val="2"/>
          </rPr>
          <t>Predicted sampling rate
(acfm)</t>
        </r>
      </text>
    </comment>
    <comment ref="AM109" authorId="7">
      <text>
        <r>
          <rPr>
            <sz val="8"/>
            <color indexed="81"/>
            <rFont val="Tahoma"/>
            <family val="2"/>
          </rPr>
          <t>Actual sampling rate
(acfm)</t>
        </r>
      </text>
    </comment>
    <comment ref="AR113" authorId="1">
      <text>
        <r>
          <rPr>
            <sz val="8"/>
            <color indexed="81"/>
            <rFont val="Tahoma"/>
            <family val="2"/>
          </rPr>
          <t>ft³/min</t>
        </r>
      </text>
    </comment>
    <comment ref="AS113" authorId="1">
      <text>
        <r>
          <rPr>
            <sz val="8"/>
            <color indexed="81"/>
            <rFont val="Tahoma"/>
            <family val="2"/>
          </rPr>
          <t>L/min</t>
        </r>
      </text>
    </comment>
    <comment ref="AT113" authorId="1">
      <text>
        <r>
          <rPr>
            <sz val="8"/>
            <color indexed="81"/>
            <rFont val="Tahoma"/>
            <family val="2"/>
          </rPr>
          <t>m³/min</t>
        </r>
      </text>
    </comment>
    <comment ref="AR114" authorId="3">
      <text>
        <r>
          <rPr>
            <sz val="8"/>
            <color indexed="81"/>
            <rFont val="Tahoma"/>
            <family val="2"/>
          </rPr>
          <t>Gas velocity (ft/sec) corrected for 
probe blockage factor (PBVF)</t>
        </r>
      </text>
    </comment>
    <comment ref="AS114" authorId="3">
      <text>
        <r>
          <rPr>
            <sz val="8"/>
            <color indexed="81"/>
            <rFont val="Tahoma"/>
            <family val="2"/>
          </rPr>
          <t>Velocity (m/sec) corrected for 
probe blockage factor (PBVF)</t>
        </r>
      </text>
    </comment>
    <comment ref="AR115" authorId="0">
      <text>
        <r>
          <rPr>
            <sz val="8"/>
            <color indexed="81"/>
            <rFont val="Tahoma"/>
            <family val="2"/>
          </rPr>
          <t>inches</t>
        </r>
      </text>
    </comment>
    <comment ref="AS115" authorId="0">
      <text>
        <r>
          <rPr>
            <sz val="8"/>
            <color indexed="81"/>
            <rFont val="Tahoma"/>
            <family val="2"/>
          </rPr>
          <t>mm</t>
        </r>
      </text>
    </comment>
    <comment ref="AR120" authorId="1">
      <text>
        <r>
          <rPr>
            <sz val="8"/>
            <color indexed="81"/>
            <rFont val="Tahoma"/>
            <family val="2"/>
          </rPr>
          <t>ft³/min</t>
        </r>
      </text>
    </comment>
    <comment ref="AS120" authorId="1">
      <text>
        <r>
          <rPr>
            <sz val="8"/>
            <color indexed="81"/>
            <rFont val="Tahoma"/>
            <family val="2"/>
          </rPr>
          <t>L/min</t>
        </r>
      </text>
    </comment>
    <comment ref="AT120" authorId="1">
      <text>
        <r>
          <rPr>
            <sz val="8"/>
            <color indexed="81"/>
            <rFont val="Tahoma"/>
            <family val="2"/>
          </rPr>
          <t>m³/min</t>
        </r>
      </text>
    </comment>
    <comment ref="AR121" authorId="3">
      <text>
        <r>
          <rPr>
            <sz val="8"/>
            <color indexed="81"/>
            <rFont val="Tahoma"/>
            <family val="2"/>
          </rPr>
          <t>Gas velocity (ft/sec) corrected for 
probe blockage factor (PBVF)</t>
        </r>
      </text>
    </comment>
    <comment ref="AS121" authorId="3">
      <text>
        <r>
          <rPr>
            <sz val="8"/>
            <color indexed="81"/>
            <rFont val="Tahoma"/>
            <family val="2"/>
          </rPr>
          <t>Velocity (m/sec) corrected for 
probe blockage factor (PBVF)</t>
        </r>
      </text>
    </comment>
    <comment ref="AR122" authorId="0">
      <text>
        <r>
          <rPr>
            <sz val="8"/>
            <color indexed="81"/>
            <rFont val="Tahoma"/>
            <family val="2"/>
          </rPr>
          <t>inches</t>
        </r>
      </text>
    </comment>
    <comment ref="AS122" authorId="0">
      <text>
        <r>
          <rPr>
            <sz val="8"/>
            <color indexed="81"/>
            <rFont val="Tahoma"/>
            <family val="2"/>
          </rPr>
          <t>mm</t>
        </r>
      </text>
    </comment>
    <comment ref="V143" authorId="2">
      <text>
        <r>
          <rPr>
            <sz val="8"/>
            <color indexed="81"/>
            <rFont val="Tahoma"/>
            <family val="2"/>
          </rPr>
          <t>This is the uncorrected meter volume, 
predicted from the sum of the 
sampling rate * time at each point.</t>
        </r>
      </text>
    </comment>
    <comment ref="W143" authorId="2">
      <text>
        <r>
          <rPr>
            <sz val="8"/>
            <color indexed="81"/>
            <rFont val="Tahoma"/>
            <family val="2"/>
          </rPr>
          <t>This is the corrected meter volume, 
calculated from the predicted meter volume, 
the stack temperature and pressure.</t>
        </r>
      </text>
    </comment>
  </commentList>
</comments>
</file>

<file path=xl/comments6.xml><?xml version="1.0" encoding="utf-8"?>
<comments xmlns="http://schemas.openxmlformats.org/spreadsheetml/2006/main">
  <authors>
    <author>WAnderson</author>
  </authors>
  <commentList>
    <comment ref="C9" authorId="0">
      <text>
        <r>
          <rPr>
            <sz val="8"/>
            <color indexed="81"/>
            <rFont val="Tahoma"/>
            <family val="2"/>
          </rPr>
          <t>Gas meter or DryCal ID</t>
        </r>
      </text>
    </comment>
    <comment ref="D9" authorId="0">
      <text>
        <r>
          <rPr>
            <sz val="8"/>
            <color indexed="81"/>
            <rFont val="Tahoma"/>
            <family val="2"/>
          </rPr>
          <t>Gas meter or DryCal ID</t>
        </r>
      </text>
    </comment>
    <comment ref="C10" authorId="0">
      <text>
        <r>
          <rPr>
            <sz val="8"/>
            <color indexed="81"/>
            <rFont val="Tahoma"/>
            <family val="2"/>
          </rPr>
          <t>Meter temp °C</t>
        </r>
      </text>
    </comment>
    <comment ref="D10" authorId="0">
      <text>
        <r>
          <rPr>
            <sz val="8"/>
            <color indexed="81"/>
            <rFont val="Tahoma"/>
            <family val="2"/>
          </rPr>
          <t>Meter temp °C</t>
        </r>
      </text>
    </comment>
    <comment ref="C23" authorId="0">
      <text>
        <r>
          <rPr>
            <sz val="8"/>
            <color indexed="81"/>
            <rFont val="Tahoma"/>
            <family val="2"/>
          </rPr>
          <t>Gas meter ID</t>
        </r>
      </text>
    </comment>
    <comment ref="D23" authorId="0">
      <text>
        <r>
          <rPr>
            <sz val="8"/>
            <color indexed="81"/>
            <rFont val="Tahoma"/>
            <family val="2"/>
          </rPr>
          <t>Gas meter ID</t>
        </r>
      </text>
    </comment>
    <comment ref="C24" authorId="0">
      <text>
        <r>
          <rPr>
            <sz val="8"/>
            <color indexed="81"/>
            <rFont val="Tahoma"/>
            <family val="2"/>
          </rPr>
          <t>Meter temp °C</t>
        </r>
      </text>
    </comment>
    <comment ref="D24" authorId="0">
      <text>
        <r>
          <rPr>
            <sz val="8"/>
            <color indexed="81"/>
            <rFont val="Tahoma"/>
            <family val="2"/>
          </rPr>
          <t>Meter temp °C</t>
        </r>
      </text>
    </comment>
    <comment ref="C37" authorId="0">
      <text>
        <r>
          <rPr>
            <sz val="8"/>
            <color indexed="81"/>
            <rFont val="Tahoma"/>
            <family val="2"/>
          </rPr>
          <t>Gas meter ID</t>
        </r>
      </text>
    </comment>
    <comment ref="D37" authorId="0">
      <text>
        <r>
          <rPr>
            <sz val="8"/>
            <color indexed="81"/>
            <rFont val="Tahoma"/>
            <family val="2"/>
          </rPr>
          <t>Gas meter ID</t>
        </r>
      </text>
    </comment>
    <comment ref="C38" authorId="0">
      <text>
        <r>
          <rPr>
            <sz val="8"/>
            <color indexed="81"/>
            <rFont val="Tahoma"/>
            <family val="2"/>
          </rPr>
          <t>Meter temp °C</t>
        </r>
      </text>
    </comment>
    <comment ref="D38" authorId="0">
      <text>
        <r>
          <rPr>
            <sz val="8"/>
            <color indexed="81"/>
            <rFont val="Tahoma"/>
            <family val="2"/>
          </rPr>
          <t>Meter temp °C</t>
        </r>
      </text>
    </comment>
    <comment ref="C51" authorId="0">
      <text>
        <r>
          <rPr>
            <sz val="8"/>
            <color indexed="81"/>
            <rFont val="Tahoma"/>
            <family val="2"/>
          </rPr>
          <t>Gas meter ID</t>
        </r>
      </text>
    </comment>
    <comment ref="D51" authorId="0">
      <text>
        <r>
          <rPr>
            <sz val="8"/>
            <color indexed="81"/>
            <rFont val="Tahoma"/>
            <family val="2"/>
          </rPr>
          <t>Gas meter ID</t>
        </r>
      </text>
    </comment>
    <comment ref="C52" authorId="0">
      <text>
        <r>
          <rPr>
            <sz val="8"/>
            <color indexed="81"/>
            <rFont val="Tahoma"/>
            <family val="2"/>
          </rPr>
          <t>Meter temp °C</t>
        </r>
      </text>
    </comment>
    <comment ref="D52" authorId="0">
      <text>
        <r>
          <rPr>
            <sz val="8"/>
            <color indexed="81"/>
            <rFont val="Tahoma"/>
            <family val="2"/>
          </rPr>
          <t>Meter temp °C</t>
        </r>
      </text>
    </comment>
    <comment ref="C65" authorId="0">
      <text>
        <r>
          <rPr>
            <sz val="8"/>
            <color indexed="81"/>
            <rFont val="Tahoma"/>
            <family val="2"/>
          </rPr>
          <t>Gas meter ID</t>
        </r>
      </text>
    </comment>
    <comment ref="D65" authorId="0">
      <text>
        <r>
          <rPr>
            <sz val="8"/>
            <color indexed="81"/>
            <rFont val="Tahoma"/>
            <family val="2"/>
          </rPr>
          <t>Gas meter ID</t>
        </r>
      </text>
    </comment>
    <comment ref="C66" authorId="0">
      <text>
        <r>
          <rPr>
            <sz val="8"/>
            <color indexed="81"/>
            <rFont val="Tahoma"/>
            <family val="2"/>
          </rPr>
          <t>Meter temp °C</t>
        </r>
      </text>
    </comment>
    <comment ref="D66" authorId="0">
      <text>
        <r>
          <rPr>
            <sz val="8"/>
            <color indexed="81"/>
            <rFont val="Tahoma"/>
            <family val="2"/>
          </rPr>
          <t>Meter temp °C</t>
        </r>
      </text>
    </comment>
    <comment ref="C79" authorId="0">
      <text>
        <r>
          <rPr>
            <sz val="8"/>
            <color indexed="81"/>
            <rFont val="Tahoma"/>
            <family val="2"/>
          </rPr>
          <t>Gas meter ID</t>
        </r>
      </text>
    </comment>
    <comment ref="D79" authorId="0">
      <text>
        <r>
          <rPr>
            <sz val="8"/>
            <color indexed="81"/>
            <rFont val="Tahoma"/>
            <family val="2"/>
          </rPr>
          <t>Gas meter ID</t>
        </r>
      </text>
    </comment>
    <comment ref="C80" authorId="0">
      <text>
        <r>
          <rPr>
            <sz val="8"/>
            <color indexed="81"/>
            <rFont val="Tahoma"/>
            <family val="2"/>
          </rPr>
          <t>Meter temp °C</t>
        </r>
      </text>
    </comment>
    <comment ref="D80" authorId="0">
      <text>
        <r>
          <rPr>
            <sz val="8"/>
            <color indexed="81"/>
            <rFont val="Tahoma"/>
            <family val="2"/>
          </rPr>
          <t>Meter temp °C</t>
        </r>
      </text>
    </comment>
    <comment ref="C93" authorId="0">
      <text>
        <r>
          <rPr>
            <sz val="8"/>
            <color indexed="81"/>
            <rFont val="Tahoma"/>
            <family val="2"/>
          </rPr>
          <t>Gas meter ID</t>
        </r>
      </text>
    </comment>
    <comment ref="D93" authorId="0">
      <text>
        <r>
          <rPr>
            <sz val="8"/>
            <color indexed="81"/>
            <rFont val="Tahoma"/>
            <family val="2"/>
          </rPr>
          <t>Gas meter ID</t>
        </r>
      </text>
    </comment>
    <comment ref="C94" authorId="0">
      <text>
        <r>
          <rPr>
            <sz val="8"/>
            <color indexed="81"/>
            <rFont val="Tahoma"/>
            <family val="2"/>
          </rPr>
          <t>Meter temp °C</t>
        </r>
      </text>
    </comment>
    <comment ref="D94" authorId="0">
      <text>
        <r>
          <rPr>
            <sz val="8"/>
            <color indexed="81"/>
            <rFont val="Tahoma"/>
            <family val="2"/>
          </rPr>
          <t>Meter temp °C</t>
        </r>
      </text>
    </comment>
  </commentList>
</comments>
</file>

<file path=xl/comments7.xml><?xml version="1.0" encoding="utf-8"?>
<comments xmlns="http://schemas.openxmlformats.org/spreadsheetml/2006/main">
  <authors>
    <author>Sarah Kennedy</author>
    <author>wayne.anderson</author>
    <author>David Corbett</author>
  </authors>
  <commentList>
    <comment ref="F4" authorId="0">
      <text>
        <r>
          <rPr>
            <sz val="8"/>
            <color indexed="81"/>
            <rFont val="Tahoma"/>
            <family val="2"/>
          </rPr>
          <t>Swirl corrected</t>
        </r>
      </text>
    </comment>
    <comment ref="T4" authorId="0">
      <text>
        <r>
          <rPr>
            <sz val="8"/>
            <color indexed="81"/>
            <rFont val="Tahoma"/>
            <family val="2"/>
          </rPr>
          <t>95% confidence limit for average concentration 
Single sample (n=2, Students t factor = 1.96, Std Dev = 0.2434)
Duplicate samples (n=4, Students t factor = 1.96, Std Dev = 0.17213)</t>
        </r>
      </text>
    </comment>
    <comment ref="U4" authorId="0">
      <text>
        <r>
          <rPr>
            <sz val="8"/>
            <color indexed="81"/>
            <rFont val="Tahoma"/>
            <family val="2"/>
          </rPr>
          <t>It is assumed that the std deviation 
has been calculated from a very large 
number of determinations and therefore 
that the student's t-factor is 1.96</t>
        </r>
      </text>
    </comment>
    <comment ref="K11" authorId="1">
      <text>
        <r>
          <rPr>
            <sz val="8"/>
            <color indexed="81"/>
            <rFont val="Tahoma"/>
            <family val="2"/>
          </rPr>
          <t>VIC = 040
WA = ??
NSW = ??</t>
        </r>
      </text>
    </comment>
    <comment ref="I14" authorId="0">
      <text>
        <r>
          <rPr>
            <sz val="8"/>
            <color indexed="81"/>
            <rFont val="Tahoma"/>
            <family val="2"/>
          </rPr>
          <t>O2 and/or CO2 corrected concentration 
(see O2 and CO2 factors on "Gases" sheet)</t>
        </r>
      </text>
    </comment>
    <comment ref="L14" authorId="0">
      <text>
        <r>
          <rPr>
            <sz val="8"/>
            <color indexed="81"/>
            <rFont val="Tahoma"/>
            <family val="2"/>
          </rPr>
          <t>O2 and/or CO2 corrected concentration 
(see O2 and CO2 factors on "Gases" sheet)</t>
        </r>
      </text>
    </comment>
    <comment ref="Q14" authorId="0">
      <text>
        <r>
          <rPr>
            <sz val="8"/>
            <color indexed="81"/>
            <rFont val="Tahoma"/>
            <family val="2"/>
          </rPr>
          <t>O2 and/or CO2 corrected concentration 
(see O2 and CO2 factors on "Gases" sheet)</t>
        </r>
      </text>
    </comment>
    <comment ref="B15" authorId="0">
      <text>
        <r>
          <rPr>
            <sz val="8"/>
            <color indexed="81"/>
            <rFont val="Tahoma"/>
            <family val="2"/>
          </rPr>
          <t>If result is &lt; DL then "&lt;" symbol  should be entered</t>
        </r>
      </text>
    </comment>
    <comment ref="E15" authorId="0">
      <text>
        <r>
          <rPr>
            <sz val="8"/>
            <color indexed="81"/>
            <rFont val="Tahoma"/>
            <family val="2"/>
          </rPr>
          <t>If result is &lt; DL then "&lt;" symbol  should be entered</t>
        </r>
      </text>
    </comment>
    <comment ref="O15" authorId="0">
      <text>
        <r>
          <rPr>
            <sz val="8"/>
            <color indexed="81"/>
            <rFont val="Tahoma"/>
            <family val="2"/>
          </rPr>
          <t>If result is &lt; DL then "&lt;" symbol  should be entered</t>
        </r>
      </text>
    </comment>
    <comment ref="H17" authorId="0">
      <text>
        <r>
          <rPr>
            <sz val="8"/>
            <color indexed="81"/>
            <rFont val="Tahoma"/>
            <family val="2"/>
          </rPr>
          <t>Lower confidence limit for single concentration 
Single sample (n=2, Students t factor = 1.96, Std Dev = 0.2434)
Duplicate samples (n=4, Students t factor = 1.96, Std Dev = 0.17213)</t>
        </r>
      </text>
    </comment>
    <comment ref="K17" authorId="0">
      <text>
        <r>
          <rPr>
            <sz val="8"/>
            <color indexed="81"/>
            <rFont val="Tahoma"/>
            <family val="2"/>
          </rPr>
          <t>Lower confidence limit for single concentration 
Single sample (n=2, Students t factor = 1.96, Std Dev = 0.2434)
Duplicate samples (n=4, Students t factor = 1.96, Std Dev = 0.17213)</t>
        </r>
      </text>
    </comment>
    <comment ref="P17" authorId="0">
      <text>
        <r>
          <rPr>
            <sz val="8"/>
            <color indexed="81"/>
            <rFont val="Tahoma"/>
            <family val="2"/>
          </rPr>
          <t>Lower confidence limit for duplicate average concentration 
Single sample (n=2, Students t factor = 1.96, Std Dev = 0.2434)
Duplicate samples (n=4, Students t factor = 1.96, Std Dev = 0.17213)</t>
        </r>
      </text>
    </comment>
    <comment ref="T17" authorId="0">
      <text>
        <r>
          <rPr>
            <sz val="8"/>
            <color indexed="81"/>
            <rFont val="Tahoma"/>
            <family val="2"/>
          </rPr>
          <t>95% confidence limit for average concentration 
Single sample (n=2, Students t factor = 1.96, Std Dev = 0.2434)
Duplicate samples (n=4, Students t factor = 1.96, Std Dev = 0.17213)</t>
        </r>
      </text>
    </comment>
    <comment ref="U17" authorId="0">
      <text>
        <r>
          <rPr>
            <sz val="8"/>
            <color indexed="81"/>
            <rFont val="Tahoma"/>
            <family val="2"/>
          </rPr>
          <t>It is assumed that the std deviation 
has been calculated from a very large 
number of determinations and therefore 
that the student's t-factor is 1.96</t>
        </r>
      </text>
    </comment>
    <comment ref="H18" authorId="0">
      <text>
        <r>
          <rPr>
            <sz val="8"/>
            <color indexed="81"/>
            <rFont val="Tahoma"/>
            <family val="2"/>
          </rPr>
          <t>Upper confidence limit for single concentration 
Single sample (n=2, Students t factor = 1.96, Std Dev = 0.2434)
Duplicate samples (n=4, Students t factor = 1.96, Std Dev = 0.17213)</t>
        </r>
      </text>
    </comment>
    <comment ref="K18" authorId="0">
      <text>
        <r>
          <rPr>
            <sz val="8"/>
            <color indexed="81"/>
            <rFont val="Tahoma"/>
            <family val="2"/>
          </rPr>
          <t>Upper confidence limit for single concentration 
Single sample (n=2, Students t factor = 1.96, Std Dev = 0.2434)
Duplicate samples (n=4, Students t factor = 1.96, Std Dev = 0.17213)</t>
        </r>
      </text>
    </comment>
    <comment ref="P18" authorId="0">
      <text>
        <r>
          <rPr>
            <sz val="8"/>
            <color indexed="81"/>
            <rFont val="Tahoma"/>
            <family val="2"/>
          </rPr>
          <t>Upper confidence limit for duplicate average concentration 
Single sample (n=2, Students t factor = 1.96, Std Dev = 0.2434)
Duplicate samples (n=4, Students t factor = 1.96, Std Dev = 0.17213)</t>
        </r>
      </text>
    </comment>
    <comment ref="A19" authorId="2">
      <text>
        <r>
          <rPr>
            <sz val="8"/>
            <color indexed="81"/>
            <rFont val="Tahoma"/>
            <family val="2"/>
          </rPr>
          <t>For determining odour removal efficiency based on concentration.</t>
        </r>
      </text>
    </comment>
    <comment ref="K24" authorId="1">
      <text>
        <r>
          <rPr>
            <sz val="8"/>
            <color indexed="81"/>
            <rFont val="Tahoma"/>
            <family val="2"/>
          </rPr>
          <t>VIC = 040
WA = ??
NSW = ??</t>
        </r>
      </text>
    </comment>
    <comment ref="I27" authorId="0">
      <text>
        <r>
          <rPr>
            <sz val="8"/>
            <color indexed="81"/>
            <rFont val="Tahoma"/>
            <family val="2"/>
          </rPr>
          <t>O2 and/or CO2 corrected concentration 
(see O2 and CO2 factors on "Gases" sheet)</t>
        </r>
      </text>
    </comment>
    <comment ref="L27" authorId="0">
      <text>
        <r>
          <rPr>
            <sz val="8"/>
            <color indexed="81"/>
            <rFont val="Tahoma"/>
            <family val="2"/>
          </rPr>
          <t>O2 and/or CO2 corrected concentration 
(see O2 and CO2 factors on "Gases" sheet)</t>
        </r>
      </text>
    </comment>
    <comment ref="Q27" authorId="0">
      <text>
        <r>
          <rPr>
            <sz val="8"/>
            <color indexed="81"/>
            <rFont val="Tahoma"/>
            <family val="2"/>
          </rPr>
          <t>O2 and/or CO2 corrected concentration 
(see O2 and CO2 factors on "Gases" sheet)</t>
        </r>
      </text>
    </comment>
    <comment ref="B28" authorId="0">
      <text>
        <r>
          <rPr>
            <sz val="8"/>
            <color indexed="81"/>
            <rFont val="Tahoma"/>
            <family val="2"/>
          </rPr>
          <t>If result is &lt; DL then "&lt;" symbol  should be entered</t>
        </r>
      </text>
    </comment>
    <comment ref="E28" authorId="0">
      <text>
        <r>
          <rPr>
            <sz val="8"/>
            <color indexed="81"/>
            <rFont val="Tahoma"/>
            <family val="2"/>
          </rPr>
          <t>If result is &lt; DL then "&lt;" symbol  should be entered</t>
        </r>
      </text>
    </comment>
    <comment ref="O28" authorId="0">
      <text>
        <r>
          <rPr>
            <sz val="8"/>
            <color indexed="81"/>
            <rFont val="Tahoma"/>
            <family val="2"/>
          </rPr>
          <t>If result is &lt; DL then "&lt;" symbol  should be entered</t>
        </r>
      </text>
    </comment>
    <comment ref="H30" authorId="0">
      <text>
        <r>
          <rPr>
            <sz val="8"/>
            <color indexed="81"/>
            <rFont val="Tahoma"/>
            <family val="2"/>
          </rPr>
          <t>Lower confidence limit for single concentration 
Single sample (n=2, Students t factor = 1.96, Std Dev = 0.2434)
Duplicate samples (n=4, Students t factor = 1.96, Std Dev = 0.17213)</t>
        </r>
      </text>
    </comment>
    <comment ref="K30" authorId="0">
      <text>
        <r>
          <rPr>
            <sz val="8"/>
            <color indexed="81"/>
            <rFont val="Tahoma"/>
            <family val="2"/>
          </rPr>
          <t>Lower confidence limit for single concentration 
Single sample (n=2, Students t factor = 1.96, Std Dev = 0.2434)
Duplicate samples (n=4, Students t factor = 1.96, Std Dev = 0.17213)</t>
        </r>
      </text>
    </comment>
    <comment ref="P30" authorId="0">
      <text>
        <r>
          <rPr>
            <sz val="8"/>
            <color indexed="81"/>
            <rFont val="Tahoma"/>
            <family val="2"/>
          </rPr>
          <t>Lower confidence limit for duplicate average concentration 
Single sample (n=2, Students t factor = 1.96, Std Dev = 0.2434)
Duplicate samples (n=4, Students t factor = 1.96, Std Dev = 0.17213)</t>
        </r>
      </text>
    </comment>
    <comment ref="H31" authorId="0">
      <text>
        <r>
          <rPr>
            <sz val="8"/>
            <color indexed="81"/>
            <rFont val="Tahoma"/>
            <family val="2"/>
          </rPr>
          <t>Upper confidence limit for single concentration 
Single sample (n=2, Students t factor = 1.96, Std Dev = 0.2434)
Duplicate samples (n=4, Students t factor = 1.96, Std Dev = 0.17213)</t>
        </r>
      </text>
    </comment>
    <comment ref="K31" authorId="0">
      <text>
        <r>
          <rPr>
            <sz val="8"/>
            <color indexed="81"/>
            <rFont val="Tahoma"/>
            <family val="2"/>
          </rPr>
          <t>Upper confidence limit for single concentration 
Single sample (n=2, Students t factor = 1.96, Std Dev = 0.2434)
Duplicate samples (n=4, Students t factor = 1.96, Std Dev = 0.17213)</t>
        </r>
      </text>
    </comment>
    <comment ref="P31" authorId="0">
      <text>
        <r>
          <rPr>
            <sz val="8"/>
            <color indexed="81"/>
            <rFont val="Tahoma"/>
            <family val="2"/>
          </rPr>
          <t>Upper confidence limit for duplicate average concentration 
Single sample (n=2, Students t factor = 1.96, Std Dev = 0.2434)
Duplicate samples (n=4, Students t factor = 1.96, Std Dev = 0.17213)</t>
        </r>
      </text>
    </comment>
  </commentList>
</comments>
</file>

<file path=xl/comments8.xml><?xml version="1.0" encoding="utf-8"?>
<comments xmlns="http://schemas.openxmlformats.org/spreadsheetml/2006/main">
  <authors>
    <author>Anderson</author>
    <author>Testing</author>
    <author>WAnderson</author>
  </authors>
  <commentList>
    <comment ref="L7" authorId="0">
      <text>
        <r>
          <rPr>
            <sz val="8"/>
            <color indexed="81"/>
            <rFont val="Tahoma"/>
            <family val="2"/>
          </rPr>
          <t>Gas dilution factor (GDF).  
Use Dilution Box spreadsheet 
to calculate effective dilution factor 
when using dilution probe.</t>
        </r>
      </text>
    </comment>
    <comment ref="A19" authorId="1">
      <text>
        <r>
          <rPr>
            <sz val="8"/>
            <color indexed="81"/>
            <rFont val="Tahoma"/>
            <family val="2"/>
          </rPr>
          <t>For Daylight Savings Time (DST), Offset = 1</t>
        </r>
      </text>
    </comment>
    <comment ref="C509" authorId="2">
      <text>
        <r>
          <rPr>
            <sz val="8"/>
            <color indexed="81"/>
            <rFont val="Tahoma"/>
            <family val="2"/>
          </rPr>
          <t>Horiba Min, Max &amp; Average results 
may be entered directly into these cells</t>
        </r>
      </text>
    </comment>
    <comment ref="C510" authorId="2">
      <text>
        <r>
          <rPr>
            <sz val="8"/>
            <color indexed="81"/>
            <rFont val="Tahoma"/>
            <family val="2"/>
          </rPr>
          <t>Horiba Min, Max &amp; Average results 
may be entered directly into these cells</t>
        </r>
      </text>
    </comment>
    <comment ref="C511" authorId="2">
      <text>
        <r>
          <rPr>
            <sz val="8"/>
            <color indexed="81"/>
            <rFont val="Tahoma"/>
            <family val="2"/>
          </rPr>
          <t>Horiba Min, Max &amp; Average results 
may be entered directly into these cells</t>
        </r>
      </text>
    </comment>
  </commentList>
</comments>
</file>

<file path=xl/comments9.xml><?xml version="1.0" encoding="utf-8"?>
<comments xmlns="http://schemas.openxmlformats.org/spreadsheetml/2006/main">
  <authors>
    <author>Sarah Kennedy</author>
    <author>David Corbett</author>
    <author>WAnderson</author>
  </authors>
  <commentList>
    <comment ref="F2" authorId="0">
      <text>
        <r>
          <rPr>
            <sz val="8"/>
            <color indexed="81"/>
            <rFont val="Tahoma"/>
            <family val="2"/>
          </rPr>
          <t>Swirl corrected</t>
        </r>
      </text>
    </comment>
    <comment ref="I8" authorId="1">
      <text>
        <r>
          <rPr>
            <b/>
            <sz val="7"/>
            <color indexed="81"/>
            <rFont val="Tahoma"/>
            <family val="2"/>
          </rPr>
          <t>Converts concentration for reporting totals</t>
        </r>
      </text>
    </comment>
    <comment ref="J8" authorId="0">
      <text>
        <r>
          <rPr>
            <sz val="8"/>
            <color indexed="81"/>
            <rFont val="Tahoma"/>
            <family val="2"/>
          </rPr>
          <t>O2 and/or CO2 corrected concentration 
(see O2 and CO2 factors on "Gases" sheet)</t>
        </r>
      </text>
    </comment>
    <comment ref="M8" authorId="1">
      <text>
        <r>
          <rPr>
            <b/>
            <sz val="7"/>
            <color indexed="81"/>
            <rFont val="Tahoma"/>
            <family val="2"/>
          </rPr>
          <t>Converts concentration for reporting totals</t>
        </r>
      </text>
    </comment>
    <comment ref="N8" authorId="0">
      <text>
        <r>
          <rPr>
            <sz val="8"/>
            <color indexed="81"/>
            <rFont val="Tahoma"/>
            <family val="2"/>
          </rPr>
          <t>O2 and/or CO2 corrected concentration 
(see O2 and CO2 factors on "Gases" sheet)</t>
        </r>
      </text>
    </comment>
    <comment ref="S8" authorId="0">
      <text>
        <r>
          <rPr>
            <sz val="8"/>
            <color indexed="81"/>
            <rFont val="Tahoma"/>
            <family val="2"/>
          </rPr>
          <t>O2 and/or CO2 corrected concentration 
(see O2 and CO2 factors on "Gases" sheet)</t>
        </r>
      </text>
    </comment>
    <comment ref="D9" authorId="0">
      <text>
        <r>
          <rPr>
            <sz val="8"/>
            <color indexed="81"/>
            <rFont val="Tahoma"/>
            <family val="2"/>
          </rPr>
          <t>If result is &lt; DL then "&lt;" symbol  should be entered</t>
        </r>
      </text>
    </comment>
    <comment ref="F9" authorId="0">
      <text>
        <r>
          <rPr>
            <sz val="8"/>
            <color indexed="81"/>
            <rFont val="Tahoma"/>
            <family val="2"/>
          </rPr>
          <t>If result is &lt; DL then "&lt;" symbol  should be entered</t>
        </r>
      </text>
    </comment>
    <comment ref="Q9" authorId="0">
      <text>
        <r>
          <rPr>
            <sz val="8"/>
            <color indexed="81"/>
            <rFont val="Tahoma"/>
            <family val="2"/>
          </rPr>
          <t>If result is &lt; DL then "&lt;" symbol  should be entered</t>
        </r>
      </text>
    </comment>
    <comment ref="F111" authorId="2">
      <text>
        <r>
          <rPr>
            <sz val="8"/>
            <color indexed="81"/>
            <rFont val="Tahoma"/>
            <family val="2"/>
          </rPr>
          <t>Gas meter ID</t>
        </r>
      </text>
    </comment>
    <comment ref="G111" authorId="2">
      <text>
        <r>
          <rPr>
            <sz val="8"/>
            <color indexed="81"/>
            <rFont val="Tahoma"/>
            <family val="2"/>
          </rPr>
          <t>Gas meter ID</t>
        </r>
      </text>
    </comment>
    <comment ref="F112" authorId="2">
      <text>
        <r>
          <rPr>
            <sz val="8"/>
            <color indexed="81"/>
            <rFont val="Tahoma"/>
            <family val="2"/>
          </rPr>
          <t>Meter temp °C</t>
        </r>
      </text>
    </comment>
    <comment ref="G112" authorId="2">
      <text>
        <r>
          <rPr>
            <sz val="8"/>
            <color indexed="81"/>
            <rFont val="Tahoma"/>
            <family val="2"/>
          </rPr>
          <t>Meter temp °C</t>
        </r>
      </text>
    </comment>
    <comment ref="I113" authorId="1">
      <text>
        <r>
          <rPr>
            <b/>
            <sz val="7"/>
            <color indexed="81"/>
            <rFont val="Tahoma"/>
            <family val="2"/>
          </rPr>
          <t>Converts concentration for reporting totals</t>
        </r>
      </text>
    </comment>
    <comment ref="J113" authorId="0">
      <text>
        <r>
          <rPr>
            <sz val="8"/>
            <color indexed="81"/>
            <rFont val="Tahoma"/>
            <family val="2"/>
          </rPr>
          <t>O2 and/or CO2 corrected concentration 
(see O2 and CO2 factors on "Gases" sheet)</t>
        </r>
      </text>
    </comment>
    <comment ref="M113" authorId="1">
      <text>
        <r>
          <rPr>
            <b/>
            <sz val="7"/>
            <color indexed="81"/>
            <rFont val="Tahoma"/>
            <family val="2"/>
          </rPr>
          <t>Converts concentration for reporting totals</t>
        </r>
      </text>
    </comment>
    <comment ref="N113" authorId="0">
      <text>
        <r>
          <rPr>
            <sz val="8"/>
            <color indexed="81"/>
            <rFont val="Tahoma"/>
            <family val="2"/>
          </rPr>
          <t>O2 and/or CO2 corrected concentration 
(see O2 and CO2 factors on "Gases" sheet)</t>
        </r>
      </text>
    </comment>
    <comment ref="S113" authorId="0">
      <text>
        <r>
          <rPr>
            <sz val="8"/>
            <color indexed="81"/>
            <rFont val="Tahoma"/>
            <family val="2"/>
          </rPr>
          <t>O2 and/or CO2 corrected concentration 
(see O2 and CO2 factors on "Gases" sheet)</t>
        </r>
      </text>
    </comment>
    <comment ref="B114" authorId="0">
      <text>
        <r>
          <rPr>
            <sz val="8"/>
            <color indexed="81"/>
            <rFont val="Tahoma"/>
            <family val="2"/>
          </rPr>
          <t>If result is &lt; DL then "&lt;" symbol  should be entered</t>
        </r>
      </text>
    </comment>
    <comment ref="E114" authorId="0">
      <text>
        <r>
          <rPr>
            <sz val="8"/>
            <color indexed="81"/>
            <rFont val="Tahoma"/>
            <family val="2"/>
          </rPr>
          <t>If result is &lt; DL then "&lt;" symbol  should be entered</t>
        </r>
      </text>
    </comment>
    <comment ref="Q114" authorId="0">
      <text>
        <r>
          <rPr>
            <sz val="8"/>
            <color indexed="81"/>
            <rFont val="Tahoma"/>
            <family val="2"/>
          </rPr>
          <t>If result is &lt; DL then "&lt;" symbol  should be entered</t>
        </r>
      </text>
    </comment>
    <comment ref="J213" authorId="0">
      <text>
        <r>
          <rPr>
            <sz val="8"/>
            <color indexed="81"/>
            <rFont val="Tahoma"/>
            <family val="2"/>
          </rPr>
          <t>O2 corrected concentration 
(see factor on "Gases" sheet)</t>
        </r>
      </text>
    </comment>
    <comment ref="N213" authorId="0">
      <text>
        <r>
          <rPr>
            <sz val="8"/>
            <color indexed="81"/>
            <rFont val="Tahoma"/>
            <family val="2"/>
          </rPr>
          <t>O2 and/or CO2 corrected concentration 
(see O2 and CO2 factors on "Gases" sheet)</t>
        </r>
      </text>
    </comment>
    <comment ref="S213" authorId="0">
      <text>
        <r>
          <rPr>
            <sz val="8"/>
            <color indexed="81"/>
            <rFont val="Tahoma"/>
            <family val="2"/>
          </rPr>
          <t>O2 and/or CO2 corrected concentration 
(see O2 and CO2 factors on "Gases" sheet)</t>
        </r>
      </text>
    </comment>
    <comment ref="F214" authorId="0">
      <text>
        <r>
          <rPr>
            <sz val="8"/>
            <color indexed="81"/>
            <rFont val="Tahoma"/>
            <family val="2"/>
          </rPr>
          <t>If result is &lt; DL then "&lt;" symbol  should be entered</t>
        </r>
      </text>
    </comment>
    <comment ref="G214" authorId="0">
      <text>
        <r>
          <rPr>
            <sz val="8"/>
            <color indexed="81"/>
            <rFont val="Tahoma"/>
            <family val="2"/>
          </rPr>
          <t>If result is &lt; DL then "&lt;" symbol  should be entered</t>
        </r>
      </text>
    </comment>
    <comment ref="Q214" authorId="0">
      <text>
        <r>
          <rPr>
            <sz val="8"/>
            <color indexed="81"/>
            <rFont val="Tahoma"/>
            <family val="2"/>
          </rPr>
          <t>If result is &lt; DL then "&lt;" symbol  should be entered</t>
        </r>
      </text>
    </comment>
  </commentList>
</comments>
</file>

<file path=xl/comments10.xml><?xml version="1.0" encoding="utf-8"?>
<comments xmlns="http://schemas.openxmlformats.org/spreadsheetml/2006/main">
  <authors>
    <author>Wayne Anderson</author>
    <author>Sarah</author>
    <author>Sarah Kennedy</author>
    <author>wayne.anderson</author>
  </authors>
  <commentList>
    <comment ref="J7" authorId="0">
      <text>
        <r>
          <rPr>
            <sz val="8"/>
            <color indexed="81"/>
            <rFont val="Tahoma"/>
            <family val="2"/>
          </rPr>
          <t>Volume to be used for calculation of concentrations entered in PM&amp;Iso-K sheet:
ISO-K samples use VolumeNTP1
PM10/PM2.5 samples use VolumeNTP3</t>
        </r>
      </text>
    </comment>
    <comment ref="K7" authorId="0">
      <text>
        <r>
          <rPr>
            <sz val="8"/>
            <color indexed="81"/>
            <rFont val="Tahoma"/>
            <family val="2"/>
          </rPr>
          <t>Volume to be used for calculation of concentrations entered in PM&amp;Iso-K sheet:
ISO-K samples use VolumeNTP1
PM10/PM2.5 samples use VolumeNTP3</t>
        </r>
      </text>
    </comment>
    <comment ref="D9" authorId="1">
      <text>
        <r>
          <rPr>
            <sz val="10"/>
            <color indexed="81"/>
            <rFont val="Tahoma"/>
            <family val="2"/>
          </rPr>
          <t>Select the required TEQ convention.</t>
        </r>
      </text>
    </comment>
    <comment ref="F9" authorId="2">
      <text>
        <r>
          <rPr>
            <sz val="8"/>
            <color indexed="81"/>
            <rFont val="Tahoma"/>
            <family val="2"/>
          </rPr>
          <t>O2 and/or CO2 corrected concentration 
(see O2 and CO2 factors on "Gases" sheet)</t>
        </r>
      </text>
    </comment>
    <comment ref="L9" authorId="2">
      <text>
        <r>
          <rPr>
            <sz val="8"/>
            <color indexed="81"/>
            <rFont val="Tahoma"/>
            <family val="2"/>
          </rPr>
          <t>O2 and/or CO2 corrected concentration 
(see O2 and CO2 factors on "Gases" sheet)</t>
        </r>
      </text>
    </comment>
    <comment ref="S9" authorId="2">
      <text>
        <r>
          <rPr>
            <sz val="8"/>
            <color indexed="81"/>
            <rFont val="Tahoma"/>
            <family val="2"/>
          </rPr>
          <t>O2 and/or CO2 corrected concentration 
(see O2 and CO2 factors on "Gases" sheet)</t>
        </r>
      </text>
    </comment>
    <comment ref="B10" authorId="2">
      <text>
        <r>
          <rPr>
            <sz val="8"/>
            <color indexed="81"/>
            <rFont val="Tahoma"/>
            <family val="2"/>
          </rPr>
          <t>If result is &lt; DL then "&lt;" 
symbol  should be entered</t>
        </r>
      </text>
    </comment>
    <comment ref="H10" authorId="2">
      <text>
        <r>
          <rPr>
            <sz val="8"/>
            <color indexed="81"/>
            <rFont val="Tahoma"/>
            <family val="2"/>
          </rPr>
          <t>If result is &lt; DL then "&lt;" 
symbol  should be entered</t>
        </r>
      </text>
    </comment>
    <comment ref="O10" authorId="2">
      <text>
        <r>
          <rPr>
            <sz val="8"/>
            <color indexed="81"/>
            <rFont val="Tahoma"/>
            <family val="2"/>
          </rPr>
          <t>If result is &lt; DL then "&lt;" 
symbol  should be entered</t>
        </r>
      </text>
    </comment>
    <comment ref="C37" authorId="3">
      <text>
        <r>
          <rPr>
            <sz val="8"/>
            <color indexed="81"/>
            <rFont val="Tahoma"/>
            <family val="2"/>
          </rPr>
          <t>Sum of PCDD &amp; PCDF 
congeners</t>
        </r>
        <r>
          <rPr>
            <sz val="8"/>
            <color indexed="81"/>
            <rFont val="Tahoma"/>
            <family val="2"/>
          </rPr>
          <t xml:space="preserve">
</t>
        </r>
      </text>
    </comment>
    <comment ref="I37" authorId="3">
      <text>
        <r>
          <rPr>
            <sz val="8"/>
            <color indexed="81"/>
            <rFont val="Tahoma"/>
            <family val="2"/>
          </rPr>
          <t>Sum of PCDD &amp; PCDF 
congeners</t>
        </r>
        <r>
          <rPr>
            <sz val="8"/>
            <color indexed="81"/>
            <rFont val="Tahoma"/>
            <family val="2"/>
          </rPr>
          <t xml:space="preserve">
</t>
        </r>
      </text>
    </comment>
    <comment ref="A38" authorId="1">
      <text>
        <r>
          <rPr>
            <sz val="10"/>
            <color indexed="81"/>
            <rFont val="Tahoma"/>
            <family val="2"/>
          </rPr>
          <t>Excluding LOD values</t>
        </r>
        <r>
          <rPr>
            <sz val="10"/>
            <color indexed="81"/>
            <rFont val="Tahoma"/>
            <family val="2"/>
          </rPr>
          <t xml:space="preserve">
</t>
        </r>
      </text>
    </comment>
    <comment ref="A39" authorId="1">
      <text>
        <r>
          <rPr>
            <sz val="10"/>
            <color indexed="81"/>
            <rFont val="Tahoma"/>
            <family val="2"/>
          </rPr>
          <t>Including 1/2 LOD values</t>
        </r>
        <r>
          <rPr>
            <sz val="10"/>
            <color indexed="81"/>
            <rFont val="Tahoma"/>
            <family val="2"/>
          </rPr>
          <t xml:space="preserve">
</t>
        </r>
      </text>
    </comment>
    <comment ref="A40" authorId="1">
      <text>
        <r>
          <rPr>
            <sz val="10"/>
            <color indexed="81"/>
            <rFont val="Tahoma"/>
            <family val="2"/>
          </rPr>
          <t>Including LOD values</t>
        </r>
        <r>
          <rPr>
            <sz val="10"/>
            <color indexed="81"/>
            <rFont val="Tahoma"/>
            <family val="2"/>
          </rPr>
          <t xml:space="preserve">
</t>
        </r>
      </text>
    </comment>
    <comment ref="D42" authorId="1">
      <text>
        <r>
          <rPr>
            <sz val="10"/>
            <color indexed="81"/>
            <rFont val="Tahoma"/>
            <family val="2"/>
          </rPr>
          <t>Select the required TEQ convention.</t>
        </r>
      </text>
    </comment>
    <comment ref="F42" authorId="2">
      <text>
        <r>
          <rPr>
            <sz val="8"/>
            <color indexed="81"/>
            <rFont val="Tahoma"/>
            <family val="2"/>
          </rPr>
          <t>O2 and/or CO2 corrected concentration 
(see O2 and CO2 factors on "Gases" sheet)</t>
        </r>
      </text>
    </comment>
    <comment ref="L42" authorId="2">
      <text>
        <r>
          <rPr>
            <sz val="8"/>
            <color indexed="81"/>
            <rFont val="Tahoma"/>
            <family val="2"/>
          </rPr>
          <t>O2 and/or CO2 corrected concentration 
(see O2 and CO2 factors on "Gases" sheet)</t>
        </r>
      </text>
    </comment>
    <comment ref="S42" authorId="2">
      <text>
        <r>
          <rPr>
            <sz val="8"/>
            <color indexed="81"/>
            <rFont val="Tahoma"/>
            <family val="2"/>
          </rPr>
          <t>O2 and/or CO2 corrected concentration 
(see O2 and CO2 factors on "Gases" sheet)</t>
        </r>
      </text>
    </comment>
    <comment ref="B43" authorId="2">
      <text>
        <r>
          <rPr>
            <sz val="8"/>
            <color indexed="81"/>
            <rFont val="Tahoma"/>
            <family val="2"/>
          </rPr>
          <t>If result is &lt; DL then "&lt;" 
symbol  should be entered</t>
        </r>
      </text>
    </comment>
    <comment ref="H43" authorId="2">
      <text>
        <r>
          <rPr>
            <sz val="8"/>
            <color indexed="81"/>
            <rFont val="Tahoma"/>
            <family val="2"/>
          </rPr>
          <t>If result is &lt; DL then "&lt;" 
symbol  should be entered</t>
        </r>
      </text>
    </comment>
    <comment ref="O43" authorId="2">
      <text>
        <r>
          <rPr>
            <sz val="8"/>
            <color indexed="81"/>
            <rFont val="Tahoma"/>
            <family val="2"/>
          </rPr>
          <t>If result is &lt; DL then "&lt;" 
symbol  should be entered</t>
        </r>
      </text>
    </comment>
    <comment ref="C57" authorId="3">
      <text>
        <r>
          <rPr>
            <sz val="8"/>
            <color indexed="81"/>
            <rFont val="Tahoma"/>
            <family val="2"/>
          </rPr>
          <t>Sum of PCDD &amp; PCDF 
congeners</t>
        </r>
        <r>
          <rPr>
            <sz val="8"/>
            <color indexed="81"/>
            <rFont val="Tahoma"/>
            <family val="2"/>
          </rPr>
          <t xml:space="preserve">
</t>
        </r>
      </text>
    </comment>
    <comment ref="I57" authorId="3">
      <text>
        <r>
          <rPr>
            <sz val="8"/>
            <color indexed="81"/>
            <rFont val="Tahoma"/>
            <family val="2"/>
          </rPr>
          <t>Sum of PCDD &amp; PCDF 
congeners</t>
        </r>
        <r>
          <rPr>
            <sz val="8"/>
            <color indexed="81"/>
            <rFont val="Tahoma"/>
            <family val="2"/>
          </rPr>
          <t xml:space="preserve">
</t>
        </r>
      </text>
    </comment>
    <comment ref="A58" authorId="1">
      <text>
        <r>
          <rPr>
            <sz val="10"/>
            <color indexed="81"/>
            <rFont val="Tahoma"/>
            <family val="2"/>
          </rPr>
          <t>Excluding LOD values</t>
        </r>
        <r>
          <rPr>
            <sz val="10"/>
            <color indexed="81"/>
            <rFont val="Tahoma"/>
            <family val="2"/>
          </rPr>
          <t xml:space="preserve">
</t>
        </r>
      </text>
    </comment>
    <comment ref="A59" authorId="1">
      <text>
        <r>
          <rPr>
            <sz val="10"/>
            <color indexed="81"/>
            <rFont val="Tahoma"/>
            <family val="2"/>
          </rPr>
          <t>Including 1/2 LOD values</t>
        </r>
        <r>
          <rPr>
            <sz val="10"/>
            <color indexed="81"/>
            <rFont val="Tahoma"/>
            <family val="2"/>
          </rPr>
          <t xml:space="preserve">
</t>
        </r>
      </text>
    </comment>
    <comment ref="A60" authorId="1">
      <text>
        <r>
          <rPr>
            <sz val="10"/>
            <color indexed="81"/>
            <rFont val="Tahoma"/>
            <family val="2"/>
          </rPr>
          <t>Including LOD values</t>
        </r>
        <r>
          <rPr>
            <sz val="10"/>
            <color indexed="81"/>
            <rFont val="Tahoma"/>
            <family val="2"/>
          </rPr>
          <t xml:space="preserve">
</t>
        </r>
      </text>
    </comment>
    <comment ref="F62" authorId="2">
      <text>
        <r>
          <rPr>
            <sz val="8"/>
            <color indexed="81"/>
            <rFont val="Tahoma"/>
            <family val="2"/>
          </rPr>
          <t>O2 and/or CO2 corrected concentration 
(see O2 and CO2 factors on "Gases" sheet)</t>
        </r>
      </text>
    </comment>
    <comment ref="L62" authorId="2">
      <text>
        <r>
          <rPr>
            <sz val="8"/>
            <color indexed="81"/>
            <rFont val="Tahoma"/>
            <family val="2"/>
          </rPr>
          <t>O2 and/or CO2 corrected concentration 
(see O2 and CO2 factors on "Gases" sheet)</t>
        </r>
      </text>
    </comment>
    <comment ref="S62" authorId="2">
      <text>
        <r>
          <rPr>
            <sz val="8"/>
            <color indexed="81"/>
            <rFont val="Tahoma"/>
            <family val="2"/>
          </rPr>
          <t>O2 and/or CO2 corrected concentration 
(see O2 and CO2 factors on "Gases" sheet)</t>
        </r>
      </text>
    </comment>
    <comment ref="B63" authorId="2">
      <text>
        <r>
          <rPr>
            <sz val="8"/>
            <color indexed="81"/>
            <rFont val="Tahoma"/>
            <family val="2"/>
          </rPr>
          <t>If result is &lt; DL then "&lt;" 
symbol  should be entered</t>
        </r>
      </text>
    </comment>
    <comment ref="H63" authorId="2">
      <text>
        <r>
          <rPr>
            <sz val="8"/>
            <color indexed="81"/>
            <rFont val="Tahoma"/>
            <family val="2"/>
          </rPr>
          <t>If result is &lt; DL then "&lt;" 
symbol  should be entered</t>
        </r>
      </text>
    </comment>
    <comment ref="O63" authorId="2">
      <text>
        <r>
          <rPr>
            <sz val="8"/>
            <color indexed="81"/>
            <rFont val="Tahoma"/>
            <family val="2"/>
          </rPr>
          <t>If result is &lt; DL then "&lt;" 
symbol  should be entered</t>
        </r>
      </text>
    </comment>
    <comment ref="A86" authorId="1">
      <text>
        <r>
          <rPr>
            <sz val="10"/>
            <color indexed="81"/>
            <rFont val="Tahoma"/>
            <family val="2"/>
          </rPr>
          <t>Excluding LOD values</t>
        </r>
        <r>
          <rPr>
            <sz val="10"/>
            <color indexed="81"/>
            <rFont val="Tahoma"/>
            <family val="2"/>
          </rPr>
          <t xml:space="preserve">
</t>
        </r>
      </text>
    </comment>
    <comment ref="A87" authorId="1">
      <text>
        <r>
          <rPr>
            <sz val="10"/>
            <color indexed="81"/>
            <rFont val="Tahoma"/>
            <family val="2"/>
          </rPr>
          <t>Including 1/2 LOD values</t>
        </r>
        <r>
          <rPr>
            <sz val="10"/>
            <color indexed="81"/>
            <rFont val="Tahoma"/>
            <family val="2"/>
          </rPr>
          <t xml:space="preserve">
</t>
        </r>
      </text>
    </comment>
    <comment ref="A88" authorId="1">
      <text>
        <r>
          <rPr>
            <sz val="10"/>
            <color indexed="81"/>
            <rFont val="Tahoma"/>
            <family val="2"/>
          </rPr>
          <t>Including LOD values</t>
        </r>
        <r>
          <rPr>
            <sz val="10"/>
            <color indexed="81"/>
            <rFont val="Tahoma"/>
            <family val="2"/>
          </rPr>
          <t xml:space="preserve">
</t>
        </r>
      </text>
    </comment>
  </commentList>
</comments>
</file>

<file path=xl/comments11.xml><?xml version="1.0" encoding="utf-8"?>
<comments xmlns="http://schemas.openxmlformats.org/spreadsheetml/2006/main">
  <authors>
    <author>David Corbett</author>
  </authors>
  <commentList>
    <comment ref="G14" authorId="0">
      <text>
        <r>
          <rPr>
            <b/>
            <sz val="7"/>
            <color indexed="81"/>
            <rFont val="Tahoma"/>
            <family val="2"/>
          </rPr>
          <t>Concentration conversion factor</t>
        </r>
      </text>
    </comment>
    <comment ref="G31" authorId="0">
      <text>
        <r>
          <rPr>
            <b/>
            <sz val="7"/>
            <color indexed="81"/>
            <rFont val="Tahoma"/>
            <family val="2"/>
          </rPr>
          <t>Concentration conversion factor</t>
        </r>
      </text>
    </comment>
    <comment ref="G48" authorId="0">
      <text>
        <r>
          <rPr>
            <b/>
            <sz val="7"/>
            <color indexed="81"/>
            <rFont val="Tahoma"/>
            <family val="2"/>
          </rPr>
          <t>Concentration conversion factor</t>
        </r>
      </text>
    </comment>
    <comment ref="G65" authorId="0">
      <text>
        <r>
          <rPr>
            <b/>
            <sz val="7"/>
            <color indexed="81"/>
            <rFont val="Tahoma"/>
            <family val="2"/>
          </rPr>
          <t>Concentration conversion factor</t>
        </r>
      </text>
    </comment>
    <comment ref="G82" authorId="0">
      <text>
        <r>
          <rPr>
            <b/>
            <sz val="7"/>
            <color indexed="81"/>
            <rFont val="Tahoma"/>
            <family val="2"/>
          </rPr>
          <t>Concentration conversion factor</t>
        </r>
      </text>
    </comment>
    <comment ref="G99" authorId="0">
      <text>
        <r>
          <rPr>
            <b/>
            <sz val="7"/>
            <color indexed="81"/>
            <rFont val="Tahoma"/>
            <family val="2"/>
          </rPr>
          <t>Concentration conversion factor</t>
        </r>
      </text>
    </comment>
    <comment ref="G117" authorId="0">
      <text>
        <r>
          <rPr>
            <b/>
            <sz val="7"/>
            <color indexed="81"/>
            <rFont val="Tahoma"/>
            <family val="2"/>
          </rPr>
          <t>Concentration conversion factor</t>
        </r>
      </text>
    </comment>
  </commentList>
</comments>
</file>

<file path=xl/comments12.xml><?xml version="1.0" encoding="utf-8"?>
<comments xmlns="http://schemas.openxmlformats.org/spreadsheetml/2006/main">
  <authors>
    <author>Anderson</author>
    <author>Sarah Kennedy</author>
  </authors>
  <commentList>
    <comment ref="C8" authorId="0">
      <text>
        <r>
          <rPr>
            <sz val="8"/>
            <color indexed="81"/>
            <rFont val="Tahoma"/>
            <family val="2"/>
          </rPr>
          <t>AS3666.1 drift criterion
= 0.002%</t>
        </r>
      </text>
    </comment>
    <comment ref="C19" authorId="0">
      <text>
        <r>
          <rPr>
            <sz val="8"/>
            <color indexed="81"/>
            <rFont val="Tahoma"/>
            <family val="2"/>
          </rPr>
          <t>Set the Min probewash conc 
to be at least 10x greater than 
the laboratory's detection limit 
for the tracer.</t>
        </r>
      </text>
    </comment>
    <comment ref="C23" authorId="0">
      <text>
        <r>
          <rPr>
            <sz val="8"/>
            <color indexed="81"/>
            <rFont val="Tahoma"/>
            <family val="2"/>
          </rPr>
          <t xml:space="preserve">Concentration required to achieve 
Min probewash concentration 
at drift criterion. </t>
        </r>
      </text>
    </comment>
    <comment ref="C24" authorId="0">
      <text>
        <r>
          <rPr>
            <sz val="8"/>
            <color indexed="81"/>
            <rFont val="Tahoma"/>
            <family val="2"/>
          </rPr>
          <t>Lithium 
= 6.941 g/mole</t>
        </r>
      </text>
    </comment>
    <comment ref="C25" authorId="0">
      <text>
        <r>
          <rPr>
            <sz val="8"/>
            <color indexed="81"/>
            <rFont val="Tahoma"/>
            <family val="2"/>
          </rPr>
          <t>Lithium chloride (anhydrous) 
= 42.39 g/mole</t>
        </r>
      </text>
    </comment>
    <comment ref="C27" authorId="0">
      <text>
        <r>
          <rPr>
            <sz val="8"/>
            <color indexed="81"/>
            <rFont val="Tahoma"/>
            <family val="2"/>
          </rPr>
          <t>Dose required to achieve 
tracer concentration required 
for min probewash conc.</t>
        </r>
      </text>
    </comment>
    <comment ref="F32" authorId="1">
      <text>
        <r>
          <rPr>
            <sz val="8"/>
            <color indexed="81"/>
            <rFont val="Tahoma"/>
            <family val="2"/>
          </rPr>
          <t>If result is &lt; DL then "&lt;" symbol  should be entered</t>
        </r>
      </text>
    </comment>
  </commentList>
</comments>
</file>

<file path=xl/comments13.xml><?xml version="1.0" encoding="utf-8"?>
<comments xmlns="http://schemas.openxmlformats.org/spreadsheetml/2006/main">
  <authors>
    <author>WAnderson</author>
  </authors>
  <commentList>
    <comment ref="A2" authorId="0">
      <text>
        <r>
          <rPr>
            <sz val="8"/>
            <color indexed="81"/>
            <rFont val="Tahoma"/>
            <family val="2"/>
          </rPr>
          <t>Copy only information relating to the 12 point (max) stratification test from cells in the Horiba data file and paste into cells starting at B2</t>
        </r>
      </text>
    </comment>
    <comment ref="A16" authorId="0">
      <text>
        <r>
          <rPr>
            <sz val="8"/>
            <color indexed="81"/>
            <rFont val="Tahoma"/>
            <family val="2"/>
          </rPr>
          <t xml:space="preserve">Copy </t>
        </r>
        <r>
          <rPr>
            <b/>
            <sz val="8"/>
            <color indexed="81"/>
            <rFont val="Tahoma"/>
            <family val="2"/>
          </rPr>
          <t>all information</t>
        </r>
        <r>
          <rPr>
            <sz val="8"/>
            <color indexed="81"/>
            <rFont val="Tahoma"/>
            <family val="2"/>
          </rPr>
          <t xml:space="preserve"> from cells in 
Horiba data file and paste into cells 
starting at B16</t>
        </r>
      </text>
    </comment>
  </commentList>
</comments>
</file>

<file path=xl/comments14.xml><?xml version="1.0" encoding="utf-8"?>
<comments xmlns="http://schemas.openxmlformats.org/spreadsheetml/2006/main">
  <authors>
    <author>WAnderson</author>
  </authors>
  <commentList>
    <comment ref="B2" authorId="0">
      <text>
        <r>
          <rPr>
            <sz val="8"/>
            <color indexed="81"/>
            <rFont val="Tahoma"/>
            <family val="2"/>
          </rPr>
          <t>Copy only information relating to the 12 point (max) stratification test from cells in the Testo data file and paste into cells starting at B2</t>
        </r>
      </text>
    </comment>
    <comment ref="B19" authorId="0">
      <text>
        <r>
          <rPr>
            <sz val="8"/>
            <color indexed="81"/>
            <rFont val="Tahoma"/>
            <family val="2"/>
          </rPr>
          <t xml:space="preserve">Copy </t>
        </r>
        <r>
          <rPr>
            <b/>
            <sz val="8"/>
            <color indexed="81"/>
            <rFont val="Tahoma"/>
            <family val="2"/>
          </rPr>
          <t>all information</t>
        </r>
        <r>
          <rPr>
            <sz val="8"/>
            <color indexed="81"/>
            <rFont val="Tahoma"/>
            <family val="2"/>
          </rPr>
          <t xml:space="preserve"> from cells in 
Testo data file and paste into cells 
starting at B18</t>
        </r>
      </text>
    </comment>
    <comment ref="K19" authorId="0">
      <text>
        <r>
          <rPr>
            <sz val="8"/>
            <color indexed="81"/>
            <rFont val="Tahoma"/>
            <family val="2"/>
          </rPr>
          <t xml:space="preserve">Copy </t>
        </r>
        <r>
          <rPr>
            <b/>
            <sz val="8"/>
            <color indexed="81"/>
            <rFont val="Tahoma"/>
            <family val="2"/>
          </rPr>
          <t>all information</t>
        </r>
        <r>
          <rPr>
            <sz val="8"/>
            <color indexed="81"/>
            <rFont val="Tahoma"/>
            <family val="2"/>
          </rPr>
          <t xml:space="preserve"> from cells in 
Testo data file and paste into cells 
starting at B18</t>
        </r>
      </text>
    </comment>
    <comment ref="N19" authorId="0">
      <text>
        <r>
          <rPr>
            <sz val="8"/>
            <color indexed="81"/>
            <rFont val="Tahoma"/>
            <family val="2"/>
          </rPr>
          <t xml:space="preserve">Copy </t>
        </r>
        <r>
          <rPr>
            <b/>
            <sz val="8"/>
            <color indexed="81"/>
            <rFont val="Tahoma"/>
            <family val="2"/>
          </rPr>
          <t>all information</t>
        </r>
        <r>
          <rPr>
            <sz val="8"/>
            <color indexed="81"/>
            <rFont val="Tahoma"/>
            <family val="2"/>
          </rPr>
          <t xml:space="preserve"> from cells in 
Testo data file and paste into cells 
starting at B18</t>
        </r>
      </text>
    </comment>
  </commentList>
</comments>
</file>

<file path=xl/comments15.xml><?xml version="1.0" encoding="utf-8"?>
<comments xmlns="http://schemas.openxmlformats.org/spreadsheetml/2006/main">
  <authors>
    <author>WAnderson</author>
  </authors>
  <commentList>
    <comment ref="A2" authorId="0">
      <text>
        <r>
          <rPr>
            <sz val="8"/>
            <color indexed="81"/>
            <rFont val="Tahoma"/>
            <family val="2"/>
          </rPr>
          <t>Copy only information relating to the 12 point (max) stratification test from cells in the Testo data file and paste into cells starting at B2</t>
        </r>
      </text>
    </comment>
    <comment ref="A18" authorId="0">
      <text>
        <r>
          <rPr>
            <sz val="8"/>
            <color indexed="81"/>
            <rFont val="Tahoma"/>
            <family val="2"/>
          </rPr>
          <t xml:space="preserve">Copy </t>
        </r>
        <r>
          <rPr>
            <b/>
            <sz val="8"/>
            <color indexed="81"/>
            <rFont val="Tahoma"/>
            <family val="2"/>
          </rPr>
          <t>all information</t>
        </r>
        <r>
          <rPr>
            <sz val="8"/>
            <color indexed="81"/>
            <rFont val="Tahoma"/>
            <family val="2"/>
          </rPr>
          <t xml:space="preserve"> from cells in 
Testo data file and paste into cells 
starting at B18</t>
        </r>
      </text>
    </comment>
  </commentList>
</comments>
</file>

<file path=xl/comments16.xml><?xml version="1.0" encoding="utf-8"?>
<comments xmlns="http://schemas.openxmlformats.org/spreadsheetml/2006/main">
  <authors>
    <author>wayne.anderson</author>
  </authors>
  <commentList>
    <comment ref="F23" authorId="0">
      <text>
        <r>
          <rPr>
            <sz val="8"/>
            <color indexed="81"/>
            <rFont val="Tahoma"/>
            <family val="2"/>
          </rPr>
          <t>Molecular weight calculator 
is an engineering add-in formula 
developed by Chemicalogic</t>
        </r>
        <r>
          <rPr>
            <sz val="8"/>
            <color indexed="81"/>
            <rFont val="Tahoma"/>
            <family val="2"/>
          </rPr>
          <t xml:space="preserve">
</t>
        </r>
      </text>
    </comment>
    <comment ref="G23" authorId="0">
      <text>
        <r>
          <rPr>
            <sz val="8"/>
            <color indexed="81"/>
            <rFont val="Tahoma"/>
            <family val="2"/>
          </rPr>
          <t>Select MW formula from Engineering Add-in drop-down list</t>
        </r>
      </text>
    </comment>
    <comment ref="H23" authorId="0">
      <text>
        <r>
          <rPr>
            <sz val="8"/>
            <color indexed="81"/>
            <rFont val="Tahoma"/>
            <family val="2"/>
          </rPr>
          <t>Enter chemical formula with upper-case letters</t>
        </r>
        <r>
          <rPr>
            <sz val="8"/>
            <color indexed="81"/>
            <rFont val="Tahoma"/>
            <family val="2"/>
          </rPr>
          <t xml:space="preserve">
</t>
        </r>
      </text>
    </comment>
  </commentList>
</comments>
</file>

<file path=xl/comments17.xml><?xml version="1.0" encoding="utf-8"?>
<comments xmlns="http://schemas.openxmlformats.org/spreadsheetml/2006/main">
  <authors>
    <author>WAnderson</author>
    <author>Wayne Anderson</author>
  </authors>
  <commentList>
    <comment ref="A4" authorId="0">
      <text>
        <r>
          <rPr>
            <sz val="8"/>
            <color indexed="81"/>
            <rFont val="Tahoma"/>
            <family val="2"/>
          </rPr>
          <t>x² coefficient of flowrate (x) vs flowmeter setting (y)</t>
        </r>
      </text>
    </comment>
    <comment ref="BE4" authorId="0">
      <text>
        <r>
          <rPr>
            <sz val="8"/>
            <color indexed="81"/>
            <rFont val="Tahoma"/>
            <family val="2"/>
          </rPr>
          <t>ΔH@ is the orifice pressure differential 
that correlates to 21.24 L/min (0.75 cfm) of air at 293.15K (528°R,  20°C ) 
and 1013.25hPa (29.92 inHg).</t>
        </r>
      </text>
    </comment>
    <comment ref="A5" authorId="0">
      <text>
        <r>
          <rPr>
            <sz val="8"/>
            <color indexed="81"/>
            <rFont val="Tahoma"/>
            <family val="2"/>
          </rPr>
          <t>x² exponent of flowrate (x) vs flowmeter setting (y)</t>
        </r>
      </text>
    </comment>
    <comment ref="A6" authorId="0">
      <text>
        <r>
          <rPr>
            <sz val="8"/>
            <color indexed="81"/>
            <rFont val="Tahoma"/>
            <family val="2"/>
          </rPr>
          <t>x coefficient of flowrate (x) vs flowmeter setting (y)</t>
        </r>
      </text>
    </comment>
    <comment ref="A7" authorId="0">
      <text>
        <r>
          <rPr>
            <sz val="8"/>
            <color indexed="81"/>
            <rFont val="Tahoma"/>
            <family val="2"/>
          </rPr>
          <t>Constant (or y-intercept) of flowrate (x) vs flowmeter setting (y)</t>
        </r>
      </text>
    </comment>
    <comment ref="A8" authorId="1">
      <text>
        <r>
          <rPr>
            <sz val="8"/>
            <color indexed="81"/>
            <rFont val="Tahoma"/>
            <family val="2"/>
          </rPr>
          <t>Dry gas meter ratio (Y) from PM kit calibration</t>
        </r>
      </text>
    </comment>
    <comment ref="BE8" authorId="0">
      <text>
        <r>
          <rPr>
            <sz val="8"/>
            <color indexed="81"/>
            <rFont val="Tahoma"/>
            <family val="2"/>
          </rPr>
          <t>Y is the calibration factor (or relative accuracy) of the dry gas meter in the meter box; 0.97 - 1.03</t>
        </r>
      </text>
    </comment>
  </commentList>
</comments>
</file>

<file path=xl/sharedStrings.xml><?xml version="1.0" encoding="utf-8"?>
<sst xmlns="http://schemas.openxmlformats.org/spreadsheetml/2006/main" count="6082" uniqueCount="2166">
  <si>
    <t>volume at cyclone</t>
  </si>
  <si>
    <t>AvgSqrtVelocityHead</t>
  </si>
  <si>
    <t>Avg stack gas temp</t>
  </si>
  <si>
    <t>Best match</t>
  </si>
  <si>
    <t>ISO-K</t>
  </si>
  <si>
    <t>Start volume</t>
  </si>
  <si>
    <t>End volume</t>
  </si>
  <si>
    <t>Meter volume</t>
  </si>
  <si>
    <t>Test 1</t>
  </si>
  <si>
    <t>Test 2</t>
  </si>
  <si>
    <t>Stack gas density (NTP)</t>
  </si>
  <si>
    <t>Ports &amp; traverses</t>
  </si>
  <si>
    <t>Minimum points per traverse</t>
  </si>
  <si>
    <t>Required points per traverse</t>
  </si>
  <si>
    <t>Position</t>
  </si>
  <si>
    <t>Pascals</t>
  </si>
  <si>
    <t>Swirl</t>
  </si>
  <si>
    <t>Dewpoint</t>
  </si>
  <si>
    <t>Summary of Test Conditions</t>
  </si>
  <si>
    <t>inH2O</t>
  </si>
  <si>
    <t>mmHg</t>
  </si>
  <si>
    <t>hPa</t>
  </si>
  <si>
    <t>Barometric Pressure</t>
  </si>
  <si>
    <t>atm</t>
  </si>
  <si>
    <t>bar</t>
  </si>
  <si>
    <t>Parameters</t>
  </si>
  <si>
    <t>Pressures</t>
  </si>
  <si>
    <t>Barometric</t>
  </si>
  <si>
    <t>Static</t>
  </si>
  <si>
    <t>Stack</t>
  </si>
  <si>
    <t>Gas molecular weight, g/g mole</t>
  </si>
  <si>
    <t>Velocity difference, %</t>
  </si>
  <si>
    <t>Significant figures</t>
  </si>
  <si>
    <t>Start time</t>
  </si>
  <si>
    <t>End time</t>
  </si>
  <si>
    <t>Isokinetic</t>
  </si>
  <si>
    <t>Report</t>
  </si>
  <si>
    <t>Oxygen</t>
  </si>
  <si>
    <t>Sampling Plane Details</t>
  </si>
  <si>
    <t>Start</t>
  </si>
  <si>
    <t>End</t>
  </si>
  <si>
    <t>space</t>
  </si>
  <si>
    <t>Stack Parameters</t>
  </si>
  <si>
    <t>Rates</t>
  </si>
  <si>
    <t>Exit Plane</t>
  </si>
  <si>
    <t>µg/m³</t>
  </si>
  <si>
    <t>ng/m³</t>
  </si>
  <si>
    <t>µg/min</t>
  </si>
  <si>
    <t>µg/s</t>
  </si>
  <si>
    <t>Overall</t>
  </si>
  <si>
    <t>Diff/Ratio</t>
  </si>
  <si>
    <t>Log Date</t>
  </si>
  <si>
    <t>Log Interval</t>
  </si>
  <si>
    <t>(°C)</t>
  </si>
  <si>
    <t>Viscosity</t>
  </si>
  <si>
    <t>Rate</t>
  </si>
  <si>
    <t>Impinger volume (increase)</t>
  </si>
  <si>
    <t>Dim A</t>
  </si>
  <si>
    <t>Dim B</t>
  </si>
  <si>
    <t>Probe</t>
  </si>
  <si>
    <t>(L)</t>
  </si>
  <si>
    <t>Cosine</t>
  </si>
  <si>
    <t>Licence Limit</t>
  </si>
  <si>
    <t>Reporting Details</t>
  </si>
  <si>
    <t>CO2 corr</t>
  </si>
  <si>
    <t>O2 factor</t>
  </si>
  <si>
    <t>CO2 factor</t>
  </si>
  <si>
    <t>Client requested emission testing to determine process or load variations</t>
  </si>
  <si>
    <t>Client requested emission testing to determine odour removal efficiency</t>
  </si>
  <si>
    <t>Air emission testing for Victorian EPA Licence purposes</t>
  </si>
  <si>
    <t xml:space="preserve">Air emission testing for National Pollution Inventory purposes </t>
  </si>
  <si>
    <t>RESULTS</t>
  </si>
  <si>
    <t>Sampling R8</t>
  </si>
  <si>
    <t>Isokinetic R8</t>
  </si>
  <si>
    <t>Velocity Diff</t>
  </si>
  <si>
    <t>Pyrometer</t>
  </si>
  <si>
    <t>Thermometer</t>
  </si>
  <si>
    <t>Time/point</t>
  </si>
  <si>
    <t>Sample vol</t>
  </si>
  <si>
    <t>Nozzle size</t>
  </si>
  <si>
    <t>Pitot No.</t>
  </si>
  <si>
    <t>Pitot coeff</t>
  </si>
  <si>
    <t>Reason for testing:</t>
  </si>
  <si>
    <t>Licence No.</t>
  </si>
  <si>
    <t>Sampling Rate</t>
  </si>
  <si>
    <t>Isokinetic Rate</t>
  </si>
  <si>
    <t>Logged</t>
  </si>
  <si>
    <t>Results to Report</t>
  </si>
  <si>
    <t>Test 1 only</t>
  </si>
  <si>
    <t>Test 2 only</t>
  </si>
  <si>
    <t>Tests 1 &amp; 2</t>
  </si>
  <si>
    <t>Flow T1</t>
  </si>
  <si>
    <t>Flow T2</t>
  </si>
  <si>
    <t>All</t>
  </si>
  <si>
    <t>Client requested testing to determine emissions to air</t>
  </si>
  <si>
    <t>Sampling time, min</t>
  </si>
  <si>
    <t>Average temp</t>
  </si>
  <si>
    <t>O2/CO2</t>
  </si>
  <si>
    <t>Sampling time</t>
  </si>
  <si>
    <t>Tracer Concentration</t>
  </si>
  <si>
    <t>Tracer conc</t>
  </si>
  <si>
    <t>Water flow (avg)</t>
  </si>
  <si>
    <t>KW</t>
  </si>
  <si>
    <t>Corrected WHO98-TEF for 23478-PeCDF. Formerly entered as 0.3; correct value is 0.5</t>
  </si>
  <si>
    <t>Barometric press</t>
  </si>
  <si>
    <t>ml</t>
  </si>
  <si>
    <t>m²</t>
  </si>
  <si>
    <t>Middle</t>
  </si>
  <si>
    <t>Nozzle area</t>
  </si>
  <si>
    <t>Sample plane area</t>
  </si>
  <si>
    <t>Drift criterion</t>
  </si>
  <si>
    <t>Water flow (estimate)</t>
  </si>
  <si>
    <t>Water Flow Rate (L/min)</t>
  </si>
  <si>
    <t>Wet-bulb Temp (°C)</t>
  </si>
  <si>
    <t>Dry-bulb Temp (°C)</t>
  </si>
  <si>
    <t>Cold Water Temp (°C)</t>
  </si>
  <si>
    <t>Hot Water Temp (°C)</t>
  </si>
  <si>
    <t>mm</t>
  </si>
  <si>
    <t>Nozzle diameter</t>
  </si>
  <si>
    <t>System Volume &amp; Tracer Dose</t>
  </si>
  <si>
    <t>Drift test</t>
  </si>
  <si>
    <t>Gas Flow Parameters</t>
  </si>
  <si>
    <t>System volume, L</t>
  </si>
  <si>
    <t>Water flow rate, L/min</t>
  </si>
  <si>
    <t>Wet-bulb temp, °C</t>
  </si>
  <si>
    <t>Dry-bulb temp, °C</t>
  </si>
  <si>
    <t>Cold water temp, °C</t>
  </si>
  <si>
    <t>Hot water temp, °C</t>
  </si>
  <si>
    <t>Wind direction</t>
  </si>
  <si>
    <t>Cooling Tower Parameters</t>
  </si>
  <si>
    <t>Wind velocity, m/s</t>
  </si>
  <si>
    <t>Fan motor power, KW</t>
  </si>
  <si>
    <t>Edited FlowSet macro in Isokinetic module</t>
  </si>
  <si>
    <t>% Drift</t>
  </si>
  <si>
    <t>AS 3666</t>
  </si>
  <si>
    <t>limit</t>
  </si>
  <si>
    <r>
      <t>m</t>
    </r>
    <r>
      <rPr>
        <sz val="9"/>
        <rFont val="Arial"/>
        <family val="2"/>
      </rPr>
      <t>²</t>
    </r>
  </si>
  <si>
    <t>Sample plane Dim A</t>
  </si>
  <si>
    <t>Sample plane Dim B</t>
  </si>
  <si>
    <t>System volume (est)</t>
  </si>
  <si>
    <t>Quartz</t>
  </si>
  <si>
    <t>Axial fan</t>
  </si>
  <si>
    <t>Baffle</t>
  </si>
  <si>
    <t>Bend</t>
  </si>
  <si>
    <t>Breech</t>
  </si>
  <si>
    <t>Butterfly</t>
  </si>
  <si>
    <t>Centrifugal fan</t>
  </si>
  <si>
    <t>Change in diameter</t>
  </si>
  <si>
    <t>Connection</t>
  </si>
  <si>
    <t>Cowl</t>
  </si>
  <si>
    <t>Cyclone</t>
  </si>
  <si>
    <t>Damper</t>
  </si>
  <si>
    <t>Economiser</t>
  </si>
  <si>
    <t>Exit</t>
  </si>
  <si>
    <t>Inlet</t>
  </si>
  <si>
    <t>Junction</t>
  </si>
  <si>
    <t>Louvre</t>
  </si>
  <si>
    <t>Silencer</t>
  </si>
  <si>
    <t>Valve</t>
  </si>
  <si>
    <t>Fixed ladder</t>
  </si>
  <si>
    <t>Step ladder</t>
  </si>
  <si>
    <t>Stairs &amp; fixed ladder</t>
  </si>
  <si>
    <t>Knuckle boom</t>
  </si>
  <si>
    <t>Scissor lift</t>
  </si>
  <si>
    <t>Confined space</t>
  </si>
  <si>
    <t>Breathing apparatus</t>
  </si>
  <si>
    <t>Vertical</t>
  </si>
  <si>
    <t>Horizontal</t>
  </si>
  <si>
    <t>Inclined</t>
  </si>
  <si>
    <t>Inconel</t>
  </si>
  <si>
    <t>Average only</t>
  </si>
  <si>
    <t>Meter vol</t>
  </si>
  <si>
    <t>Hour</t>
  </si>
  <si>
    <t>Offset</t>
  </si>
  <si>
    <t>Dimethyl ether</t>
  </si>
  <si>
    <t>trans-2-Butene</t>
  </si>
  <si>
    <t>cis-2-Butene</t>
  </si>
  <si>
    <t>Methane</t>
  </si>
  <si>
    <t>Ethane</t>
  </si>
  <si>
    <t>Ethylene</t>
  </si>
  <si>
    <t>Propane</t>
  </si>
  <si>
    <t>Propylene</t>
  </si>
  <si>
    <t>1-Butene</t>
  </si>
  <si>
    <t xml:space="preserve">Ethanol, </t>
  </si>
  <si>
    <t xml:space="preserve">Butanol, </t>
  </si>
  <si>
    <t xml:space="preserve">1-Methoxy-2-propanol, </t>
  </si>
  <si>
    <t xml:space="preserve">Cyclohexanol, </t>
  </si>
  <si>
    <t xml:space="preserve">Hexane, </t>
  </si>
  <si>
    <t xml:space="preserve">Heptane, </t>
  </si>
  <si>
    <t xml:space="preserve">Pentane, </t>
  </si>
  <si>
    <t xml:space="preserve">Octane, </t>
  </si>
  <si>
    <t xml:space="preserve">Nonane, </t>
  </si>
  <si>
    <t xml:space="preserve">Decane, </t>
  </si>
  <si>
    <t xml:space="preserve">Undecane, </t>
  </si>
  <si>
    <t xml:space="preserve">Dodecane, </t>
  </si>
  <si>
    <t xml:space="preserve">Tridecane, </t>
  </si>
  <si>
    <t xml:space="preserve">Cyclohexane, </t>
  </si>
  <si>
    <t xml:space="preserve">2-Methylhexane, </t>
  </si>
  <si>
    <t xml:space="preserve">2,3-Dimethylpentane, </t>
  </si>
  <si>
    <t xml:space="preserve">3-Methylhexane, </t>
  </si>
  <si>
    <t xml:space="preserve">Methylcyclohexane, </t>
  </si>
  <si>
    <t xml:space="preserve">alpha-Pinene, </t>
  </si>
  <si>
    <t xml:space="preserve">beta-Pinene, </t>
  </si>
  <si>
    <t xml:space="preserve">Acetone, </t>
  </si>
  <si>
    <t xml:space="preserve">MIBK, </t>
  </si>
  <si>
    <t xml:space="preserve">2-Hexanone, </t>
  </si>
  <si>
    <t xml:space="preserve">Cyclohexanone, </t>
  </si>
  <si>
    <t xml:space="preserve">Benzene, </t>
  </si>
  <si>
    <t xml:space="preserve">Toluene, </t>
  </si>
  <si>
    <t xml:space="preserve">Ethylbenzene, </t>
  </si>
  <si>
    <t xml:space="preserve">Styrene, </t>
  </si>
  <si>
    <t xml:space="preserve">o-Xylene, </t>
  </si>
  <si>
    <t xml:space="preserve">1,3,5-Trimethylbenzene, </t>
  </si>
  <si>
    <t xml:space="preserve">alpha-Methylstyrene, </t>
  </si>
  <si>
    <t xml:space="preserve">1,2,4-Trimethylbenzene, </t>
  </si>
  <si>
    <t xml:space="preserve">1,2,3-Trimethylbenzene, </t>
  </si>
  <si>
    <t xml:space="preserve">m-Diethylbenzene, </t>
  </si>
  <si>
    <t xml:space="preserve">o-Diethylbenzene, </t>
  </si>
  <si>
    <t xml:space="preserve">Dichloromethane, </t>
  </si>
  <si>
    <t xml:space="preserve">Chloroform, </t>
  </si>
  <si>
    <t xml:space="preserve">1,1,1-Trichloroethane, </t>
  </si>
  <si>
    <t xml:space="preserve">1,2-Dichloroethane, </t>
  </si>
  <si>
    <t xml:space="preserve">Trichloroethene, </t>
  </si>
  <si>
    <t xml:space="preserve">1,1,2-Trichloroethane, </t>
  </si>
  <si>
    <t>Mode:</t>
  </si>
  <si>
    <t>2-Butoxyethanol</t>
  </si>
  <si>
    <t>Tetradecane</t>
  </si>
  <si>
    <t>Hedonic tone</t>
  </si>
  <si>
    <t>Odour character</t>
  </si>
  <si>
    <t>Wet</t>
  </si>
  <si>
    <t>Dry</t>
  </si>
  <si>
    <t>% Moisture</t>
  </si>
  <si>
    <t>% Other2</t>
  </si>
  <si>
    <t>% Other3</t>
  </si>
  <si>
    <t>% Other4</t>
  </si>
  <si>
    <t>% Other5</t>
  </si>
  <si>
    <t>Estimate</t>
  </si>
  <si>
    <t>% O2</t>
  </si>
  <si>
    <r>
      <t>% CO</t>
    </r>
    <r>
      <rPr>
        <vertAlign val="subscript"/>
        <sz val="9"/>
        <rFont val="MS Sans Serif"/>
        <family val="2"/>
      </rPr>
      <t>2</t>
    </r>
  </si>
  <si>
    <r>
      <t>% N</t>
    </r>
    <r>
      <rPr>
        <vertAlign val="subscript"/>
        <sz val="9"/>
        <rFont val="MS Sans Serif"/>
        <family val="2"/>
      </rPr>
      <t>2</t>
    </r>
  </si>
  <si>
    <t>ppm CO</t>
  </si>
  <si>
    <t>ppm NOx</t>
  </si>
  <si>
    <t>% Argon</t>
  </si>
  <si>
    <t xml:space="preserve">Butyl acetate, </t>
  </si>
  <si>
    <t xml:space="preserve">1-Methoxy-2-propyl acetate, </t>
  </si>
  <si>
    <t xml:space="preserve">Carbon tetrachloride, </t>
  </si>
  <si>
    <t xml:space="preserve">Diacetone alcohol, </t>
  </si>
  <si>
    <t xml:space="preserve">2-Butoxyethyl acetate, </t>
  </si>
  <si>
    <t xml:space="preserve">Cellosolve acetate, </t>
  </si>
  <si>
    <t xml:space="preserve">Propyl acetate, </t>
  </si>
  <si>
    <t>4.0mm</t>
  </si>
  <si>
    <t>DGM</t>
  </si>
  <si>
    <t>Reading</t>
  </si>
  <si>
    <t>Meter ratio</t>
  </si>
  <si>
    <t>Incorporated DG meter ratio/factor into Flowmeters/Flows/PM10&amp;2.5/PM&amp;Metals sheets</t>
  </si>
  <si>
    <t>Corrected corrupted cell references for 3D pitot coefficients on 3D Flows worksheet</t>
  </si>
  <si>
    <t>Added Apex consoles as PM kits 27 &amp; 28 to Flowmeters sheet</t>
  </si>
  <si>
    <t xml:space="preserve">Isopropyl acetate, </t>
  </si>
  <si>
    <t xml:space="preserve">Ethyl acetate, </t>
  </si>
  <si>
    <t>ppb</t>
  </si>
  <si>
    <t xml:space="preserve">Ethyldiglycol acetate, </t>
  </si>
  <si>
    <t>Volume correction</t>
  </si>
  <si>
    <t>Odour Rate</t>
  </si>
  <si>
    <t>Start time (hhmm)</t>
  </si>
  <si>
    <t>End time (hhmm)</t>
  </si>
  <si>
    <t>p-Diethylbenzene</t>
  </si>
  <si>
    <t>Fluorobenzene</t>
  </si>
  <si>
    <t xml:space="preserve">Chlorobenzene, </t>
  </si>
  <si>
    <t>Gas</t>
  </si>
  <si>
    <t>Iso-k Rate</t>
  </si>
  <si>
    <t>PM10 Rate</t>
  </si>
  <si>
    <t>row match</t>
  </si>
  <si>
    <t>Nozzle Kit</t>
  </si>
  <si>
    <t>Constants</t>
  </si>
  <si>
    <t>Sizes (mm)</t>
  </si>
  <si>
    <t>Flow straightener</t>
  </si>
  <si>
    <t>Predicted</t>
  </si>
  <si>
    <t>Viscosity (CTM040)</t>
  </si>
  <si>
    <t>Viscosity (201A)</t>
  </si>
  <si>
    <t>Reynolds No.</t>
  </si>
  <si>
    <t>Cunningham CF</t>
  </si>
  <si>
    <t>Nozzle/Velocity Ratio Criteria</t>
  </si>
  <si>
    <t>Gas Parameters</t>
  </si>
  <si>
    <t>Blockage</t>
  </si>
  <si>
    <t>PM10 (D50)</t>
  </si>
  <si>
    <t>PM2.5 (D50)</t>
  </si>
  <si>
    <t>PM2.5_A</t>
  </si>
  <si>
    <t>PM10_CTM</t>
  </si>
  <si>
    <t>Viscosity (selected)</t>
  </si>
  <si>
    <t>PM10&amp;2.5</t>
  </si>
  <si>
    <t>PM10_A</t>
  </si>
  <si>
    <t>P/W1</t>
  </si>
  <si>
    <t>P/W2</t>
  </si>
  <si>
    <t>P/W3</t>
  </si>
  <si>
    <t>After 1</t>
  </si>
  <si>
    <t>After 2</t>
  </si>
  <si>
    <t>Sampling notes</t>
  </si>
  <si>
    <t>Licence No. /  Report No.</t>
  </si>
  <si>
    <t>Ideal</t>
  </si>
  <si>
    <t>Average run conditions</t>
  </si>
  <si>
    <t>Pre-run conditions</t>
  </si>
  <si>
    <t>Test Conditions</t>
  </si>
  <si>
    <t>Test Calculations</t>
  </si>
  <si>
    <t>Impinger</t>
  </si>
  <si>
    <t>Carbon monoxide</t>
  </si>
  <si>
    <t>Carbon dioxide</t>
  </si>
  <si>
    <t>Dew point (°C) &amp; RH (%)</t>
  </si>
  <si>
    <t>Benzene</t>
  </si>
  <si>
    <t>Toluene</t>
  </si>
  <si>
    <t>Ethylbenzene</t>
  </si>
  <si>
    <t>Mol Wt</t>
  </si>
  <si>
    <t>Carbon #</t>
  </si>
  <si>
    <t>mL</t>
  </si>
  <si>
    <t>cL</t>
  </si>
  <si>
    <t>m³</t>
  </si>
  <si>
    <t>day</t>
  </si>
  <si>
    <t>hour</t>
  </si>
  <si>
    <t>sec</t>
  </si>
  <si>
    <t>Length</t>
  </si>
  <si>
    <t>cm</t>
  </si>
  <si>
    <t>ft</t>
  </si>
  <si>
    <t>Expand Nozzle Kit List to include kits 55 &amp; 56</t>
  </si>
  <si>
    <t>m</t>
  </si>
  <si>
    <t>Mass</t>
  </si>
  <si>
    <t>g</t>
  </si>
  <si>
    <t>ng</t>
  </si>
  <si>
    <t>kPa</t>
  </si>
  <si>
    <t>ml/min</t>
  </si>
  <si>
    <t>ml/s</t>
  </si>
  <si>
    <t>Sample Flow</t>
  </si>
  <si>
    <t>Duct Flow</t>
  </si>
  <si>
    <t>Volume Mode</t>
  </si>
  <si>
    <t>Dichloromethane</t>
  </si>
  <si>
    <t>Chloroform</t>
  </si>
  <si>
    <t>1,1,1-Trichloroethane</t>
  </si>
  <si>
    <t>1,1,2-Trichloroethane</t>
  </si>
  <si>
    <t>Chlorobenzene</t>
  </si>
  <si>
    <t>Styrene</t>
  </si>
  <si>
    <t>o-Xylene</t>
  </si>
  <si>
    <t>1,3,5-Trimethylbenzene</t>
  </si>
  <si>
    <t>1,2,4-Trimethylbenzene</t>
  </si>
  <si>
    <t>1,2,3-Trimethylbenzene</t>
  </si>
  <si>
    <t>Acetone</t>
  </si>
  <si>
    <t>MIBK</t>
  </si>
  <si>
    <t>2-Hexanone</t>
  </si>
  <si>
    <t>Ethanol</t>
  </si>
  <si>
    <t>2-Methylhexane</t>
  </si>
  <si>
    <t>3-Carene</t>
  </si>
  <si>
    <t>Report VOC/TOC as</t>
  </si>
  <si>
    <t>STP</t>
  </si>
  <si>
    <t>Volume Correction</t>
  </si>
  <si>
    <t>VOC's (as n-Propane)</t>
  </si>
  <si>
    <t>VOC's (as n-Hexane)</t>
  </si>
  <si>
    <t>VOC's (speciated)</t>
  </si>
  <si>
    <t>TOC</t>
  </si>
  <si>
    <t>Analysis date</t>
  </si>
  <si>
    <t>Analysis time</t>
  </si>
  <si>
    <t>Corrected cell TOC cell references from Gases to Report sheet</t>
  </si>
  <si>
    <t>n-Butanol threshold (ppb)</t>
  </si>
  <si>
    <t>Formaldehyde</t>
  </si>
  <si>
    <t>Ammonia</t>
  </si>
  <si>
    <t>Amines</t>
  </si>
  <si>
    <t>Acidity</t>
  </si>
  <si>
    <t>Alkalinity</t>
  </si>
  <si>
    <t>Non-isokinetics</t>
  </si>
  <si>
    <t>Phenol</t>
  </si>
  <si>
    <t>Ground level</t>
  </si>
  <si>
    <t>Max Conc</t>
  </si>
  <si>
    <t>Max Rate</t>
  </si>
  <si>
    <t>Licence Exceedance</t>
  </si>
  <si>
    <t>Elevated work platform</t>
  </si>
  <si>
    <t>Exit cone</t>
  </si>
  <si>
    <t>Avg Conc</t>
  </si>
  <si>
    <t>Avg Rate</t>
  </si>
  <si>
    <t>Edit No.</t>
  </si>
  <si>
    <t>Details</t>
  </si>
  <si>
    <t>1" BSP (x1)</t>
  </si>
  <si>
    <t>1" BSP (x2)</t>
  </si>
  <si>
    <t>1" BSP (x4)</t>
  </si>
  <si>
    <t>2" BSP (x1)</t>
  </si>
  <si>
    <t>2" BSP (x2)</t>
  </si>
  <si>
    <t>2" BSP (x4)</t>
  </si>
  <si>
    <t>4" BSP (x1)</t>
  </si>
  <si>
    <t>4" BSP (x2)</t>
  </si>
  <si>
    <t>4" BSP (x4)</t>
  </si>
  <si>
    <t>1" Flange (x1)</t>
  </si>
  <si>
    <t>1" Flange (x2)</t>
  </si>
  <si>
    <t>1" Flange (x4)</t>
  </si>
  <si>
    <t>2" Flange (x1)</t>
  </si>
  <si>
    <t>2" Flange (x2)</t>
  </si>
  <si>
    <t>2" Flange (x4)</t>
  </si>
  <si>
    <t>4" Flange (x1)</t>
  </si>
  <si>
    <t>4" Flange (x2)</t>
  </si>
  <si>
    <t>4" Flange (x4)</t>
  </si>
  <si>
    <t>6" Flange (x2)</t>
  </si>
  <si>
    <t>6" Flange (x4)</t>
  </si>
  <si>
    <t>6" Flange (x1)</t>
  </si>
  <si>
    <t>Added 6" Flange port option to PortsList</t>
  </si>
  <si>
    <t>Decom</t>
  </si>
  <si>
    <t>Update Perth pitots, nozzles and PM Kit cals</t>
  </si>
  <si>
    <t>Conditionally formatted Horiba &amp; Testo Data sheets to highlight oxygen results &gt;20.9</t>
  </si>
  <si>
    <t>Combined C1C4 and C5C20 (ie bomb and tubes) sections of the report page by deleting rows 370-374</t>
  </si>
  <si>
    <t>Edited ResultsBag and ResultsTube named ranges</t>
  </si>
  <si>
    <t>Sorbent tubes</t>
  </si>
  <si>
    <t>Gaseous</t>
  </si>
  <si>
    <t>Changed names "Bags &amp; bombs" to "VOC's (gaseous)"</t>
  </si>
  <si>
    <t>Changed names "Sorbent tubes" to "VOC's (Sorbent tubes)"</t>
  </si>
  <si>
    <t>Changed HideBlankRows macro (Report page) for sampling notes from 25 to 26 rows</t>
  </si>
  <si>
    <t>Changed M23 concentration and mass rate drop down selections</t>
  </si>
  <si>
    <t>Changed VOCs sheet Sorbent Tube start/end times = Gaseous start/end times</t>
  </si>
  <si>
    <t>Changed "Discharge to air" to "Orientation / Shape" on Report page</t>
  </si>
  <si>
    <t>Changed "Sulphur" to "Sulfur" on Report page</t>
  </si>
  <si>
    <t>Changed "circular" and "rectangular" in TraversePoints macro to "Circular" and "Rectangular"</t>
  </si>
  <si>
    <t>Mass Flow Rate</t>
  </si>
  <si>
    <t>g/hour</t>
  </si>
  <si>
    <t>kg/min</t>
  </si>
  <si>
    <t>kg/s</t>
  </si>
  <si>
    <t>Enabled drop-down units for Mass Flow Rates on Details page (bottom right)</t>
  </si>
  <si>
    <t>Updated Calibration data for PM kits, nozzles and pitots</t>
  </si>
  <si>
    <t>Dimethyl disulfide</t>
  </si>
  <si>
    <t>(1) Unless otherwise reported, the following target compounds were found to be below detection:</t>
  </si>
  <si>
    <t>MR</t>
  </si>
  <si>
    <t>Update  nozzle kits</t>
  </si>
  <si>
    <t>Update pitots</t>
  </si>
  <si>
    <t>Update PMKit cals</t>
  </si>
  <si>
    <t>(2) Unless otherwise reported, the following target compounds were found to be below detection:</t>
  </si>
  <si>
    <t xml:space="preserve">Hydrogen, </t>
  </si>
  <si>
    <t xml:space="preserve">Helium, </t>
  </si>
  <si>
    <t xml:space="preserve">Oxygen, </t>
  </si>
  <si>
    <t xml:space="preserve">Argon, </t>
  </si>
  <si>
    <t xml:space="preserve">Nitrogen, </t>
  </si>
  <si>
    <t xml:space="preserve">Carbon monoxide, </t>
  </si>
  <si>
    <t xml:space="preserve">Methane, </t>
  </si>
  <si>
    <t xml:space="preserve">Ethane, </t>
  </si>
  <si>
    <t xml:space="preserve">Ethylene, </t>
  </si>
  <si>
    <t xml:space="preserve">Propane, </t>
  </si>
  <si>
    <t xml:space="preserve">Propylene, </t>
  </si>
  <si>
    <t xml:space="preserve">1-Butene, </t>
  </si>
  <si>
    <t xml:space="preserve">cis-2-Butene, </t>
  </si>
  <si>
    <t xml:space="preserve">trans-2-Butene, </t>
  </si>
  <si>
    <t xml:space="preserve">1,3-Butadiene, </t>
  </si>
  <si>
    <t xml:space="preserve">Hydrogen sulfide, </t>
  </si>
  <si>
    <t xml:space="preserve">Carbonyl sulfide, </t>
  </si>
  <si>
    <t xml:space="preserve">Methyl mercaptan, </t>
  </si>
  <si>
    <t xml:space="preserve">Dimethyl sulfide, </t>
  </si>
  <si>
    <t xml:space="preserve">Ethyl mercaptan, </t>
  </si>
  <si>
    <t xml:space="preserve">Propadiene, </t>
  </si>
  <si>
    <t xml:space="preserve">Cyclopropane, </t>
  </si>
  <si>
    <t>Subtotal</t>
  </si>
  <si>
    <t xml:space="preserve">Propyl mercaptan, </t>
  </si>
  <si>
    <t xml:space="preserve">Dimethyl disulfide, </t>
  </si>
  <si>
    <t>Isopropyl mercaptan</t>
  </si>
  <si>
    <r>
      <t>C</t>
    </r>
    <r>
      <rPr>
        <vertAlign val="subscript"/>
        <sz val="9"/>
        <rFont val="MS Sans Serif"/>
        <family val="2"/>
      </rPr>
      <t xml:space="preserve">1 </t>
    </r>
    <r>
      <rPr>
        <sz val="9"/>
        <rFont val="MS Sans Serif"/>
        <family val="2"/>
      </rPr>
      <t>- C</t>
    </r>
    <r>
      <rPr>
        <vertAlign val="subscript"/>
        <sz val="9"/>
        <rFont val="MS Sans Serif"/>
        <family val="2"/>
      </rPr>
      <t>4</t>
    </r>
    <r>
      <rPr>
        <sz val="9"/>
        <rFont val="MS Sans Serif"/>
        <family val="2"/>
      </rPr>
      <t xml:space="preserve"> as n-Hexane</t>
    </r>
  </si>
  <si>
    <r>
      <t>C</t>
    </r>
    <r>
      <rPr>
        <vertAlign val="subscript"/>
        <sz val="9"/>
        <rFont val="MS Sans Serif"/>
        <family val="2"/>
      </rPr>
      <t xml:space="preserve">5 </t>
    </r>
    <r>
      <rPr>
        <sz val="9"/>
        <rFont val="MS Sans Serif"/>
        <family val="2"/>
      </rPr>
      <t>- C</t>
    </r>
    <r>
      <rPr>
        <vertAlign val="subscript"/>
        <sz val="9"/>
        <rFont val="MS Sans Serif"/>
        <family val="2"/>
      </rPr>
      <t>20</t>
    </r>
    <r>
      <rPr>
        <sz val="9"/>
        <rFont val="MS Sans Serif"/>
        <family val="2"/>
      </rPr>
      <t xml:space="preserve"> as n-Hexane</t>
    </r>
  </si>
  <si>
    <t>Residuals as m+p-Xylene</t>
  </si>
  <si>
    <t>Residuals as methyl methacrylate</t>
  </si>
  <si>
    <t>Residuals as chloroform</t>
  </si>
  <si>
    <t>Residuals as butyl acrylate</t>
  </si>
  <si>
    <t>Vinyl acetate</t>
  </si>
  <si>
    <t>Dioxins &amp; Furans</t>
  </si>
  <si>
    <t>Aldehydes &amp; Ketones</t>
  </si>
  <si>
    <t>Phenols &amp; Cresols</t>
  </si>
  <si>
    <t>Total Reduced Sulfur</t>
  </si>
  <si>
    <t>Reset TPM velocity criteria</t>
  </si>
  <si>
    <t>Harmonised analyte headings</t>
  </si>
  <si>
    <t>Reset Dioxins/PAH checkbox to unhide sample time/isokinetic rate on report page</t>
  </si>
  <si>
    <t>Reset report column widths to 10</t>
  </si>
  <si>
    <t>Reset velocity ratio comment</t>
  </si>
  <si>
    <t>Edited probe blockage dropdown to direct entry of probe area</t>
  </si>
  <si>
    <t>Linked Other % column data from Gases to Report page</t>
  </si>
  <si>
    <t>Expanded Compounds list including additional residuals compounds</t>
  </si>
  <si>
    <t>Harmonised the order of the 19 PAH's with NMI list</t>
  </si>
  <si>
    <t>Edited Total VOC's heading on Report page</t>
  </si>
  <si>
    <t>Reset Dioxins and PCB's default units to pg (from ng)</t>
  </si>
  <si>
    <t>Adjusted Gases section on Report page to show average only when required</t>
  </si>
  <si>
    <t xml:space="preserve">Acetylene, </t>
  </si>
  <si>
    <r>
      <t>Detection limit</t>
    </r>
    <r>
      <rPr>
        <vertAlign val="superscript"/>
        <sz val="8"/>
        <color indexed="12"/>
        <rFont val="MS Sans Serif"/>
        <family val="2"/>
      </rPr>
      <t>(1)</t>
    </r>
  </si>
  <si>
    <t>Propyne</t>
  </si>
  <si>
    <t>1,3-Butadiene</t>
  </si>
  <si>
    <t>Acetylene</t>
  </si>
  <si>
    <t>Propadiene</t>
  </si>
  <si>
    <t>Added check boxes for gas standard compound lists to VOC's page plus hidden lists on Report page</t>
  </si>
  <si>
    <t>alpha-Pinene</t>
  </si>
  <si>
    <t>beta-Pinene</t>
  </si>
  <si>
    <t>Cyclopropane</t>
  </si>
  <si>
    <t>Cyclohexane</t>
  </si>
  <si>
    <t>Cellosolve acetate</t>
  </si>
  <si>
    <t>Cyclohexanol</t>
  </si>
  <si>
    <t>Updated calibration data for nozzels and PM kits</t>
  </si>
  <si>
    <t>Aligned sampling time labels on Report tab for Non-Iso section</t>
  </si>
  <si>
    <t>Changed font size for ppb in odour section of Report tab to match Laboratory temp</t>
  </si>
  <si>
    <t>Cyclohexanone</t>
  </si>
  <si>
    <t>Corrected volume formula on PM10/2.5 sheet, cell AK100, substituting "AverageStackTemp4" for cell reference AK113</t>
  </si>
  <si>
    <t>Volume selection</t>
  </si>
  <si>
    <t>TT</t>
  </si>
  <si>
    <t>Updated nozzle diameters</t>
  </si>
  <si>
    <t>Changed named ranges for volumes VolumeMeter, VolumeNTP</t>
  </si>
  <si>
    <t>Added VolumePreMeter, VolumePreNTP</t>
  </si>
  <si>
    <t>Deleted VolumePM</t>
  </si>
  <si>
    <t>sampling time</t>
  </si>
  <si>
    <t>sampling rate</t>
  </si>
  <si>
    <t>Inserted column for predicted nozzle velocities (PM10&amp;2.5 sheet) and corrected predicted isokinetic rate formula</t>
  </si>
  <si>
    <t>Meter (kPa)</t>
  </si>
  <si>
    <t>Flowmeter</t>
  </si>
  <si>
    <t>Inserted column for meter pressure on Flows and PM10&amp;2.5 sheets</t>
  </si>
  <si>
    <t>Corrected VolumeNTP 1-4 for meter pressure</t>
  </si>
  <si>
    <t>Corrected sampling rate macro (isokinetic) for meter pressure</t>
  </si>
  <si>
    <t>Corrected meter rate formula (PM10&amp;2.5) for meter pressure</t>
  </si>
  <si>
    <t>Velocity Pressure</t>
  </si>
  <si>
    <t>Y²</t>
  </si>
  <si>
    <t>O1</t>
  </si>
  <si>
    <t>O2</t>
  </si>
  <si>
    <t>VA</t>
  </si>
  <si>
    <t>Orifice</t>
  </si>
  <si>
    <r>
      <t xml:space="preserve">Configured Flowmeters sheet to accommodate </t>
    </r>
    <r>
      <rPr>
        <sz val="10"/>
        <rFont val="Arial"/>
        <family val="2"/>
      </rPr>
      <t>∆</t>
    </r>
    <r>
      <rPr>
        <sz val="10"/>
        <rFont val="MS Sans Serif"/>
      </rPr>
      <t>H settings for orifice flowmeters</t>
    </r>
  </si>
  <si>
    <t>PN1</t>
  </si>
  <si>
    <t>PN2</t>
  </si>
  <si>
    <t>PN3</t>
  </si>
  <si>
    <t>PN4</t>
  </si>
  <si>
    <t>PN5</t>
  </si>
  <si>
    <t>SOG</t>
  </si>
  <si>
    <t>SS-goose</t>
  </si>
  <si>
    <t>SS-straight</t>
  </si>
  <si>
    <t>Glass-goose</t>
  </si>
  <si>
    <t>SS-small</t>
  </si>
  <si>
    <t>P10</t>
  </si>
  <si>
    <t>P11</t>
  </si>
  <si>
    <t>P12</t>
  </si>
  <si>
    <t>P13</t>
  </si>
  <si>
    <t>P14</t>
  </si>
  <si>
    <t>P15</t>
  </si>
  <si>
    <t>P16</t>
  </si>
  <si>
    <t>Entered Perth pitot, orifice meter and nozzle calibration data</t>
  </si>
  <si>
    <t>Gas Velocity</t>
  </si>
  <si>
    <t>(PBF corr)</t>
  </si>
  <si>
    <t>VelocityPBF</t>
  </si>
  <si>
    <t>Input Units</t>
  </si>
  <si>
    <t>Output Units</t>
  </si>
  <si>
    <t>Rearranged measurement unit tables</t>
  </si>
  <si>
    <t>P01</t>
  </si>
  <si>
    <t>P02</t>
  </si>
  <si>
    <t>P03</t>
  </si>
  <si>
    <t>P04</t>
  </si>
  <si>
    <t>P05</t>
  </si>
  <si>
    <t>P06</t>
  </si>
  <si>
    <t>P07</t>
  </si>
  <si>
    <t>P08</t>
  </si>
  <si>
    <t>P09</t>
  </si>
  <si>
    <t>Corrected error in mass flow rate unit conversion</t>
  </si>
  <si>
    <t>Added 0kPA pressure as default for meter pressure</t>
  </si>
  <si>
    <t>PN6</t>
  </si>
  <si>
    <t>Cyclopentane</t>
  </si>
  <si>
    <t>Probe Blockage</t>
  </si>
  <si>
    <t>TPM</t>
  </si>
  <si>
    <t>PM10+2.5</t>
  </si>
  <si>
    <t xml:space="preserve">Sulfur dioxide, </t>
  </si>
  <si>
    <t>Added goosenecked glass nozzle kit, PN6 to nozzles sheet</t>
  </si>
  <si>
    <t>minimum velocity</t>
  </si>
  <si>
    <t>Added Particulate Kit 16 to flowmeters page</t>
  </si>
  <si>
    <t>L/hour</t>
  </si>
  <si>
    <t>m³/hour</t>
  </si>
  <si>
    <t>mg/min</t>
  </si>
  <si>
    <t>mg/s</t>
  </si>
  <si>
    <t>Added reporting units for mass rate (g/hr), and flow rate (m3/hr, L/hr)</t>
  </si>
  <si>
    <t>Corrected mass rate formulae (*1000) in cells D509-511 on Gases sheet</t>
  </si>
  <si>
    <t>Updated WA pitots, nozzles + PM Kits</t>
  </si>
  <si>
    <t>Added 1 meter kit to Flowmeters sheet, 1 pm10 cyclade kit and 1 SS nozzle kit to Nozzles sheet</t>
  </si>
  <si>
    <t>Inserted missing &lt; formulae in Avg &lt;DL column of VOCs sheet</t>
  </si>
  <si>
    <t>Nozzle</t>
  </si>
  <si>
    <r>
      <t xml:space="preserve">Inserted min/max flowrate settings for </t>
    </r>
    <r>
      <rPr>
        <sz val="10"/>
        <rFont val="Arial"/>
        <family val="2"/>
      </rPr>
      <t>±</t>
    </r>
    <r>
      <rPr>
        <sz val="10"/>
        <rFont val="MS Sans Serif"/>
      </rPr>
      <t>28C conditions in PM10 &amp;2.5 sheet</t>
    </r>
  </si>
  <si>
    <t>Updated Calibration data for PM kits</t>
  </si>
  <si>
    <t>Updated Calibration data for nozzles, pitots and PM Kit</t>
  </si>
  <si>
    <t>Air emission testing for Western Australia DER Licence purposes</t>
  </si>
  <si>
    <t>Added GCMS formatting module</t>
  </si>
  <si>
    <t>petersen</t>
  </si>
  <si>
    <t>apex</t>
  </si>
  <si>
    <t>custom</t>
  </si>
  <si>
    <t>andersen</t>
  </si>
  <si>
    <t>napp</t>
  </si>
  <si>
    <t>strohlein</t>
  </si>
  <si>
    <t>melb</t>
  </si>
  <si>
    <t>syd</t>
  </si>
  <si>
    <t>perth</t>
  </si>
  <si>
    <t>Added nozzle kits 7&amp;8 (PM10 &amp; SS-goose) to nozzles sheet</t>
  </si>
  <si>
    <t>Added 1-methyl-2-pyrrolidinone to VOC's list</t>
  </si>
  <si>
    <t>1-Methyl-2-pyrrolidinone</t>
  </si>
  <si>
    <t>Added comment "The precision of testing will be reduced" for "Non-compliant" sampling planes</t>
  </si>
  <si>
    <t>Conc - out</t>
  </si>
  <si>
    <t>Conc - in</t>
  </si>
  <si>
    <t>CO2</t>
  </si>
  <si>
    <t>Perth</t>
  </si>
  <si>
    <t>Sulfur dioxide</t>
  </si>
  <si>
    <t>Modified Conc3, ConcV3 and created MassRate custom formulas to enable gaseous vol/vol and mass/vol results to be input/output</t>
  </si>
  <si>
    <t>Updated calibrations for PM Kit 17 &amp; O2</t>
  </si>
  <si>
    <t>Fixed legend on gases chart</t>
  </si>
  <si>
    <t>Size</t>
  </si>
  <si>
    <t>3/4"</t>
  </si>
  <si>
    <t>1/2"</t>
  </si>
  <si>
    <t>1/4"</t>
  </si>
  <si>
    <t>3.5mm</t>
  </si>
  <si>
    <t>5.0mm</t>
  </si>
  <si>
    <t>Updated nozzle calibration data</t>
  </si>
  <si>
    <t>Updated pitot co-efficients</t>
  </si>
  <si>
    <t>Updated PM Kit Calibration data</t>
  </si>
  <si>
    <t>Updated Perth Orifice data</t>
  </si>
  <si>
    <t>Changed flows, PM10&amp;2.5 and Flowmeter sheets over to new FlowSet custom formula</t>
  </si>
  <si>
    <t>Created "FlowSet" custom formula to calculate flowmeter settings for both VA and orifice type flowmeters</t>
  </si>
  <si>
    <t>x² coefficient</t>
  </si>
  <si>
    <t>x² exponent</t>
  </si>
  <si>
    <t>x coefficient</t>
  </si>
  <si>
    <t>constant</t>
  </si>
  <si>
    <t>Updated x² coefficient for flowmeter kit #4 which was incorrect</t>
  </si>
  <si>
    <t>Formatted analyte headings so font size is the same for all</t>
  </si>
  <si>
    <t>Removed nozzle kit specific sampling rate and cut point code from PM10&amp;2.5 custom formulas</t>
  </si>
  <si>
    <t>Comments</t>
  </si>
  <si>
    <t>Deleted flows summaries from bottom of "Flows", "Afterflows" and "PM10&amp;2.5" sheets</t>
  </si>
  <si>
    <t>Updated Pmkit 10 orifice calibration data for new configuration; orifice at end of train after dgm.</t>
  </si>
  <si>
    <t>Orifice Pressure</t>
  </si>
  <si>
    <t>Velocity pressure</t>
  </si>
  <si>
    <t>Orifice pressure</t>
  </si>
  <si>
    <t>Compliance</t>
  </si>
  <si>
    <t>Estimated stack conditions</t>
  </si>
  <si>
    <t>Added orifice differential pressure units/factors</t>
  </si>
  <si>
    <t>Date of last calibration</t>
  </si>
  <si>
    <t>Laboratory temp</t>
  </si>
  <si>
    <t>Last calibrated</t>
  </si>
  <si>
    <t>Odour laboratory temp (°C)</t>
  </si>
  <si>
    <t>Butanol threshold</t>
  </si>
  <si>
    <t>Added NATA required data to odour report</t>
  </si>
  <si>
    <t>Added Estimated Stack Conditions to Details page</t>
  </si>
  <si>
    <t>Stack pressure</t>
  </si>
  <si>
    <t>Pitot coefficient</t>
  </si>
  <si>
    <t>Duct flow</t>
  </si>
  <si>
    <t>Km/h</t>
  </si>
  <si>
    <t>(m/s)</t>
  </si>
  <si>
    <t>Modified reporting units for gases and VOC's on Report page to reflect selections on Gases and VOC's sheets in preference to global selection on Details page</t>
  </si>
  <si>
    <t>Corrected sampling plane compliance field following edits to this field on 4/2/07</t>
  </si>
  <si>
    <t>Isophorone</t>
  </si>
  <si>
    <t>Updated Pmkit 4 orifice calibration data; 3.5mm orifice</t>
  </si>
  <si>
    <t>Updated Pmkit 4 to orifice calibration data, 5mm orifice</t>
  </si>
  <si>
    <t xml:space="preserve">CK </t>
  </si>
  <si>
    <t>Updated nozzle kits 42</t>
  </si>
  <si>
    <t>Hydrogen sulfide</t>
  </si>
  <si>
    <t>Updated Pmkit 10 orifice calibration data; 3.5mm orifice</t>
  </si>
  <si>
    <t>Formatted VOC fields with drop-down lists</t>
  </si>
  <si>
    <t>Updated O1 orifice calibration data; 5.0mm orifice</t>
  </si>
  <si>
    <t>Updated VA flowmeter calibrations using new calibration sheet format, rotameter setting y-axis, flow rate x-axis</t>
  </si>
  <si>
    <t>Added Pmkit 18 to Flowmeters sheet</t>
  </si>
  <si>
    <t>4.5mm</t>
  </si>
  <si>
    <t>Pitots</t>
  </si>
  <si>
    <t>ID</t>
  </si>
  <si>
    <t>Relocated pitot coefficients, measurement units &amp; other lookup data from "Details" to a new worksheet named "Pitots"</t>
  </si>
  <si>
    <t>Added Pmkit 19 to Flowmeters sheet</t>
  </si>
  <si>
    <t>Triethylamine</t>
  </si>
  <si>
    <t>o-Cresol</t>
  </si>
  <si>
    <t xml:space="preserve">Carbon disulfide, </t>
  </si>
  <si>
    <t>1,6-Hexamethylene diisocyanate</t>
  </si>
  <si>
    <t>Added compound lists to VOC's sheet</t>
  </si>
  <si>
    <t>Butyl acrylate</t>
  </si>
  <si>
    <t xml:space="preserve">Acrylonitrile, </t>
  </si>
  <si>
    <t xml:space="preserve">Ethyl acrylate, </t>
  </si>
  <si>
    <t xml:space="preserve">Methyl methacrylate, </t>
  </si>
  <si>
    <t>Hexaldehyde</t>
  </si>
  <si>
    <t>Added compounds to lists on VOC's sheet</t>
  </si>
  <si>
    <t>Updated Pmkit O2 orifice calibration data; 4.5mm orifice</t>
  </si>
  <si>
    <t>Added Pmkit's 20 &amp; 21 to Flowmeters sheet</t>
  </si>
  <si>
    <t>AS4323.1</t>
  </si>
  <si>
    <t>Traverse Method</t>
  </si>
  <si>
    <t>Criteria</t>
  </si>
  <si>
    <t>Integrated USEPA Method 1/1a traverse point selection to "Details" sheet and associated VB code to "TraversePoints" module</t>
  </si>
  <si>
    <t>VDI 2066</t>
  </si>
  <si>
    <t>Stack Shape</t>
  </si>
  <si>
    <t>Circular</t>
  </si>
  <si>
    <t>Rectangular</t>
  </si>
  <si>
    <t>Elliptical</t>
  </si>
  <si>
    <t>USEPA M1</t>
  </si>
  <si>
    <t>Area</t>
  </si>
  <si>
    <t>Shape</t>
  </si>
  <si>
    <t>Integrated VDI 2066 traverse point selection to "Details" sheet and associated VB code to "TraversePoints" module</t>
  </si>
  <si>
    <t>Added ChangeValue and SigNum sub procedures to "Miscellaneous" VB module</t>
  </si>
  <si>
    <t>Changed SigNum and SigNum2 to SigNum2 and SigNum3 respectively</t>
  </si>
  <si>
    <t>Included calibration data for new pitots 70 and 71</t>
  </si>
  <si>
    <t>Updated calibrations for PM Kit's: O1, 17, 20 &amp; 21</t>
  </si>
  <si>
    <t>Carbonyl sulfide</t>
  </si>
  <si>
    <t>Methyl mercaptan</t>
  </si>
  <si>
    <t>Ethyl mercaptan</t>
  </si>
  <si>
    <t>Propyl mercaptan</t>
  </si>
  <si>
    <t>Butyl mercaptan</t>
  </si>
  <si>
    <t>Dimethyl sulfide</t>
  </si>
  <si>
    <t>Carbon disulfide</t>
  </si>
  <si>
    <t>Detection limit(1)</t>
  </si>
  <si>
    <t>Added sulfur compounds to VOC list</t>
  </si>
  <si>
    <t>Changed dewpoint macro (DevG) to not display "g" if AvMoisture is less than SVC</t>
  </si>
  <si>
    <t>Replaced "AS4323.1 compliance" with "Sampling plane compliance" on Report page</t>
  </si>
  <si>
    <t>Updated PM Kit 14 calibration</t>
  </si>
  <si>
    <t>Updated calibration data for nozzles</t>
  </si>
  <si>
    <t>Changed spelling of sampling on report page</t>
  </si>
  <si>
    <t>Updated calibration for PM kit O2</t>
  </si>
  <si>
    <t>1,2-Dichloroethane</t>
  </si>
  <si>
    <t>2,3-Dimethylpentane</t>
  </si>
  <si>
    <t>alpha-Methylstyrene</t>
  </si>
  <si>
    <t>m-Diethylbenzene</t>
  </si>
  <si>
    <t>Methylcyclohexane</t>
  </si>
  <si>
    <t>o-Diethylbenzene</t>
  </si>
  <si>
    <t>Trichloroethene</t>
  </si>
  <si>
    <t xml:space="preserve">Vinyl chloride, </t>
  </si>
  <si>
    <t>Updated Calibration data for nozzles, flowmeters, pitots and PM kit</t>
  </si>
  <si>
    <t xml:space="preserve">Formaldehyde, </t>
  </si>
  <si>
    <t xml:space="preserve">Acrolein, </t>
  </si>
  <si>
    <t xml:space="preserve">Propionaldehyde, </t>
  </si>
  <si>
    <t xml:space="preserve">Butyraldehyde, </t>
  </si>
  <si>
    <t xml:space="preserve">Valeraldehyde, </t>
  </si>
  <si>
    <t xml:space="preserve">Phenol, </t>
  </si>
  <si>
    <t xml:space="preserve">Resorcinol, </t>
  </si>
  <si>
    <t xml:space="preserve">m+p-Cresol, </t>
  </si>
  <si>
    <t>Corrected calibration factors for PM Kit 22</t>
  </si>
  <si>
    <t xml:space="preserve">Dimethylamine, </t>
  </si>
  <si>
    <t xml:space="preserve">Diethylamine, </t>
  </si>
  <si>
    <t xml:space="preserve">Methylene bisphenyl isocyanate, </t>
  </si>
  <si>
    <t xml:space="preserve">2,4-Toluene diisocyanate, </t>
  </si>
  <si>
    <t xml:space="preserve">2,6-Toluene diisocyanate, </t>
  </si>
  <si>
    <t>Harmonised spelling of VOC names with names from GCMS</t>
  </si>
  <si>
    <t>Solvesso 100</t>
  </si>
  <si>
    <t xml:space="preserve">1,1,2,2-Tetrachloroethane, </t>
  </si>
  <si>
    <t>1,1,2,2-Tetrachloroethane</t>
  </si>
  <si>
    <t>Added Solvesso 100 to VOC lists</t>
  </si>
  <si>
    <t>3-Methylhexane</t>
  </si>
  <si>
    <t>Modified TOC summing formulae on VOC's page</t>
  </si>
  <si>
    <t>Reinstated split reporting of gaseous and tube VOC's on Report page</t>
  </si>
  <si>
    <t xml:space="preserve">Epichlorohydrin, </t>
  </si>
  <si>
    <t xml:space="preserve">Tetrachloroethene, </t>
  </si>
  <si>
    <t>Toyota</t>
  </si>
  <si>
    <t>Glycidyl methacrylate</t>
  </si>
  <si>
    <t>Divinyl benzene</t>
  </si>
  <si>
    <t>Orica</t>
  </si>
  <si>
    <t>C9-C12 Alkanes</t>
  </si>
  <si>
    <t>BCD</t>
  </si>
  <si>
    <t>1,1-Dichloroethene</t>
  </si>
  <si>
    <t>cis-1,2-Dichloroethene</t>
  </si>
  <si>
    <t>trans-1,2-Dichloroethene</t>
  </si>
  <si>
    <t>Difluorobenzenes</t>
  </si>
  <si>
    <t>Chlorofluorobenzene</t>
  </si>
  <si>
    <t xml:space="preserve">Solvesso 100, </t>
  </si>
  <si>
    <t xml:space="preserve">Glycidyl methacrylate, </t>
  </si>
  <si>
    <t xml:space="preserve">Divinyl benzene, </t>
  </si>
  <si>
    <t xml:space="preserve">1,1-Dichloroethene, </t>
  </si>
  <si>
    <t xml:space="preserve">cis-1,2-Dichloroethene, </t>
  </si>
  <si>
    <t>Updated flowmeter, Nozzle and Pitot Cals</t>
  </si>
  <si>
    <t xml:space="preserve">trans-1,2-Dichloroethene, </t>
  </si>
  <si>
    <t xml:space="preserve">C9-C12 Alkanes, </t>
  </si>
  <si>
    <t xml:space="preserve">Difluorobenzenes, </t>
  </si>
  <si>
    <t>1-Methoxy-2-propanol</t>
  </si>
  <si>
    <t>1-Methoxy-2-propyl acetate</t>
  </si>
  <si>
    <t>2-Butoxyethyl acetate</t>
  </si>
  <si>
    <t>Carbon tetrachloride</t>
  </si>
  <si>
    <t>Diacetone alcohol</t>
  </si>
  <si>
    <t>Ethyl acetate</t>
  </si>
  <si>
    <t>Ethyl diglycol acetate</t>
  </si>
  <si>
    <t>Methyl ethyl ketone</t>
  </si>
  <si>
    <t xml:space="preserve">tert-Butylbenzene, </t>
  </si>
  <si>
    <t>Acrylonitrile</t>
  </si>
  <si>
    <t>Ethyl acrylate</t>
  </si>
  <si>
    <t>Methyl methacrylate</t>
  </si>
  <si>
    <t>Epichlorohydrin</t>
  </si>
  <si>
    <t>Acrolein</t>
  </si>
  <si>
    <t>Propionaldehyde</t>
  </si>
  <si>
    <t>Butyraldehyde</t>
  </si>
  <si>
    <t>Valeraldehyde</t>
  </si>
  <si>
    <t>Resorcinol</t>
  </si>
  <si>
    <t>m+p-Cresol</t>
  </si>
  <si>
    <t>Dimethylamine</t>
  </si>
  <si>
    <t>Diethylamine</t>
  </si>
  <si>
    <t>Methylene bisphenyl isocyanate</t>
  </si>
  <si>
    <t>2,4-Toluene diisocyanate</t>
  </si>
  <si>
    <t>2,6-Toluene diisocyanate</t>
  </si>
  <si>
    <t>Trichlorofluoromethane (Freon 11)</t>
  </si>
  <si>
    <t xml:space="preserve">Trichlorofluoromethane (Freon 11), </t>
  </si>
  <si>
    <t xml:space="preserve">m+p-Xylene, </t>
  </si>
  <si>
    <t>Isobutane</t>
  </si>
  <si>
    <t>Isobutanol</t>
  </si>
  <si>
    <t>Isobutylene</t>
  </si>
  <si>
    <t>Isooctane</t>
  </si>
  <si>
    <t>Isopentane</t>
  </si>
  <si>
    <t>Isopropanol</t>
  </si>
  <si>
    <t>Isopropyl acetate</t>
  </si>
  <si>
    <t>Isopropylbenzene</t>
  </si>
  <si>
    <t>Isopropylamine</t>
  </si>
  <si>
    <t xml:space="preserve">Isopropanol, </t>
  </si>
  <si>
    <t xml:space="preserve">Isobutanol, </t>
  </si>
  <si>
    <t xml:space="preserve">Isooctane, </t>
  </si>
  <si>
    <t xml:space="preserve">Isopropylbenzene, </t>
  </si>
  <si>
    <t xml:space="preserve">Isopropylamine, </t>
  </si>
  <si>
    <t xml:space="preserve">Isobutane, </t>
  </si>
  <si>
    <t>Vinyl chloride</t>
  </si>
  <si>
    <t xml:space="preserve">Methyl ethyl ketone, </t>
  </si>
  <si>
    <t>tert-Butylbenzene</t>
  </si>
  <si>
    <t>Tetrachloroethene</t>
  </si>
  <si>
    <t>Hexane</t>
  </si>
  <si>
    <t xml:space="preserve">Butane, </t>
  </si>
  <si>
    <t xml:space="preserve">Propylbenzene, </t>
  </si>
  <si>
    <t>Butane</t>
  </si>
  <si>
    <t>Butanol</t>
  </si>
  <si>
    <t>Butyl acetate</t>
  </si>
  <si>
    <t>Decane</t>
  </si>
  <si>
    <t>Dodecane</t>
  </si>
  <si>
    <t>Heptane</t>
  </si>
  <si>
    <t>Nonane</t>
  </si>
  <si>
    <t>Octane</t>
  </si>
  <si>
    <t>Pentane</t>
  </si>
  <si>
    <t>Propyl acetate</t>
  </si>
  <si>
    <t>Propylbenzene</t>
  </si>
  <si>
    <t>Tridecane</t>
  </si>
  <si>
    <t>Undecane</t>
  </si>
  <si>
    <t>Not in standards</t>
  </si>
  <si>
    <t>Harmonised VOC list &amp; standard lists with GCMS</t>
  </si>
  <si>
    <t>d-Limonene</t>
  </si>
  <si>
    <t xml:space="preserve">d-Limonene, </t>
  </si>
  <si>
    <t>Updated nozzle calibration data for Kit 10</t>
  </si>
  <si>
    <t>Added PM Kit 22 to Flowmeters sheet</t>
  </si>
  <si>
    <t>&lt;</t>
  </si>
  <si>
    <t xml:space="preserve">Added minimum time/point &amp; volume guidance for isokinetic methods into "Flows" sheet </t>
  </si>
  <si>
    <t>Added formula for N2wet concentration</t>
  </si>
  <si>
    <t>NO2</t>
  </si>
  <si>
    <t>NOx ppm</t>
  </si>
  <si>
    <t>NO2 ppm</t>
  </si>
  <si>
    <t>GDF</t>
  </si>
  <si>
    <t>Added NO2 to Gases and Report pages</t>
  </si>
  <si>
    <t>Added Gas Dilution Factor (GDF) to Gases page</t>
  </si>
  <si>
    <t>Expanded Flows, Afterflows and PM10&amp;2.5 worksheets to accommodate 60 traverse points</t>
  </si>
  <si>
    <t>Updated PM kit 20 calibration</t>
  </si>
  <si>
    <t>Updated Nozzle Kits</t>
  </si>
  <si>
    <t>Updated Pitots</t>
  </si>
  <si>
    <t>Updated flowmeters</t>
  </si>
  <si>
    <t>Modified Sampling Plane and VOC's section of Report sheet</t>
  </si>
  <si>
    <t>Modified comment relating to VDI 2066 minimum time/point (2min) &amp; total runtime (30min)</t>
  </si>
  <si>
    <t>Yaw (°)</t>
  </si>
  <si>
    <t>Pitch (°)</t>
  </si>
  <si>
    <t>Yaw</t>
  </si>
  <si>
    <t>Pitch</t>
  </si>
  <si>
    <t>Raw Data</t>
  </si>
  <si>
    <t>F1</t>
  </si>
  <si>
    <t>X coeff</t>
  </si>
  <si>
    <t>F2</t>
  </si>
  <si>
    <t>(axial)</t>
  </si>
  <si>
    <t>Axial Velocity</t>
  </si>
  <si>
    <t>(Yaw)</t>
  </si>
  <si>
    <t>(Pitch)</t>
  </si>
  <si>
    <t>Cos(Yaw)</t>
  </si>
  <si>
    <t>Cos(Pitch)</t>
  </si>
  <si>
    <t>Variable</t>
  </si>
  <si>
    <t>X² coeff</t>
  </si>
  <si>
    <t>Apex3D-2</t>
  </si>
  <si>
    <t>Apex3D-3</t>
  </si>
  <si>
    <t>Apex3D-1</t>
  </si>
  <si>
    <t>Calibration</t>
  </si>
  <si>
    <t>Temp</t>
  </si>
  <si>
    <r>
      <t>X</t>
    </r>
    <r>
      <rPr>
        <sz val="9"/>
        <rFont val="Arial"/>
        <family val="2"/>
      </rPr>
      <t>³</t>
    </r>
    <r>
      <rPr>
        <sz val="9"/>
        <rFont val="MS Sans Serif"/>
        <family val="2"/>
      </rPr>
      <t xml:space="preserve"> coeff</t>
    </r>
  </si>
  <si>
    <t xml:space="preserve"> (°)</t>
  </si>
  <si>
    <r>
      <t xml:space="preserve">Velocity </t>
    </r>
    <r>
      <rPr>
        <sz val="9"/>
        <rFont val="Arial"/>
        <family val="2"/>
      </rPr>
      <t>Δ</t>
    </r>
    <r>
      <rPr>
        <sz val="9"/>
        <rFont val="MS Sans Serif"/>
        <family val="2"/>
      </rPr>
      <t>P</t>
    </r>
  </si>
  <si>
    <r>
      <t xml:space="preserve">Pitch </t>
    </r>
    <r>
      <rPr>
        <sz val="9"/>
        <rFont val="Arial"/>
        <family val="2"/>
      </rPr>
      <t>Δ</t>
    </r>
    <r>
      <rPr>
        <sz val="9"/>
        <rFont val="MS Sans Serif"/>
        <family val="2"/>
      </rPr>
      <t>P</t>
    </r>
  </si>
  <si>
    <t>Temp (°C)</t>
  </si>
  <si>
    <t>mmH2O</t>
  </si>
  <si>
    <t>inHg</t>
  </si>
  <si>
    <t>(Pa)</t>
  </si>
  <si>
    <t>Apex3D-4</t>
  </si>
  <si>
    <t>Pitch ΔP</t>
  </si>
  <si>
    <t>3D Pitot - Output Parameters</t>
  </si>
  <si>
    <t>Flows</t>
  </si>
  <si>
    <t>3D Flows</t>
  </si>
  <si>
    <t>PM10 &amp; 2.5</t>
  </si>
  <si>
    <t>Added 3D probe functionality to Afterflows sheet and renamed 3D Flows</t>
  </si>
  <si>
    <t>Added Velocity Profile sheet next to Report</t>
  </si>
  <si>
    <t>(°)</t>
  </si>
  <si>
    <t>Debugged Time calculation on Flows sheet</t>
  </si>
  <si>
    <t xml:space="preserve"> 3D Pitot - F1 Calibrations</t>
  </si>
  <si>
    <t xml:space="preserve"> 3D Pitot - F2 Calibrations</t>
  </si>
  <si>
    <r>
      <t>R</t>
    </r>
    <r>
      <rPr>
        <sz val="7"/>
        <rFont val="MS Sans Serif"/>
        <family val="2"/>
      </rPr>
      <t>SLO</t>
    </r>
  </si>
  <si>
    <t>Yaw Corr</t>
  </si>
  <si>
    <t xml:space="preserve"> 3D Pitot - Yaw Calibrations</t>
  </si>
  <si>
    <t>Modified Yaw angle correction calculation on 3D Flows sheet</t>
  </si>
  <si>
    <t>Added averages to bottom of Velocity Profile sections</t>
  </si>
  <si>
    <t>Chloromethane</t>
  </si>
  <si>
    <t>Choroethane</t>
  </si>
  <si>
    <t>Residuals as toluene</t>
  </si>
  <si>
    <t>Added chloromethane &amp; chloroethane to VOClist</t>
  </si>
  <si>
    <t>Modified 3D Flows to inH2O</t>
  </si>
  <si>
    <t>Min probewash conc</t>
  </si>
  <si>
    <t>Max probewash vol</t>
  </si>
  <si>
    <t>Tracer conc required</t>
  </si>
  <si>
    <t>Tracer dose required</t>
  </si>
  <si>
    <t>Tracer dose applied</t>
  </si>
  <si>
    <t>Tracer conc - initial</t>
  </si>
  <si>
    <t>Stack temp average</t>
  </si>
  <si>
    <t>Modified Drift Test sheet</t>
  </si>
  <si>
    <t>Modified Velocity custom function to correct velocity assignment for anemometer readings</t>
  </si>
  <si>
    <t>Added glass nozzle set 44 to nozzles sheet</t>
  </si>
  <si>
    <t>Changed pitot 22 factor from 0.00 to 0.83</t>
  </si>
  <si>
    <t>Corrected calibration factors for PM Kit's 27 &amp; 28</t>
  </si>
  <si>
    <t>PM kit calibration updates: 14, 17, O1, O2</t>
  </si>
  <si>
    <t>PM kit S1 calibration update</t>
  </si>
  <si>
    <t>PM kit 25 added to flowmeters sheet</t>
  </si>
  <si>
    <t>Lower Uncertainty Limit</t>
  </si>
  <si>
    <t>Upper Uncertainty Limit</t>
  </si>
  <si>
    <t>Reformatted odour uncertainty limits</t>
  </si>
  <si>
    <t>Corrected problem with Total VOC cell references on Report sheet</t>
  </si>
  <si>
    <t>Water temp (estimate)</t>
  </si>
  <si>
    <t>Total routine VOC's</t>
  </si>
  <si>
    <t>Transferred Dichloroethenes from Misc VOC list to Chlorinated list</t>
  </si>
  <si>
    <t>System volume (calc)</t>
  </si>
  <si>
    <t>Minor formatting changes to Velocity Profile and Drift Test sheets</t>
  </si>
  <si>
    <t>Removed C5-C6 compounds from C1-C4 VOC's list</t>
  </si>
  <si>
    <t>PM kit 26 calibration updated</t>
  </si>
  <si>
    <t>PM kit 26 added to flowmeters sheet</t>
  </si>
  <si>
    <t>BaP-PEF</t>
  </si>
  <si>
    <t>BaP-TEQ</t>
  </si>
  <si>
    <t>Naphthalene</t>
  </si>
  <si>
    <t>Indeno(1,2,3-cd)pyrene</t>
  </si>
  <si>
    <t>2-Methylnaphthalene</t>
  </si>
  <si>
    <t>Acenaphthylene</t>
  </si>
  <si>
    <t>Acenaphthene</t>
  </si>
  <si>
    <t>Fluorene</t>
  </si>
  <si>
    <t>Phenanthrene</t>
  </si>
  <si>
    <t>Anthracene</t>
  </si>
  <si>
    <t>Fluoranthene</t>
  </si>
  <si>
    <t>Pyrene</t>
  </si>
  <si>
    <t>Benz(a)anthracene</t>
  </si>
  <si>
    <t>Chrysene</t>
  </si>
  <si>
    <t>Benzo(b)fluoranthene</t>
  </si>
  <si>
    <t>Benzo(k)fluoranthene</t>
  </si>
  <si>
    <t>Dibenz(ah)anthracene</t>
  </si>
  <si>
    <t>Benzo(e)pyrene</t>
  </si>
  <si>
    <t>Benzo(a)pyrene</t>
  </si>
  <si>
    <t>Benzo(ghi)perylene</t>
  </si>
  <si>
    <t>Perylene</t>
  </si>
  <si>
    <t>ng/s</t>
  </si>
  <si>
    <t>Lower Bound</t>
  </si>
  <si>
    <t>Middle Bound</t>
  </si>
  <si>
    <t>Added PAH's to PM&amp;IsoK and Report page</t>
  </si>
  <si>
    <t>Updated nozzle kit 44 cal &amp; and added nozzle kit 45</t>
  </si>
  <si>
    <t>Updated nozzle kit 37 (6" nozzle re-cal)</t>
  </si>
  <si>
    <t>No. traverses &amp; points sampled</t>
  </si>
  <si>
    <t>Traverse method &amp; compliance</t>
  </si>
  <si>
    <t>Updated flowmeter cals</t>
  </si>
  <si>
    <t>Amended Sampling Plane Details on Report sheet</t>
  </si>
  <si>
    <t>pg</t>
  </si>
  <si>
    <t>pg/m³</t>
  </si>
  <si>
    <t>ppt</t>
  </si>
  <si>
    <t>µg/L</t>
  </si>
  <si>
    <t>Added extra mass &amp; concentration measurement units to Pitot sheet:</t>
  </si>
  <si>
    <t>PAH's</t>
  </si>
  <si>
    <t>ng/min</t>
  </si>
  <si>
    <t>Dioxins &amp; furans</t>
  </si>
  <si>
    <t>2,3,7,8-TCDF</t>
  </si>
  <si>
    <t>2,3,7,8-TCDD</t>
  </si>
  <si>
    <t>1,2,3,7,8-PeCDF</t>
  </si>
  <si>
    <t>1,2,3,7,8-PeCDD</t>
  </si>
  <si>
    <t>2,3,4,7,8-PeCDF</t>
  </si>
  <si>
    <t>1,2,3,4,7,8-HxCDF</t>
  </si>
  <si>
    <t>1,2,3,6,7,8-HxCDF</t>
  </si>
  <si>
    <t>2,3,4,6,7,8-HxCDF</t>
  </si>
  <si>
    <t>1,2,3,7,8,9-HxCDF</t>
  </si>
  <si>
    <t>1,2,3,4,7,8-HxCDD</t>
  </si>
  <si>
    <t>1,2,3,6,7,8-HxCDD</t>
  </si>
  <si>
    <t>1,2,3,7,8,9-HxCDD</t>
  </si>
  <si>
    <t>1,2,3,4,6,7,8-HpCDF</t>
  </si>
  <si>
    <t>1,2,3,4,7,8,9-HpCDF</t>
  </si>
  <si>
    <t>1,2,3,4,6,7,8-HpCDD</t>
  </si>
  <si>
    <t>OCDF</t>
  </si>
  <si>
    <t>OCDD</t>
  </si>
  <si>
    <t>Total TCDF isomers</t>
  </si>
  <si>
    <t>Total TCDD isomers</t>
  </si>
  <si>
    <t>Total PeCDF isomers</t>
  </si>
  <si>
    <t>Total PeCDD isomers</t>
  </si>
  <si>
    <t>Total HxCDF isomers</t>
  </si>
  <si>
    <t>S21</t>
  </si>
  <si>
    <t>L21</t>
  </si>
  <si>
    <t>Total HxCDD isomers</t>
  </si>
  <si>
    <t>Updated nozzle cals</t>
  </si>
  <si>
    <t>Total HpCDF isomers</t>
  </si>
  <si>
    <t>Total HpCDD isomers</t>
  </si>
  <si>
    <t>Upper Bound</t>
  </si>
  <si>
    <t>Total PCDD + PCDF's</t>
  </si>
  <si>
    <t>Total PCDD &amp; PCDF isomers is the sum of toxic and non-toxic isomers</t>
  </si>
  <si>
    <t>Note:</t>
  </si>
  <si>
    <t>Only the toxic isomers (WHO-TEF &gt; 0) are speciated</t>
  </si>
  <si>
    <t>I-TEF</t>
  </si>
  <si>
    <t>Updated Calibration data for nozzles, flowmeters and PM kit</t>
  </si>
  <si>
    <t>Convention</t>
  </si>
  <si>
    <t>I-TEQ</t>
  </si>
  <si>
    <t>Added Dioxins &amp; furans sheet</t>
  </si>
  <si>
    <t>Completed BaP-TEF factors on Dioxins sheet</t>
  </si>
  <si>
    <t>Impinger 1</t>
  </si>
  <si>
    <t>Impinger 2</t>
  </si>
  <si>
    <t>Impinger 3</t>
  </si>
  <si>
    <t>Silica Gel</t>
  </si>
  <si>
    <t>Impinger 4</t>
  </si>
  <si>
    <t>Silica tube weight (corrected)</t>
  </si>
  <si>
    <t>Moisture content</t>
  </si>
  <si>
    <t>Moisture content (avg)</t>
  </si>
  <si>
    <t>Moisture - Start Volumes</t>
  </si>
  <si>
    <t>Moisture - End Volumes</t>
  </si>
  <si>
    <t>Change</t>
  </si>
  <si>
    <t>Added multiple impinger volume option to moisture calculation field</t>
  </si>
  <si>
    <t>Updated pitot and nozzle cals</t>
  </si>
  <si>
    <t>Initials</t>
  </si>
  <si>
    <t>Added change time field to PM10 &amp; 2.5 sheet</t>
  </si>
  <si>
    <t>NMI Raw Data</t>
  </si>
  <si>
    <t>Added PAH sort field to Dioxins sheet</t>
  </si>
  <si>
    <t>Total 16 PAH's</t>
  </si>
  <si>
    <t>Total 19 PAH's</t>
  </si>
  <si>
    <t>Modified PAH section of Dioxins sheet to calculate raw concs and BaP-TEQ's</t>
  </si>
  <si>
    <t>Corrected deviations calculations on Pitots worksheet</t>
  </si>
  <si>
    <t>Corrected cell references in Dev5 &amp; Dev6 formulae on Details page</t>
  </si>
  <si>
    <t>Corrected mass flow rate cell references for Isokinetic tests on Report page</t>
  </si>
  <si>
    <t>Updated nozzle kits 1, 8, 10, 17, 19, 21, 23, 24, 34, 35, 39 (calibration)  DC</t>
  </si>
  <si>
    <t>Updated pitot co-efficients 9 + 27 (calibration) DC</t>
  </si>
  <si>
    <t>Updated nozzle kits 38 + 9 cal DC</t>
  </si>
  <si>
    <t>Added DeleteZeroString macro</t>
  </si>
  <si>
    <t>Updated pitot co-efficients 6, 23, 27, 29, 32, 33 + 51 (calibration) DC</t>
  </si>
  <si>
    <t>Changed report page cellA281 from C1-C6 to C1-C4  DC</t>
  </si>
  <si>
    <t>Updated flowmeters 3 + 9 calibration DC</t>
  </si>
  <si>
    <t>Filled in missing formulae on Flowmeters sheet</t>
  </si>
  <si>
    <t>Fixed Non-Iso "click" subroutine</t>
  </si>
  <si>
    <t>Added I-TEF factors to Dioxins sheet</t>
  </si>
  <si>
    <t>Corrected I-TEF factors on Dioxins sheet</t>
  </si>
  <si>
    <t>Fixed cell reference error in flowmeter setting column (Test 2) on Flows page</t>
  </si>
  <si>
    <t>Updated nozzle kit 13 (calibration) DC</t>
  </si>
  <si>
    <t>Updated nozzle kit 12 (calibration) DC</t>
  </si>
  <si>
    <t>Updated pitot co-efficient 2, 3, 4 &amp; 39 (calibration) DC</t>
  </si>
  <si>
    <t>Updated nozzle kits 14, 35, 38 (calibration) DC</t>
  </si>
  <si>
    <t>Updated pitot co-efficients 8,13,14,15,19,37,41,42,43,50</t>
  </si>
  <si>
    <t>Port Orientation</t>
  </si>
  <si>
    <t>Changed %Other column on Gases worksheet to ppm TOC</t>
  </si>
  <si>
    <t>Stack Orientation</t>
  </si>
  <si>
    <t>In plane</t>
  </si>
  <si>
    <t>Out of plane</t>
  </si>
  <si>
    <t>Sampling plane dimensions (mm) &amp; area</t>
  </si>
  <si>
    <t>Exit plane dimensions (mm) &amp; area</t>
  </si>
  <si>
    <t>Access &amp; height of ports</t>
  </si>
  <si>
    <t>Changed sampling plane details on Report page</t>
  </si>
  <si>
    <t>Updated nozzle kit 07 (calibration) DC</t>
  </si>
  <si>
    <t>Duct orientation &amp;  shape</t>
  </si>
  <si>
    <t>Added new nozzle kits</t>
  </si>
  <si>
    <t>Added new pitots</t>
  </si>
  <si>
    <t>Duct orientation &amp; Port depth</t>
  </si>
  <si>
    <t>Sampling port size, number &amp; depth</t>
  </si>
  <si>
    <t>Updated pitot + nozzle cals</t>
  </si>
  <si>
    <t>Updated pitot calibrations (6, 30, 36, 39) DC</t>
  </si>
  <si>
    <t>Updated flowmeter 14 (Cal) DC</t>
  </si>
  <si>
    <t>WHO98-TEQ</t>
  </si>
  <si>
    <t>WHO05-TEQ</t>
  </si>
  <si>
    <r>
      <t>WHO</t>
    </r>
    <r>
      <rPr>
        <sz val="9"/>
        <rFont val="MS Sans Serif"/>
        <family val="2"/>
      </rPr>
      <t>98</t>
    </r>
    <r>
      <rPr>
        <sz val="9"/>
        <rFont val="MS Sans Serif"/>
        <family val="2"/>
      </rPr>
      <t>-TEF</t>
    </r>
  </si>
  <si>
    <r>
      <t>WHO</t>
    </r>
    <r>
      <rPr>
        <sz val="9"/>
        <rFont val="MS Sans Serif"/>
        <family val="2"/>
      </rPr>
      <t>05</t>
    </r>
    <r>
      <rPr>
        <sz val="9"/>
        <rFont val="MS Sans Serif"/>
        <family val="2"/>
      </rPr>
      <t>-TEF</t>
    </r>
  </si>
  <si>
    <t>PCB's</t>
  </si>
  <si>
    <t>PCB 77</t>
  </si>
  <si>
    <t>PCB 81</t>
  </si>
  <si>
    <t>PCB 126</t>
  </si>
  <si>
    <t>PCB 169</t>
  </si>
  <si>
    <t>PCB 105</t>
  </si>
  <si>
    <t>PCB 114</t>
  </si>
  <si>
    <t>PCB 118</t>
  </si>
  <si>
    <t>PCB 123</t>
  </si>
  <si>
    <t>PCB 156</t>
  </si>
  <si>
    <t>PCB 157</t>
  </si>
  <si>
    <t>PCB 167</t>
  </si>
  <si>
    <t>PCB 189</t>
  </si>
  <si>
    <t>-</t>
  </si>
  <si>
    <t>Total PCB's</t>
  </si>
  <si>
    <t>Added PCB's to Dioxins and Report sheets</t>
  </si>
  <si>
    <t>Stratification Data</t>
  </si>
  <si>
    <t>Horiba Data</t>
  </si>
  <si>
    <t>Date / time</t>
  </si>
  <si>
    <t>ppm NO</t>
  </si>
  <si>
    <t>ppm NO2</t>
  </si>
  <si>
    <t>ppm SO2</t>
  </si>
  <si>
    <t>% CO2i</t>
  </si>
  <si>
    <t>Update nozzle kits</t>
  </si>
  <si>
    <t>Testo</t>
  </si>
  <si>
    <t>Gas Analyser</t>
  </si>
  <si>
    <t>Horiba</t>
  </si>
  <si>
    <t>Added Horiba &amp; Testo Data sheets</t>
  </si>
  <si>
    <t>Modified Gases sheet</t>
  </si>
  <si>
    <t>Corrected nozzle selection references on Nozzles sheet</t>
  </si>
  <si>
    <t>Updated PM Kit 18 Cal</t>
  </si>
  <si>
    <t>Modified VOC macros to enable calculation of vol/vol concentrations from mass</t>
  </si>
  <si>
    <t>Transferred compound information from VOC sheet to new Compound List sheet</t>
  </si>
  <si>
    <t>Corrected errors on Gases sheet with macro Conc2</t>
  </si>
  <si>
    <t>Corrected errors to VOC lists on Reports sheet</t>
  </si>
  <si>
    <t>Acetonitrile</t>
  </si>
  <si>
    <t>2-Methoxyethanol</t>
  </si>
  <si>
    <t>2-Ethoxyethanol</t>
  </si>
  <si>
    <t>2-Ethoxyethyl Acetate</t>
  </si>
  <si>
    <t>m + p-Xylene</t>
  </si>
  <si>
    <t>CS</t>
  </si>
  <si>
    <t>Aligned sampling time labels on Report tab</t>
  </si>
  <si>
    <t>Edit xylene in lookup table</t>
  </si>
  <si>
    <t>Added 5 compounds to VOC list on Compound Lists sheet</t>
  </si>
  <si>
    <t>Corrected error with velocity difference criteria 5 &amp; 6</t>
  </si>
  <si>
    <t>DC</t>
  </si>
  <si>
    <t>Updated nozzle cals (kits 3 &amp; 14)</t>
  </si>
  <si>
    <t>Corrected error with temperature profile variation calculation on Pitots sheet</t>
  </si>
  <si>
    <t>Updated Nozzle Calibration data</t>
  </si>
  <si>
    <t>Corrected units references in PCB's field of Dioxins sheet</t>
  </si>
  <si>
    <t>Corrected &lt; formulae on PCB &amp; PAH sections of Dioxins sheet</t>
  </si>
  <si>
    <t>Added macro to Miscellaneous module (ChangeValues2)</t>
  </si>
  <si>
    <t>Added InsertRowsNumber macro to Formatting module</t>
  </si>
  <si>
    <t>Added macro to GCMS module for deleting certain rows (DeleteRows3)</t>
  </si>
  <si>
    <t>Added PM coarse line to PM &amp; Metals sheet</t>
  </si>
  <si>
    <t>Removed &lt; symbols from Dioxin/furan, PCB and PAH totals and Lower/Middle/Upper Bound results</t>
  </si>
  <si>
    <t>Reorganised NO/NO2/NOx columns on Testo Data and Gases sheets</t>
  </si>
  <si>
    <t>Chloroethane</t>
  </si>
  <si>
    <t>Corrected spelling of Chloroethane on Compound Lists sheet</t>
  </si>
  <si>
    <t>Updated Nozzle calibration information. Kits: 2, 9, 35, 46, 48, 49, 51</t>
  </si>
  <si>
    <t>Added new pitot no. 65</t>
  </si>
  <si>
    <t>Updated melb nozzle cals (11,12,13,15,16,42,43,45,48,50)</t>
  </si>
  <si>
    <t>Updated calibration of pitot's 2+3</t>
  </si>
  <si>
    <t>Updated nozzle calibration kit 36</t>
  </si>
  <si>
    <t>Added value reassignment procedures to Miscellaneous module</t>
  </si>
  <si>
    <t>Updated nozzle calibration details (Sydney calibrations)</t>
  </si>
  <si>
    <t>Updated flowmeter calibration details (Kit23)</t>
  </si>
  <si>
    <t>Corrected error on PM &amp; Metals sheet</t>
  </si>
  <si>
    <t>Updated flowmeter calibration details (Kits 3+10)</t>
  </si>
  <si>
    <t>Updated PMKit15 cal</t>
  </si>
  <si>
    <t>Corrected &lt; formulae on the average Total VOC section of VOC's sheet</t>
  </si>
  <si>
    <t>Added new nozzle kits 52 + 53</t>
  </si>
  <si>
    <t>Updated nozzle calibration kits 1,2,3,8,10,34,35 (DC)</t>
  </si>
  <si>
    <t>Updated pitot calibrations (9,27,32,33,44,46,56,57,62) DC</t>
  </si>
  <si>
    <t>Updated nozzle calibrations kits 6,7,14,26,34,48,44,45,50 (DC)</t>
  </si>
  <si>
    <t>Updated flowmeter cals 6,13,14 DC</t>
  </si>
  <si>
    <t>Updated flowmeter cals 15 (DC)</t>
  </si>
  <si>
    <t>Updated flowmeter cals 16 (DC)</t>
  </si>
  <si>
    <t>Update flowmeter cals 21,24</t>
  </si>
  <si>
    <t>Updated perth nozzle cals</t>
  </si>
  <si>
    <t>Updated Perth pmkit cals</t>
  </si>
  <si>
    <t>Updated pitot cals 13, 14, 15, 16, 18, 19, 8, 39, 50, 02, 29, 38, 31, 42, 06</t>
  </si>
  <si>
    <t>Updated nozzle kit cals 16, 37, 44, 47</t>
  </si>
  <si>
    <t>Expanded degrees of freedom list on Non-Iso sheet</t>
  </si>
  <si>
    <t>Updated nozzle cal (Kit 9)</t>
  </si>
  <si>
    <t>Corrected cell references for NO and NO2 on Report sheet</t>
  </si>
  <si>
    <t>Updated pitot cals 20, 40, 41, 47, 48, 49, 51</t>
  </si>
  <si>
    <t>Updated flowmeter cals 18 + 20</t>
  </si>
  <si>
    <t>Updated nozzle cals kit 47</t>
  </si>
  <si>
    <t>Updated pitot cals 17, 30, 43</t>
  </si>
  <si>
    <t>Updated pitot cal #4</t>
  </si>
  <si>
    <t>Corrected O2 corrected VOC's total formulae on VOC's worksheet</t>
  </si>
  <si>
    <t>Added Normalise macro to Miscellaneous module</t>
  </si>
  <si>
    <t>Eng</t>
  </si>
  <si>
    <t>Sci</t>
  </si>
  <si>
    <t>SigFig List</t>
  </si>
  <si>
    <t>Changed SigNum macros to accommodate engineering and scientific notation</t>
  </si>
  <si>
    <t>Updated nozzle cals (Kit 7)</t>
  </si>
  <si>
    <t>Holding time</t>
  </si>
  <si>
    <t>Sampling date &amp; Time</t>
  </si>
  <si>
    <t>Analysis date &amp; Time</t>
  </si>
  <si>
    <t>Dilution factor &amp; Threshold</t>
  </si>
  <si>
    <t>Reformatted odour section of Report sheet</t>
  </si>
  <si>
    <t>Reformatted odour section of Report sheet again</t>
  </si>
  <si>
    <t>NTP comment linked to odour check box</t>
  </si>
  <si>
    <t>Updated nozzle calibrations kit 3&amp;6</t>
  </si>
  <si>
    <t>Expanded dioxins section of Report sheet to include individual congeners</t>
  </si>
  <si>
    <t>Updated nozzle cals (kits 9, 35, 47)</t>
  </si>
  <si>
    <t>Modified some variable types withing the change series of macros</t>
  </si>
  <si>
    <t>Update PMKit calibration (kit16) (DC)</t>
  </si>
  <si>
    <t>Nitric oxide</t>
  </si>
  <si>
    <t>Nitrogen dioxide</t>
  </si>
  <si>
    <t>Nitrogen oxides</t>
  </si>
  <si>
    <t>Nitrous oxide</t>
  </si>
  <si>
    <t>Hydrogen</t>
  </si>
  <si>
    <t>Argon</t>
  </si>
  <si>
    <t>Phosgene</t>
  </si>
  <si>
    <t>Carbonyl chloride</t>
  </si>
  <si>
    <t>MWCALC Add-in</t>
  </si>
  <si>
    <t>CH4</t>
  </si>
  <si>
    <t>Nitrogen</t>
  </si>
  <si>
    <t>Corrected PM Kit 25 co-efficient</t>
  </si>
  <si>
    <t>Added combustion gases to compound list</t>
  </si>
  <si>
    <t>Added subroutine for filling in empty cells with numbers or data (TAPM)</t>
  </si>
  <si>
    <t>Update PMKIT calibration (kit19) DC</t>
  </si>
  <si>
    <t>Change scientific notation threshold from exp4 to exp5</t>
  </si>
  <si>
    <t>Extended NozzleKitList from Kit 51 to 53</t>
  </si>
  <si>
    <t>Updated PM Kit 18, 19, 20, 24</t>
  </si>
  <si>
    <t>Updated Nozzle kit cal kit 3 6mm</t>
  </si>
  <si>
    <t>Updated Nozzles and Pitot cals</t>
  </si>
  <si>
    <t>Updated PMKit 13 Cal</t>
  </si>
  <si>
    <t>Please refer to client records.</t>
  </si>
  <si>
    <t>Fixed KIT19 calibration</t>
  </si>
  <si>
    <t>Updated nozzle kit cal. Kit 35 (DC)</t>
  </si>
  <si>
    <t>Amended cellID 'Pitots!N48'. Changed 'MIN' to 'MAX' (DC)</t>
  </si>
  <si>
    <t>Added nozzle kit 54 to nozzles sheet</t>
  </si>
  <si>
    <t>Updated nozzle cals kits 5 &amp; 46</t>
  </si>
  <si>
    <t>Updated nozzle cals kit 22</t>
  </si>
  <si>
    <t>Updated nozzle + PM Kit Cals</t>
  </si>
  <si>
    <t>Updated nozzle cals kits 37 + 38</t>
  </si>
  <si>
    <t>Updated PMKit + Pitot cals</t>
  </si>
  <si>
    <t>Updated nozzle and PMKit Cals</t>
  </si>
  <si>
    <t>Odour</t>
  </si>
  <si>
    <t>Date</t>
  </si>
  <si>
    <t>°C</t>
  </si>
  <si>
    <t>Data Entered By :</t>
  </si>
  <si>
    <t>Data Checked By :</t>
  </si>
  <si>
    <t>ppm</t>
  </si>
  <si>
    <t>%</t>
  </si>
  <si>
    <t>Mass Rate</t>
  </si>
  <si>
    <t>min</t>
  </si>
  <si>
    <t>Stack ID</t>
  </si>
  <si>
    <t>Point</t>
  </si>
  <si>
    <t>Meter</t>
  </si>
  <si>
    <t>Factor</t>
  </si>
  <si>
    <t>N/A</t>
  </si>
  <si>
    <t>Type</t>
  </si>
  <si>
    <t>Downstream disturbance</t>
  </si>
  <si>
    <t>Upstream disturbance</t>
  </si>
  <si>
    <t>Update PMkit15 cals</t>
  </si>
  <si>
    <t>Add moisture (%)</t>
  </si>
  <si>
    <t>Velocity</t>
  </si>
  <si>
    <t>Volume (L)</t>
  </si>
  <si>
    <t>Ups</t>
  </si>
  <si>
    <t>Downs</t>
  </si>
  <si>
    <t>m/s</t>
  </si>
  <si>
    <t>kg/hour</t>
  </si>
  <si>
    <t>Silica gel no.</t>
  </si>
  <si>
    <t>A</t>
  </si>
  <si>
    <t>B</t>
  </si>
  <si>
    <t>C</t>
  </si>
  <si>
    <t>D</t>
  </si>
  <si>
    <t>E</t>
  </si>
  <si>
    <t>F</t>
  </si>
  <si>
    <t>G</t>
  </si>
  <si>
    <t>H</t>
  </si>
  <si>
    <t>I</t>
  </si>
  <si>
    <t>J</t>
  </si>
  <si>
    <t>K</t>
  </si>
  <si>
    <t>Shell</t>
  </si>
  <si>
    <t>ideal nozzle</t>
  </si>
  <si>
    <t>nozzle kit</t>
  </si>
  <si>
    <t>nozzle match</t>
  </si>
  <si>
    <t>Time</t>
  </si>
  <si>
    <t>Molecular Wt</t>
  </si>
  <si>
    <t>SVC %v/v</t>
  </si>
  <si>
    <t>Sampling Plane</t>
  </si>
  <si>
    <t>Molecular Weight</t>
  </si>
  <si>
    <t>Nozzle Selection</t>
  </si>
  <si>
    <t>Average</t>
  </si>
  <si>
    <t>PM10</t>
  </si>
  <si>
    <t>PM2.5</t>
  </si>
  <si>
    <t>Pa</t>
  </si>
  <si>
    <t>acfm</t>
  </si>
  <si>
    <t>micropoise</t>
  </si>
  <si>
    <t>°K</t>
  </si>
  <si>
    <t>°F</t>
  </si>
  <si>
    <t>inches Hg</t>
  </si>
  <si>
    <t>mm Hg</t>
  </si>
  <si>
    <t>Stack gas pressure</t>
  </si>
  <si>
    <t>°R</t>
  </si>
  <si>
    <t>Rmin</t>
  </si>
  <si>
    <t>Rmax</t>
  </si>
  <si>
    <t>Vmin</t>
  </si>
  <si>
    <t>Vmax</t>
  </si>
  <si>
    <t>Ideal nozzle diameter</t>
  </si>
  <si>
    <t>inches H2O</t>
  </si>
  <si>
    <t>Pmin</t>
  </si>
  <si>
    <t>Pmax</t>
  </si>
  <si>
    <t>Stack gas velocity (Vs)</t>
  </si>
  <si>
    <t>Sampling rate (Qs)</t>
  </si>
  <si>
    <t>m3/min</t>
  </si>
  <si>
    <t>L/min</t>
  </si>
  <si>
    <t>L</t>
  </si>
  <si>
    <t>Min</t>
  </si>
  <si>
    <t>Max</t>
  </si>
  <si>
    <t>Molecular weight</t>
  </si>
  <si>
    <t>Velocity Head Criteria</t>
  </si>
  <si>
    <t>Flow Rates</t>
  </si>
  <si>
    <t>Actual</t>
  </si>
  <si>
    <t>Access &amp; height of SP</t>
  </si>
  <si>
    <t>Stack Description</t>
  </si>
  <si>
    <t>Particulates</t>
  </si>
  <si>
    <t>Flow (dry)</t>
  </si>
  <si>
    <t>Gases</t>
  </si>
  <si>
    <t>CO</t>
  </si>
  <si>
    <t>Avg</t>
  </si>
  <si>
    <t>Summary</t>
  </si>
  <si>
    <t>Volume</t>
  </si>
  <si>
    <t>MW</t>
  </si>
  <si>
    <t>Meter temp</t>
  </si>
  <si>
    <t>Compound</t>
  </si>
  <si>
    <t>DL</t>
  </si>
  <si>
    <t>Time (min)</t>
  </si>
  <si>
    <t>Rate (L/min)</t>
  </si>
  <si>
    <t>(-28°C)</t>
  </si>
  <si>
    <t>(+28°C)</t>
  </si>
  <si>
    <t>Ideal (mm)</t>
  </si>
  <si>
    <t>Cut Diameters (D50)</t>
  </si>
  <si>
    <t>Stack temp</t>
  </si>
  <si>
    <t>Moisture</t>
  </si>
  <si>
    <t>Impinger volume (start)</t>
  </si>
  <si>
    <t>Impinger volume (end)</t>
  </si>
  <si>
    <t>Dist / No.</t>
  </si>
  <si>
    <t>Molecular wt (wet)</t>
  </si>
  <si>
    <t>Molecular wt (dry)</t>
  </si>
  <si>
    <t>(L/min)</t>
  </si>
  <si>
    <t>Flow (dis)</t>
  </si>
  <si>
    <t>Flow (wet)</t>
  </si>
  <si>
    <t>Range</t>
  </si>
  <si>
    <t>SO2</t>
  </si>
  <si>
    <t>Mass rate</t>
  </si>
  <si>
    <t>Updated Melb nozzle cals (34) and pitot 41</t>
  </si>
  <si>
    <t>nozzle 1</t>
  </si>
  <si>
    <t>nozzle 2</t>
  </si>
  <si>
    <t>M</t>
  </si>
  <si>
    <t>N</t>
  </si>
  <si>
    <t>O</t>
  </si>
  <si>
    <t>P</t>
  </si>
  <si>
    <t>1A</t>
  </si>
  <si>
    <t>1B</t>
  </si>
  <si>
    <t>2A</t>
  </si>
  <si>
    <t>2B</t>
  </si>
  <si>
    <t>3A</t>
  </si>
  <si>
    <t>3B</t>
  </si>
  <si>
    <t>Q</t>
  </si>
  <si>
    <r>
      <t>Conc</t>
    </r>
    <r>
      <rPr>
        <vertAlign val="superscript"/>
        <sz val="9"/>
        <rFont val="MS Sans Serif"/>
        <family val="2"/>
      </rPr>
      <t>n</t>
    </r>
  </si>
  <si>
    <r>
      <t>Conc</t>
    </r>
    <r>
      <rPr>
        <vertAlign val="superscript"/>
        <sz val="8"/>
        <rFont val="MS Sans Serif"/>
        <family val="2"/>
      </rPr>
      <t>n</t>
    </r>
  </si>
  <si>
    <t>factor</t>
  </si>
  <si>
    <t>Meter ID</t>
  </si>
  <si>
    <t>EML Operators</t>
  </si>
  <si>
    <t>Moisture Content</t>
  </si>
  <si>
    <t>Filter No.</t>
  </si>
  <si>
    <t>Start vol (L)</t>
  </si>
  <si>
    <t>End vol (L)</t>
  </si>
  <si>
    <t>Min dilution factor</t>
  </si>
  <si>
    <t>Mass R8</t>
  </si>
  <si>
    <t>Average Temp</t>
  </si>
  <si>
    <t>SVC (ambient)</t>
  </si>
  <si>
    <t>O2 Corr</t>
  </si>
  <si>
    <t>&lt; DL</t>
  </si>
  <si>
    <t>Density</t>
  </si>
  <si>
    <t>Cal Date</t>
  </si>
  <si>
    <t>t-factor</t>
  </si>
  <si>
    <t>Std Dev</t>
  </si>
  <si>
    <t>n</t>
  </si>
  <si>
    <t>MIA</t>
  </si>
  <si>
    <t>ou</t>
  </si>
  <si>
    <t>Zero Drift</t>
  </si>
  <si>
    <t>Span Drift</t>
  </si>
  <si>
    <t>Client</t>
  </si>
  <si>
    <t>Sampling Data</t>
  </si>
  <si>
    <t>Water flow rate</t>
  </si>
  <si>
    <t>Wind velocity</t>
  </si>
  <si>
    <t>Fan motor power</t>
  </si>
  <si>
    <t>Barometric pressure</t>
  </si>
  <si>
    <t>Flow (discharge)</t>
  </si>
  <si>
    <t>L/s</t>
  </si>
  <si>
    <t>Water density</t>
  </si>
  <si>
    <t>Kg/L</t>
  </si>
  <si>
    <t>mg/L</t>
  </si>
  <si>
    <t>Sample weight</t>
  </si>
  <si>
    <t>mg</t>
  </si>
  <si>
    <t>Drift</t>
  </si>
  <si>
    <t>Sampling Plane Access</t>
  </si>
  <si>
    <t>Stairs</t>
  </si>
  <si>
    <t>Scaffold</t>
  </si>
  <si>
    <t>Crane</t>
  </si>
  <si>
    <t>Sampling Ports</t>
  </si>
  <si>
    <t>States</t>
  </si>
  <si>
    <t>VIC</t>
  </si>
  <si>
    <t>NSW</t>
  </si>
  <si>
    <t>QLD</t>
  </si>
  <si>
    <t>TAS</t>
  </si>
  <si>
    <t>SA</t>
  </si>
  <si>
    <t>Updated calibrations for olfactometer, pitots and PM Kit 18</t>
  </si>
  <si>
    <t>WA</t>
  </si>
  <si>
    <t>NT</t>
  </si>
  <si>
    <t>Conc</t>
  </si>
  <si>
    <t>m³/s</t>
  </si>
  <si>
    <t>m³/min</t>
  </si>
  <si>
    <t>g/s</t>
  </si>
  <si>
    <t>g/min</t>
  </si>
  <si>
    <t>g/m³</t>
  </si>
  <si>
    <t>mg/m³</t>
  </si>
  <si>
    <t>units</t>
  </si>
  <si>
    <t>Temperature</t>
  </si>
  <si>
    <t>conversion</t>
  </si>
  <si>
    <t>oum³/min</t>
  </si>
  <si>
    <t>oum³/s</t>
  </si>
  <si>
    <t>g/L</t>
  </si>
  <si>
    <t>kg/day</t>
  </si>
  <si>
    <t>ft/s</t>
  </si>
  <si>
    <t>ft³/s</t>
  </si>
  <si>
    <t>ft³/min</t>
  </si>
  <si>
    <t>Wet-bulb temp</t>
  </si>
  <si>
    <t>Dry-bulb temp</t>
  </si>
  <si>
    <t>Cold water temp</t>
  </si>
  <si>
    <t>Hot water temp</t>
  </si>
  <si>
    <t>Avg tracer conc</t>
  </si>
  <si>
    <t>Probewash</t>
  </si>
  <si>
    <t>Impinger A</t>
  </si>
  <si>
    <t>Impinger B</t>
  </si>
  <si>
    <t>¥</t>
  </si>
  <si>
    <t>Concn</t>
  </si>
  <si>
    <t>R</t>
  </si>
  <si>
    <t>S</t>
  </si>
  <si>
    <t>T</t>
  </si>
  <si>
    <t>U</t>
  </si>
  <si>
    <t>V</t>
  </si>
  <si>
    <t>W</t>
  </si>
  <si>
    <t>X</t>
  </si>
  <si>
    <t>Y</t>
  </si>
  <si>
    <t>Z</t>
  </si>
  <si>
    <t>è</t>
  </si>
  <si>
    <t>NO ppm</t>
  </si>
  <si>
    <t>CO ppm</t>
  </si>
  <si>
    <t>CO2 %</t>
  </si>
  <si>
    <t>O2 %</t>
  </si>
  <si>
    <t>SO2 ppm</t>
  </si>
  <si>
    <t>Updated WA nozzle + PM kit cals.</t>
  </si>
  <si>
    <t>Meter (°C)</t>
  </si>
  <si>
    <t>Nozzle (mm)</t>
  </si>
  <si>
    <t>Kg</t>
  </si>
  <si>
    <t>Reagent purity</t>
  </si>
  <si>
    <t>Tracer atomic wt</t>
  </si>
  <si>
    <t>g/mol</t>
  </si>
  <si>
    <t>Reagent mole wt</t>
  </si>
  <si>
    <t>Drift Analysis</t>
  </si>
  <si>
    <t>Datafile</t>
  </si>
  <si>
    <t>Flags</t>
  </si>
  <si>
    <t>Thermo</t>
  </si>
  <si>
    <t>Added worksheet formatted for Thermo 60i data</t>
  </si>
  <si>
    <t>Std Value</t>
  </si>
  <si>
    <t>µg</t>
  </si>
  <si>
    <t>P/W</t>
  </si>
  <si>
    <t>Front filt</t>
  </si>
  <si>
    <t>Back filt</t>
  </si>
  <si>
    <t>Imp A</t>
  </si>
  <si>
    <t>Imp B</t>
  </si>
  <si>
    <t>Imp C</t>
  </si>
  <si>
    <t>Imp D</t>
  </si>
  <si>
    <t>Filter</t>
  </si>
  <si>
    <t>Analysis</t>
  </si>
  <si>
    <t>Analyte</t>
  </si>
  <si>
    <t>Job No.</t>
  </si>
  <si>
    <t>Moisture content, %v/v</t>
  </si>
  <si>
    <t>Isokinetics</t>
  </si>
  <si>
    <t>Isokinetic rate, %</t>
  </si>
  <si>
    <t>Location</t>
  </si>
  <si>
    <t>State</t>
  </si>
  <si>
    <t>Process Conditions</t>
  </si>
  <si>
    <t>Location &amp; State</t>
  </si>
  <si>
    <t>Baro Press</t>
  </si>
  <si>
    <t>Static Press</t>
  </si>
  <si>
    <t>Stack (°C)</t>
  </si>
  <si>
    <t>Stack Press</t>
  </si>
  <si>
    <r>
      <t>O</t>
    </r>
    <r>
      <rPr>
        <vertAlign val="subscript"/>
        <sz val="9"/>
        <rFont val="MS Sans Serif"/>
        <family val="2"/>
      </rPr>
      <t>2</t>
    </r>
    <r>
      <rPr>
        <sz val="9"/>
        <rFont val="MS Sans Serif"/>
        <family val="2"/>
      </rPr>
      <t xml:space="preserve"> corr</t>
    </r>
  </si>
  <si>
    <t>Nozzle kit</t>
  </si>
  <si>
    <t>Total</t>
  </si>
  <si>
    <t>Meter Vol</t>
  </si>
  <si>
    <t>Leak Check</t>
  </si>
  <si>
    <t>Manometer</t>
  </si>
  <si>
    <t>ISO-K 1</t>
  </si>
  <si>
    <t>ISO-K 2</t>
  </si>
  <si>
    <t>PM10 1</t>
  </si>
  <si>
    <t>PM10 2</t>
  </si>
  <si>
    <t>Averages</t>
  </si>
  <si>
    <t>Measurement Units</t>
  </si>
  <si>
    <t>Flow</t>
  </si>
  <si>
    <t>Concentration</t>
  </si>
  <si>
    <t>Unit</t>
  </si>
  <si>
    <t>Odour rate</t>
  </si>
  <si>
    <t>Flows 1</t>
  </si>
  <si>
    <t>Flows 2</t>
  </si>
  <si>
    <t>Afterflows 1</t>
  </si>
  <si>
    <t>Afterflows 2</t>
  </si>
  <si>
    <t>Dwell Time</t>
  </si>
  <si>
    <t>Nozzle Velocities</t>
  </si>
  <si>
    <t>Dwell Adj</t>
  </si>
  <si>
    <t>Nozzles</t>
  </si>
  <si>
    <t>PM List</t>
  </si>
  <si>
    <t>volume at meter</t>
  </si>
  <si>
    <t>1040 ETC</t>
  </si>
  <si>
    <t>1041 ETC</t>
  </si>
  <si>
    <t>1123 ETC</t>
  </si>
  <si>
    <t>1046 ETC</t>
  </si>
  <si>
    <t>1016 ETC</t>
  </si>
  <si>
    <t>1124 ETC</t>
  </si>
  <si>
    <t>1017 ETC</t>
  </si>
  <si>
    <t>4 ETC</t>
  </si>
  <si>
    <t>84 ETC</t>
  </si>
  <si>
    <t>91 ETC</t>
  </si>
  <si>
    <t>92 ETC</t>
  </si>
  <si>
    <t>94 ETC</t>
  </si>
  <si>
    <t>95 ETC</t>
  </si>
  <si>
    <t>116 ETC</t>
  </si>
  <si>
    <t>118 ETC</t>
  </si>
  <si>
    <t>125 ETC</t>
  </si>
  <si>
    <t>295 ETC</t>
  </si>
  <si>
    <t>303 ETC</t>
  </si>
  <si>
    <t>366 ETC</t>
  </si>
  <si>
    <t>367 ETC</t>
  </si>
  <si>
    <t>368 ETC</t>
  </si>
  <si>
    <t>373 ETC</t>
  </si>
  <si>
    <t>374 ETC</t>
  </si>
  <si>
    <t>375 ETC</t>
  </si>
  <si>
    <t>601 ETC</t>
  </si>
  <si>
    <t>602 ETC</t>
  </si>
  <si>
    <t>603 ETC</t>
  </si>
  <si>
    <t>604 ETC</t>
  </si>
  <si>
    <t>605 ETC</t>
  </si>
  <si>
    <t>606 ETC</t>
  </si>
  <si>
    <t>296 ETC</t>
  </si>
  <si>
    <t>471 ETC</t>
  </si>
  <si>
    <t>631 ETC</t>
  </si>
  <si>
    <t>632 ETC</t>
  </si>
  <si>
    <t>430 ETC</t>
  </si>
  <si>
    <t>960 ETC</t>
  </si>
  <si>
    <t>ETC</t>
  </si>
  <si>
    <t>Pyrex</t>
  </si>
  <si>
    <t>Glass thimble</t>
  </si>
  <si>
    <t>SS</t>
  </si>
  <si>
    <t>Glass</t>
  </si>
  <si>
    <t>Teflon</t>
  </si>
  <si>
    <t>ETC 141</t>
  </si>
  <si>
    <t>ETC 142</t>
  </si>
  <si>
    <t>ETC 508</t>
  </si>
  <si>
    <t>ETC 509</t>
  </si>
  <si>
    <t>ETC 385</t>
  </si>
  <si>
    <t>ETC 386</t>
  </si>
  <si>
    <t>ETC 143</t>
  </si>
  <si>
    <t>ETC 144</t>
  </si>
  <si>
    <t>ETC 145</t>
  </si>
  <si>
    <t>ETC 146</t>
  </si>
  <si>
    <t>ETC 595</t>
  </si>
  <si>
    <t>ETC 596</t>
  </si>
  <si>
    <t>ETC 387</t>
  </si>
  <si>
    <t>ETC 433</t>
  </si>
  <si>
    <t>ETC 434</t>
  </si>
  <si>
    <t>ETC 598</t>
  </si>
  <si>
    <t>ETC 599</t>
  </si>
  <si>
    <t>ETC 458</t>
  </si>
  <si>
    <t>ETC 034</t>
  </si>
  <si>
    <t>ETC 085 PM10</t>
  </si>
  <si>
    <t>ETC 085 PM2.5</t>
  </si>
  <si>
    <t>ETC 167</t>
  </si>
  <si>
    <t>ETC 168</t>
  </si>
  <si>
    <t>ETC 169 PM10</t>
  </si>
  <si>
    <t>ETC 169 PM2.5</t>
  </si>
  <si>
    <t>ETC 105</t>
  </si>
  <si>
    <t>ETC 2</t>
  </si>
  <si>
    <t>ETC 3</t>
  </si>
  <si>
    <t>ETC 4</t>
  </si>
  <si>
    <t>ETC 5</t>
  </si>
  <si>
    <t>ETC 6</t>
  </si>
  <si>
    <t>ETC 7</t>
  </si>
  <si>
    <t>ETC 8</t>
  </si>
  <si>
    <t>ETC 9</t>
  </si>
  <si>
    <t>ETC 10</t>
  </si>
  <si>
    <t>ETC 11</t>
  </si>
  <si>
    <t>ETC 12</t>
  </si>
  <si>
    <t>ETC 13</t>
  </si>
  <si>
    <t>ETC 149</t>
  </si>
  <si>
    <t>ETC 150</t>
  </si>
  <si>
    <t>ETC 151</t>
  </si>
  <si>
    <t>ETC 152</t>
  </si>
  <si>
    <t>ETC 14</t>
  </si>
  <si>
    <t>ETC 15</t>
  </si>
  <si>
    <t>ETC 16</t>
  </si>
  <si>
    <t>ETC 17</t>
  </si>
  <si>
    <t>ETC 18</t>
  </si>
  <si>
    <t>ETC 19</t>
  </si>
  <si>
    <t>Wet Bulb</t>
  </si>
  <si>
    <t>Abs Pressure (kPa)</t>
  </si>
  <si>
    <t>Dry Temp (°C)</t>
  </si>
  <si>
    <t>Wet Temp (°C)</t>
  </si>
  <si>
    <t>Humidity Ratio (kg/kg)</t>
  </si>
  <si>
    <t>RH(%)</t>
  </si>
  <si>
    <t>Psychrometric Moisture Determination</t>
  </si>
  <si>
    <t>SVP (kPa)</t>
  </si>
  <si>
    <t>Dew point (°C)</t>
  </si>
  <si>
    <t>Moisture (%)</t>
  </si>
  <si>
    <t>Added ETC Calibration data for nozzles, pitots and PM Kits</t>
  </si>
  <si>
    <t>Added Psychrometric moisture determination capability</t>
  </si>
  <si>
    <t>Test 1 ΔH@</t>
  </si>
  <si>
    <t>Test 2 ΔH@</t>
  </si>
  <si>
    <t>Test 1 Y²</t>
  </si>
  <si>
    <t>Test 2 Y²</t>
  </si>
  <si>
    <t>ECS</t>
  </si>
  <si>
    <t xml:space="preserve"> ΔH@</t>
  </si>
  <si>
    <t>PM Kit</t>
  </si>
  <si>
    <t>DH to DP Factor</t>
  </si>
  <si>
    <t>Added ECS Meterbox DH@ &amp; Y2 entry and associated calculations</t>
  </si>
  <si>
    <t>Includes change to mmH2O DP entry and flowmeter setting</t>
  </si>
  <si>
    <t>VP (kPa)</t>
  </si>
  <si>
    <t>Edited Hum_rat2 macro</t>
  </si>
  <si>
    <t>Added IdealNozzlemmH2O macro</t>
  </si>
  <si>
    <t>Ektimo Operators</t>
  </si>
  <si>
    <t>Ektimo Staff</t>
  </si>
  <si>
    <t>Imported Data</t>
  </si>
  <si>
    <t>Spot Check</t>
  </si>
  <si>
    <t>COPY FROM PREVIOUS</t>
  </si>
  <si>
    <t>(Jerome)</t>
  </si>
  <si>
    <t>Unlocked Sampling plane fields to allow copy and paste</t>
  </si>
  <si>
    <t>Added table in Gases sheet for inputting spot check numbers on site.</t>
  </si>
  <si>
    <t>Changed moisture content result to override estimated value with measured value.</t>
  </si>
  <si>
    <r>
      <t>Nitric oxide (as NO</t>
    </r>
    <r>
      <rPr>
        <vertAlign val="subscript"/>
        <sz val="9"/>
        <rFont val="Arial"/>
        <family val="2"/>
      </rPr>
      <t>2</t>
    </r>
    <r>
      <rPr>
        <sz val="9"/>
        <rFont val="Arial"/>
        <family val="2"/>
      </rPr>
      <t>)</t>
    </r>
  </si>
  <si>
    <r>
      <t>Nitrogen dioxide (as NO</t>
    </r>
    <r>
      <rPr>
        <vertAlign val="subscript"/>
        <sz val="9"/>
        <rFont val="Arial"/>
        <family val="2"/>
      </rPr>
      <t>2</t>
    </r>
    <r>
      <rPr>
        <sz val="9"/>
        <rFont val="Arial"/>
        <family val="2"/>
      </rPr>
      <t>)</t>
    </r>
  </si>
  <si>
    <r>
      <t>Nitrogen oxides (as NO</t>
    </r>
    <r>
      <rPr>
        <vertAlign val="subscript"/>
        <sz val="8"/>
        <rFont val="Arial"/>
        <family val="2"/>
      </rPr>
      <t>2</t>
    </r>
    <r>
      <rPr>
        <sz val="8"/>
        <rFont val="Arial"/>
        <family val="2"/>
      </rPr>
      <t>)</t>
    </r>
  </si>
  <si>
    <r>
      <t>VOC's C</t>
    </r>
    <r>
      <rPr>
        <b/>
        <vertAlign val="subscript"/>
        <sz val="10"/>
        <rFont val="Arial"/>
        <family val="2"/>
      </rPr>
      <t>1</t>
    </r>
    <r>
      <rPr>
        <b/>
        <sz val="10"/>
        <rFont val="Arial"/>
        <family val="2"/>
      </rPr>
      <t>-C</t>
    </r>
    <r>
      <rPr>
        <b/>
        <vertAlign val="subscript"/>
        <sz val="10"/>
        <rFont val="Arial"/>
        <family val="2"/>
      </rPr>
      <t>4</t>
    </r>
  </si>
  <si>
    <r>
      <t>Detection limit</t>
    </r>
    <r>
      <rPr>
        <vertAlign val="superscript"/>
        <sz val="9"/>
        <rFont val="Arial"/>
        <family val="2"/>
      </rPr>
      <t>(1)</t>
    </r>
  </si>
  <si>
    <t>Odour Inlet</t>
  </si>
  <si>
    <t>Odour Removal Efficiency</t>
  </si>
  <si>
    <t>(Based on Concentration)</t>
  </si>
  <si>
    <t>Odour Removal Efficiency:</t>
  </si>
  <si>
    <t>NA</t>
  </si>
  <si>
    <t>Based on odour concentration</t>
  </si>
  <si>
    <t>Added Inlet concentration input in Non-Iso sheet, with Odour Removal Efficiency calculation</t>
  </si>
  <si>
    <t>Added above into report table.</t>
  </si>
  <si>
    <t>Edited Psychrometric Calc table so not impacted by changes to Temp reporting units (e.g. °K)</t>
  </si>
  <si>
    <t>Fixed nozzle lookup (was not looking up all ETC nozzle kits)</t>
  </si>
  <si>
    <t>Formatting changes - Details page (colour trial)</t>
  </si>
  <si>
    <t>Fixed references so that spreadsheet works in Excel 2010. (Dev1, SVP1 etc)</t>
  </si>
  <si>
    <t>Barrel ID</t>
  </si>
  <si>
    <t>Source Text:</t>
  </si>
  <si>
    <t>Changed traverse point measurements to include port depth</t>
  </si>
  <si>
    <t>Updated formatting on Report page</t>
  </si>
  <si>
    <t>updated Details! Cells I49 &amp; J49 to ignore moisture determination if sample volume is zero</t>
  </si>
  <si>
    <t>USEPA 4</t>
  </si>
  <si>
    <t>Moisture Methods</t>
  </si>
  <si>
    <t>Psychrometric</t>
  </si>
  <si>
    <t>Method</t>
  </si>
  <si>
    <t>Fixed nozzle lookup (was not picking up lowest nozzle in list)</t>
  </si>
  <si>
    <t>Added Moisture method dropdown list to enable automatic lookup of sample volumes when using USEPA 4</t>
  </si>
  <si>
    <t>Autofill barometric pressure and pitot ID on afterflows page</t>
  </si>
  <si>
    <t>Fix Psyc moisture calc for test 2 (Detailw!J50)</t>
  </si>
  <si>
    <t>Enabled &gt; to be used for disturbance distances</t>
  </si>
  <si>
    <t>1" BSP (x3)</t>
  </si>
  <si>
    <t>1" BSP (x5)</t>
  </si>
  <si>
    <t>1" BSP (x6)</t>
  </si>
  <si>
    <t>2" BSP (x3)</t>
  </si>
  <si>
    <t>2" BSP (x5)</t>
  </si>
  <si>
    <t>2" BSP (x6)</t>
  </si>
  <si>
    <t>4" BSP (x3)</t>
  </si>
  <si>
    <t>4" BSP (x5)</t>
  </si>
  <si>
    <t>4" BSP (x6)</t>
  </si>
  <si>
    <t>1" Flange (x3)</t>
  </si>
  <si>
    <t>1" Flange (x5)</t>
  </si>
  <si>
    <t>1" Flange (x6)</t>
  </si>
  <si>
    <t>2" Flange (x3)</t>
  </si>
  <si>
    <t>2" Flange (x5)</t>
  </si>
  <si>
    <t>2" Flange (x6)</t>
  </si>
  <si>
    <t>4" Flange (x3)</t>
  </si>
  <si>
    <t>4" Flange (x5)</t>
  </si>
  <si>
    <t>4" Flange (x6)</t>
  </si>
  <si>
    <t>6" Flange (x3)</t>
  </si>
  <si>
    <t>6" Flange (x5)</t>
  </si>
  <si>
    <t>6" Flange (x6)</t>
  </si>
  <si>
    <t>Fixed Velocity Detection limit Function (previously not working for pitots &lt;&gt; 1-50</t>
  </si>
  <si>
    <t>Aligned MWs to parameters on non-iso page.</t>
  </si>
  <si>
    <t>Add new nozzle kits 966-969</t>
  </si>
  <si>
    <t>Results</t>
  </si>
  <si>
    <t>Update Odour results table (reformat)</t>
  </si>
  <si>
    <t>Remove forced use of engineering nomenclature of results</t>
  </si>
  <si>
    <t>Workplace STP</t>
  </si>
  <si>
    <t>Sampling plane dimensions</t>
  </si>
  <si>
    <t>Sampling plane area</t>
  </si>
  <si>
    <t xml:space="preserve">Exit plane area </t>
  </si>
  <si>
    <t>Exit plane dimensions</t>
  </si>
  <si>
    <t>PM10 T1</t>
  </si>
  <si>
    <t>PM10 T2</t>
  </si>
  <si>
    <t>Added Wet Bulb Temp entry for PM10 &amp; 2.5 page</t>
  </si>
  <si>
    <t>Added PM10 columns to Psychrometric Calculation Table (Details Page) and included in average moisture calc.</t>
  </si>
  <si>
    <t>Deleted unused defined names which were causing errors to occur (SVP3 &amp; SVP4)</t>
  </si>
  <si>
    <t>Edited comment for cell C2 on Details page which referenced EML</t>
  </si>
  <si>
    <t>Updated O2/CO2 Correction in report page to specify correction percentage</t>
  </si>
  <si>
    <t>Updated formatting of Sample plane Details on Report Page</t>
  </si>
  <si>
    <t>Alt-008 (volume)</t>
  </si>
  <si>
    <t>Alt-008 (flowrate)</t>
  </si>
  <si>
    <t>hhmm</t>
  </si>
  <si>
    <t>mL or g</t>
  </si>
  <si>
    <t>Enabled flowrates to be used for measuring Moisture determination sample volumes</t>
  </si>
  <si>
    <t>TOC (as n-Hexane)</t>
  </si>
  <si>
    <t>TOC Analyser Reference Gas</t>
  </si>
  <si>
    <t>TOC (as methane)</t>
  </si>
  <si>
    <t>TOC (as n-Propane)</t>
  </si>
  <si>
    <t>Fixed TOC report page to reference correct cells, use correct sig fig formulae.</t>
  </si>
  <si>
    <t>Added dropdown to select TOC reference gas (Gases!R6)</t>
  </si>
  <si>
    <t>Added lookup formula for MW of selected TOC reference gas (Gases!R7)</t>
  </si>
  <si>
    <t>Fixed Moisture Sample Volume Calc (added new Function: Total3)</t>
  </si>
  <si>
    <t>Fixed TOC concentration calculations to convert from wet conc to dry conc</t>
  </si>
  <si>
    <t>Added requirement for Cal data to be entered before Gases page imports raw data</t>
  </si>
  <si>
    <t xml:space="preserve">Acetaldehyde, </t>
  </si>
  <si>
    <t>Acetaldehyde</t>
  </si>
  <si>
    <t>Changed &lt; cells for averages to report ≤ if one result is less than and one is detected</t>
  </si>
  <si>
    <t>Fixed &lt; average formulae (referencing wrong cells for test 2 in some instances) - PM &amp; Metals</t>
  </si>
  <si>
    <t>NO as NO2</t>
  </si>
  <si>
    <t>NOx as NO2</t>
  </si>
  <si>
    <t>Cal Std NO2</t>
  </si>
  <si>
    <t>Cal Std Mixed</t>
  </si>
  <si>
    <t>Cal Std SO2</t>
  </si>
  <si>
    <t>Cal Std TOC</t>
  </si>
  <si>
    <t>Updated MWs of gases and H2O to 4 decimal places</t>
  </si>
  <si>
    <t>Fixed TOC concentration calculations to convert from wet conc to dry conc (error from previous fix)</t>
  </si>
  <si>
    <t>Added extra cells for additional gas standard bottle entry</t>
  </si>
  <si>
    <t>Edited vb function LessThan() to enable &lt;= symbol</t>
  </si>
  <si>
    <t>Dilution Gas Meter</t>
  </si>
  <si>
    <t>Added field for odour dilution meter (replaced no. ITEs cell)</t>
  </si>
  <si>
    <t>Dropout</t>
  </si>
  <si>
    <t>Test Two</t>
  </si>
  <si>
    <t>Blank</t>
  </si>
  <si>
    <t>Test One</t>
  </si>
  <si>
    <t>MW Result</t>
  </si>
  <si>
    <t>MW Analyte</t>
  </si>
  <si>
    <r>
      <t>%</t>
    </r>
    <r>
      <rPr>
        <sz val="9"/>
        <rFont val="Calibri"/>
        <family val="2"/>
      </rPr>
      <t>∆</t>
    </r>
  </si>
  <si>
    <t>ng/L</t>
  </si>
  <si>
    <t>Br</t>
  </si>
  <si>
    <t>Cl</t>
  </si>
  <si>
    <t>CN</t>
  </si>
  <si>
    <t>HBr</t>
  </si>
  <si>
    <t>HCl</t>
  </si>
  <si>
    <t>HCN</t>
  </si>
  <si>
    <t>HF</t>
  </si>
  <si>
    <t>Corr Vol</t>
  </si>
  <si>
    <t>Gas Concentration</t>
  </si>
  <si>
    <t>Test one</t>
  </si>
  <si>
    <t>Test two</t>
  </si>
  <si>
    <t>Detection limit</t>
  </si>
  <si>
    <t>Anemom (Hot)</t>
  </si>
  <si>
    <t>Anemom (Vane)</t>
  </si>
  <si>
    <t>Not set up for mmH2O Console Boxes</t>
  </si>
  <si>
    <t>Edited Flow DL to enable any number to be entered (below detection) and also to account for mmH2O DL (!Flows, !Afterflows, !PM10)</t>
  </si>
  <si>
    <t>Simplified AveFlow DL formula and removed VB function</t>
  </si>
  <si>
    <t>Version:</t>
  </si>
  <si>
    <t>Conversion</t>
  </si>
  <si>
    <t>Report totals as</t>
  </si>
  <si>
    <t>Report Header 1</t>
  </si>
  <si>
    <t>Report Header 2</t>
  </si>
  <si>
    <t>Total Organic Compounds</t>
  </si>
  <si>
    <t>(as n-Hexane)</t>
  </si>
  <si>
    <t>Total VOCs</t>
  </si>
  <si>
    <t>Total Speciated VOCs</t>
  </si>
  <si>
    <t>(as n-Propane)</t>
  </si>
  <si>
    <t>(TOC as n-Hexane)</t>
  </si>
  <si>
    <t>T1 Total</t>
  </si>
  <si>
    <t>T2 Total</t>
  </si>
  <si>
    <t>Sum Result</t>
  </si>
  <si>
    <t>Sum PQL</t>
  </si>
  <si>
    <t>Total Result</t>
  </si>
  <si>
    <t>Less Than Detection</t>
  </si>
  <si>
    <t>Bromide</t>
  </si>
  <si>
    <t>Bromine</t>
  </si>
  <si>
    <t>Chloride</t>
  </si>
  <si>
    <t>Chlorine</t>
  </si>
  <si>
    <t>Cyanide</t>
  </si>
  <si>
    <t>Fluorine</t>
  </si>
  <si>
    <t>Hydrogen Bromide</t>
  </si>
  <si>
    <t>Hydrogen Chloride</t>
  </si>
  <si>
    <t>Hydrogen Cyanide</t>
  </si>
  <si>
    <t>Sulfur</t>
  </si>
  <si>
    <t>Sulfur trioxide</t>
  </si>
  <si>
    <t>Sulfate</t>
  </si>
  <si>
    <t>Symbol</t>
  </si>
  <si>
    <t>Conc (m/v)</t>
  </si>
  <si>
    <t>Non-Isokinetics 1</t>
  </si>
  <si>
    <t>Non-Isokinetics 2</t>
  </si>
  <si>
    <t>Non-Isokinetics 3</t>
  </si>
  <si>
    <t>Non-Isokinetics 4</t>
  </si>
  <si>
    <t>Non-Isokinetics 5</t>
  </si>
  <si>
    <t>Non-Isokinetics 6</t>
  </si>
  <si>
    <t>Dilution Factor:</t>
  </si>
  <si>
    <t>Sample Vol (mL):</t>
  </si>
  <si>
    <t>Sample ID:</t>
  </si>
  <si>
    <t>MW Conv Factor</t>
  </si>
  <si>
    <t>Imp 1</t>
  </si>
  <si>
    <t>Imp 2</t>
  </si>
  <si>
    <t>Imp 3</t>
  </si>
  <si>
    <t>Imp 4</t>
  </si>
  <si>
    <t>Blank Corrected Total (Reporting compound) (µg)</t>
  </si>
  <si>
    <t>DL (µg/L)</t>
  </si>
  <si>
    <t>PQLs µg</t>
  </si>
  <si>
    <t>Lab Reporting Units:</t>
  </si>
  <si>
    <t>Report as</t>
  </si>
  <si>
    <t>PQL µg/L</t>
  </si>
  <si>
    <t>Breakthrough</t>
  </si>
  <si>
    <t>Note</t>
  </si>
  <si>
    <t>Difference (T1-T2)</t>
  </si>
  <si>
    <t>Break through</t>
  </si>
  <si>
    <t>m&amp;p Cresol</t>
  </si>
  <si>
    <t>95-48-7</t>
  </si>
  <si>
    <t>108-39-4, 106-44-5</t>
  </si>
  <si>
    <t>108-46-3</t>
  </si>
  <si>
    <t>108-95-2</t>
  </si>
  <si>
    <t>CAS No.</t>
  </si>
  <si>
    <t>Analyse as</t>
  </si>
  <si>
    <t xml:space="preserve"> Reporting MW</t>
  </si>
  <si>
    <t>Isokinetics Test 1</t>
  </si>
  <si>
    <t>Filter Blank</t>
  </si>
  <si>
    <t>Metals Blank</t>
  </si>
  <si>
    <t>Hg Blank</t>
  </si>
  <si>
    <t>Impingers:</t>
  </si>
  <si>
    <t>Filters:</t>
  </si>
  <si>
    <t>AB Blank</t>
  </si>
  <si>
    <t>CD Blank</t>
  </si>
  <si>
    <t>C&amp;D Blank</t>
  </si>
  <si>
    <t>A&amp;B Blank</t>
  </si>
  <si>
    <t>Test One &amp; Two</t>
  </si>
  <si>
    <t>Isokinetics Test 2</t>
  </si>
  <si>
    <t>PM10/2.5</t>
  </si>
  <si>
    <t>Filter no.:</t>
  </si>
  <si>
    <t>Particulate Results</t>
  </si>
  <si>
    <t>TPM T1</t>
  </si>
  <si>
    <t>TPM T2</t>
  </si>
  <si>
    <t>Units</t>
  </si>
  <si>
    <t>Lab Result (Total µg)</t>
  </si>
  <si>
    <t>PQLs (µg)</t>
  </si>
  <si>
    <t>Input Units Factor</t>
  </si>
  <si>
    <t>Test One Result</t>
  </si>
  <si>
    <t>Test Two Result</t>
  </si>
  <si>
    <t>TPM (PM10/2.5)</t>
  </si>
  <si>
    <t>TPM Concentration</t>
  </si>
  <si>
    <t>Note: Results already blank corrected</t>
  </si>
  <si>
    <t>Traverse points (including port) mm</t>
  </si>
  <si>
    <t>Gas measured</t>
  </si>
  <si>
    <t>Mean</t>
  </si>
  <si>
    <t>Pass 1 point</t>
  </si>
  <si>
    <t>Pass 3 points</t>
  </si>
  <si>
    <t>Readings ppm</t>
  </si>
  <si>
    <t>Abs % from mean</t>
  </si>
  <si>
    <t>Abs ppm from mean</t>
  </si>
  <si>
    <t>Test points per traverse required =</t>
  </si>
  <si>
    <r>
      <rPr>
        <sz val="8"/>
        <color indexed="8"/>
        <rFont val="Calibri"/>
        <family val="2"/>
      </rPr>
      <t>≤</t>
    </r>
    <r>
      <rPr>
        <sz val="8"/>
        <color indexed="8"/>
        <rFont val="Tahoma"/>
        <family val="2"/>
      </rPr>
      <t xml:space="preserve"> 5% or 0.5ppm</t>
    </r>
  </si>
  <si>
    <r>
      <rPr>
        <sz val="8"/>
        <color indexed="8"/>
        <rFont val="Calibri"/>
        <family val="2"/>
      </rPr>
      <t>≤</t>
    </r>
    <r>
      <rPr>
        <sz val="8"/>
        <color indexed="8"/>
        <rFont val="Tahoma"/>
        <family val="2"/>
      </rPr>
      <t xml:space="preserve"> 10% or 1ppm</t>
    </r>
  </si>
  <si>
    <t>NOx</t>
  </si>
  <si>
    <t>Fixed Nox Results import which was not working (Gases!)</t>
  </si>
  <si>
    <t>Added gases stratification table (Gases!)</t>
  </si>
  <si>
    <t>PSA</t>
  </si>
  <si>
    <t>TPM (201A)</t>
  </si>
  <si>
    <t>PM10 (%)</t>
  </si>
  <si>
    <t>PM2.5 (%)</t>
  </si>
  <si>
    <t>PM10/2.5 dry flow rate</t>
  </si>
  <si>
    <t>USEPA 4 or Alt-008</t>
  </si>
  <si>
    <t>Mass Rates</t>
  </si>
  <si>
    <t>O2CO2 Factor</t>
  </si>
  <si>
    <t>3 point traverse stratification test</t>
  </si>
  <si>
    <t>75-07-0</t>
  </si>
  <si>
    <r>
      <t>C</t>
    </r>
    <r>
      <rPr>
        <vertAlign val="subscript"/>
        <sz val="9"/>
        <color theme="1"/>
        <rFont val="Arial"/>
        <family val="2"/>
      </rPr>
      <t>2</t>
    </r>
    <r>
      <rPr>
        <sz val="9"/>
        <color theme="1"/>
        <rFont val="Arial"/>
        <family val="2"/>
      </rPr>
      <t>H</t>
    </r>
    <r>
      <rPr>
        <vertAlign val="subscript"/>
        <sz val="9"/>
        <color theme="1"/>
        <rFont val="Arial"/>
        <family val="2"/>
      </rPr>
      <t>4</t>
    </r>
    <r>
      <rPr>
        <sz val="9"/>
        <color theme="1"/>
        <rFont val="Arial"/>
        <family val="2"/>
      </rPr>
      <t>O</t>
    </r>
  </si>
  <si>
    <t>107-02-8</t>
  </si>
  <si>
    <r>
      <t>C</t>
    </r>
    <r>
      <rPr>
        <vertAlign val="subscript"/>
        <sz val="9"/>
        <color theme="1"/>
        <rFont val="Arial"/>
        <family val="2"/>
      </rPr>
      <t>3</t>
    </r>
    <r>
      <rPr>
        <sz val="9"/>
        <color theme="1"/>
        <rFont val="Arial"/>
        <family val="2"/>
      </rPr>
      <t>H</t>
    </r>
    <r>
      <rPr>
        <vertAlign val="subscript"/>
        <sz val="9"/>
        <color theme="1"/>
        <rFont val="Arial"/>
        <family val="2"/>
      </rPr>
      <t>4</t>
    </r>
    <r>
      <rPr>
        <sz val="9"/>
        <color theme="1"/>
        <rFont val="Arial"/>
        <family val="2"/>
      </rPr>
      <t>O</t>
    </r>
  </si>
  <si>
    <t>7664-41-7</t>
  </si>
  <si>
    <r>
      <t>NH</t>
    </r>
    <r>
      <rPr>
        <vertAlign val="subscript"/>
        <sz val="9"/>
        <color theme="1"/>
        <rFont val="Arial"/>
        <family val="2"/>
      </rPr>
      <t>3</t>
    </r>
  </si>
  <si>
    <t>Arsine</t>
  </si>
  <si>
    <t>7784-42-1</t>
  </si>
  <si>
    <r>
      <t>AsH</t>
    </r>
    <r>
      <rPr>
        <vertAlign val="subscript"/>
        <sz val="9"/>
        <color theme="1"/>
        <rFont val="Arial"/>
        <family val="2"/>
      </rPr>
      <t>3</t>
    </r>
  </si>
  <si>
    <t>As</t>
  </si>
  <si>
    <t>24959-67-9</t>
  </si>
  <si>
    <t>7726-95-6</t>
  </si>
  <si>
    <r>
      <t>Br</t>
    </r>
    <r>
      <rPr>
        <vertAlign val="subscript"/>
        <sz val="9"/>
        <rFont val="Arial"/>
        <family val="2"/>
      </rPr>
      <t>2</t>
    </r>
  </si>
  <si>
    <t>123-72-8</t>
  </si>
  <si>
    <r>
      <t>C</t>
    </r>
    <r>
      <rPr>
        <vertAlign val="subscript"/>
        <sz val="9"/>
        <color theme="1"/>
        <rFont val="Arial"/>
        <family val="2"/>
      </rPr>
      <t>4</t>
    </r>
    <r>
      <rPr>
        <sz val="9"/>
        <color theme="1"/>
        <rFont val="Arial"/>
        <family val="2"/>
      </rPr>
      <t>H</t>
    </r>
    <r>
      <rPr>
        <vertAlign val="subscript"/>
        <sz val="9"/>
        <color theme="1"/>
        <rFont val="Arial"/>
        <family val="2"/>
      </rPr>
      <t>8</t>
    </r>
    <r>
      <rPr>
        <sz val="9"/>
        <color theme="1"/>
        <rFont val="Arial"/>
        <family val="2"/>
      </rPr>
      <t>O</t>
    </r>
  </si>
  <si>
    <t>16887-00-6</t>
  </si>
  <si>
    <t>7782-50-5</t>
  </si>
  <si>
    <r>
      <t>Cl</t>
    </r>
    <r>
      <rPr>
        <vertAlign val="subscript"/>
        <sz val="9"/>
        <rFont val="Arial"/>
        <family val="2"/>
      </rPr>
      <t>2</t>
    </r>
  </si>
  <si>
    <t>74-90-8</t>
  </si>
  <si>
    <t>Fluoride (Total as HF)</t>
  </si>
  <si>
    <t>16984-48-8</t>
  </si>
  <si>
    <t>7782-41-4</t>
  </si>
  <si>
    <r>
      <t>F</t>
    </r>
    <r>
      <rPr>
        <vertAlign val="subscript"/>
        <sz val="9"/>
        <rFont val="Arial"/>
        <family val="2"/>
      </rPr>
      <t>2</t>
    </r>
  </si>
  <si>
    <t>50-00-0</t>
  </si>
  <si>
    <r>
      <t>CH</t>
    </r>
    <r>
      <rPr>
        <vertAlign val="subscript"/>
        <sz val="9"/>
        <color theme="1"/>
        <rFont val="Arial"/>
        <family val="2"/>
      </rPr>
      <t>2</t>
    </r>
    <r>
      <rPr>
        <sz val="9"/>
        <color theme="1"/>
        <rFont val="Arial"/>
        <family val="2"/>
      </rPr>
      <t>O</t>
    </r>
  </si>
  <si>
    <t>66-25-1</t>
  </si>
  <si>
    <r>
      <t>C</t>
    </r>
    <r>
      <rPr>
        <vertAlign val="subscript"/>
        <sz val="9"/>
        <color theme="1"/>
        <rFont val="Arial"/>
        <family val="2"/>
      </rPr>
      <t>6</t>
    </r>
    <r>
      <rPr>
        <sz val="9"/>
        <color theme="1"/>
        <rFont val="Arial"/>
        <family val="2"/>
      </rPr>
      <t>H</t>
    </r>
    <r>
      <rPr>
        <vertAlign val="subscript"/>
        <sz val="9"/>
        <color theme="1"/>
        <rFont val="Arial"/>
        <family val="2"/>
      </rPr>
      <t>12</t>
    </r>
    <r>
      <rPr>
        <sz val="9"/>
        <color theme="1"/>
        <rFont val="Arial"/>
        <family val="2"/>
      </rPr>
      <t>O</t>
    </r>
  </si>
  <si>
    <t>100035-10-6</t>
  </si>
  <si>
    <t>7647-01-0</t>
  </si>
  <si>
    <t>Hydrogen Fluoride (soluble)</t>
  </si>
  <si>
    <t>7664-39-3</t>
  </si>
  <si>
    <t>Hydrogen Sulfide</t>
  </si>
  <si>
    <t>7783-06-4</t>
  </si>
  <si>
    <r>
      <t>H</t>
    </r>
    <r>
      <rPr>
        <vertAlign val="subscript"/>
        <sz val="9"/>
        <rFont val="Arial"/>
        <family val="2"/>
      </rPr>
      <t>2</t>
    </r>
    <r>
      <rPr>
        <sz val="9"/>
        <rFont val="Arial"/>
        <family val="2"/>
      </rPr>
      <t>S</t>
    </r>
  </si>
  <si>
    <t>Isocyanates 2,4-TDI</t>
  </si>
  <si>
    <t>584-84-9</t>
  </si>
  <si>
    <t>2,4-TDI</t>
  </si>
  <si>
    <t>Isocyanates 2,6-TDI</t>
  </si>
  <si>
    <t>91-08-7</t>
  </si>
  <si>
    <t>2,6-TDI</t>
  </si>
  <si>
    <t>Isocyanates MDI</t>
  </si>
  <si>
    <t>101-68-8</t>
  </si>
  <si>
    <t>MDI</t>
  </si>
  <si>
    <t>Nickel Carbonyl</t>
  </si>
  <si>
    <t>13463-39-3</t>
  </si>
  <si>
    <r>
      <t>Ni(CO)</t>
    </r>
    <r>
      <rPr>
        <vertAlign val="subscript"/>
        <sz val="9"/>
        <color theme="1"/>
        <rFont val="Arial"/>
        <family val="2"/>
      </rPr>
      <t>4</t>
    </r>
  </si>
  <si>
    <t>Ni</t>
  </si>
  <si>
    <t>Nitrate</t>
  </si>
  <si>
    <t>19797-55-8</t>
  </si>
  <si>
    <r>
      <t>NO</t>
    </r>
    <r>
      <rPr>
        <vertAlign val="subscript"/>
        <sz val="9"/>
        <color theme="1"/>
        <rFont val="Arial"/>
        <family val="2"/>
      </rPr>
      <t>3</t>
    </r>
  </si>
  <si>
    <t>Nitrite</t>
  </si>
  <si>
    <t>14797-65-0</t>
  </si>
  <si>
    <r>
      <t>NO</t>
    </r>
    <r>
      <rPr>
        <vertAlign val="subscript"/>
        <sz val="9"/>
        <color theme="1"/>
        <rFont val="Arial"/>
        <family val="2"/>
      </rPr>
      <t>2</t>
    </r>
  </si>
  <si>
    <t>7727-37-9</t>
  </si>
  <si>
    <t>Phosphate</t>
  </si>
  <si>
    <t>14265-44-2</t>
  </si>
  <si>
    <r>
      <t>PO</t>
    </r>
    <r>
      <rPr>
        <vertAlign val="subscript"/>
        <sz val="9"/>
        <color theme="1"/>
        <rFont val="Arial"/>
        <family val="2"/>
      </rPr>
      <t>4</t>
    </r>
  </si>
  <si>
    <t>123-38-6</t>
  </si>
  <si>
    <r>
      <t>C</t>
    </r>
    <r>
      <rPr>
        <vertAlign val="subscript"/>
        <sz val="9"/>
        <color theme="1"/>
        <rFont val="Arial"/>
        <family val="2"/>
      </rPr>
      <t>3</t>
    </r>
    <r>
      <rPr>
        <sz val="9"/>
        <color theme="1"/>
        <rFont val="Arial"/>
        <family val="2"/>
      </rPr>
      <t>H</t>
    </r>
    <r>
      <rPr>
        <vertAlign val="subscript"/>
        <sz val="9"/>
        <color theme="1"/>
        <rFont val="Arial"/>
        <family val="2"/>
      </rPr>
      <t>6</t>
    </r>
    <r>
      <rPr>
        <sz val="9"/>
        <color theme="1"/>
        <rFont val="Arial"/>
        <family val="2"/>
      </rPr>
      <t>O</t>
    </r>
  </si>
  <si>
    <t>14808-79-8</t>
  </si>
  <si>
    <r>
      <t>SO</t>
    </r>
    <r>
      <rPr>
        <vertAlign val="subscript"/>
        <sz val="9"/>
        <rFont val="Arial"/>
        <family val="2"/>
      </rPr>
      <t>4</t>
    </r>
  </si>
  <si>
    <t>7704-34-9</t>
  </si>
  <si>
    <t>7446-09-5</t>
  </si>
  <si>
    <r>
      <t>SO</t>
    </r>
    <r>
      <rPr>
        <vertAlign val="subscript"/>
        <sz val="9"/>
        <rFont val="Arial"/>
        <family val="2"/>
      </rPr>
      <t>2</t>
    </r>
  </si>
  <si>
    <t>7446-11-9</t>
  </si>
  <si>
    <r>
      <t>SO</t>
    </r>
    <r>
      <rPr>
        <vertAlign val="subscript"/>
        <sz val="9"/>
        <rFont val="Arial"/>
        <family val="2"/>
      </rPr>
      <t>3</t>
    </r>
  </si>
  <si>
    <t>7664-93-9</t>
  </si>
  <si>
    <r>
      <t>H</t>
    </r>
    <r>
      <rPr>
        <vertAlign val="subscript"/>
        <sz val="9"/>
        <rFont val="Arial"/>
        <family val="2"/>
      </rPr>
      <t>2</t>
    </r>
    <r>
      <rPr>
        <sz val="9"/>
        <rFont val="Arial"/>
        <family val="2"/>
      </rPr>
      <t>SO</t>
    </r>
    <r>
      <rPr>
        <vertAlign val="subscript"/>
        <sz val="9"/>
        <rFont val="Arial"/>
        <family val="2"/>
      </rPr>
      <t>4</t>
    </r>
  </si>
  <si>
    <r>
      <t>TRS as SO</t>
    </r>
    <r>
      <rPr>
        <vertAlign val="subscript"/>
        <sz val="9"/>
        <rFont val="Arial"/>
        <family val="2"/>
      </rPr>
      <t>2</t>
    </r>
    <r>
      <rPr>
        <sz val="9"/>
        <rFont val="Arial"/>
        <family val="2"/>
      </rPr>
      <t xml:space="preserve"> (TRS Efficiency)</t>
    </r>
  </si>
  <si>
    <r>
      <t>TRS as SO</t>
    </r>
    <r>
      <rPr>
        <vertAlign val="subscript"/>
        <sz val="9"/>
        <rFont val="Arial"/>
        <family val="2"/>
      </rPr>
      <t>2</t>
    </r>
  </si>
  <si>
    <t>110-62-3</t>
  </si>
  <si>
    <r>
      <t>C</t>
    </r>
    <r>
      <rPr>
        <vertAlign val="subscript"/>
        <sz val="9"/>
        <color theme="1"/>
        <rFont val="Arial"/>
        <family val="2"/>
      </rPr>
      <t>5</t>
    </r>
    <r>
      <rPr>
        <sz val="9"/>
        <color theme="1"/>
        <rFont val="Arial"/>
        <family val="2"/>
      </rPr>
      <t>H</t>
    </r>
    <r>
      <rPr>
        <vertAlign val="subscript"/>
        <sz val="9"/>
        <color theme="1"/>
        <rFont val="Arial"/>
        <family val="2"/>
      </rPr>
      <t>10</t>
    </r>
    <r>
      <rPr>
        <sz val="9"/>
        <color theme="1"/>
        <rFont val="Arial"/>
        <family val="2"/>
      </rPr>
      <t>O</t>
    </r>
  </si>
  <si>
    <t>Analysis MW</t>
  </si>
  <si>
    <t>Filter PQL µg/filter</t>
  </si>
  <si>
    <t>Liquid PQL µg/mL</t>
  </si>
  <si>
    <t>Liquid</t>
  </si>
  <si>
    <t>ETC 20</t>
  </si>
  <si>
    <t>ETC 21</t>
  </si>
  <si>
    <t>Fixed VOC results table: Concentrations columns not calculating from correct cells.</t>
  </si>
  <si>
    <t>Pre-Dilution</t>
  </si>
  <si>
    <t>Raw Result</t>
  </si>
  <si>
    <t>Post dilution</t>
  </si>
  <si>
    <t>Total dilution</t>
  </si>
  <si>
    <t>Dilution air volume</t>
  </si>
  <si>
    <t>Sample air volume</t>
  </si>
  <si>
    <t>Use only when outlet and inlet mass flow rates are the same (i.e. closed system)</t>
  </si>
  <si>
    <t>USEPA 4 (PM10 volumes)</t>
  </si>
  <si>
    <t>MRU</t>
  </si>
  <si>
    <t>Calculated</t>
  </si>
  <si>
    <t>block</t>
  </si>
  <si>
    <t>date</t>
  </si>
  <si>
    <t>time</t>
  </si>
  <si>
    <t>O2,%</t>
  </si>
  <si>
    <t>CO2,%</t>
  </si>
  <si>
    <t>CO,ppm</t>
  </si>
  <si>
    <t>NO,ppm</t>
  </si>
  <si>
    <t>NO2,ppm</t>
  </si>
  <si>
    <t>SO2,ppm</t>
  </si>
  <si>
    <t>CH4,%</t>
  </si>
  <si>
    <t>TESTO</t>
  </si>
  <si>
    <t>JUM</t>
  </si>
  <si>
    <t>Edited VOC results tab to exclude methane in totals if option selected</t>
  </si>
  <si>
    <t>Fixed checkbox for reporting odour inlet results</t>
  </si>
  <si>
    <t>various data entry amendments</t>
  </si>
  <si>
    <t>Enable MRU gases data entry</t>
  </si>
  <si>
    <t>Enable selection of PM10 volumes tobe used for moisture determination (USEPA4)</t>
  </si>
  <si>
    <t>Changed Odour results entry table to separate dilution factors (pre and post)</t>
  </si>
  <si>
    <t>ANALYSIS</t>
  </si>
  <si>
    <t>SAMPLING</t>
  </si>
  <si>
    <t>Sampling Mode:</t>
  </si>
  <si>
    <t>Type 1 substances (Sb, As, Cd, Pb, Hg)</t>
  </si>
  <si>
    <t>mg/m3</t>
  </si>
  <si>
    <t>Type 2 substances (Be, Cr, Co, Mn, Ni, Se, V, Sn)</t>
  </si>
  <si>
    <t>Antimony</t>
  </si>
  <si>
    <t>Arsenic</t>
  </si>
  <si>
    <t>Cadmium</t>
  </si>
  <si>
    <t>Lead</t>
  </si>
  <si>
    <t>Mercury</t>
  </si>
  <si>
    <t>Beryllium</t>
  </si>
  <si>
    <t>Chromium</t>
  </si>
  <si>
    <t>Cobalt</t>
  </si>
  <si>
    <t>Manganese</t>
  </si>
  <si>
    <t>Nickel</t>
  </si>
  <si>
    <t>Tin</t>
  </si>
  <si>
    <t>Vanadium</t>
  </si>
  <si>
    <t>Selenium</t>
  </si>
  <si>
    <t>TEST 2</t>
  </si>
  <si>
    <t>TEST 1</t>
  </si>
  <si>
    <t>Total Type 1 Substances</t>
  </si>
  <si>
    <t>Total Type 2 Substances</t>
  </si>
  <si>
    <t>Total Type 1 &amp; 2 Substances</t>
  </si>
  <si>
    <t>Job Number</t>
  </si>
  <si>
    <t>Flow rate at discharge conditions</t>
  </si>
  <si>
    <t>Flow rate at dry NTP conditions</t>
  </si>
  <si>
    <t>Parameter</t>
  </si>
  <si>
    <t>Conc Unit</t>
  </si>
  <si>
    <t>Conc1Result</t>
  </si>
  <si>
    <t>Conc2Result</t>
  </si>
  <si>
    <t>MR Unit</t>
  </si>
  <si>
    <t>MR1Result</t>
  </si>
  <si>
    <t>MR2Result</t>
  </si>
  <si>
    <t>Start Time 1</t>
  </si>
  <si>
    <t>End Time 1</t>
  </si>
  <si>
    <t>Start Time 2</t>
  </si>
  <si>
    <t>End Time 2</t>
  </si>
  <si>
    <t>StackID</t>
  </si>
  <si>
    <t>Stack dimensions at sampling plane</t>
  </si>
  <si>
    <t>Velocity at sampling plane</t>
  </si>
  <si>
    <t>Average temperature</t>
  </si>
  <si>
    <t>Result</t>
  </si>
  <si>
    <t>Flow rate at wet STP conditions</t>
  </si>
  <si>
    <t>% v/v</t>
  </si>
  <si>
    <t>CURRENT EDIT</t>
  </si>
  <si>
    <t>Cumulative time</t>
  </si>
  <si>
    <t>Checked By</t>
  </si>
  <si>
    <t>Version No.</t>
  </si>
  <si>
    <t>Fixed Moisture time cells - were incorrectly referencing external file.</t>
  </si>
  <si>
    <t>Added Type1&amp;2 Substances Reporting capability (Report! &amp; PM&amp;Metals!)</t>
  </si>
  <si>
    <t>Initial Zero</t>
  </si>
  <si>
    <t>Initial Span</t>
  </si>
  <si>
    <t>Final Span</t>
  </si>
  <si>
    <t>Final Zero</t>
  </si>
  <si>
    <t>Initial leak check entire system &amp; system response time</t>
  </si>
  <si>
    <t>Gas used - enter</t>
  </si>
  <si>
    <t>System % leakage ≤5%</t>
  </si>
  <si>
    <t>N2 for nitrogen</t>
  </si>
  <si>
    <t>ppm (if not N2)</t>
  </si>
  <si>
    <t>Acceptance</t>
  </si>
  <si>
    <t>System response time (seconds)</t>
  </si>
  <si>
    <t>Updated traverse point position calc (Function: Position) to calculate points minimum 3% from stack wall</t>
  </si>
  <si>
    <t>Added functionality for flow rates to be used to calculate sample volume of odour samples.</t>
  </si>
  <si>
    <t>Added leak check and system response time field entry on Gases tab.</t>
  </si>
  <si>
    <t>Added isokinetic rate to flows page</t>
  </si>
  <si>
    <t>Alt-008 flow calculation fixed (did not work if before 10am)</t>
  </si>
  <si>
    <t>ACT</t>
  </si>
  <si>
    <t>Fixed moisture calculations, not working correctly when PM10 flows used</t>
  </si>
  <si>
    <t>Fixed Test 2 Bag sample concentration calcs (incorrect formula)</t>
  </si>
  <si>
    <t>Fixed formatting on Non-iso page (some rows hidden)</t>
  </si>
  <si>
    <t>Flows to Report</t>
  </si>
  <si>
    <t>Isokinetic Sampling Parameters</t>
  </si>
  <si>
    <t>JUM Range Factors</t>
  </si>
  <si>
    <t>JUM Range Factor</t>
  </si>
  <si>
    <t>Analyser ID(s)</t>
  </si>
  <si>
    <t>Gases Analyser</t>
  </si>
  <si>
    <t>Current (ppm TOC)</t>
  </si>
  <si>
    <t>Modified JUM Data lookup to include JUM range setting to determine multiplication factor</t>
  </si>
  <si>
    <t xml:space="preserve"> Modified report page for option to have just average flow results reported.</t>
  </si>
  <si>
    <t>Isokinetic Results</t>
  </si>
  <si>
    <t xml:space="preserve">Barium (Ba) </t>
  </si>
  <si>
    <t>Calcium (Ca)</t>
  </si>
  <si>
    <t>Iron (Fe)</t>
  </si>
  <si>
    <t>Lithium (Li)</t>
  </si>
  <si>
    <t>Molybdenum (Mo)</t>
  </si>
  <si>
    <t>Potassium (K)</t>
  </si>
  <si>
    <t>Silver (Ag)</t>
  </si>
  <si>
    <t>Vanadium (V)</t>
  </si>
  <si>
    <t>7429-90-5</t>
  </si>
  <si>
    <t>7440-36-0</t>
  </si>
  <si>
    <t>7440-38-2</t>
  </si>
  <si>
    <t>7440-39-3</t>
  </si>
  <si>
    <t>7440-41-7</t>
  </si>
  <si>
    <t>7440-43-9</t>
  </si>
  <si>
    <t>7440-70-2</t>
  </si>
  <si>
    <t>7440-47-3</t>
  </si>
  <si>
    <t>7440-48-4</t>
  </si>
  <si>
    <t>7440-50-8</t>
  </si>
  <si>
    <t>7439-89-6</t>
  </si>
  <si>
    <t>7439-92-1</t>
  </si>
  <si>
    <t>7439-93-2</t>
  </si>
  <si>
    <t>7439-95-4</t>
  </si>
  <si>
    <t>7439-96-5</t>
  </si>
  <si>
    <t>7439-97-6</t>
  </si>
  <si>
    <t>7439-98-7</t>
  </si>
  <si>
    <t>7440-02-0</t>
  </si>
  <si>
    <t>7723-14-0</t>
  </si>
  <si>
    <t>7440-09-7</t>
  </si>
  <si>
    <t>7782-49-2</t>
  </si>
  <si>
    <t>7440-22-4</t>
  </si>
  <si>
    <t>7440-23-5</t>
  </si>
  <si>
    <t>7440-28-0</t>
  </si>
  <si>
    <t>7440-31-5</t>
  </si>
  <si>
    <t>7440-62-2</t>
  </si>
  <si>
    <t>7440-66-6</t>
  </si>
  <si>
    <t>Al</t>
  </si>
  <si>
    <t>Ba</t>
  </si>
  <si>
    <t>Be</t>
  </si>
  <si>
    <t>Ca</t>
  </si>
  <si>
    <t>Co</t>
  </si>
  <si>
    <t>Li</t>
  </si>
  <si>
    <t>Mo</t>
  </si>
  <si>
    <t>Sb</t>
  </si>
  <si>
    <t>Cd</t>
  </si>
  <si>
    <t>Cr</t>
  </si>
  <si>
    <t>Cu</t>
  </si>
  <si>
    <t>Fe</t>
  </si>
  <si>
    <t>Pb</t>
  </si>
  <si>
    <t>Mg</t>
  </si>
  <si>
    <t>Mn</t>
  </si>
  <si>
    <t>Hg</t>
  </si>
  <si>
    <t>Se</t>
  </si>
  <si>
    <t>Ag</t>
  </si>
  <si>
    <t>Na</t>
  </si>
  <si>
    <t>Tl</t>
  </si>
  <si>
    <t>Sn</t>
  </si>
  <si>
    <t>Zn</t>
  </si>
  <si>
    <t>Metals PQLs</t>
  </si>
  <si>
    <t>Envirolabs</t>
  </si>
  <si>
    <t>NMI</t>
  </si>
  <si>
    <t>Bismuth (Bi)</t>
  </si>
  <si>
    <t>Boron (B)</t>
  </si>
  <si>
    <t>Sodium (Na)</t>
  </si>
  <si>
    <t>Liquid PQL µg/sample</t>
  </si>
  <si>
    <t>7440-42-8</t>
  </si>
  <si>
    <t>Bi</t>
  </si>
  <si>
    <t>7440-69-9</t>
  </si>
  <si>
    <t>Metals</t>
  </si>
  <si>
    <t>Halides &amp; Halogens</t>
  </si>
  <si>
    <t>Other</t>
  </si>
  <si>
    <t>Sulfur compounds</t>
  </si>
  <si>
    <t>Isocyanates</t>
  </si>
  <si>
    <t>General Gases</t>
  </si>
  <si>
    <t>SOx</t>
  </si>
  <si>
    <t>Iso Analysis List</t>
  </si>
  <si>
    <t>Sulfur oxides</t>
  </si>
  <si>
    <t>Sulfuric acid</t>
  </si>
  <si>
    <t>Non-isokinetic Sample Train 1</t>
  </si>
  <si>
    <t>Target Compound list</t>
  </si>
  <si>
    <t>TEST TWO</t>
  </si>
  <si>
    <t>Non-isokinetic Sample Train 2</t>
  </si>
  <si>
    <t>Non-isokinetic Sample Train 3</t>
  </si>
  <si>
    <t>If Metals, Which Lab?:</t>
  </si>
  <si>
    <t>Non-isokinetic Sample Train 4</t>
  </si>
  <si>
    <t>Non-isokinetic Sample Train 5</t>
  </si>
  <si>
    <t>Non-isokinetic Sample Train 6</t>
  </si>
  <si>
    <t>Sampling Notes - Sample Train 1</t>
  </si>
  <si>
    <t>Sampling Notes - Sample Train 2</t>
  </si>
  <si>
    <t>Sampling Notes - Sample Train 3</t>
  </si>
  <si>
    <t>Sampling Notes - Sample Train 4</t>
  </si>
  <si>
    <t>Sampling Notes - Sample Train 5</t>
  </si>
  <si>
    <t>Sampling Notes - Sample Train 6</t>
  </si>
  <si>
    <t>P/w</t>
  </si>
  <si>
    <t>Non Iso List</t>
  </si>
  <si>
    <t>Antimony (Sb)</t>
  </si>
  <si>
    <t>Arsenic (As)</t>
  </si>
  <si>
    <t>Aluminium (Al)</t>
  </si>
  <si>
    <t>Beryllium (Be)</t>
  </si>
  <si>
    <t>Cadmium (Cd)</t>
  </si>
  <si>
    <t>Chromium (Cr)</t>
  </si>
  <si>
    <t>Cobalt (Co)</t>
  </si>
  <si>
    <t>Copper (Cu)</t>
  </si>
  <si>
    <t>Lead (Pb)</t>
  </si>
  <si>
    <t>Magnesium (Mg)</t>
  </si>
  <si>
    <t>Manganese (Mn)</t>
  </si>
  <si>
    <t>Mercury (Hg)</t>
  </si>
  <si>
    <t>Nickel (Ni)</t>
  </si>
  <si>
    <t>Phosphorus (P)</t>
  </si>
  <si>
    <t>Selenium (Se)</t>
  </si>
  <si>
    <t>Thallium (Tl)</t>
  </si>
  <si>
    <t>Tin (Sn)</t>
  </si>
  <si>
    <t>Zinc (Zn)</t>
  </si>
  <si>
    <t>Enter all less than results.</t>
  </si>
  <si>
    <t>TRS Efficiency</t>
  </si>
  <si>
    <t>H2S</t>
  </si>
  <si>
    <t>Standard Recovery mg/m³</t>
  </si>
  <si>
    <t>Equivalent SO2 (mg/m³)</t>
  </si>
  <si>
    <t>Standard Recovery %</t>
  </si>
  <si>
    <t>H2S Concentration (ppm)</t>
  </si>
  <si>
    <t>Completed new Results Entry Page for Isokinetic And Non-Isokinetic results.</t>
  </si>
  <si>
    <t>Modified Report page to link to new Results entry page.</t>
  </si>
  <si>
    <t>Created new Non-iso Field Entry page</t>
  </si>
  <si>
    <t>Renamed old Non-Iso page "Odour" and removed all data except odour field/analysis entry</t>
  </si>
  <si>
    <t>Tbu</t>
  </si>
  <si>
    <t>Modified Gases Report page to report Average only as default, with option added on Details page for Max/Min/Average</t>
  </si>
  <si>
    <t>Isokinetics:</t>
  </si>
  <si>
    <t>PSA:</t>
  </si>
  <si>
    <t>Type1&amp;2</t>
  </si>
  <si>
    <t>Non-Iso</t>
  </si>
  <si>
    <t>VOC tubes</t>
  </si>
  <si>
    <t>VOC gaseous</t>
  </si>
  <si>
    <t>VOC total</t>
  </si>
  <si>
    <t>Dioxins</t>
  </si>
  <si>
    <t>Correction:</t>
  </si>
  <si>
    <t>Afterflows</t>
  </si>
  <si>
    <t>Created conditional formatting for incomplete fields and sheets (Flows, Afterflows, Non-Isokinetic)</t>
  </si>
  <si>
    <t>Changed equipment IDs from legacy numbers to new Ektimo (Loc8) numbers. (partial)</t>
  </si>
  <si>
    <t>Hide unrequired rows before starting:</t>
  </si>
  <si>
    <t>Impinger &amp; Filter Results Entry</t>
  </si>
</sst>
</file>

<file path=xl/styles.xml><?xml version="1.0" encoding="utf-8"?>
<styleSheet xmlns="http://schemas.openxmlformats.org/spreadsheetml/2006/main" xmlns:mc="http://schemas.openxmlformats.org/markup-compatibility/2006" xmlns:x14ac="http://schemas.microsoft.com/office/spreadsheetml/2009/9/ac" mc:Ignorable="x14ac">
  <numFmts count="59">
    <numFmt numFmtId="164" formatCode="0.0000"/>
    <numFmt numFmtId="165" formatCode="0.000"/>
    <numFmt numFmtId="166" formatCode="0.0"/>
    <numFmt numFmtId="167" formatCode="0&quot; mm&quot;"/>
    <numFmt numFmtId="168" formatCode="0\ &quot;Pa&quot;"/>
    <numFmt numFmtId="169" formatCode="0\ &quot;°C&quot;"/>
    <numFmt numFmtId="170" formatCode="0\ &quot;L&quot;"/>
    <numFmt numFmtId="171" formatCode="0.0\ &quot;%&quot;"/>
    <numFmt numFmtId="172" formatCode="0.0\ &quot;µg&quot;"/>
    <numFmt numFmtId="173" formatCode="0\ &quot;m&quot;"/>
    <numFmt numFmtId="174" formatCode="0\ &quot;hPa&quot;"/>
    <numFmt numFmtId="175" formatCode="0\ &quot;min&quot;"/>
    <numFmt numFmtId="176" formatCode="0.0&quot;L/min&quot;"/>
    <numFmt numFmtId="177" formatCode="0.0\ &quot;min&quot;"/>
    <numFmt numFmtId="178" formatCode="0.0\ &quot;µm&quot;"/>
    <numFmt numFmtId="179" formatCode="0.00\ &quot;%&quot;"/>
    <numFmt numFmtId="180" formatCode="d/mm/yyyy;@"/>
    <numFmt numFmtId="181" formatCode="0\ &quot;L&quot;;;;"/>
    <numFmt numFmtId="182" formatCode="d/mm/yy;@"/>
    <numFmt numFmtId="183" formatCode="0\ &quot;hPa&quot;;;;"/>
    <numFmt numFmtId="184" formatCode="0.0\ &quot;%&quot;;;;"/>
    <numFmt numFmtId="185" formatCode="0;;;"/>
    <numFmt numFmtId="186" formatCode=";;"/>
    <numFmt numFmtId="187" formatCode="0.00\ &quot;mm&quot;"/>
    <numFmt numFmtId="188" formatCode="0.0\ &quot;L/min&quot;"/>
    <numFmt numFmtId="189" formatCode="d/m/yyyy;@"/>
    <numFmt numFmtId="190" formatCode="&quot;@ &quot;0&quot;°C&quot;"/>
    <numFmt numFmtId="191" formatCode="0.0%"/>
    <numFmt numFmtId="192" formatCode="General\ &quot;sec&quot;"/>
    <numFmt numFmtId="193" formatCode="0\ &quot;pts&quot;"/>
    <numFmt numFmtId="194" formatCode="0.0\ &quot;(dry)&quot;"/>
    <numFmt numFmtId="195" formatCode="0.0\ &quot;(wet)&quot;"/>
    <numFmt numFmtId="196" formatCode="0\ &quot;mm&quot;;0\ &quot;mm&quot;;;"/>
    <numFmt numFmtId="197" formatCode="General\ &quot;%&quot;"/>
    <numFmt numFmtId="198" formatCode="0\ &quot;ppm&quot;"/>
    <numFmt numFmtId="199" formatCode="0.00\ &quot;(wet)&quot;"/>
    <numFmt numFmtId="200" formatCode="0.00\ &quot;(dry)&quot;"/>
    <numFmt numFmtId="201" formatCode="General&quot; D&quot;"/>
    <numFmt numFmtId="202" formatCode="0.00000"/>
    <numFmt numFmtId="203" formatCode="0.000000"/>
    <numFmt numFmtId="204" formatCode="General\ &quot;g/mol&quot;"/>
    <numFmt numFmtId="205" formatCode="0\ &quot;cm²&quot;"/>
    <numFmt numFmtId="206" formatCode="0.00\ &quot;µm&quot;"/>
    <numFmt numFmtId="207" formatCode="0.0E+00"/>
    <numFmt numFmtId="208" formatCode="0\ &quot;ppb&quot;"/>
    <numFmt numFmtId="209" formatCode="General\ &quot;kPa&quot;"/>
    <numFmt numFmtId="210" formatCode="General\ &quot;°C&quot;"/>
    <numFmt numFmtId="211" formatCode="General\ &quot;Pa&quot;"/>
    <numFmt numFmtId="212" formatCode="0.0\ &quot;m/s&quot;"/>
    <numFmt numFmtId="213" formatCode="General\ &quot;m²&quot;"/>
    <numFmt numFmtId="214" formatCode="General\ &quot;m&quot;"/>
    <numFmt numFmtId="215" formatCode="dd/mm/yy\ h:mm:ss\ \ AM/PM"/>
    <numFmt numFmtId="216" formatCode="0\ &quot;hours&quot;"/>
    <numFmt numFmtId="217" formatCode="h:mm:ss;@"/>
    <numFmt numFmtId="218" formatCode="dd/mm/yy;@"/>
    <numFmt numFmtId="219" formatCode="0.0\ &quot;hPa&quot;;;"/>
    <numFmt numFmtId="220" formatCode="[$-F400]h:mm:ss\ AM/PM"/>
    <numFmt numFmtId="221" formatCode="h:mm;@"/>
    <numFmt numFmtId="222" formatCode="0000"/>
  </numFmts>
  <fonts count="122" x14ac:knownFonts="1">
    <font>
      <sz val="10"/>
      <name val="MS Sans Serif"/>
    </font>
    <font>
      <sz val="10"/>
      <name val="MS Sans Serif"/>
      <family val="2"/>
    </font>
    <font>
      <sz val="9"/>
      <name val="MS Sans Serif"/>
      <family val="2"/>
    </font>
    <font>
      <sz val="11"/>
      <name val="Times New Roman"/>
      <family val="1"/>
    </font>
    <font>
      <sz val="10"/>
      <name val="Arial"/>
      <family val="2"/>
    </font>
    <font>
      <sz val="8"/>
      <color indexed="81"/>
      <name val="Tahoma"/>
      <family val="2"/>
    </font>
    <font>
      <sz val="10"/>
      <color indexed="10"/>
      <name val="MS Sans Serif"/>
      <family val="2"/>
    </font>
    <font>
      <sz val="10"/>
      <color indexed="12"/>
      <name val="MS Sans Serif"/>
      <family val="2"/>
    </font>
    <font>
      <sz val="10"/>
      <name val="MS Sans Serif"/>
      <family val="2"/>
    </font>
    <font>
      <sz val="9"/>
      <color indexed="10"/>
      <name val="MS Sans Serif"/>
      <family val="2"/>
    </font>
    <font>
      <sz val="9"/>
      <color indexed="8"/>
      <name val="MS Sans Serif"/>
      <family val="2"/>
    </font>
    <font>
      <sz val="9"/>
      <name val="MS Sans Serif"/>
      <family val="2"/>
    </font>
    <font>
      <sz val="8"/>
      <name val="MS Sans Serif"/>
      <family val="2"/>
    </font>
    <font>
      <b/>
      <sz val="10"/>
      <name val="MS Sans Serif"/>
      <family val="2"/>
    </font>
    <font>
      <sz val="9"/>
      <color indexed="12"/>
      <name val="MS Sans Serif"/>
      <family val="2"/>
    </font>
    <font>
      <sz val="8"/>
      <color indexed="12"/>
      <name val="MS Sans Serif"/>
      <family val="2"/>
    </font>
    <font>
      <b/>
      <sz val="12"/>
      <name val="MS Sans Serif"/>
      <family val="2"/>
    </font>
    <font>
      <b/>
      <sz val="9"/>
      <name val="MS Sans Serif"/>
      <family val="2"/>
    </font>
    <font>
      <b/>
      <sz val="9"/>
      <color indexed="12"/>
      <name val="MS Sans Serif"/>
      <family val="2"/>
    </font>
    <font>
      <b/>
      <sz val="8"/>
      <name val="MS Sans Serif"/>
      <family val="2"/>
    </font>
    <font>
      <i/>
      <sz val="9"/>
      <name val="MS Sans Serif"/>
      <family val="2"/>
    </font>
    <font>
      <vertAlign val="superscript"/>
      <sz val="8"/>
      <name val="MS Sans Serif"/>
      <family val="2"/>
    </font>
    <font>
      <sz val="7"/>
      <name val="MS Sans Serif"/>
      <family val="2"/>
    </font>
    <font>
      <sz val="6"/>
      <name val="MS Sans Serif"/>
      <family val="2"/>
    </font>
    <font>
      <vertAlign val="superscript"/>
      <sz val="9"/>
      <name val="MS Sans Serif"/>
      <family val="2"/>
    </font>
    <font>
      <sz val="8"/>
      <name val="MS Sans Serif"/>
      <family val="2"/>
    </font>
    <font>
      <b/>
      <sz val="8"/>
      <color indexed="81"/>
      <name val="Tahoma"/>
      <family val="2"/>
    </font>
    <font>
      <vertAlign val="subscript"/>
      <sz val="9"/>
      <name val="MS Sans Serif"/>
      <family val="2"/>
    </font>
    <font>
      <sz val="9"/>
      <name val="Wingdings"/>
      <charset val="2"/>
    </font>
    <font>
      <sz val="9"/>
      <color indexed="39"/>
      <name val="MS Sans Serif"/>
      <family val="2"/>
    </font>
    <font>
      <b/>
      <sz val="9"/>
      <color indexed="10"/>
      <name val="MS Sans Serif"/>
      <family val="2"/>
    </font>
    <font>
      <b/>
      <i/>
      <sz val="9"/>
      <name val="MS Sans Serif"/>
      <family val="2"/>
    </font>
    <font>
      <i/>
      <sz val="9"/>
      <color indexed="8"/>
      <name val="MS Sans Serif"/>
      <family val="2"/>
    </font>
    <font>
      <sz val="9"/>
      <name val="Symbol"/>
      <family val="1"/>
      <charset val="2"/>
    </font>
    <font>
      <sz val="9"/>
      <color indexed="9"/>
      <name val="MS Sans Serif"/>
      <family val="2"/>
    </font>
    <font>
      <i/>
      <sz val="9"/>
      <color indexed="12"/>
      <name val="MS Sans Serif"/>
      <family val="2"/>
    </font>
    <font>
      <b/>
      <sz val="9"/>
      <color indexed="8"/>
      <name val="MS Sans Serif"/>
      <family val="2"/>
    </font>
    <font>
      <b/>
      <sz val="10"/>
      <name val="Arial"/>
      <family val="2"/>
    </font>
    <font>
      <sz val="8"/>
      <color indexed="9"/>
      <name val="MS Sans Serif"/>
      <family val="2"/>
    </font>
    <font>
      <sz val="9"/>
      <color indexed="12"/>
      <name val="MS Sans Serif"/>
      <family val="2"/>
    </font>
    <font>
      <b/>
      <sz val="9"/>
      <color indexed="12"/>
      <name val="MS Sans Serif"/>
      <family val="2"/>
    </font>
    <font>
      <sz val="9"/>
      <color indexed="10"/>
      <name val="MS Sans Serif"/>
      <family val="2"/>
    </font>
    <font>
      <b/>
      <sz val="9"/>
      <name val="MS Sans Serif"/>
      <family val="2"/>
    </font>
    <font>
      <sz val="9"/>
      <color indexed="8"/>
      <name val="MS Sans Serif"/>
      <family val="2"/>
    </font>
    <font>
      <sz val="9"/>
      <name val="Arial"/>
      <family val="2"/>
    </font>
    <font>
      <u/>
      <sz val="8"/>
      <color indexed="81"/>
      <name val="Tahoma"/>
      <family val="2"/>
    </font>
    <font>
      <vertAlign val="superscript"/>
      <sz val="8"/>
      <color indexed="12"/>
      <name val="MS Sans Serif"/>
      <family val="2"/>
    </font>
    <font>
      <sz val="10"/>
      <color indexed="9"/>
      <name val="Arial"/>
      <family val="2"/>
    </font>
    <font>
      <sz val="10"/>
      <color indexed="9"/>
      <name val="MS Sans Serif"/>
      <family val="2"/>
    </font>
    <font>
      <sz val="7"/>
      <color indexed="81"/>
      <name val="Tahoma"/>
      <family val="2"/>
    </font>
    <font>
      <sz val="10"/>
      <color indexed="8"/>
      <name val="MS Sans Serif"/>
      <family val="2"/>
    </font>
    <font>
      <sz val="12"/>
      <name val="Arial"/>
      <family val="2"/>
    </font>
    <font>
      <sz val="7"/>
      <name val="MS Sans Serif"/>
      <family val="2"/>
    </font>
    <font>
      <sz val="7"/>
      <color indexed="16"/>
      <name val="MS Sans Serif"/>
      <family val="2"/>
    </font>
    <font>
      <sz val="10"/>
      <color indexed="81"/>
      <name val="Tahoma"/>
      <family val="2"/>
    </font>
    <font>
      <sz val="10"/>
      <name val="MS Sans Serif"/>
      <family val="2"/>
    </font>
    <font>
      <sz val="8.5"/>
      <name val="MS Sans Serif"/>
      <family val="2"/>
    </font>
    <font>
      <b/>
      <sz val="9"/>
      <name val="MS Sans Serif"/>
    </font>
    <font>
      <b/>
      <sz val="9"/>
      <name val="Arial"/>
      <family val="2"/>
    </font>
    <font>
      <sz val="8"/>
      <name val="Arial"/>
      <family val="2"/>
    </font>
    <font>
      <sz val="7"/>
      <name val="Arial"/>
      <family val="2"/>
    </font>
    <font>
      <vertAlign val="subscript"/>
      <sz val="9"/>
      <name val="Arial"/>
      <family val="2"/>
    </font>
    <font>
      <vertAlign val="subscript"/>
      <sz val="8"/>
      <name val="Arial"/>
      <family val="2"/>
    </font>
    <font>
      <b/>
      <vertAlign val="subscript"/>
      <sz val="10"/>
      <name val="Arial"/>
      <family val="2"/>
    </font>
    <font>
      <vertAlign val="superscript"/>
      <sz val="9"/>
      <name val="Arial"/>
      <family val="2"/>
    </font>
    <font>
      <b/>
      <sz val="7"/>
      <name val="Arial"/>
      <family val="2"/>
    </font>
    <font>
      <sz val="9"/>
      <name val="MS Sans Serif"/>
    </font>
    <font>
      <b/>
      <sz val="8"/>
      <name val="Arial"/>
      <family val="2"/>
    </font>
    <font>
      <i/>
      <sz val="9"/>
      <color indexed="8"/>
      <name val="MS Sans Serif"/>
    </font>
    <font>
      <sz val="10"/>
      <color theme="0"/>
      <name val="Arial"/>
      <family val="2"/>
    </font>
    <font>
      <sz val="9"/>
      <color theme="0"/>
      <name val="Arial"/>
      <family val="2"/>
    </font>
    <font>
      <b/>
      <sz val="9"/>
      <color theme="0" tint="-4.9989318521683403E-2"/>
      <name val="Arial"/>
      <family val="2"/>
    </font>
    <font>
      <sz val="9"/>
      <color theme="0" tint="-4.9989318521683403E-2"/>
      <name val="Arial"/>
      <family val="2"/>
    </font>
    <font>
      <sz val="9"/>
      <color rgb="FFFF0000"/>
      <name val="MS Sans Serif"/>
      <family val="2"/>
    </font>
    <font>
      <b/>
      <sz val="9"/>
      <color rgb="FFFF0000"/>
      <name val="MS Sans Serif"/>
      <family val="2"/>
    </font>
    <font>
      <sz val="10"/>
      <name val="Calibri"/>
      <family val="2"/>
    </font>
    <font>
      <b/>
      <sz val="10"/>
      <color rgb="FF000000"/>
      <name val="MS Sans Serif"/>
    </font>
    <font>
      <b/>
      <sz val="9"/>
      <color rgb="FF000000"/>
      <name val="MS Sans Serif"/>
    </font>
    <font>
      <sz val="10"/>
      <name val="MS Sans Serif"/>
    </font>
    <font>
      <b/>
      <sz val="10"/>
      <name val="MS Sans Serif"/>
    </font>
    <font>
      <sz val="9"/>
      <name val="Calibri"/>
      <family val="2"/>
    </font>
    <font>
      <b/>
      <sz val="7"/>
      <name val="MS Sans Serif"/>
    </font>
    <font>
      <b/>
      <sz val="7"/>
      <color indexed="81"/>
      <name val="Tahoma"/>
      <family val="2"/>
    </font>
    <font>
      <b/>
      <i/>
      <sz val="9"/>
      <name val="MS Sans Serif"/>
    </font>
    <font>
      <b/>
      <i/>
      <sz val="11"/>
      <name val="MS Sans Serif"/>
    </font>
    <font>
      <sz val="8"/>
      <name val="MS Sans Serif"/>
    </font>
    <font>
      <i/>
      <sz val="8"/>
      <name val="MS Sans Serif"/>
    </font>
    <font>
      <i/>
      <sz val="8"/>
      <color theme="0" tint="-0.499984740745262"/>
      <name val="MS Sans Serif"/>
    </font>
    <font>
      <sz val="9"/>
      <color theme="8" tint="0.59999389629810485"/>
      <name val="MS Sans Serif"/>
      <family val="2"/>
    </font>
    <font>
      <sz val="10"/>
      <color rgb="FF000000"/>
      <name val="MS Sans Serif"/>
    </font>
    <font>
      <sz val="8"/>
      <color indexed="8"/>
      <name val="Tahoma"/>
      <family val="2"/>
    </font>
    <font>
      <b/>
      <sz val="8"/>
      <color indexed="10"/>
      <name val="Tahoma"/>
      <family val="2"/>
    </font>
    <font>
      <sz val="8"/>
      <color indexed="10"/>
      <name val="Tahoma"/>
      <family val="2"/>
    </font>
    <font>
      <sz val="8"/>
      <color indexed="8"/>
      <name val="Calibri"/>
      <family val="2"/>
    </font>
    <font>
      <b/>
      <sz val="8"/>
      <name val="Tahoma"/>
      <family val="2"/>
    </font>
    <font>
      <b/>
      <sz val="9"/>
      <color rgb="FFC00000"/>
      <name val="MS Sans Serif"/>
    </font>
    <font>
      <b/>
      <u/>
      <sz val="9"/>
      <color indexed="8"/>
      <name val="MS Sans Serif"/>
    </font>
    <font>
      <i/>
      <sz val="9"/>
      <name val="MS Sans Serif"/>
    </font>
    <font>
      <i/>
      <sz val="9"/>
      <color theme="8" tint="0.59999389629810485"/>
      <name val="MS Sans Serif"/>
    </font>
    <font>
      <i/>
      <sz val="9"/>
      <color indexed="12"/>
      <name val="MS Sans Serif"/>
    </font>
    <font>
      <sz val="7"/>
      <color indexed="12"/>
      <name val="MS Sans Serif"/>
      <family val="2"/>
    </font>
    <font>
      <sz val="9"/>
      <color theme="1"/>
      <name val="Arial"/>
      <family val="2"/>
    </font>
    <font>
      <vertAlign val="subscript"/>
      <sz val="9"/>
      <color theme="1"/>
      <name val="Arial"/>
      <family val="2"/>
    </font>
    <font>
      <sz val="9"/>
      <color theme="1"/>
      <name val="Calibri"/>
      <family val="2"/>
      <scheme val="minor"/>
    </font>
    <font>
      <b/>
      <i/>
      <sz val="8"/>
      <name val="MS Sans Serif"/>
    </font>
    <font>
      <u/>
      <sz val="10"/>
      <color theme="10"/>
      <name val="MS Sans Serif"/>
    </font>
    <font>
      <b/>
      <sz val="12"/>
      <name val="MS Sans Serif"/>
    </font>
    <font>
      <sz val="8"/>
      <color rgb="FF000000"/>
      <name val="Segoe UI"/>
      <family val="2"/>
    </font>
    <font>
      <b/>
      <i/>
      <sz val="10"/>
      <color indexed="8"/>
      <name val="Tahoma"/>
      <family val="2"/>
    </font>
    <font>
      <i/>
      <sz val="10"/>
      <color indexed="8"/>
      <name val="Tahoma"/>
      <family val="2"/>
    </font>
    <font>
      <i/>
      <sz val="9"/>
      <color indexed="8"/>
      <name val="Tahoma"/>
      <family val="2"/>
    </font>
    <font>
      <sz val="9"/>
      <color rgb="FFB7DEE8"/>
      <name val="MS Sans Serif"/>
      <family val="2"/>
    </font>
    <font>
      <sz val="8"/>
      <name val="Tahoma"/>
      <family val="2"/>
    </font>
    <font>
      <b/>
      <sz val="10"/>
      <name val="Tahoma"/>
      <family val="2"/>
    </font>
    <font>
      <sz val="8"/>
      <color rgb="FF0000FF"/>
      <name val="MS Sans Serif"/>
    </font>
    <font>
      <sz val="9"/>
      <color rgb="FF000000"/>
      <name val="Arial"/>
      <family val="2"/>
    </font>
    <font>
      <sz val="12"/>
      <name val="MS Sans Serif"/>
    </font>
    <font>
      <sz val="12"/>
      <color indexed="12"/>
      <name val="MS Sans Serif"/>
    </font>
    <font>
      <sz val="11"/>
      <name val="MS Sans Serif"/>
    </font>
    <font>
      <b/>
      <sz val="8"/>
      <name val="MS Sans Serif"/>
    </font>
    <font>
      <b/>
      <sz val="9"/>
      <color indexed="8"/>
      <name val="MS Sans Serif"/>
    </font>
    <font>
      <b/>
      <sz val="14"/>
      <name val="Arial"/>
      <family val="2"/>
    </font>
  </fonts>
  <fills count="49">
    <fill>
      <patternFill patternType="none"/>
    </fill>
    <fill>
      <patternFill patternType="gray125"/>
    </fill>
    <fill>
      <patternFill patternType="solid">
        <fgColor indexed="9"/>
        <bgColor indexed="64"/>
      </patternFill>
    </fill>
    <fill>
      <patternFill patternType="gray0625">
        <fgColor indexed="11"/>
        <bgColor indexed="9"/>
      </patternFill>
    </fill>
    <fill>
      <patternFill patternType="gray0625">
        <fgColor indexed="11"/>
      </patternFill>
    </fill>
    <fill>
      <patternFill patternType="solid">
        <fgColor indexed="9"/>
        <bgColor indexed="11"/>
      </patternFill>
    </fill>
    <fill>
      <patternFill patternType="solid">
        <fgColor indexed="65"/>
        <bgColor indexed="11"/>
      </patternFill>
    </fill>
    <fill>
      <patternFill patternType="solid">
        <fgColor indexed="65"/>
        <bgColor indexed="64"/>
      </patternFill>
    </fill>
    <fill>
      <patternFill patternType="gray0625">
        <fgColor indexed="46"/>
        <bgColor indexed="9"/>
      </patternFill>
    </fill>
    <fill>
      <patternFill patternType="solid">
        <fgColor indexed="47"/>
        <bgColor indexed="64"/>
      </patternFill>
    </fill>
    <fill>
      <patternFill patternType="solid">
        <fgColor indexed="26"/>
        <bgColor indexed="46"/>
      </patternFill>
    </fill>
    <fill>
      <patternFill patternType="solid">
        <fgColor indexed="26"/>
        <bgColor indexed="64"/>
      </patternFill>
    </fill>
    <fill>
      <patternFill patternType="solid">
        <fgColor indexed="26"/>
        <bgColor indexed="11"/>
      </patternFill>
    </fill>
    <fill>
      <patternFill patternType="solid">
        <fgColor indexed="47"/>
        <bgColor indexed="11"/>
      </patternFill>
    </fill>
    <fill>
      <patternFill patternType="gray0625">
        <fgColor indexed="9"/>
        <bgColor indexed="9"/>
      </patternFill>
    </fill>
    <fill>
      <patternFill patternType="solid">
        <fgColor indexed="65"/>
        <bgColor indexed="46"/>
      </patternFill>
    </fill>
    <fill>
      <patternFill patternType="gray0625">
        <fgColor indexed="46"/>
      </patternFill>
    </fill>
    <fill>
      <patternFill patternType="solid">
        <fgColor indexed="9"/>
        <bgColor indexed="55"/>
      </patternFill>
    </fill>
    <fill>
      <patternFill patternType="gray0625">
        <fgColor indexed="9"/>
        <bgColor indexed="26"/>
      </patternFill>
    </fill>
    <fill>
      <patternFill patternType="solid">
        <fgColor indexed="47"/>
        <bgColor indexed="9"/>
      </patternFill>
    </fill>
    <fill>
      <patternFill patternType="gray0625">
        <fgColor indexed="9"/>
      </patternFill>
    </fill>
    <fill>
      <patternFill patternType="gray0625">
        <bgColor indexed="47"/>
      </patternFill>
    </fill>
    <fill>
      <patternFill patternType="solid">
        <fgColor indexed="65"/>
        <bgColor indexed="14"/>
      </patternFill>
    </fill>
    <fill>
      <patternFill patternType="solid">
        <fgColor indexed="9"/>
        <bgColor indexed="46"/>
      </patternFill>
    </fill>
    <fill>
      <patternFill patternType="solid">
        <fgColor indexed="47"/>
        <bgColor indexed="55"/>
      </patternFill>
    </fill>
    <fill>
      <patternFill patternType="solid">
        <fgColor indexed="43"/>
        <bgColor indexed="64"/>
      </patternFill>
    </fill>
    <fill>
      <patternFill patternType="solid">
        <fgColor theme="8" tint="0.59999389629810485"/>
        <bgColor indexed="11"/>
      </patternFill>
    </fill>
    <fill>
      <patternFill patternType="solid">
        <fgColor theme="8" tint="0.59999389629810485"/>
        <bgColor indexed="64"/>
      </patternFill>
    </fill>
    <fill>
      <patternFill patternType="solid">
        <fgColor theme="0"/>
        <bgColor indexed="64"/>
      </patternFill>
    </fill>
    <fill>
      <patternFill patternType="solid">
        <fgColor rgb="FF4F81BD"/>
        <bgColor indexed="64"/>
      </patternFill>
    </fill>
    <fill>
      <patternFill patternType="gray0625">
        <fgColor indexed="11"/>
        <bgColor theme="8" tint="0.59999389629810485"/>
      </patternFill>
    </fill>
    <fill>
      <patternFill patternType="solid">
        <fgColor theme="0" tint="-0.14999847407452621"/>
        <bgColor indexed="64"/>
      </patternFill>
    </fill>
    <fill>
      <patternFill patternType="solid">
        <fgColor rgb="FFFFFF00"/>
        <bgColor indexed="11"/>
      </patternFill>
    </fill>
    <fill>
      <patternFill patternType="solid">
        <fgColor theme="8" tint="0.59996337778862885"/>
        <bgColor indexed="11"/>
      </patternFill>
    </fill>
    <fill>
      <patternFill patternType="solid">
        <fgColor theme="8" tint="0.59996337778862885"/>
        <bgColor indexed="64"/>
      </patternFill>
    </fill>
    <fill>
      <patternFill patternType="gray0625">
        <fgColor indexed="46"/>
        <bgColor theme="0"/>
      </patternFill>
    </fill>
    <fill>
      <patternFill patternType="solid">
        <fgColor theme="9" tint="0.79998168889431442"/>
        <bgColor indexed="64"/>
      </patternFill>
    </fill>
    <fill>
      <patternFill patternType="solid">
        <fgColor theme="8" tint="0.59999389629810485"/>
        <bgColor indexed="46"/>
      </patternFill>
    </fill>
    <fill>
      <patternFill patternType="solid">
        <fgColor theme="8" tint="0.79998168889431442"/>
        <bgColor indexed="64"/>
      </patternFill>
    </fill>
    <fill>
      <patternFill patternType="solid">
        <fgColor indexed="44"/>
        <bgColor indexed="64"/>
      </patternFill>
    </fill>
    <fill>
      <patternFill patternType="solid">
        <fgColor theme="0" tint="-4.9989318521683403E-2"/>
        <bgColor indexed="11"/>
      </patternFill>
    </fill>
    <fill>
      <patternFill patternType="solid">
        <fgColor theme="4" tint="0.79998168889431442"/>
        <bgColor indexed="64"/>
      </patternFill>
    </fill>
    <fill>
      <patternFill patternType="solid">
        <fgColor theme="0"/>
        <bgColor indexed="11"/>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4" tint="0.59999389629810485"/>
        <bgColor auto="1"/>
      </patternFill>
    </fill>
    <fill>
      <patternFill patternType="solid">
        <fgColor rgb="FF92D050"/>
        <bgColor indexed="64"/>
      </patternFill>
    </fill>
    <fill>
      <patternFill patternType="solid">
        <fgColor theme="8" tint="0.79998168889431442"/>
        <bgColor indexed="11"/>
      </patternFill>
    </fill>
  </fills>
  <borders count="171">
    <border>
      <left/>
      <right/>
      <top/>
      <bottom/>
      <diagonal/>
    </border>
    <border>
      <left style="thin">
        <color indexed="22"/>
      </left>
      <right style="thin">
        <color indexed="22"/>
      </right>
      <top style="thin">
        <color indexed="22"/>
      </top>
      <bottom style="thin">
        <color indexed="22"/>
      </bottom>
      <diagonal/>
    </border>
    <border>
      <left style="medium">
        <color auto="1"/>
      </left>
      <right/>
      <top/>
      <bottom/>
      <diagonal/>
    </border>
    <border>
      <left/>
      <right/>
      <top/>
      <bottom style="thin">
        <color auto="1"/>
      </bottom>
      <diagonal/>
    </border>
    <border>
      <left/>
      <right/>
      <top style="medium">
        <color auto="1"/>
      </top>
      <bottom/>
      <diagonal/>
    </border>
    <border>
      <left/>
      <right style="medium">
        <color auto="1"/>
      </right>
      <top/>
      <bottom/>
      <diagonal/>
    </border>
    <border>
      <left/>
      <right style="medium">
        <color auto="1"/>
      </right>
      <top style="medium">
        <color auto="1"/>
      </top>
      <bottom/>
      <diagonal/>
    </border>
    <border>
      <left/>
      <right style="medium">
        <color auto="1"/>
      </right>
      <top style="thin">
        <color auto="1"/>
      </top>
      <bottom/>
      <diagonal/>
    </border>
    <border>
      <left style="medium">
        <color auto="1"/>
      </left>
      <right/>
      <top style="medium">
        <color auto="1"/>
      </top>
      <bottom/>
      <diagonal/>
    </border>
    <border>
      <left/>
      <right/>
      <top style="thin">
        <color auto="1"/>
      </top>
      <bottom/>
      <diagonal/>
    </border>
    <border>
      <left/>
      <right style="thin">
        <color auto="1"/>
      </right>
      <top style="thin">
        <color auto="1"/>
      </top>
      <bottom/>
      <diagonal/>
    </border>
    <border>
      <left style="medium">
        <color auto="1"/>
      </left>
      <right/>
      <top/>
      <bottom style="medium">
        <color auto="1"/>
      </bottom>
      <diagonal/>
    </border>
    <border>
      <left/>
      <right style="thin">
        <color auto="1"/>
      </right>
      <top/>
      <bottom/>
      <diagonal/>
    </border>
    <border>
      <left style="thin">
        <color auto="1"/>
      </left>
      <right/>
      <top/>
      <bottom/>
      <diagonal/>
    </border>
    <border>
      <left style="thin">
        <color auto="1"/>
      </left>
      <right/>
      <top style="medium">
        <color auto="1"/>
      </top>
      <bottom/>
      <diagonal/>
    </border>
    <border>
      <left/>
      <right/>
      <top/>
      <bottom style="thin">
        <color indexed="22"/>
      </bottom>
      <diagonal/>
    </border>
    <border>
      <left style="thin">
        <color auto="1"/>
      </left>
      <right/>
      <top/>
      <bottom style="thin">
        <color indexed="22"/>
      </bottom>
      <diagonal/>
    </border>
    <border>
      <left style="medium">
        <color auto="1"/>
      </left>
      <right/>
      <top style="thin">
        <color auto="1"/>
      </top>
      <bottom/>
      <diagonal/>
    </border>
    <border>
      <left/>
      <right style="medium">
        <color auto="1"/>
      </right>
      <top/>
      <bottom style="thin">
        <color auto="1"/>
      </bottom>
      <diagonal/>
    </border>
    <border>
      <left/>
      <right/>
      <top style="medium">
        <color auto="1"/>
      </top>
      <bottom style="medium">
        <color auto="1"/>
      </bottom>
      <diagonal/>
    </border>
    <border>
      <left style="medium">
        <color auto="1"/>
      </left>
      <right style="thin">
        <color indexed="22"/>
      </right>
      <top style="thin">
        <color indexed="22"/>
      </top>
      <bottom/>
      <diagonal/>
    </border>
    <border>
      <left style="thin">
        <color indexed="22"/>
      </left>
      <right style="medium">
        <color auto="1"/>
      </right>
      <top style="thin">
        <color indexed="22"/>
      </top>
      <bottom style="thin">
        <color indexed="22"/>
      </bottom>
      <diagonal/>
    </border>
    <border>
      <left/>
      <right/>
      <top/>
      <bottom style="medium">
        <color auto="1"/>
      </bottom>
      <diagonal/>
    </border>
    <border>
      <left/>
      <right style="medium">
        <color auto="1"/>
      </right>
      <top/>
      <bottom style="medium">
        <color auto="1"/>
      </bottom>
      <diagonal/>
    </border>
    <border>
      <left style="thin">
        <color indexed="22"/>
      </left>
      <right/>
      <top/>
      <bottom/>
      <diagonal/>
    </border>
    <border>
      <left style="thin">
        <color indexed="22"/>
      </left>
      <right style="thin">
        <color indexed="22"/>
      </right>
      <top style="thin">
        <color indexed="22"/>
      </top>
      <bottom style="medium">
        <color auto="1"/>
      </bottom>
      <diagonal/>
    </border>
    <border>
      <left style="medium">
        <color auto="1"/>
      </left>
      <right style="thin">
        <color indexed="22"/>
      </right>
      <top style="thin">
        <color indexed="22"/>
      </top>
      <bottom style="thin">
        <color indexed="22"/>
      </bottom>
      <diagonal/>
    </border>
    <border>
      <left style="medium">
        <color auto="1"/>
      </left>
      <right style="thin">
        <color indexed="22"/>
      </right>
      <top style="thin">
        <color indexed="22"/>
      </top>
      <bottom style="medium">
        <color auto="1"/>
      </bottom>
      <diagonal/>
    </border>
    <border>
      <left style="thin">
        <color indexed="22"/>
      </left>
      <right style="medium">
        <color auto="1"/>
      </right>
      <top style="thin">
        <color indexed="22"/>
      </top>
      <bottom style="medium">
        <color auto="1"/>
      </bottom>
      <diagonal/>
    </border>
    <border>
      <left style="thin">
        <color auto="1"/>
      </left>
      <right/>
      <top style="thin">
        <color auto="1"/>
      </top>
      <bottom/>
      <diagonal/>
    </border>
    <border>
      <left style="thin">
        <color indexed="22"/>
      </left>
      <right style="medium">
        <color auto="1"/>
      </right>
      <top style="thin">
        <color indexed="22"/>
      </top>
      <bottom/>
      <diagonal/>
    </border>
    <border>
      <left style="thin">
        <color auto="1"/>
      </left>
      <right style="thin">
        <color auto="1"/>
      </right>
      <top style="thin">
        <color indexed="22"/>
      </top>
      <bottom style="thin">
        <color indexed="22"/>
      </bottom>
      <diagonal/>
    </border>
    <border>
      <left style="thin">
        <color indexed="22"/>
      </left>
      <right style="thin">
        <color indexed="22"/>
      </right>
      <top style="thin">
        <color auto="1"/>
      </top>
      <bottom style="thin">
        <color indexed="22"/>
      </bottom>
      <diagonal/>
    </border>
    <border>
      <left style="thin">
        <color indexed="22"/>
      </left>
      <right style="thin">
        <color indexed="22"/>
      </right>
      <top style="thin">
        <color indexed="22"/>
      </top>
      <bottom style="thin">
        <color auto="1"/>
      </bottom>
      <diagonal/>
    </border>
    <border>
      <left style="thin">
        <color indexed="22"/>
      </left>
      <right style="medium">
        <color auto="1"/>
      </right>
      <top style="thin">
        <color indexed="22"/>
      </top>
      <bottom style="thin">
        <color auto="1"/>
      </bottom>
      <diagonal/>
    </border>
    <border>
      <left style="thin">
        <color auto="1"/>
      </left>
      <right style="thin">
        <color auto="1"/>
      </right>
      <top/>
      <bottom style="thin">
        <color indexed="22"/>
      </bottom>
      <diagonal/>
    </border>
    <border>
      <left style="thin">
        <color auto="1"/>
      </left>
      <right style="thin">
        <color auto="1"/>
      </right>
      <top style="thin">
        <color indexed="22"/>
      </top>
      <bottom style="thin">
        <color auto="1"/>
      </bottom>
      <diagonal/>
    </border>
    <border>
      <left style="thin">
        <color auto="1"/>
      </left>
      <right style="thin">
        <color auto="1"/>
      </right>
      <top style="thin">
        <color auto="1"/>
      </top>
      <bottom style="thin">
        <color indexed="22"/>
      </bottom>
      <diagonal/>
    </border>
    <border>
      <left style="thin">
        <color indexed="22"/>
      </left>
      <right style="thin">
        <color auto="1"/>
      </right>
      <top style="thin">
        <color indexed="22"/>
      </top>
      <bottom style="thin">
        <color indexed="22"/>
      </bottom>
      <diagonal/>
    </border>
    <border>
      <left style="thin">
        <color auto="1"/>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auto="1"/>
      </right>
      <top style="thin">
        <color indexed="22"/>
      </top>
      <bottom style="medium">
        <color auto="1"/>
      </bottom>
      <diagonal/>
    </border>
    <border>
      <left style="thin">
        <color auto="1"/>
      </left>
      <right style="thin">
        <color indexed="22"/>
      </right>
      <top style="thin">
        <color indexed="22"/>
      </top>
      <bottom style="medium">
        <color auto="1"/>
      </bottom>
      <diagonal/>
    </border>
    <border>
      <left/>
      <right style="thin">
        <color indexed="22"/>
      </right>
      <top style="thin">
        <color indexed="22"/>
      </top>
      <bottom style="thin">
        <color indexed="22"/>
      </bottom>
      <diagonal/>
    </border>
    <border>
      <left style="medium">
        <color auto="1"/>
      </left>
      <right/>
      <top style="thin">
        <color indexed="22"/>
      </top>
      <bottom/>
      <diagonal/>
    </border>
    <border>
      <left/>
      <right style="thin">
        <color indexed="22"/>
      </right>
      <top style="thin">
        <color indexed="22"/>
      </top>
      <bottom/>
      <diagonal/>
    </border>
    <border>
      <left style="thin">
        <color indexed="22"/>
      </left>
      <right/>
      <top style="thin">
        <color indexed="22"/>
      </top>
      <bottom style="thin">
        <color indexed="22"/>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style="thin">
        <color indexed="22"/>
      </left>
      <right/>
      <top/>
      <bottom style="thin">
        <color indexed="22"/>
      </bottom>
      <diagonal/>
    </border>
    <border>
      <left style="thin">
        <color indexed="22"/>
      </left>
      <right style="thin">
        <color indexed="22"/>
      </right>
      <top style="thin">
        <color indexed="22"/>
      </top>
      <bottom/>
      <diagonal/>
    </border>
    <border>
      <left style="thin">
        <color auto="1"/>
      </left>
      <right style="thin">
        <color auto="1"/>
      </right>
      <top style="thin">
        <color auto="1"/>
      </top>
      <bottom/>
      <diagonal/>
    </border>
    <border>
      <left/>
      <right style="thin">
        <color auto="1"/>
      </right>
      <top/>
      <bottom style="thin">
        <color auto="1"/>
      </bottom>
      <diagonal/>
    </border>
    <border>
      <left/>
      <right/>
      <top style="medium">
        <color auto="1"/>
      </top>
      <bottom style="thin">
        <color indexed="22"/>
      </bottom>
      <diagonal/>
    </border>
    <border>
      <left style="medium">
        <color auto="1"/>
      </left>
      <right/>
      <top/>
      <bottom style="thin">
        <color indexed="22"/>
      </bottom>
      <diagonal/>
    </border>
    <border>
      <left style="thin">
        <color indexed="22"/>
      </left>
      <right style="thin">
        <color indexed="22"/>
      </right>
      <top/>
      <bottom/>
      <diagonal/>
    </border>
    <border>
      <left style="thin">
        <color indexed="22"/>
      </left>
      <right/>
      <top style="medium">
        <color auto="1"/>
      </top>
      <bottom/>
      <diagonal/>
    </border>
    <border>
      <left style="thin">
        <color auto="1"/>
      </left>
      <right/>
      <top/>
      <bottom style="thin">
        <color auto="1"/>
      </bottom>
      <diagonal/>
    </border>
    <border>
      <left/>
      <right/>
      <top style="thin">
        <color indexed="22"/>
      </top>
      <bottom/>
      <diagonal/>
    </border>
    <border>
      <left style="medium">
        <color auto="1"/>
      </left>
      <right/>
      <top style="thin">
        <color indexed="22"/>
      </top>
      <bottom style="thin">
        <color indexed="22"/>
      </bottom>
      <diagonal/>
    </border>
    <border>
      <left style="medium">
        <color auto="1"/>
      </left>
      <right/>
      <top style="thin">
        <color indexed="22"/>
      </top>
      <bottom style="medium">
        <color auto="1"/>
      </bottom>
      <diagonal/>
    </border>
    <border>
      <left/>
      <right style="thin">
        <color indexed="22"/>
      </right>
      <top style="thin">
        <color indexed="22"/>
      </top>
      <bottom style="medium">
        <color auto="1"/>
      </bottom>
      <diagonal/>
    </border>
    <border>
      <left/>
      <right style="thin">
        <color auto="1"/>
      </right>
      <top style="medium">
        <color auto="1"/>
      </top>
      <bottom/>
      <diagonal/>
    </border>
    <border>
      <left style="thin">
        <color indexed="22"/>
      </left>
      <right style="thin">
        <color auto="1"/>
      </right>
      <top style="thin">
        <color indexed="22"/>
      </top>
      <bottom/>
      <diagonal/>
    </border>
    <border>
      <left/>
      <right style="medium">
        <color auto="1"/>
      </right>
      <top style="thin">
        <color indexed="22"/>
      </top>
      <bottom style="thin">
        <color indexed="22"/>
      </bottom>
      <diagonal/>
    </border>
    <border>
      <left style="thin">
        <color indexed="22"/>
      </left>
      <right style="thin">
        <color indexed="22"/>
      </right>
      <top style="medium">
        <color auto="1"/>
      </top>
      <bottom style="thin">
        <color indexed="22"/>
      </bottom>
      <diagonal/>
    </border>
    <border>
      <left/>
      <right style="medium">
        <color auto="1"/>
      </right>
      <top style="thin">
        <color indexed="22"/>
      </top>
      <bottom style="thin">
        <color auto="1"/>
      </bottom>
      <diagonal/>
    </border>
    <border>
      <left style="thin">
        <color indexed="22"/>
      </left>
      <right style="thin">
        <color auto="1"/>
      </right>
      <top style="thin">
        <color auto="1"/>
      </top>
      <bottom style="thin">
        <color indexed="22"/>
      </bottom>
      <diagonal/>
    </border>
    <border>
      <left style="thin">
        <color indexed="22"/>
      </left>
      <right style="thin">
        <color auto="1"/>
      </right>
      <top style="thin">
        <color indexed="22"/>
      </top>
      <bottom style="thin">
        <color auto="1"/>
      </bottom>
      <diagonal/>
    </border>
    <border>
      <left style="thin">
        <color auto="1"/>
      </left>
      <right style="thin">
        <color indexed="22"/>
      </right>
      <top style="thin">
        <color auto="1"/>
      </top>
      <bottom style="thin">
        <color indexed="22"/>
      </bottom>
      <diagonal/>
    </border>
    <border>
      <left style="thin">
        <color auto="1"/>
      </left>
      <right style="thin">
        <color indexed="22"/>
      </right>
      <top style="thin">
        <color indexed="22"/>
      </top>
      <bottom style="thin">
        <color auto="1"/>
      </bottom>
      <diagonal/>
    </border>
    <border>
      <left style="thin">
        <color indexed="22"/>
      </left>
      <right/>
      <top style="thin">
        <color auto="1"/>
      </top>
      <bottom style="thin">
        <color indexed="22"/>
      </bottom>
      <diagonal/>
    </border>
    <border>
      <left style="thin">
        <color indexed="22"/>
      </left>
      <right/>
      <top style="thin">
        <color indexed="22"/>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22"/>
      </right>
      <top style="thin">
        <color indexed="22"/>
      </top>
      <bottom/>
      <diagonal/>
    </border>
    <border>
      <left/>
      <right style="thin">
        <color indexed="22"/>
      </right>
      <top style="medium">
        <color auto="1"/>
      </top>
      <bottom/>
      <diagonal/>
    </border>
    <border>
      <left style="medium">
        <color auto="1"/>
      </left>
      <right style="thin">
        <color indexed="22"/>
      </right>
      <top style="thin">
        <color indexed="22"/>
      </top>
      <bottom style="thin">
        <color auto="1"/>
      </bottom>
      <diagonal/>
    </border>
    <border>
      <left style="medium">
        <color auto="1"/>
      </left>
      <right style="thin">
        <color indexed="22"/>
      </right>
      <top style="thin">
        <color auto="1"/>
      </top>
      <bottom/>
      <diagonal/>
    </border>
    <border>
      <left style="medium">
        <color auto="1"/>
      </left>
      <right style="thin">
        <color indexed="22"/>
      </right>
      <top/>
      <bottom/>
      <diagonal/>
    </border>
    <border>
      <left/>
      <right/>
      <top style="thin">
        <color indexed="22"/>
      </top>
      <bottom style="medium">
        <color auto="1"/>
      </bottom>
      <diagonal/>
    </border>
    <border>
      <left style="medium">
        <color auto="1"/>
      </left>
      <right style="thin">
        <color indexed="22"/>
      </right>
      <top/>
      <bottom style="medium">
        <color auto="1"/>
      </bottom>
      <diagonal/>
    </border>
    <border>
      <left/>
      <right style="medium">
        <color auto="1"/>
      </right>
      <top style="thin">
        <color indexed="22"/>
      </top>
      <bottom style="medium">
        <color auto="1"/>
      </bottom>
      <diagonal/>
    </border>
    <border>
      <left style="thin">
        <color indexed="22"/>
      </left>
      <right style="thin">
        <color auto="1"/>
      </right>
      <top style="medium">
        <color auto="1"/>
      </top>
      <bottom style="thin">
        <color indexed="22"/>
      </bottom>
      <diagonal/>
    </border>
    <border>
      <left/>
      <right style="medium">
        <color auto="1"/>
      </right>
      <top style="medium">
        <color auto="1"/>
      </top>
      <bottom style="thin">
        <color indexed="22"/>
      </bottom>
      <diagonal/>
    </border>
    <border>
      <left/>
      <right style="thin">
        <color indexed="22"/>
      </right>
      <top style="thin">
        <color auto="1"/>
      </top>
      <bottom style="thin">
        <color indexed="22"/>
      </bottom>
      <diagonal/>
    </border>
    <border>
      <left/>
      <right style="thin">
        <color indexed="22"/>
      </right>
      <top style="thin">
        <color indexed="22"/>
      </top>
      <bottom style="thin">
        <color auto="1"/>
      </bottom>
      <diagonal/>
    </border>
    <border>
      <left/>
      <right style="thin">
        <color auto="1"/>
      </right>
      <top/>
      <bottom style="thin">
        <color indexed="22"/>
      </bottom>
      <diagonal/>
    </border>
    <border>
      <left style="thin">
        <color indexed="22"/>
      </left>
      <right style="thin">
        <color auto="1"/>
      </right>
      <top/>
      <bottom style="thin">
        <color indexed="22"/>
      </bottom>
      <diagonal/>
    </border>
    <border>
      <left/>
      <right style="medium">
        <color auto="1"/>
      </right>
      <top/>
      <bottom style="thin">
        <color indexed="22"/>
      </bottom>
      <diagonal/>
    </border>
    <border>
      <left/>
      <right style="thin">
        <color indexed="22"/>
      </right>
      <top style="medium">
        <color auto="1"/>
      </top>
      <bottom style="thin">
        <color indexed="22"/>
      </bottom>
      <diagonal/>
    </border>
    <border>
      <left style="medium">
        <color auto="1"/>
      </left>
      <right style="thin">
        <color auto="1"/>
      </right>
      <top style="medium">
        <color auto="1"/>
      </top>
      <bottom style="thin">
        <color indexed="22"/>
      </bottom>
      <diagonal/>
    </border>
    <border>
      <left style="medium">
        <color auto="1"/>
      </left>
      <right style="thin">
        <color auto="1"/>
      </right>
      <top/>
      <bottom style="thin">
        <color indexed="22"/>
      </bottom>
      <diagonal/>
    </border>
    <border>
      <left style="medium">
        <color auto="1"/>
      </left>
      <right style="thin">
        <color auto="1"/>
      </right>
      <top style="thin">
        <color indexed="22"/>
      </top>
      <bottom style="thin">
        <color indexed="22"/>
      </bottom>
      <diagonal/>
    </border>
    <border>
      <left style="medium">
        <color auto="1"/>
      </left>
      <right style="thin">
        <color auto="1"/>
      </right>
      <top style="thin">
        <color indexed="22"/>
      </top>
      <bottom style="medium">
        <color auto="1"/>
      </bottom>
      <diagonal/>
    </border>
    <border>
      <left style="medium">
        <color auto="1"/>
      </left>
      <right style="thin">
        <color auto="1"/>
      </right>
      <top style="thin">
        <color indexed="22"/>
      </top>
      <bottom style="thin">
        <color auto="1"/>
      </bottom>
      <diagonal/>
    </border>
    <border>
      <left/>
      <right style="medium">
        <color auto="1"/>
      </right>
      <top style="thin">
        <color indexed="22"/>
      </top>
      <bottom/>
      <diagonal/>
    </border>
    <border>
      <left style="thin">
        <color auto="1"/>
      </left>
      <right style="thin">
        <color indexed="22"/>
      </right>
      <top/>
      <bottom/>
      <diagonal/>
    </border>
    <border>
      <left style="thin">
        <color indexed="22"/>
      </left>
      <right/>
      <top style="thin">
        <color indexed="22"/>
      </top>
      <bottom style="medium">
        <color auto="1"/>
      </bottom>
      <diagonal/>
    </border>
    <border>
      <left style="thin">
        <color indexed="22"/>
      </left>
      <right style="medium">
        <color auto="1"/>
      </right>
      <top style="medium">
        <color auto="1"/>
      </top>
      <bottom style="thin">
        <color indexed="22"/>
      </bottom>
      <diagonal/>
    </border>
    <border>
      <left style="medium">
        <color auto="1"/>
      </left>
      <right style="thin">
        <color indexed="22"/>
      </right>
      <top style="medium">
        <color auto="1"/>
      </top>
      <bottom style="thin">
        <color indexed="22"/>
      </bottom>
      <diagonal/>
    </border>
    <border>
      <left style="thin">
        <color indexed="22"/>
      </left>
      <right style="thin">
        <color indexed="22"/>
      </right>
      <top/>
      <bottom style="medium">
        <color auto="1"/>
      </bottom>
      <diagonal/>
    </border>
    <border>
      <left style="thin">
        <color indexed="22"/>
      </left>
      <right style="medium">
        <color auto="1"/>
      </right>
      <top/>
      <bottom style="thin">
        <color indexed="22"/>
      </bottom>
      <diagonal/>
    </border>
    <border>
      <left style="thin">
        <color indexed="22"/>
      </left>
      <right style="medium">
        <color auto="1"/>
      </right>
      <top style="thin">
        <color auto="1"/>
      </top>
      <bottom/>
      <diagonal/>
    </border>
    <border>
      <left style="thin">
        <color indexed="22"/>
      </left>
      <right style="medium">
        <color auto="1"/>
      </right>
      <top/>
      <bottom/>
      <diagonal/>
    </border>
    <border>
      <left style="thin">
        <color indexed="22"/>
      </left>
      <right style="medium">
        <color auto="1"/>
      </right>
      <top/>
      <bottom style="medium">
        <color auto="1"/>
      </bottom>
      <diagonal/>
    </border>
    <border>
      <left style="thin">
        <color auto="1"/>
      </left>
      <right/>
      <top style="thin">
        <color indexed="22"/>
      </top>
      <bottom style="thin">
        <color indexed="22"/>
      </bottom>
      <diagonal/>
    </border>
    <border>
      <left style="medium">
        <color auto="1"/>
      </left>
      <right style="thin">
        <color auto="1"/>
      </right>
      <top style="thin">
        <color indexed="22"/>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2"/>
      </left>
      <right/>
      <top style="medium">
        <color auto="1"/>
      </top>
      <bottom style="thin">
        <color indexed="22"/>
      </bottom>
      <diagonal/>
    </border>
    <border>
      <left style="medium">
        <color auto="1"/>
      </left>
      <right/>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bottom style="thin">
        <color auto="1"/>
      </bottom>
      <diagonal/>
    </border>
    <border>
      <left style="thin">
        <color indexed="22"/>
      </left>
      <right/>
      <top/>
      <bottom style="thin">
        <color auto="1"/>
      </bottom>
      <diagonal/>
    </border>
    <border>
      <left style="thin">
        <color auto="1"/>
      </left>
      <right style="thin">
        <color auto="1"/>
      </right>
      <top style="thin">
        <color auto="1"/>
      </top>
      <bottom style="thin">
        <color auto="1"/>
      </bottom>
      <diagonal/>
    </border>
    <border>
      <left/>
      <right style="thin">
        <color indexed="22"/>
      </right>
      <top style="thin">
        <color auto="1"/>
      </top>
      <bottom style="thin">
        <color auto="1"/>
      </bottom>
      <diagonal/>
    </border>
    <border>
      <left style="thin">
        <color indexed="22"/>
      </left>
      <right style="thin">
        <color indexed="22"/>
      </right>
      <top style="thin">
        <color auto="1"/>
      </top>
      <bottom style="thin">
        <color auto="1"/>
      </bottom>
      <diagonal/>
    </border>
    <border>
      <left style="thin">
        <color indexed="22"/>
      </left>
      <right/>
      <top style="thin">
        <color auto="1"/>
      </top>
      <bottom style="thin">
        <color auto="1"/>
      </bottom>
      <diagonal/>
    </border>
    <border>
      <left style="thin">
        <color auto="1"/>
      </left>
      <right style="thin">
        <color indexed="22"/>
      </right>
      <top/>
      <bottom style="thin">
        <color auto="1"/>
      </bottom>
      <diagonal/>
    </border>
    <border>
      <left/>
      <right style="thin">
        <color auto="1"/>
      </right>
      <top style="thin">
        <color indexed="22"/>
      </top>
      <bottom/>
      <diagonal/>
    </border>
    <border>
      <left style="medium">
        <color auto="1"/>
      </left>
      <right style="medium">
        <color auto="1"/>
      </right>
      <top/>
      <bottom/>
      <diagonal/>
    </border>
    <border>
      <left/>
      <right/>
      <top style="thin">
        <color auto="1"/>
      </top>
      <bottom style="thin">
        <color indexed="22"/>
      </bottom>
      <diagonal/>
    </border>
    <border>
      <left/>
      <right style="thin">
        <color auto="1"/>
      </right>
      <top style="thin">
        <color indexed="22"/>
      </top>
      <bottom style="thin">
        <color indexed="22"/>
      </bottom>
      <diagonal/>
    </border>
    <border>
      <left style="thin">
        <color auto="1"/>
      </left>
      <right/>
      <top style="thin">
        <color indexed="22"/>
      </top>
      <bottom style="medium">
        <color auto="1"/>
      </bottom>
      <diagonal/>
    </border>
    <border>
      <left/>
      <right style="thin">
        <color auto="1"/>
      </right>
      <top style="thin">
        <color indexed="22"/>
      </top>
      <bottom style="medium">
        <color auto="1"/>
      </bottom>
      <diagonal/>
    </border>
    <border>
      <left style="medium">
        <color auto="1"/>
      </left>
      <right/>
      <top style="medium">
        <color auto="1"/>
      </top>
      <bottom style="thin">
        <color indexed="22"/>
      </bottom>
      <diagonal/>
    </border>
    <border>
      <left style="thin">
        <color auto="1"/>
      </left>
      <right/>
      <top style="thin">
        <color auto="1"/>
      </top>
      <bottom style="thin">
        <color indexed="22"/>
      </bottom>
      <diagonal/>
    </border>
    <border>
      <left/>
      <right style="thin">
        <color auto="1"/>
      </right>
      <top style="thin">
        <color auto="1"/>
      </top>
      <bottom style="thin">
        <color indexed="22"/>
      </bottom>
      <diagonal/>
    </border>
    <border>
      <left/>
      <right style="thin">
        <color auto="1"/>
      </right>
      <top style="medium">
        <color auto="1"/>
      </top>
      <bottom style="thin">
        <color indexed="22"/>
      </bottom>
      <diagonal/>
    </border>
    <border>
      <left/>
      <right style="medium">
        <color auto="1"/>
      </right>
      <top style="thin">
        <color auto="1"/>
      </top>
      <bottom style="thin">
        <color indexed="22"/>
      </bottom>
      <diagonal/>
    </border>
    <border>
      <left style="medium">
        <color rgb="FFFF0000"/>
      </left>
      <right style="thin">
        <color indexed="22"/>
      </right>
      <top style="medium">
        <color rgb="FFFF0000"/>
      </top>
      <bottom style="thin">
        <color indexed="22"/>
      </bottom>
      <diagonal/>
    </border>
    <border>
      <left style="thin">
        <color indexed="22"/>
      </left>
      <right style="medium">
        <color rgb="FFFF0000"/>
      </right>
      <top style="medium">
        <color rgb="FFFF0000"/>
      </top>
      <bottom style="thin">
        <color indexed="22"/>
      </bottom>
      <diagonal/>
    </border>
    <border>
      <left style="medium">
        <color rgb="FFFF0000"/>
      </left>
      <right style="thin">
        <color indexed="22"/>
      </right>
      <top style="thin">
        <color indexed="22"/>
      </top>
      <bottom style="thin">
        <color indexed="22"/>
      </bottom>
      <diagonal/>
    </border>
    <border>
      <left style="thin">
        <color indexed="22"/>
      </left>
      <right style="medium">
        <color rgb="FFFF0000"/>
      </right>
      <top style="thin">
        <color indexed="22"/>
      </top>
      <bottom style="thin">
        <color indexed="22"/>
      </bottom>
      <diagonal/>
    </border>
    <border>
      <left style="thin">
        <color indexed="22"/>
      </left>
      <right style="medium">
        <color rgb="FFFF0000"/>
      </right>
      <top style="thin">
        <color indexed="22"/>
      </top>
      <bottom style="medium">
        <color rgb="FFFF0000"/>
      </bottom>
      <diagonal/>
    </border>
    <border>
      <left style="medium">
        <color rgb="FFFF0000"/>
      </left>
      <right/>
      <top/>
      <bottom/>
      <diagonal/>
    </border>
    <border>
      <left/>
      <right style="medium">
        <color rgb="FFFF0000"/>
      </right>
      <top/>
      <bottom/>
      <diagonal/>
    </border>
    <border>
      <left style="medium">
        <color rgb="FFFF0000"/>
      </left>
      <right style="thin">
        <color indexed="22"/>
      </right>
      <top style="thin">
        <color indexed="22"/>
      </top>
      <bottom style="medium">
        <color rgb="FFFF0000"/>
      </bottom>
      <diagonal/>
    </border>
    <border>
      <left style="thin">
        <color theme="0" tint="-0.249977111117893"/>
      </left>
      <right/>
      <top style="thin">
        <color theme="0" tint="-0.249977111117893"/>
      </top>
      <bottom/>
      <diagonal/>
    </border>
    <border>
      <left/>
      <right/>
      <top style="thin">
        <color theme="0" tint="-0.249977111117893"/>
      </top>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style="thin">
        <color theme="0" tint="-0.249977111117893"/>
      </right>
      <top/>
      <bottom style="thin">
        <color theme="0" tint="-0.249977111117893"/>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style="thin">
        <color indexed="22"/>
      </top>
      <bottom style="thin">
        <color auto="1"/>
      </bottom>
      <diagonal/>
    </border>
    <border>
      <left style="thin">
        <color auto="1"/>
      </left>
      <right style="thin">
        <color indexed="22"/>
      </right>
      <top style="thin">
        <color auto="1"/>
      </top>
      <bottom/>
      <diagonal/>
    </border>
    <border>
      <left style="thin">
        <color auto="1"/>
      </left>
      <right style="thin">
        <color indexed="22"/>
      </right>
      <top/>
      <bottom style="thin">
        <color indexed="22"/>
      </bottom>
      <diagonal/>
    </border>
    <border>
      <left style="thin">
        <color auto="1"/>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bottom style="thin">
        <color auto="1"/>
      </bottom>
      <diagonal/>
    </border>
    <border>
      <left/>
      <right style="thin">
        <color indexed="22"/>
      </right>
      <top style="thin">
        <color auto="1"/>
      </top>
      <bottom/>
      <diagonal/>
    </border>
    <border>
      <left style="thin">
        <color indexed="22"/>
      </left>
      <right style="thin">
        <color indexed="22"/>
      </right>
      <top style="thin">
        <color auto="1"/>
      </top>
      <bottom/>
      <diagonal/>
    </border>
    <border>
      <left style="thin">
        <color indexed="22"/>
      </left>
      <right/>
      <top style="thin">
        <color auto="1"/>
      </top>
      <bottom/>
      <diagonal/>
    </border>
    <border>
      <left style="thin">
        <color indexed="22"/>
      </left>
      <right style="thin">
        <color auto="1"/>
      </right>
      <top style="thin">
        <color auto="1"/>
      </top>
      <bottom/>
      <diagonal/>
    </border>
    <border>
      <left style="thin">
        <color auto="1"/>
      </left>
      <right style="thin">
        <color indexed="22"/>
      </right>
      <top style="thin">
        <color auto="1"/>
      </top>
      <bottom style="thin">
        <color auto="1"/>
      </bottom>
      <diagonal/>
    </border>
    <border>
      <left style="thin">
        <color indexed="22"/>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s>
  <cellStyleXfs count="18">
    <xf numFmtId="0" fontId="0" fillId="0" borderId="0"/>
    <xf numFmtId="0" fontId="51" fillId="0" borderId="0"/>
    <xf numFmtId="0" fontId="1" fillId="0" borderId="0"/>
    <xf numFmtId="0" fontId="1" fillId="0" borderId="0"/>
    <xf numFmtId="0" fontId="3" fillId="0" borderId="0"/>
    <xf numFmtId="0" fontId="3" fillId="0" borderId="0"/>
    <xf numFmtId="0" fontId="4" fillId="0" borderId="0"/>
    <xf numFmtId="1" fontId="4" fillId="0" borderId="0"/>
    <xf numFmtId="1" fontId="4" fillId="0" borderId="0"/>
    <xf numFmtId="166" fontId="4" fillId="0" borderId="0"/>
    <xf numFmtId="1" fontId="4" fillId="0" borderId="0"/>
    <xf numFmtId="1" fontId="4" fillId="0" borderId="0"/>
    <xf numFmtId="2" fontId="4" fillId="0" borderId="0"/>
    <xf numFmtId="2" fontId="4" fillId="0" borderId="0"/>
    <xf numFmtId="166" fontId="4" fillId="0" borderId="0"/>
    <xf numFmtId="215" fontId="4" fillId="0" borderId="0"/>
    <xf numFmtId="9" fontId="78" fillId="0" borderId="0" applyFont="0" applyFill="0" applyBorder="0" applyAlignment="0" applyProtection="0"/>
    <xf numFmtId="0" fontId="105" fillId="0" borderId="0" applyNumberFormat="0" applyFill="0" applyBorder="0" applyAlignment="0" applyProtection="0"/>
  </cellStyleXfs>
  <cellXfs count="2878">
    <xf numFmtId="0" fontId="0" fillId="0" borderId="0" xfId="0"/>
    <xf numFmtId="0" fontId="0" fillId="0" borderId="0" xfId="0" applyProtection="1"/>
    <xf numFmtId="0" fontId="8" fillId="2" borderId="0" xfId="0" applyFont="1" applyFill="1" applyProtection="1"/>
    <xf numFmtId="0" fontId="8" fillId="0" borderId="0" xfId="0" applyFont="1" applyProtection="1"/>
    <xf numFmtId="0" fontId="11" fillId="0" borderId="0" xfId="0" applyFont="1" applyProtection="1"/>
    <xf numFmtId="0" fontId="8" fillId="2" borderId="0" xfId="0" applyFont="1" applyFill="1" applyBorder="1" applyProtection="1"/>
    <xf numFmtId="0" fontId="12" fillId="0" borderId="0" xfId="0" applyFont="1" applyProtection="1"/>
    <xf numFmtId="0" fontId="8" fillId="2" borderId="0" xfId="0" applyFont="1" applyFill="1" applyBorder="1" applyProtection="1">
      <protection locked="0"/>
    </xf>
    <xf numFmtId="0" fontId="8" fillId="3" borderId="2" xfId="0" applyFont="1" applyFill="1" applyBorder="1" applyProtection="1"/>
    <xf numFmtId="0" fontId="8" fillId="3" borderId="0" xfId="0" applyFont="1" applyFill="1" applyBorder="1" applyProtection="1"/>
    <xf numFmtId="0" fontId="8" fillId="3" borderId="3" xfId="0" applyFont="1" applyFill="1" applyBorder="1" applyProtection="1"/>
    <xf numFmtId="0" fontId="8" fillId="3" borderId="4" xfId="0" applyFont="1" applyFill="1" applyBorder="1" applyProtection="1"/>
    <xf numFmtId="0" fontId="12" fillId="2" borderId="0" xfId="0" applyFont="1" applyFill="1" applyAlignment="1" applyProtection="1">
      <alignment horizontal="center"/>
    </xf>
    <xf numFmtId="0" fontId="8" fillId="3" borderId="5" xfId="0" applyFont="1" applyFill="1" applyBorder="1" applyProtection="1"/>
    <xf numFmtId="0" fontId="6" fillId="2" borderId="0" xfId="0" applyFont="1" applyFill="1" applyProtection="1"/>
    <xf numFmtId="0" fontId="0" fillId="0" borderId="0" xfId="0" applyAlignment="1" applyProtection="1">
      <alignment horizontal="center"/>
    </xf>
    <xf numFmtId="0" fontId="11" fillId="0" borderId="0" xfId="0" applyFont="1" applyAlignment="1" applyProtection="1">
      <alignment horizontal="center"/>
    </xf>
    <xf numFmtId="0" fontId="8" fillId="4" borderId="0" xfId="0" applyFont="1" applyFill="1" applyBorder="1" applyProtection="1"/>
    <xf numFmtId="0" fontId="12" fillId="0" borderId="0" xfId="0" applyFont="1" applyAlignment="1" applyProtection="1">
      <alignment horizontal="center"/>
    </xf>
    <xf numFmtId="0" fontId="8" fillId="3" borderId="6" xfId="0" applyFont="1" applyFill="1" applyBorder="1" applyProtection="1"/>
    <xf numFmtId="0" fontId="19" fillId="4" borderId="4" xfId="0" applyFont="1" applyFill="1" applyBorder="1" applyAlignment="1" applyProtection="1">
      <alignment horizontal="right"/>
    </xf>
    <xf numFmtId="0" fontId="12" fillId="4" borderId="0" xfId="0" applyFont="1" applyFill="1" applyBorder="1" applyAlignment="1" applyProtection="1">
      <alignment horizontal="right"/>
    </xf>
    <xf numFmtId="172" fontId="12" fillId="4" borderId="0" xfId="0" applyNumberFormat="1" applyFont="1" applyFill="1" applyBorder="1" applyAlignment="1" applyProtection="1">
      <alignment horizontal="right"/>
    </xf>
    <xf numFmtId="0" fontId="11" fillId="2" borderId="0" xfId="0" applyFont="1" applyFill="1" applyAlignment="1" applyProtection="1">
      <alignment horizontal="center"/>
    </xf>
    <xf numFmtId="172" fontId="11" fillId="3" borderId="7" xfId="0" applyNumberFormat="1" applyFont="1" applyFill="1" applyBorder="1" applyAlignment="1" applyProtection="1">
      <alignment horizontal="center"/>
    </xf>
    <xf numFmtId="0" fontId="13" fillId="3" borderId="8" xfId="0" applyFont="1" applyFill="1" applyBorder="1" applyProtection="1"/>
    <xf numFmtId="0" fontId="23" fillId="0" borderId="0" xfId="0" applyFont="1" applyAlignment="1" applyProtection="1">
      <alignment horizontal="center"/>
    </xf>
    <xf numFmtId="172" fontId="11" fillId="3" borderId="9" xfId="0" applyNumberFormat="1" applyFont="1" applyFill="1" applyBorder="1" applyAlignment="1" applyProtection="1">
      <alignment horizontal="center"/>
    </xf>
    <xf numFmtId="0" fontId="11" fillId="4" borderId="8" xfId="0" applyFont="1" applyFill="1" applyBorder="1" applyAlignment="1" applyProtection="1">
      <alignment horizontal="right"/>
    </xf>
    <xf numFmtId="0" fontId="11" fillId="4" borderId="2" xfId="0" applyFont="1" applyFill="1" applyBorder="1" applyAlignment="1" applyProtection="1">
      <alignment horizontal="right"/>
    </xf>
    <xf numFmtId="172" fontId="11" fillId="3" borderId="10" xfId="0" applyNumberFormat="1" applyFont="1" applyFill="1" applyBorder="1" applyAlignment="1" applyProtection="1">
      <alignment horizontal="center"/>
    </xf>
    <xf numFmtId="14" fontId="11" fillId="3" borderId="2" xfId="0" applyNumberFormat="1" applyFont="1" applyFill="1" applyBorder="1" applyAlignment="1" applyProtection="1">
      <alignment horizontal="right"/>
    </xf>
    <xf numFmtId="0" fontId="11" fillId="4" borderId="11" xfId="0" applyFont="1" applyFill="1" applyBorder="1" applyAlignment="1" applyProtection="1">
      <alignment horizontal="right"/>
    </xf>
    <xf numFmtId="0" fontId="11" fillId="3" borderId="0" xfId="0" applyFont="1" applyFill="1" applyBorder="1" applyAlignment="1" applyProtection="1">
      <alignment horizontal="right"/>
    </xf>
    <xf numFmtId="0" fontId="0" fillId="0" borderId="0" xfId="0" applyBorder="1" applyAlignment="1" applyProtection="1">
      <alignment horizontal="center"/>
    </xf>
    <xf numFmtId="0" fontId="12" fillId="3" borderId="2" xfId="0" applyFont="1" applyFill="1" applyBorder="1" applyAlignment="1" applyProtection="1">
      <alignment horizontal="center"/>
    </xf>
    <xf numFmtId="0" fontId="12" fillId="3" borderId="12" xfId="4" applyFont="1" applyFill="1" applyBorder="1" applyAlignment="1" applyProtection="1">
      <alignment horizontal="center"/>
    </xf>
    <xf numFmtId="0" fontId="12" fillId="3" borderId="13" xfId="4" applyFont="1" applyFill="1" applyBorder="1" applyAlignment="1" applyProtection="1">
      <alignment horizontal="center"/>
    </xf>
    <xf numFmtId="0" fontId="12" fillId="3" borderId="0" xfId="4" applyFont="1" applyFill="1" applyBorder="1" applyAlignment="1" applyProtection="1">
      <alignment horizontal="center"/>
    </xf>
    <xf numFmtId="172" fontId="12" fillId="3" borderId="0" xfId="0" applyNumberFormat="1" applyFont="1" applyFill="1" applyBorder="1" applyAlignment="1" applyProtection="1">
      <alignment horizontal="center"/>
    </xf>
    <xf numFmtId="172" fontId="12" fillId="3" borderId="5" xfId="0" applyNumberFormat="1" applyFont="1" applyFill="1" applyBorder="1" applyAlignment="1" applyProtection="1">
      <alignment horizontal="center"/>
    </xf>
    <xf numFmtId="0" fontId="12" fillId="3" borderId="14" xfId="4" applyFont="1" applyFill="1" applyBorder="1" applyAlignment="1" applyProtection="1">
      <alignment horizontal="center"/>
    </xf>
    <xf numFmtId="172" fontId="12" fillId="3" borderId="6" xfId="0" applyNumberFormat="1" applyFont="1" applyFill="1" applyBorder="1" applyAlignment="1" applyProtection="1">
      <alignment horizontal="center"/>
    </xf>
    <xf numFmtId="0" fontId="11" fillId="4" borderId="4" xfId="0" applyFont="1" applyFill="1" applyBorder="1" applyAlignment="1" applyProtection="1">
      <alignment horizontal="right"/>
    </xf>
    <xf numFmtId="0" fontId="11" fillId="4" borderId="0" xfId="0" applyFont="1" applyFill="1" applyBorder="1" applyAlignment="1" applyProtection="1">
      <alignment horizontal="right"/>
    </xf>
    <xf numFmtId="0" fontId="12" fillId="3" borderId="15" xfId="4" applyFont="1" applyFill="1" applyBorder="1" applyAlignment="1" applyProtection="1">
      <alignment horizontal="center"/>
    </xf>
    <xf numFmtId="172" fontId="11" fillId="3" borderId="4" xfId="0" applyNumberFormat="1" applyFont="1" applyFill="1" applyBorder="1" applyAlignment="1" applyProtection="1">
      <alignment horizontal="center"/>
    </xf>
    <xf numFmtId="166" fontId="7" fillId="4" borderId="0" xfId="0" applyNumberFormat="1" applyFont="1" applyFill="1" applyBorder="1" applyAlignment="1" applyProtection="1">
      <alignment horizontal="center"/>
    </xf>
    <xf numFmtId="0" fontId="0" fillId="0" borderId="0" xfId="0" applyProtection="1">
      <protection locked="0"/>
    </xf>
    <xf numFmtId="172" fontId="12" fillId="3" borderId="4" xfId="0" applyNumberFormat="1" applyFont="1" applyFill="1" applyBorder="1" applyAlignment="1" applyProtection="1">
      <alignment horizontal="center"/>
    </xf>
    <xf numFmtId="0" fontId="12" fillId="3" borderId="16" xfId="4" applyFont="1" applyFill="1" applyBorder="1" applyAlignment="1" applyProtection="1">
      <alignment horizontal="center"/>
    </xf>
    <xf numFmtId="0" fontId="8" fillId="3" borderId="17" xfId="0" applyFont="1" applyFill="1" applyBorder="1" applyAlignment="1" applyProtection="1">
      <alignment horizontal="left"/>
    </xf>
    <xf numFmtId="0" fontId="12" fillId="3" borderId="2" xfId="4" applyFont="1" applyFill="1" applyBorder="1" applyAlignment="1" applyProtection="1">
      <alignment horizontal="center"/>
    </xf>
    <xf numFmtId="0" fontId="8" fillId="3" borderId="18" xfId="0" applyFont="1" applyFill="1" applyBorder="1" applyProtection="1"/>
    <xf numFmtId="172" fontId="11" fillId="5" borderId="0" xfId="0" applyNumberFormat="1" applyFont="1" applyFill="1" applyBorder="1" applyAlignment="1" applyProtection="1">
      <alignment horizontal="center"/>
    </xf>
    <xf numFmtId="0" fontId="11" fillId="6" borderId="19" xfId="0" applyFont="1" applyFill="1" applyBorder="1" applyAlignment="1" applyProtection="1">
      <alignment horizontal="right"/>
    </xf>
    <xf numFmtId="2" fontId="7" fillId="5" borderId="19" xfId="3" applyNumberFormat="1" applyFont="1" applyFill="1" applyBorder="1" applyAlignment="1" applyProtection="1">
      <alignment horizontal="center"/>
    </xf>
    <xf numFmtId="0" fontId="6" fillId="6" borderId="19" xfId="0" applyFont="1" applyFill="1" applyBorder="1" applyProtection="1"/>
    <xf numFmtId="0" fontId="8" fillId="5" borderId="19" xfId="0" applyFont="1" applyFill="1" applyBorder="1" applyAlignment="1" applyProtection="1">
      <alignment horizontal="left"/>
    </xf>
    <xf numFmtId="180" fontId="7" fillId="5" borderId="19" xfId="0" applyNumberFormat="1" applyFont="1" applyFill="1" applyBorder="1" applyAlignment="1" applyProtection="1">
      <alignment horizontal="left"/>
    </xf>
    <xf numFmtId="0" fontId="11" fillId="4" borderId="2" xfId="0" applyFont="1" applyFill="1" applyBorder="1" applyAlignment="1" applyProtection="1">
      <alignment horizontal="left" vertical="center"/>
    </xf>
    <xf numFmtId="0" fontId="11" fillId="4" borderId="2" xfId="0" applyFont="1" applyFill="1" applyBorder="1" applyAlignment="1" applyProtection="1">
      <alignment horizontal="center" vertical="center"/>
    </xf>
    <xf numFmtId="0" fontId="14" fillId="0" borderId="1" xfId="5" applyFont="1" applyBorder="1" applyAlignment="1" applyProtection="1">
      <alignment horizontal="center" vertical="center"/>
      <protection locked="0"/>
    </xf>
    <xf numFmtId="0" fontId="14" fillId="3" borderId="4" xfId="5" applyFont="1" applyFill="1" applyBorder="1" applyAlignment="1" applyProtection="1">
      <alignment horizontal="center" vertical="center"/>
    </xf>
    <xf numFmtId="0" fontId="14" fillId="3" borderId="6" xfId="5" applyFont="1" applyFill="1" applyBorder="1" applyAlignment="1" applyProtection="1">
      <alignment horizontal="center" vertical="center"/>
    </xf>
    <xf numFmtId="0" fontId="11" fillId="0" borderId="0" xfId="5" applyFont="1" applyAlignment="1" applyProtection="1">
      <alignment horizontal="center" vertical="center"/>
    </xf>
    <xf numFmtId="0" fontId="11" fillId="3" borderId="8" xfId="5" applyFont="1" applyFill="1" applyBorder="1" applyAlignment="1" applyProtection="1">
      <alignment vertical="center"/>
    </xf>
    <xf numFmtId="0" fontId="11" fillId="3" borderId="4" xfId="5" applyFont="1" applyFill="1" applyBorder="1" applyAlignment="1" applyProtection="1">
      <alignment vertical="center"/>
    </xf>
    <xf numFmtId="0" fontId="11" fillId="3" borderId="2" xfId="5" applyFont="1" applyFill="1" applyBorder="1" applyAlignment="1" applyProtection="1">
      <alignment horizontal="right" vertical="center"/>
    </xf>
    <xf numFmtId="0" fontId="11" fillId="3" borderId="0" xfId="5" applyFont="1" applyFill="1" applyBorder="1" applyAlignment="1" applyProtection="1">
      <alignment horizontal="right" vertical="center"/>
    </xf>
    <xf numFmtId="168" fontId="14" fillId="7" borderId="1" xfId="0" applyNumberFormat="1" applyFont="1" applyFill="1" applyBorder="1" applyAlignment="1" applyProtection="1">
      <alignment horizontal="center" vertical="center"/>
      <protection locked="0"/>
    </xf>
    <xf numFmtId="14" fontId="11" fillId="3" borderId="0" xfId="5" applyNumberFormat="1" applyFont="1" applyFill="1" applyBorder="1" applyAlignment="1" applyProtection="1">
      <alignment horizontal="right" vertical="center"/>
    </xf>
    <xf numFmtId="0" fontId="14" fillId="5" borderId="1" xfId="5" applyFont="1" applyFill="1" applyBorder="1" applyAlignment="1" applyProtection="1">
      <alignment horizontal="center" vertical="center"/>
      <protection locked="0"/>
    </xf>
    <xf numFmtId="0" fontId="18" fillId="3" borderId="0" xfId="5" applyFont="1" applyFill="1" applyBorder="1" applyAlignment="1" applyProtection="1">
      <alignment horizontal="center" vertical="center"/>
    </xf>
    <xf numFmtId="0" fontId="18" fillId="3" borderId="5" xfId="5" applyFont="1" applyFill="1" applyBorder="1" applyAlignment="1" applyProtection="1">
      <alignment horizontal="center" vertical="center"/>
    </xf>
    <xf numFmtId="170" fontId="14" fillId="2" borderId="1" xfId="0" applyNumberFormat="1" applyFont="1" applyFill="1" applyBorder="1" applyAlignment="1" applyProtection="1">
      <alignment horizontal="center" vertical="center"/>
      <protection locked="0"/>
    </xf>
    <xf numFmtId="181" fontId="14" fillId="4" borderId="1" xfId="0" applyNumberFormat="1" applyFont="1" applyFill="1" applyBorder="1" applyAlignment="1" applyProtection="1">
      <alignment horizontal="center" vertical="center"/>
    </xf>
    <xf numFmtId="180" fontId="11" fillId="3" borderId="0" xfId="5" applyNumberFormat="1" applyFont="1" applyFill="1" applyBorder="1" applyAlignment="1" applyProtection="1">
      <alignment horizontal="right" vertical="center"/>
    </xf>
    <xf numFmtId="183" fontId="14" fillId="4" borderId="1" xfId="0" applyNumberFormat="1" applyFont="1" applyFill="1" applyBorder="1" applyAlignment="1" applyProtection="1">
      <alignment horizontal="center" vertical="center"/>
    </xf>
    <xf numFmtId="0" fontId="11" fillId="0" borderId="0" xfId="5" applyFont="1" applyAlignment="1" applyProtection="1">
      <alignment horizontal="right" vertical="center"/>
    </xf>
    <xf numFmtId="180" fontId="11" fillId="3" borderId="2" xfId="5" applyNumberFormat="1" applyFont="1" applyFill="1" applyBorder="1" applyAlignment="1" applyProtection="1">
      <alignment horizontal="right" vertical="center"/>
    </xf>
    <xf numFmtId="177" fontId="14" fillId="2" borderId="1" xfId="0" applyNumberFormat="1" applyFont="1" applyFill="1" applyBorder="1" applyAlignment="1" applyProtection="1">
      <alignment horizontal="center" vertical="center"/>
      <protection locked="0"/>
    </xf>
    <xf numFmtId="0" fontId="14" fillId="3" borderId="0" xfId="5" applyFont="1" applyFill="1" applyBorder="1" applyAlignment="1" applyProtection="1">
      <alignment horizontal="center" vertical="center"/>
    </xf>
    <xf numFmtId="0" fontId="11" fillId="3" borderId="0" xfId="5" applyFont="1" applyFill="1" applyBorder="1" applyAlignment="1" applyProtection="1">
      <alignment horizontal="left" vertical="center"/>
    </xf>
    <xf numFmtId="0" fontId="12" fillId="3" borderId="2" xfId="5" applyFont="1" applyFill="1" applyBorder="1" applyAlignment="1" applyProtection="1">
      <alignment horizontal="left" vertical="center"/>
    </xf>
    <xf numFmtId="0" fontId="12" fillId="3" borderId="0" xfId="5" applyFont="1" applyFill="1" applyBorder="1" applyAlignment="1" applyProtection="1">
      <alignment horizontal="center" vertical="center"/>
    </xf>
    <xf numFmtId="0" fontId="12" fillId="3" borderId="5" xfId="5" applyFont="1" applyFill="1" applyBorder="1" applyAlignment="1" applyProtection="1">
      <alignment horizontal="center" vertical="center"/>
    </xf>
    <xf numFmtId="0" fontId="12" fillId="3" borderId="20" xfId="5" applyFont="1" applyFill="1" applyBorder="1" applyAlignment="1" applyProtection="1">
      <alignment horizontal="center" vertical="center"/>
      <protection locked="0"/>
    </xf>
    <xf numFmtId="167" fontId="15" fillId="3" borderId="1" xfId="5" applyNumberFormat="1" applyFont="1" applyFill="1" applyBorder="1" applyAlignment="1" applyProtection="1">
      <alignment horizontal="right" vertical="center"/>
    </xf>
    <xf numFmtId="0" fontId="14" fillId="8" borderId="1" xfId="5" applyNumberFormat="1" applyFont="1" applyFill="1" applyBorder="1" applyAlignment="1" applyProtection="1">
      <alignment horizontal="center" vertical="center"/>
      <protection locked="0"/>
    </xf>
    <xf numFmtId="2" fontId="14" fillId="3" borderId="1" xfId="5" applyNumberFormat="1" applyFont="1" applyFill="1" applyBorder="1" applyAlignment="1" applyProtection="1">
      <alignment horizontal="center" vertical="center"/>
    </xf>
    <xf numFmtId="166" fontId="14" fillId="3" borderId="1" xfId="5" applyNumberFormat="1" applyFont="1" applyFill="1" applyBorder="1" applyAlignment="1" applyProtection="1">
      <alignment horizontal="center" vertical="center"/>
    </xf>
    <xf numFmtId="0" fontId="14" fillId="9" borderId="1" xfId="5" applyFont="1" applyFill="1" applyBorder="1" applyAlignment="1" applyProtection="1">
      <alignment horizontal="center" vertical="center"/>
      <protection locked="0"/>
    </xf>
    <xf numFmtId="2" fontId="14" fillId="3" borderId="21" xfId="5" applyNumberFormat="1" applyFont="1" applyFill="1" applyBorder="1" applyAlignment="1" applyProtection="1">
      <alignment horizontal="center" vertical="center"/>
    </xf>
    <xf numFmtId="0" fontId="11" fillId="3" borderId="2" xfId="5" applyFont="1" applyFill="1" applyBorder="1" applyAlignment="1" applyProtection="1">
      <alignment horizontal="left" vertical="center"/>
    </xf>
    <xf numFmtId="0" fontId="11" fillId="3" borderId="0" xfId="5" applyFont="1" applyFill="1" applyBorder="1" applyAlignment="1" applyProtection="1">
      <alignment horizontal="center" vertical="center"/>
    </xf>
    <xf numFmtId="2" fontId="14" fillId="3" borderId="0" xfId="5" applyNumberFormat="1" applyFont="1" applyFill="1" applyBorder="1" applyAlignment="1" applyProtection="1">
      <alignment horizontal="center" vertical="center"/>
    </xf>
    <xf numFmtId="166" fontId="14" fillId="3" borderId="0" xfId="5" applyNumberFormat="1" applyFont="1" applyFill="1" applyBorder="1" applyAlignment="1" applyProtection="1">
      <alignment horizontal="center" vertical="center"/>
    </xf>
    <xf numFmtId="166" fontId="14" fillId="3" borderId="5" xfId="5" applyNumberFormat="1" applyFont="1" applyFill="1" applyBorder="1" applyAlignment="1" applyProtection="1">
      <alignment horizontal="center" vertical="center"/>
    </xf>
    <xf numFmtId="0" fontId="11" fillId="3" borderId="11" xfId="5" applyFont="1" applyFill="1" applyBorder="1" applyAlignment="1" applyProtection="1">
      <alignment horizontal="left" vertical="center"/>
    </xf>
    <xf numFmtId="0" fontId="11" fillId="3" borderId="22" xfId="5" applyFont="1" applyFill="1" applyBorder="1" applyAlignment="1" applyProtection="1">
      <alignment horizontal="right" vertical="center"/>
    </xf>
    <xf numFmtId="0" fontId="14" fillId="3" borderId="22" xfId="5" applyFont="1" applyFill="1" applyBorder="1" applyAlignment="1" applyProtection="1">
      <alignment horizontal="center" vertical="center"/>
    </xf>
    <xf numFmtId="0" fontId="14" fillId="3" borderId="23" xfId="5" applyFont="1" applyFill="1" applyBorder="1" applyAlignment="1" applyProtection="1">
      <alignment horizontal="center" vertical="center"/>
    </xf>
    <xf numFmtId="1" fontId="14" fillId="3" borderId="22" xfId="5" applyNumberFormat="1" applyFont="1" applyFill="1" applyBorder="1" applyAlignment="1" applyProtection="1">
      <alignment horizontal="center" vertical="center"/>
    </xf>
    <xf numFmtId="2" fontId="14" fillId="3" borderId="22" xfId="5" applyNumberFormat="1" applyFont="1" applyFill="1" applyBorder="1" applyAlignment="1" applyProtection="1">
      <alignment horizontal="center" vertical="center"/>
    </xf>
    <xf numFmtId="166" fontId="14" fillId="3" borderId="22" xfId="5" applyNumberFormat="1" applyFont="1" applyFill="1" applyBorder="1" applyAlignment="1" applyProtection="1">
      <alignment horizontal="center" vertical="center"/>
    </xf>
    <xf numFmtId="166" fontId="14" fillId="3" borderId="23" xfId="5" applyNumberFormat="1" applyFont="1" applyFill="1" applyBorder="1" applyAlignment="1" applyProtection="1">
      <alignment horizontal="center" vertical="center"/>
    </xf>
    <xf numFmtId="0" fontId="11" fillId="0" borderId="0" xfId="0" applyFont="1" applyAlignment="1" applyProtection="1">
      <alignment vertical="center"/>
    </xf>
    <xf numFmtId="0" fontId="10" fillId="0" borderId="0" xfId="0" applyFont="1" applyBorder="1" applyAlignment="1" applyProtection="1">
      <alignment vertical="center"/>
    </xf>
    <xf numFmtId="0" fontId="11" fillId="0" borderId="0" xfId="0" applyFont="1" applyBorder="1" applyAlignment="1" applyProtection="1">
      <alignment vertical="center"/>
    </xf>
    <xf numFmtId="2" fontId="11" fillId="3" borderId="24" xfId="5" applyNumberFormat="1" applyFont="1" applyFill="1" applyBorder="1" applyAlignment="1" applyProtection="1">
      <alignment horizontal="left" vertical="center"/>
    </xf>
    <xf numFmtId="2" fontId="14" fillId="4" borderId="5" xfId="5" applyNumberFormat="1" applyFont="1" applyFill="1" applyBorder="1" applyAlignment="1" applyProtection="1">
      <alignment horizontal="center" vertical="center"/>
    </xf>
    <xf numFmtId="2" fontId="14" fillId="8" borderId="1" xfId="5" applyNumberFormat="1" applyFont="1" applyFill="1" applyBorder="1" applyAlignment="1" applyProtection="1">
      <alignment horizontal="center" vertical="center"/>
      <protection locked="0"/>
    </xf>
    <xf numFmtId="2" fontId="11" fillId="0" borderId="0" xfId="5" applyNumberFormat="1" applyFont="1" applyAlignment="1" applyProtection="1">
      <alignment horizontal="center" vertical="center"/>
    </xf>
    <xf numFmtId="166" fontId="14" fillId="4" borderId="5" xfId="5" applyNumberFormat="1" applyFont="1" applyFill="1" applyBorder="1" applyAlignment="1" applyProtection="1">
      <alignment horizontal="center" vertical="center"/>
    </xf>
    <xf numFmtId="2" fontId="17" fillId="3" borderId="24" xfId="5" applyNumberFormat="1" applyFont="1" applyFill="1" applyBorder="1" applyAlignment="1" applyProtection="1">
      <alignment horizontal="left" vertical="center"/>
    </xf>
    <xf numFmtId="168" fontId="14" fillId="4" borderId="5" xfId="5" applyNumberFormat="1" applyFont="1" applyFill="1" applyBorder="1" applyAlignment="1" applyProtection="1">
      <alignment horizontal="center" vertical="center"/>
    </xf>
    <xf numFmtId="178" fontId="14" fillId="4" borderId="5" xfId="5" applyNumberFormat="1" applyFont="1" applyFill="1" applyBorder="1" applyAlignment="1" applyProtection="1">
      <alignment horizontal="center" vertical="center"/>
    </xf>
    <xf numFmtId="2" fontId="14" fillId="3" borderId="24" xfId="5" applyNumberFormat="1" applyFont="1" applyFill="1" applyBorder="1" applyAlignment="1" applyProtection="1">
      <alignment horizontal="center" vertical="center"/>
    </xf>
    <xf numFmtId="184" fontId="14" fillId="4" borderId="5" xfId="5" applyNumberFormat="1" applyFont="1" applyFill="1" applyBorder="1" applyAlignment="1" applyProtection="1">
      <alignment horizontal="center" vertical="center"/>
    </xf>
    <xf numFmtId="0" fontId="11" fillId="3" borderId="5" xfId="5" applyFont="1" applyFill="1" applyBorder="1" applyAlignment="1" applyProtection="1">
      <alignment horizontal="center" vertical="center"/>
    </xf>
    <xf numFmtId="0" fontId="11" fillId="4" borderId="4" xfId="0" applyFont="1" applyFill="1" applyBorder="1" applyAlignment="1" applyProtection="1">
      <alignment vertical="center"/>
    </xf>
    <xf numFmtId="0" fontId="14" fillId="3" borderId="4" xfId="0" applyNumberFormat="1" applyFont="1" applyFill="1" applyBorder="1" applyAlignment="1" applyProtection="1">
      <alignment horizontal="left" vertical="center"/>
    </xf>
    <xf numFmtId="0" fontId="11" fillId="4" borderId="0" xfId="0" applyFont="1" applyFill="1" applyBorder="1" applyAlignment="1" applyProtection="1">
      <alignment vertical="center"/>
    </xf>
    <xf numFmtId="0" fontId="18" fillId="3" borderId="0" xfId="0" applyNumberFormat="1" applyFont="1" applyFill="1" applyBorder="1" applyAlignment="1" applyProtection="1">
      <alignment horizontal="left" vertical="center"/>
    </xf>
    <xf numFmtId="0" fontId="14" fillId="3" borderId="1" xfId="3" applyNumberFormat="1" applyFont="1" applyFill="1" applyBorder="1" applyAlignment="1" applyProtection="1">
      <alignment horizontal="center" vertical="center"/>
    </xf>
    <xf numFmtId="0" fontId="14" fillId="3" borderId="1" xfId="0" applyNumberFormat="1" applyFont="1" applyFill="1" applyBorder="1" applyAlignment="1" applyProtection="1">
      <alignment horizontal="center" vertical="center"/>
    </xf>
    <xf numFmtId="182" fontId="14" fillId="4" borderId="0" xfId="0" applyNumberFormat="1" applyFont="1" applyFill="1" applyBorder="1" applyAlignment="1" applyProtection="1">
      <alignment horizontal="left" vertical="center"/>
    </xf>
    <xf numFmtId="1" fontId="14" fillId="4" borderId="1" xfId="0" applyNumberFormat="1" applyFont="1" applyFill="1" applyBorder="1" applyAlignment="1" applyProtection="1">
      <alignment horizontal="center" vertical="center"/>
    </xf>
    <xf numFmtId="1" fontId="14" fillId="3" borderId="1" xfId="0" applyNumberFormat="1" applyFont="1" applyFill="1" applyBorder="1" applyAlignment="1" applyProtection="1">
      <alignment horizontal="center" vertical="center"/>
    </xf>
    <xf numFmtId="1" fontId="14" fillId="3" borderId="25" xfId="3" applyNumberFormat="1" applyFont="1" applyFill="1" applyBorder="1" applyAlignment="1" applyProtection="1">
      <alignment horizontal="center" vertical="center"/>
    </xf>
    <xf numFmtId="0" fontId="11" fillId="4" borderId="22" xfId="0" applyFont="1" applyFill="1" applyBorder="1" applyAlignment="1" applyProtection="1">
      <alignment vertical="center"/>
    </xf>
    <xf numFmtId="0" fontId="10" fillId="3" borderId="4" xfId="0" applyFont="1" applyFill="1" applyBorder="1" applyAlignment="1" applyProtection="1">
      <alignment horizontal="center" vertical="center"/>
    </xf>
    <xf numFmtId="0" fontId="11" fillId="0" borderId="0" xfId="0" applyFont="1" applyAlignment="1" applyProtection="1">
      <alignment horizontal="center" vertical="center"/>
    </xf>
    <xf numFmtId="0" fontId="11" fillId="4" borderId="0" xfId="0" applyFont="1" applyFill="1" applyBorder="1" applyAlignment="1" applyProtection="1">
      <alignment horizontal="center" vertical="center"/>
    </xf>
    <xf numFmtId="0" fontId="11" fillId="4" borderId="5" xfId="0" applyFont="1" applyFill="1" applyBorder="1" applyAlignment="1" applyProtection="1">
      <alignment horizontal="center" vertical="center"/>
    </xf>
    <xf numFmtId="0" fontId="14" fillId="10" borderId="1" xfId="0" applyNumberFormat="1" applyFont="1" applyFill="1" applyBorder="1" applyAlignment="1" applyProtection="1">
      <alignment horizontal="center" vertical="center"/>
      <protection locked="0"/>
    </xf>
    <xf numFmtId="0" fontId="14" fillId="11" borderId="1" xfId="0" applyNumberFormat="1" applyFont="1" applyFill="1" applyBorder="1" applyAlignment="1" applyProtection="1">
      <alignment horizontal="center" vertical="center"/>
      <protection locked="0"/>
    </xf>
    <xf numFmtId="0" fontId="14" fillId="3" borderId="1" xfId="0" applyNumberFormat="1" applyFont="1" applyFill="1" applyBorder="1" applyAlignment="1" applyProtection="1">
      <alignment horizontal="left" vertical="center"/>
    </xf>
    <xf numFmtId="0" fontId="14" fillId="3" borderId="21" xfId="0" applyNumberFormat="1" applyFont="1" applyFill="1" applyBorder="1" applyAlignment="1" applyProtection="1">
      <alignment horizontal="left" vertical="center"/>
    </xf>
    <xf numFmtId="0" fontId="14" fillId="6" borderId="26" xfId="0" applyFont="1" applyFill="1" applyBorder="1" applyAlignment="1" applyProtection="1">
      <alignment horizontal="left" vertical="center"/>
      <protection locked="0"/>
    </xf>
    <xf numFmtId="0" fontId="14" fillId="12" borderId="1" xfId="0" applyNumberFormat="1" applyFont="1" applyFill="1" applyBorder="1" applyAlignment="1" applyProtection="1">
      <alignment horizontal="center" vertical="center"/>
      <protection locked="0"/>
    </xf>
    <xf numFmtId="0" fontId="14" fillId="4" borderId="1" xfId="0" applyNumberFormat="1" applyFont="1" applyFill="1" applyBorder="1" applyAlignment="1" applyProtection="1">
      <alignment horizontal="left" vertical="center"/>
    </xf>
    <xf numFmtId="0" fontId="14" fillId="4" borderId="21" xfId="0" applyNumberFormat="1" applyFont="1" applyFill="1" applyBorder="1" applyAlignment="1" applyProtection="1">
      <alignment horizontal="left" vertical="center"/>
    </xf>
    <xf numFmtId="0" fontId="14" fillId="6" borderId="27" xfId="0" applyFont="1" applyFill="1" applyBorder="1" applyAlignment="1" applyProtection="1">
      <alignment horizontal="left" vertical="center"/>
      <protection locked="0"/>
    </xf>
    <xf numFmtId="0" fontId="14" fillId="10" borderId="25" xfId="0" applyNumberFormat="1" applyFont="1" applyFill="1" applyBorder="1" applyAlignment="1" applyProtection="1">
      <alignment horizontal="center" vertical="center"/>
      <protection locked="0"/>
    </xf>
    <xf numFmtId="0" fontId="14" fillId="11" borderId="25" xfId="0" applyNumberFormat="1" applyFont="1" applyFill="1" applyBorder="1" applyAlignment="1" applyProtection="1">
      <alignment horizontal="center" vertical="center"/>
      <protection locked="0"/>
    </xf>
    <xf numFmtId="0" fontId="14" fillId="12" borderId="25" xfId="0" applyNumberFormat="1" applyFont="1" applyFill="1" applyBorder="1" applyAlignment="1" applyProtection="1">
      <alignment horizontal="center" vertical="center"/>
      <protection locked="0"/>
    </xf>
    <xf numFmtId="0" fontId="14" fillId="4" borderId="25" xfId="0" applyNumberFormat="1" applyFont="1" applyFill="1" applyBorder="1" applyAlignment="1" applyProtection="1">
      <alignment horizontal="left" vertical="center"/>
    </xf>
    <xf numFmtId="0" fontId="14" fillId="4" borderId="28" xfId="0" applyNumberFormat="1" applyFont="1" applyFill="1" applyBorder="1" applyAlignment="1" applyProtection="1">
      <alignment horizontal="left" vertical="center"/>
    </xf>
    <xf numFmtId="0" fontId="10" fillId="2" borderId="29" xfId="0" applyFont="1" applyFill="1" applyBorder="1" applyAlignment="1" applyProtection="1">
      <alignment horizontal="left" vertical="center"/>
      <protection locked="0"/>
    </xf>
    <xf numFmtId="0" fontId="11" fillId="2" borderId="10" xfId="0" applyFont="1" applyFill="1" applyBorder="1" applyAlignment="1" applyProtection="1">
      <alignment vertical="center"/>
      <protection locked="0"/>
    </xf>
    <xf numFmtId="0" fontId="11" fillId="2" borderId="0" xfId="0" applyFont="1" applyFill="1" applyAlignment="1" applyProtection="1">
      <alignment vertical="center"/>
    </xf>
    <xf numFmtId="0" fontId="11" fillId="0" borderId="0" xfId="0" applyFont="1" applyAlignment="1" applyProtection="1">
      <alignment vertical="center"/>
      <protection locked="0"/>
    </xf>
    <xf numFmtId="2" fontId="14" fillId="3" borderId="0" xfId="3" applyNumberFormat="1" applyFont="1" applyFill="1" applyBorder="1" applyAlignment="1" applyProtection="1">
      <alignment horizontal="center" vertical="center"/>
    </xf>
    <xf numFmtId="0" fontId="11" fillId="3" borderId="0" xfId="0" applyNumberFormat="1" applyFont="1" applyFill="1" applyBorder="1" applyAlignment="1" applyProtection="1">
      <alignment horizontal="right" vertical="center"/>
      <protection locked="0"/>
    </xf>
    <xf numFmtId="0" fontId="8" fillId="0" borderId="0" xfId="0" applyFont="1" applyAlignment="1" applyProtection="1">
      <alignment vertical="center"/>
      <protection locked="0"/>
    </xf>
    <xf numFmtId="0" fontId="8" fillId="0" borderId="0" xfId="0" applyFont="1" applyAlignment="1" applyProtection="1">
      <alignment vertical="center"/>
    </xf>
    <xf numFmtId="0" fontId="14" fillId="10" borderId="21" xfId="0" applyFont="1" applyFill="1" applyBorder="1" applyAlignment="1" applyProtection="1">
      <alignment horizontal="center" vertical="center"/>
      <protection locked="0"/>
    </xf>
    <xf numFmtId="0" fontId="2" fillId="0" borderId="0" xfId="0" applyFont="1" applyAlignment="1" applyProtection="1">
      <alignment vertical="center"/>
      <protection locked="0"/>
    </xf>
    <xf numFmtId="0" fontId="2" fillId="0" borderId="0" xfId="0" applyFont="1" applyAlignment="1" applyProtection="1">
      <alignment horizontal="right" vertical="center"/>
      <protection locked="0"/>
    </xf>
    <xf numFmtId="20" fontId="14" fillId="0" borderId="31" xfId="0" applyNumberFormat="1" applyFont="1" applyBorder="1" applyAlignment="1" applyProtection="1">
      <alignment horizontal="center" vertical="center"/>
    </xf>
    <xf numFmtId="0" fontId="14" fillId="8" borderId="32" xfId="0" applyNumberFormat="1" applyFont="1" applyFill="1" applyBorder="1" applyAlignment="1" applyProtection="1">
      <alignment horizontal="center" vertical="center"/>
      <protection locked="0"/>
    </xf>
    <xf numFmtId="0" fontId="14" fillId="8" borderId="1" xfId="0" applyNumberFormat="1" applyFont="1" applyFill="1" applyBorder="1" applyAlignment="1" applyProtection="1">
      <alignment horizontal="center" vertical="center"/>
      <protection locked="0"/>
    </xf>
    <xf numFmtId="0" fontId="14" fillId="8" borderId="33" xfId="0" applyNumberFormat="1" applyFont="1" applyFill="1" applyBorder="1" applyAlignment="1" applyProtection="1">
      <alignment horizontal="center" vertical="center"/>
      <protection locked="0"/>
    </xf>
    <xf numFmtId="0" fontId="10" fillId="3" borderId="0" xfId="0" applyFont="1" applyFill="1" applyBorder="1" applyAlignment="1" applyProtection="1">
      <alignment horizontal="right" vertical="center"/>
    </xf>
    <xf numFmtId="0" fontId="0" fillId="0" borderId="0" xfId="0" applyAlignment="1" applyProtection="1">
      <alignment vertical="center"/>
      <protection locked="0"/>
    </xf>
    <xf numFmtId="0" fontId="11" fillId="2" borderId="35" xfId="0" applyFont="1" applyFill="1" applyBorder="1" applyAlignment="1" applyProtection="1">
      <alignment horizontal="center" vertical="center"/>
    </xf>
    <xf numFmtId="0" fontId="11" fillId="2" borderId="31" xfId="0" applyFont="1" applyFill="1" applyBorder="1" applyAlignment="1" applyProtection="1">
      <alignment horizontal="center" vertical="center"/>
    </xf>
    <xf numFmtId="0" fontId="8" fillId="3" borderId="0" xfId="0" applyFont="1" applyFill="1" applyBorder="1" applyAlignment="1" applyProtection="1">
      <alignment vertical="center"/>
    </xf>
    <xf numFmtId="0" fontId="11" fillId="14" borderId="31" xfId="3" applyFont="1" applyFill="1" applyBorder="1" applyAlignment="1" applyProtection="1">
      <alignment horizontal="center" vertical="center"/>
    </xf>
    <xf numFmtId="0" fontId="11" fillId="2" borderId="36" xfId="0" applyFont="1" applyFill="1" applyBorder="1" applyAlignment="1" applyProtection="1">
      <alignment horizontal="center" vertical="center"/>
    </xf>
    <xf numFmtId="0" fontId="10" fillId="0" borderId="0" xfId="0" applyFont="1" applyAlignment="1" applyProtection="1">
      <alignment vertical="center"/>
    </xf>
    <xf numFmtId="0" fontId="14" fillId="3" borderId="4" xfId="5" applyFont="1" applyFill="1" applyBorder="1" applyAlignment="1" applyProtection="1">
      <alignment horizontal="left" vertical="center"/>
    </xf>
    <xf numFmtId="1" fontId="14" fillId="3" borderId="0" xfId="5" applyNumberFormat="1" applyFont="1" applyFill="1" applyBorder="1" applyAlignment="1" applyProtection="1">
      <alignment horizontal="center" vertical="center"/>
    </xf>
    <xf numFmtId="0" fontId="11" fillId="2" borderId="37" xfId="0" applyFont="1" applyFill="1" applyBorder="1" applyAlignment="1" applyProtection="1">
      <alignment horizontal="center" vertical="center"/>
    </xf>
    <xf numFmtId="0" fontId="11" fillId="4" borderId="8" xfId="0" applyFont="1" applyFill="1" applyBorder="1" applyAlignment="1" applyProtection="1">
      <alignment horizontal="center" vertical="center"/>
    </xf>
    <xf numFmtId="0" fontId="14" fillId="10" borderId="26" xfId="0" applyNumberFormat="1" applyFont="1" applyFill="1" applyBorder="1" applyAlignment="1" applyProtection="1">
      <alignment horizontal="center" vertical="center"/>
      <protection locked="0"/>
    </xf>
    <xf numFmtId="0" fontId="14" fillId="3" borderId="25" xfId="0" applyNumberFormat="1" applyFont="1" applyFill="1" applyBorder="1" applyAlignment="1" applyProtection="1">
      <alignment horizontal="left" vertical="center"/>
    </xf>
    <xf numFmtId="0" fontId="14" fillId="3" borderId="28" xfId="0" applyNumberFormat="1" applyFont="1" applyFill="1" applyBorder="1" applyAlignment="1" applyProtection="1">
      <alignment horizontal="left" vertical="center"/>
    </xf>
    <xf numFmtId="0" fontId="11" fillId="4" borderId="4" xfId="0" applyFont="1" applyFill="1" applyBorder="1" applyProtection="1"/>
    <xf numFmtId="0" fontId="11" fillId="4" borderId="4" xfId="0" applyFont="1" applyFill="1" applyBorder="1" applyAlignment="1" applyProtection="1">
      <alignment horizontal="center"/>
    </xf>
    <xf numFmtId="0" fontId="11" fillId="3" borderId="4" xfId="0" applyFont="1" applyFill="1" applyBorder="1" applyAlignment="1" applyProtection="1">
      <alignment horizontal="right"/>
    </xf>
    <xf numFmtId="0" fontId="11" fillId="3" borderId="4" xfId="0" applyFont="1" applyFill="1" applyBorder="1" applyAlignment="1" applyProtection="1">
      <alignment horizontal="center"/>
    </xf>
    <xf numFmtId="2" fontId="14" fillId="3" borderId="4" xfId="3" applyNumberFormat="1" applyFont="1" applyFill="1" applyBorder="1" applyAlignment="1" applyProtection="1">
      <alignment horizontal="center"/>
    </xf>
    <xf numFmtId="0" fontId="11" fillId="3" borderId="4" xfId="0" applyFont="1" applyFill="1" applyBorder="1" applyAlignment="1" applyProtection="1">
      <alignment horizontal="left"/>
    </xf>
    <xf numFmtId="0" fontId="11" fillId="2" borderId="0" xfId="0" applyFont="1" applyFill="1" applyProtection="1"/>
    <xf numFmtId="2" fontId="14" fillId="3" borderId="0" xfId="3" applyNumberFormat="1" applyFont="1" applyFill="1" applyBorder="1" applyAlignment="1" applyProtection="1">
      <alignment horizontal="center"/>
    </xf>
    <xf numFmtId="0" fontId="11" fillId="4" borderId="0" xfId="0" applyFont="1" applyFill="1" applyBorder="1" applyProtection="1"/>
    <xf numFmtId="0" fontId="11" fillId="4" borderId="22" xfId="0" applyFont="1" applyFill="1" applyBorder="1" applyProtection="1"/>
    <xf numFmtId="2" fontId="14" fillId="3" borderId="22" xfId="3" applyNumberFormat="1" applyFont="1" applyFill="1" applyBorder="1" applyAlignment="1" applyProtection="1">
      <alignment horizontal="center"/>
    </xf>
    <xf numFmtId="0" fontId="11" fillId="2" borderId="0" xfId="0" applyFont="1" applyFill="1" applyBorder="1" applyProtection="1"/>
    <xf numFmtId="0" fontId="11" fillId="4" borderId="4" xfId="0" applyFont="1" applyFill="1" applyBorder="1" applyAlignment="1" applyProtection="1">
      <alignment horizontal="center" vertical="center"/>
      <protection locked="0"/>
    </xf>
    <xf numFmtId="0" fontId="14" fillId="11" borderId="38" xfId="0" applyNumberFormat="1" applyFont="1" applyFill="1" applyBorder="1" applyAlignment="1" applyProtection="1">
      <alignment horizontal="center"/>
      <protection locked="0"/>
    </xf>
    <xf numFmtId="0" fontId="14" fillId="11" borderId="39" xfId="0" applyNumberFormat="1" applyFont="1" applyFill="1" applyBorder="1" applyAlignment="1" applyProtection="1">
      <alignment horizontal="center"/>
      <protection locked="0"/>
    </xf>
    <xf numFmtId="0" fontId="14" fillId="4" borderId="40" xfId="0" applyNumberFormat="1" applyFont="1" applyFill="1" applyBorder="1" applyAlignment="1" applyProtection="1">
      <alignment horizontal="center"/>
    </xf>
    <xf numFmtId="0" fontId="14" fillId="4" borderId="21" xfId="0" applyNumberFormat="1" applyFont="1" applyFill="1" applyBorder="1" applyAlignment="1" applyProtection="1">
      <alignment horizontal="center"/>
    </xf>
    <xf numFmtId="0" fontId="14" fillId="11" borderId="41" xfId="0" applyNumberFormat="1" applyFont="1" applyFill="1" applyBorder="1" applyAlignment="1" applyProtection="1">
      <alignment horizontal="center"/>
      <protection locked="0"/>
    </xf>
    <xf numFmtId="0" fontId="14" fillId="11" borderId="42" xfId="0" applyNumberFormat="1" applyFont="1" applyFill="1" applyBorder="1" applyAlignment="1" applyProtection="1">
      <alignment horizontal="center"/>
      <protection locked="0"/>
    </xf>
    <xf numFmtId="0" fontId="14" fillId="4" borderId="42" xfId="0" applyNumberFormat="1" applyFont="1" applyFill="1" applyBorder="1" applyAlignment="1" applyProtection="1">
      <alignment horizontal="center"/>
    </xf>
    <xf numFmtId="0" fontId="14" fillId="4" borderId="28" xfId="0" applyNumberFormat="1" applyFont="1" applyFill="1" applyBorder="1" applyAlignment="1" applyProtection="1">
      <alignment horizontal="center"/>
    </xf>
    <xf numFmtId="0" fontId="10" fillId="2" borderId="29" xfId="0" applyFont="1" applyFill="1" applyBorder="1" applyAlignment="1" applyProtection="1">
      <alignment horizontal="left"/>
      <protection locked="0"/>
    </xf>
    <xf numFmtId="0" fontId="10" fillId="2" borderId="10" xfId="0" applyFont="1" applyFill="1" applyBorder="1" applyAlignment="1" applyProtection="1">
      <alignment horizontal="left"/>
      <protection locked="0"/>
    </xf>
    <xf numFmtId="0" fontId="11" fillId="0" borderId="0" xfId="0" applyNumberFormat="1" applyFont="1" applyBorder="1"/>
    <xf numFmtId="0" fontId="14" fillId="3" borderId="33" xfId="0" applyNumberFormat="1" applyFont="1" applyFill="1" applyBorder="1" applyAlignment="1" applyProtection="1">
      <alignment horizontal="center" vertical="center"/>
      <protection locked="0"/>
    </xf>
    <xf numFmtId="0" fontId="14" fillId="11" borderId="1" xfId="0" applyNumberFormat="1" applyFont="1" applyFill="1" applyBorder="1" applyAlignment="1" applyProtection="1">
      <alignment horizontal="center"/>
      <protection locked="0"/>
    </xf>
    <xf numFmtId="0" fontId="8" fillId="0" borderId="0" xfId="0" applyNumberFormat="1" applyFont="1" applyBorder="1"/>
    <xf numFmtId="0" fontId="7" fillId="0" borderId="0" xfId="0" applyNumberFormat="1" applyFont="1" applyBorder="1" applyAlignment="1">
      <alignment horizontal="center"/>
    </xf>
    <xf numFmtId="0" fontId="14" fillId="0" borderId="0" xfId="0" applyNumberFormat="1" applyFont="1" applyBorder="1" applyAlignment="1">
      <alignment horizontal="center"/>
    </xf>
    <xf numFmtId="0" fontId="14" fillId="5" borderId="1" xfId="3" applyNumberFormat="1" applyFont="1" applyFill="1" applyBorder="1" applyAlignment="1" applyProtection="1">
      <alignment horizontal="center"/>
      <protection locked="0"/>
    </xf>
    <xf numFmtId="169" fontId="14" fillId="5" borderId="1" xfId="3" applyNumberFormat="1" applyFont="1" applyFill="1" applyBorder="1" applyAlignment="1" applyProtection="1">
      <alignment horizontal="center"/>
      <protection locked="0"/>
    </xf>
    <xf numFmtId="166" fontId="14" fillId="11" borderId="38" xfId="0" applyNumberFormat="1" applyFont="1" applyFill="1" applyBorder="1" applyAlignment="1" applyProtection="1">
      <alignment horizontal="center"/>
      <protection locked="0"/>
    </xf>
    <xf numFmtId="0" fontId="14" fillId="4" borderId="43" xfId="0" applyNumberFormat="1" applyFont="1" applyFill="1" applyBorder="1" applyAlignment="1" applyProtection="1">
      <alignment horizontal="center"/>
    </xf>
    <xf numFmtId="0" fontId="14" fillId="4" borderId="38" xfId="0" applyNumberFormat="1" applyFont="1" applyFill="1" applyBorder="1" applyAlignment="1" applyProtection="1">
      <alignment horizontal="center"/>
    </xf>
    <xf numFmtId="166" fontId="14" fillId="11" borderId="41" xfId="0" applyNumberFormat="1" applyFont="1" applyFill="1" applyBorder="1" applyAlignment="1" applyProtection="1">
      <alignment horizontal="center"/>
      <protection locked="0"/>
    </xf>
    <xf numFmtId="0" fontId="14" fillId="4" borderId="41" xfId="0" applyNumberFormat="1" applyFont="1" applyFill="1" applyBorder="1" applyAlignment="1" applyProtection="1">
      <alignment horizontal="center"/>
    </xf>
    <xf numFmtId="0" fontId="14" fillId="2" borderId="44" xfId="0" applyFont="1" applyFill="1" applyBorder="1" applyAlignment="1" applyProtection="1">
      <alignment horizontal="left"/>
      <protection locked="0"/>
    </xf>
    <xf numFmtId="0" fontId="14" fillId="2" borderId="45" xfId="0" applyFont="1" applyFill="1" applyBorder="1" applyAlignment="1" applyProtection="1">
      <alignment horizontal="left"/>
      <protection locked="0"/>
    </xf>
    <xf numFmtId="0" fontId="14" fillId="3" borderId="21" xfId="0" applyNumberFormat="1" applyFont="1" applyFill="1" applyBorder="1" applyAlignment="1" applyProtection="1">
      <alignment horizontal="center"/>
    </xf>
    <xf numFmtId="0" fontId="14" fillId="4" borderId="25" xfId="0" applyNumberFormat="1" applyFont="1" applyFill="1" applyBorder="1" applyAlignment="1" applyProtection="1">
      <alignment horizontal="center"/>
    </xf>
    <xf numFmtId="0" fontId="34" fillId="0" borderId="4" xfId="0" applyNumberFormat="1" applyFont="1" applyBorder="1" applyAlignment="1">
      <alignment horizontal="left"/>
    </xf>
    <xf numFmtId="0" fontId="18" fillId="3" borderId="0" xfId="5" applyFont="1" applyFill="1" applyBorder="1" applyAlignment="1" applyProtection="1">
      <alignment vertical="center"/>
    </xf>
    <xf numFmtId="0" fontId="12" fillId="3" borderId="26" xfId="5" applyFont="1" applyFill="1" applyBorder="1" applyAlignment="1" applyProtection="1">
      <alignment horizontal="center" vertical="center"/>
      <protection locked="0"/>
    </xf>
    <xf numFmtId="0" fontId="14" fillId="0" borderId="21" xfId="0" applyFont="1" applyFill="1" applyBorder="1" applyAlignment="1" applyProtection="1">
      <alignment horizontal="center" vertical="center"/>
      <protection locked="0"/>
    </xf>
    <xf numFmtId="0" fontId="11" fillId="2" borderId="3" xfId="0" applyFont="1" applyFill="1" applyBorder="1" applyAlignment="1" applyProtection="1">
      <alignment horizontal="center" vertical="center"/>
    </xf>
    <xf numFmtId="0" fontId="11" fillId="0" borderId="0" xfId="6" applyFont="1" applyAlignment="1" applyProtection="1">
      <alignment horizontal="right"/>
    </xf>
    <xf numFmtId="0" fontId="11" fillId="0" borderId="0" xfId="6" applyFont="1" applyAlignment="1" applyProtection="1">
      <alignment horizontal="center"/>
    </xf>
    <xf numFmtId="0" fontId="10" fillId="0" borderId="0" xfId="0" applyFont="1" applyAlignment="1" applyProtection="1">
      <alignment horizontal="center" vertical="center"/>
    </xf>
    <xf numFmtId="0" fontId="14" fillId="2" borderId="1" xfId="0" applyFont="1" applyFill="1" applyBorder="1" applyAlignment="1" applyProtection="1">
      <alignment horizontal="center" vertical="center"/>
      <protection locked="0"/>
    </xf>
    <xf numFmtId="0" fontId="35" fillId="0" borderId="0" xfId="0" applyFont="1" applyAlignment="1" applyProtection="1">
      <alignment vertical="center"/>
    </xf>
    <xf numFmtId="0" fontId="11" fillId="0" borderId="0" xfId="6" applyFont="1" applyProtection="1"/>
    <xf numFmtId="1" fontId="10" fillId="0" borderId="0" xfId="0" applyNumberFormat="1" applyFont="1" applyAlignment="1" applyProtection="1">
      <alignment horizontal="center" vertical="center"/>
    </xf>
    <xf numFmtId="14" fontId="11" fillId="0" borderId="0" xfId="0" applyNumberFormat="1" applyFont="1" applyAlignment="1" applyProtection="1">
      <alignment horizontal="left" vertical="center"/>
    </xf>
    <xf numFmtId="0" fontId="18" fillId="0" borderId="0" xfId="0" applyFont="1" applyBorder="1" applyAlignment="1" applyProtection="1">
      <alignment horizontal="center" vertical="center"/>
    </xf>
    <xf numFmtId="0" fontId="30" fillId="0" borderId="0" xfId="0" applyFont="1" applyAlignment="1" applyProtection="1">
      <alignment vertical="center"/>
    </xf>
    <xf numFmtId="0" fontId="8" fillId="0" borderId="0" xfId="0" applyNumberFormat="1" applyFont="1"/>
    <xf numFmtId="0" fontId="8" fillId="0" borderId="0" xfId="0" applyNumberFormat="1" applyFont="1" applyBorder="1" applyAlignment="1">
      <alignment horizontal="center"/>
    </xf>
    <xf numFmtId="0" fontId="11" fillId="0" borderId="0" xfId="0" applyNumberFormat="1" applyFont="1" applyBorder="1" applyAlignment="1">
      <alignment horizontal="center"/>
    </xf>
    <xf numFmtId="0" fontId="8" fillId="0" borderId="0" xfId="0" applyNumberFormat="1" applyFont="1" applyAlignment="1">
      <alignment horizontal="left"/>
    </xf>
    <xf numFmtId="166" fontId="10" fillId="0" borderId="1" xfId="0" applyNumberFormat="1" applyFont="1" applyBorder="1" applyAlignment="1" applyProtection="1">
      <alignment horizontal="center"/>
    </xf>
    <xf numFmtId="0" fontId="10" fillId="0" borderId="46" xfId="0" applyFont="1" applyBorder="1" applyAlignment="1" applyProtection="1">
      <alignment horizontal="center" vertical="center"/>
    </xf>
    <xf numFmtId="0" fontId="10" fillId="0" borderId="47" xfId="0" applyFont="1" applyBorder="1" applyAlignment="1" applyProtection="1">
      <alignment horizontal="center" vertical="center"/>
    </xf>
    <xf numFmtId="0" fontId="36" fillId="0" borderId="48" xfId="0" applyFont="1" applyBorder="1" applyAlignment="1" applyProtection="1">
      <alignment vertical="center"/>
    </xf>
    <xf numFmtId="0" fontId="10" fillId="0" borderId="49" xfId="0" applyFont="1" applyBorder="1" applyAlignment="1" applyProtection="1">
      <alignment horizontal="center" vertical="center"/>
    </xf>
    <xf numFmtId="0" fontId="10" fillId="0" borderId="50" xfId="0" applyFont="1" applyBorder="1" applyAlignment="1" applyProtection="1">
      <alignment horizontal="center" vertical="center"/>
    </xf>
    <xf numFmtId="0" fontId="10" fillId="0" borderId="43" xfId="0" applyFont="1" applyBorder="1" applyAlignment="1" applyProtection="1">
      <alignment vertical="center"/>
    </xf>
    <xf numFmtId="166" fontId="10" fillId="0" borderId="46" xfId="0" applyNumberFormat="1" applyFont="1" applyBorder="1" applyAlignment="1" applyProtection="1">
      <alignment horizontal="center"/>
    </xf>
    <xf numFmtId="0" fontId="10" fillId="0" borderId="45" xfId="0" applyFont="1" applyBorder="1" applyAlignment="1" applyProtection="1">
      <alignment vertical="center"/>
    </xf>
    <xf numFmtId="0" fontId="10" fillId="0" borderId="0" xfId="0" applyFont="1" applyBorder="1" applyAlignment="1" applyProtection="1">
      <alignment horizontal="left"/>
    </xf>
    <xf numFmtId="0" fontId="10" fillId="0" borderId="0" xfId="0" applyFont="1" applyBorder="1" applyProtection="1"/>
    <xf numFmtId="0" fontId="10" fillId="0" borderId="0" xfId="0" applyFont="1" applyBorder="1" applyAlignment="1" applyProtection="1">
      <alignment horizontal="center"/>
    </xf>
    <xf numFmtId="0" fontId="10" fillId="0" borderId="0" xfId="0" applyFont="1" applyBorder="1" applyAlignment="1" applyProtection="1">
      <alignment horizontal="right"/>
    </xf>
    <xf numFmtId="166" fontId="10" fillId="0" borderId="0" xfId="0" applyNumberFormat="1" applyFont="1" applyBorder="1" applyAlignment="1" applyProtection="1">
      <alignment horizontal="center"/>
    </xf>
    <xf numFmtId="0" fontId="10" fillId="0" borderId="51" xfId="0" applyFont="1" applyBorder="1" applyAlignment="1" applyProtection="1">
      <alignment horizontal="center" vertical="center"/>
    </xf>
    <xf numFmtId="2" fontId="10" fillId="0" borderId="51" xfId="0" applyNumberFormat="1" applyFont="1" applyBorder="1" applyAlignment="1" applyProtection="1">
      <alignment horizontal="center" vertical="center"/>
    </xf>
    <xf numFmtId="0" fontId="14" fillId="15" borderId="26" xfId="0" applyFont="1" applyFill="1" applyBorder="1" applyAlignment="1" applyProtection="1">
      <alignment vertical="center"/>
      <protection locked="0"/>
    </xf>
    <xf numFmtId="0" fontId="14" fillId="3" borderId="1" xfId="0" applyNumberFormat="1" applyFont="1" applyFill="1" applyBorder="1" applyAlignment="1" applyProtection="1">
      <alignment horizontal="center"/>
    </xf>
    <xf numFmtId="0" fontId="14" fillId="3" borderId="1" xfId="0" applyFont="1" applyFill="1" applyBorder="1" applyAlignment="1" applyProtection="1">
      <alignment horizontal="center"/>
    </xf>
    <xf numFmtId="0" fontId="14" fillId="3" borderId="28" xfId="0" applyNumberFormat="1" applyFont="1" applyFill="1" applyBorder="1" applyAlignment="1" applyProtection="1">
      <alignment horizontal="center"/>
    </xf>
    <xf numFmtId="0" fontId="10" fillId="2" borderId="52" xfId="0" applyFont="1" applyFill="1" applyBorder="1" applyAlignment="1" applyProtection="1">
      <alignment horizontal="left"/>
      <protection locked="0"/>
    </xf>
    <xf numFmtId="0" fontId="10" fillId="2" borderId="0" xfId="0" applyFont="1" applyFill="1" applyBorder="1" applyAlignment="1" applyProtection="1">
      <alignment horizontal="left"/>
      <protection locked="0"/>
    </xf>
    <xf numFmtId="0" fontId="11" fillId="2" borderId="0" xfId="0" applyFont="1" applyFill="1" applyBorder="1" applyAlignment="1" applyProtection="1">
      <alignment horizontal="center" vertical="center"/>
      <protection locked="0"/>
    </xf>
    <xf numFmtId="0" fontId="11" fillId="2" borderId="0" xfId="0" applyFont="1" applyFill="1" applyBorder="1" applyProtection="1">
      <protection locked="0"/>
    </xf>
    <xf numFmtId="0" fontId="8" fillId="3" borderId="15" xfId="0" applyFont="1" applyFill="1" applyBorder="1" applyAlignment="1" applyProtection="1"/>
    <xf numFmtId="0" fontId="14" fillId="2" borderId="44" xfId="0" applyFont="1" applyFill="1" applyBorder="1" applyAlignment="1" applyProtection="1">
      <protection locked="0"/>
    </xf>
    <xf numFmtId="0" fontId="14" fillId="2" borderId="2" xfId="0" applyFont="1" applyFill="1" applyBorder="1" applyAlignment="1" applyProtection="1">
      <protection locked="0"/>
    </xf>
    <xf numFmtId="0" fontId="14" fillId="5" borderId="11" xfId="0" applyFont="1" applyFill="1" applyBorder="1" applyAlignment="1" applyProtection="1">
      <protection locked="0"/>
    </xf>
    <xf numFmtId="0" fontId="11" fillId="0" borderId="10" xfId="5" applyFont="1" applyBorder="1" applyAlignment="1" applyProtection="1">
      <alignment horizontal="center" vertical="center"/>
    </xf>
    <xf numFmtId="0" fontId="11" fillId="3" borderId="8" xfId="0" applyFont="1" applyFill="1" applyBorder="1" applyAlignment="1" applyProtection="1">
      <alignment horizontal="right" vertical="center"/>
    </xf>
    <xf numFmtId="0" fontId="11" fillId="0" borderId="9" xfId="0" applyNumberFormat="1" applyFont="1" applyBorder="1"/>
    <xf numFmtId="0" fontId="11" fillId="0" borderId="13" xfId="0" applyNumberFormat="1" applyFont="1" applyBorder="1" applyAlignment="1">
      <alignment horizontal="left"/>
    </xf>
    <xf numFmtId="0" fontId="13" fillId="0" borderId="29" xfId="0" applyNumberFormat="1" applyFont="1" applyBorder="1" applyAlignment="1">
      <alignment horizontal="left"/>
    </xf>
    <xf numFmtId="0" fontId="8" fillId="0" borderId="9" xfId="0" applyNumberFormat="1" applyFont="1" applyBorder="1"/>
    <xf numFmtId="0" fontId="11" fillId="0" borderId="9" xfId="0" applyNumberFormat="1" applyFont="1" applyBorder="1" applyAlignment="1">
      <alignment horizontal="center"/>
    </xf>
    <xf numFmtId="0" fontId="11" fillId="0" borderId="10" xfId="0" applyNumberFormat="1" applyFont="1" applyBorder="1" applyAlignment="1"/>
    <xf numFmtId="0" fontId="11" fillId="0" borderId="12" xfId="0" applyNumberFormat="1" applyFont="1" applyBorder="1" applyAlignment="1"/>
    <xf numFmtId="0" fontId="11" fillId="0" borderId="13" xfId="0" applyNumberFormat="1" applyFont="1" applyBorder="1"/>
    <xf numFmtId="0" fontId="11" fillId="0" borderId="13" xfId="0" applyNumberFormat="1" applyFont="1" applyFill="1" applyBorder="1"/>
    <xf numFmtId="0" fontId="13" fillId="0" borderId="13" xfId="0" applyNumberFormat="1" applyFont="1" applyBorder="1" applyAlignment="1">
      <alignment horizontal="left"/>
    </xf>
    <xf numFmtId="0" fontId="8" fillId="0" borderId="13" xfId="0" applyNumberFormat="1" applyFont="1" applyBorder="1" applyAlignment="1">
      <alignment horizontal="left"/>
    </xf>
    <xf numFmtId="0" fontId="34" fillId="0" borderId="9" xfId="0" applyNumberFormat="1" applyFont="1" applyBorder="1" applyAlignment="1">
      <alignment horizontal="left"/>
    </xf>
    <xf numFmtId="0" fontId="11" fillId="0" borderId="53" xfId="0" applyNumberFormat="1" applyFont="1" applyBorder="1" applyAlignment="1"/>
    <xf numFmtId="0" fontId="14" fillId="8" borderId="1" xfId="0" applyFont="1" applyFill="1" applyBorder="1" applyAlignment="1" applyProtection="1">
      <alignment horizontal="center" vertical="center"/>
      <protection locked="0"/>
    </xf>
    <xf numFmtId="0" fontId="22" fillId="3" borderId="0" xfId="5" applyFont="1" applyFill="1" applyBorder="1" applyAlignment="1" applyProtection="1">
      <alignment horizontal="center" vertical="center"/>
    </xf>
    <xf numFmtId="0" fontId="11" fillId="3" borderId="4" xfId="5" applyFont="1" applyFill="1" applyBorder="1" applyAlignment="1" applyProtection="1">
      <alignment horizontal="center" vertical="center"/>
    </xf>
    <xf numFmtId="0" fontId="22" fillId="3" borderId="54" xfId="5" applyFont="1" applyFill="1" applyBorder="1" applyAlignment="1" applyProtection="1">
      <alignment horizontal="center" vertical="center"/>
    </xf>
    <xf numFmtId="0" fontId="11" fillId="3" borderId="5" xfId="5" applyFont="1" applyFill="1" applyBorder="1" applyAlignment="1" applyProtection="1">
      <alignment horizontal="right" vertical="center"/>
    </xf>
    <xf numFmtId="0" fontId="12" fillId="3" borderId="15" xfId="5" applyFont="1" applyFill="1" applyBorder="1" applyAlignment="1" applyProtection="1">
      <alignment horizontal="center" vertical="center"/>
    </xf>
    <xf numFmtId="0" fontId="14" fillId="16" borderId="1" xfId="5" applyFont="1" applyFill="1" applyBorder="1" applyAlignment="1" applyProtection="1">
      <alignment horizontal="center" vertical="center"/>
      <protection locked="0"/>
    </xf>
    <xf numFmtId="0" fontId="12" fillId="3" borderId="55" xfId="5" applyFont="1" applyFill="1" applyBorder="1" applyAlignment="1" applyProtection="1">
      <alignment horizontal="center" vertical="center"/>
    </xf>
    <xf numFmtId="0" fontId="11" fillId="3" borderId="22" xfId="0" applyFont="1" applyFill="1" applyBorder="1" applyAlignment="1" applyProtection="1">
      <alignment horizontal="right" vertical="center"/>
    </xf>
    <xf numFmtId="0" fontId="11" fillId="3" borderId="4" xfId="0" applyFont="1" applyFill="1" applyBorder="1" applyAlignment="1" applyProtection="1">
      <alignment horizontal="right" vertical="center"/>
    </xf>
    <xf numFmtId="0" fontId="17" fillId="3" borderId="8" xfId="5" applyFont="1" applyFill="1" applyBorder="1" applyAlignment="1" applyProtection="1">
      <alignment vertical="center"/>
    </xf>
    <xf numFmtId="0" fontId="12" fillId="3" borderId="4" xfId="5" applyFont="1" applyFill="1" applyBorder="1" applyAlignment="1" applyProtection="1">
      <alignment horizontal="center" vertical="center"/>
    </xf>
    <xf numFmtId="0" fontId="11" fillId="3" borderId="6" xfId="5" applyFont="1" applyFill="1" applyBorder="1" applyAlignment="1" applyProtection="1">
      <alignment horizontal="center" vertical="center"/>
    </xf>
    <xf numFmtId="0" fontId="11" fillId="3" borderId="11" xfId="5" applyFont="1" applyFill="1" applyBorder="1" applyAlignment="1" applyProtection="1">
      <alignment horizontal="right" vertical="center"/>
    </xf>
    <xf numFmtId="14" fontId="11" fillId="3" borderId="22" xfId="5" applyNumberFormat="1" applyFont="1" applyFill="1" applyBorder="1" applyAlignment="1" applyProtection="1">
      <alignment horizontal="right" vertical="center"/>
    </xf>
    <xf numFmtId="174" fontId="14" fillId="7" borderId="1" xfId="0" applyNumberFormat="1" applyFont="1" applyFill="1" applyBorder="1" applyAlignment="1" applyProtection="1">
      <alignment horizontal="center" vertical="center"/>
      <protection locked="0"/>
    </xf>
    <xf numFmtId="0" fontId="14" fillId="3" borderId="1" xfId="0" applyFont="1" applyFill="1" applyBorder="1" applyAlignment="1" applyProtection="1">
      <alignment horizontal="center" vertical="center"/>
      <protection locked="0"/>
    </xf>
    <xf numFmtId="14" fontId="11" fillId="3" borderId="56" xfId="5" applyNumberFormat="1" applyFont="1" applyFill="1" applyBorder="1" applyAlignment="1" applyProtection="1">
      <alignment horizontal="right" vertical="center"/>
    </xf>
    <xf numFmtId="0" fontId="34" fillId="0" borderId="2" xfId="0" applyNumberFormat="1" applyFont="1" applyBorder="1" applyAlignment="1">
      <alignment horizontal="left"/>
    </xf>
    <xf numFmtId="0" fontId="22" fillId="3" borderId="22" xfId="5" applyFont="1" applyFill="1" applyBorder="1" applyAlignment="1" applyProtection="1">
      <alignment horizontal="center" vertical="center"/>
    </xf>
    <xf numFmtId="0" fontId="11" fillId="3" borderId="23" xfId="5" applyFont="1" applyFill="1" applyBorder="1" applyAlignment="1" applyProtection="1">
      <alignment horizontal="right" vertical="center"/>
    </xf>
    <xf numFmtId="0" fontId="17" fillId="3" borderId="8" xfId="5" applyFont="1" applyFill="1" applyBorder="1" applyAlignment="1" applyProtection="1">
      <alignment horizontal="left" vertical="center"/>
    </xf>
    <xf numFmtId="0" fontId="14" fillId="4" borderId="1" xfId="5" applyFont="1" applyFill="1" applyBorder="1" applyAlignment="1" applyProtection="1">
      <alignment horizontal="center" vertical="center"/>
    </xf>
    <xf numFmtId="168" fontId="14" fillId="16" borderId="1" xfId="0" applyNumberFormat="1" applyFont="1" applyFill="1" applyBorder="1" applyAlignment="1" applyProtection="1">
      <alignment horizontal="center" vertical="center"/>
      <protection locked="0"/>
    </xf>
    <xf numFmtId="14" fontId="18" fillId="8" borderId="1" xfId="5" applyNumberFormat="1" applyFont="1" applyFill="1" applyBorder="1" applyAlignment="1" applyProtection="1">
      <alignment horizontal="center" vertical="center"/>
      <protection locked="0"/>
    </xf>
    <xf numFmtId="0" fontId="11" fillId="4" borderId="0" xfId="5" applyFont="1" applyFill="1" applyBorder="1" applyAlignment="1" applyProtection="1">
      <alignment horizontal="center" vertical="center"/>
    </xf>
    <xf numFmtId="2" fontId="17" fillId="3" borderId="57" xfId="5" applyNumberFormat="1" applyFont="1" applyFill="1" applyBorder="1" applyAlignment="1" applyProtection="1">
      <alignment horizontal="left" vertical="center"/>
    </xf>
    <xf numFmtId="166" fontId="14" fillId="3" borderId="4" xfId="5" applyNumberFormat="1" applyFont="1" applyFill="1" applyBorder="1" applyAlignment="1" applyProtection="1">
      <alignment horizontal="center" vertical="center"/>
    </xf>
    <xf numFmtId="166" fontId="14" fillId="4" borderId="6" xfId="5" applyNumberFormat="1" applyFont="1" applyFill="1" applyBorder="1" applyAlignment="1" applyProtection="1">
      <alignment horizontal="center" vertical="center"/>
    </xf>
    <xf numFmtId="0" fontId="34" fillId="0" borderId="0" xfId="5" applyFont="1" applyAlignment="1" applyProtection="1">
      <alignment horizontal="right" vertical="center"/>
    </xf>
    <xf numFmtId="0" fontId="34" fillId="0" borderId="0" xfId="5" applyFont="1" applyAlignment="1" applyProtection="1">
      <alignment horizontal="center" vertical="center"/>
    </xf>
    <xf numFmtId="165" fontId="14" fillId="0" borderId="0" xfId="0" applyNumberFormat="1" applyFont="1" applyBorder="1" applyAlignment="1">
      <alignment horizontal="center"/>
    </xf>
    <xf numFmtId="0" fontId="17" fillId="9" borderId="29" xfId="0" applyNumberFormat="1" applyFont="1" applyFill="1" applyBorder="1" applyAlignment="1">
      <alignment horizontal="left"/>
    </xf>
    <xf numFmtId="0" fontId="14" fillId="9" borderId="9" xfId="0" applyNumberFormat="1" applyFont="1" applyFill="1" applyBorder="1" applyAlignment="1"/>
    <xf numFmtId="0" fontId="17" fillId="9" borderId="9" xfId="0" applyNumberFormat="1" applyFont="1" applyFill="1" applyBorder="1"/>
    <xf numFmtId="0" fontId="14" fillId="9" borderId="9" xfId="0" applyNumberFormat="1" applyFont="1" applyFill="1" applyBorder="1" applyAlignment="1">
      <alignment horizontal="left"/>
    </xf>
    <xf numFmtId="0" fontId="14" fillId="9" borderId="10" xfId="0" applyNumberFormat="1" applyFont="1" applyFill="1" applyBorder="1" applyAlignment="1"/>
    <xf numFmtId="0" fontId="17" fillId="9" borderId="13" xfId="0" applyNumberFormat="1" applyFont="1" applyFill="1" applyBorder="1" applyAlignment="1">
      <alignment horizontal="left"/>
    </xf>
    <xf numFmtId="0" fontId="14" fillId="9" borderId="0" xfId="0" applyNumberFormat="1" applyFont="1" applyFill="1" applyBorder="1" applyAlignment="1"/>
    <xf numFmtId="0" fontId="17" fillId="9" borderId="0" xfId="0" applyNumberFormat="1" applyFont="1" applyFill="1" applyBorder="1"/>
    <xf numFmtId="0" fontId="14" fillId="9" borderId="0" xfId="0" applyNumberFormat="1" applyFont="1" applyFill="1" applyBorder="1" applyAlignment="1">
      <alignment horizontal="left"/>
    </xf>
    <xf numFmtId="0" fontId="14" fillId="9" borderId="12" xfId="0" applyNumberFormat="1" applyFont="1" applyFill="1" applyBorder="1" applyAlignment="1"/>
    <xf numFmtId="0" fontId="11" fillId="9" borderId="0" xfId="0" applyFont="1" applyFill="1" applyBorder="1" applyAlignment="1"/>
    <xf numFmtId="0" fontId="14" fillId="9" borderId="12" xfId="0" applyFont="1" applyFill="1" applyBorder="1" applyAlignment="1">
      <alignment horizontal="left"/>
    </xf>
    <xf numFmtId="0" fontId="14" fillId="9" borderId="53" xfId="0" applyNumberFormat="1" applyFont="1" applyFill="1" applyBorder="1" applyAlignment="1"/>
    <xf numFmtId="2" fontId="29" fillId="5" borderId="0" xfId="3" applyNumberFormat="1" applyFont="1" applyFill="1" applyBorder="1" applyAlignment="1" applyProtection="1">
      <alignment horizontal="center" vertical="center"/>
    </xf>
    <xf numFmtId="166" fontId="29" fillId="5" borderId="0" xfId="3" applyNumberFormat="1" applyFont="1" applyFill="1" applyBorder="1" applyAlignment="1" applyProtection="1">
      <alignment horizontal="center" vertical="center"/>
    </xf>
    <xf numFmtId="0" fontId="17" fillId="9" borderId="0" xfId="0" applyFont="1" applyFill="1" applyBorder="1" applyAlignment="1">
      <alignment horizontal="right"/>
    </xf>
    <xf numFmtId="2" fontId="14" fillId="8" borderId="45" xfId="5" applyNumberFormat="1" applyFont="1" applyFill="1" applyBorder="1" applyAlignment="1" applyProtection="1">
      <alignment horizontal="center" vertical="center"/>
      <protection locked="0"/>
    </xf>
    <xf numFmtId="2" fontId="14" fillId="17" borderId="51" xfId="0" applyNumberFormat="1" applyFont="1" applyFill="1" applyBorder="1" applyAlignment="1" applyProtection="1">
      <alignment horizontal="center" vertical="center"/>
      <protection locked="0"/>
    </xf>
    <xf numFmtId="0" fontId="10" fillId="0" borderId="0" xfId="0" applyFont="1" applyAlignment="1" applyProtection="1">
      <alignment horizontal="right" vertical="center"/>
    </xf>
    <xf numFmtId="0" fontId="14" fillId="8" borderId="21" xfId="0" applyFont="1" applyFill="1" applyBorder="1" applyAlignment="1" applyProtection="1">
      <alignment horizontal="center" vertical="center"/>
      <protection locked="0"/>
    </xf>
    <xf numFmtId="0" fontId="0" fillId="0" borderId="0" xfId="0" applyBorder="1" applyProtection="1">
      <protection locked="0"/>
    </xf>
    <xf numFmtId="0" fontId="11" fillId="0" borderId="0" xfId="0" applyFont="1" applyBorder="1" applyAlignment="1" applyProtection="1">
      <alignment vertical="center"/>
      <protection locked="0"/>
    </xf>
    <xf numFmtId="0" fontId="11" fillId="0" borderId="3" xfId="0" applyFont="1" applyBorder="1" applyAlignment="1" applyProtection="1">
      <alignment vertical="center"/>
      <protection locked="0"/>
    </xf>
    <xf numFmtId="2" fontId="29" fillId="5" borderId="13" xfId="3" applyNumberFormat="1" applyFont="1" applyFill="1" applyBorder="1" applyAlignment="1" applyProtection="1">
      <alignment horizontal="center" vertical="center"/>
    </xf>
    <xf numFmtId="2" fontId="29" fillId="5" borderId="12" xfId="3" applyNumberFormat="1" applyFont="1" applyFill="1" applyBorder="1" applyAlignment="1" applyProtection="1">
      <alignment horizontal="center" vertical="center"/>
    </xf>
    <xf numFmtId="166" fontId="29" fillId="5" borderId="13" xfId="3" applyNumberFormat="1" applyFont="1" applyFill="1" applyBorder="1" applyAlignment="1" applyProtection="1">
      <alignment horizontal="center" vertical="center"/>
    </xf>
    <xf numFmtId="166" fontId="29" fillId="5" borderId="12" xfId="3" applyNumberFormat="1" applyFont="1" applyFill="1" applyBorder="1" applyAlignment="1" applyProtection="1">
      <alignment horizontal="center" vertical="center"/>
    </xf>
    <xf numFmtId="166" fontId="29" fillId="5" borderId="58" xfId="3" applyNumberFormat="1" applyFont="1" applyFill="1" applyBorder="1" applyAlignment="1" applyProtection="1">
      <alignment horizontal="center" vertical="center"/>
    </xf>
    <xf numFmtId="166" fontId="29" fillId="5" borderId="3" xfId="3" applyNumberFormat="1" applyFont="1" applyFill="1" applyBorder="1" applyAlignment="1" applyProtection="1">
      <alignment horizontal="center" vertical="center"/>
    </xf>
    <xf numFmtId="166" fontId="29" fillId="5" borderId="53" xfId="3" applyNumberFormat="1" applyFont="1" applyFill="1" applyBorder="1" applyAlignment="1" applyProtection="1">
      <alignment horizontal="center" vertical="center"/>
    </xf>
    <xf numFmtId="0" fontId="14" fillId="0" borderId="3" xfId="0" applyNumberFormat="1" applyFont="1" applyBorder="1" applyAlignment="1">
      <alignment horizontal="center"/>
    </xf>
    <xf numFmtId="0" fontId="14" fillId="9" borderId="0" xfId="0" applyNumberFormat="1" applyFont="1" applyFill="1" applyBorder="1" applyAlignment="1" applyProtection="1">
      <alignment horizontal="left"/>
      <protection locked="0"/>
    </xf>
    <xf numFmtId="2" fontId="11" fillId="3" borderId="0" xfId="3" applyNumberFormat="1" applyFont="1" applyFill="1" applyBorder="1" applyAlignment="1" applyProtection="1">
      <alignment horizontal="left" vertical="center"/>
    </xf>
    <xf numFmtId="0" fontId="12" fillId="5" borderId="29" xfId="0" applyFont="1" applyFill="1" applyBorder="1" applyAlignment="1" applyProtection="1">
      <alignment horizontal="center" vertical="center"/>
    </xf>
    <xf numFmtId="0" fontId="12" fillId="5" borderId="9" xfId="0" applyFont="1" applyFill="1" applyBorder="1" applyAlignment="1" applyProtection="1">
      <alignment horizontal="center" vertical="center"/>
    </xf>
    <xf numFmtId="0" fontId="12" fillId="5" borderId="10" xfId="0" applyFont="1" applyFill="1" applyBorder="1" applyAlignment="1" applyProtection="1">
      <alignment horizontal="center" vertical="center"/>
    </xf>
    <xf numFmtId="0" fontId="10" fillId="6" borderId="13" xfId="0" applyFont="1" applyFill="1" applyBorder="1" applyAlignment="1" applyProtection="1">
      <alignment vertical="center"/>
    </xf>
    <xf numFmtId="0" fontId="10" fillId="6" borderId="0" xfId="0" applyFont="1" applyFill="1" applyBorder="1" applyAlignment="1" applyProtection="1">
      <alignment vertical="center"/>
    </xf>
    <xf numFmtId="0" fontId="10" fillId="6" borderId="12" xfId="0" applyFont="1" applyFill="1" applyBorder="1" applyAlignment="1" applyProtection="1">
      <alignment vertical="center"/>
    </xf>
    <xf numFmtId="1" fontId="14" fillId="6" borderId="13" xfId="0" applyNumberFormat="1" applyFont="1" applyFill="1" applyBorder="1" applyAlignment="1" applyProtection="1">
      <alignment horizontal="center" vertical="center"/>
    </xf>
    <xf numFmtId="1" fontId="14" fillId="6" borderId="0" xfId="0" applyNumberFormat="1" applyFont="1" applyFill="1" applyBorder="1" applyAlignment="1" applyProtection="1">
      <alignment horizontal="center" vertical="center"/>
    </xf>
    <xf numFmtId="1" fontId="14" fillId="6" borderId="12" xfId="0" applyNumberFormat="1" applyFont="1" applyFill="1" applyBorder="1" applyAlignment="1" applyProtection="1">
      <alignment horizontal="center" vertical="center"/>
    </xf>
    <xf numFmtId="0" fontId="14" fillId="2" borderId="59" xfId="0" applyFont="1" applyFill="1" applyBorder="1" applyAlignment="1" applyProtection="1">
      <protection locked="0"/>
    </xf>
    <xf numFmtId="0" fontId="14" fillId="2" borderId="0" xfId="0" applyFont="1" applyFill="1" applyBorder="1" applyAlignment="1" applyProtection="1">
      <protection locked="0"/>
    </xf>
    <xf numFmtId="0" fontId="14" fillId="5" borderId="22" xfId="0" applyFont="1" applyFill="1" applyBorder="1" applyAlignment="1" applyProtection="1">
      <protection locked="0"/>
    </xf>
    <xf numFmtId="0" fontId="14" fillId="0" borderId="60" xfId="0" applyFont="1" applyBorder="1" applyAlignment="1" applyProtection="1">
      <alignment horizontal="left" vertical="center"/>
      <protection locked="0"/>
    </xf>
    <xf numFmtId="0" fontId="14" fillId="0" borderId="60" xfId="0" applyFont="1" applyBorder="1" applyAlignment="1" applyProtection="1">
      <alignment horizontal="left"/>
      <protection locked="0"/>
    </xf>
    <xf numFmtId="0" fontId="14" fillId="0" borderId="44" xfId="0" applyFont="1" applyBorder="1" applyAlignment="1" applyProtection="1">
      <alignment horizontal="left"/>
      <protection locked="0"/>
    </xf>
    <xf numFmtId="0" fontId="14" fillId="0" borderId="61" xfId="0" applyFont="1" applyBorder="1" applyAlignment="1" applyProtection="1">
      <alignment horizontal="left"/>
      <protection locked="0"/>
    </xf>
    <xf numFmtId="14" fontId="11" fillId="3" borderId="0" xfId="0" applyNumberFormat="1" applyFont="1" applyFill="1" applyBorder="1" applyAlignment="1" applyProtection="1">
      <alignment horizontal="left"/>
    </xf>
    <xf numFmtId="0" fontId="11" fillId="3" borderId="22" xfId="0" applyFont="1" applyFill="1" applyBorder="1" applyAlignment="1" applyProtection="1">
      <alignment horizontal="left"/>
    </xf>
    <xf numFmtId="0" fontId="14" fillId="4" borderId="62" xfId="0" applyNumberFormat="1" applyFont="1" applyFill="1" applyBorder="1" applyAlignment="1" applyProtection="1">
      <alignment horizontal="center"/>
    </xf>
    <xf numFmtId="1" fontId="14" fillId="11" borderId="27" xfId="0" applyNumberFormat="1" applyFont="1" applyFill="1" applyBorder="1" applyAlignment="1" applyProtection="1">
      <alignment horizontal="center"/>
      <protection locked="0"/>
    </xf>
    <xf numFmtId="172" fontId="8" fillId="3" borderId="17" xfId="0" applyNumberFormat="1" applyFont="1" applyFill="1" applyBorder="1" applyAlignment="1" applyProtection="1">
      <alignment horizontal="center"/>
    </xf>
    <xf numFmtId="172" fontId="8" fillId="3" borderId="14" xfId="0" applyNumberFormat="1" applyFont="1" applyFill="1" applyBorder="1" applyAlignment="1" applyProtection="1">
      <alignment horizontal="center"/>
    </xf>
    <xf numFmtId="172" fontId="8" fillId="3" borderId="63" xfId="0" applyNumberFormat="1" applyFont="1" applyFill="1" applyBorder="1" applyAlignment="1" applyProtection="1">
      <alignment horizontal="center"/>
    </xf>
    <xf numFmtId="0" fontId="12" fillId="3" borderId="4" xfId="4" applyFont="1" applyFill="1" applyBorder="1" applyAlignment="1" applyProtection="1">
      <alignment horizontal="center"/>
    </xf>
    <xf numFmtId="0" fontId="14" fillId="3" borderId="43" xfId="0" applyNumberFormat="1" applyFont="1" applyFill="1" applyBorder="1" applyAlignment="1" applyProtection="1">
      <alignment horizontal="center"/>
    </xf>
    <xf numFmtId="0" fontId="14" fillId="3" borderId="62" xfId="0" applyNumberFormat="1" applyFont="1" applyFill="1" applyBorder="1" applyAlignment="1" applyProtection="1">
      <alignment horizontal="center"/>
    </xf>
    <xf numFmtId="172" fontId="8" fillId="3" borderId="8" xfId="0" applyNumberFormat="1" applyFont="1" applyFill="1" applyBorder="1" applyAlignment="1" applyProtection="1">
      <alignment horizontal="center"/>
    </xf>
    <xf numFmtId="0" fontId="12" fillId="3" borderId="55" xfId="4" applyFont="1" applyFill="1" applyBorder="1" applyAlignment="1" applyProtection="1">
      <alignment horizontal="center"/>
    </xf>
    <xf numFmtId="0" fontId="12" fillId="4" borderId="0" xfId="0" applyFont="1" applyFill="1" applyBorder="1" applyAlignment="1" applyProtection="1">
      <alignment horizontal="left"/>
    </xf>
    <xf numFmtId="172" fontId="12" fillId="4" borderId="0" xfId="0" applyNumberFormat="1" applyFont="1" applyFill="1" applyBorder="1" applyAlignment="1" applyProtection="1">
      <alignment horizontal="left"/>
    </xf>
    <xf numFmtId="166" fontId="14" fillId="11" borderId="64" xfId="0" applyNumberFormat="1" applyFont="1" applyFill="1" applyBorder="1" applyAlignment="1" applyProtection="1">
      <alignment horizontal="center"/>
      <protection locked="0"/>
    </xf>
    <xf numFmtId="0" fontId="14" fillId="3" borderId="25" xfId="0" applyNumberFormat="1" applyFont="1" applyFill="1" applyBorder="1" applyAlignment="1" applyProtection="1">
      <alignment horizontal="center"/>
    </xf>
    <xf numFmtId="0" fontId="8" fillId="2" borderId="4" xfId="0" applyFont="1" applyFill="1" applyBorder="1" applyProtection="1"/>
    <xf numFmtId="0" fontId="8" fillId="0" borderId="4" xfId="0" applyFont="1" applyBorder="1" applyProtection="1"/>
    <xf numFmtId="201" fontId="14" fillId="0" borderId="0" xfId="0" applyNumberFormat="1" applyFont="1" applyBorder="1" applyAlignment="1">
      <alignment horizontal="center"/>
    </xf>
    <xf numFmtId="0" fontId="32" fillId="0" borderId="0" xfId="0" applyFont="1" applyAlignment="1" applyProtection="1">
      <alignment horizontal="right" vertical="center"/>
    </xf>
    <xf numFmtId="0" fontId="2" fillId="4" borderId="8" xfId="0" applyFont="1" applyFill="1" applyBorder="1" applyProtection="1">
      <protection locked="0"/>
    </xf>
    <xf numFmtId="0" fontId="2" fillId="4" borderId="4" xfId="0" applyFont="1" applyFill="1" applyBorder="1" applyProtection="1">
      <protection locked="0"/>
    </xf>
    <xf numFmtId="0" fontId="2" fillId="0" borderId="0" xfId="0" applyFont="1" applyProtection="1">
      <protection locked="0"/>
    </xf>
    <xf numFmtId="0" fontId="2" fillId="0" borderId="0" xfId="0" applyFont="1" applyAlignment="1" applyProtection="1">
      <alignment horizontal="center"/>
      <protection locked="0"/>
    </xf>
    <xf numFmtId="0" fontId="2" fillId="4" borderId="2" xfId="0" applyFont="1" applyFill="1" applyBorder="1" applyProtection="1">
      <protection locked="0"/>
    </xf>
    <xf numFmtId="0" fontId="2" fillId="4" borderId="0" xfId="0" applyFont="1" applyFill="1" applyBorder="1" applyProtection="1">
      <protection locked="0"/>
    </xf>
    <xf numFmtId="0" fontId="2" fillId="4" borderId="0" xfId="0" applyFont="1" applyFill="1" applyBorder="1" applyAlignment="1" applyProtection="1">
      <alignment horizontal="center"/>
      <protection locked="0"/>
    </xf>
    <xf numFmtId="1" fontId="39" fillId="4" borderId="5" xfId="0" applyNumberFormat="1" applyFont="1" applyFill="1" applyBorder="1" applyAlignment="1" applyProtection="1">
      <alignment horizontal="center"/>
      <protection locked="0"/>
    </xf>
    <xf numFmtId="0" fontId="2" fillId="4" borderId="11" xfId="0" applyFont="1" applyFill="1" applyBorder="1" applyProtection="1">
      <protection locked="0"/>
    </xf>
    <xf numFmtId="0" fontId="2" fillId="4" borderId="22" xfId="0" applyFont="1" applyFill="1" applyBorder="1" applyProtection="1">
      <protection locked="0"/>
    </xf>
    <xf numFmtId="0" fontId="39" fillId="3" borderId="22" xfId="0" applyFont="1" applyFill="1" applyBorder="1" applyAlignment="1" applyProtection="1">
      <protection locked="0"/>
    </xf>
    <xf numFmtId="14" fontId="2" fillId="4" borderId="22" xfId="0" applyNumberFormat="1" applyFont="1" applyFill="1" applyBorder="1" applyAlignment="1" applyProtection="1">
      <alignment horizontal="center"/>
      <protection locked="0"/>
    </xf>
    <xf numFmtId="0" fontId="41" fillId="4" borderId="22" xfId="0" applyFont="1" applyFill="1" applyBorder="1" applyAlignment="1" applyProtection="1">
      <alignment horizontal="center"/>
      <protection locked="0"/>
    </xf>
    <xf numFmtId="0" fontId="41" fillId="4" borderId="23" xfId="0" applyFont="1" applyFill="1" applyBorder="1" applyAlignment="1" applyProtection="1">
      <alignment horizontal="center"/>
      <protection locked="0"/>
    </xf>
    <xf numFmtId="0" fontId="42" fillId="0" borderId="0" xfId="0" applyFont="1" applyProtection="1">
      <protection locked="0"/>
    </xf>
    <xf numFmtId="0" fontId="39" fillId="14" borderId="1" xfId="0" applyFont="1" applyFill="1" applyBorder="1" applyAlignment="1" applyProtection="1">
      <alignment horizontal="center"/>
      <protection locked="0"/>
    </xf>
    <xf numFmtId="14" fontId="2" fillId="3" borderId="2" xfId="0" applyNumberFormat="1" applyFont="1" applyFill="1" applyBorder="1" applyAlignment="1" applyProtection="1">
      <alignment horizontal="left"/>
      <protection locked="0"/>
    </xf>
    <xf numFmtId="0" fontId="2" fillId="3" borderId="2" xfId="0" applyFont="1" applyFill="1" applyBorder="1" applyAlignment="1" applyProtection="1">
      <alignment horizontal="left"/>
      <protection locked="0"/>
    </xf>
    <xf numFmtId="1" fontId="2" fillId="3" borderId="11" xfId="0" applyNumberFormat="1" applyFont="1" applyFill="1" applyBorder="1" applyAlignment="1" applyProtection="1">
      <alignment horizontal="left"/>
      <protection locked="0"/>
    </xf>
    <xf numFmtId="0" fontId="2" fillId="4" borderId="0" xfId="0" applyFont="1" applyFill="1" applyBorder="1" applyAlignment="1" applyProtection="1">
      <alignment horizontal="center"/>
    </xf>
    <xf numFmtId="0" fontId="2" fillId="4" borderId="5" xfId="0" applyFont="1" applyFill="1" applyBorder="1" applyAlignment="1" applyProtection="1">
      <alignment horizontal="center"/>
    </xf>
    <xf numFmtId="0" fontId="43" fillId="2" borderId="29" xfId="0" applyFont="1" applyFill="1" applyBorder="1" applyAlignment="1" applyProtection="1">
      <alignment horizontal="left"/>
      <protection locked="0"/>
    </xf>
    <xf numFmtId="0" fontId="2" fillId="2" borderId="10" xfId="0" applyFont="1" applyFill="1" applyBorder="1" applyProtection="1">
      <protection locked="0"/>
    </xf>
    <xf numFmtId="0" fontId="2" fillId="4" borderId="4" xfId="0" applyFont="1" applyFill="1" applyBorder="1" applyAlignment="1" applyProtection="1">
      <alignment horizontal="center"/>
      <protection locked="0"/>
    </xf>
    <xf numFmtId="165" fontId="39" fillId="8" borderId="1" xfId="0" applyNumberFormat="1" applyFont="1" applyFill="1" applyBorder="1" applyAlignment="1" applyProtection="1">
      <alignment horizontal="center"/>
      <protection locked="0"/>
    </xf>
    <xf numFmtId="0" fontId="2" fillId="4" borderId="0" xfId="0" applyFont="1" applyFill="1" applyBorder="1" applyAlignment="1" applyProtection="1">
      <alignment horizontal="left"/>
    </xf>
    <xf numFmtId="0" fontId="17" fillId="0" borderId="0" xfId="0" applyFont="1" applyProtection="1">
      <protection locked="0"/>
    </xf>
    <xf numFmtId="0" fontId="2" fillId="0" borderId="0" xfId="0" applyFont="1" applyAlignment="1" applyProtection="1">
      <alignment horizontal="left"/>
      <protection locked="0"/>
    </xf>
    <xf numFmtId="0" fontId="2" fillId="4" borderId="6" xfId="0" applyFont="1" applyFill="1" applyBorder="1" applyProtection="1">
      <protection locked="0"/>
    </xf>
    <xf numFmtId="0" fontId="2" fillId="4" borderId="8" xfId="0" applyFont="1" applyFill="1" applyBorder="1" applyAlignment="1" applyProtection="1">
      <alignment horizontal="center"/>
      <protection locked="0"/>
    </xf>
    <xf numFmtId="0" fontId="2" fillId="4" borderId="5" xfId="0" applyFont="1" applyFill="1" applyBorder="1" applyAlignment="1" applyProtection="1">
      <alignment horizontal="left"/>
    </xf>
    <xf numFmtId="0" fontId="2" fillId="4" borderId="2" xfId="0" applyFont="1" applyFill="1" applyBorder="1" applyAlignment="1" applyProtection="1">
      <alignment horizontal="left"/>
    </xf>
    <xf numFmtId="0" fontId="39" fillId="14" borderId="21" xfId="0" applyFont="1" applyFill="1" applyBorder="1" applyAlignment="1" applyProtection="1">
      <alignment horizontal="center"/>
      <protection locked="0"/>
    </xf>
    <xf numFmtId="0" fontId="2" fillId="4" borderId="11" xfId="0" applyFont="1" applyFill="1" applyBorder="1" applyAlignment="1" applyProtection="1">
      <alignment horizontal="left"/>
    </xf>
    <xf numFmtId="0" fontId="2" fillId="4" borderId="6" xfId="0" applyFont="1" applyFill="1" applyBorder="1" applyAlignment="1" applyProtection="1">
      <alignment horizontal="center"/>
      <protection locked="0"/>
    </xf>
    <xf numFmtId="2" fontId="39" fillId="3" borderId="1" xfId="3" applyNumberFormat="1" applyFont="1" applyFill="1" applyBorder="1" applyAlignment="1" applyProtection="1">
      <alignment horizontal="center"/>
    </xf>
    <xf numFmtId="2" fontId="39" fillId="3" borderId="25" xfId="3" applyNumberFormat="1" applyFont="1" applyFill="1" applyBorder="1" applyAlignment="1" applyProtection="1">
      <alignment horizontal="center"/>
    </xf>
    <xf numFmtId="0" fontId="39" fillId="4" borderId="1" xfId="0" applyFont="1" applyFill="1" applyBorder="1" applyAlignment="1" applyProtection="1">
      <alignment horizontal="center"/>
    </xf>
    <xf numFmtId="0" fontId="39" fillId="4" borderId="21" xfId="0" applyFont="1" applyFill="1" applyBorder="1" applyAlignment="1" applyProtection="1">
      <alignment horizontal="center"/>
    </xf>
    <xf numFmtId="165" fontId="39" fillId="14" borderId="21" xfId="0" applyNumberFormat="1" applyFont="1" applyFill="1" applyBorder="1" applyAlignment="1" applyProtection="1">
      <alignment horizontal="center"/>
      <protection locked="0"/>
    </xf>
    <xf numFmtId="0" fontId="39" fillId="4" borderId="21" xfId="0" applyFont="1" applyFill="1" applyBorder="1" applyAlignment="1" applyProtection="1">
      <alignment horizontal="center"/>
      <protection locked="0"/>
    </xf>
    <xf numFmtId="1" fontId="39" fillId="4" borderId="21" xfId="0" applyNumberFormat="1" applyFont="1" applyFill="1" applyBorder="1" applyAlignment="1" applyProtection="1">
      <alignment horizontal="center"/>
      <protection locked="0"/>
    </xf>
    <xf numFmtId="1" fontId="39" fillId="4" borderId="28" xfId="0" applyNumberFormat="1" applyFont="1" applyFill="1" applyBorder="1" applyAlignment="1" applyProtection="1">
      <alignment horizontal="center"/>
    </xf>
    <xf numFmtId="166" fontId="39" fillId="3" borderId="1" xfId="0" applyNumberFormat="1" applyFont="1" applyFill="1" applyBorder="1" applyAlignment="1" applyProtection="1">
      <alignment horizontal="center"/>
      <protection locked="0"/>
    </xf>
    <xf numFmtId="166" fontId="39" fillId="4" borderId="21" xfId="0" applyNumberFormat="1" applyFont="1" applyFill="1" applyBorder="1" applyAlignment="1" applyProtection="1">
      <alignment horizontal="center"/>
      <protection locked="0"/>
    </xf>
    <xf numFmtId="1" fontId="39" fillId="3" borderId="1" xfId="0" applyNumberFormat="1" applyFont="1" applyFill="1" applyBorder="1" applyAlignment="1" applyProtection="1">
      <alignment horizontal="center"/>
    </xf>
    <xf numFmtId="2" fontId="39" fillId="4" borderId="21" xfId="0" applyNumberFormat="1" applyFont="1" applyFill="1" applyBorder="1" applyAlignment="1" applyProtection="1">
      <alignment horizontal="center"/>
      <protection locked="0"/>
    </xf>
    <xf numFmtId="2" fontId="39" fillId="4" borderId="28" xfId="0" applyNumberFormat="1" applyFont="1" applyFill="1" applyBorder="1" applyAlignment="1" applyProtection="1">
      <alignment horizontal="center"/>
      <protection locked="0"/>
    </xf>
    <xf numFmtId="165" fontId="39" fillId="4" borderId="1" xfId="0" applyNumberFormat="1" applyFont="1" applyFill="1" applyBorder="1" applyAlignment="1" applyProtection="1">
      <alignment horizontal="center"/>
    </xf>
    <xf numFmtId="166" fontId="39" fillId="4" borderId="1" xfId="0" applyNumberFormat="1" applyFont="1" applyFill="1" applyBorder="1" applyAlignment="1" applyProtection="1">
      <alignment horizontal="center"/>
    </xf>
    <xf numFmtId="0" fontId="2" fillId="4" borderId="40" xfId="0" applyFont="1" applyFill="1" applyBorder="1" applyAlignment="1" applyProtection="1">
      <alignment horizontal="center"/>
    </xf>
    <xf numFmtId="0" fontId="2" fillId="4" borderId="65" xfId="0" applyFont="1" applyFill="1" applyBorder="1" applyAlignment="1" applyProtection="1">
      <alignment horizontal="center"/>
    </xf>
    <xf numFmtId="0" fontId="2" fillId="4" borderId="40" xfId="0" applyFont="1" applyFill="1" applyBorder="1" applyAlignment="1" applyProtection="1">
      <alignment horizontal="left"/>
    </xf>
    <xf numFmtId="0" fontId="2" fillId="4" borderId="65" xfId="0" applyFont="1" applyFill="1" applyBorder="1" applyAlignment="1" applyProtection="1">
      <alignment horizontal="left"/>
    </xf>
    <xf numFmtId="165" fontId="39" fillId="4" borderId="21" xfId="0" applyNumberFormat="1" applyFont="1" applyFill="1" applyBorder="1" applyAlignment="1" applyProtection="1">
      <alignment horizontal="center"/>
    </xf>
    <xf numFmtId="166" fontId="39" fillId="4" borderId="21" xfId="0" applyNumberFormat="1" applyFont="1" applyFill="1" applyBorder="1" applyAlignment="1" applyProtection="1">
      <alignment horizontal="center"/>
    </xf>
    <xf numFmtId="1" fontId="39" fillId="4" borderId="21" xfId="0" applyNumberFormat="1" applyFont="1" applyFill="1" applyBorder="1" applyAlignment="1" applyProtection="1">
      <alignment horizontal="center"/>
    </xf>
    <xf numFmtId="165" fontId="39" fillId="6" borderId="21" xfId="0" applyNumberFormat="1" applyFont="1" applyFill="1" applyBorder="1" applyAlignment="1" applyProtection="1">
      <alignment horizontal="center"/>
      <protection locked="0"/>
    </xf>
    <xf numFmtId="1" fontId="39" fillId="6" borderId="21" xfId="0" applyNumberFormat="1" applyFont="1" applyFill="1" applyBorder="1" applyAlignment="1" applyProtection="1">
      <alignment horizontal="center"/>
      <protection locked="0"/>
    </xf>
    <xf numFmtId="165" fontId="39" fillId="3" borderId="65" xfId="3" applyNumberFormat="1" applyFont="1" applyFill="1" applyBorder="1" applyAlignment="1" applyProtection="1">
      <alignment horizontal="center"/>
      <protection locked="0"/>
    </xf>
    <xf numFmtId="165" fontId="18" fillId="3" borderId="30" xfId="3" applyNumberFormat="1" applyFont="1" applyFill="1" applyBorder="1" applyAlignment="1" applyProtection="1">
      <alignment horizontal="center"/>
    </xf>
    <xf numFmtId="1" fontId="18" fillId="3" borderId="28" xfId="3" applyNumberFormat="1" applyFont="1" applyFill="1" applyBorder="1" applyAlignment="1" applyProtection="1">
      <alignment horizontal="center"/>
    </xf>
    <xf numFmtId="0" fontId="39" fillId="4" borderId="21" xfId="0" applyNumberFormat="1" applyFont="1" applyFill="1" applyBorder="1" applyAlignment="1" applyProtection="1">
      <alignment horizontal="center"/>
    </xf>
    <xf numFmtId="0" fontId="39" fillId="18" borderId="1" xfId="0" applyFont="1" applyFill="1" applyBorder="1" applyAlignment="1" applyProtection="1">
      <alignment horizontal="center"/>
      <protection locked="0"/>
    </xf>
    <xf numFmtId="0" fontId="39" fillId="18" borderId="1" xfId="0" applyNumberFormat="1" applyFont="1" applyFill="1" applyBorder="1" applyAlignment="1" applyProtection="1">
      <alignment horizontal="center"/>
      <protection locked="0"/>
    </xf>
    <xf numFmtId="165" fontId="39" fillId="18" borderId="1" xfId="0" applyNumberFormat="1" applyFont="1" applyFill="1" applyBorder="1" applyAlignment="1" applyProtection="1">
      <alignment horizontal="center"/>
      <protection locked="0"/>
    </xf>
    <xf numFmtId="0" fontId="2" fillId="4" borderId="0" xfId="0" applyFont="1" applyFill="1" applyBorder="1" applyAlignment="1" applyProtection="1">
      <alignment horizontal="right"/>
      <protection locked="0"/>
    </xf>
    <xf numFmtId="0" fontId="39" fillId="18" borderId="21" xfId="0" applyFont="1" applyFill="1" applyBorder="1" applyAlignment="1" applyProtection="1">
      <alignment horizontal="center"/>
      <protection locked="0"/>
    </xf>
    <xf numFmtId="202" fontId="18" fillId="4" borderId="25" xfId="0" applyNumberFormat="1" applyFont="1" applyFill="1" applyBorder="1" applyAlignment="1" applyProtection="1">
      <alignment horizontal="center"/>
    </xf>
    <xf numFmtId="202" fontId="18" fillId="4" borderId="28" xfId="0" applyNumberFormat="1" applyFont="1" applyFill="1" applyBorder="1" applyAlignment="1" applyProtection="1">
      <alignment horizontal="center"/>
    </xf>
    <xf numFmtId="202" fontId="39" fillId="4" borderId="1" xfId="0" applyNumberFormat="1" applyFont="1" applyFill="1" applyBorder="1" applyAlignment="1" applyProtection="1">
      <alignment horizontal="center"/>
    </xf>
    <xf numFmtId="202" fontId="39" fillId="4" borderId="21" xfId="0" applyNumberFormat="1" applyFont="1" applyFill="1" applyBorder="1" applyAlignment="1" applyProtection="1">
      <alignment horizontal="center"/>
    </xf>
    <xf numFmtId="174" fontId="14" fillId="8"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xf>
    <xf numFmtId="0" fontId="12" fillId="4" borderId="4" xfId="2" applyFont="1" applyFill="1" applyBorder="1" applyAlignment="1" applyProtection="1">
      <alignment horizontal="center"/>
    </xf>
    <xf numFmtId="0" fontId="12" fillId="4" borderId="6" xfId="2" applyFont="1" applyFill="1" applyBorder="1" applyAlignment="1" applyProtection="1">
      <alignment horizontal="center"/>
    </xf>
    <xf numFmtId="0" fontId="12" fillId="4" borderId="0" xfId="2" applyFont="1" applyFill="1" applyBorder="1" applyAlignment="1" applyProtection="1">
      <alignment horizontal="right"/>
    </xf>
    <xf numFmtId="166" fontId="14" fillId="6" borderId="1" xfId="2" applyNumberFormat="1" applyFont="1" applyFill="1" applyBorder="1" applyAlignment="1" applyProtection="1">
      <alignment horizontal="center"/>
      <protection locked="0"/>
    </xf>
    <xf numFmtId="166" fontId="14" fillId="4" borderId="1" xfId="2" applyNumberFormat="1" applyFont="1" applyFill="1" applyBorder="1" applyAlignment="1" applyProtection="1">
      <alignment horizontal="center"/>
    </xf>
    <xf numFmtId="172" fontId="12" fillId="4" borderId="0" xfId="2" applyNumberFormat="1" applyFont="1" applyFill="1" applyBorder="1" applyAlignment="1" applyProtection="1">
      <alignment horizontal="right"/>
    </xf>
    <xf numFmtId="166" fontId="14" fillId="4" borderId="33" xfId="2" applyNumberFormat="1" applyFont="1" applyFill="1" applyBorder="1" applyAlignment="1" applyProtection="1">
      <alignment horizontal="center"/>
    </xf>
    <xf numFmtId="0" fontId="11" fillId="0" borderId="3" xfId="0" applyNumberFormat="1" applyFont="1" applyBorder="1"/>
    <xf numFmtId="204" fontId="14" fillId="19" borderId="1" xfId="0" applyNumberFormat="1" applyFont="1" applyFill="1" applyBorder="1" applyAlignment="1" applyProtection="1">
      <alignment horizontal="center" vertical="center"/>
      <protection locked="0"/>
    </xf>
    <xf numFmtId="166" fontId="14" fillId="10" borderId="1" xfId="0" applyNumberFormat="1" applyFont="1" applyFill="1" applyBorder="1" applyAlignment="1" applyProtection="1">
      <alignment horizontal="center" vertical="center"/>
      <protection locked="0"/>
    </xf>
    <xf numFmtId="0" fontId="17" fillId="20" borderId="66" xfId="2" applyFont="1" applyFill="1" applyBorder="1" applyAlignment="1" applyProtection="1">
      <alignment horizontal="center"/>
      <protection locked="0"/>
    </xf>
    <xf numFmtId="0" fontId="14" fillId="11" borderId="26" xfId="0" applyNumberFormat="1" applyFont="1" applyFill="1" applyBorder="1" applyAlignment="1" applyProtection="1">
      <alignment horizontal="center"/>
      <protection locked="0"/>
    </xf>
    <xf numFmtId="0" fontId="14" fillId="11" borderId="27" xfId="0" applyNumberFormat="1" applyFont="1" applyFill="1" applyBorder="1" applyAlignment="1" applyProtection="1">
      <alignment horizontal="center"/>
      <protection locked="0"/>
    </xf>
    <xf numFmtId="0" fontId="11" fillId="8" borderId="1" xfId="4" applyFont="1" applyFill="1" applyBorder="1" applyAlignment="1" applyProtection="1">
      <alignment horizontal="center"/>
      <protection locked="0"/>
    </xf>
    <xf numFmtId="0" fontId="8" fillId="0" borderId="3" xfId="0" applyNumberFormat="1" applyFont="1" applyBorder="1"/>
    <xf numFmtId="49" fontId="14" fillId="7" borderId="1" xfId="5" applyNumberFormat="1" applyFont="1" applyFill="1" applyBorder="1" applyAlignment="1" applyProtection="1">
      <alignment horizontal="center" vertical="center"/>
      <protection locked="0"/>
    </xf>
    <xf numFmtId="169" fontId="14" fillId="2" borderId="1" xfId="0" applyNumberFormat="1" applyFont="1" applyFill="1" applyBorder="1" applyAlignment="1" applyProtection="1">
      <alignment horizontal="center" vertical="center"/>
      <protection locked="0"/>
    </xf>
    <xf numFmtId="0" fontId="12" fillId="4" borderId="54" xfId="2" applyFont="1" applyFill="1" applyBorder="1" applyAlignment="1" applyProtection="1">
      <alignment horizontal="center"/>
    </xf>
    <xf numFmtId="166" fontId="14" fillId="6" borderId="65" xfId="2" applyNumberFormat="1" applyFont="1" applyFill="1" applyBorder="1" applyAlignment="1" applyProtection="1">
      <alignment horizontal="center"/>
      <protection locked="0"/>
    </xf>
    <xf numFmtId="166" fontId="14" fillId="4" borderId="65" xfId="2" applyNumberFormat="1" applyFont="1" applyFill="1" applyBorder="1" applyAlignment="1" applyProtection="1">
      <alignment horizontal="center"/>
    </xf>
    <xf numFmtId="166" fontId="14" fillId="4" borderId="67" xfId="2" applyNumberFormat="1" applyFont="1" applyFill="1" applyBorder="1" applyAlignment="1" applyProtection="1">
      <alignment horizontal="center"/>
    </xf>
    <xf numFmtId="0" fontId="8" fillId="5" borderId="0" xfId="0" applyFont="1" applyFill="1" applyBorder="1" applyAlignment="1" applyProtection="1"/>
    <xf numFmtId="179" fontId="9" fillId="13" borderId="43" xfId="0" applyNumberFormat="1" applyFont="1" applyFill="1" applyBorder="1" applyAlignment="1" applyProtection="1">
      <alignment horizontal="center" vertical="center"/>
      <protection locked="0"/>
    </xf>
    <xf numFmtId="179" fontId="9" fillId="13" borderId="1" xfId="0" applyNumberFormat="1" applyFont="1" applyFill="1" applyBorder="1" applyAlignment="1" applyProtection="1">
      <alignment horizontal="center" vertical="center"/>
      <protection locked="0"/>
    </xf>
    <xf numFmtId="179" fontId="9" fillId="9" borderId="43" xfId="0" applyNumberFormat="1" applyFont="1" applyFill="1" applyBorder="1" applyAlignment="1" applyProtection="1">
      <alignment horizontal="center" vertical="center"/>
      <protection locked="0"/>
    </xf>
    <xf numFmtId="198" fontId="9" fillId="13" borderId="43" xfId="0" applyNumberFormat="1" applyFont="1" applyFill="1" applyBorder="1" applyAlignment="1" applyProtection="1">
      <alignment horizontal="center" vertical="center"/>
      <protection locked="0"/>
    </xf>
    <xf numFmtId="198" fontId="9" fillId="13" borderId="1" xfId="0" applyNumberFormat="1" applyFont="1" applyFill="1" applyBorder="1" applyAlignment="1" applyProtection="1">
      <alignment horizontal="center" vertical="center"/>
      <protection locked="0"/>
    </xf>
    <xf numFmtId="0" fontId="2" fillId="0" borderId="0" xfId="0" applyNumberFormat="1" applyFont="1" applyBorder="1" applyAlignment="1" applyProtection="1">
      <alignment horizontal="center"/>
    </xf>
    <xf numFmtId="0" fontId="2" fillId="0" borderId="0" xfId="0" applyFont="1" applyBorder="1" applyAlignment="1" applyProtection="1">
      <alignment horizontal="center"/>
    </xf>
    <xf numFmtId="0" fontId="2" fillId="0" borderId="0" xfId="0" applyFont="1" applyBorder="1" applyProtection="1"/>
    <xf numFmtId="1" fontId="2" fillId="0" borderId="0" xfId="0" applyNumberFormat="1" applyFont="1" applyBorder="1" applyAlignment="1" applyProtection="1">
      <alignment horizontal="center"/>
    </xf>
    <xf numFmtId="2" fontId="2" fillId="0" borderId="0" xfId="0" applyNumberFormat="1" applyFont="1" applyBorder="1" applyAlignment="1" applyProtection="1">
      <alignment horizontal="center"/>
    </xf>
    <xf numFmtId="0" fontId="2" fillId="0" borderId="0" xfId="0" applyNumberFormat="1" applyFont="1" applyBorder="1" applyAlignment="1" applyProtection="1">
      <alignment horizontal="right"/>
    </xf>
    <xf numFmtId="0" fontId="2" fillId="0" borderId="0" xfId="0" applyNumberFormat="1" applyFont="1" applyBorder="1" applyProtection="1"/>
    <xf numFmtId="0" fontId="13" fillId="0" borderId="0" xfId="0" applyFont="1" applyBorder="1" applyAlignment="1" applyProtection="1"/>
    <xf numFmtId="0" fontId="0" fillId="0" borderId="0" xfId="0" applyBorder="1" applyProtection="1"/>
    <xf numFmtId="0" fontId="13" fillId="0" borderId="0" xfId="0" applyFont="1" applyAlignment="1" applyProtection="1"/>
    <xf numFmtId="0" fontId="2" fillId="0" borderId="0" xfId="0" applyFont="1" applyBorder="1" applyAlignment="1" applyProtection="1">
      <alignment horizontal="left"/>
    </xf>
    <xf numFmtId="0" fontId="0" fillId="0" borderId="9" xfId="0" applyBorder="1" applyAlignment="1" applyProtection="1">
      <alignment horizontal="right"/>
    </xf>
    <xf numFmtId="0" fontId="0" fillId="0" borderId="9" xfId="0" applyBorder="1" applyAlignment="1" applyProtection="1">
      <alignment horizontal="center"/>
    </xf>
    <xf numFmtId="0" fontId="0" fillId="0" borderId="9" xfId="0" applyBorder="1" applyProtection="1"/>
    <xf numFmtId="0" fontId="2" fillId="0" borderId="9" xfId="0" applyFont="1" applyBorder="1" applyProtection="1"/>
    <xf numFmtId="0" fontId="2" fillId="0" borderId="9" xfId="0" applyFont="1" applyBorder="1" applyAlignment="1" applyProtection="1">
      <alignment horizontal="center"/>
    </xf>
    <xf numFmtId="0" fontId="0" fillId="0" borderId="10" xfId="0" applyBorder="1" applyProtection="1"/>
    <xf numFmtId="0" fontId="2" fillId="0" borderId="13" xfId="0" applyNumberFormat="1" applyFont="1" applyBorder="1" applyAlignment="1" applyProtection="1">
      <alignment horizontal="center"/>
    </xf>
    <xf numFmtId="0" fontId="0" fillId="0" borderId="12" xfId="0" applyBorder="1" applyProtection="1"/>
    <xf numFmtId="0" fontId="2" fillId="0" borderId="10" xfId="0" applyFont="1" applyBorder="1" applyAlignment="1" applyProtection="1">
      <alignment horizontal="center"/>
    </xf>
    <xf numFmtId="0" fontId="2" fillId="0" borderId="12" xfId="0" applyFont="1" applyBorder="1" applyAlignment="1" applyProtection="1">
      <alignment horizontal="center"/>
    </xf>
    <xf numFmtId="2" fontId="0" fillId="0" borderId="32" xfId="0" applyNumberFormat="1" applyBorder="1" applyAlignment="1" applyProtection="1">
      <alignment horizontal="right"/>
    </xf>
    <xf numFmtId="2" fontId="0" fillId="0" borderId="68" xfId="0" applyNumberFormat="1" applyBorder="1" applyAlignment="1" applyProtection="1">
      <alignment horizontal="right"/>
    </xf>
    <xf numFmtId="2" fontId="0" fillId="0" borderId="1" xfId="0" applyNumberFormat="1" applyBorder="1" applyAlignment="1" applyProtection="1">
      <alignment horizontal="right"/>
    </xf>
    <xf numFmtId="2" fontId="0" fillId="0" borderId="38" xfId="0" applyNumberFormat="1" applyBorder="1" applyAlignment="1" applyProtection="1">
      <alignment horizontal="right"/>
    </xf>
    <xf numFmtId="2" fontId="0" fillId="0" borderId="33" xfId="0" applyNumberFormat="1" applyBorder="1" applyAlignment="1" applyProtection="1">
      <alignment horizontal="right"/>
    </xf>
    <xf numFmtId="2" fontId="0" fillId="0" borderId="69" xfId="0" applyNumberFormat="1" applyBorder="1" applyAlignment="1" applyProtection="1">
      <alignment horizontal="right"/>
    </xf>
    <xf numFmtId="2" fontId="0" fillId="0" borderId="70" xfId="0" applyNumberFormat="1" applyBorder="1" applyAlignment="1" applyProtection="1">
      <alignment horizontal="right"/>
    </xf>
    <xf numFmtId="0" fontId="0" fillId="0" borderId="68" xfId="0" applyBorder="1" applyProtection="1"/>
    <xf numFmtId="2" fontId="0" fillId="0" borderId="39" xfId="0" applyNumberFormat="1" applyBorder="1" applyAlignment="1" applyProtection="1">
      <alignment horizontal="right"/>
    </xf>
    <xf numFmtId="0" fontId="23" fillId="0" borderId="38" xfId="0" applyFont="1" applyBorder="1" applyAlignment="1" applyProtection="1">
      <alignment horizontal="center"/>
    </xf>
    <xf numFmtId="0" fontId="8" fillId="0" borderId="38" xfId="0" applyFont="1" applyBorder="1" applyProtection="1"/>
    <xf numFmtId="0" fontId="0" fillId="0" borderId="38" xfId="0" applyBorder="1" applyProtection="1"/>
    <xf numFmtId="2" fontId="0" fillId="0" borderId="71" xfId="0" applyNumberFormat="1" applyBorder="1" applyAlignment="1" applyProtection="1">
      <alignment horizontal="right"/>
    </xf>
    <xf numFmtId="0" fontId="0" fillId="0" borderId="69" xfId="0" applyBorder="1" applyProtection="1"/>
    <xf numFmtId="0" fontId="0" fillId="0" borderId="72" xfId="0" applyBorder="1" applyProtection="1"/>
    <xf numFmtId="0" fontId="0" fillId="0" borderId="46" xfId="0" applyBorder="1" applyProtection="1"/>
    <xf numFmtId="0" fontId="8" fillId="0" borderId="46" xfId="0" applyFont="1" applyBorder="1" applyProtection="1"/>
    <xf numFmtId="0" fontId="0" fillId="0" borderId="73" xfId="0" applyBorder="1" applyProtection="1"/>
    <xf numFmtId="0" fontId="13" fillId="0" borderId="9" xfId="0" applyFont="1" applyBorder="1" applyAlignment="1" applyProtection="1"/>
    <xf numFmtId="0" fontId="17" fillId="0" borderId="0" xfId="0" applyNumberFormat="1" applyFont="1" applyBorder="1" applyAlignment="1" applyProtection="1">
      <alignment horizontal="center"/>
    </xf>
    <xf numFmtId="0" fontId="16" fillId="0" borderId="0" xfId="0" applyFont="1" applyBorder="1" applyAlignment="1" applyProtection="1">
      <alignment horizontal="center"/>
    </xf>
    <xf numFmtId="0" fontId="16" fillId="0" borderId="0" xfId="0" applyFont="1" applyProtection="1"/>
    <xf numFmtId="0" fontId="16" fillId="0" borderId="74" xfId="0" applyFont="1" applyBorder="1" applyProtection="1"/>
    <xf numFmtId="0" fontId="16" fillId="0" borderId="75" xfId="0" applyFont="1" applyBorder="1" applyProtection="1"/>
    <xf numFmtId="0" fontId="16" fillId="0" borderId="74" xfId="0" applyFont="1" applyBorder="1" applyAlignment="1" applyProtection="1">
      <alignment horizontal="center"/>
    </xf>
    <xf numFmtId="0" fontId="16" fillId="0" borderId="76" xfId="0" applyFont="1" applyBorder="1" applyAlignment="1" applyProtection="1">
      <alignment horizontal="center"/>
    </xf>
    <xf numFmtId="0" fontId="16" fillId="0" borderId="76" xfId="0" applyFont="1" applyBorder="1" applyProtection="1"/>
    <xf numFmtId="0" fontId="16" fillId="0" borderId="12" xfId="0" applyFont="1" applyBorder="1" applyAlignment="1" applyProtection="1">
      <alignment horizontal="center"/>
    </xf>
    <xf numFmtId="0" fontId="0" fillId="0" borderId="12" xfId="0" applyBorder="1" applyAlignment="1" applyProtection="1">
      <alignment horizontal="center"/>
    </xf>
    <xf numFmtId="0" fontId="23" fillId="0" borderId="12" xfId="0" applyFont="1" applyBorder="1" applyAlignment="1" applyProtection="1">
      <alignment horizontal="center"/>
    </xf>
    <xf numFmtId="0" fontId="8" fillId="0" borderId="12" xfId="0" applyFont="1" applyBorder="1" applyProtection="1"/>
    <xf numFmtId="178" fontId="14" fillId="4" borderId="0" xfId="5" applyNumberFormat="1" applyFont="1" applyFill="1" applyBorder="1" applyAlignment="1" applyProtection="1">
      <alignment horizontal="center" vertical="center"/>
    </xf>
    <xf numFmtId="166" fontId="10" fillId="3" borderId="0" xfId="5" applyNumberFormat="1" applyFont="1" applyFill="1" applyBorder="1" applyAlignment="1" applyProtection="1">
      <alignment horizontal="center" vertical="center"/>
    </xf>
    <xf numFmtId="166" fontId="10" fillId="4" borderId="5" xfId="5" applyNumberFormat="1" applyFont="1" applyFill="1" applyBorder="1" applyAlignment="1" applyProtection="1">
      <alignment horizontal="center" vertical="center"/>
    </xf>
    <xf numFmtId="184" fontId="14" fillId="4" borderId="0" xfId="5" applyNumberFormat="1" applyFont="1" applyFill="1" applyBorder="1" applyAlignment="1" applyProtection="1">
      <alignment horizontal="center" vertical="center"/>
    </xf>
    <xf numFmtId="0" fontId="22" fillId="3" borderId="5" xfId="5" applyFont="1" applyFill="1" applyBorder="1" applyAlignment="1" applyProtection="1">
      <alignment horizontal="center" vertical="center"/>
    </xf>
    <xf numFmtId="1" fontId="14" fillId="4" borderId="5" xfId="5" applyNumberFormat="1" applyFont="1" applyFill="1" applyBorder="1" applyAlignment="1" applyProtection="1">
      <alignment horizontal="center" vertical="center"/>
    </xf>
    <xf numFmtId="206" fontId="14" fillId="4" borderId="0" xfId="5" applyNumberFormat="1" applyFont="1" applyFill="1" applyBorder="1" applyAlignment="1" applyProtection="1">
      <alignment horizontal="center" vertical="center"/>
    </xf>
    <xf numFmtId="206" fontId="14" fillId="4" borderId="5" xfId="5" applyNumberFormat="1" applyFont="1" applyFill="1" applyBorder="1" applyAlignment="1" applyProtection="1">
      <alignment horizontal="center" vertical="center"/>
    </xf>
    <xf numFmtId="165" fontId="14" fillId="3" borderId="21" xfId="5" applyNumberFormat="1" applyFont="1" applyFill="1" applyBorder="1" applyAlignment="1" applyProtection="1">
      <alignment horizontal="center" vertical="center"/>
    </xf>
    <xf numFmtId="205" fontId="14" fillId="5" borderId="21" xfId="5" applyNumberFormat="1" applyFont="1" applyFill="1" applyBorder="1" applyAlignment="1" applyProtection="1">
      <alignment horizontal="center" vertical="center"/>
      <protection locked="0"/>
    </xf>
    <xf numFmtId="0" fontId="11" fillId="4" borderId="22" xfId="0" applyFont="1" applyFill="1" applyBorder="1" applyAlignment="1" applyProtection="1">
      <alignment horizontal="right"/>
    </xf>
    <xf numFmtId="0" fontId="14" fillId="0" borderId="1" xfId="0" applyFont="1" applyBorder="1" applyAlignment="1" applyProtection="1">
      <alignment horizontal="center" vertical="center"/>
      <protection locked="0"/>
    </xf>
    <xf numFmtId="14" fontId="14" fillId="3" borderId="0" xfId="5" applyNumberFormat="1" applyFont="1" applyFill="1" applyBorder="1" applyAlignment="1" applyProtection="1">
      <alignment horizontal="left" vertical="center"/>
    </xf>
    <xf numFmtId="0" fontId="11" fillId="3" borderId="39" xfId="0" applyFont="1" applyFill="1" applyBorder="1" applyAlignment="1" applyProtection="1">
      <alignment horizontal="center" vertical="center"/>
    </xf>
    <xf numFmtId="0" fontId="11" fillId="3" borderId="38" xfId="0" applyFont="1" applyFill="1" applyBorder="1" applyAlignment="1" applyProtection="1">
      <alignment horizontal="center" vertical="center"/>
    </xf>
    <xf numFmtId="207" fontId="11" fillId="3" borderId="38" xfId="0" applyNumberFormat="1" applyFont="1" applyFill="1" applyBorder="1" applyAlignment="1" applyProtection="1">
      <alignment horizontal="center" vertical="center"/>
    </xf>
    <xf numFmtId="0" fontId="11" fillId="3" borderId="77" xfId="0" applyFont="1" applyFill="1" applyBorder="1" applyAlignment="1" applyProtection="1">
      <alignment horizontal="center" vertical="center"/>
    </xf>
    <xf numFmtId="1" fontId="11" fillId="3" borderId="38" xfId="0" applyNumberFormat="1" applyFont="1" applyFill="1" applyBorder="1" applyAlignment="1" applyProtection="1">
      <alignment horizontal="center" vertical="center"/>
    </xf>
    <xf numFmtId="0" fontId="11" fillId="3" borderId="38" xfId="0" applyNumberFormat="1" applyFont="1" applyFill="1" applyBorder="1" applyAlignment="1" applyProtection="1">
      <alignment horizontal="center" vertical="center"/>
    </xf>
    <xf numFmtId="0" fontId="11" fillId="3" borderId="39" xfId="0" applyFont="1" applyFill="1" applyBorder="1" applyAlignment="1" applyProtection="1">
      <alignment vertical="center"/>
    </xf>
    <xf numFmtId="0" fontId="11" fillId="3" borderId="38" xfId="0" applyFont="1" applyFill="1" applyBorder="1" applyAlignment="1" applyProtection="1">
      <alignment vertical="center"/>
    </xf>
    <xf numFmtId="11" fontId="11" fillId="3" borderId="38" xfId="0" applyNumberFormat="1" applyFont="1" applyFill="1" applyBorder="1" applyAlignment="1" applyProtection="1">
      <alignment horizontal="center" vertical="center"/>
    </xf>
    <xf numFmtId="0" fontId="14" fillId="3" borderId="71" xfId="0" applyFont="1" applyFill="1" applyBorder="1" applyAlignment="1" applyProtection="1">
      <alignment horizontal="center" vertical="center"/>
    </xf>
    <xf numFmtId="0" fontId="14" fillId="3" borderId="69" xfId="0" applyFont="1" applyFill="1" applyBorder="1" applyAlignment="1" applyProtection="1">
      <alignment horizontal="center" vertical="center"/>
    </xf>
    <xf numFmtId="0" fontId="8" fillId="3" borderId="78" xfId="0" applyFont="1" applyFill="1" applyBorder="1" applyProtection="1"/>
    <xf numFmtId="0" fontId="12" fillId="3" borderId="1" xfId="4" applyFont="1" applyFill="1" applyBorder="1" applyAlignment="1" applyProtection="1">
      <alignment horizontal="center"/>
    </xf>
    <xf numFmtId="0" fontId="12" fillId="3" borderId="38" xfId="4" applyFont="1" applyFill="1" applyBorder="1" applyAlignment="1" applyProtection="1">
      <alignment horizontal="center"/>
    </xf>
    <xf numFmtId="0" fontId="12" fillId="3" borderId="39" xfId="4" applyFont="1" applyFill="1" applyBorder="1" applyAlignment="1" applyProtection="1">
      <alignment horizontal="center"/>
    </xf>
    <xf numFmtId="172" fontId="12" fillId="3" borderId="21" xfId="0" applyNumberFormat="1" applyFont="1" applyFill="1" applyBorder="1" applyAlignment="1" applyProtection="1">
      <alignment horizontal="center"/>
    </xf>
    <xf numFmtId="172" fontId="12" fillId="3" borderId="38" xfId="0" applyNumberFormat="1" applyFont="1" applyFill="1" applyBorder="1" applyAlignment="1" applyProtection="1">
      <alignment horizontal="center"/>
    </xf>
    <xf numFmtId="0" fontId="14" fillId="2" borderId="71" xfId="0" applyFont="1" applyFill="1" applyBorder="1" applyAlignment="1" applyProtection="1">
      <alignment horizontal="center" vertical="center"/>
    </xf>
    <xf numFmtId="0" fontId="11" fillId="0" borderId="0" xfId="0" applyFont="1" applyAlignment="1" applyProtection="1">
      <alignment horizontal="left"/>
    </xf>
    <xf numFmtId="0" fontId="8" fillId="3" borderId="17" xfId="0" applyFont="1" applyFill="1" applyBorder="1" applyProtection="1"/>
    <xf numFmtId="0" fontId="8" fillId="3" borderId="9" xfId="0" applyFont="1" applyFill="1" applyBorder="1" applyProtection="1"/>
    <xf numFmtId="0" fontId="8" fillId="3" borderId="10" xfId="0" applyFont="1" applyFill="1" applyBorder="1" applyProtection="1"/>
    <xf numFmtId="0" fontId="11" fillId="3" borderId="55" xfId="0" applyFont="1" applyFill="1" applyBorder="1" applyAlignment="1" applyProtection="1"/>
    <xf numFmtId="0" fontId="11" fillId="0" borderId="1" xfId="0" applyFont="1" applyBorder="1" applyAlignment="1" applyProtection="1">
      <alignment horizontal="center"/>
    </xf>
    <xf numFmtId="0" fontId="14" fillId="0" borderId="1" xfId="0" applyFont="1" applyBorder="1" applyAlignment="1" applyProtection="1">
      <alignment horizontal="center"/>
    </xf>
    <xf numFmtId="0" fontId="11" fillId="3" borderId="6" xfId="0" applyFont="1" applyFill="1" applyBorder="1" applyAlignment="1" applyProtection="1">
      <alignment horizontal="center" vertical="center"/>
      <protection locked="0"/>
    </xf>
    <xf numFmtId="2" fontId="14" fillId="3" borderId="4" xfId="3" applyNumberFormat="1" applyFont="1" applyFill="1" applyBorder="1" applyAlignment="1" applyProtection="1">
      <alignment horizontal="center" vertical="center"/>
    </xf>
    <xf numFmtId="2" fontId="11" fillId="3" borderId="4" xfId="3" applyNumberFormat="1" applyFont="1" applyFill="1" applyBorder="1" applyAlignment="1" applyProtection="1">
      <alignment horizontal="left" vertical="center"/>
    </xf>
    <xf numFmtId="0" fontId="11" fillId="3" borderId="4" xfId="0" applyFont="1" applyFill="1" applyBorder="1" applyAlignment="1" applyProtection="1">
      <alignment horizontal="left" vertical="center"/>
    </xf>
    <xf numFmtId="0" fontId="14" fillId="3" borderId="4" xfId="0" applyNumberFormat="1" applyFont="1" applyFill="1" applyBorder="1" applyAlignment="1" applyProtection="1">
      <alignment vertical="center"/>
    </xf>
    <xf numFmtId="0" fontId="14" fillId="3" borderId="6" xfId="0" applyNumberFormat="1" applyFont="1" applyFill="1" applyBorder="1" applyAlignment="1" applyProtection="1">
      <alignment vertical="center"/>
    </xf>
    <xf numFmtId="0" fontId="0" fillId="0" borderId="0" xfId="0" applyAlignment="1">
      <alignment vertical="center"/>
    </xf>
    <xf numFmtId="14" fontId="11" fillId="3" borderId="2" xfId="0" applyNumberFormat="1" applyFont="1" applyFill="1" applyBorder="1" applyAlignment="1" applyProtection="1">
      <alignment horizontal="right" vertical="center"/>
      <protection locked="0"/>
    </xf>
    <xf numFmtId="14" fontId="11" fillId="3" borderId="0" xfId="0" applyNumberFormat="1" applyFont="1" applyFill="1" applyBorder="1" applyAlignment="1" applyProtection="1">
      <alignment horizontal="left" vertical="center"/>
    </xf>
    <xf numFmtId="0" fontId="18" fillId="3" borderId="0" xfId="0" applyNumberFormat="1" applyFont="1" applyFill="1" applyBorder="1" applyAlignment="1" applyProtection="1">
      <alignment vertical="center"/>
    </xf>
    <xf numFmtId="0" fontId="18" fillId="3" borderId="5" xfId="0" applyNumberFormat="1" applyFont="1" applyFill="1" applyBorder="1" applyAlignment="1" applyProtection="1">
      <alignment vertical="center"/>
    </xf>
    <xf numFmtId="180" fontId="14" fillId="3" borderId="0" xfId="0" applyNumberFormat="1" applyFont="1" applyFill="1" applyBorder="1" applyAlignment="1" applyProtection="1">
      <alignment vertical="center"/>
    </xf>
    <xf numFmtId="180" fontId="14" fillId="3" borderId="0" xfId="0" applyNumberFormat="1" applyFont="1" applyFill="1" applyBorder="1" applyAlignment="1" applyProtection="1">
      <alignment horizontal="left" vertical="center"/>
    </xf>
    <xf numFmtId="180" fontId="14" fillId="3" borderId="5" xfId="0" applyNumberFormat="1" applyFont="1" applyFill="1" applyBorder="1" applyAlignment="1" applyProtection="1">
      <alignment vertical="center"/>
    </xf>
    <xf numFmtId="1" fontId="11" fillId="3" borderId="11" xfId="0" applyNumberFormat="1" applyFont="1" applyFill="1" applyBorder="1" applyAlignment="1" applyProtection="1">
      <alignment horizontal="right" vertical="center"/>
      <protection locked="0"/>
    </xf>
    <xf numFmtId="2" fontId="14" fillId="3" borderId="22" xfId="3" applyNumberFormat="1" applyFont="1" applyFill="1" applyBorder="1" applyAlignment="1" applyProtection="1">
      <alignment horizontal="center" vertical="center"/>
    </xf>
    <xf numFmtId="2" fontId="11" fillId="3" borderId="22" xfId="3" applyNumberFormat="1" applyFont="1" applyFill="1" applyBorder="1" applyAlignment="1" applyProtection="1">
      <alignment horizontal="left" vertical="center"/>
    </xf>
    <xf numFmtId="2" fontId="11" fillId="3" borderId="23" xfId="3" applyNumberFormat="1" applyFont="1" applyFill="1" applyBorder="1" applyAlignment="1" applyProtection="1">
      <alignment horizontal="left" vertical="center"/>
    </xf>
    <xf numFmtId="0" fontId="13" fillId="3" borderId="8" xfId="0" applyFont="1" applyFill="1" applyBorder="1" applyAlignment="1" applyProtection="1">
      <alignment vertical="center"/>
    </xf>
    <xf numFmtId="0" fontId="19" fillId="4" borderId="4" xfId="0" applyFont="1" applyFill="1" applyBorder="1" applyAlignment="1" applyProtection="1">
      <alignment horizontal="right" vertical="center"/>
    </xf>
    <xf numFmtId="0" fontId="12" fillId="4" borderId="4" xfId="2" applyFont="1" applyFill="1" applyBorder="1" applyAlignment="1" applyProtection="1">
      <alignment horizontal="center" vertical="center"/>
    </xf>
    <xf numFmtId="0" fontId="12" fillId="4" borderId="54" xfId="2" applyFont="1" applyFill="1" applyBorder="1" applyAlignment="1" applyProtection="1">
      <alignment horizontal="center" vertical="center"/>
    </xf>
    <xf numFmtId="0" fontId="12" fillId="4" borderId="6" xfId="2" applyFont="1" applyFill="1" applyBorder="1" applyAlignment="1" applyProtection="1">
      <alignment horizontal="center" vertical="center"/>
    </xf>
    <xf numFmtId="14" fontId="11" fillId="3" borderId="2" xfId="0" applyNumberFormat="1" applyFont="1" applyFill="1" applyBorder="1" applyAlignment="1" applyProtection="1">
      <alignment horizontal="left" vertical="center"/>
    </xf>
    <xf numFmtId="0" fontId="12" fillId="4" borderId="0" xfId="0" applyFont="1" applyFill="1" applyBorder="1" applyAlignment="1" applyProtection="1">
      <alignment horizontal="left" vertical="center"/>
    </xf>
    <xf numFmtId="0" fontId="12" fillId="4" borderId="0" xfId="0" applyFont="1" applyFill="1" applyBorder="1" applyAlignment="1" applyProtection="1">
      <alignment horizontal="right" vertical="center"/>
    </xf>
    <xf numFmtId="49" fontId="14" fillId="5" borderId="1" xfId="0" applyNumberFormat="1" applyFont="1" applyFill="1" applyBorder="1" applyAlignment="1" applyProtection="1">
      <alignment horizontal="center" vertical="center"/>
      <protection locked="0"/>
    </xf>
    <xf numFmtId="0" fontId="8" fillId="4" borderId="0" xfId="0" applyFont="1" applyFill="1" applyBorder="1" applyAlignment="1" applyProtection="1">
      <alignment vertical="center"/>
    </xf>
    <xf numFmtId="0" fontId="12" fillId="4" borderId="0" xfId="2" applyFont="1" applyFill="1" applyBorder="1" applyAlignment="1" applyProtection="1">
      <alignment horizontal="right" vertical="center"/>
    </xf>
    <xf numFmtId="2" fontId="14" fillId="5" borderId="79" xfId="0" applyNumberFormat="1" applyFont="1" applyFill="1" applyBorder="1" applyAlignment="1" applyProtection="1">
      <alignment horizontal="center" vertical="center"/>
      <protection locked="0"/>
    </xf>
    <xf numFmtId="2" fontId="14" fillId="3" borderId="33" xfId="0" applyNumberFormat="1" applyFont="1" applyFill="1" applyBorder="1" applyAlignment="1" applyProtection="1">
      <alignment horizontal="center" vertical="center"/>
    </xf>
    <xf numFmtId="0" fontId="14" fillId="3" borderId="34" xfId="0" applyNumberFormat="1" applyFont="1" applyFill="1" applyBorder="1" applyAlignment="1" applyProtection="1">
      <alignment horizontal="center" vertical="center"/>
    </xf>
    <xf numFmtId="0" fontId="11" fillId="4" borderId="0" xfId="0" applyFont="1" applyFill="1" applyBorder="1" applyAlignment="1" applyProtection="1">
      <alignment horizontal="right" vertical="center"/>
      <protection locked="0"/>
    </xf>
    <xf numFmtId="172" fontId="12" fillId="4" borderId="0" xfId="0" applyNumberFormat="1" applyFont="1" applyFill="1" applyBorder="1" applyAlignment="1" applyProtection="1">
      <alignment horizontal="left" vertical="center"/>
    </xf>
    <xf numFmtId="172" fontId="12" fillId="4" borderId="0" xfId="0" applyNumberFormat="1" applyFont="1" applyFill="1" applyBorder="1" applyAlignment="1" applyProtection="1">
      <alignment horizontal="right" vertical="center"/>
    </xf>
    <xf numFmtId="0" fontId="11" fillId="4" borderId="80" xfId="0" applyFont="1" applyFill="1" applyBorder="1" applyAlignment="1" applyProtection="1">
      <alignment horizontal="center" vertical="center"/>
    </xf>
    <xf numFmtId="2" fontId="11" fillId="4" borderId="9" xfId="0" applyNumberFormat="1" applyFont="1" applyFill="1" applyBorder="1" applyAlignment="1" applyProtection="1">
      <alignment horizontal="center" vertical="center"/>
    </xf>
    <xf numFmtId="166" fontId="7" fillId="4" borderId="0" xfId="0" applyNumberFormat="1" applyFont="1" applyFill="1" applyBorder="1" applyAlignment="1" applyProtection="1">
      <alignment horizontal="center" vertical="center"/>
    </xf>
    <xf numFmtId="0" fontId="11" fillId="4" borderId="81" xfId="0" applyFont="1" applyFill="1" applyBorder="1" applyAlignment="1" applyProtection="1">
      <alignment horizontal="center" vertical="center"/>
    </xf>
    <xf numFmtId="2" fontId="11" fillId="4" borderId="0" xfId="0" applyNumberFormat="1" applyFont="1" applyFill="1" applyBorder="1" applyAlignment="1" applyProtection="1">
      <alignment horizontal="center" vertical="center"/>
    </xf>
    <xf numFmtId="172" fontId="12" fillId="4" borderId="0" xfId="2" applyNumberFormat="1" applyFont="1" applyFill="1" applyBorder="1" applyAlignment="1" applyProtection="1">
      <alignment horizontal="right" vertical="center"/>
    </xf>
    <xf numFmtId="0" fontId="8" fillId="3" borderId="17" xfId="0" applyFont="1" applyFill="1" applyBorder="1" applyAlignment="1" applyProtection="1">
      <alignment horizontal="left" vertical="center"/>
    </xf>
    <xf numFmtId="172" fontId="11" fillId="3" borderId="9" xfId="0" applyNumberFormat="1" applyFont="1" applyFill="1" applyBorder="1" applyAlignment="1" applyProtection="1">
      <alignment horizontal="center" vertical="center"/>
    </xf>
    <xf numFmtId="172" fontId="11" fillId="3" borderId="10" xfId="0" applyNumberFormat="1" applyFont="1" applyFill="1" applyBorder="1" applyAlignment="1" applyProtection="1">
      <alignment horizontal="center" vertical="center"/>
    </xf>
    <xf numFmtId="172" fontId="11" fillId="3" borderId="7" xfId="0" applyNumberFormat="1" applyFont="1" applyFill="1" applyBorder="1" applyAlignment="1" applyProtection="1">
      <alignment horizontal="center" vertical="center"/>
    </xf>
    <xf numFmtId="172" fontId="8" fillId="3" borderId="17" xfId="0" applyNumberFormat="1" applyFont="1" applyFill="1" applyBorder="1" applyAlignment="1" applyProtection="1">
      <alignment horizontal="center" vertical="center"/>
    </xf>
    <xf numFmtId="0" fontId="12" fillId="3" borderId="2" xfId="0" applyFont="1" applyFill="1" applyBorder="1" applyAlignment="1" applyProtection="1">
      <alignment horizontal="center" vertical="center"/>
    </xf>
    <xf numFmtId="0" fontId="12" fillId="3" borderId="39" xfId="4" applyFont="1" applyFill="1" applyBorder="1" applyAlignment="1" applyProtection="1">
      <alignment horizontal="center" vertical="center"/>
    </xf>
    <xf numFmtId="0" fontId="12" fillId="3" borderId="46" xfId="4" applyFont="1" applyFill="1" applyBorder="1" applyAlignment="1" applyProtection="1">
      <alignment horizontal="center" vertical="center"/>
    </xf>
    <xf numFmtId="0" fontId="12" fillId="3" borderId="38" xfId="4" applyFont="1" applyFill="1" applyBorder="1" applyAlignment="1" applyProtection="1">
      <alignment horizontal="center" vertical="center"/>
    </xf>
    <xf numFmtId="0" fontId="12" fillId="3" borderId="1" xfId="4" applyFont="1" applyFill="1" applyBorder="1" applyAlignment="1" applyProtection="1">
      <alignment horizontal="center" vertical="center"/>
    </xf>
    <xf numFmtId="172" fontId="12" fillId="3" borderId="38" xfId="0" applyNumberFormat="1" applyFont="1" applyFill="1" applyBorder="1" applyAlignment="1" applyProtection="1">
      <alignment horizontal="center" vertical="center"/>
    </xf>
    <xf numFmtId="172" fontId="12" fillId="3" borderId="21" xfId="0" applyNumberFormat="1" applyFont="1" applyFill="1" applyBorder="1" applyAlignment="1" applyProtection="1">
      <alignment horizontal="center" vertical="center"/>
    </xf>
    <xf numFmtId="0" fontId="12" fillId="3" borderId="2" xfId="4" applyFont="1" applyFill="1" applyBorder="1" applyAlignment="1" applyProtection="1">
      <alignment horizontal="center" vertical="center"/>
    </xf>
    <xf numFmtId="0" fontId="12" fillId="3" borderId="0" xfId="4" applyFont="1" applyFill="1" applyBorder="1" applyAlignment="1" applyProtection="1">
      <alignment horizontal="center" vertical="center"/>
    </xf>
    <xf numFmtId="172" fontId="12" fillId="3" borderId="5" xfId="0" applyNumberFormat="1" applyFont="1" applyFill="1" applyBorder="1" applyAlignment="1" applyProtection="1">
      <alignment horizontal="center" vertical="center"/>
    </xf>
    <xf numFmtId="0" fontId="14" fillId="11" borderId="39" xfId="0" applyNumberFormat="1" applyFont="1" applyFill="1" applyBorder="1" applyAlignment="1" applyProtection="1">
      <alignment horizontal="center" vertical="center"/>
      <protection locked="0"/>
    </xf>
    <xf numFmtId="0" fontId="14" fillId="4" borderId="43" xfId="0" applyNumberFormat="1" applyFont="1" applyFill="1" applyBorder="1" applyAlignment="1" applyProtection="1">
      <alignment horizontal="center" vertical="center"/>
    </xf>
    <xf numFmtId="0" fontId="14" fillId="4" borderId="40" xfId="0" applyNumberFormat="1" applyFont="1" applyFill="1" applyBorder="1" applyAlignment="1" applyProtection="1">
      <alignment horizontal="center" vertical="center"/>
    </xf>
    <xf numFmtId="0" fontId="14" fillId="4" borderId="38" xfId="0" applyNumberFormat="1" applyFont="1" applyFill="1" applyBorder="1" applyAlignment="1" applyProtection="1">
      <alignment horizontal="center" vertical="center"/>
    </xf>
    <xf numFmtId="0" fontId="14" fillId="4" borderId="21" xfId="0" applyNumberFormat="1" applyFont="1" applyFill="1" applyBorder="1" applyAlignment="1" applyProtection="1">
      <alignment horizontal="center" vertical="center"/>
    </xf>
    <xf numFmtId="0" fontId="14" fillId="11" borderId="26" xfId="0" applyNumberFormat="1" applyFont="1" applyFill="1" applyBorder="1" applyAlignment="1" applyProtection="1">
      <alignment horizontal="center" vertical="center"/>
      <protection locked="0"/>
    </xf>
    <xf numFmtId="0" fontId="14" fillId="4" borderId="39" xfId="0" applyNumberFormat="1" applyFont="1" applyFill="1" applyBorder="1" applyAlignment="1" applyProtection="1">
      <alignment horizontal="center" vertical="center"/>
    </xf>
    <xf numFmtId="0" fontId="14" fillId="11" borderId="27" xfId="0" applyNumberFormat="1" applyFont="1" applyFill="1" applyBorder="1" applyAlignment="1" applyProtection="1">
      <alignment horizontal="center" vertical="center"/>
      <protection locked="0"/>
    </xf>
    <xf numFmtId="0" fontId="14" fillId="4" borderId="62" xfId="0" applyNumberFormat="1" applyFont="1" applyFill="1" applyBorder="1" applyAlignment="1" applyProtection="1">
      <alignment horizontal="center" vertical="center"/>
    </xf>
    <xf numFmtId="0" fontId="14" fillId="4" borderId="82" xfId="0" applyNumberFormat="1" applyFont="1" applyFill="1" applyBorder="1" applyAlignment="1" applyProtection="1">
      <alignment horizontal="center" vertical="center"/>
    </xf>
    <xf numFmtId="0" fontId="14" fillId="4" borderId="28" xfId="0" applyNumberFormat="1" applyFont="1" applyFill="1" applyBorder="1" applyAlignment="1" applyProtection="1">
      <alignment horizontal="center" vertical="center"/>
    </xf>
    <xf numFmtId="0" fontId="33" fillId="4" borderId="83" xfId="0" applyFont="1" applyFill="1" applyBorder="1" applyAlignment="1" applyProtection="1">
      <alignment horizontal="center" vertical="center"/>
    </xf>
    <xf numFmtId="0" fontId="11" fillId="4" borderId="22" xfId="0" applyFont="1" applyFill="1" applyBorder="1" applyAlignment="1" applyProtection="1">
      <alignment horizontal="center" vertical="center"/>
    </xf>
    <xf numFmtId="166" fontId="14" fillId="4" borderId="1" xfId="2" applyNumberFormat="1" applyFont="1" applyFill="1" applyBorder="1" applyAlignment="1" applyProtection="1">
      <alignment horizontal="center" vertical="center"/>
    </xf>
    <xf numFmtId="0" fontId="11" fillId="0" borderId="1" xfId="0" applyFont="1" applyBorder="1" applyAlignment="1" applyProtection="1">
      <alignment horizontal="center" vertical="center"/>
    </xf>
    <xf numFmtId="0" fontId="14" fillId="0" borderId="61" xfId="0" applyFont="1" applyBorder="1" applyAlignment="1" applyProtection="1">
      <alignment horizontal="left" vertical="center"/>
      <protection locked="0"/>
    </xf>
    <xf numFmtId="0" fontId="0" fillId="0" borderId="4" xfId="0" applyBorder="1" applyAlignment="1">
      <alignment vertical="center"/>
    </xf>
    <xf numFmtId="0" fontId="14" fillId="4" borderId="42" xfId="0" applyNumberFormat="1" applyFont="1" applyFill="1" applyBorder="1" applyAlignment="1" applyProtection="1">
      <alignment horizontal="center" vertical="center"/>
    </xf>
    <xf numFmtId="0" fontId="14" fillId="4" borderId="41" xfId="0" applyNumberFormat="1" applyFont="1" applyFill="1" applyBorder="1" applyAlignment="1" applyProtection="1">
      <alignment horizontal="center" vertical="center"/>
    </xf>
    <xf numFmtId="0" fontId="2" fillId="0" borderId="0" xfId="0" applyFont="1" applyAlignment="1">
      <alignment vertical="center"/>
    </xf>
    <xf numFmtId="0" fontId="14" fillId="4" borderId="25" xfId="0" applyNumberFormat="1" applyFont="1" applyFill="1" applyBorder="1" applyAlignment="1" applyProtection="1">
      <alignment horizontal="center" vertical="center"/>
    </xf>
    <xf numFmtId="0" fontId="11" fillId="8" borderId="38" xfId="4" applyFont="1" applyFill="1" applyBorder="1" applyAlignment="1" applyProtection="1">
      <alignment horizontal="center"/>
      <protection locked="0"/>
    </xf>
    <xf numFmtId="0" fontId="12" fillId="3" borderId="38" xfId="4" applyFont="1" applyFill="1" applyBorder="1" applyAlignment="1" applyProtection="1">
      <alignment horizontal="center"/>
      <protection locked="0"/>
    </xf>
    <xf numFmtId="1" fontId="14" fillId="11" borderId="39" xfId="0" applyNumberFormat="1" applyFont="1" applyFill="1" applyBorder="1" applyAlignment="1" applyProtection="1">
      <alignment horizontal="center"/>
      <protection locked="0"/>
    </xf>
    <xf numFmtId="1" fontId="14" fillId="11" borderId="42" xfId="0" applyNumberFormat="1" applyFont="1" applyFill="1" applyBorder="1" applyAlignment="1" applyProtection="1">
      <alignment horizontal="center"/>
      <protection locked="0"/>
    </xf>
    <xf numFmtId="0" fontId="14" fillId="11" borderId="25" xfId="0" applyNumberFormat="1" applyFont="1" applyFill="1" applyBorder="1" applyAlignment="1" applyProtection="1">
      <alignment horizontal="center"/>
      <protection locked="0"/>
    </xf>
    <xf numFmtId="0" fontId="11" fillId="7" borderId="10" xfId="0" applyFont="1" applyFill="1" applyBorder="1" applyAlignment="1" applyProtection="1">
      <alignment vertical="center"/>
    </xf>
    <xf numFmtId="0" fontId="11" fillId="0" borderId="0" xfId="0" applyFont="1" applyAlignment="1" applyProtection="1">
      <alignment horizontal="center" vertical="center"/>
      <protection locked="0"/>
    </xf>
    <xf numFmtId="0" fontId="8" fillId="0" borderId="0" xfId="0" applyFont="1" applyAlignment="1" applyProtection="1">
      <alignment horizontal="center" vertical="center"/>
    </xf>
    <xf numFmtId="0" fontId="14" fillId="16" borderId="39" xfId="0" applyNumberFormat="1" applyFont="1" applyFill="1" applyBorder="1" applyAlignment="1" applyProtection="1">
      <alignment horizontal="center"/>
      <protection locked="0"/>
    </xf>
    <xf numFmtId="0" fontId="15" fillId="12" borderId="46" xfId="4" applyNumberFormat="1" applyFont="1" applyFill="1" applyBorder="1" applyAlignment="1" applyProtection="1">
      <alignment horizontal="center" vertical="center"/>
      <protection locked="0"/>
    </xf>
    <xf numFmtId="0" fontId="0" fillId="0" borderId="0" xfId="0" applyAlignment="1">
      <alignment horizontal="center"/>
    </xf>
    <xf numFmtId="49" fontId="14" fillId="5" borderId="51" xfId="0" applyNumberFormat="1" applyFont="1" applyFill="1" applyBorder="1" applyAlignment="1" applyProtection="1">
      <alignment horizontal="center" vertical="center"/>
      <protection locked="0"/>
    </xf>
    <xf numFmtId="49" fontId="14" fillId="5" borderId="33" xfId="0" applyNumberFormat="1" applyFont="1" applyFill="1" applyBorder="1" applyAlignment="1" applyProtection="1">
      <alignment horizontal="center" vertical="center"/>
      <protection locked="0"/>
    </xf>
    <xf numFmtId="0" fontId="14" fillId="2" borderId="71" xfId="0" applyFont="1" applyFill="1" applyBorder="1" applyAlignment="1" applyProtection="1">
      <alignment horizontal="center" vertical="center"/>
      <protection locked="0"/>
    </xf>
    <xf numFmtId="0" fontId="14" fillId="2" borderId="43" xfId="0" applyFont="1" applyFill="1" applyBorder="1" applyAlignment="1" applyProtection="1">
      <alignment horizontal="left"/>
      <protection locked="0"/>
    </xf>
    <xf numFmtId="0" fontId="14" fillId="2" borderId="60" xfId="0" applyFont="1" applyFill="1" applyBorder="1" applyAlignment="1" applyProtection="1">
      <protection locked="0"/>
    </xf>
    <xf numFmtId="0" fontId="14" fillId="2" borderId="43" xfId="0" applyFont="1" applyFill="1" applyBorder="1" applyAlignment="1" applyProtection="1">
      <protection locked="0"/>
    </xf>
    <xf numFmtId="0" fontId="14" fillId="2" borderId="61" xfId="0" applyFont="1" applyFill="1" applyBorder="1" applyAlignment="1" applyProtection="1">
      <protection locked="0"/>
    </xf>
    <xf numFmtId="0" fontId="14" fillId="2" borderId="62" xfId="0" applyFont="1" applyFill="1" applyBorder="1" applyAlignment="1" applyProtection="1">
      <protection locked="0"/>
    </xf>
    <xf numFmtId="0" fontId="11" fillId="0" borderId="0" xfId="0" applyFont="1" applyAlignment="1" applyProtection="1">
      <alignment horizontal="right" vertical="center"/>
    </xf>
    <xf numFmtId="1" fontId="14" fillId="8" borderId="25" xfId="0" applyNumberFormat="1" applyFont="1" applyFill="1" applyBorder="1" applyAlignment="1" applyProtection="1">
      <alignment horizontal="center" vertical="center"/>
      <protection locked="0"/>
    </xf>
    <xf numFmtId="0" fontId="14" fillId="4" borderId="1" xfId="0" applyFont="1" applyFill="1" applyBorder="1" applyAlignment="1" applyProtection="1">
      <alignment horizontal="center" vertical="center"/>
    </xf>
    <xf numFmtId="0" fontId="10" fillId="2" borderId="9" xfId="0" applyFont="1" applyFill="1" applyBorder="1" applyAlignment="1" applyProtection="1">
      <alignment horizontal="left"/>
      <protection locked="0"/>
    </xf>
    <xf numFmtId="209" fontId="14" fillId="17" borderId="51" xfId="0" applyNumberFormat="1" applyFont="1" applyFill="1" applyBorder="1" applyAlignment="1" applyProtection="1">
      <alignment horizontal="center" vertical="center"/>
      <protection locked="0"/>
    </xf>
    <xf numFmtId="210" fontId="14" fillId="17" borderId="51" xfId="0" applyNumberFormat="1" applyFont="1" applyFill="1" applyBorder="1" applyAlignment="1" applyProtection="1">
      <alignment horizontal="center" vertical="center"/>
      <protection locked="0"/>
    </xf>
    <xf numFmtId="49" fontId="14" fillId="0" borderId="1" xfId="5" applyNumberFormat="1" applyFont="1" applyBorder="1" applyAlignment="1" applyProtection="1">
      <alignment horizontal="center" vertical="center"/>
      <protection locked="0"/>
    </xf>
    <xf numFmtId="0" fontId="25" fillId="0" borderId="15" xfId="0" applyFont="1" applyBorder="1" applyProtection="1"/>
    <xf numFmtId="0" fontId="25" fillId="0" borderId="66" xfId="0" applyFont="1" applyBorder="1" applyAlignment="1" applyProtection="1">
      <alignment horizontal="center"/>
    </xf>
    <xf numFmtId="182" fontId="22" fillId="0" borderId="1" xfId="0" applyNumberFormat="1" applyFont="1" applyBorder="1" applyAlignment="1" applyProtection="1">
      <alignment horizontal="center"/>
    </xf>
    <xf numFmtId="0" fontId="22" fillId="0" borderId="1" xfId="0" applyNumberFormat="1" applyFont="1" applyBorder="1" applyAlignment="1" applyProtection="1">
      <alignment horizontal="center"/>
    </xf>
    <xf numFmtId="1" fontId="11" fillId="0" borderId="1" xfId="0" applyNumberFormat="1" applyFont="1" applyBorder="1" applyAlignment="1" applyProtection="1">
      <alignment horizontal="center"/>
    </xf>
    <xf numFmtId="1" fontId="11" fillId="0" borderId="25" xfId="0" applyNumberFormat="1" applyFont="1" applyBorder="1" applyAlignment="1" applyProtection="1">
      <alignment horizontal="center"/>
    </xf>
    <xf numFmtId="182" fontId="12" fillId="0" borderId="65" xfId="0" applyNumberFormat="1" applyFont="1" applyBorder="1" applyAlignment="1" applyProtection="1">
      <alignment horizontal="center"/>
    </xf>
    <xf numFmtId="0" fontId="12" fillId="0" borderId="65" xfId="0" applyNumberFormat="1" applyFont="1" applyBorder="1" applyAlignment="1" applyProtection="1">
      <alignment horizontal="center"/>
    </xf>
    <xf numFmtId="1" fontId="8" fillId="0" borderId="65" xfId="0" applyNumberFormat="1" applyFont="1" applyBorder="1" applyAlignment="1" applyProtection="1">
      <alignment horizontal="center"/>
    </xf>
    <xf numFmtId="1" fontId="8" fillId="0" borderId="84" xfId="0" applyNumberFormat="1" applyFont="1" applyBorder="1" applyAlignment="1" applyProtection="1">
      <alignment horizontal="center"/>
    </xf>
    <xf numFmtId="0" fontId="25" fillId="0" borderId="85" xfId="0" applyFont="1" applyBorder="1" applyProtection="1"/>
    <xf numFmtId="182" fontId="22" fillId="0" borderId="38" xfId="0" applyNumberFormat="1" applyFont="1" applyBorder="1" applyAlignment="1" applyProtection="1">
      <alignment horizontal="center"/>
    </xf>
    <xf numFmtId="0" fontId="22" fillId="0" borderId="38" xfId="0" applyNumberFormat="1" applyFont="1" applyBorder="1" applyAlignment="1" applyProtection="1">
      <alignment horizontal="center"/>
    </xf>
    <xf numFmtId="1" fontId="11" fillId="0" borderId="38" xfId="0" applyNumberFormat="1" applyFont="1" applyBorder="1" applyAlignment="1" applyProtection="1">
      <alignment horizontal="center"/>
    </xf>
    <xf numFmtId="1" fontId="11" fillId="0" borderId="41" xfId="0" applyNumberFormat="1" applyFont="1" applyBorder="1" applyAlignment="1" applyProtection="1">
      <alignment horizontal="center"/>
    </xf>
    <xf numFmtId="0" fontId="25" fillId="0" borderId="86" xfId="0" applyFont="1" applyBorder="1" applyAlignment="1" applyProtection="1">
      <alignment horizontal="center"/>
    </xf>
    <xf numFmtId="0" fontId="0" fillId="0" borderId="65" xfId="0" applyBorder="1" applyAlignment="1">
      <alignment horizontal="center"/>
    </xf>
    <xf numFmtId="0" fontId="2" fillId="0" borderId="32" xfId="0" applyFont="1" applyBorder="1" applyProtection="1"/>
    <xf numFmtId="0" fontId="2" fillId="0" borderId="1" xfId="0" applyFont="1" applyBorder="1" applyProtection="1"/>
    <xf numFmtId="0" fontId="2" fillId="0" borderId="33" xfId="0" applyFont="1" applyBorder="1" applyProtection="1"/>
    <xf numFmtId="166" fontId="14" fillId="4" borderId="24" xfId="5" applyNumberFormat="1" applyFont="1" applyFill="1" applyBorder="1" applyAlignment="1" applyProtection="1">
      <alignment horizontal="center" vertical="center"/>
    </xf>
    <xf numFmtId="166" fontId="14" fillId="4" borderId="0" xfId="5" applyNumberFormat="1" applyFont="1" applyFill="1" applyBorder="1" applyAlignment="1" applyProtection="1">
      <alignment horizontal="center" vertical="center"/>
    </xf>
    <xf numFmtId="2" fontId="11" fillId="3" borderId="24" xfId="5" applyNumberFormat="1" applyFont="1" applyFill="1" applyBorder="1" applyAlignment="1" applyProtection="1">
      <alignment horizontal="center" vertical="center"/>
    </xf>
    <xf numFmtId="166" fontId="11" fillId="3" borderId="0" xfId="5" applyNumberFormat="1" applyFont="1" applyFill="1" applyBorder="1" applyAlignment="1" applyProtection="1">
      <alignment horizontal="center" vertical="center"/>
    </xf>
    <xf numFmtId="166" fontId="11" fillId="4" borderId="5" xfId="5" applyNumberFormat="1" applyFont="1" applyFill="1" applyBorder="1" applyAlignment="1" applyProtection="1">
      <alignment horizontal="center" vertical="center"/>
    </xf>
    <xf numFmtId="166" fontId="18" fillId="4" borderId="24" xfId="5" applyNumberFormat="1" applyFont="1" applyFill="1" applyBorder="1" applyAlignment="1" applyProtection="1">
      <alignment horizontal="center" vertical="center"/>
    </xf>
    <xf numFmtId="166" fontId="18" fillId="4" borderId="0" xfId="5" applyNumberFormat="1" applyFont="1" applyFill="1" applyBorder="1" applyAlignment="1" applyProtection="1">
      <alignment horizontal="center" vertical="center"/>
    </xf>
    <xf numFmtId="166" fontId="18" fillId="4" borderId="5" xfId="5" applyNumberFormat="1" applyFont="1" applyFill="1" applyBorder="1" applyAlignment="1" applyProtection="1">
      <alignment horizontal="center" vertical="center"/>
    </xf>
    <xf numFmtId="0" fontId="8" fillId="0" borderId="70" xfId="0" applyFont="1" applyBorder="1" applyAlignment="1" applyProtection="1">
      <alignment horizontal="center"/>
    </xf>
    <xf numFmtId="0" fontId="8" fillId="0" borderId="87" xfId="0" applyFont="1" applyBorder="1" applyAlignment="1" applyProtection="1">
      <alignment horizontal="center"/>
    </xf>
    <xf numFmtId="0" fontId="8" fillId="0" borderId="39" xfId="0" applyFont="1" applyBorder="1" applyAlignment="1" applyProtection="1">
      <alignment horizontal="center"/>
    </xf>
    <xf numFmtId="0" fontId="8" fillId="0" borderId="43" xfId="0" applyFont="1" applyBorder="1" applyAlignment="1" applyProtection="1">
      <alignment horizontal="center"/>
    </xf>
    <xf numFmtId="0" fontId="8" fillId="0" borderId="71" xfId="0" applyFont="1" applyBorder="1" applyAlignment="1" applyProtection="1">
      <alignment horizontal="center"/>
    </xf>
    <xf numFmtId="0" fontId="8" fillId="0" borderId="88" xfId="0" applyFont="1" applyBorder="1" applyAlignment="1" applyProtection="1">
      <alignment horizontal="center"/>
    </xf>
    <xf numFmtId="0" fontId="11" fillId="7" borderId="9" xfId="5" applyFont="1" applyFill="1" applyBorder="1" applyAlignment="1" applyProtection="1">
      <alignment horizontal="center" vertical="center"/>
    </xf>
    <xf numFmtId="0" fontId="11" fillId="0" borderId="2" xfId="0" applyFont="1" applyBorder="1" applyAlignment="1" applyProtection="1">
      <alignment vertical="center"/>
      <protection locked="0"/>
    </xf>
    <xf numFmtId="0" fontId="17" fillId="0" borderId="0" xfId="0" applyFont="1" applyAlignment="1" applyProtection="1">
      <alignment horizontal="center" vertical="center"/>
      <protection locked="0"/>
    </xf>
    <xf numFmtId="0" fontId="11" fillId="8" borderId="39" xfId="4" applyFont="1" applyFill="1" applyBorder="1" applyAlignment="1" applyProtection="1">
      <alignment horizontal="center"/>
      <protection locked="0"/>
    </xf>
    <xf numFmtId="0" fontId="12" fillId="3" borderId="39" xfId="4" applyFont="1" applyFill="1" applyBorder="1" applyAlignment="1" applyProtection="1">
      <alignment horizontal="center"/>
      <protection locked="0"/>
    </xf>
    <xf numFmtId="0" fontId="8" fillId="4" borderId="2" xfId="0" applyFont="1" applyFill="1" applyBorder="1" applyProtection="1"/>
    <xf numFmtId="0" fontId="8" fillId="4" borderId="12" xfId="0" applyFont="1" applyFill="1" applyBorder="1" applyProtection="1"/>
    <xf numFmtId="0" fontId="12" fillId="3" borderId="55" xfId="0" applyFont="1" applyFill="1" applyBorder="1" applyAlignment="1" applyProtection="1">
      <alignment horizontal="center"/>
    </xf>
    <xf numFmtId="0" fontId="8" fillId="3" borderId="89" xfId="0" applyFont="1" applyFill="1" applyBorder="1" applyAlignment="1" applyProtection="1">
      <alignment horizontal="center"/>
    </xf>
    <xf numFmtId="0" fontId="14" fillId="0" borderId="13" xfId="0" applyFont="1" applyBorder="1" applyAlignment="1" applyProtection="1">
      <alignment horizontal="center" vertical="center"/>
    </xf>
    <xf numFmtId="0" fontId="14" fillId="0" borderId="0" xfId="0" applyFont="1" applyBorder="1" applyAlignment="1" applyProtection="1">
      <alignment horizontal="center" vertical="center"/>
    </xf>
    <xf numFmtId="0" fontId="14" fillId="0" borderId="12" xfId="0" applyFont="1" applyBorder="1" applyAlignment="1" applyProtection="1">
      <alignment horizontal="center" vertical="center"/>
    </xf>
    <xf numFmtId="0" fontId="17" fillId="3" borderId="2" xfId="5" applyFont="1" applyFill="1" applyBorder="1" applyAlignment="1" applyProtection="1">
      <alignment horizontal="left" vertical="center"/>
    </xf>
    <xf numFmtId="0" fontId="25" fillId="0" borderId="49" xfId="0" applyFont="1" applyBorder="1" applyAlignment="1" applyProtection="1">
      <alignment horizontal="center"/>
    </xf>
    <xf numFmtId="0" fontId="25" fillId="0" borderId="90" xfId="0" applyFont="1" applyBorder="1" applyProtection="1"/>
    <xf numFmtId="0" fontId="25" fillId="0" borderId="91" xfId="0" applyFont="1" applyBorder="1" applyAlignment="1" applyProtection="1">
      <alignment horizontal="center"/>
    </xf>
    <xf numFmtId="0" fontId="25" fillId="0" borderId="0" xfId="0" applyFont="1" applyBorder="1" applyProtection="1"/>
    <xf numFmtId="0" fontId="19" fillId="4" borderId="4" xfId="5" applyFont="1" applyFill="1" applyBorder="1" applyAlignment="1" applyProtection="1">
      <alignment vertical="center"/>
    </xf>
    <xf numFmtId="0" fontId="19" fillId="4" borderId="0" xfId="5" applyFont="1" applyFill="1" applyBorder="1" applyAlignment="1" applyProtection="1">
      <alignment vertical="center"/>
    </xf>
    <xf numFmtId="0" fontId="14" fillId="0" borderId="1" xfId="0" applyNumberFormat="1" applyFont="1" applyFill="1" applyBorder="1" applyAlignment="1" applyProtection="1">
      <alignment horizontal="center" vertical="center"/>
      <protection locked="0"/>
    </xf>
    <xf numFmtId="0" fontId="14" fillId="22" borderId="1" xfId="0" applyNumberFormat="1" applyFont="1" applyFill="1" applyBorder="1" applyAlignment="1" applyProtection="1">
      <alignment horizontal="center" vertical="center"/>
      <protection locked="0"/>
    </xf>
    <xf numFmtId="0" fontId="14" fillId="23" borderId="1" xfId="0" applyNumberFormat="1" applyFont="1" applyFill="1" applyBorder="1" applyAlignment="1" applyProtection="1">
      <alignment horizontal="center" vertical="center"/>
      <protection locked="0"/>
    </xf>
    <xf numFmtId="0" fontId="14" fillId="5" borderId="1" xfId="0" applyFont="1" applyFill="1" applyBorder="1" applyAlignment="1" applyProtection="1">
      <alignment horizontal="center" vertical="center"/>
      <protection locked="0"/>
    </xf>
    <xf numFmtId="174" fontId="9" fillId="9" borderId="1" xfId="0" applyNumberFormat="1" applyFont="1" applyFill="1" applyBorder="1" applyAlignment="1" applyProtection="1">
      <alignment horizontal="center" vertical="center"/>
      <protection locked="0"/>
    </xf>
    <xf numFmtId="210" fontId="9" fillId="24" borderId="1" xfId="0" applyNumberFormat="1" applyFont="1" applyFill="1" applyBorder="1" applyAlignment="1" applyProtection="1">
      <alignment horizontal="center" vertical="center"/>
      <protection locked="0"/>
    </xf>
    <xf numFmtId="183" fontId="9" fillId="8" borderId="1" xfId="0" applyNumberFormat="1" applyFont="1" applyFill="1" applyBorder="1" applyAlignment="1" applyProtection="1">
      <alignment horizontal="center" vertical="center"/>
      <protection locked="0"/>
    </xf>
    <xf numFmtId="211" fontId="9" fillId="13" borderId="1" xfId="0" applyNumberFormat="1" applyFont="1" applyFill="1" applyBorder="1" applyAlignment="1" applyProtection="1">
      <alignment horizontal="center" vertical="center"/>
      <protection locked="0"/>
    </xf>
    <xf numFmtId="0" fontId="14" fillId="3" borderId="33" xfId="0" applyNumberFormat="1" applyFont="1" applyFill="1" applyBorder="1" applyAlignment="1" applyProtection="1">
      <alignment horizontal="center" vertical="center"/>
    </xf>
    <xf numFmtId="0" fontId="28" fillId="0" borderId="0" xfId="0" applyFont="1" applyAlignment="1" applyProtection="1">
      <alignment horizontal="center" vertical="center"/>
      <protection locked="0"/>
    </xf>
    <xf numFmtId="0" fontId="8" fillId="0" borderId="2" xfId="0" applyFont="1" applyBorder="1" applyAlignment="1" applyProtection="1">
      <alignment vertical="center"/>
      <protection locked="0"/>
    </xf>
    <xf numFmtId="0" fontId="8" fillId="0" borderId="0" xfId="0" applyFont="1" applyAlignment="1" applyProtection="1">
      <alignment horizontal="center" vertical="center"/>
      <protection locked="0"/>
    </xf>
    <xf numFmtId="0" fontId="25" fillId="0" borderId="92" xfId="0" applyFont="1" applyBorder="1" applyAlignment="1" applyProtection="1">
      <alignment horizontal="center"/>
    </xf>
    <xf numFmtId="0" fontId="25" fillId="0" borderId="48" xfId="0" applyFont="1" applyBorder="1" applyAlignment="1" applyProtection="1">
      <alignment horizontal="center"/>
    </xf>
    <xf numFmtId="182" fontId="22" fillId="0" borderId="43" xfId="0" applyNumberFormat="1" applyFont="1" applyBorder="1" applyAlignment="1" applyProtection="1">
      <alignment horizontal="center"/>
    </xf>
    <xf numFmtId="0" fontId="22" fillId="0" borderId="43" xfId="0" applyNumberFormat="1" applyFont="1" applyBorder="1" applyAlignment="1" applyProtection="1">
      <alignment horizontal="center"/>
    </xf>
    <xf numFmtId="1" fontId="11" fillId="0" borderId="43" xfId="0" applyNumberFormat="1" applyFont="1" applyBorder="1" applyAlignment="1" applyProtection="1">
      <alignment horizontal="center"/>
    </xf>
    <xf numFmtId="1" fontId="11" fillId="0" borderId="62" xfId="0" applyNumberFormat="1" applyFont="1" applyBorder="1" applyAlignment="1" applyProtection="1">
      <alignment horizontal="center"/>
    </xf>
    <xf numFmtId="0" fontId="25" fillId="0" borderId="93" xfId="0" applyFont="1" applyBorder="1" applyAlignment="1" applyProtection="1">
      <alignment horizontal="center"/>
    </xf>
    <xf numFmtId="0" fontId="25" fillId="0" borderId="94" xfId="0" applyFont="1" applyBorder="1" applyAlignment="1" applyProtection="1">
      <alignment horizontal="center"/>
    </xf>
    <xf numFmtId="0" fontId="12" fillId="0" borderId="95" xfId="0" applyFont="1" applyBorder="1" applyAlignment="1" applyProtection="1">
      <alignment horizontal="center"/>
    </xf>
    <xf numFmtId="0" fontId="0" fillId="0" borderId="95" xfId="0" applyBorder="1" applyAlignment="1" applyProtection="1">
      <alignment horizontal="center"/>
    </xf>
    <xf numFmtId="0" fontId="0" fillId="0" borderId="96" xfId="0" applyBorder="1" applyAlignment="1" applyProtection="1">
      <alignment horizontal="center"/>
    </xf>
    <xf numFmtId="0" fontId="0" fillId="0" borderId="94" xfId="0" applyBorder="1" applyAlignment="1" applyProtection="1">
      <alignment horizontal="center"/>
    </xf>
    <xf numFmtId="1" fontId="11" fillId="0" borderId="48" xfId="0" applyNumberFormat="1" applyFont="1" applyBorder="1" applyAlignment="1" applyProtection="1">
      <alignment horizontal="center"/>
    </xf>
    <xf numFmtId="1" fontId="11" fillId="0" borderId="49" xfId="0" applyNumberFormat="1" applyFont="1" applyBorder="1" applyAlignment="1" applyProtection="1">
      <alignment horizontal="center"/>
    </xf>
    <xf numFmtId="1" fontId="11" fillId="0" borderId="90" xfId="0" applyNumberFormat="1" applyFont="1" applyBorder="1" applyAlignment="1" applyProtection="1">
      <alignment horizontal="center"/>
    </xf>
    <xf numFmtId="1" fontId="8" fillId="0" borderId="91" xfId="0" applyNumberFormat="1" applyFont="1" applyBorder="1" applyAlignment="1" applyProtection="1">
      <alignment horizontal="center"/>
    </xf>
    <xf numFmtId="0" fontId="19" fillId="0" borderId="97" xfId="0" applyFont="1" applyBorder="1" applyAlignment="1" applyProtection="1">
      <alignment horizontal="center"/>
    </xf>
    <xf numFmtId="0" fontId="13" fillId="0" borderId="88" xfId="0" applyNumberFormat="1" applyFont="1" applyBorder="1" applyAlignment="1" applyProtection="1">
      <alignment horizontal="center"/>
    </xf>
    <xf numFmtId="0" fontId="13" fillId="0" borderId="33" xfId="0" applyNumberFormat="1" applyFont="1" applyBorder="1" applyAlignment="1" applyProtection="1">
      <alignment horizontal="center"/>
    </xf>
    <xf numFmtId="0" fontId="13" fillId="0" borderId="69" xfId="0" applyNumberFormat="1" applyFont="1" applyBorder="1" applyAlignment="1" applyProtection="1">
      <alignment horizontal="center"/>
    </xf>
    <xf numFmtId="0" fontId="13" fillId="0" borderId="67" xfId="0" applyNumberFormat="1" applyFont="1" applyBorder="1" applyAlignment="1" applyProtection="1">
      <alignment horizontal="center"/>
    </xf>
    <xf numFmtId="0" fontId="2" fillId="0" borderId="70" xfId="0" applyFont="1" applyBorder="1" applyAlignment="1">
      <alignment horizontal="center" vertical="center"/>
    </xf>
    <xf numFmtId="0" fontId="2" fillId="0" borderId="68" xfId="0" applyFont="1" applyBorder="1" applyAlignment="1">
      <alignment horizontal="center" vertical="center"/>
    </xf>
    <xf numFmtId="0" fontId="2" fillId="0" borderId="39" xfId="0" applyFont="1" applyBorder="1" applyAlignment="1">
      <alignment horizontal="center" vertical="center"/>
    </xf>
    <xf numFmtId="2" fontId="2" fillId="0" borderId="38" xfId="0" applyNumberFormat="1" applyFont="1" applyBorder="1" applyAlignment="1">
      <alignment horizontal="center" vertical="center"/>
    </xf>
    <xf numFmtId="0" fontId="10" fillId="0" borderId="39" xfId="0" applyFont="1" applyBorder="1" applyAlignment="1" applyProtection="1">
      <alignment horizontal="center" vertical="center"/>
    </xf>
    <xf numFmtId="2" fontId="2" fillId="0" borderId="69" xfId="0" applyNumberFormat="1" applyFont="1" applyBorder="1" applyAlignment="1">
      <alignment horizontal="center" vertical="center"/>
    </xf>
    <xf numFmtId="0" fontId="14" fillId="0" borderId="0" xfId="0" applyNumberFormat="1" applyFont="1" applyFill="1" applyBorder="1" applyAlignment="1">
      <alignment horizontal="center"/>
    </xf>
    <xf numFmtId="0" fontId="9" fillId="8" borderId="1" xfId="0" applyFont="1" applyFill="1" applyBorder="1" applyAlignment="1" applyProtection="1">
      <alignment horizontal="center" vertical="center"/>
      <protection locked="0"/>
    </xf>
    <xf numFmtId="182" fontId="0" fillId="0" borderId="0" xfId="0" applyNumberFormat="1" applyAlignment="1">
      <alignment horizontal="center"/>
    </xf>
    <xf numFmtId="182" fontId="0" fillId="0" borderId="0" xfId="0" applyNumberFormat="1" applyAlignment="1">
      <alignment horizontal="right"/>
    </xf>
    <xf numFmtId="0" fontId="11" fillId="0" borderId="9" xfId="0" applyNumberFormat="1" applyFont="1" applyBorder="1" applyAlignment="1"/>
    <xf numFmtId="0" fontId="11" fillId="0" borderId="0" xfId="0" applyNumberFormat="1" applyFont="1" applyBorder="1" applyAlignment="1"/>
    <xf numFmtId="0" fontId="11" fillId="0" borderId="3" xfId="0" applyNumberFormat="1" applyFont="1" applyBorder="1" applyAlignment="1"/>
    <xf numFmtId="0" fontId="11" fillId="0" borderId="0" xfId="0" applyFont="1" applyAlignment="1" applyProtection="1">
      <alignment horizontal="left" vertical="center"/>
    </xf>
    <xf numFmtId="166" fontId="14" fillId="16" borderId="1" xfId="5" applyNumberFormat="1" applyFont="1" applyFill="1" applyBorder="1" applyAlignment="1" applyProtection="1">
      <alignment horizontal="center" vertical="center"/>
      <protection locked="0"/>
    </xf>
    <xf numFmtId="0" fontId="11" fillId="4" borderId="2" xfId="0" applyFont="1" applyFill="1" applyBorder="1" applyAlignment="1" applyProtection="1">
      <alignment horizontal="center" vertical="center"/>
      <protection locked="0"/>
    </xf>
    <xf numFmtId="0" fontId="11" fillId="4" borderId="0" xfId="0" applyFont="1" applyFill="1" applyBorder="1" applyAlignment="1" applyProtection="1">
      <alignment horizontal="center" vertical="center"/>
      <protection locked="0"/>
    </xf>
    <xf numFmtId="0" fontId="11" fillId="3" borderId="99" xfId="0" applyFont="1" applyFill="1" applyBorder="1" applyAlignment="1" applyProtection="1">
      <alignment horizontal="center" vertical="center"/>
    </xf>
    <xf numFmtId="0" fontId="10" fillId="0" borderId="70" xfId="0" applyFont="1" applyBorder="1" applyAlignment="1" applyProtection="1">
      <alignment horizontal="center" vertical="center"/>
    </xf>
    <xf numFmtId="0" fontId="10" fillId="0" borderId="68" xfId="0" applyFont="1" applyBorder="1" applyAlignment="1" applyProtection="1">
      <alignment horizontal="center" vertical="center"/>
    </xf>
    <xf numFmtId="0" fontId="11" fillId="0" borderId="38" xfId="0" applyFont="1" applyBorder="1" applyAlignment="1" applyProtection="1">
      <alignment horizontal="center" vertical="center"/>
    </xf>
    <xf numFmtId="0" fontId="11" fillId="0" borderId="69" xfId="0" applyFont="1" applyBorder="1" applyAlignment="1" applyProtection="1">
      <alignment horizontal="center" vertical="center"/>
    </xf>
    <xf numFmtId="0" fontId="10" fillId="0" borderId="32" xfId="0" applyFont="1" applyBorder="1" applyAlignment="1" applyProtection="1">
      <alignment horizontal="center" vertical="center"/>
    </xf>
    <xf numFmtId="0" fontId="10" fillId="0" borderId="38" xfId="0" applyFont="1" applyBorder="1" applyAlignment="1" applyProtection="1">
      <alignment horizontal="center" vertical="center"/>
    </xf>
    <xf numFmtId="0" fontId="11" fillId="0" borderId="33" xfId="0" applyFont="1" applyBorder="1" applyAlignment="1" applyProtection="1">
      <alignment horizontal="center" vertical="center"/>
    </xf>
    <xf numFmtId="0" fontId="8" fillId="0" borderId="0" xfId="0" applyNumberFormat="1" applyFont="1" applyBorder="1" applyAlignment="1">
      <alignment horizontal="right"/>
    </xf>
    <xf numFmtId="0" fontId="7" fillId="0" borderId="13" xfId="0" applyNumberFormat="1" applyFont="1" applyBorder="1" applyAlignment="1">
      <alignment horizontal="center"/>
    </xf>
    <xf numFmtId="196" fontId="7" fillId="0" borderId="0" xfId="0" applyNumberFormat="1" applyFont="1" applyBorder="1" applyAlignment="1">
      <alignment horizontal="right"/>
    </xf>
    <xf numFmtId="0" fontId="7" fillId="0" borderId="58" xfId="0" applyNumberFormat="1" applyFont="1" applyBorder="1" applyAlignment="1">
      <alignment horizontal="center"/>
    </xf>
    <xf numFmtId="0" fontId="7" fillId="0" borderId="13" xfId="0" applyNumberFormat="1" applyFont="1" applyBorder="1" applyAlignment="1">
      <alignment horizontal="right"/>
    </xf>
    <xf numFmtId="0" fontId="7" fillId="0" borderId="12" xfId="0" applyNumberFormat="1" applyFont="1" applyBorder="1" applyAlignment="1">
      <alignment horizontal="center"/>
    </xf>
    <xf numFmtId="1" fontId="7" fillId="0" borderId="13" xfId="0" applyNumberFormat="1" applyFont="1" applyBorder="1" applyAlignment="1">
      <alignment horizontal="center"/>
    </xf>
    <xf numFmtId="1" fontId="7" fillId="0" borderId="0" xfId="0" applyNumberFormat="1" applyFont="1" applyBorder="1" applyAlignment="1">
      <alignment horizontal="center"/>
    </xf>
    <xf numFmtId="0" fontId="47" fillId="0" borderId="0" xfId="0" applyNumberFormat="1" applyFont="1" applyFill="1" applyAlignment="1">
      <alignment horizontal="left"/>
    </xf>
    <xf numFmtId="0" fontId="48" fillId="0" borderId="0" xfId="0" applyNumberFormat="1" applyFont="1" applyFill="1"/>
    <xf numFmtId="0" fontId="17" fillId="9" borderId="58" xfId="0" applyNumberFormat="1" applyFont="1" applyFill="1" applyBorder="1" applyAlignment="1">
      <alignment horizontal="left"/>
    </xf>
    <xf numFmtId="0" fontId="11" fillId="9" borderId="3" xfId="0" applyNumberFormat="1" applyFont="1" applyFill="1" applyBorder="1"/>
    <xf numFmtId="0" fontId="14" fillId="9" borderId="3" xfId="0" applyNumberFormat="1" applyFont="1" applyFill="1" applyBorder="1" applyAlignment="1"/>
    <xf numFmtId="0" fontId="14" fillId="9" borderId="3" xfId="0" applyNumberFormat="1" applyFont="1" applyFill="1" applyBorder="1" applyAlignment="1">
      <alignment horizontal="left"/>
    </xf>
    <xf numFmtId="0" fontId="11" fillId="0" borderId="3" xfId="0" applyNumberFormat="1" applyFont="1" applyBorder="1" applyAlignment="1">
      <alignment horizontal="center"/>
    </xf>
    <xf numFmtId="1" fontId="7" fillId="0" borderId="58" xfId="0" applyNumberFormat="1" applyFont="1" applyBorder="1" applyAlignment="1">
      <alignment horizontal="center"/>
    </xf>
    <xf numFmtId="0" fontId="7" fillId="0" borderId="3" xfId="0" applyNumberFormat="1" applyFont="1" applyBorder="1" applyAlignment="1">
      <alignment horizontal="center"/>
    </xf>
    <xf numFmtId="0" fontId="7" fillId="0" borderId="53" xfId="0" applyNumberFormat="1" applyFont="1" applyBorder="1" applyAlignment="1">
      <alignment horizontal="center"/>
    </xf>
    <xf numFmtId="1" fontId="7" fillId="0" borderId="3" xfId="0" applyNumberFormat="1" applyFont="1" applyBorder="1" applyAlignment="1">
      <alignment horizontal="center"/>
    </xf>
    <xf numFmtId="0" fontId="12" fillId="0" borderId="13" xfId="0" applyNumberFormat="1" applyFont="1" applyBorder="1" applyAlignment="1">
      <alignment horizontal="center"/>
    </xf>
    <xf numFmtId="0" fontId="12" fillId="0" borderId="0" xfId="0" applyNumberFormat="1" applyFont="1" applyBorder="1" applyAlignment="1">
      <alignment horizontal="center"/>
    </xf>
    <xf numFmtId="0" fontId="12" fillId="0" borderId="12" xfId="0" applyNumberFormat="1" applyFont="1" applyBorder="1" applyAlignment="1">
      <alignment horizontal="center"/>
    </xf>
    <xf numFmtId="0" fontId="11" fillId="0" borderId="39" xfId="0" applyFont="1" applyBorder="1" applyAlignment="1" applyProtection="1">
      <alignment horizontal="center" vertical="center"/>
    </xf>
    <xf numFmtId="0" fontId="11" fillId="0" borderId="71" xfId="0" applyFont="1" applyBorder="1" applyAlignment="1" applyProtection="1">
      <alignment horizontal="center" vertical="center"/>
    </xf>
    <xf numFmtId="0" fontId="50" fillId="0" borderId="3" xfId="0" applyNumberFormat="1" applyFont="1" applyFill="1" applyBorder="1" applyAlignment="1">
      <alignment horizontal="right"/>
    </xf>
    <xf numFmtId="0" fontId="2" fillId="4" borderId="5" xfId="0" applyFont="1" applyFill="1" applyBorder="1" applyProtection="1">
      <protection locked="0"/>
    </xf>
    <xf numFmtId="0" fontId="39" fillId="6" borderId="21" xfId="0" applyNumberFormat="1" applyFont="1" applyFill="1" applyBorder="1" applyAlignment="1" applyProtection="1">
      <alignment horizontal="center"/>
      <protection locked="0"/>
    </xf>
    <xf numFmtId="203" fontId="39" fillId="4" borderId="21" xfId="0" applyNumberFormat="1" applyFont="1" applyFill="1" applyBorder="1" applyAlignment="1" applyProtection="1">
      <alignment horizontal="center"/>
    </xf>
    <xf numFmtId="165" fontId="39" fillId="8" borderId="21" xfId="0" applyNumberFormat="1" applyFont="1" applyFill="1" applyBorder="1" applyAlignment="1" applyProtection="1">
      <alignment horizontal="center"/>
      <protection locked="0"/>
    </xf>
    <xf numFmtId="165" fontId="39" fillId="4" borderId="25" xfId="0" applyNumberFormat="1" applyFont="1" applyFill="1" applyBorder="1" applyAlignment="1" applyProtection="1">
      <alignment horizontal="center"/>
    </xf>
    <xf numFmtId="165" fontId="39" fillId="3" borderId="1" xfId="0" applyNumberFormat="1" applyFont="1" applyFill="1" applyBorder="1" applyAlignment="1" applyProtection="1">
      <alignment horizontal="center"/>
      <protection locked="0"/>
    </xf>
    <xf numFmtId="165" fontId="39" fillId="4" borderId="21" xfId="0" applyNumberFormat="1" applyFont="1" applyFill="1" applyBorder="1" applyAlignment="1" applyProtection="1">
      <alignment horizontal="center"/>
      <protection locked="0"/>
    </xf>
    <xf numFmtId="0" fontId="39" fillId="16" borderId="21" xfId="0" applyNumberFormat="1" applyFont="1" applyFill="1" applyBorder="1" applyAlignment="1" applyProtection="1">
      <alignment horizontal="center"/>
      <protection locked="0"/>
    </xf>
    <xf numFmtId="0" fontId="8" fillId="0" borderId="0" xfId="0" applyFont="1" applyAlignment="1" applyProtection="1">
      <alignment horizontal="right"/>
    </xf>
    <xf numFmtId="0" fontId="11" fillId="0" borderId="9" xfId="0" applyNumberFormat="1" applyFont="1" applyBorder="1" applyAlignment="1">
      <alignment horizontal="right"/>
    </xf>
    <xf numFmtId="0" fontId="12" fillId="4" borderId="1" xfId="0" applyNumberFormat="1" applyFont="1" applyFill="1" applyBorder="1" applyAlignment="1" applyProtection="1">
      <alignment horizontal="center" vertical="center"/>
    </xf>
    <xf numFmtId="0" fontId="14" fillId="4" borderId="1" xfId="0" applyNumberFormat="1" applyFont="1" applyFill="1" applyBorder="1" applyAlignment="1" applyProtection="1">
      <alignment horizontal="center" vertical="center"/>
    </xf>
    <xf numFmtId="0" fontId="8" fillId="0" borderId="77" xfId="0" applyFont="1" applyBorder="1" applyAlignment="1" applyProtection="1">
      <alignment horizontal="center"/>
    </xf>
    <xf numFmtId="0" fontId="8" fillId="0" borderId="45" xfId="0" applyFont="1" applyBorder="1" applyAlignment="1" applyProtection="1">
      <alignment horizontal="center"/>
    </xf>
    <xf numFmtId="0" fontId="2" fillId="0" borderId="51" xfId="0" applyFont="1" applyBorder="1" applyProtection="1"/>
    <xf numFmtId="2" fontId="0" fillId="0" borderId="77" xfId="0" applyNumberFormat="1" applyBorder="1" applyAlignment="1" applyProtection="1">
      <alignment horizontal="right"/>
    </xf>
    <xf numFmtId="2" fontId="0" fillId="0" borderId="51" xfId="0" applyNumberFormat="1" applyBorder="1" applyAlignment="1" applyProtection="1">
      <alignment horizontal="right"/>
    </xf>
    <xf numFmtId="2" fontId="0" fillId="0" borderId="64" xfId="0" applyNumberFormat="1" applyBorder="1" applyAlignment="1" applyProtection="1">
      <alignment horizontal="right"/>
    </xf>
    <xf numFmtId="0" fontId="0" fillId="0" borderId="64" xfId="0" applyBorder="1" applyProtection="1"/>
    <xf numFmtId="0" fontId="14" fillId="4" borderId="26" xfId="0" applyNumberFormat="1" applyFont="1" applyFill="1" applyBorder="1" applyAlignment="1" applyProtection="1">
      <alignment horizontal="center" vertical="center"/>
    </xf>
    <xf numFmtId="0" fontId="14" fillId="4" borderId="27" xfId="0" applyNumberFormat="1" applyFont="1" applyFill="1" applyBorder="1" applyAlignment="1" applyProtection="1">
      <alignment horizontal="center" vertical="center"/>
    </xf>
    <xf numFmtId="0" fontId="14" fillId="4" borderId="51" xfId="0" applyNumberFormat="1" applyFont="1" applyFill="1" applyBorder="1" applyAlignment="1" applyProtection="1">
      <alignment horizontal="center" vertical="center"/>
    </xf>
    <xf numFmtId="0" fontId="14" fillId="4" borderId="1" xfId="0" applyFont="1" applyFill="1" applyBorder="1" applyAlignment="1" applyProtection="1">
      <alignment horizontal="left" vertical="center"/>
    </xf>
    <xf numFmtId="0" fontId="14" fillId="4" borderId="21" xfId="0" applyFont="1" applyFill="1" applyBorder="1" applyAlignment="1" applyProtection="1">
      <alignment horizontal="left" vertical="center"/>
    </xf>
    <xf numFmtId="0" fontId="14" fillId="4" borderId="51" xfId="0" applyFont="1" applyFill="1" applyBorder="1" applyAlignment="1" applyProtection="1">
      <alignment horizontal="center" vertical="center"/>
    </xf>
    <xf numFmtId="0" fontId="14" fillId="4" borderId="25" xfId="0" applyFont="1" applyFill="1" applyBorder="1" applyAlignment="1" applyProtection="1">
      <alignment horizontal="center" vertical="center"/>
    </xf>
    <xf numFmtId="0" fontId="14" fillId="4" borderId="25" xfId="0" applyFont="1" applyFill="1" applyBorder="1" applyAlignment="1" applyProtection="1">
      <alignment horizontal="left" vertical="center"/>
    </xf>
    <xf numFmtId="0" fontId="14" fillId="4" borderId="28" xfId="0" applyFont="1" applyFill="1" applyBorder="1" applyAlignment="1" applyProtection="1">
      <alignment horizontal="left" vertical="center"/>
    </xf>
    <xf numFmtId="0" fontId="14" fillId="3" borderId="46" xfId="0" applyNumberFormat="1" applyFont="1" applyFill="1" applyBorder="1" applyAlignment="1" applyProtection="1">
      <alignment horizontal="left" vertical="center"/>
    </xf>
    <xf numFmtId="0" fontId="14" fillId="3" borderId="100" xfId="0" applyNumberFormat="1" applyFont="1" applyFill="1" applyBorder="1" applyAlignment="1" applyProtection="1">
      <alignment horizontal="left" vertical="center"/>
    </xf>
    <xf numFmtId="0" fontId="11" fillId="4" borderId="8" xfId="0" applyFont="1" applyFill="1" applyBorder="1" applyAlignment="1" applyProtection="1">
      <alignment vertical="center"/>
      <protection locked="0"/>
    </xf>
    <xf numFmtId="0" fontId="11" fillId="4" borderId="4" xfId="0" applyFont="1" applyFill="1" applyBorder="1" applyAlignment="1" applyProtection="1">
      <alignment vertical="center"/>
      <protection locked="0"/>
    </xf>
    <xf numFmtId="0" fontId="11" fillId="3" borderId="4" xfId="0" applyNumberFormat="1" applyFont="1" applyFill="1" applyBorder="1" applyAlignment="1" applyProtection="1">
      <alignment horizontal="right" vertical="center"/>
      <protection locked="0"/>
    </xf>
    <xf numFmtId="0" fontId="18" fillId="3" borderId="4" xfId="0" applyNumberFormat="1" applyFont="1" applyFill="1" applyBorder="1" applyAlignment="1" applyProtection="1">
      <alignment horizontal="left" vertical="center"/>
      <protection locked="0"/>
    </xf>
    <xf numFmtId="0" fontId="11" fillId="4" borderId="0" xfId="0" applyFont="1" applyFill="1" applyBorder="1" applyAlignment="1" applyProtection="1">
      <alignment vertical="center"/>
      <protection locked="0"/>
    </xf>
    <xf numFmtId="0" fontId="18" fillId="3" borderId="6" xfId="0" applyNumberFormat="1" applyFont="1" applyFill="1" applyBorder="1" applyAlignment="1" applyProtection="1">
      <alignment horizontal="left" vertical="center"/>
      <protection locked="0"/>
    </xf>
    <xf numFmtId="0" fontId="11" fillId="4" borderId="2" xfId="0" applyFont="1" applyFill="1" applyBorder="1" applyAlignment="1" applyProtection="1">
      <alignment vertical="center"/>
      <protection locked="0"/>
    </xf>
    <xf numFmtId="182" fontId="11" fillId="3" borderId="0" xfId="0" applyNumberFormat="1" applyFont="1" applyFill="1" applyBorder="1" applyAlignment="1" applyProtection="1">
      <alignment horizontal="center" vertical="center"/>
      <protection locked="0"/>
    </xf>
    <xf numFmtId="0" fontId="11" fillId="4" borderId="5" xfId="0" applyFont="1" applyFill="1" applyBorder="1" applyAlignment="1" applyProtection="1">
      <alignment vertical="center"/>
      <protection locked="0"/>
    </xf>
    <xf numFmtId="0" fontId="11" fillId="4" borderId="2" xfId="0" applyFont="1" applyFill="1" applyBorder="1" applyAlignment="1" applyProtection="1">
      <alignment horizontal="right" vertical="center"/>
      <protection locked="0"/>
    </xf>
    <xf numFmtId="2" fontId="11" fillId="3" borderId="0" xfId="3" applyNumberFormat="1" applyFont="1" applyFill="1" applyBorder="1" applyAlignment="1" applyProtection="1">
      <alignment horizontal="left" vertical="center"/>
      <protection locked="0"/>
    </xf>
    <xf numFmtId="0" fontId="11" fillId="3" borderId="0" xfId="0" applyFont="1" applyFill="1" applyBorder="1" applyAlignment="1" applyProtection="1">
      <alignment horizontal="center" vertical="center"/>
      <protection locked="0"/>
    </xf>
    <xf numFmtId="182" fontId="11" fillId="3" borderId="5" xfId="0" applyNumberFormat="1" applyFont="1" applyFill="1" applyBorder="1" applyAlignment="1" applyProtection="1">
      <alignment horizontal="left" vertical="center"/>
      <protection locked="0"/>
    </xf>
    <xf numFmtId="1" fontId="11" fillId="4" borderId="5" xfId="0" applyNumberFormat="1" applyFont="1" applyFill="1" applyBorder="1" applyAlignment="1" applyProtection="1">
      <alignment horizontal="left" vertical="center"/>
      <protection locked="0"/>
    </xf>
    <xf numFmtId="0" fontId="11" fillId="4" borderId="11" xfId="0" applyFont="1" applyFill="1" applyBorder="1" applyAlignment="1" applyProtection="1">
      <alignment horizontal="right" vertical="center"/>
      <protection locked="0"/>
    </xf>
    <xf numFmtId="0" fontId="11" fillId="4" borderId="22" xfId="0" applyFont="1" applyFill="1" applyBorder="1" applyAlignment="1" applyProtection="1">
      <alignment vertical="center"/>
      <protection locked="0"/>
    </xf>
    <xf numFmtId="0" fontId="11" fillId="4" borderId="22" xfId="0" applyFont="1" applyFill="1" applyBorder="1" applyAlignment="1" applyProtection="1">
      <alignment horizontal="right" vertical="center"/>
      <protection locked="0"/>
    </xf>
    <xf numFmtId="0" fontId="11" fillId="4" borderId="23" xfId="0" applyFont="1" applyFill="1" applyBorder="1" applyAlignment="1" applyProtection="1">
      <alignment horizontal="left" vertical="center"/>
      <protection locked="0"/>
    </xf>
    <xf numFmtId="0" fontId="17" fillId="0" borderId="82" xfId="0" applyFont="1" applyBorder="1" applyAlignment="1" applyProtection="1">
      <alignment vertical="center"/>
      <protection locked="0"/>
    </xf>
    <xf numFmtId="0" fontId="17" fillId="0" borderId="19" xfId="0" applyFont="1" applyBorder="1" applyAlignment="1" applyProtection="1">
      <alignment horizontal="center" vertical="center"/>
      <protection locked="0"/>
    </xf>
    <xf numFmtId="0" fontId="17" fillId="0" borderId="0" xfId="0" applyFont="1" applyBorder="1" applyAlignment="1" applyProtection="1">
      <alignment horizontal="center" vertical="center"/>
      <protection locked="0"/>
    </xf>
    <xf numFmtId="0" fontId="13" fillId="0" borderId="0" xfId="0" applyFont="1" applyProtection="1">
      <protection locked="0"/>
    </xf>
    <xf numFmtId="0" fontId="17" fillId="4" borderId="8" xfId="0" applyFont="1" applyFill="1" applyBorder="1" applyAlignment="1" applyProtection="1">
      <alignment horizontal="left" vertical="center"/>
      <protection locked="0"/>
    </xf>
    <xf numFmtId="0" fontId="14" fillId="4" borderId="66" xfId="0" applyNumberFormat="1" applyFont="1" applyFill="1" applyBorder="1" applyAlignment="1" applyProtection="1">
      <alignment horizontal="left" vertical="center"/>
      <protection locked="0"/>
    </xf>
    <xf numFmtId="0" fontId="11" fillId="4" borderId="66" xfId="0" applyNumberFormat="1" applyFont="1" applyFill="1" applyBorder="1" applyAlignment="1" applyProtection="1">
      <alignment horizontal="center" vertical="center"/>
      <protection locked="0"/>
    </xf>
    <xf numFmtId="0" fontId="10" fillId="3" borderId="4" xfId="0" applyFont="1" applyFill="1" applyBorder="1" applyAlignment="1" applyProtection="1">
      <alignment horizontal="center" vertical="center"/>
      <protection locked="0"/>
    </xf>
    <xf numFmtId="0" fontId="11" fillId="4" borderId="101" xfId="0" applyNumberFormat="1" applyFont="1" applyFill="1" applyBorder="1" applyAlignment="1" applyProtection="1">
      <alignment horizontal="center" vertical="center"/>
      <protection locked="0"/>
    </xf>
    <xf numFmtId="0" fontId="14" fillId="4" borderId="102" xfId="0" applyNumberFormat="1" applyFont="1" applyFill="1" applyBorder="1" applyAlignment="1" applyProtection="1">
      <alignment horizontal="left" vertical="center"/>
      <protection locked="0"/>
    </xf>
    <xf numFmtId="0" fontId="14" fillId="4" borderId="26" xfId="0" applyNumberFormat="1" applyFont="1" applyFill="1" applyBorder="1" applyAlignment="1" applyProtection="1">
      <alignment horizontal="left" vertical="center"/>
      <protection locked="0"/>
    </xf>
    <xf numFmtId="0" fontId="11" fillId="16" borderId="1" xfId="0" applyNumberFormat="1" applyFont="1" applyFill="1" applyBorder="1" applyAlignment="1" applyProtection="1">
      <alignment horizontal="center" vertical="center"/>
      <protection locked="0"/>
    </xf>
    <xf numFmtId="0" fontId="12" fillId="4" borderId="1" xfId="0" applyNumberFormat="1" applyFont="1" applyFill="1" applyBorder="1" applyAlignment="1" applyProtection="1">
      <alignment horizontal="center" vertical="center"/>
      <protection locked="0"/>
    </xf>
    <xf numFmtId="0" fontId="11" fillId="3" borderId="1" xfId="0" applyNumberFormat="1" applyFont="1" applyFill="1" applyBorder="1" applyAlignment="1" applyProtection="1">
      <alignment horizontal="center" vertical="center"/>
      <protection locked="0"/>
    </xf>
    <xf numFmtId="0" fontId="11" fillId="4" borderId="21" xfId="0" applyNumberFormat="1" applyFont="1" applyFill="1" applyBorder="1" applyAlignment="1" applyProtection="1">
      <alignment horizontal="center" vertical="center"/>
      <protection locked="0"/>
    </xf>
    <xf numFmtId="0" fontId="14" fillId="4" borderId="1" xfId="0" applyNumberFormat="1" applyFont="1" applyFill="1" applyBorder="1" applyAlignment="1" applyProtection="1">
      <alignment horizontal="left" vertical="center"/>
      <protection locked="0"/>
    </xf>
    <xf numFmtId="0" fontId="11" fillId="4" borderId="1" xfId="0" applyNumberFormat="1" applyFont="1" applyFill="1" applyBorder="1" applyAlignment="1" applyProtection="1">
      <alignment horizontal="center" vertical="center"/>
      <protection locked="0"/>
    </xf>
    <xf numFmtId="0" fontId="0" fillId="0" borderId="1" xfId="0" applyBorder="1" applyProtection="1">
      <protection locked="0"/>
    </xf>
    <xf numFmtId="0" fontId="2" fillId="0" borderId="1" xfId="0" applyFont="1" applyBorder="1" applyAlignment="1" applyProtection="1">
      <alignment horizontal="center"/>
      <protection locked="0"/>
    </xf>
    <xf numFmtId="0" fontId="22" fillId="0" borderId="26" xfId="1" applyFont="1" applyBorder="1" applyAlignment="1" applyProtection="1">
      <alignment vertical="center"/>
      <protection locked="0"/>
    </xf>
    <xf numFmtId="0" fontId="14" fillId="11" borderId="1" xfId="0" applyFont="1" applyFill="1" applyBorder="1" applyAlignment="1" applyProtection="1">
      <alignment horizontal="center" vertical="center"/>
      <protection locked="0"/>
    </xf>
    <xf numFmtId="0" fontId="52" fillId="0" borderId="1" xfId="0" applyFont="1" applyBorder="1" applyAlignment="1" applyProtection="1">
      <alignment horizontal="left"/>
      <protection locked="0"/>
    </xf>
    <xf numFmtId="0" fontId="39" fillId="0" borderId="1" xfId="0" applyFont="1" applyBorder="1" applyAlignment="1" applyProtection="1">
      <alignment horizontal="center"/>
      <protection locked="0"/>
    </xf>
    <xf numFmtId="0" fontId="22" fillId="4" borderId="26" xfId="0" applyNumberFormat="1" applyFont="1" applyFill="1" applyBorder="1" applyAlignment="1" applyProtection="1">
      <alignment horizontal="left" vertical="center"/>
      <protection locked="0"/>
    </xf>
    <xf numFmtId="0" fontId="22" fillId="4" borderId="44" xfId="0" applyNumberFormat="1" applyFont="1" applyFill="1" applyBorder="1" applyAlignment="1" applyProtection="1">
      <alignment horizontal="left" vertical="center"/>
      <protection locked="0"/>
    </xf>
    <xf numFmtId="0" fontId="22" fillId="4" borderId="61" xfId="0" applyNumberFormat="1" applyFont="1" applyFill="1" applyBorder="1" applyAlignment="1" applyProtection="1">
      <alignment horizontal="left" vertical="center"/>
      <protection locked="0"/>
    </xf>
    <xf numFmtId="0" fontId="11" fillId="4" borderId="46" xfId="0" applyNumberFormat="1" applyFont="1" applyFill="1" applyBorder="1" applyAlignment="1" applyProtection="1">
      <alignment horizontal="center" vertical="center"/>
      <protection locked="0"/>
    </xf>
    <xf numFmtId="0" fontId="53" fillId="0" borderId="1" xfId="0" applyFont="1" applyBorder="1" applyAlignment="1" applyProtection="1">
      <alignment horizontal="left"/>
      <protection locked="0"/>
    </xf>
    <xf numFmtId="0" fontId="14" fillId="10" borderId="26" xfId="0" applyNumberFormat="1" applyFont="1" applyFill="1" applyBorder="1" applyAlignment="1" applyProtection="1">
      <alignment horizontal="center" vertical="center"/>
    </xf>
    <xf numFmtId="0" fontId="11" fillId="4" borderId="26" xfId="0" applyNumberFormat="1" applyFont="1" applyFill="1" applyBorder="1" applyAlignment="1" applyProtection="1">
      <alignment horizontal="left" vertical="center"/>
      <protection locked="0"/>
    </xf>
    <xf numFmtId="0" fontId="2" fillId="0" borderId="1" xfId="0" applyFont="1" applyBorder="1" applyProtection="1">
      <protection locked="0"/>
    </xf>
    <xf numFmtId="0" fontId="36" fillId="0" borderId="0" xfId="0" applyFont="1" applyAlignment="1" applyProtection="1">
      <alignment vertical="center"/>
    </xf>
    <xf numFmtId="0" fontId="14" fillId="16" borderId="1" xfId="0" applyNumberFormat="1" applyFont="1" applyFill="1" applyBorder="1" applyAlignment="1" applyProtection="1">
      <alignment horizontal="center" vertical="center"/>
      <protection locked="0"/>
    </xf>
    <xf numFmtId="0" fontId="17" fillId="3" borderId="4" xfId="5" applyFont="1" applyFill="1" applyBorder="1" applyAlignment="1" applyProtection="1">
      <alignment vertical="center"/>
    </xf>
    <xf numFmtId="0" fontId="17" fillId="3" borderId="0" xfId="5" applyFont="1" applyFill="1" applyBorder="1" applyAlignment="1" applyProtection="1">
      <alignment horizontal="left" vertical="center"/>
    </xf>
    <xf numFmtId="0" fontId="12" fillId="3" borderId="2" xfId="5" applyFont="1" applyFill="1" applyBorder="1" applyAlignment="1" applyProtection="1">
      <alignment horizontal="right" vertical="center"/>
    </xf>
    <xf numFmtId="0" fontId="12" fillId="3" borderId="2" xfId="5" applyFont="1" applyFill="1" applyBorder="1" applyAlignment="1" applyProtection="1">
      <alignment horizontal="center" vertical="center"/>
      <protection locked="0"/>
    </xf>
    <xf numFmtId="2" fontId="11" fillId="3" borderId="0" xfId="5" applyNumberFormat="1" applyFont="1" applyFill="1" applyBorder="1" applyAlignment="1" applyProtection="1">
      <alignment horizontal="center" vertical="center"/>
    </xf>
    <xf numFmtId="0" fontId="11" fillId="4" borderId="5" xfId="5" applyFont="1" applyFill="1" applyBorder="1" applyAlignment="1" applyProtection="1">
      <alignment horizontal="center" vertical="center"/>
    </xf>
    <xf numFmtId="0" fontId="12" fillId="3" borderId="11" xfId="5" applyFont="1" applyFill="1" applyBorder="1" applyAlignment="1" applyProtection="1">
      <alignment horizontal="center" vertical="center"/>
      <protection locked="0"/>
    </xf>
    <xf numFmtId="0" fontId="11" fillId="4" borderId="23" xfId="5" applyFont="1" applyFill="1" applyBorder="1" applyAlignment="1" applyProtection="1">
      <alignment horizontal="center" vertical="center"/>
    </xf>
    <xf numFmtId="0" fontId="12" fillId="3" borderId="44" xfId="5" applyFont="1" applyFill="1" applyBorder="1" applyAlignment="1" applyProtection="1">
      <alignment horizontal="center" vertical="center"/>
      <protection locked="0"/>
    </xf>
    <xf numFmtId="0" fontId="12" fillId="3" borderId="59" xfId="5" applyFont="1" applyFill="1" applyBorder="1" applyAlignment="1" applyProtection="1">
      <alignment horizontal="center" vertical="center"/>
      <protection locked="0"/>
    </xf>
    <xf numFmtId="2" fontId="11" fillId="3" borderId="59" xfId="5" applyNumberFormat="1" applyFont="1" applyFill="1" applyBorder="1" applyAlignment="1" applyProtection="1">
      <alignment horizontal="center" vertical="center"/>
    </xf>
    <xf numFmtId="0" fontId="12" fillId="3" borderId="0" xfId="5" applyFont="1" applyFill="1" applyBorder="1" applyAlignment="1" applyProtection="1">
      <alignment horizontal="center" vertical="center"/>
      <protection locked="0"/>
    </xf>
    <xf numFmtId="2" fontId="14" fillId="3" borderId="0" xfId="5" applyNumberFormat="1" applyFont="1" applyFill="1" applyBorder="1" applyAlignment="1" applyProtection="1">
      <alignment horizontal="center" vertical="center"/>
      <protection locked="0"/>
    </xf>
    <xf numFmtId="2" fontId="14" fillId="3" borderId="5" xfId="5" applyNumberFormat="1" applyFont="1" applyFill="1" applyBorder="1" applyAlignment="1" applyProtection="1">
      <alignment horizontal="center" vertical="center"/>
    </xf>
    <xf numFmtId="0" fontId="12" fillId="3" borderId="22" xfId="5" applyFont="1" applyFill="1" applyBorder="1" applyAlignment="1" applyProtection="1">
      <alignment horizontal="center" vertical="center"/>
      <protection locked="0"/>
    </xf>
    <xf numFmtId="2" fontId="14" fillId="3" borderId="23" xfId="5" applyNumberFormat="1" applyFont="1" applyFill="1" applyBorder="1" applyAlignment="1" applyProtection="1">
      <alignment horizontal="center" vertical="center"/>
    </xf>
    <xf numFmtId="0" fontId="11" fillId="3" borderId="6" xfId="5" applyFont="1" applyFill="1" applyBorder="1" applyAlignment="1" applyProtection="1">
      <alignment vertical="center"/>
    </xf>
    <xf numFmtId="2" fontId="11" fillId="3" borderId="98" xfId="5" applyNumberFormat="1" applyFont="1" applyFill="1" applyBorder="1" applyAlignment="1" applyProtection="1">
      <alignment horizontal="center" vertical="center"/>
    </xf>
    <xf numFmtId="0" fontId="17" fillId="3" borderId="102" xfId="5" applyFont="1" applyFill="1" applyBorder="1" applyAlignment="1" applyProtection="1">
      <alignment horizontal="center" vertical="center"/>
    </xf>
    <xf numFmtId="0" fontId="11" fillId="3" borderId="66" xfId="5" applyFont="1" applyFill="1" applyBorder="1" applyAlignment="1" applyProtection="1">
      <alignment horizontal="center" vertical="center"/>
    </xf>
    <xf numFmtId="0" fontId="17" fillId="3" borderId="66" xfId="5" applyFont="1" applyFill="1" applyBorder="1" applyAlignment="1" applyProtection="1">
      <alignment horizontal="center" vertical="center"/>
    </xf>
    <xf numFmtId="0" fontId="11" fillId="3" borderId="101" xfId="5" applyFont="1" applyFill="1" applyBorder="1" applyAlignment="1" applyProtection="1">
      <alignment horizontal="center" vertical="center"/>
    </xf>
    <xf numFmtId="0" fontId="11" fillId="3" borderId="26" xfId="0" applyFont="1" applyFill="1" applyBorder="1" applyAlignment="1" applyProtection="1">
      <alignment horizontal="center" vertical="center"/>
    </xf>
    <xf numFmtId="0" fontId="11" fillId="3" borderId="1" xfId="5" applyFont="1" applyFill="1" applyBorder="1" applyAlignment="1" applyProtection="1">
      <alignment horizontal="center" vertical="center"/>
    </xf>
    <xf numFmtId="0" fontId="17" fillId="3" borderId="1" xfId="5" applyFont="1" applyFill="1" applyBorder="1" applyAlignment="1" applyProtection="1">
      <alignment horizontal="center" vertical="center"/>
    </xf>
    <xf numFmtId="0" fontId="11" fillId="3" borderId="1" xfId="0" applyFont="1" applyFill="1" applyBorder="1" applyAlignment="1" applyProtection="1">
      <alignment horizontal="center" vertical="center"/>
    </xf>
    <xf numFmtId="0" fontId="11" fillId="4" borderId="1" xfId="5" applyFont="1" applyFill="1" applyBorder="1" applyAlignment="1" applyProtection="1">
      <alignment horizontal="center" vertical="center"/>
    </xf>
    <xf numFmtId="0" fontId="11" fillId="4" borderId="21" xfId="5" applyFont="1" applyFill="1" applyBorder="1" applyAlignment="1" applyProtection="1">
      <alignment horizontal="center" vertical="center"/>
    </xf>
    <xf numFmtId="0" fontId="11" fillId="3" borderId="1" xfId="0" applyFont="1" applyFill="1" applyBorder="1" applyAlignment="1" applyProtection="1">
      <alignment vertical="center"/>
    </xf>
    <xf numFmtId="0" fontId="11" fillId="3" borderId="1" xfId="0" applyFont="1" applyFill="1" applyBorder="1" applyAlignment="1" applyProtection="1">
      <alignment horizontal="right" vertical="center"/>
    </xf>
    <xf numFmtId="0" fontId="17" fillId="3" borderId="1" xfId="0" applyFont="1" applyFill="1" applyBorder="1" applyAlignment="1" applyProtection="1">
      <alignment horizontal="center" vertical="center"/>
    </xf>
    <xf numFmtId="0" fontId="11" fillId="3" borderId="26" xfId="0" applyFont="1" applyFill="1" applyBorder="1" applyAlignment="1" applyProtection="1">
      <alignment vertical="center"/>
    </xf>
    <xf numFmtId="0" fontId="31" fillId="3" borderId="21" xfId="0" applyFont="1" applyFill="1" applyBorder="1" applyAlignment="1" applyProtection="1">
      <alignment horizontal="center" vertical="center"/>
    </xf>
    <xf numFmtId="0" fontId="11" fillId="3" borderId="26" xfId="5" applyFont="1" applyFill="1" applyBorder="1" applyAlignment="1" applyProtection="1">
      <alignment horizontal="center" vertical="center"/>
    </xf>
    <xf numFmtId="166" fontId="11" fillId="3" borderId="1" xfId="0" applyNumberFormat="1" applyFont="1" applyFill="1" applyBorder="1" applyAlignment="1" applyProtection="1">
      <alignment horizontal="center" vertical="center"/>
    </xf>
    <xf numFmtId="0" fontId="11" fillId="3" borderId="1" xfId="0" applyNumberFormat="1" applyFont="1" applyFill="1" applyBorder="1" applyAlignment="1" applyProtection="1">
      <alignment horizontal="center" vertical="center"/>
    </xf>
    <xf numFmtId="0" fontId="11" fillId="3" borderId="21" xfId="0" applyFont="1" applyFill="1" applyBorder="1" applyAlignment="1" applyProtection="1">
      <alignment horizontal="center" vertical="center"/>
    </xf>
    <xf numFmtId="0" fontId="11" fillId="3" borderId="21" xfId="0" applyFont="1" applyFill="1" applyBorder="1" applyAlignment="1" applyProtection="1">
      <alignment vertical="center"/>
    </xf>
    <xf numFmtId="0" fontId="11" fillId="4" borderId="1" xfId="5" applyFont="1" applyFill="1" applyBorder="1" applyAlignment="1" applyProtection="1">
      <alignment horizontal="right" vertical="center"/>
    </xf>
    <xf numFmtId="1" fontId="11" fillId="3" borderId="1" xfId="0" applyNumberFormat="1" applyFont="1" applyFill="1" applyBorder="1" applyAlignment="1" applyProtection="1">
      <alignment horizontal="center" vertical="center"/>
    </xf>
    <xf numFmtId="0" fontId="11" fillId="3" borderId="1" xfId="5" applyFont="1" applyFill="1" applyBorder="1" applyAlignment="1" applyProtection="1">
      <alignment horizontal="right" vertical="center"/>
    </xf>
    <xf numFmtId="0" fontId="11" fillId="3" borderId="21" xfId="5" applyFont="1" applyFill="1" applyBorder="1" applyAlignment="1" applyProtection="1">
      <alignment horizontal="center" vertical="center"/>
    </xf>
    <xf numFmtId="2" fontId="11" fillId="3" borderId="1" xfId="0" applyNumberFormat="1" applyFont="1" applyFill="1" applyBorder="1" applyAlignment="1" applyProtection="1">
      <alignment horizontal="center" vertical="center"/>
    </xf>
    <xf numFmtId="164" fontId="11" fillId="3" borderId="1" xfId="0" applyNumberFormat="1" applyFont="1" applyFill="1" applyBorder="1" applyAlignment="1" applyProtection="1">
      <alignment horizontal="center" vertical="center"/>
    </xf>
    <xf numFmtId="203" fontId="11" fillId="3" borderId="1" xfId="0" applyNumberFormat="1" applyFont="1" applyFill="1" applyBorder="1" applyAlignment="1" applyProtection="1">
      <alignment horizontal="center" vertical="center"/>
    </xf>
    <xf numFmtId="0" fontId="11" fillId="4" borderId="26" xfId="5" applyFont="1" applyFill="1" applyBorder="1" applyAlignment="1" applyProtection="1">
      <alignment horizontal="center" vertical="center"/>
    </xf>
    <xf numFmtId="0" fontId="17" fillId="3" borderId="1" xfId="0" applyFont="1" applyFill="1" applyBorder="1" applyAlignment="1" applyProtection="1">
      <alignment horizontal="left" vertical="center"/>
    </xf>
    <xf numFmtId="0" fontId="11" fillId="3" borderId="1" xfId="0" applyFont="1" applyFill="1" applyBorder="1" applyAlignment="1" applyProtection="1">
      <alignment horizontal="left" vertical="center"/>
    </xf>
    <xf numFmtId="0" fontId="11" fillId="4" borderId="1" xfId="5" applyFont="1" applyFill="1" applyBorder="1" applyAlignment="1" applyProtection="1">
      <alignment horizontal="left" vertical="center"/>
    </xf>
    <xf numFmtId="0" fontId="11" fillId="4" borderId="27" xfId="5" applyFont="1" applyFill="1" applyBorder="1" applyAlignment="1" applyProtection="1">
      <alignment horizontal="center" vertical="center"/>
    </xf>
    <xf numFmtId="0" fontId="11" fillId="4" borderId="25" xfId="5" applyFont="1" applyFill="1" applyBorder="1" applyAlignment="1" applyProtection="1">
      <alignment horizontal="center" vertical="center"/>
    </xf>
    <xf numFmtId="0" fontId="11" fillId="4" borderId="28" xfId="5" applyFont="1" applyFill="1" applyBorder="1" applyAlignment="1" applyProtection="1">
      <alignment horizontal="center" vertical="center"/>
    </xf>
    <xf numFmtId="0" fontId="52" fillId="0" borderId="0" xfId="0" applyFont="1" applyProtection="1">
      <protection locked="0"/>
    </xf>
    <xf numFmtId="0" fontId="39" fillId="0" borderId="0" xfId="0" applyFont="1" applyProtection="1">
      <protection locked="0"/>
    </xf>
    <xf numFmtId="0" fontId="14" fillId="3" borderId="51" xfId="0" applyNumberFormat="1" applyFont="1" applyFill="1" applyBorder="1" applyAlignment="1" applyProtection="1">
      <alignment horizontal="left" vertical="center"/>
    </xf>
    <xf numFmtId="0" fontId="0" fillId="0" borderId="0" xfId="0" applyAlignment="1" applyProtection="1">
      <alignment horizontal="center"/>
      <protection locked="0"/>
    </xf>
    <xf numFmtId="0" fontId="39" fillId="0" borderId="0" xfId="0" applyFont="1" applyAlignment="1" applyProtection="1">
      <alignment horizontal="center"/>
      <protection locked="0"/>
    </xf>
    <xf numFmtId="1" fontId="11" fillId="0" borderId="103" xfId="0" applyNumberFormat="1" applyFont="1" applyBorder="1" applyAlignment="1" applyProtection="1">
      <alignment horizontal="center"/>
    </xf>
    <xf numFmtId="0" fontId="14" fillId="0" borderId="0" xfId="0" applyNumberFormat="1" applyFont="1" applyBorder="1" applyAlignment="1">
      <alignment horizontal="right" indent="1"/>
    </xf>
    <xf numFmtId="0" fontId="14" fillId="0" borderId="0" xfId="0" applyNumberFormat="1" applyFont="1" applyAlignment="1">
      <alignment horizontal="right" indent="1"/>
    </xf>
    <xf numFmtId="0" fontId="14" fillId="0" borderId="0" xfId="0" applyNumberFormat="1" applyFont="1" applyFill="1" applyBorder="1" applyAlignment="1">
      <alignment horizontal="right" indent="1"/>
    </xf>
    <xf numFmtId="0" fontId="14" fillId="0" borderId="3" xfId="0" applyNumberFormat="1" applyFont="1" applyBorder="1" applyAlignment="1">
      <alignment horizontal="right" indent="1"/>
    </xf>
    <xf numFmtId="0" fontId="14" fillId="0" borderId="0" xfId="0" applyNumberFormat="1" applyFont="1" applyAlignment="1">
      <alignment horizontal="left"/>
    </xf>
    <xf numFmtId="201" fontId="14" fillId="0" borderId="0" xfId="0" applyNumberFormat="1" applyFont="1" applyBorder="1" applyAlignment="1">
      <alignment horizontal="left"/>
    </xf>
    <xf numFmtId="0" fontId="14" fillId="0" borderId="0" xfId="0" applyNumberFormat="1" applyFont="1" applyFill="1" applyBorder="1" applyAlignment="1">
      <alignment horizontal="left"/>
    </xf>
    <xf numFmtId="0" fontId="14" fillId="0" borderId="3" xfId="0" applyNumberFormat="1" applyFont="1" applyBorder="1" applyAlignment="1">
      <alignment horizontal="left"/>
    </xf>
    <xf numFmtId="213" fontId="14" fillId="0" borderId="0" xfId="0" applyNumberFormat="1" applyFont="1" applyAlignment="1">
      <alignment horizontal="left"/>
    </xf>
    <xf numFmtId="214" fontId="14" fillId="0" borderId="0" xfId="0" applyNumberFormat="1" applyFont="1" applyAlignment="1">
      <alignment horizontal="left"/>
    </xf>
    <xf numFmtId="196" fontId="14" fillId="0" borderId="0" xfId="0" applyNumberFormat="1" applyFont="1" applyAlignment="1">
      <alignment horizontal="left"/>
    </xf>
    <xf numFmtId="0" fontId="22" fillId="16" borderId="66" xfId="0" applyNumberFormat="1" applyFont="1" applyFill="1" applyBorder="1" applyAlignment="1" applyProtection="1">
      <alignment horizontal="center" vertical="center"/>
      <protection locked="0"/>
    </xf>
    <xf numFmtId="0" fontId="22" fillId="4" borderId="66" xfId="0" applyNumberFormat="1"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0" fontId="17" fillId="0" borderId="0" xfId="0" applyFont="1" applyBorder="1" applyAlignment="1" applyProtection="1">
      <alignment vertical="center"/>
      <protection locked="0"/>
    </xf>
    <xf numFmtId="0" fontId="11" fillId="0" borderId="0" xfId="0" applyFont="1" applyBorder="1" applyAlignment="1" applyProtection="1">
      <alignment horizontal="center" vertical="center"/>
      <protection locked="0"/>
    </xf>
    <xf numFmtId="0" fontId="28" fillId="0" borderId="0" xfId="0" applyFont="1" applyBorder="1" applyAlignment="1" applyProtection="1">
      <alignment horizontal="center" vertical="center"/>
      <protection locked="0"/>
    </xf>
    <xf numFmtId="0" fontId="37" fillId="0" borderId="0" xfId="0" applyFont="1"/>
    <xf numFmtId="215" fontId="4" fillId="0" borderId="0" xfId="15"/>
    <xf numFmtId="1" fontId="4" fillId="0" borderId="0" xfId="7"/>
    <xf numFmtId="1" fontId="4" fillId="0" borderId="0" xfId="8"/>
    <xf numFmtId="166" fontId="4" fillId="0" borderId="0" xfId="9"/>
    <xf numFmtId="1" fontId="4" fillId="0" borderId="0" xfId="10"/>
    <xf numFmtId="1" fontId="4" fillId="0" borderId="0" xfId="11"/>
    <xf numFmtId="2" fontId="4" fillId="0" borderId="0" xfId="12"/>
    <xf numFmtId="2" fontId="4" fillId="0" borderId="0" xfId="13"/>
    <xf numFmtId="166" fontId="4" fillId="0" borderId="0" xfId="14"/>
    <xf numFmtId="172" fontId="11" fillId="3" borderId="29" xfId="0" applyNumberFormat="1" applyFont="1" applyFill="1" applyBorder="1" applyAlignment="1" applyProtection="1">
      <alignment horizontal="center"/>
    </xf>
    <xf numFmtId="172" fontId="12" fillId="3" borderId="89" xfId="0" applyNumberFormat="1" applyFont="1" applyFill="1" applyBorder="1" applyAlignment="1" applyProtection="1">
      <alignment horizontal="center"/>
    </xf>
    <xf numFmtId="0" fontId="14" fillId="11" borderId="49" xfId="0" applyNumberFormat="1" applyFont="1" applyFill="1" applyBorder="1" applyAlignment="1" applyProtection="1">
      <alignment horizontal="center" vertical="center"/>
    </xf>
    <xf numFmtId="0" fontId="14" fillId="11" borderId="104" xfId="0" applyNumberFormat="1" applyFont="1" applyFill="1" applyBorder="1" applyAlignment="1" applyProtection="1">
      <alignment horizontal="center" vertical="center"/>
    </xf>
    <xf numFmtId="0" fontId="11" fillId="0" borderId="4" xfId="0" applyFont="1" applyBorder="1" applyAlignment="1" applyProtection="1">
      <alignment vertical="center"/>
    </xf>
    <xf numFmtId="2" fontId="0" fillId="0" borderId="46" xfId="0" applyNumberFormat="1" applyBorder="1" applyAlignment="1" applyProtection="1">
      <alignment horizontal="right"/>
    </xf>
    <xf numFmtId="2" fontId="0" fillId="0" borderId="43" xfId="0" applyNumberFormat="1" applyBorder="1" applyAlignment="1" applyProtection="1">
      <alignment horizontal="right"/>
    </xf>
    <xf numFmtId="2" fontId="0" fillId="0" borderId="49" xfId="0" applyNumberFormat="1" applyBorder="1" applyAlignment="1" applyProtection="1">
      <alignment horizontal="right"/>
    </xf>
    <xf numFmtId="2" fontId="0" fillId="0" borderId="56" xfId="0" applyNumberFormat="1" applyBorder="1" applyAlignment="1" applyProtection="1">
      <alignment horizontal="right"/>
    </xf>
    <xf numFmtId="2" fontId="0" fillId="0" borderId="0" xfId="0" applyNumberFormat="1" applyBorder="1" applyAlignment="1" applyProtection="1">
      <alignment horizontal="right"/>
    </xf>
    <xf numFmtId="164" fontId="11" fillId="4" borderId="105" xfId="0" applyNumberFormat="1" applyFont="1" applyFill="1" applyBorder="1" applyAlignment="1" applyProtection="1">
      <alignment horizontal="center" vertical="center"/>
    </xf>
    <xf numFmtId="164" fontId="11" fillId="4" borderId="106" xfId="0" applyNumberFormat="1" applyFont="1" applyFill="1" applyBorder="1" applyAlignment="1" applyProtection="1">
      <alignment horizontal="center" vertical="center"/>
    </xf>
    <xf numFmtId="164" fontId="11" fillId="4" borderId="107" xfId="0" applyNumberFormat="1" applyFont="1" applyFill="1" applyBorder="1" applyAlignment="1" applyProtection="1">
      <alignment horizontal="center" vertical="center"/>
    </xf>
    <xf numFmtId="0" fontId="2" fillId="0" borderId="0" xfId="0" applyFont="1" applyAlignment="1" applyProtection="1">
      <alignment horizontal="center"/>
    </xf>
    <xf numFmtId="0" fontId="2" fillId="0" borderId="37" xfId="0" applyNumberFormat="1" applyFont="1" applyBorder="1" applyAlignment="1">
      <alignment horizontal="center"/>
    </xf>
    <xf numFmtId="0" fontId="2" fillId="0" borderId="31" xfId="0" applyNumberFormat="1" applyFont="1" applyBorder="1" applyAlignment="1">
      <alignment horizontal="center"/>
    </xf>
    <xf numFmtId="0" fontId="2" fillId="0" borderId="36" xfId="0" applyNumberFormat="1" applyFont="1" applyBorder="1" applyAlignment="1">
      <alignment horizontal="center"/>
    </xf>
    <xf numFmtId="2" fontId="0" fillId="0" borderId="108" xfId="0" applyNumberFormat="1" applyBorder="1" applyAlignment="1" applyProtection="1">
      <alignment horizontal="right"/>
    </xf>
    <xf numFmtId="0" fontId="10" fillId="0" borderId="0" xfId="0" applyFont="1" applyBorder="1" applyAlignment="1" applyProtection="1">
      <alignment horizontal="center" vertical="center"/>
    </xf>
    <xf numFmtId="2" fontId="2" fillId="0" borderId="0" xfId="0" applyNumberFormat="1" applyFont="1" applyBorder="1" applyAlignment="1">
      <alignment horizontal="center" vertical="center"/>
    </xf>
    <xf numFmtId="0" fontId="1" fillId="0" borderId="43" xfId="0" applyFont="1" applyBorder="1" applyAlignment="1" applyProtection="1">
      <alignment horizontal="center"/>
    </xf>
    <xf numFmtId="0" fontId="1" fillId="0" borderId="0" xfId="0" applyFont="1" applyAlignment="1">
      <alignment horizontal="center"/>
    </xf>
    <xf numFmtId="0" fontId="1" fillId="0" borderId="0" xfId="0" applyFont="1"/>
    <xf numFmtId="0" fontId="12" fillId="0" borderId="109" xfId="0" applyFont="1" applyBorder="1" applyAlignment="1" applyProtection="1">
      <alignment horizontal="center"/>
    </xf>
    <xf numFmtId="0" fontId="22" fillId="0" borderId="45" xfId="0" applyNumberFormat="1" applyFont="1" applyBorder="1" applyAlignment="1" applyProtection="1">
      <alignment horizontal="center"/>
    </xf>
    <xf numFmtId="0" fontId="22" fillId="0" borderId="51" xfId="0" applyNumberFormat="1" applyFont="1" applyBorder="1" applyAlignment="1" applyProtection="1">
      <alignment horizontal="center"/>
    </xf>
    <xf numFmtId="0" fontId="22" fillId="0" borderId="64" xfId="0" applyNumberFormat="1" applyFont="1" applyBorder="1" applyAlignment="1" applyProtection="1">
      <alignment horizontal="center"/>
    </xf>
    <xf numFmtId="0" fontId="14" fillId="4" borderId="66" xfId="5" applyFont="1" applyFill="1" applyBorder="1" applyAlignment="1" applyProtection="1">
      <alignment horizontal="center" vertical="center"/>
    </xf>
    <xf numFmtId="0" fontId="19" fillId="3" borderId="6" xfId="5" applyFont="1" applyFill="1" applyBorder="1" applyAlignment="1" applyProtection="1">
      <alignment horizontal="center" vertical="center"/>
    </xf>
    <xf numFmtId="0" fontId="14" fillId="4" borderId="25" xfId="5" applyFont="1" applyFill="1" applyBorder="1" applyAlignment="1" applyProtection="1">
      <alignment horizontal="center" vertical="center"/>
    </xf>
    <xf numFmtId="0" fontId="17" fillId="4" borderId="5" xfId="5" applyFont="1" applyFill="1" applyBorder="1" applyAlignment="1" applyProtection="1">
      <alignment horizontal="center" vertical="center"/>
    </xf>
    <xf numFmtId="0" fontId="10" fillId="0" borderId="52" xfId="0" applyFont="1" applyBorder="1" applyAlignment="1" applyProtection="1">
      <alignment vertical="center"/>
    </xf>
    <xf numFmtId="0" fontId="10" fillId="0" borderId="110" xfId="0" applyFont="1" applyBorder="1" applyAlignment="1" applyProtection="1">
      <alignment vertical="center"/>
    </xf>
    <xf numFmtId="0" fontId="10" fillId="0" borderId="111" xfId="0" applyFont="1" applyBorder="1" applyAlignment="1" applyProtection="1">
      <alignment vertical="center"/>
    </xf>
    <xf numFmtId="0" fontId="11" fillId="0" borderId="52" xfId="6" applyFont="1" applyBorder="1" applyAlignment="1" applyProtection="1"/>
    <xf numFmtId="0" fontId="11" fillId="0" borderId="110" xfId="6" applyFont="1" applyBorder="1" applyAlignment="1" applyProtection="1"/>
    <xf numFmtId="0" fontId="11" fillId="0" borderId="52" xfId="6" applyFont="1" applyBorder="1" applyAlignment="1" applyProtection="1">
      <alignment horizontal="right"/>
      <protection locked="0"/>
    </xf>
    <xf numFmtId="0" fontId="11" fillId="0" borderId="0" xfId="6" applyFont="1" applyAlignment="1" applyProtection="1">
      <alignment horizontal="center"/>
      <protection locked="0"/>
    </xf>
    <xf numFmtId="0" fontId="11" fillId="0" borderId="110" xfId="6" applyFont="1" applyBorder="1" applyAlignment="1" applyProtection="1">
      <alignment horizontal="left"/>
      <protection locked="0"/>
    </xf>
    <xf numFmtId="0" fontId="11" fillId="0" borderId="111" xfId="6" applyFont="1" applyBorder="1" applyAlignment="1" applyProtection="1">
      <alignment horizontal="left"/>
    </xf>
    <xf numFmtId="0" fontId="11" fillId="0" borderId="29" xfId="6" applyFont="1" applyBorder="1" applyAlignment="1" applyProtection="1">
      <alignment horizontal="left"/>
      <protection locked="0"/>
    </xf>
    <xf numFmtId="0" fontId="11" fillId="0" borderId="9" xfId="6" applyFont="1" applyBorder="1" applyAlignment="1" applyProtection="1">
      <alignment horizontal="center"/>
    </xf>
    <xf numFmtId="0" fontId="11" fillId="0" borderId="10" xfId="6" applyFont="1" applyBorder="1" applyAlignment="1" applyProtection="1">
      <alignment horizontal="center"/>
    </xf>
    <xf numFmtId="0" fontId="11" fillId="0" borderId="13" xfId="6" applyFont="1" applyBorder="1" applyAlignment="1" applyProtection="1">
      <alignment horizontal="left"/>
      <protection locked="0"/>
    </xf>
    <xf numFmtId="0" fontId="11" fillId="0" borderId="0" xfId="6" applyFont="1" applyBorder="1" applyAlignment="1" applyProtection="1">
      <alignment horizontal="center"/>
    </xf>
    <xf numFmtId="0" fontId="11" fillId="0" borderId="12" xfId="6" applyFont="1" applyBorder="1" applyAlignment="1" applyProtection="1">
      <alignment horizontal="center"/>
    </xf>
    <xf numFmtId="0" fontId="10" fillId="0" borderId="13" xfId="0" applyFont="1" applyBorder="1" applyAlignment="1" applyProtection="1">
      <alignment horizontal="left" vertical="center"/>
      <protection locked="0"/>
    </xf>
    <xf numFmtId="0" fontId="10" fillId="0" borderId="58" xfId="0" applyFont="1" applyBorder="1" applyAlignment="1" applyProtection="1">
      <alignment vertical="center"/>
      <protection locked="0"/>
    </xf>
    <xf numFmtId="0" fontId="11" fillId="0" borderId="3" xfId="6" applyFont="1" applyBorder="1" applyAlignment="1" applyProtection="1">
      <alignment horizontal="center"/>
    </xf>
    <xf numFmtId="0" fontId="10" fillId="0" borderId="53" xfId="0" applyFont="1" applyBorder="1" applyAlignment="1" applyProtection="1">
      <alignment horizontal="center" vertical="center"/>
    </xf>
    <xf numFmtId="0" fontId="11" fillId="0" borderId="52" xfId="6" applyFont="1" applyBorder="1" applyAlignment="1" applyProtection="1">
      <alignment horizontal="left"/>
    </xf>
    <xf numFmtId="0" fontId="11" fillId="0" borderId="110" xfId="6" applyFont="1" applyBorder="1" applyAlignment="1" applyProtection="1">
      <alignment horizontal="left"/>
    </xf>
    <xf numFmtId="0" fontId="0" fillId="0" borderId="111" xfId="0" applyBorder="1" applyAlignment="1" applyProtection="1">
      <alignment horizontal="left"/>
    </xf>
    <xf numFmtId="0" fontId="11" fillId="0" borderId="29" xfId="6" applyFont="1" applyBorder="1" applyAlignment="1" applyProtection="1">
      <alignment horizontal="left"/>
    </xf>
    <xf numFmtId="0" fontId="11" fillId="0" borderId="9" xfId="6" applyFont="1" applyBorder="1" applyProtection="1"/>
    <xf numFmtId="0" fontId="10" fillId="0" borderId="9" xfId="0" applyFont="1" applyBorder="1" applyAlignment="1" applyProtection="1">
      <alignment vertical="center"/>
    </xf>
    <xf numFmtId="0" fontId="11" fillId="0" borderId="13" xfId="6" applyFont="1" applyBorder="1" applyAlignment="1" applyProtection="1">
      <alignment horizontal="left"/>
    </xf>
    <xf numFmtId="0" fontId="11" fillId="0" borderId="0" xfId="6" applyFont="1" applyBorder="1" applyProtection="1"/>
    <xf numFmtId="0" fontId="10" fillId="0" borderId="13" xfId="0" applyFont="1" applyBorder="1" applyAlignment="1" applyProtection="1">
      <alignment vertical="center"/>
    </xf>
    <xf numFmtId="0" fontId="11" fillId="0" borderId="58" xfId="6" applyFont="1" applyBorder="1" applyProtection="1"/>
    <xf numFmtId="0" fontId="11" fillId="0" borderId="3" xfId="6" applyFont="1" applyBorder="1" applyProtection="1"/>
    <xf numFmtId="0" fontId="0" fillId="0" borderId="3" xfId="0" applyBorder="1" applyProtection="1"/>
    <xf numFmtId="0" fontId="10" fillId="0" borderId="3" xfId="0" applyFont="1" applyBorder="1" applyAlignment="1" applyProtection="1">
      <alignment vertical="center"/>
    </xf>
    <xf numFmtId="0" fontId="0" fillId="0" borderId="53" xfId="0" applyBorder="1" applyProtection="1"/>
    <xf numFmtId="0" fontId="10" fillId="0" borderId="71" xfId="0" applyFont="1" applyBorder="1" applyAlignment="1" applyProtection="1">
      <alignment horizontal="center" vertical="center"/>
      <protection locked="0"/>
    </xf>
    <xf numFmtId="0" fontId="10" fillId="0" borderId="53" xfId="0" applyFont="1" applyBorder="1" applyAlignment="1" applyProtection="1">
      <alignment vertical="center"/>
      <protection locked="0"/>
    </xf>
    <xf numFmtId="0" fontId="52" fillId="0" borderId="1" xfId="0" applyFont="1" applyBorder="1" applyAlignment="1" applyProtection="1">
      <alignment horizontal="right"/>
      <protection locked="0"/>
    </xf>
    <xf numFmtId="0" fontId="52" fillId="0" borderId="26" xfId="0" applyFont="1" applyBorder="1" applyAlignment="1" applyProtection="1">
      <alignment horizontal="left"/>
      <protection locked="0"/>
    </xf>
    <xf numFmtId="0" fontId="53" fillId="0" borderId="26" xfId="0" applyFont="1" applyBorder="1" applyAlignment="1" applyProtection="1">
      <alignment horizontal="left"/>
      <protection locked="0"/>
    </xf>
    <xf numFmtId="0" fontId="2" fillId="0" borderId="0" xfId="0" applyFont="1" applyProtection="1"/>
    <xf numFmtId="2" fontId="2" fillId="0" borderId="0" xfId="0" applyNumberFormat="1" applyFont="1" applyAlignment="1" applyProtection="1">
      <alignment horizontal="center"/>
    </xf>
    <xf numFmtId="0" fontId="2" fillId="25" borderId="0" xfId="0" applyFont="1" applyFill="1" applyProtection="1"/>
    <xf numFmtId="0" fontId="2" fillId="25" borderId="0" xfId="0" applyFont="1" applyFill="1" applyAlignment="1" applyProtection="1">
      <alignment horizontal="left"/>
    </xf>
    <xf numFmtId="0" fontId="4" fillId="0" borderId="0" xfId="0" applyFont="1"/>
    <xf numFmtId="0" fontId="55" fillId="0" borderId="0" xfId="0" applyFont="1"/>
    <xf numFmtId="0" fontId="2" fillId="0" borderId="0" xfId="0" applyFont="1" applyBorder="1" applyAlignment="1" applyProtection="1">
      <alignment horizontal="center" vertical="center"/>
      <protection locked="0"/>
    </xf>
    <xf numFmtId="0" fontId="1" fillId="0" borderId="0" xfId="0" applyFont="1" applyAlignment="1" applyProtection="1">
      <alignment vertical="center"/>
      <protection locked="0"/>
    </xf>
    <xf numFmtId="0" fontId="2" fillId="0" borderId="0" xfId="0" applyFont="1" applyBorder="1" applyAlignment="1" applyProtection="1">
      <alignment vertical="center"/>
      <protection locked="0"/>
    </xf>
    <xf numFmtId="14" fontId="1" fillId="0" borderId="0" xfId="0" applyNumberFormat="1" applyFont="1" applyAlignment="1" applyProtection="1">
      <alignment vertical="center"/>
      <protection locked="0"/>
    </xf>
    <xf numFmtId="0" fontId="1" fillId="0" borderId="0" xfId="0" applyFont="1" applyAlignment="1" applyProtection="1">
      <alignment horizontal="center" vertical="center"/>
      <protection locked="0"/>
    </xf>
    <xf numFmtId="0" fontId="1" fillId="0" borderId="0" xfId="0" applyFont="1" applyAlignment="1" applyProtection="1">
      <alignment horizontal="center" vertical="center"/>
    </xf>
    <xf numFmtId="217" fontId="4" fillId="0" borderId="0" xfId="0" applyNumberFormat="1" applyFont="1"/>
    <xf numFmtId="217" fontId="4" fillId="0" borderId="0" xfId="15" applyNumberFormat="1"/>
    <xf numFmtId="166" fontId="14" fillId="10" borderId="46" xfId="0" applyNumberFormat="1" applyFont="1" applyFill="1" applyBorder="1" applyAlignment="1" applyProtection="1">
      <alignment horizontal="center" vertical="center"/>
      <protection locked="0"/>
    </xf>
    <xf numFmtId="166" fontId="14" fillId="10" borderId="21" xfId="0" applyNumberFormat="1" applyFont="1" applyFill="1" applyBorder="1" applyAlignment="1" applyProtection="1">
      <alignment horizontal="center" vertical="center"/>
      <protection locked="0"/>
    </xf>
    <xf numFmtId="0" fontId="1" fillId="0" borderId="45" xfId="0" applyFont="1" applyBorder="1" applyAlignment="1" applyProtection="1">
      <alignment horizontal="center"/>
    </xf>
    <xf numFmtId="0" fontId="1" fillId="0" borderId="77" xfId="0" applyFont="1" applyBorder="1" applyAlignment="1" applyProtection="1">
      <alignment horizontal="center"/>
    </xf>
    <xf numFmtId="0" fontId="22" fillId="0" borderId="46" xfId="0" applyNumberFormat="1" applyFont="1" applyBorder="1" applyAlignment="1" applyProtection="1">
      <alignment horizontal="center"/>
    </xf>
    <xf numFmtId="0" fontId="22" fillId="0" borderId="47" xfId="0" applyNumberFormat="1" applyFont="1" applyBorder="1" applyAlignment="1" applyProtection="1">
      <alignment horizontal="center"/>
    </xf>
    <xf numFmtId="0" fontId="12" fillId="0" borderId="112" xfId="0" applyFont="1" applyBorder="1" applyAlignment="1" applyProtection="1">
      <alignment horizontal="center"/>
    </xf>
    <xf numFmtId="14" fontId="22" fillId="0" borderId="46" xfId="0" applyNumberFormat="1" applyFont="1" applyBorder="1" applyAlignment="1" applyProtection="1">
      <alignment horizontal="center"/>
    </xf>
    <xf numFmtId="169" fontId="14" fillId="7" borderId="1" xfId="0" applyNumberFormat="1" applyFont="1" applyFill="1" applyBorder="1" applyAlignment="1" applyProtection="1">
      <alignment horizontal="center" vertical="center"/>
      <protection locked="0"/>
    </xf>
    <xf numFmtId="0" fontId="25" fillId="0" borderId="0" xfId="0" applyFont="1" applyBorder="1" applyAlignment="1" applyProtection="1">
      <alignment horizontal="left"/>
    </xf>
    <xf numFmtId="0" fontId="0" fillId="0" borderId="0" xfId="0" applyBorder="1" applyAlignment="1" applyProtection="1">
      <alignment horizontal="left"/>
    </xf>
    <xf numFmtId="0" fontId="56" fillId="0" borderId="65" xfId="0" applyFont="1" applyBorder="1" applyAlignment="1">
      <alignment horizontal="center"/>
    </xf>
    <xf numFmtId="169" fontId="14" fillId="8" borderId="1" xfId="0" applyNumberFormat="1" applyFont="1" applyFill="1" applyBorder="1" applyAlignment="1" applyProtection="1">
      <alignment horizontal="center" vertical="center"/>
      <protection locked="0"/>
    </xf>
    <xf numFmtId="0" fontId="8" fillId="3" borderId="113" xfId="0" applyFont="1" applyFill="1" applyBorder="1" applyAlignment="1" applyProtection="1">
      <alignment horizontal="center" vertical="center"/>
    </xf>
    <xf numFmtId="0" fontId="8" fillId="3" borderId="3"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0" fontId="14" fillId="16" borderId="65" xfId="0" applyFont="1" applyFill="1" applyBorder="1" applyAlignment="1" applyProtection="1">
      <alignment horizontal="center" vertical="center"/>
      <protection locked="0"/>
    </xf>
    <xf numFmtId="167" fontId="14" fillId="0" borderId="65" xfId="0" applyNumberFormat="1" applyFont="1" applyFill="1" applyBorder="1" applyAlignment="1" applyProtection="1">
      <alignment horizontal="center" vertical="center"/>
      <protection locked="0"/>
    </xf>
    <xf numFmtId="201" fontId="14" fillId="8" borderId="65" xfId="0" applyNumberFormat="1" applyFont="1" applyFill="1" applyBorder="1" applyAlignment="1" applyProtection="1">
      <alignment horizontal="center" vertical="center"/>
      <protection locked="0"/>
    </xf>
    <xf numFmtId="167" fontId="14" fillId="0" borderId="134" xfId="0" applyNumberFormat="1" applyFont="1" applyFill="1" applyBorder="1" applyAlignment="1" applyProtection="1">
      <alignment horizontal="center" vertical="center"/>
      <protection locked="0"/>
    </xf>
    <xf numFmtId="167" fontId="14" fillId="0" borderId="135" xfId="0" applyNumberFormat="1" applyFont="1" applyFill="1" applyBorder="1" applyAlignment="1" applyProtection="1">
      <alignment horizontal="center" vertical="center"/>
      <protection locked="0"/>
    </xf>
    <xf numFmtId="167" fontId="14" fillId="0" borderId="136" xfId="0" applyNumberFormat="1" applyFont="1" applyFill="1" applyBorder="1" applyAlignment="1" applyProtection="1">
      <alignment horizontal="center" vertical="center"/>
      <protection locked="0"/>
    </xf>
    <xf numFmtId="167" fontId="14" fillId="0" borderId="137" xfId="0" applyNumberFormat="1" applyFont="1" applyFill="1" applyBorder="1" applyAlignment="1" applyProtection="1">
      <alignment horizontal="center" vertical="center"/>
      <protection locked="0"/>
    </xf>
    <xf numFmtId="0" fontId="14" fillId="6" borderId="136" xfId="0" applyFont="1" applyFill="1" applyBorder="1" applyAlignment="1" applyProtection="1">
      <alignment horizontal="center" vertical="center"/>
      <protection locked="0"/>
    </xf>
    <xf numFmtId="0" fontId="14" fillId="9" borderId="136" xfId="0" applyFont="1" applyFill="1" applyBorder="1" applyAlignment="1" applyProtection="1">
      <alignment horizontal="right" vertical="center"/>
      <protection locked="0"/>
    </xf>
    <xf numFmtId="173" fontId="14" fillId="9" borderId="137" xfId="0" applyNumberFormat="1" applyFont="1" applyFill="1" applyBorder="1" applyAlignment="1" applyProtection="1">
      <alignment horizontal="center" vertical="center"/>
      <protection locked="0"/>
    </xf>
    <xf numFmtId="167" fontId="14" fillId="0" borderId="136" xfId="0" applyNumberFormat="1" applyFont="1" applyFill="1" applyBorder="1" applyAlignment="1" applyProtection="1">
      <alignment horizontal="right" vertical="center"/>
      <protection locked="0"/>
    </xf>
    <xf numFmtId="0" fontId="14" fillId="13" borderId="136" xfId="0" applyFont="1" applyFill="1" applyBorder="1" applyAlignment="1" applyProtection="1">
      <alignment horizontal="right" vertical="center"/>
      <protection locked="0"/>
    </xf>
    <xf numFmtId="1" fontId="14" fillId="0" borderId="137" xfId="0" applyNumberFormat="1" applyFont="1" applyFill="1" applyBorder="1" applyAlignment="1" applyProtection="1">
      <alignment horizontal="center" vertical="center"/>
      <protection locked="0"/>
    </xf>
    <xf numFmtId="0" fontId="14" fillId="5" borderId="136" xfId="0" applyFont="1" applyFill="1" applyBorder="1" applyAlignment="1" applyProtection="1">
      <alignment horizontal="center" vertical="center"/>
      <protection locked="0"/>
    </xf>
    <xf numFmtId="1" fontId="14" fillId="23" borderId="138" xfId="0" applyNumberFormat="1" applyFont="1" applyFill="1" applyBorder="1" applyAlignment="1" applyProtection="1">
      <alignment horizontal="center" vertical="center"/>
      <protection locked="0"/>
    </xf>
    <xf numFmtId="191" fontId="0" fillId="0" borderId="0" xfId="0" applyNumberFormat="1" applyAlignment="1">
      <alignment vertical="center"/>
    </xf>
    <xf numFmtId="0" fontId="0" fillId="0" borderId="0" xfId="0" applyNumberFormat="1" applyBorder="1" applyAlignment="1" applyProtection="1">
      <alignment horizontal="center"/>
    </xf>
    <xf numFmtId="2" fontId="0" fillId="0" borderId="0" xfId="0" applyNumberFormat="1" applyBorder="1" applyAlignment="1" applyProtection="1">
      <alignment horizontal="center"/>
    </xf>
    <xf numFmtId="1" fontId="11" fillId="0" borderId="52" xfId="0" applyNumberFormat="1" applyFont="1" applyFill="1" applyBorder="1" applyAlignment="1" applyProtection="1">
      <alignment horizontal="center" vertical="center"/>
      <protection locked="0"/>
    </xf>
    <xf numFmtId="1" fontId="11" fillId="0" borderId="110" xfId="0" applyNumberFormat="1" applyFont="1" applyFill="1" applyBorder="1" applyAlignment="1" applyProtection="1">
      <alignment horizontal="center" vertical="center"/>
      <protection locked="0"/>
    </xf>
    <xf numFmtId="1" fontId="11" fillId="0" borderId="0" xfId="0" applyNumberFormat="1" applyFont="1" applyFill="1" applyBorder="1" applyAlignment="1" applyProtection="1">
      <alignment horizontal="center" vertical="center"/>
      <protection locked="0"/>
    </xf>
    <xf numFmtId="1" fontId="11" fillId="0" borderId="114" xfId="0" applyNumberFormat="1" applyFont="1" applyFill="1" applyBorder="1" applyAlignment="1" applyProtection="1">
      <alignment horizontal="center" vertical="center"/>
      <protection locked="0"/>
    </xf>
    <xf numFmtId="1" fontId="11" fillId="0" borderId="56" xfId="0" applyNumberFormat="1" applyFont="1" applyFill="1" applyBorder="1" applyAlignment="1" applyProtection="1">
      <alignment horizontal="center" vertical="center"/>
      <protection locked="0"/>
    </xf>
    <xf numFmtId="1" fontId="11" fillId="0" borderId="24" xfId="0" applyNumberFormat="1" applyFont="1" applyFill="1" applyBorder="1" applyAlignment="1" applyProtection="1">
      <alignment horizontal="center" vertical="center"/>
      <protection locked="0"/>
    </xf>
    <xf numFmtId="1" fontId="11" fillId="0" borderId="111" xfId="0" applyNumberFormat="1" applyFont="1" applyFill="1" applyBorder="1" applyAlignment="1" applyProtection="1">
      <alignment horizontal="center" vertical="center"/>
      <protection locked="0"/>
    </xf>
    <xf numFmtId="1" fontId="11" fillId="0" borderId="3" xfId="0" applyNumberFormat="1" applyFont="1" applyFill="1" applyBorder="1" applyAlignment="1" applyProtection="1">
      <alignment horizontal="center" vertical="center"/>
      <protection locked="0"/>
    </xf>
    <xf numFmtId="1" fontId="11" fillId="0" borderId="115" xfId="0" applyNumberFormat="1" applyFont="1" applyFill="1" applyBorder="1" applyAlignment="1" applyProtection="1">
      <alignment horizontal="center" vertical="center"/>
      <protection locked="0"/>
    </xf>
    <xf numFmtId="1" fontId="11" fillId="0" borderId="116" xfId="0" applyNumberFormat="1" applyFont="1" applyFill="1" applyBorder="1" applyAlignment="1" applyProtection="1">
      <alignment horizontal="center" vertical="center"/>
      <protection locked="0"/>
    </xf>
    <xf numFmtId="1" fontId="11" fillId="0" borderId="117" xfId="0" applyNumberFormat="1" applyFont="1" applyFill="1" applyBorder="1" applyAlignment="1" applyProtection="1">
      <alignment horizontal="center" vertical="center"/>
      <protection locked="0"/>
    </xf>
    <xf numFmtId="0" fontId="18" fillId="3" borderId="4" xfId="0" applyNumberFormat="1" applyFont="1" applyFill="1" applyBorder="1" applyAlignment="1" applyProtection="1">
      <alignment vertical="center"/>
    </xf>
    <xf numFmtId="0" fontId="18" fillId="3" borderId="2" xfId="0" applyNumberFormat="1" applyFont="1" applyFill="1" applyBorder="1" applyAlignment="1" applyProtection="1">
      <alignment vertical="center"/>
    </xf>
    <xf numFmtId="197" fontId="14" fillId="0" borderId="66" xfId="0" applyNumberFormat="1" applyFont="1" applyFill="1" applyBorder="1" applyAlignment="1" applyProtection="1">
      <alignment horizontal="center" vertical="center"/>
      <protection locked="0"/>
    </xf>
    <xf numFmtId="197" fontId="14" fillId="0" borderId="1" xfId="0" applyNumberFormat="1" applyFont="1" applyFill="1" applyBorder="1" applyAlignment="1" applyProtection="1">
      <alignment horizontal="center" vertical="center"/>
      <protection locked="0"/>
    </xf>
    <xf numFmtId="0" fontId="11" fillId="26" borderId="17" xfId="0" applyFont="1" applyFill="1" applyBorder="1" applyAlignment="1" applyProtection="1">
      <alignment horizontal="left" vertical="center"/>
    </xf>
    <xf numFmtId="0" fontId="10" fillId="26" borderId="9" xfId="0" applyFont="1" applyFill="1" applyBorder="1" applyAlignment="1" applyProtection="1">
      <alignment horizontal="right" vertical="center"/>
    </xf>
    <xf numFmtId="0" fontId="14" fillId="26" borderId="32" xfId="0" applyNumberFormat="1" applyFont="1" applyFill="1" applyBorder="1" applyAlignment="1" applyProtection="1">
      <alignment horizontal="center" vertical="center"/>
      <protection locked="0"/>
    </xf>
    <xf numFmtId="0" fontId="11" fillId="26" borderId="2" xfId="0" applyFont="1" applyFill="1" applyBorder="1" applyAlignment="1" applyProtection="1">
      <alignment horizontal="left" vertical="center"/>
    </xf>
    <xf numFmtId="0" fontId="10" fillId="26" borderId="0" xfId="0" applyFont="1" applyFill="1" applyBorder="1" applyAlignment="1" applyProtection="1">
      <alignment horizontal="right" vertical="center"/>
    </xf>
    <xf numFmtId="0" fontId="14" fillId="26" borderId="1" xfId="0" applyNumberFormat="1" applyFont="1" applyFill="1" applyBorder="1" applyAlignment="1" applyProtection="1">
      <alignment horizontal="center" vertical="center"/>
      <protection locked="0"/>
    </xf>
    <xf numFmtId="0" fontId="11" fillId="26" borderId="113" xfId="0" applyFont="1" applyFill="1" applyBorder="1" applyAlignment="1" applyProtection="1">
      <alignment horizontal="left" vertical="center"/>
    </xf>
    <xf numFmtId="0" fontId="10" fillId="26" borderId="3" xfId="0" applyFont="1" applyFill="1" applyBorder="1" applyAlignment="1" applyProtection="1">
      <alignment horizontal="right" vertical="center"/>
    </xf>
    <xf numFmtId="0" fontId="14" fillId="26" borderId="33" xfId="0" applyNumberFormat="1" applyFont="1" applyFill="1" applyBorder="1" applyAlignment="1" applyProtection="1">
      <alignment horizontal="center" vertical="center"/>
      <protection locked="0"/>
    </xf>
    <xf numFmtId="0" fontId="11" fillId="26" borderId="11" xfId="0" applyFont="1" applyFill="1" applyBorder="1" applyAlignment="1" applyProtection="1">
      <alignment vertical="center"/>
    </xf>
    <xf numFmtId="0" fontId="10" fillId="26" borderId="22" xfId="0" applyFont="1" applyFill="1" applyBorder="1" applyAlignment="1" applyProtection="1">
      <alignment horizontal="right" vertical="center"/>
    </xf>
    <xf numFmtId="0" fontId="14" fillId="26" borderId="25" xfId="0" applyNumberFormat="1" applyFont="1" applyFill="1" applyBorder="1" applyAlignment="1" applyProtection="1">
      <alignment horizontal="center" vertical="center"/>
      <protection locked="0"/>
    </xf>
    <xf numFmtId="0" fontId="17" fillId="26" borderId="8" xfId="0" applyFont="1" applyFill="1" applyBorder="1" applyAlignment="1" applyProtection="1">
      <alignment vertical="center"/>
    </xf>
    <xf numFmtId="0" fontId="17" fillId="26" borderId="4" xfId="0" applyFont="1" applyFill="1" applyBorder="1" applyAlignment="1" applyProtection="1">
      <alignment horizontal="center" vertical="center"/>
    </xf>
    <xf numFmtId="0" fontId="11" fillId="26" borderId="2" xfId="0" applyFont="1" applyFill="1" applyBorder="1" applyAlignment="1" applyProtection="1">
      <alignment vertical="center"/>
    </xf>
    <xf numFmtId="0" fontId="17" fillId="26" borderId="0" xfId="0" applyFont="1" applyFill="1" applyBorder="1" applyAlignment="1" applyProtection="1">
      <alignment vertical="center"/>
    </xf>
    <xf numFmtId="0" fontId="11" fillId="26" borderId="0" xfId="0" applyFont="1" applyFill="1" applyBorder="1" applyAlignment="1" applyProtection="1">
      <alignment horizontal="right" vertical="center"/>
    </xf>
    <xf numFmtId="0" fontId="11" fillId="26" borderId="9" xfId="0" applyFont="1" applyFill="1" applyBorder="1" applyAlignment="1" applyProtection="1">
      <alignment horizontal="right" vertical="center"/>
    </xf>
    <xf numFmtId="0" fontId="11" fillId="26" borderId="3" xfId="0" applyFont="1" applyFill="1" applyBorder="1" applyAlignment="1" applyProtection="1">
      <alignment horizontal="right" vertical="center"/>
    </xf>
    <xf numFmtId="0" fontId="10" fillId="26" borderId="2" xfId="0" applyFont="1" applyFill="1" applyBorder="1" applyAlignment="1" applyProtection="1">
      <alignment horizontal="right" vertical="center"/>
    </xf>
    <xf numFmtId="0" fontId="11" fillId="26" borderId="2" xfId="0" applyFont="1" applyFill="1" applyBorder="1" applyAlignment="1" applyProtection="1">
      <alignment horizontal="right" vertical="center"/>
    </xf>
    <xf numFmtId="0" fontId="11" fillId="26" borderId="17" xfId="0" applyFont="1" applyFill="1" applyBorder="1" applyAlignment="1" applyProtection="1">
      <alignment horizontal="center" vertical="center"/>
    </xf>
    <xf numFmtId="180" fontId="14" fillId="26" borderId="2" xfId="0" applyNumberFormat="1" applyFont="1" applyFill="1" applyBorder="1" applyAlignment="1" applyProtection="1">
      <alignment horizontal="center" vertical="center"/>
    </xf>
    <xf numFmtId="0" fontId="11" fillId="26" borderId="2" xfId="0" applyFont="1" applyFill="1" applyBorder="1" applyAlignment="1" applyProtection="1">
      <alignment horizontal="center" vertical="center"/>
    </xf>
    <xf numFmtId="192" fontId="14" fillId="26" borderId="2" xfId="0" applyNumberFormat="1" applyFont="1" applyFill="1" applyBorder="1" applyAlignment="1" applyProtection="1">
      <alignment horizontal="center" vertical="center"/>
    </xf>
    <xf numFmtId="9" fontId="11" fillId="26" borderId="2" xfId="0" applyNumberFormat="1" applyFont="1" applyFill="1" applyBorder="1" applyAlignment="1" applyProtection="1">
      <alignment horizontal="center" vertical="center"/>
    </xf>
    <xf numFmtId="1" fontId="11" fillId="26" borderId="2" xfId="0" applyNumberFormat="1" applyFont="1" applyFill="1" applyBorder="1" applyAlignment="1" applyProtection="1">
      <alignment horizontal="right" vertical="center"/>
    </xf>
    <xf numFmtId="1" fontId="57" fillId="26" borderId="0" xfId="0" applyNumberFormat="1" applyFont="1" applyFill="1" applyBorder="1" applyAlignment="1" applyProtection="1">
      <alignment horizontal="center" vertical="center"/>
    </xf>
    <xf numFmtId="9" fontId="38" fillId="26" borderId="2" xfId="0" applyNumberFormat="1" applyFont="1" applyFill="1" applyBorder="1" applyAlignment="1" applyProtection="1">
      <alignment horizontal="center" vertical="center"/>
    </xf>
    <xf numFmtId="1" fontId="11" fillId="26" borderId="2" xfId="0" applyNumberFormat="1" applyFont="1" applyFill="1" applyBorder="1" applyAlignment="1" applyProtection="1">
      <alignment horizontal="center" vertical="center"/>
    </xf>
    <xf numFmtId="0" fontId="13" fillId="26" borderId="9" xfId="0" applyFont="1" applyFill="1" applyBorder="1" applyAlignment="1" applyProtection="1">
      <alignment horizontal="center" vertical="center"/>
    </xf>
    <xf numFmtId="9" fontId="11" fillId="26" borderId="0" xfId="0" applyNumberFormat="1" applyFont="1" applyFill="1" applyBorder="1" applyAlignment="1" applyProtection="1">
      <alignment horizontal="right" vertical="center"/>
    </xf>
    <xf numFmtId="1" fontId="11" fillId="26" borderId="0" xfId="0" applyNumberFormat="1" applyFont="1" applyFill="1" applyBorder="1" applyAlignment="1" applyProtection="1">
      <alignment horizontal="right" vertical="center"/>
    </xf>
    <xf numFmtId="1" fontId="11" fillId="26" borderId="118" xfId="0" applyNumberFormat="1" applyFont="1" applyFill="1" applyBorder="1" applyAlignment="1" applyProtection="1">
      <alignment horizontal="center" vertical="center"/>
    </xf>
    <xf numFmtId="0" fontId="11" fillId="26" borderId="0" xfId="0" applyFont="1" applyFill="1" applyBorder="1" applyAlignment="1" applyProtection="1">
      <alignment vertical="center"/>
    </xf>
    <xf numFmtId="0" fontId="11" fillId="26" borderId="5" xfId="0" applyFont="1" applyFill="1" applyBorder="1" applyAlignment="1" applyProtection="1">
      <alignment vertical="center"/>
    </xf>
    <xf numFmtId="10" fontId="14" fillId="26" borderId="117" xfId="3" applyNumberFormat="1" applyFont="1" applyFill="1" applyBorder="1" applyAlignment="1" applyProtection="1">
      <alignment horizontal="center" vertical="center"/>
      <protection locked="0"/>
    </xf>
    <xf numFmtId="0" fontId="14" fillId="26" borderId="0" xfId="3" applyNumberFormat="1" applyFont="1" applyFill="1" applyBorder="1" applyAlignment="1" applyProtection="1">
      <alignment horizontal="center" vertical="center"/>
      <protection locked="0"/>
    </xf>
    <xf numFmtId="1" fontId="11" fillId="26" borderId="74" xfId="0" applyNumberFormat="1" applyFont="1" applyFill="1" applyBorder="1" applyAlignment="1" applyProtection="1">
      <alignment horizontal="center" vertical="center"/>
    </xf>
    <xf numFmtId="1" fontId="11" fillId="26" borderId="119" xfId="0" applyNumberFormat="1" applyFont="1" applyFill="1" applyBorder="1" applyAlignment="1" applyProtection="1">
      <alignment horizontal="center" vertical="center"/>
    </xf>
    <xf numFmtId="1" fontId="11" fillId="26" borderId="120" xfId="0" applyNumberFormat="1" applyFont="1" applyFill="1" applyBorder="1" applyAlignment="1" applyProtection="1">
      <alignment horizontal="center" vertical="center"/>
    </xf>
    <xf numFmtId="1" fontId="11" fillId="26" borderId="121" xfId="0" applyNumberFormat="1" applyFont="1" applyFill="1" applyBorder="1" applyAlignment="1" applyProtection="1">
      <alignment horizontal="center" vertical="center"/>
    </xf>
    <xf numFmtId="1" fontId="2" fillId="26" borderId="52" xfId="0" applyNumberFormat="1" applyFont="1" applyFill="1" applyBorder="1" applyAlignment="1" applyProtection="1">
      <alignment horizontal="center" vertical="center"/>
    </xf>
    <xf numFmtId="1" fontId="11" fillId="26" borderId="111" xfId="0" applyNumberFormat="1" applyFont="1" applyFill="1" applyBorder="1" applyAlignment="1" applyProtection="1">
      <alignment horizontal="center" vertical="center"/>
    </xf>
    <xf numFmtId="1" fontId="11" fillId="26" borderId="3" xfId="0" applyNumberFormat="1" applyFont="1" applyFill="1" applyBorder="1" applyAlignment="1" applyProtection="1">
      <alignment horizontal="center" vertical="center"/>
    </xf>
    <xf numFmtId="1" fontId="11" fillId="26" borderId="115" xfId="0" applyNumberFormat="1" applyFont="1" applyFill="1" applyBorder="1" applyAlignment="1" applyProtection="1">
      <alignment horizontal="center" vertical="center"/>
    </xf>
    <xf numFmtId="1" fontId="11" fillId="26" borderId="122" xfId="0" applyNumberFormat="1" applyFont="1" applyFill="1" applyBorder="1" applyAlignment="1" applyProtection="1">
      <alignment horizontal="center" vertical="center"/>
    </xf>
    <xf numFmtId="1" fontId="11" fillId="26" borderId="58" xfId="0" applyNumberFormat="1" applyFont="1" applyFill="1" applyBorder="1" applyAlignment="1" applyProtection="1">
      <alignment horizontal="center" vertical="center"/>
    </xf>
    <xf numFmtId="20" fontId="11" fillId="26" borderId="4" xfId="0" applyNumberFormat="1" applyFont="1" applyFill="1" applyBorder="1" applyAlignment="1" applyProtection="1">
      <alignment horizontal="right" vertical="center"/>
    </xf>
    <xf numFmtId="20" fontId="11" fillId="26" borderId="0" xfId="0" applyNumberFormat="1" applyFont="1" applyFill="1" applyBorder="1" applyAlignment="1" applyProtection="1">
      <alignment horizontal="right" vertical="center"/>
    </xf>
    <xf numFmtId="2" fontId="14" fillId="26" borderId="1" xfId="0" applyNumberFormat="1" applyFont="1" applyFill="1" applyBorder="1" applyAlignment="1" applyProtection="1">
      <alignment horizontal="center" vertical="center"/>
    </xf>
    <xf numFmtId="0" fontId="2" fillId="26" borderId="0" xfId="0" applyNumberFormat="1" applyFont="1" applyFill="1" applyBorder="1" applyAlignment="1" applyProtection="1">
      <alignment horizontal="center" vertical="center"/>
      <protection locked="0"/>
    </xf>
    <xf numFmtId="0" fontId="22" fillId="26" borderId="54" xfId="5" applyFont="1" applyFill="1" applyBorder="1" applyAlignment="1" applyProtection="1">
      <alignment horizontal="center" vertical="center"/>
    </xf>
    <xf numFmtId="0" fontId="14" fillId="26" borderId="4" xfId="5" applyFont="1" applyFill="1" applyBorder="1" applyAlignment="1" applyProtection="1">
      <alignment horizontal="left" vertical="center"/>
    </xf>
    <xf numFmtId="0" fontId="14" fillId="26" borderId="4" xfId="5" applyFont="1" applyFill="1" applyBorder="1" applyAlignment="1" applyProtection="1">
      <alignment horizontal="center" vertical="center"/>
    </xf>
    <xf numFmtId="0" fontId="14" fillId="26" borderId="6" xfId="5" applyFont="1" applyFill="1" applyBorder="1" applyAlignment="1" applyProtection="1">
      <alignment horizontal="center" vertical="center"/>
    </xf>
    <xf numFmtId="0" fontId="11" fillId="26" borderId="2" xfId="5" applyFont="1" applyFill="1" applyBorder="1" applyAlignment="1" applyProtection="1">
      <alignment horizontal="right" vertical="center"/>
    </xf>
    <xf numFmtId="180" fontId="2" fillId="26" borderId="0" xfId="5" applyNumberFormat="1" applyFont="1" applyFill="1" applyBorder="1" applyAlignment="1" applyProtection="1">
      <alignment horizontal="right" vertical="center"/>
    </xf>
    <xf numFmtId="0" fontId="11" fillId="26" borderId="11" xfId="5" applyFont="1" applyFill="1" applyBorder="1" applyAlignment="1" applyProtection="1">
      <alignment horizontal="right" vertical="center"/>
    </xf>
    <xf numFmtId="0" fontId="22" fillId="26" borderId="22" xfId="5" applyFont="1" applyFill="1" applyBorder="1" applyAlignment="1" applyProtection="1">
      <alignment horizontal="center" vertical="center"/>
    </xf>
    <xf numFmtId="0" fontId="17" fillId="26" borderId="8" xfId="5" applyFont="1" applyFill="1" applyBorder="1" applyAlignment="1" applyProtection="1">
      <alignment horizontal="left" vertical="center"/>
    </xf>
    <xf numFmtId="0" fontId="11" fillId="26" borderId="4" xfId="5" applyFont="1" applyFill="1" applyBorder="1" applyAlignment="1" applyProtection="1">
      <alignment vertical="center"/>
    </xf>
    <xf numFmtId="0" fontId="11" fillId="26" borderId="55" xfId="5" applyFont="1" applyFill="1" applyBorder="1" applyAlignment="1" applyProtection="1">
      <alignment vertical="center"/>
    </xf>
    <xf numFmtId="0" fontId="11" fillId="26" borderId="15" xfId="5" applyFont="1" applyFill="1" applyBorder="1" applyAlignment="1" applyProtection="1">
      <alignment horizontal="center" vertical="center"/>
    </xf>
    <xf numFmtId="0" fontId="12" fillId="26" borderId="20" xfId="5" applyFont="1" applyFill="1" applyBorder="1" applyAlignment="1" applyProtection="1">
      <alignment horizontal="center" vertical="center"/>
      <protection locked="0"/>
    </xf>
    <xf numFmtId="167" fontId="15" fillId="26" borderId="1" xfId="5" applyNumberFormat="1" applyFont="1" applyFill="1" applyBorder="1" applyAlignment="1" applyProtection="1">
      <alignment horizontal="right" vertical="center"/>
    </xf>
    <xf numFmtId="0" fontId="12" fillId="26" borderId="26" xfId="5" applyFont="1" applyFill="1" applyBorder="1" applyAlignment="1" applyProtection="1">
      <alignment horizontal="center" vertical="center"/>
      <protection locked="0"/>
    </xf>
    <xf numFmtId="0" fontId="11" fillId="26" borderId="2" xfId="5" applyFont="1" applyFill="1" applyBorder="1" applyAlignment="1" applyProtection="1">
      <alignment horizontal="left" vertical="center"/>
    </xf>
    <xf numFmtId="0" fontId="11" fillId="26" borderId="0" xfId="5" applyFont="1" applyFill="1" applyBorder="1" applyAlignment="1" applyProtection="1">
      <alignment horizontal="left" vertical="center"/>
    </xf>
    <xf numFmtId="0" fontId="11" fillId="26" borderId="11" xfId="5" applyFont="1" applyFill="1" applyBorder="1" applyAlignment="1" applyProtection="1">
      <alignment horizontal="left" vertical="center"/>
    </xf>
    <xf numFmtId="0" fontId="11" fillId="26" borderId="22" xfId="5" applyFont="1" applyFill="1" applyBorder="1" applyAlignment="1" applyProtection="1">
      <alignment horizontal="right" vertical="center"/>
    </xf>
    <xf numFmtId="0" fontId="17" fillId="26" borderId="8" xfId="5" applyFont="1" applyFill="1" applyBorder="1" applyAlignment="1" applyProtection="1">
      <alignment vertical="center"/>
    </xf>
    <xf numFmtId="0" fontId="12" fillId="26" borderId="55" xfId="5" applyFont="1" applyFill="1" applyBorder="1" applyAlignment="1" applyProtection="1">
      <alignment vertical="center"/>
    </xf>
    <xf numFmtId="0" fontId="12" fillId="26" borderId="15" xfId="5" applyFont="1" applyFill="1" applyBorder="1" applyAlignment="1" applyProtection="1">
      <alignment horizontal="center" vertical="center"/>
    </xf>
    <xf numFmtId="0" fontId="12" fillId="26" borderId="0" xfId="5" applyFont="1" applyFill="1" applyBorder="1" applyAlignment="1" applyProtection="1">
      <alignment horizontal="left" vertical="center"/>
    </xf>
    <xf numFmtId="0" fontId="12" fillId="26" borderId="22" xfId="5" applyFont="1" applyFill="1" applyBorder="1" applyAlignment="1" applyProtection="1">
      <alignment horizontal="right" vertical="center"/>
    </xf>
    <xf numFmtId="0" fontId="12" fillId="26" borderId="0" xfId="5" applyFont="1" applyFill="1" applyBorder="1" applyAlignment="1" applyProtection="1">
      <alignment horizontal="center" vertical="center"/>
    </xf>
    <xf numFmtId="0" fontId="11" fillId="26" borderId="0" xfId="5" applyFont="1" applyFill="1" applyBorder="1" applyAlignment="1" applyProtection="1">
      <alignment horizontal="center" vertical="center"/>
    </xf>
    <xf numFmtId="0" fontId="12" fillId="26" borderId="5" xfId="5" applyFont="1" applyFill="1" applyBorder="1" applyAlignment="1" applyProtection="1">
      <alignment horizontal="center" vertical="center"/>
    </xf>
    <xf numFmtId="166" fontId="14" fillId="26" borderId="0" xfId="5" applyNumberFormat="1" applyFont="1" applyFill="1" applyBorder="1" applyAlignment="1" applyProtection="1">
      <alignment horizontal="center" vertical="center"/>
    </xf>
    <xf numFmtId="0" fontId="14" fillId="26" borderId="0" xfId="5" applyFont="1" applyFill="1" applyBorder="1" applyAlignment="1" applyProtection="1">
      <alignment horizontal="center" vertical="center"/>
    </xf>
    <xf numFmtId="2" fontId="14" fillId="26" borderId="0" xfId="5" applyNumberFormat="1" applyFont="1" applyFill="1" applyBorder="1" applyAlignment="1" applyProtection="1">
      <alignment horizontal="center" vertical="center"/>
    </xf>
    <xf numFmtId="166" fontId="14" fillId="26" borderId="5" xfId="5" applyNumberFormat="1" applyFont="1" applyFill="1" applyBorder="1" applyAlignment="1" applyProtection="1">
      <alignment horizontal="center" vertical="center"/>
    </xf>
    <xf numFmtId="1" fontId="14" fillId="26" borderId="22" xfId="5" applyNumberFormat="1" applyFont="1" applyFill="1" applyBorder="1" applyAlignment="1" applyProtection="1">
      <alignment horizontal="center" vertical="center"/>
    </xf>
    <xf numFmtId="0" fontId="14" fillId="26" borderId="22" xfId="5" applyFont="1" applyFill="1" applyBorder="1" applyAlignment="1" applyProtection="1">
      <alignment horizontal="center" vertical="center"/>
    </xf>
    <xf numFmtId="2" fontId="14" fillId="26" borderId="22" xfId="5" applyNumberFormat="1" applyFont="1" applyFill="1" applyBorder="1" applyAlignment="1" applyProtection="1">
      <alignment horizontal="center" vertical="center"/>
    </xf>
    <xf numFmtId="0" fontId="14" fillId="26" borderId="23" xfId="5" applyFont="1" applyFill="1" applyBorder="1" applyAlignment="1" applyProtection="1">
      <alignment horizontal="center" vertical="center"/>
    </xf>
    <xf numFmtId="0" fontId="12" fillId="26" borderId="4" xfId="5" applyFont="1" applyFill="1" applyBorder="1" applyAlignment="1" applyProtection="1">
      <alignment horizontal="center" vertical="center"/>
    </xf>
    <xf numFmtId="0" fontId="12" fillId="26" borderId="6" xfId="5" applyFont="1" applyFill="1" applyBorder="1" applyAlignment="1" applyProtection="1">
      <alignment horizontal="center" vertical="center"/>
    </xf>
    <xf numFmtId="0" fontId="12" fillId="26" borderId="91" xfId="5" applyFont="1" applyFill="1" applyBorder="1" applyAlignment="1" applyProtection="1">
      <alignment horizontal="center" vertical="center"/>
    </xf>
    <xf numFmtId="2" fontId="14" fillId="26" borderId="1" xfId="5" applyNumberFormat="1" applyFont="1" applyFill="1" applyBorder="1" applyAlignment="1" applyProtection="1">
      <alignment horizontal="center" vertical="center"/>
    </xf>
    <xf numFmtId="166" fontId="14" fillId="26" borderId="1" xfId="5" applyNumberFormat="1" applyFont="1" applyFill="1" applyBorder="1" applyAlignment="1" applyProtection="1">
      <alignment horizontal="center" vertical="center"/>
    </xf>
    <xf numFmtId="0" fontId="12" fillId="26" borderId="2" xfId="5" applyFont="1" applyFill="1" applyBorder="1" applyAlignment="1" applyProtection="1">
      <alignment horizontal="right" vertical="center"/>
    </xf>
    <xf numFmtId="0" fontId="11" fillId="26" borderId="91" xfId="5" applyFont="1" applyFill="1" applyBorder="1" applyAlignment="1" applyProtection="1">
      <alignment horizontal="center" vertical="center"/>
    </xf>
    <xf numFmtId="2" fontId="14" fillId="26" borderId="21" xfId="5" applyNumberFormat="1" applyFont="1" applyFill="1" applyBorder="1" applyAlignment="1" applyProtection="1">
      <alignment horizontal="center" vertical="center"/>
    </xf>
    <xf numFmtId="0" fontId="12" fillId="26" borderId="2" xfId="5" applyFont="1" applyFill="1" applyBorder="1" applyAlignment="1" applyProtection="1">
      <alignment horizontal="center" vertical="center"/>
      <protection locked="0"/>
    </xf>
    <xf numFmtId="2" fontId="11" fillId="26" borderId="0" xfId="5" applyNumberFormat="1" applyFont="1" applyFill="1" applyBorder="1" applyAlignment="1" applyProtection="1">
      <alignment horizontal="center" vertical="center"/>
    </xf>
    <xf numFmtId="0" fontId="11" fillId="26" borderId="5" xfId="5" applyFont="1" applyFill="1" applyBorder="1" applyAlignment="1" applyProtection="1">
      <alignment horizontal="center" vertical="center"/>
    </xf>
    <xf numFmtId="0" fontId="12" fillId="26" borderId="11" xfId="5" applyFont="1" applyFill="1" applyBorder="1" applyAlignment="1" applyProtection="1">
      <alignment horizontal="center" vertical="center"/>
      <protection locked="0"/>
    </xf>
    <xf numFmtId="166" fontId="14" fillId="26" borderId="22" xfId="5" applyNumberFormat="1" applyFont="1" applyFill="1" applyBorder="1" applyAlignment="1" applyProtection="1">
      <alignment horizontal="center" vertical="center"/>
    </xf>
    <xf numFmtId="0" fontId="11" fillId="26" borderId="23" xfId="5" applyFont="1" applyFill="1" applyBorder="1" applyAlignment="1" applyProtection="1">
      <alignment horizontal="center" vertical="center"/>
    </xf>
    <xf numFmtId="0" fontId="11" fillId="26" borderId="8" xfId="5" applyFont="1" applyFill="1" applyBorder="1" applyAlignment="1" applyProtection="1">
      <alignment vertical="center"/>
    </xf>
    <xf numFmtId="219" fontId="14" fillId="26" borderId="1" xfId="0" applyNumberFormat="1" applyFont="1" applyFill="1" applyBorder="1" applyAlignment="1" applyProtection="1">
      <alignment horizontal="center" vertical="center"/>
    </xf>
    <xf numFmtId="14" fontId="2" fillId="26" borderId="0" xfId="5" applyNumberFormat="1" applyFont="1" applyFill="1" applyBorder="1" applyAlignment="1" applyProtection="1">
      <alignment horizontal="right" vertical="center"/>
    </xf>
    <xf numFmtId="14" fontId="11" fillId="26" borderId="103" xfId="5" applyNumberFormat="1" applyFont="1" applyFill="1" applyBorder="1" applyAlignment="1" applyProtection="1">
      <alignment horizontal="right" vertical="center"/>
    </xf>
    <xf numFmtId="0" fontId="22" fillId="26" borderId="0" xfId="5" applyFont="1" applyFill="1" applyBorder="1" applyAlignment="1" applyProtection="1">
      <alignment horizontal="center" vertical="center"/>
    </xf>
    <xf numFmtId="181" fontId="14" fillId="26" borderId="1" xfId="0" applyNumberFormat="1" applyFont="1" applyFill="1" applyBorder="1" applyAlignment="1" applyProtection="1">
      <alignment horizontal="center" vertical="center"/>
    </xf>
    <xf numFmtId="165" fontId="14" fillId="26" borderId="21" xfId="5" applyNumberFormat="1" applyFont="1" applyFill="1" applyBorder="1" applyAlignment="1" applyProtection="1">
      <alignment horizontal="center" vertical="center"/>
    </xf>
    <xf numFmtId="165" fontId="11" fillId="26" borderId="5" xfId="5" applyNumberFormat="1" applyFont="1" applyFill="1" applyBorder="1" applyAlignment="1" applyProtection="1">
      <alignment horizontal="right" vertical="center"/>
    </xf>
    <xf numFmtId="165" fontId="11" fillId="26" borderId="23" xfId="5" applyNumberFormat="1" applyFont="1" applyFill="1" applyBorder="1" applyAlignment="1" applyProtection="1">
      <alignment horizontal="right" vertical="center"/>
    </xf>
    <xf numFmtId="0" fontId="11" fillId="26" borderId="5" xfId="5" applyFont="1" applyFill="1" applyBorder="1" applyAlignment="1" applyProtection="1">
      <alignment horizontal="right" vertical="center"/>
    </xf>
    <xf numFmtId="0" fontId="22" fillId="26" borderId="5" xfId="5" applyFont="1" applyFill="1" applyBorder="1" applyAlignment="1" applyProtection="1">
      <alignment horizontal="center" vertical="center"/>
    </xf>
    <xf numFmtId="0" fontId="18" fillId="26" borderId="0" xfId="5" applyFont="1" applyFill="1" applyBorder="1" applyAlignment="1" applyProtection="1">
      <alignment horizontal="left" vertical="center"/>
    </xf>
    <xf numFmtId="0" fontId="18" fillId="26" borderId="0" xfId="5" applyFont="1" applyFill="1" applyBorder="1" applyAlignment="1" applyProtection="1">
      <alignment horizontal="center" vertical="center"/>
    </xf>
    <xf numFmtId="0" fontId="18" fillId="26" borderId="5" xfId="5" applyFont="1" applyFill="1" applyBorder="1" applyAlignment="1" applyProtection="1">
      <alignment horizontal="center" vertical="center"/>
    </xf>
    <xf numFmtId="180" fontId="14" fillId="26" borderId="0" xfId="5" applyNumberFormat="1" applyFont="1" applyFill="1" applyBorder="1" applyAlignment="1" applyProtection="1">
      <alignment horizontal="left" vertical="center"/>
    </xf>
    <xf numFmtId="180" fontId="11" fillId="26" borderId="2" xfId="5" applyNumberFormat="1" applyFont="1" applyFill="1" applyBorder="1" applyAlignment="1" applyProtection="1">
      <alignment horizontal="right" vertical="center"/>
    </xf>
    <xf numFmtId="0" fontId="17" fillId="26" borderId="2" xfId="5" applyFont="1" applyFill="1" applyBorder="1" applyAlignment="1" applyProtection="1">
      <alignment horizontal="left" vertical="center"/>
    </xf>
    <xf numFmtId="0" fontId="11" fillId="26" borderId="0" xfId="5" applyFont="1" applyFill="1" applyBorder="1" applyAlignment="1" applyProtection="1">
      <alignment vertical="center"/>
    </xf>
    <xf numFmtId="14" fontId="11" fillId="26" borderId="22" xfId="5" applyNumberFormat="1" applyFont="1" applyFill="1" applyBorder="1" applyAlignment="1" applyProtection="1">
      <alignment horizontal="right" vertical="center"/>
    </xf>
    <xf numFmtId="187" fontId="18" fillId="26" borderId="1" xfId="0" applyNumberFormat="1" applyFont="1" applyFill="1" applyBorder="1" applyAlignment="1" applyProtection="1">
      <alignment horizontal="center" vertical="center"/>
    </xf>
    <xf numFmtId="176" fontId="18" fillId="26" borderId="51" xfId="0" applyNumberFormat="1" applyFont="1" applyFill="1" applyBorder="1" applyAlignment="1" applyProtection="1">
      <alignment horizontal="center" vertical="center"/>
    </xf>
    <xf numFmtId="176" fontId="18" fillId="26" borderId="22" xfId="0" applyNumberFormat="1" applyFont="1" applyFill="1" applyBorder="1" applyAlignment="1" applyProtection="1">
      <alignment horizontal="center" vertical="center"/>
    </xf>
    <xf numFmtId="176" fontId="18" fillId="26" borderId="1" xfId="0" applyNumberFormat="1" applyFont="1" applyFill="1" applyBorder="1" applyAlignment="1" applyProtection="1">
      <alignment horizontal="center" vertical="center"/>
    </xf>
    <xf numFmtId="0" fontId="19" fillId="26" borderId="54" xfId="5" applyFont="1" applyFill="1" applyBorder="1" applyAlignment="1" applyProtection="1">
      <alignment vertical="center"/>
    </xf>
    <xf numFmtId="0" fontId="19" fillId="26" borderId="4" xfId="5" applyFont="1" applyFill="1" applyBorder="1" applyAlignment="1" applyProtection="1">
      <alignment vertical="center"/>
    </xf>
    <xf numFmtId="0" fontId="14" fillId="26" borderId="66" xfId="5" applyFont="1" applyFill="1" applyBorder="1" applyAlignment="1" applyProtection="1">
      <alignment horizontal="center" vertical="center"/>
    </xf>
    <xf numFmtId="0" fontId="19" fillId="26" borderId="6" xfId="5" applyFont="1" applyFill="1" applyBorder="1" applyAlignment="1" applyProtection="1">
      <alignment horizontal="center" vertical="center"/>
    </xf>
    <xf numFmtId="0" fontId="14" fillId="26" borderId="46" xfId="5" applyFont="1" applyFill="1" applyBorder="1" applyAlignment="1" applyProtection="1">
      <alignment horizontal="center" vertical="center"/>
    </xf>
    <xf numFmtId="0" fontId="14" fillId="26" borderId="21" xfId="0" applyNumberFormat="1" applyFont="1" applyFill="1" applyBorder="1" applyAlignment="1" applyProtection="1">
      <alignment horizontal="center" vertical="center"/>
    </xf>
    <xf numFmtId="193" fontId="14" fillId="26" borderId="1" xfId="0" applyNumberFormat="1" applyFont="1" applyFill="1" applyBorder="1" applyAlignment="1" applyProtection="1">
      <alignment horizontal="center" vertical="center"/>
    </xf>
    <xf numFmtId="175" fontId="14" fillId="26" borderId="1" xfId="0" applyNumberFormat="1" applyFont="1" applyFill="1" applyBorder="1" applyAlignment="1" applyProtection="1">
      <alignment horizontal="center" vertical="center"/>
    </xf>
    <xf numFmtId="0" fontId="14" fillId="26" borderId="1" xfId="5" applyFont="1" applyFill="1" applyBorder="1" applyAlignment="1" applyProtection="1">
      <alignment horizontal="center" vertical="center"/>
    </xf>
    <xf numFmtId="0" fontId="19" fillId="26" borderId="5" xfId="5" applyFont="1" applyFill="1" applyBorder="1" applyAlignment="1" applyProtection="1">
      <alignment horizontal="center" vertical="center"/>
    </xf>
    <xf numFmtId="187" fontId="14" fillId="26" borderId="1" xfId="0" applyNumberFormat="1" applyFont="1" applyFill="1" applyBorder="1" applyAlignment="1" applyProtection="1">
      <alignment horizontal="center" vertical="center"/>
    </xf>
    <xf numFmtId="0" fontId="14" fillId="26" borderId="1" xfId="0" applyFont="1" applyFill="1" applyBorder="1" applyAlignment="1" applyProtection="1">
      <alignment horizontal="center" vertical="center"/>
    </xf>
    <xf numFmtId="188" fontId="14" fillId="26" borderId="1" xfId="0" applyNumberFormat="1" applyFont="1" applyFill="1" applyBorder="1" applyAlignment="1" applyProtection="1">
      <alignment horizontal="center" vertical="center"/>
    </xf>
    <xf numFmtId="0" fontId="19" fillId="26" borderId="40" xfId="5" applyFont="1" applyFill="1" applyBorder="1" applyAlignment="1" applyProtection="1">
      <alignment vertical="center"/>
    </xf>
    <xf numFmtId="0" fontId="19" fillId="26" borderId="0" xfId="5" applyFont="1" applyFill="1" applyBorder="1" applyAlignment="1" applyProtection="1">
      <alignment vertical="center"/>
    </xf>
    <xf numFmtId="0" fontId="17" fillId="26" borderId="5" xfId="5" applyFont="1" applyFill="1" applyBorder="1" applyAlignment="1" applyProtection="1">
      <alignment horizontal="center" vertical="center"/>
    </xf>
    <xf numFmtId="188" fontId="14" fillId="26" borderId="51" xfId="0" applyNumberFormat="1" applyFont="1" applyFill="1" applyBorder="1" applyAlignment="1" applyProtection="1">
      <alignment horizontal="center" vertical="center"/>
    </xf>
    <xf numFmtId="0" fontId="14" fillId="26" borderId="51" xfId="5" applyFont="1" applyFill="1" applyBorder="1" applyAlignment="1" applyProtection="1">
      <alignment horizontal="center" vertical="center"/>
    </xf>
    <xf numFmtId="188" fontId="14" fillId="26" borderId="22" xfId="0" applyNumberFormat="1" applyFont="1" applyFill="1" applyBorder="1" applyAlignment="1" applyProtection="1">
      <alignment horizontal="center" vertical="center"/>
    </xf>
    <xf numFmtId="0" fontId="37" fillId="28" borderId="0" xfId="0" applyNumberFormat="1" applyFont="1" applyFill="1" applyAlignment="1">
      <alignment horizontal="left"/>
    </xf>
    <xf numFmtId="0" fontId="4" fillId="28" borderId="0" xfId="0" applyNumberFormat="1" applyFont="1" applyFill="1"/>
    <xf numFmtId="0" fontId="44" fillId="28" borderId="9" xfId="0" applyNumberFormat="1" applyFont="1" applyFill="1" applyBorder="1"/>
    <xf numFmtId="0" fontId="4" fillId="28" borderId="13" xfId="0" applyNumberFormat="1" applyFont="1" applyFill="1" applyBorder="1"/>
    <xf numFmtId="0" fontId="58" fillId="28" borderId="13" xfId="0" applyNumberFormat="1" applyFont="1" applyFill="1" applyBorder="1" applyAlignment="1">
      <alignment horizontal="left"/>
    </xf>
    <xf numFmtId="0" fontId="44" fillId="28" borderId="0" xfId="0" applyNumberFormat="1" applyFont="1" applyFill="1" applyBorder="1"/>
    <xf numFmtId="0" fontId="44" fillId="28" borderId="13" xfId="0" applyFont="1" applyFill="1" applyBorder="1" applyAlignment="1"/>
    <xf numFmtId="0" fontId="44" fillId="28" borderId="3" xfId="0" applyNumberFormat="1" applyFont="1" applyFill="1" applyBorder="1"/>
    <xf numFmtId="0" fontId="37" fillId="28" borderId="29" xfId="0" applyNumberFormat="1" applyFont="1" applyFill="1" applyBorder="1" applyAlignment="1">
      <alignment horizontal="left"/>
    </xf>
    <xf numFmtId="0" fontId="4" fillId="28" borderId="9" xfId="0" applyNumberFormat="1" applyFont="1" applyFill="1" applyBorder="1"/>
    <xf numFmtId="0" fontId="44" fillId="28" borderId="9" xfId="0" applyNumberFormat="1" applyFont="1" applyFill="1" applyBorder="1" applyAlignment="1"/>
    <xf numFmtId="0" fontId="44" fillId="28" borderId="10" xfId="0" applyNumberFormat="1" applyFont="1" applyFill="1" applyBorder="1" applyAlignment="1"/>
    <xf numFmtId="0" fontId="44" fillId="28" borderId="29" xfId="0" applyNumberFormat="1" applyFont="1" applyFill="1" applyBorder="1" applyAlignment="1"/>
    <xf numFmtId="0" fontId="44" fillId="28" borderId="13" xfId="0" applyNumberFormat="1" applyFont="1" applyFill="1" applyBorder="1" applyAlignment="1">
      <alignment horizontal="left"/>
    </xf>
    <xf numFmtId="0" fontId="44" fillId="28" borderId="0" xfId="0" applyNumberFormat="1" applyFont="1" applyFill="1" applyBorder="1" applyAlignment="1"/>
    <xf numFmtId="0" fontId="44" fillId="28" borderId="12" xfId="0" applyNumberFormat="1" applyFont="1" applyFill="1" applyBorder="1" applyAlignment="1"/>
    <xf numFmtId="0" fontId="44" fillId="28" borderId="13" xfId="0" applyNumberFormat="1" applyFont="1" applyFill="1" applyBorder="1" applyAlignment="1"/>
    <xf numFmtId="0" fontId="44" fillId="28" borderId="13" xfId="0" applyNumberFormat="1" applyFont="1" applyFill="1" applyBorder="1"/>
    <xf numFmtId="0" fontId="4" fillId="28" borderId="0" xfId="0" applyNumberFormat="1" applyFont="1" applyFill="1" applyBorder="1"/>
    <xf numFmtId="0" fontId="44" fillId="28" borderId="0" xfId="0" applyNumberFormat="1" applyFont="1" applyFill="1" applyBorder="1" applyAlignment="1">
      <alignment horizontal="center"/>
    </xf>
    <xf numFmtId="0" fontId="4" fillId="28" borderId="3" xfId="0" applyNumberFormat="1" applyFont="1" applyFill="1" applyBorder="1"/>
    <xf numFmtId="0" fontId="44" fillId="28" borderId="3" xfId="0" applyNumberFormat="1" applyFont="1" applyFill="1" applyBorder="1" applyAlignment="1">
      <alignment horizontal="center"/>
    </xf>
    <xf numFmtId="0" fontId="44" fillId="28" borderId="3" xfId="0" applyNumberFormat="1" applyFont="1" applyFill="1" applyBorder="1" applyAlignment="1"/>
    <xf numFmtId="0" fontId="44" fillId="28" borderId="53" xfId="0" applyNumberFormat="1" applyFont="1" applyFill="1" applyBorder="1" applyAlignment="1"/>
    <xf numFmtId="0" fontId="37" fillId="28" borderId="9" xfId="0" applyNumberFormat="1" applyFont="1" applyFill="1" applyBorder="1" applyAlignment="1">
      <alignment horizontal="center"/>
    </xf>
    <xf numFmtId="0" fontId="37" fillId="28" borderId="10" xfId="0" applyNumberFormat="1" applyFont="1" applyFill="1" applyBorder="1" applyAlignment="1">
      <alignment horizontal="center"/>
    </xf>
    <xf numFmtId="0" fontId="37" fillId="28" borderId="29" xfId="0" applyNumberFormat="1" applyFont="1" applyFill="1" applyBorder="1" applyAlignment="1">
      <alignment horizontal="center"/>
    </xf>
    <xf numFmtId="0" fontId="37" fillId="28" borderId="13" xfId="0" applyNumberFormat="1" applyFont="1" applyFill="1" applyBorder="1" applyAlignment="1">
      <alignment horizontal="center"/>
    </xf>
    <xf numFmtId="0" fontId="37" fillId="28" borderId="12" xfId="0" applyNumberFormat="1" applyFont="1" applyFill="1" applyBorder="1" applyAlignment="1">
      <alignment horizontal="center"/>
    </xf>
    <xf numFmtId="0" fontId="37" fillId="28" borderId="0" xfId="0" applyNumberFormat="1" applyFont="1" applyFill="1"/>
    <xf numFmtId="0" fontId="4" fillId="28" borderId="10" xfId="0" applyNumberFormat="1" applyFont="1" applyFill="1" applyBorder="1"/>
    <xf numFmtId="0" fontId="4" fillId="28" borderId="0" xfId="0" applyNumberFormat="1" applyFont="1" applyFill="1" applyBorder="1" applyAlignment="1">
      <alignment horizontal="center"/>
    </xf>
    <xf numFmtId="0" fontId="37" fillId="28" borderId="13" xfId="0" applyNumberFormat="1" applyFont="1" applyFill="1" applyBorder="1"/>
    <xf numFmtId="0" fontId="59" fillId="28" borderId="0" xfId="0" applyNumberFormat="1" applyFont="1" applyFill="1" applyBorder="1"/>
    <xf numFmtId="0" fontId="60" fillId="28" borderId="13" xfId="0" applyNumberFormat="1" applyFont="1" applyFill="1" applyBorder="1" applyAlignment="1"/>
    <xf numFmtId="0" fontId="60" fillId="28" borderId="12" xfId="0" applyNumberFormat="1" applyFont="1" applyFill="1" applyBorder="1" applyAlignment="1">
      <alignment horizontal="right"/>
    </xf>
    <xf numFmtId="0" fontId="37" fillId="28" borderId="13" xfId="0" applyNumberFormat="1" applyFont="1" applyFill="1" applyBorder="1" applyAlignment="1">
      <alignment horizontal="left"/>
    </xf>
    <xf numFmtId="0" fontId="60" fillId="28" borderId="0" xfId="0" applyNumberFormat="1" applyFont="1" applyFill="1" applyAlignment="1">
      <alignment horizontal="center"/>
    </xf>
    <xf numFmtId="0" fontId="4" fillId="28" borderId="13" xfId="0" applyNumberFormat="1" applyFont="1" applyFill="1" applyBorder="1" applyAlignment="1">
      <alignment horizontal="left" vertical="top"/>
    </xf>
    <xf numFmtId="0" fontId="60" fillId="28" borderId="0" xfId="0" applyNumberFormat="1" applyFont="1" applyFill="1" applyBorder="1" applyAlignment="1">
      <alignment vertical="top"/>
    </xf>
    <xf numFmtId="0" fontId="4" fillId="28" borderId="13" xfId="0" applyNumberFormat="1" applyFont="1" applyFill="1" applyBorder="1" applyAlignment="1">
      <alignment horizontal="left"/>
    </xf>
    <xf numFmtId="0" fontId="37" fillId="28" borderId="29" xfId="0" applyNumberFormat="1" applyFont="1" applyFill="1" applyBorder="1" applyAlignment="1">
      <alignment horizontal="left" vertical="top"/>
    </xf>
    <xf numFmtId="0" fontId="60" fillId="28" borderId="12" xfId="0" applyNumberFormat="1" applyFont="1" applyFill="1" applyBorder="1" applyAlignment="1">
      <alignment vertical="top"/>
    </xf>
    <xf numFmtId="0" fontId="44" fillId="28" borderId="13" xfId="0" applyNumberFormat="1" applyFont="1" applyFill="1" applyBorder="1" applyAlignment="1">
      <alignment horizontal="left" vertical="top"/>
    </xf>
    <xf numFmtId="0" fontId="44" fillId="28" borderId="12" xfId="0" applyNumberFormat="1" applyFont="1" applyFill="1" applyBorder="1" applyAlignment="1">
      <alignment vertical="top"/>
    </xf>
    <xf numFmtId="0" fontId="44" fillId="28" borderId="58" xfId="0" applyNumberFormat="1" applyFont="1" applyFill="1" applyBorder="1" applyAlignment="1">
      <alignment horizontal="left" vertical="top"/>
    </xf>
    <xf numFmtId="0" fontId="44" fillId="28" borderId="53" xfId="0" applyNumberFormat="1" applyFont="1" applyFill="1" applyBorder="1" applyAlignment="1">
      <alignment vertical="top"/>
    </xf>
    <xf numFmtId="0" fontId="60" fillId="28" borderId="9" xfId="0" applyNumberFormat="1" applyFont="1" applyFill="1" applyBorder="1" applyAlignment="1">
      <alignment horizontal="right"/>
    </xf>
    <xf numFmtId="0" fontId="4" fillId="28" borderId="53" xfId="0" applyNumberFormat="1" applyFont="1" applyFill="1" applyBorder="1"/>
    <xf numFmtId="0" fontId="4" fillId="28" borderId="58" xfId="0" applyNumberFormat="1" applyFont="1" applyFill="1" applyBorder="1"/>
    <xf numFmtId="0" fontId="60" fillId="28" borderId="0" xfId="0" applyNumberFormat="1" applyFont="1" applyFill="1" applyBorder="1" applyAlignment="1"/>
    <xf numFmtId="0" fontId="60" fillId="28" borderId="13" xfId="0" applyNumberFormat="1" applyFont="1" applyFill="1" applyBorder="1" applyAlignment="1">
      <alignment horizontal="left"/>
    </xf>
    <xf numFmtId="0" fontId="59" fillId="28" borderId="12" xfId="0" applyNumberFormat="1" applyFont="1" applyFill="1" applyBorder="1"/>
    <xf numFmtId="0" fontId="4" fillId="28" borderId="12" xfId="0" applyNumberFormat="1" applyFont="1" applyFill="1" applyBorder="1"/>
    <xf numFmtId="0" fontId="60" fillId="28" borderId="58" xfId="0" applyNumberFormat="1" applyFont="1" applyFill="1" applyBorder="1" applyAlignment="1">
      <alignment horizontal="left"/>
    </xf>
    <xf numFmtId="0" fontId="44" fillId="28" borderId="58" xfId="0" applyNumberFormat="1" applyFont="1" applyFill="1" applyBorder="1" applyAlignment="1">
      <alignment horizontal="left"/>
    </xf>
    <xf numFmtId="0" fontId="65" fillId="28" borderId="0" xfId="0" applyNumberFormat="1" applyFont="1" applyFill="1" applyBorder="1" applyAlignment="1">
      <alignment horizontal="left"/>
    </xf>
    <xf numFmtId="0" fontId="60" fillId="28" borderId="0" xfId="0" applyNumberFormat="1" applyFont="1" applyFill="1"/>
    <xf numFmtId="0" fontId="4" fillId="28" borderId="0" xfId="0" applyNumberFormat="1" applyFont="1" applyFill="1" applyAlignment="1">
      <alignment horizontal="left"/>
    </xf>
    <xf numFmtId="0" fontId="60" fillId="28" borderId="13" xfId="0" applyNumberFormat="1" applyFont="1" applyFill="1" applyBorder="1" applyAlignment="1">
      <alignment horizontal="center" vertical="top"/>
    </xf>
    <xf numFmtId="0" fontId="60" fillId="28" borderId="0" xfId="0" applyNumberFormat="1" applyFont="1" applyFill="1" applyBorder="1" applyAlignment="1">
      <alignment horizontal="center" vertical="top"/>
    </xf>
    <xf numFmtId="0" fontId="60" fillId="28" borderId="12" xfId="0" applyNumberFormat="1" applyFont="1" applyFill="1" applyBorder="1" applyAlignment="1">
      <alignment horizontal="center" vertical="top"/>
    </xf>
    <xf numFmtId="0" fontId="60" fillId="28" borderId="13" xfId="0" applyNumberFormat="1" applyFont="1" applyFill="1" applyBorder="1" applyAlignment="1">
      <alignment horizontal="center"/>
    </xf>
    <xf numFmtId="0" fontId="60" fillId="28" borderId="0" xfId="0" applyNumberFormat="1" applyFont="1" applyFill="1" applyBorder="1" applyAlignment="1">
      <alignment horizontal="center"/>
    </xf>
    <xf numFmtId="0" fontId="60" fillId="28" borderId="12" xfId="0" applyNumberFormat="1" applyFont="1" applyFill="1" applyBorder="1" applyAlignment="1">
      <alignment horizontal="center"/>
    </xf>
    <xf numFmtId="0" fontId="44" fillId="28" borderId="0" xfId="0" applyNumberFormat="1" applyFont="1" applyFill="1" applyAlignment="1">
      <alignment horizontal="center"/>
    </xf>
    <xf numFmtId="0" fontId="4" fillId="28" borderId="9" xfId="0" applyNumberFormat="1" applyFont="1" applyFill="1" applyBorder="1" applyAlignment="1">
      <alignment horizontal="center"/>
    </xf>
    <xf numFmtId="0" fontId="44" fillId="28" borderId="13" xfId="0" applyNumberFormat="1" applyFont="1" applyFill="1" applyBorder="1" applyAlignment="1">
      <alignment horizontal="center"/>
    </xf>
    <xf numFmtId="0" fontId="44" fillId="28" borderId="12" xfId="0" applyNumberFormat="1" applyFont="1" applyFill="1" applyBorder="1" applyAlignment="1">
      <alignment horizontal="center"/>
    </xf>
    <xf numFmtId="0" fontId="14" fillId="5" borderId="1" xfId="0" applyNumberFormat="1" applyFont="1" applyFill="1" applyBorder="1" applyAlignment="1" applyProtection="1">
      <alignment horizontal="center" vertical="center"/>
      <protection locked="0"/>
    </xf>
    <xf numFmtId="0" fontId="57" fillId="26" borderId="0" xfId="5" applyFont="1" applyFill="1" applyBorder="1" applyAlignment="1" applyProtection="1">
      <alignment vertical="center"/>
    </xf>
    <xf numFmtId="0" fontId="44" fillId="28" borderId="9" xfId="0" applyNumberFormat="1" applyFont="1" applyFill="1" applyBorder="1" applyAlignment="1">
      <alignment horizontal="left"/>
    </xf>
    <xf numFmtId="0" fontId="44" fillId="28" borderId="0" xfId="0" applyNumberFormat="1" applyFont="1" applyFill="1" applyBorder="1" applyAlignment="1">
      <alignment horizontal="left"/>
    </xf>
    <xf numFmtId="0" fontId="44" fillId="28" borderId="12" xfId="0" applyFont="1" applyFill="1" applyBorder="1" applyAlignment="1">
      <alignment horizontal="left"/>
    </xf>
    <xf numFmtId="0" fontId="44" fillId="28" borderId="74" xfId="0" applyNumberFormat="1" applyFont="1" applyFill="1" applyBorder="1" applyAlignment="1">
      <alignment horizontal="left"/>
    </xf>
    <xf numFmtId="0" fontId="44" fillId="28" borderId="0" xfId="0" applyNumberFormat="1" applyFont="1" applyFill="1" applyBorder="1" applyAlignment="1">
      <alignment horizontal="right" indent="1"/>
    </xf>
    <xf numFmtId="214" fontId="44" fillId="28" borderId="0" xfId="0" applyNumberFormat="1" applyFont="1" applyFill="1" applyBorder="1" applyAlignment="1">
      <alignment horizontal="left"/>
    </xf>
    <xf numFmtId="201" fontId="44" fillId="28" borderId="0" xfId="0" applyNumberFormat="1" applyFont="1" applyFill="1" applyBorder="1" applyAlignment="1">
      <alignment horizontal="left"/>
    </xf>
    <xf numFmtId="0" fontId="44" fillId="28" borderId="13" xfId="0" applyNumberFormat="1" applyFont="1" applyFill="1" applyBorder="1" applyAlignment="1">
      <alignment vertical="top" wrapText="1"/>
    </xf>
    <xf numFmtId="0" fontId="44" fillId="28" borderId="12" xfId="0" applyNumberFormat="1" applyFont="1" applyFill="1" applyBorder="1" applyAlignment="1">
      <alignment vertical="top" wrapText="1"/>
    </xf>
    <xf numFmtId="0" fontId="44" fillId="28" borderId="0" xfId="0" applyNumberFormat="1" applyFont="1" applyFill="1" applyBorder="1" applyAlignment="1">
      <alignment horizontal="left" vertical="top" wrapText="1"/>
    </xf>
    <xf numFmtId="0" fontId="4" fillId="28" borderId="0" xfId="0" applyNumberFormat="1" applyFont="1" applyFill="1" applyBorder="1" applyAlignment="1">
      <alignment horizontal="left"/>
    </xf>
    <xf numFmtId="0" fontId="4" fillId="28" borderId="13" xfId="0" applyNumberFormat="1" applyFont="1" applyFill="1" applyBorder="1" applyAlignment="1"/>
    <xf numFmtId="0" fontId="44" fillId="28" borderId="53" xfId="0" applyNumberFormat="1" applyFont="1" applyFill="1" applyBorder="1" applyAlignment="1">
      <alignment horizontal="center"/>
    </xf>
    <xf numFmtId="0" fontId="4" fillId="28" borderId="0" xfId="0" applyNumberFormat="1" applyFont="1" applyFill="1" applyBorder="1" applyAlignment="1"/>
    <xf numFmtId="166" fontId="44" fillId="28" borderId="0" xfId="0" applyNumberFormat="1" applyFont="1" applyFill="1" applyBorder="1" applyAlignment="1">
      <alignment horizontal="center"/>
    </xf>
    <xf numFmtId="195" fontId="44" fillId="28" borderId="0" xfId="0" applyNumberFormat="1" applyFont="1" applyFill="1" applyBorder="1" applyAlignment="1">
      <alignment horizontal="center"/>
    </xf>
    <xf numFmtId="194" fontId="44" fillId="28" borderId="0" xfId="0" applyNumberFormat="1" applyFont="1" applyFill="1" applyBorder="1" applyAlignment="1">
      <alignment horizontal="center"/>
    </xf>
    <xf numFmtId="199" fontId="44" fillId="28" borderId="0" xfId="0" applyNumberFormat="1" applyFont="1" applyFill="1" applyBorder="1" applyAlignment="1">
      <alignment horizontal="center"/>
    </xf>
    <xf numFmtId="200" fontId="44" fillId="28" borderId="0" xfId="0" applyNumberFormat="1" applyFont="1" applyFill="1" applyBorder="1" applyAlignment="1">
      <alignment horizontal="center"/>
    </xf>
    <xf numFmtId="197" fontId="44" fillId="28" borderId="0" xfId="0" applyNumberFormat="1" applyFont="1" applyFill="1" applyBorder="1" applyAlignment="1">
      <alignment horizontal="center"/>
    </xf>
    <xf numFmtId="2" fontId="44" fillId="28" borderId="0" xfId="0" applyNumberFormat="1" applyFont="1" applyFill="1" applyBorder="1" applyAlignment="1">
      <alignment horizontal="center"/>
    </xf>
    <xf numFmtId="0" fontId="59" fillId="28" borderId="0" xfId="0" applyNumberFormat="1" applyFont="1" applyFill="1" applyBorder="1" applyAlignment="1">
      <alignment horizontal="center"/>
    </xf>
    <xf numFmtId="0" fontId="59" fillId="28" borderId="12" xfId="0" applyNumberFormat="1" applyFont="1" applyFill="1" applyBorder="1" applyAlignment="1">
      <alignment horizontal="center"/>
    </xf>
    <xf numFmtId="1" fontId="44" fillId="28" borderId="0" xfId="0" applyNumberFormat="1" applyFont="1" applyFill="1" applyBorder="1" applyAlignment="1">
      <alignment horizontal="center"/>
    </xf>
    <xf numFmtId="2" fontId="44" fillId="28" borderId="13" xfId="0" applyNumberFormat="1" applyFont="1" applyFill="1" applyBorder="1" applyAlignment="1">
      <alignment horizontal="center"/>
    </xf>
    <xf numFmtId="0" fontId="44" fillId="28" borderId="58" xfId="0" applyNumberFormat="1" applyFont="1" applyFill="1" applyBorder="1" applyAlignment="1">
      <alignment horizontal="center"/>
    </xf>
    <xf numFmtId="0" fontId="44" fillId="28" borderId="0" xfId="0" applyFont="1" applyFill="1" applyBorder="1" applyAlignment="1">
      <alignment horizontal="center"/>
    </xf>
    <xf numFmtId="0" fontId="44" fillId="28" borderId="12" xfId="0" applyFont="1" applyFill="1" applyBorder="1" applyAlignment="1">
      <alignment horizontal="center"/>
    </xf>
    <xf numFmtId="198" fontId="44" fillId="28" borderId="0" xfId="0" applyNumberFormat="1" applyFont="1" applyFill="1" applyBorder="1" applyAlignment="1">
      <alignment horizontal="center"/>
    </xf>
    <xf numFmtId="9" fontId="44" fillId="28" borderId="12" xfId="0" applyNumberFormat="1" applyFont="1" applyFill="1" applyBorder="1" applyAlignment="1">
      <alignment horizontal="center"/>
    </xf>
    <xf numFmtId="166" fontId="44" fillId="28" borderId="13" xfId="0" applyNumberFormat="1" applyFont="1" applyFill="1" applyBorder="1" applyAlignment="1">
      <alignment horizontal="center"/>
    </xf>
    <xf numFmtId="166" fontId="44" fillId="28" borderId="12" xfId="0" applyNumberFormat="1" applyFont="1" applyFill="1" applyBorder="1" applyAlignment="1">
      <alignment horizontal="center"/>
    </xf>
    <xf numFmtId="1" fontId="59" fillId="28" borderId="13" xfId="0" applyNumberFormat="1" applyFont="1" applyFill="1" applyBorder="1" applyAlignment="1">
      <alignment horizontal="center"/>
    </xf>
    <xf numFmtId="1" fontId="59" fillId="28" borderId="0" xfId="0" applyNumberFormat="1" applyFont="1" applyFill="1" applyBorder="1" applyAlignment="1">
      <alignment horizontal="center"/>
    </xf>
    <xf numFmtId="1" fontId="44" fillId="28" borderId="12" xfId="0" applyNumberFormat="1" applyFont="1" applyFill="1" applyBorder="1" applyAlignment="1">
      <alignment horizontal="center"/>
    </xf>
    <xf numFmtId="1" fontId="59" fillId="28" borderId="12" xfId="0" applyNumberFormat="1" applyFont="1" applyFill="1" applyBorder="1" applyAlignment="1">
      <alignment horizontal="center"/>
    </xf>
    <xf numFmtId="182" fontId="60" fillId="28" borderId="13" xfId="0" applyNumberFormat="1" applyFont="1" applyFill="1" applyBorder="1" applyAlignment="1">
      <alignment horizontal="center"/>
    </xf>
    <xf numFmtId="182" fontId="60" fillId="28" borderId="0" xfId="0" applyNumberFormat="1" applyFont="1" applyFill="1" applyBorder="1" applyAlignment="1"/>
    <xf numFmtId="182" fontId="60" fillId="28" borderId="0" xfId="0" applyNumberFormat="1" applyFont="1" applyFill="1" applyBorder="1" applyAlignment="1">
      <alignment horizontal="center"/>
    </xf>
    <xf numFmtId="0" fontId="69" fillId="28" borderId="0" xfId="0" applyNumberFormat="1" applyFont="1" applyFill="1"/>
    <xf numFmtId="0" fontId="70" fillId="28" borderId="13" xfId="0" applyNumberFormat="1" applyFont="1" applyFill="1" applyBorder="1"/>
    <xf numFmtId="0" fontId="70" fillId="28" borderId="0" xfId="0" applyNumberFormat="1" applyFont="1" applyFill="1" applyBorder="1"/>
    <xf numFmtId="197" fontId="70" fillId="28" borderId="0" xfId="0" applyNumberFormat="1" applyFont="1" applyFill="1" applyBorder="1" applyAlignment="1">
      <alignment horizontal="center"/>
    </xf>
    <xf numFmtId="2" fontId="70" fillId="28" borderId="0" xfId="0" applyNumberFormat="1" applyFont="1" applyFill="1" applyBorder="1" applyAlignment="1">
      <alignment horizontal="center"/>
    </xf>
    <xf numFmtId="0" fontId="70" fillId="28" borderId="0" xfId="0" applyNumberFormat="1" applyFont="1" applyFill="1" applyBorder="1" applyAlignment="1">
      <alignment horizontal="center"/>
    </xf>
    <xf numFmtId="0" fontId="70" fillId="28" borderId="12" xfId="0" applyNumberFormat="1" applyFont="1" applyFill="1" applyBorder="1" applyAlignment="1">
      <alignment horizontal="center"/>
    </xf>
    <xf numFmtId="0" fontId="70" fillId="28" borderId="9" xfId="0" applyNumberFormat="1" applyFont="1" applyFill="1" applyBorder="1" applyAlignment="1">
      <alignment horizontal="left"/>
    </xf>
    <xf numFmtId="0" fontId="70" fillId="28" borderId="13" xfId="0" applyNumberFormat="1" applyFont="1" applyFill="1" applyBorder="1" applyAlignment="1">
      <alignment horizontal="left"/>
    </xf>
    <xf numFmtId="0" fontId="70" fillId="28" borderId="13" xfId="0" applyNumberFormat="1" applyFont="1" applyFill="1" applyBorder="1" applyAlignment="1">
      <alignment horizontal="center"/>
    </xf>
    <xf numFmtId="0" fontId="70" fillId="28" borderId="0" xfId="0" applyFont="1" applyFill="1" applyBorder="1" applyAlignment="1">
      <alignment horizontal="center"/>
    </xf>
    <xf numFmtId="0" fontId="70" fillId="28" borderId="12" xfId="0" applyFont="1" applyFill="1" applyBorder="1" applyAlignment="1">
      <alignment horizontal="center"/>
    </xf>
    <xf numFmtId="0" fontId="60" fillId="28" borderId="0" xfId="0" applyNumberFormat="1" applyFont="1" applyFill="1" applyAlignment="1">
      <alignment vertical="top" wrapText="1"/>
    </xf>
    <xf numFmtId="0" fontId="60" fillId="28" borderId="0" xfId="0" applyNumberFormat="1" applyFont="1" applyFill="1" applyAlignment="1">
      <alignment horizontal="justify" vertical="top" wrapText="1"/>
    </xf>
    <xf numFmtId="0" fontId="65" fillId="28" borderId="0" xfId="0" applyNumberFormat="1" applyFont="1" applyFill="1"/>
    <xf numFmtId="0" fontId="71" fillId="29" borderId="29" xfId="0" applyNumberFormat="1" applyFont="1" applyFill="1" applyBorder="1" applyAlignment="1">
      <alignment horizontal="left"/>
    </xf>
    <xf numFmtId="0" fontId="72" fillId="29" borderId="10" xfId="0" applyNumberFormat="1" applyFont="1" applyFill="1" applyBorder="1" applyAlignment="1"/>
    <xf numFmtId="0" fontId="72" fillId="29" borderId="0" xfId="0" applyNumberFormat="1" applyFont="1" applyFill="1" applyBorder="1" applyAlignment="1"/>
    <xf numFmtId="0" fontId="71" fillId="29" borderId="0" xfId="0" applyNumberFormat="1" applyFont="1" applyFill="1" applyBorder="1"/>
    <xf numFmtId="0" fontId="72" fillId="29" borderId="0" xfId="0" applyNumberFormat="1" applyFont="1" applyFill="1" applyBorder="1"/>
    <xf numFmtId="0" fontId="71" fillId="29" borderId="0" xfId="0" applyFont="1" applyFill="1" applyBorder="1" applyAlignment="1">
      <alignment horizontal="right"/>
    </xf>
    <xf numFmtId="0" fontId="72" fillId="29" borderId="0" xfId="0" applyFont="1" applyFill="1" applyBorder="1" applyAlignment="1"/>
    <xf numFmtId="0" fontId="72" fillId="29" borderId="0" xfId="0" applyNumberFormat="1" applyFont="1" applyFill="1" applyBorder="1" applyAlignment="1" applyProtection="1">
      <alignment horizontal="left"/>
      <protection locked="0"/>
    </xf>
    <xf numFmtId="0" fontId="71" fillId="29" borderId="58" xfId="0" applyNumberFormat="1" applyFont="1" applyFill="1" applyBorder="1" applyAlignment="1">
      <alignment horizontal="left"/>
    </xf>
    <xf numFmtId="1" fontId="14" fillId="2" borderId="51" xfId="0" applyNumberFormat="1" applyFont="1" applyFill="1" applyBorder="1" applyAlignment="1" applyProtection="1">
      <alignment horizontal="center" vertical="center"/>
      <protection locked="0"/>
    </xf>
    <xf numFmtId="0" fontId="14" fillId="5" borderId="64" xfId="0" applyFont="1" applyFill="1" applyBorder="1" applyAlignment="1" applyProtection="1">
      <alignment horizontal="center" vertical="center"/>
      <protection locked="0"/>
    </xf>
    <xf numFmtId="0" fontId="14" fillId="13" borderId="39" xfId="0" applyFont="1" applyFill="1" applyBorder="1" applyAlignment="1" applyProtection="1">
      <alignment horizontal="left" vertical="center"/>
      <protection locked="0"/>
    </xf>
    <xf numFmtId="0" fontId="14" fillId="0" borderId="137" xfId="0" applyNumberFormat="1" applyFont="1" applyFill="1" applyBorder="1" applyAlignment="1" applyProtection="1">
      <alignment horizontal="center" vertical="center"/>
      <protection locked="0"/>
    </xf>
    <xf numFmtId="0" fontId="2" fillId="0" borderId="110" xfId="6" applyFont="1" applyBorder="1" applyAlignment="1" applyProtection="1">
      <alignment horizontal="left"/>
    </xf>
    <xf numFmtId="0" fontId="60" fillId="28" borderId="12" xfId="0" applyNumberFormat="1" applyFont="1" applyFill="1" applyBorder="1" applyAlignment="1">
      <alignment horizontal="center"/>
    </xf>
    <xf numFmtId="0" fontId="44" fillId="28" borderId="12" xfId="0" applyNumberFormat="1" applyFont="1" applyFill="1" applyBorder="1" applyAlignment="1">
      <alignment horizontal="center"/>
    </xf>
    <xf numFmtId="0" fontId="44" fillId="28" borderId="0" xfId="0" applyNumberFormat="1" applyFont="1" applyFill="1" applyBorder="1" applyAlignment="1">
      <alignment horizontal="left" vertical="top" wrapText="1"/>
    </xf>
    <xf numFmtId="0" fontId="44" fillId="28" borderId="12" xfId="0" applyNumberFormat="1" applyFont="1" applyFill="1" applyBorder="1" applyAlignment="1">
      <alignment horizontal="left" vertical="top" wrapText="1"/>
    </xf>
    <xf numFmtId="0" fontId="60" fillId="28" borderId="12" xfId="0" applyNumberFormat="1" applyFont="1" applyFill="1" applyBorder="1" applyAlignment="1"/>
    <xf numFmtId="191" fontId="44" fillId="28" borderId="13" xfId="0" applyNumberFormat="1" applyFont="1" applyFill="1" applyBorder="1" applyAlignment="1"/>
    <xf numFmtId="191" fontId="44" fillId="28" borderId="0" xfId="0" applyNumberFormat="1" applyFont="1" applyFill="1" applyBorder="1" applyAlignment="1"/>
    <xf numFmtId="191" fontId="44" fillId="28" borderId="12" xfId="0" applyNumberFormat="1" applyFont="1" applyFill="1" applyBorder="1" applyAlignment="1"/>
    <xf numFmtId="0" fontId="2" fillId="2" borderId="37" xfId="0" applyFont="1" applyFill="1" applyBorder="1" applyAlignment="1" applyProtection="1">
      <alignment horizontal="center" vertical="center"/>
    </xf>
    <xf numFmtId="0" fontId="2" fillId="2" borderId="31" xfId="0" applyFont="1" applyFill="1" applyBorder="1" applyAlignment="1" applyProtection="1">
      <alignment horizontal="center" vertical="center"/>
    </xf>
    <xf numFmtId="0" fontId="58" fillId="28" borderId="13" xfId="0" applyNumberFormat="1" applyFont="1" applyFill="1" applyBorder="1" applyAlignment="1">
      <alignment horizontal="center"/>
    </xf>
    <xf numFmtId="0" fontId="58" fillId="28" borderId="0" xfId="0" applyNumberFormat="1" applyFont="1" applyFill="1" applyBorder="1" applyAlignment="1">
      <alignment horizontal="center"/>
    </xf>
    <xf numFmtId="0" fontId="58" fillId="28" borderId="12" xfId="0" applyNumberFormat="1" applyFont="1" applyFill="1" applyBorder="1" applyAlignment="1">
      <alignment horizontal="center"/>
    </xf>
    <xf numFmtId="0" fontId="14" fillId="4" borderId="0" xfId="5" applyFont="1" applyFill="1" applyBorder="1" applyAlignment="1" applyProtection="1">
      <alignment horizontal="center" vertical="center"/>
    </xf>
    <xf numFmtId="180" fontId="2" fillId="3" borderId="0" xfId="5" applyNumberFormat="1" applyFont="1" applyFill="1" applyBorder="1" applyAlignment="1" applyProtection="1">
      <alignment horizontal="right" vertical="center"/>
    </xf>
    <xf numFmtId="0" fontId="60" fillId="28" borderId="0" xfId="0" applyNumberFormat="1" applyFont="1" applyFill="1" applyBorder="1" applyAlignment="1">
      <alignment horizontal="center"/>
    </xf>
    <xf numFmtId="0" fontId="11" fillId="26" borderId="0" xfId="0" applyFont="1" applyFill="1" applyBorder="1" applyAlignment="1" applyProtection="1">
      <alignment horizontal="right" vertical="center"/>
    </xf>
    <xf numFmtId="0" fontId="11" fillId="26" borderId="0" xfId="0" applyFont="1" applyFill="1" applyBorder="1" applyAlignment="1" applyProtection="1">
      <alignment horizontal="left" vertical="center"/>
    </xf>
    <xf numFmtId="0" fontId="60" fillId="28" borderId="0" xfId="0" applyNumberFormat="1" applyFont="1" applyFill="1" applyBorder="1" applyAlignment="1">
      <alignment horizontal="center" wrapText="1"/>
    </xf>
    <xf numFmtId="0" fontId="59" fillId="28" borderId="13" xfId="0" applyNumberFormat="1" applyFont="1" applyFill="1" applyBorder="1" applyAlignment="1">
      <alignment vertical="center"/>
    </xf>
    <xf numFmtId="0" fontId="59" fillId="28" borderId="0" xfId="0" applyNumberFormat="1" applyFont="1" applyFill="1" applyBorder="1" applyAlignment="1">
      <alignment horizontal="right" vertical="center"/>
    </xf>
    <xf numFmtId="0" fontId="59" fillId="28" borderId="13" xfId="0" applyNumberFormat="1" applyFont="1" applyFill="1" applyBorder="1" applyAlignment="1">
      <alignment horizontal="center" vertical="center"/>
    </xf>
    <xf numFmtId="0" fontId="59" fillId="28" borderId="12" xfId="0" applyNumberFormat="1" applyFont="1" applyFill="1" applyBorder="1" applyAlignment="1">
      <alignment horizontal="center" vertical="center"/>
    </xf>
    <xf numFmtId="0" fontId="59" fillId="28" borderId="0" xfId="0" applyNumberFormat="1" applyFont="1" applyFill="1" applyAlignment="1">
      <alignment vertical="center"/>
    </xf>
    <xf numFmtId="0" fontId="67" fillId="28" borderId="13" xfId="0" applyNumberFormat="1" applyFont="1" applyFill="1" applyBorder="1" applyAlignment="1">
      <alignment vertical="center"/>
    </xf>
    <xf numFmtId="0" fontId="59" fillId="28" borderId="12" xfId="0" applyNumberFormat="1" applyFont="1" applyFill="1" applyBorder="1" applyAlignment="1">
      <alignment horizontal="right" vertical="center"/>
    </xf>
    <xf numFmtId="0" fontId="59" fillId="28" borderId="0" xfId="0" applyNumberFormat="1" applyFont="1" applyFill="1" applyBorder="1" applyAlignment="1">
      <alignment horizontal="center" vertical="center"/>
    </xf>
    <xf numFmtId="0" fontId="59" fillId="28" borderId="0" xfId="0" applyNumberFormat="1" applyFont="1" applyFill="1" applyBorder="1" applyAlignment="1">
      <alignment vertical="center"/>
    </xf>
    <xf numFmtId="0" fontId="59" fillId="28" borderId="0" xfId="0" applyNumberFormat="1" applyFont="1" applyFill="1" applyAlignment="1">
      <alignment horizontal="center" vertical="center"/>
    </xf>
    <xf numFmtId="0" fontId="59" fillId="28" borderId="13" xfId="0" applyNumberFormat="1" applyFont="1" applyFill="1" applyBorder="1" applyAlignment="1">
      <alignment horizontal="left" vertical="center"/>
    </xf>
    <xf numFmtId="0" fontId="44" fillId="28" borderId="58" xfId="0" applyNumberFormat="1" applyFont="1" applyFill="1" applyBorder="1" applyAlignment="1">
      <alignment vertical="top"/>
    </xf>
    <xf numFmtId="0" fontId="4" fillId="28" borderId="3" xfId="0" applyNumberFormat="1" applyFont="1" applyFill="1" applyBorder="1" applyAlignment="1">
      <alignment vertical="top"/>
    </xf>
    <xf numFmtId="0" fontId="44" fillId="28" borderId="3" xfId="0" applyNumberFormat="1" applyFont="1" applyFill="1" applyBorder="1" applyAlignment="1">
      <alignment vertical="top"/>
    </xf>
    <xf numFmtId="0" fontId="11" fillId="26" borderId="8" xfId="0" applyFont="1" applyFill="1" applyBorder="1" applyAlignment="1" applyProtection="1">
      <alignment vertical="center"/>
    </xf>
    <xf numFmtId="0" fontId="10" fillId="26" borderId="4" xfId="0" applyFont="1" applyFill="1" applyBorder="1" applyAlignment="1" applyProtection="1">
      <alignment vertical="center"/>
    </xf>
    <xf numFmtId="0" fontId="2" fillId="26" borderId="2" xfId="0" applyFont="1" applyFill="1" applyBorder="1" applyAlignment="1" applyProtection="1">
      <alignment vertical="center"/>
    </xf>
    <xf numFmtId="0" fontId="10" fillId="26" borderId="0" xfId="0" applyFont="1" applyFill="1" applyBorder="1" applyAlignment="1" applyProtection="1">
      <alignment vertical="center"/>
    </xf>
    <xf numFmtId="0" fontId="9" fillId="26" borderId="0" xfId="0" applyFont="1" applyFill="1" applyBorder="1" applyAlignment="1" applyProtection="1">
      <alignment vertical="center"/>
    </xf>
    <xf numFmtId="0" fontId="11" fillId="26" borderId="57" xfId="0" applyFont="1" applyFill="1" applyBorder="1" applyAlignment="1" applyProtection="1">
      <alignment vertical="center"/>
    </xf>
    <xf numFmtId="0" fontId="36" fillId="26" borderId="17" xfId="0" applyFont="1" applyFill="1" applyBorder="1" applyAlignment="1" applyProtection="1">
      <alignment vertical="center"/>
    </xf>
    <xf numFmtId="0" fontId="10" fillId="26" borderId="9" xfId="0" applyFont="1" applyFill="1" applyBorder="1" applyAlignment="1" applyProtection="1">
      <alignment vertical="center"/>
    </xf>
    <xf numFmtId="0" fontId="10" fillId="26" borderId="12" xfId="0" applyFont="1" applyFill="1" applyBorder="1" applyAlignment="1" applyProtection="1">
      <alignment vertical="center"/>
    </xf>
    <xf numFmtId="0" fontId="10" fillId="26" borderId="2" xfId="0" applyFont="1" applyFill="1" applyBorder="1" applyAlignment="1" applyProtection="1">
      <alignment vertical="center"/>
    </xf>
    <xf numFmtId="0" fontId="10" fillId="26" borderId="0" xfId="0" applyFont="1" applyFill="1" applyBorder="1" applyAlignment="1" applyProtection="1">
      <alignment horizontal="center" vertical="center"/>
    </xf>
    <xf numFmtId="0" fontId="14" fillId="26" borderId="3" xfId="0" applyFont="1" applyFill="1" applyBorder="1" applyAlignment="1" applyProtection="1">
      <alignment horizontal="center" vertical="center"/>
      <protection locked="0"/>
    </xf>
    <xf numFmtId="0" fontId="14" fillId="26" borderId="53" xfId="0" applyFont="1" applyFill="1" applyBorder="1" applyAlignment="1" applyProtection="1">
      <alignment horizontal="center" vertical="center"/>
    </xf>
    <xf numFmtId="0" fontId="17" fillId="26" borderId="13" xfId="0" applyFont="1" applyFill="1" applyBorder="1" applyAlignment="1" applyProtection="1">
      <alignment vertical="center"/>
    </xf>
    <xf numFmtId="0" fontId="11" fillId="26" borderId="0" xfId="0" applyFont="1" applyFill="1" applyBorder="1" applyAlignment="1" applyProtection="1">
      <alignment horizontal="center" vertical="center"/>
    </xf>
    <xf numFmtId="0" fontId="11" fillId="26" borderId="13" xfId="0" applyFont="1" applyFill="1" applyBorder="1" applyAlignment="1" applyProtection="1">
      <alignment vertical="center"/>
    </xf>
    <xf numFmtId="213" fontId="14" fillId="26" borderId="46" xfId="0" applyNumberFormat="1" applyFont="1" applyFill="1" applyBorder="1" applyAlignment="1" applyProtection="1">
      <alignment horizontal="center" vertical="center"/>
    </xf>
    <xf numFmtId="0" fontId="10" fillId="26" borderId="13" xfId="0" applyFont="1" applyFill="1" applyBorder="1" applyAlignment="1" applyProtection="1">
      <alignment vertical="center"/>
    </xf>
    <xf numFmtId="0" fontId="11" fillId="26" borderId="7" xfId="0" applyFont="1" applyFill="1" applyBorder="1" applyAlignment="1" applyProtection="1">
      <alignment horizontal="center" vertical="center"/>
    </xf>
    <xf numFmtId="0" fontId="11" fillId="26" borderId="139" xfId="0" applyFont="1" applyFill="1" applyBorder="1" applyAlignment="1" applyProtection="1">
      <alignment vertical="center"/>
      <protection locked="0"/>
    </xf>
    <xf numFmtId="0" fontId="11" fillId="26" borderId="140" xfId="0" applyFont="1" applyFill="1" applyBorder="1" applyAlignment="1" applyProtection="1">
      <alignment vertical="center"/>
      <protection locked="0"/>
    </xf>
    <xf numFmtId="0" fontId="9" fillId="26" borderId="5" xfId="0" applyFont="1" applyFill="1" applyBorder="1" applyAlignment="1" applyProtection="1">
      <alignment vertical="center"/>
    </xf>
    <xf numFmtId="0" fontId="11" fillId="26" borderId="139" xfId="0" applyFont="1" applyFill="1" applyBorder="1" applyAlignment="1" applyProtection="1">
      <alignment horizontal="center" vertical="center"/>
      <protection locked="0"/>
    </xf>
    <xf numFmtId="0" fontId="11" fillId="26" borderId="140" xfId="0" applyFont="1" applyFill="1" applyBorder="1" applyAlignment="1" applyProtection="1">
      <alignment horizontal="center" vertical="center"/>
      <protection locked="0"/>
    </xf>
    <xf numFmtId="0" fontId="11" fillId="26" borderId="91" xfId="0" applyFont="1" applyFill="1" applyBorder="1" applyAlignment="1" applyProtection="1">
      <alignment horizontal="center" vertical="center"/>
    </xf>
    <xf numFmtId="0" fontId="10" fillId="26" borderId="65" xfId="0" applyFont="1" applyFill="1" applyBorder="1" applyAlignment="1" applyProtection="1">
      <alignment vertical="center"/>
    </xf>
    <xf numFmtId="185" fontId="14" fillId="26" borderId="65" xfId="0" applyNumberFormat="1" applyFont="1" applyFill="1" applyBorder="1" applyAlignment="1" applyProtection="1">
      <alignment horizontal="center" vertical="center"/>
    </xf>
    <xf numFmtId="2" fontId="14" fillId="26" borderId="137" xfId="0" applyNumberFormat="1" applyFont="1" applyFill="1" applyBorder="1" applyAlignment="1" applyProtection="1">
      <alignment horizontal="center" vertical="center"/>
      <protection locked="0"/>
    </xf>
    <xf numFmtId="0" fontId="14" fillId="26" borderId="141" xfId="0" applyFont="1" applyFill="1" applyBorder="1" applyAlignment="1" applyProtection="1">
      <alignment horizontal="center" vertical="center"/>
      <protection locked="0"/>
    </xf>
    <xf numFmtId="0" fontId="73" fillId="26" borderId="0" xfId="0" applyFont="1" applyFill="1" applyBorder="1" applyAlignment="1" applyProtection="1">
      <alignment vertical="center"/>
    </xf>
    <xf numFmtId="0" fontId="10" fillId="26" borderId="5" xfId="0" applyFont="1" applyFill="1" applyBorder="1" applyAlignment="1" applyProtection="1">
      <alignment vertical="center"/>
    </xf>
    <xf numFmtId="0" fontId="17" fillId="26" borderId="17" xfId="0" applyFont="1" applyFill="1" applyBorder="1" applyAlignment="1" applyProtection="1">
      <alignment vertical="center"/>
    </xf>
    <xf numFmtId="0" fontId="11" fillId="26" borderId="9" xfId="0" applyFont="1" applyFill="1" applyBorder="1" applyAlignment="1" applyProtection="1">
      <alignment vertical="center"/>
    </xf>
    <xf numFmtId="169" fontId="14" fillId="26" borderId="1" xfId="0" applyNumberFormat="1" applyFont="1" applyFill="1" applyBorder="1" applyAlignment="1" applyProtection="1">
      <alignment horizontal="center" vertical="center"/>
    </xf>
    <xf numFmtId="0" fontId="11" fillId="26" borderId="9" xfId="0" applyFont="1" applyFill="1" applyBorder="1" applyAlignment="1" applyProtection="1">
      <alignment horizontal="center" vertical="center"/>
    </xf>
    <xf numFmtId="0" fontId="11" fillId="26" borderId="10" xfId="0" applyFont="1" applyFill="1" applyBorder="1" applyAlignment="1" applyProtection="1">
      <alignment horizontal="center" vertical="center"/>
    </xf>
    <xf numFmtId="0" fontId="14" fillId="26" borderId="38" xfId="0" applyFont="1" applyFill="1" applyBorder="1" applyAlignment="1" applyProtection="1">
      <alignment horizontal="center" vertical="center"/>
    </xf>
    <xf numFmtId="0" fontId="10" fillId="26" borderId="58" xfId="0" applyFont="1" applyFill="1" applyBorder="1" applyAlignment="1" applyProtection="1">
      <alignment vertical="center"/>
    </xf>
    <xf numFmtId="0" fontId="14" fillId="26" borderId="21" xfId="0" applyFont="1" applyFill="1" applyBorder="1" applyAlignment="1" applyProtection="1">
      <alignment vertical="center"/>
    </xf>
    <xf numFmtId="0" fontId="10" fillId="26" borderId="18" xfId="0" applyFont="1" applyFill="1" applyBorder="1" applyAlignment="1" applyProtection="1">
      <alignment vertical="center"/>
    </xf>
    <xf numFmtId="212" fontId="9" fillId="26" borderId="1" xfId="0" applyNumberFormat="1" applyFont="1" applyFill="1" applyBorder="1" applyAlignment="1" applyProtection="1">
      <alignment horizontal="center" vertical="center"/>
    </xf>
    <xf numFmtId="179" fontId="14" fillId="26" borderId="1" xfId="0" applyNumberFormat="1" applyFont="1" applyFill="1" applyBorder="1" applyAlignment="1" applyProtection="1">
      <alignment horizontal="center" vertical="center"/>
    </xf>
    <xf numFmtId="179" fontId="14" fillId="26" borderId="1" xfId="0" applyNumberFormat="1" applyFont="1" applyFill="1" applyBorder="1" applyAlignment="1" applyProtection="1">
      <alignment horizontal="center" vertical="center"/>
    </xf>
    <xf numFmtId="9" fontId="14" fillId="26" borderId="1" xfId="0" applyNumberFormat="1" applyFont="1" applyFill="1" applyBorder="1" applyAlignment="1" applyProtection="1">
      <alignment horizontal="center" vertical="center"/>
    </xf>
    <xf numFmtId="0" fontId="74" fillId="26" borderId="0" xfId="0" applyFont="1" applyFill="1" applyBorder="1" applyAlignment="1" applyProtection="1">
      <alignment vertical="center"/>
    </xf>
    <xf numFmtId="0" fontId="14" fillId="26" borderId="0" xfId="0" applyFont="1" applyFill="1" applyBorder="1" applyAlignment="1" applyProtection="1">
      <alignment horizontal="right" vertical="center"/>
    </xf>
    <xf numFmtId="190" fontId="14" fillId="26" borderId="0" xfId="0" applyNumberFormat="1" applyFont="1" applyFill="1" applyBorder="1" applyAlignment="1" applyProtection="1">
      <alignment vertical="center"/>
    </xf>
    <xf numFmtId="0" fontId="36" fillId="26" borderId="9" xfId="0" applyFont="1" applyFill="1" applyBorder="1" applyAlignment="1" applyProtection="1">
      <alignment horizontal="center" vertical="center"/>
    </xf>
    <xf numFmtId="0" fontId="17" fillId="26" borderId="29" xfId="0" applyFont="1" applyFill="1" applyBorder="1" applyAlignment="1" applyProtection="1">
      <alignment vertical="center"/>
    </xf>
    <xf numFmtId="0" fontId="10" fillId="26" borderId="9" xfId="0" applyFont="1" applyFill="1" applyBorder="1" applyAlignment="1" applyProtection="1">
      <alignment horizontal="center" vertical="center"/>
    </xf>
    <xf numFmtId="0" fontId="2" fillId="26" borderId="9" xfId="0" applyFont="1" applyFill="1" applyBorder="1" applyAlignment="1" applyProtection="1">
      <alignment horizontal="center" vertical="center"/>
    </xf>
    <xf numFmtId="0" fontId="10" fillId="26" borderId="10" xfId="0" applyFont="1" applyFill="1" applyBorder="1" applyAlignment="1" applyProtection="1">
      <alignment horizontal="center" vertical="center"/>
    </xf>
    <xf numFmtId="179" fontId="14" fillId="26" borderId="38" xfId="0" applyNumberFormat="1" applyFont="1" applyFill="1" applyBorder="1" applyAlignment="1" applyProtection="1">
      <alignment horizontal="center" vertical="center"/>
    </xf>
    <xf numFmtId="164" fontId="14" fillId="26" borderId="38" xfId="0" applyNumberFormat="1" applyFont="1" applyFill="1" applyBorder="1" applyAlignment="1" applyProtection="1">
      <alignment horizontal="center" vertical="center"/>
    </xf>
    <xf numFmtId="198" fontId="14" fillId="26" borderId="1" xfId="0" applyNumberFormat="1" applyFont="1" applyFill="1" applyBorder="1" applyAlignment="1" applyProtection="1">
      <alignment horizontal="center" vertical="center"/>
    </xf>
    <xf numFmtId="198" fontId="14" fillId="26" borderId="38" xfId="0" applyNumberFormat="1" applyFont="1" applyFill="1" applyBorder="1" applyAlignment="1" applyProtection="1">
      <alignment horizontal="center" vertical="center"/>
    </xf>
    <xf numFmtId="171" fontId="14" fillId="26" borderId="0" xfId="0" applyNumberFormat="1" applyFont="1" applyFill="1" applyBorder="1" applyAlignment="1" applyProtection="1">
      <alignment horizontal="center" vertical="center"/>
    </xf>
    <xf numFmtId="171" fontId="14" fillId="26" borderId="123" xfId="0" applyNumberFormat="1" applyFont="1" applyFill="1" applyBorder="1" applyAlignment="1" applyProtection="1">
      <alignment horizontal="center" vertical="center"/>
    </xf>
    <xf numFmtId="164" fontId="14" fillId="26" borderId="1" xfId="0" applyNumberFormat="1" applyFont="1" applyFill="1" applyBorder="1" applyAlignment="1" applyProtection="1">
      <alignment horizontal="center" vertical="center"/>
    </xf>
    <xf numFmtId="0" fontId="10" fillId="27" borderId="0" xfId="0" applyFont="1" applyFill="1" applyBorder="1" applyAlignment="1" applyProtection="1">
      <alignment vertical="center"/>
    </xf>
    <xf numFmtId="0" fontId="10" fillId="27" borderId="12" xfId="0" applyFont="1" applyFill="1" applyBorder="1" applyAlignment="1" applyProtection="1">
      <alignment vertical="center"/>
    </xf>
    <xf numFmtId="0" fontId="10" fillId="26" borderId="3" xfId="0" applyFont="1" applyFill="1" applyBorder="1" applyAlignment="1" applyProtection="1">
      <alignment vertical="center"/>
    </xf>
    <xf numFmtId="0" fontId="10" fillId="26" borderId="53" xfId="0" applyFont="1" applyFill="1" applyBorder="1" applyAlignment="1" applyProtection="1">
      <alignment vertical="center"/>
    </xf>
    <xf numFmtId="0" fontId="11" fillId="26" borderId="13" xfId="0" applyFont="1" applyFill="1" applyBorder="1" applyAlignment="1" applyProtection="1">
      <alignment horizontal="left" vertical="center"/>
    </xf>
    <xf numFmtId="0" fontId="10" fillId="27" borderId="13" xfId="0" applyFont="1" applyFill="1" applyBorder="1" applyAlignment="1" applyProtection="1">
      <alignment vertical="center"/>
    </xf>
    <xf numFmtId="204" fontId="14" fillId="26" borderId="1" xfId="0" applyNumberFormat="1" applyFont="1" applyFill="1" applyBorder="1" applyAlignment="1" applyProtection="1">
      <alignment horizontal="center" vertical="center"/>
      <protection locked="0"/>
    </xf>
    <xf numFmtId="0" fontId="10" fillId="26" borderId="17" xfId="0" applyFont="1" applyFill="1" applyBorder="1" applyAlignment="1" applyProtection="1">
      <alignment vertical="center"/>
    </xf>
    <xf numFmtId="0" fontId="10" fillId="26" borderId="7" xfId="0" applyFont="1" applyFill="1" applyBorder="1" applyAlignment="1" applyProtection="1">
      <alignment vertical="center"/>
    </xf>
    <xf numFmtId="0" fontId="20" fillId="26" borderId="0" xfId="0" applyFont="1" applyFill="1" applyBorder="1" applyAlignment="1" applyProtection="1">
      <alignment horizontal="right" vertical="center"/>
    </xf>
    <xf numFmtId="0" fontId="32" fillId="26" borderId="0" xfId="0" applyFont="1" applyFill="1" applyBorder="1" applyAlignment="1" applyProtection="1">
      <alignment horizontal="right" vertical="center"/>
    </xf>
    <xf numFmtId="0" fontId="14" fillId="26" borderId="0" xfId="0" applyNumberFormat="1" applyFont="1" applyFill="1" applyBorder="1" applyAlignment="1" applyProtection="1">
      <alignment horizontal="right" vertical="center"/>
    </xf>
    <xf numFmtId="0" fontId="12" fillId="26" borderId="5" xfId="0" applyFont="1" applyFill="1" applyBorder="1" applyAlignment="1" applyProtection="1">
      <alignment horizontal="center" vertical="center"/>
    </xf>
    <xf numFmtId="2" fontId="29" fillId="26" borderId="0" xfId="3" applyNumberFormat="1" applyFont="1" applyFill="1" applyBorder="1" applyAlignment="1" applyProtection="1">
      <alignment horizontal="center" vertical="center"/>
    </xf>
    <xf numFmtId="2" fontId="11" fillId="26" borderId="0" xfId="3" applyNumberFormat="1" applyFont="1" applyFill="1" applyBorder="1" applyAlignment="1" applyProtection="1">
      <alignment horizontal="left" vertical="center"/>
    </xf>
    <xf numFmtId="0" fontId="11" fillId="26" borderId="0" xfId="0" applyNumberFormat="1" applyFont="1" applyFill="1" applyBorder="1" applyAlignment="1" applyProtection="1">
      <alignment horizontal="center" vertical="center"/>
    </xf>
    <xf numFmtId="0" fontId="11" fillId="26" borderId="0" xfId="0" applyNumberFormat="1" applyFont="1" applyFill="1" applyBorder="1" applyAlignment="1" applyProtection="1">
      <alignment horizontal="left" vertical="center"/>
    </xf>
    <xf numFmtId="1" fontId="29" fillId="26" borderId="0" xfId="3" applyNumberFormat="1" applyFont="1" applyFill="1" applyBorder="1" applyAlignment="1" applyProtection="1">
      <alignment horizontal="center" vertical="center"/>
    </xf>
    <xf numFmtId="1" fontId="11" fillId="26" borderId="0" xfId="3" applyNumberFormat="1" applyFont="1" applyFill="1" applyBorder="1" applyAlignment="1" applyProtection="1">
      <alignment horizontal="left" vertical="center"/>
    </xf>
    <xf numFmtId="0" fontId="11" fillId="26" borderId="5" xfId="0" applyFont="1" applyFill="1" applyBorder="1" applyAlignment="1" applyProtection="1">
      <alignment horizontal="left" vertical="center"/>
    </xf>
    <xf numFmtId="0" fontId="29" fillId="26" borderId="0" xfId="3" applyNumberFormat="1" applyFont="1" applyFill="1" applyBorder="1" applyAlignment="1" applyProtection="1">
      <alignment horizontal="center" vertical="center"/>
    </xf>
    <xf numFmtId="0" fontId="14" fillId="26" borderId="0" xfId="0" applyNumberFormat="1" applyFont="1" applyFill="1" applyBorder="1" applyAlignment="1" applyProtection="1">
      <alignment horizontal="center" vertical="center"/>
    </xf>
    <xf numFmtId="166" fontId="29" fillId="26" borderId="0" xfId="3" applyNumberFormat="1" applyFont="1" applyFill="1" applyBorder="1" applyAlignment="1" applyProtection="1">
      <alignment horizontal="center" vertical="center"/>
    </xf>
    <xf numFmtId="166" fontId="11" fillId="26" borderId="0" xfId="3" applyNumberFormat="1" applyFont="1" applyFill="1" applyBorder="1" applyAlignment="1" applyProtection="1">
      <alignment horizontal="left" vertical="center"/>
    </xf>
    <xf numFmtId="0" fontId="10" fillId="26" borderId="11" xfId="0" applyFont="1" applyFill="1" applyBorder="1" applyAlignment="1" applyProtection="1">
      <alignment vertical="center"/>
    </xf>
    <xf numFmtId="0" fontId="10" fillId="26" borderId="22" xfId="0" applyFont="1" applyFill="1" applyBorder="1" applyAlignment="1" applyProtection="1">
      <alignment vertical="center"/>
    </xf>
    <xf numFmtId="166" fontId="29" fillId="26" borderId="22" xfId="3" applyNumberFormat="1" applyFont="1" applyFill="1" applyBorder="1" applyAlignment="1" applyProtection="1">
      <alignment horizontal="center" vertical="center"/>
    </xf>
    <xf numFmtId="166" fontId="11" fillId="26" borderId="22" xfId="3" applyNumberFormat="1" applyFont="1" applyFill="1" applyBorder="1" applyAlignment="1" applyProtection="1">
      <alignment horizontal="left" vertical="center"/>
    </xf>
    <xf numFmtId="0" fontId="10" fillId="26" borderId="23" xfId="0" applyFont="1" applyFill="1" applyBorder="1" applyAlignment="1" applyProtection="1">
      <alignment vertical="center"/>
    </xf>
    <xf numFmtId="0" fontId="10" fillId="26" borderId="142" xfId="0" applyFont="1" applyFill="1" applyBorder="1" applyAlignment="1" applyProtection="1">
      <alignment vertical="center"/>
    </xf>
    <xf numFmtId="0" fontId="10" fillId="26" borderId="144" xfId="0" applyFont="1" applyFill="1" applyBorder="1" applyAlignment="1" applyProtection="1">
      <alignment horizontal="center" vertical="center"/>
    </xf>
    <xf numFmtId="0" fontId="10" fillId="26" borderId="145" xfId="0" applyFont="1" applyFill="1" applyBorder="1" applyAlignment="1" applyProtection="1">
      <alignment horizontal="center" vertical="center"/>
    </xf>
    <xf numFmtId="0" fontId="10" fillId="26" borderId="146" xfId="0" applyFont="1" applyFill="1" applyBorder="1" applyAlignment="1" applyProtection="1">
      <alignment vertical="center"/>
    </xf>
    <xf numFmtId="2" fontId="29" fillId="26" borderId="147" xfId="3" applyNumberFormat="1" applyFont="1" applyFill="1" applyBorder="1" applyAlignment="1" applyProtection="1">
      <alignment horizontal="center" vertical="center"/>
    </xf>
    <xf numFmtId="0" fontId="10" fillId="26" borderId="24" xfId="0" applyFont="1" applyFill="1" applyBorder="1" applyAlignment="1" applyProtection="1">
      <alignment vertical="center"/>
    </xf>
    <xf numFmtId="165" fontId="29" fillId="26" borderId="147" xfId="3" applyNumberFormat="1" applyFont="1" applyFill="1" applyBorder="1" applyAlignment="1" applyProtection="1">
      <alignment horizontal="center" vertical="center"/>
    </xf>
    <xf numFmtId="164" fontId="29" fillId="26" borderId="147" xfId="3" applyNumberFormat="1" applyFont="1" applyFill="1" applyBorder="1" applyAlignment="1" applyProtection="1">
      <alignment horizontal="center" vertical="center"/>
    </xf>
    <xf numFmtId="0" fontId="10" fillId="26" borderId="149" xfId="0" applyFont="1" applyFill="1" applyBorder="1" applyAlignment="1" applyProtection="1">
      <alignment vertical="center"/>
    </xf>
    <xf numFmtId="0" fontId="10" fillId="26" borderId="47" xfId="0" applyFont="1" applyFill="1" applyBorder="1" applyAlignment="1" applyProtection="1">
      <alignment vertical="center"/>
    </xf>
    <xf numFmtId="0" fontId="10" fillId="26" borderId="45" xfId="0" applyFont="1" applyFill="1" applyBorder="1" applyAlignment="1" applyProtection="1">
      <alignment horizontal="center" vertical="center"/>
    </xf>
    <xf numFmtId="0" fontId="10" fillId="26" borderId="50" xfId="0" applyFont="1" applyFill="1" applyBorder="1" applyAlignment="1" applyProtection="1">
      <alignment vertical="center"/>
    </xf>
    <xf numFmtId="164" fontId="14" fillId="26" borderId="0" xfId="0" applyNumberFormat="1" applyFont="1" applyFill="1" applyBorder="1" applyAlignment="1" applyProtection="1">
      <alignment horizontal="center" vertical="center"/>
    </xf>
    <xf numFmtId="164" fontId="14" fillId="26" borderId="12" xfId="0" applyNumberFormat="1" applyFont="1" applyFill="1" applyBorder="1" applyAlignment="1" applyProtection="1">
      <alignment horizontal="center" vertical="center"/>
    </xf>
    <xf numFmtId="0" fontId="2" fillId="26" borderId="0" xfId="0" applyFont="1" applyFill="1" applyBorder="1" applyAlignment="1" applyProtection="1">
      <alignment vertical="center"/>
    </xf>
    <xf numFmtId="0" fontId="68" fillId="26" borderId="0" xfId="0" applyFont="1" applyFill="1" applyBorder="1" applyAlignment="1" applyProtection="1">
      <alignment horizontal="right" vertical="center"/>
    </xf>
    <xf numFmtId="0" fontId="44" fillId="28" borderId="13" xfId="0" applyNumberFormat="1" applyFont="1" applyFill="1" applyBorder="1" applyAlignment="1">
      <alignment horizontal="center"/>
    </xf>
    <xf numFmtId="0" fontId="44" fillId="28" borderId="12" xfId="0" applyNumberFormat="1" applyFont="1" applyFill="1" applyBorder="1" applyAlignment="1">
      <alignment horizontal="center"/>
    </xf>
    <xf numFmtId="0" fontId="2" fillId="0" borderId="29" xfId="0" applyFont="1" applyBorder="1" applyAlignment="1" applyProtection="1">
      <alignment horizontal="left"/>
    </xf>
    <xf numFmtId="0" fontId="11" fillId="0" borderId="9" xfId="0" applyFont="1" applyBorder="1" applyAlignment="1" applyProtection="1">
      <alignment horizontal="center"/>
    </xf>
    <xf numFmtId="0" fontId="11" fillId="0" borderId="10" xfId="0" applyFont="1" applyBorder="1" applyAlignment="1" applyProtection="1">
      <alignment horizontal="center"/>
    </xf>
    <xf numFmtId="0" fontId="11" fillId="0" borderId="13" xfId="0" applyFont="1" applyBorder="1" applyAlignment="1" applyProtection="1">
      <alignment horizontal="left"/>
    </xf>
    <xf numFmtId="0" fontId="11" fillId="0" borderId="58" xfId="0" applyFont="1" applyBorder="1" applyProtection="1"/>
    <xf numFmtId="0" fontId="11" fillId="0" borderId="3" xfId="0" applyFont="1" applyBorder="1" applyAlignment="1" applyProtection="1">
      <alignment horizontal="center"/>
    </xf>
    <xf numFmtId="0" fontId="11" fillId="0" borderId="53" xfId="0" applyFont="1" applyBorder="1" applyAlignment="1" applyProtection="1">
      <alignment horizontal="center"/>
    </xf>
    <xf numFmtId="0" fontId="11" fillId="30" borderId="4" xfId="0" applyFont="1" applyFill="1" applyBorder="1" applyAlignment="1" applyProtection="1">
      <alignment horizontal="right" vertical="center"/>
    </xf>
    <xf numFmtId="0" fontId="11" fillId="30" borderId="0" xfId="0" applyFont="1" applyFill="1" applyBorder="1" applyAlignment="1" applyProtection="1">
      <alignment horizontal="right" vertical="center"/>
    </xf>
    <xf numFmtId="20" fontId="11" fillId="30" borderId="4" xfId="0" applyNumberFormat="1" applyFont="1" applyFill="1" applyBorder="1" applyAlignment="1" applyProtection="1">
      <alignment horizontal="right" vertical="center"/>
    </xf>
    <xf numFmtId="20" fontId="11" fillId="30" borderId="0" xfId="0" applyNumberFormat="1" applyFont="1" applyFill="1" applyBorder="1" applyAlignment="1" applyProtection="1">
      <alignment horizontal="right" vertical="center"/>
    </xf>
    <xf numFmtId="0" fontId="11" fillId="30" borderId="0" xfId="0" applyNumberFormat="1" applyFont="1" applyFill="1" applyBorder="1" applyAlignment="1" applyProtection="1">
      <alignment horizontal="right" vertical="center"/>
      <protection locked="0"/>
    </xf>
    <xf numFmtId="2" fontId="14" fillId="30" borderId="0" xfId="0" applyNumberFormat="1" applyFont="1" applyFill="1" applyBorder="1" applyAlignment="1" applyProtection="1">
      <alignment horizontal="center" vertical="center"/>
    </xf>
    <xf numFmtId="0" fontId="14" fillId="30" borderId="0" xfId="0" applyNumberFormat="1" applyFont="1" applyFill="1" applyBorder="1" applyAlignment="1" applyProtection="1">
      <alignment horizontal="center" vertical="center"/>
      <protection locked="0"/>
    </xf>
    <xf numFmtId="0" fontId="12" fillId="30" borderId="21" xfId="4" applyFont="1" applyFill="1" applyBorder="1" applyAlignment="1" applyProtection="1">
      <alignment horizontal="center"/>
    </xf>
    <xf numFmtId="0" fontId="11" fillId="30" borderId="5" xfId="0" applyFont="1" applyFill="1" applyBorder="1" applyAlignment="1" applyProtection="1">
      <alignment vertical="center"/>
    </xf>
    <xf numFmtId="1" fontId="11" fillId="30" borderId="2" xfId="0" applyNumberFormat="1" applyFont="1" applyFill="1" applyBorder="1" applyAlignment="1" applyProtection="1">
      <alignment horizontal="center" vertical="center"/>
    </xf>
    <xf numFmtId="0" fontId="11" fillId="0" borderId="0" xfId="0" applyFont="1" applyFill="1" applyAlignment="1" applyProtection="1">
      <alignment vertical="center"/>
    </xf>
    <xf numFmtId="0" fontId="8" fillId="0" borderId="0" xfId="0" applyFont="1" applyFill="1" applyAlignment="1" applyProtection="1">
      <alignment vertical="center"/>
    </xf>
    <xf numFmtId="0" fontId="11" fillId="27" borderId="4" xfId="0" applyFont="1" applyFill="1" applyBorder="1" applyAlignment="1" applyProtection="1">
      <alignment horizontal="right" vertical="center"/>
    </xf>
    <xf numFmtId="0" fontId="10" fillId="27" borderId="0" xfId="0" applyFont="1" applyFill="1" applyBorder="1" applyAlignment="1" applyProtection="1">
      <alignment horizontal="right" vertical="center"/>
    </xf>
    <xf numFmtId="0" fontId="11" fillId="27" borderId="0" xfId="0" applyFont="1" applyFill="1" applyBorder="1" applyAlignment="1" applyProtection="1">
      <alignment horizontal="right" vertical="center"/>
    </xf>
    <xf numFmtId="0" fontId="13" fillId="27" borderId="9" xfId="0" applyFont="1" applyFill="1" applyBorder="1" applyAlignment="1" applyProtection="1">
      <alignment vertical="center"/>
    </xf>
    <xf numFmtId="0" fontId="18" fillId="27" borderId="0" xfId="0" applyFont="1" applyFill="1" applyBorder="1" applyAlignment="1" applyProtection="1">
      <alignment horizontal="right" vertical="center"/>
    </xf>
    <xf numFmtId="192" fontId="18" fillId="27" borderId="0" xfId="0" applyNumberFormat="1" applyFont="1" applyFill="1" applyBorder="1" applyAlignment="1" applyProtection="1">
      <alignment horizontal="right" vertical="center"/>
    </xf>
    <xf numFmtId="0" fontId="11" fillId="27" borderId="0" xfId="0" applyFont="1" applyFill="1" applyBorder="1" applyAlignment="1" applyProtection="1">
      <alignment horizontal="center" vertical="center"/>
    </xf>
    <xf numFmtId="9" fontId="11" fillId="27" borderId="0" xfId="0" applyNumberFormat="1" applyFont="1" applyFill="1" applyBorder="1" applyAlignment="1" applyProtection="1">
      <alignment horizontal="center" vertical="center"/>
    </xf>
    <xf numFmtId="1" fontId="11" fillId="27" borderId="0" xfId="0" applyNumberFormat="1" applyFont="1" applyFill="1" applyBorder="1" applyAlignment="1" applyProtection="1">
      <alignment horizontal="right" vertical="center"/>
    </xf>
    <xf numFmtId="1" fontId="11" fillId="27" borderId="12" xfId="0" applyNumberFormat="1" applyFont="1" applyFill="1" applyBorder="1" applyAlignment="1" applyProtection="1">
      <alignment horizontal="center" vertical="center"/>
    </xf>
    <xf numFmtId="0" fontId="17" fillId="27" borderId="4" xfId="0" applyFont="1" applyFill="1" applyBorder="1" applyAlignment="1" applyProtection="1">
      <alignment vertical="center"/>
    </xf>
    <xf numFmtId="0" fontId="17" fillId="27" borderId="0" xfId="0" applyFont="1" applyFill="1" applyBorder="1" applyAlignment="1" applyProtection="1">
      <alignment vertical="center"/>
    </xf>
    <xf numFmtId="0" fontId="11" fillId="27" borderId="9" xfId="0" applyFont="1" applyFill="1" applyBorder="1" applyAlignment="1" applyProtection="1">
      <alignment horizontal="left" vertical="center"/>
    </xf>
    <xf numFmtId="0" fontId="11" fillId="27" borderId="0" xfId="0" applyFont="1" applyFill="1" applyBorder="1" applyAlignment="1" applyProtection="1">
      <alignment horizontal="left" vertical="center"/>
    </xf>
    <xf numFmtId="0" fontId="11" fillId="27" borderId="3" xfId="0" applyFont="1" applyFill="1" applyBorder="1" applyAlignment="1" applyProtection="1">
      <alignment horizontal="left" vertical="center"/>
    </xf>
    <xf numFmtId="0" fontId="11" fillId="27" borderId="22" xfId="0" applyFont="1" applyFill="1" applyBorder="1" applyAlignment="1" applyProtection="1">
      <alignment vertical="center"/>
    </xf>
    <xf numFmtId="166" fontId="14" fillId="9" borderId="30" xfId="0" applyNumberFormat="1" applyFont="1" applyFill="1" applyBorder="1" applyAlignment="1" applyProtection="1">
      <alignment horizontal="center" vertical="center"/>
    </xf>
    <xf numFmtId="0" fontId="11" fillId="0" borderId="2" xfId="0" applyFont="1" applyBorder="1" applyAlignment="1" applyProtection="1">
      <alignment vertical="center"/>
    </xf>
    <xf numFmtId="0" fontId="2" fillId="0" borderId="0" xfId="0" applyFont="1" applyAlignment="1" applyProtection="1">
      <alignment horizontal="right" vertical="center"/>
    </xf>
    <xf numFmtId="0" fontId="2" fillId="0" borderId="0" xfId="0" applyFont="1" applyAlignment="1" applyProtection="1">
      <alignment vertical="center"/>
    </xf>
    <xf numFmtId="0" fontId="75" fillId="0" borderId="0" xfId="0" applyFont="1" applyAlignment="1">
      <alignment vertical="center"/>
    </xf>
    <xf numFmtId="0" fontId="2" fillId="0" borderId="0" xfId="0" applyFont="1" applyAlignment="1" applyProtection="1">
      <alignment horizontal="left"/>
    </xf>
    <xf numFmtId="0" fontId="11" fillId="0" borderId="0" xfId="0" applyFont="1" applyBorder="1" applyAlignment="1" applyProtection="1">
      <alignment horizontal="center"/>
    </xf>
    <xf numFmtId="0" fontId="11" fillId="0" borderId="12" xfId="0" applyFont="1" applyBorder="1" applyAlignment="1" applyProtection="1">
      <alignment horizontal="center"/>
    </xf>
    <xf numFmtId="0" fontId="2" fillId="0" borderId="29" xfId="0" applyFont="1" applyBorder="1" applyAlignment="1" applyProtection="1">
      <alignment horizontal="center"/>
    </xf>
    <xf numFmtId="0" fontId="2" fillId="0" borderId="13" xfId="0" applyFont="1" applyBorder="1" applyAlignment="1" applyProtection="1">
      <alignment horizontal="center"/>
    </xf>
    <xf numFmtId="0" fontId="2" fillId="0" borderId="58" xfId="0" applyFont="1" applyBorder="1" applyAlignment="1" applyProtection="1">
      <alignment horizontal="center"/>
    </xf>
    <xf numFmtId="0" fontId="11" fillId="26" borderId="0" xfId="0" applyNumberFormat="1" applyFont="1" applyFill="1" applyBorder="1" applyAlignment="1" applyProtection="1">
      <alignment horizontal="right" vertical="center"/>
      <protection locked="0"/>
    </xf>
    <xf numFmtId="2" fontId="14" fillId="26" borderId="0" xfId="3" applyNumberFormat="1" applyFont="1" applyFill="1" applyBorder="1" applyAlignment="1" applyProtection="1">
      <alignment horizontal="center" vertical="center"/>
    </xf>
    <xf numFmtId="0" fontId="11" fillId="26" borderId="0" xfId="0" applyFont="1" applyFill="1" applyBorder="1" applyAlignment="1" applyProtection="1">
      <alignment horizontal="left" vertical="center"/>
    </xf>
    <xf numFmtId="0" fontId="2" fillId="3" borderId="39" xfId="0" applyFont="1" applyFill="1" applyBorder="1" applyAlignment="1" applyProtection="1">
      <alignment horizontal="center" vertical="center"/>
    </xf>
    <xf numFmtId="0" fontId="44" fillId="28" borderId="0" xfId="0" applyNumberFormat="1" applyFont="1" applyFill="1" applyBorder="1" applyAlignment="1">
      <alignment horizontal="center"/>
    </xf>
    <xf numFmtId="0" fontId="2" fillId="26" borderId="8" xfId="0" applyFont="1" applyFill="1" applyBorder="1" applyAlignment="1" applyProtection="1">
      <alignment horizontal="right" vertical="center"/>
    </xf>
    <xf numFmtId="0" fontId="2" fillId="26" borderId="4" xfId="5"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3" borderId="4" xfId="5" applyFont="1" applyFill="1" applyBorder="1" applyAlignment="1" applyProtection="1">
      <alignment horizontal="center" vertical="center"/>
    </xf>
    <xf numFmtId="0" fontId="11" fillId="33" borderId="4" xfId="5" applyFont="1" applyFill="1" applyBorder="1" applyAlignment="1" applyProtection="1">
      <alignment horizontal="center" vertical="center"/>
    </xf>
    <xf numFmtId="14" fontId="11" fillId="33" borderId="4" xfId="5" applyNumberFormat="1" applyFont="1" applyFill="1" applyBorder="1" applyAlignment="1" applyProtection="1">
      <alignment horizontal="right" vertical="center"/>
    </xf>
    <xf numFmtId="0" fontId="14" fillId="33" borderId="4" xfId="5" applyFont="1" applyFill="1" applyBorder="1" applyAlignment="1" applyProtection="1">
      <alignment horizontal="left" vertical="center"/>
    </xf>
    <xf numFmtId="0" fontId="14" fillId="33" borderId="6" xfId="5" applyFont="1" applyFill="1" applyBorder="1" applyAlignment="1" applyProtection="1">
      <alignment horizontal="center" vertical="center"/>
    </xf>
    <xf numFmtId="14" fontId="11" fillId="33" borderId="0" xfId="5" applyNumberFormat="1" applyFont="1" applyFill="1" applyBorder="1" applyAlignment="1" applyProtection="1">
      <alignment horizontal="right" vertical="center"/>
    </xf>
    <xf numFmtId="0" fontId="14" fillId="33" borderId="1" xfId="5" applyFont="1" applyFill="1" applyBorder="1" applyAlignment="1" applyProtection="1">
      <alignment horizontal="center" vertical="center"/>
    </xf>
    <xf numFmtId="0" fontId="18" fillId="33" borderId="0" xfId="5" applyFont="1" applyFill="1" applyBorder="1" applyAlignment="1" applyProtection="1">
      <alignment horizontal="left" vertical="center"/>
    </xf>
    <xf numFmtId="0" fontId="18" fillId="33" borderId="5" xfId="5" applyFont="1" applyFill="1" applyBorder="1" applyAlignment="1" applyProtection="1">
      <alignment horizontal="center" vertical="center"/>
    </xf>
    <xf numFmtId="180" fontId="14" fillId="33" borderId="0" xfId="5" applyNumberFormat="1" applyFont="1" applyFill="1" applyBorder="1" applyAlignment="1" applyProtection="1">
      <alignment horizontal="left" vertical="center"/>
    </xf>
    <xf numFmtId="0" fontId="11" fillId="33" borderId="1" xfId="0" applyFont="1" applyFill="1" applyBorder="1" applyAlignment="1" applyProtection="1">
      <alignment horizontal="center" vertical="center"/>
      <protection locked="0"/>
    </xf>
    <xf numFmtId="0" fontId="11" fillId="33" borderId="5" xfId="5" applyFont="1" applyFill="1" applyBorder="1" applyAlignment="1" applyProtection="1">
      <alignment horizontal="center" vertical="center"/>
      <protection locked="0"/>
    </xf>
    <xf numFmtId="0" fontId="22" fillId="33" borderId="22" xfId="5" applyFont="1" applyFill="1" applyBorder="1" applyAlignment="1" applyProtection="1">
      <alignment horizontal="center" vertical="center"/>
    </xf>
    <xf numFmtId="14" fontId="11" fillId="33" borderId="56" xfId="5" applyNumberFormat="1" applyFont="1" applyFill="1" applyBorder="1" applyAlignment="1" applyProtection="1">
      <alignment horizontal="right" vertical="center"/>
    </xf>
    <xf numFmtId="0" fontId="11" fillId="33" borderId="11" xfId="5" applyFont="1" applyFill="1" applyBorder="1" applyAlignment="1" applyProtection="1">
      <alignment horizontal="right" vertical="center"/>
    </xf>
    <xf numFmtId="0" fontId="11" fillId="33" borderId="22" xfId="5" applyFont="1" applyFill="1" applyBorder="1" applyAlignment="1" applyProtection="1">
      <alignment horizontal="right" vertical="center"/>
    </xf>
    <xf numFmtId="0" fontId="11" fillId="33" borderId="23" xfId="5" applyFont="1" applyFill="1" applyBorder="1" applyAlignment="1" applyProtection="1">
      <alignment horizontal="right" vertical="center"/>
    </xf>
    <xf numFmtId="0" fontId="14" fillId="33" borderId="1" xfId="0" applyFont="1" applyFill="1" applyBorder="1" applyAlignment="1" applyProtection="1">
      <alignment horizontal="center" vertical="center"/>
    </xf>
    <xf numFmtId="0" fontId="14" fillId="33" borderId="21" xfId="0" applyFont="1" applyFill="1" applyBorder="1" applyAlignment="1" applyProtection="1">
      <alignment horizontal="center" vertical="center"/>
      <protection locked="0"/>
    </xf>
    <xf numFmtId="0" fontId="11" fillId="33" borderId="8" xfId="5" applyFont="1" applyFill="1" applyBorder="1" applyAlignment="1" applyProtection="1">
      <alignment vertical="center"/>
    </xf>
    <xf numFmtId="0" fontId="11" fillId="33" borderId="4" xfId="5" applyFont="1" applyFill="1" applyBorder="1" applyAlignment="1" applyProtection="1">
      <alignment vertical="center"/>
    </xf>
    <xf numFmtId="0" fontId="11" fillId="33" borderId="2" xfId="5" applyFont="1" applyFill="1" applyBorder="1" applyAlignment="1" applyProtection="1">
      <alignment horizontal="right" vertical="center"/>
    </xf>
    <xf numFmtId="0" fontId="11" fillId="33" borderId="0" xfId="5" applyFont="1" applyFill="1" applyBorder="1" applyAlignment="1" applyProtection="1">
      <alignment horizontal="right" vertical="center"/>
    </xf>
    <xf numFmtId="180" fontId="11" fillId="33" borderId="0" xfId="5" applyNumberFormat="1" applyFont="1" applyFill="1" applyBorder="1" applyAlignment="1" applyProtection="1">
      <alignment horizontal="right" vertical="center"/>
    </xf>
    <xf numFmtId="0" fontId="34" fillId="34" borderId="2" xfId="0" applyNumberFormat="1" applyFont="1" applyFill="1" applyBorder="1" applyAlignment="1">
      <alignment horizontal="left"/>
    </xf>
    <xf numFmtId="0" fontId="2" fillId="33" borderId="4" xfId="5" applyFont="1" applyFill="1" applyBorder="1" applyAlignment="1" applyProtection="1">
      <alignment horizontal="center" vertical="center"/>
    </xf>
    <xf numFmtId="0" fontId="12" fillId="33" borderId="4" xfId="5" applyFont="1" applyFill="1" applyBorder="1" applyAlignment="1" applyProtection="1">
      <alignment horizontal="center" vertical="center"/>
    </xf>
    <xf numFmtId="0" fontId="11" fillId="33" borderId="6" xfId="5" applyFont="1" applyFill="1" applyBorder="1" applyAlignment="1" applyProtection="1">
      <alignment horizontal="center" vertical="center"/>
    </xf>
    <xf numFmtId="0" fontId="12" fillId="33" borderId="0" xfId="5" applyFont="1" applyFill="1" applyBorder="1" applyAlignment="1" applyProtection="1">
      <alignment horizontal="center" vertical="center"/>
    </xf>
    <xf numFmtId="0" fontId="12" fillId="33" borderId="5" xfId="5" applyFont="1" applyFill="1" applyBorder="1" applyAlignment="1" applyProtection="1">
      <alignment horizontal="center" vertical="center"/>
    </xf>
    <xf numFmtId="0" fontId="17" fillId="33" borderId="8" xfId="5" applyFont="1" applyFill="1" applyBorder="1" applyAlignment="1" applyProtection="1">
      <alignment horizontal="left" vertical="center"/>
    </xf>
    <xf numFmtId="0" fontId="12" fillId="33" borderId="2" xfId="5" applyFont="1" applyFill="1" applyBorder="1" applyAlignment="1" applyProtection="1">
      <alignment horizontal="left" vertical="center"/>
    </xf>
    <xf numFmtId="0" fontId="12" fillId="33" borderId="26" xfId="5" applyFont="1" applyFill="1" applyBorder="1" applyAlignment="1" applyProtection="1">
      <alignment horizontal="center" vertical="center"/>
      <protection locked="0"/>
    </xf>
    <xf numFmtId="167" fontId="15" fillId="33" borderId="1" xfId="5" applyNumberFormat="1" applyFont="1" applyFill="1" applyBorder="1" applyAlignment="1" applyProtection="1">
      <alignment horizontal="right" vertical="center"/>
    </xf>
    <xf numFmtId="0" fontId="11" fillId="33" borderId="2" xfId="5" applyFont="1" applyFill="1" applyBorder="1" applyAlignment="1" applyProtection="1">
      <alignment horizontal="left" vertical="center"/>
    </xf>
    <xf numFmtId="0" fontId="11" fillId="33" borderId="0" xfId="5" applyFont="1" applyFill="1" applyBorder="1" applyAlignment="1" applyProtection="1">
      <alignment horizontal="left" vertical="center"/>
    </xf>
    <xf numFmtId="0" fontId="11" fillId="33" borderId="11" xfId="5" applyFont="1" applyFill="1" applyBorder="1" applyAlignment="1" applyProtection="1">
      <alignment horizontal="left" vertical="center"/>
    </xf>
    <xf numFmtId="0" fontId="11" fillId="33" borderId="0" xfId="5" applyFont="1" applyFill="1" applyBorder="1" applyAlignment="1" applyProtection="1">
      <alignment horizontal="center" vertical="center"/>
    </xf>
    <xf numFmtId="0" fontId="11" fillId="33" borderId="5" xfId="5" applyFont="1" applyFill="1" applyBorder="1" applyAlignment="1" applyProtection="1">
      <alignment horizontal="center" vertical="center"/>
    </xf>
    <xf numFmtId="166" fontId="14" fillId="33" borderId="0" xfId="5" applyNumberFormat="1" applyFont="1" applyFill="1" applyBorder="1" applyAlignment="1" applyProtection="1">
      <alignment horizontal="center" vertical="center"/>
    </xf>
    <xf numFmtId="0" fontId="14" fillId="33" borderId="0" xfId="5" applyFont="1" applyFill="1" applyBorder="1" applyAlignment="1" applyProtection="1">
      <alignment horizontal="center" vertical="center"/>
    </xf>
    <xf numFmtId="2" fontId="14" fillId="33" borderId="0" xfId="5" applyNumberFormat="1" applyFont="1" applyFill="1" applyBorder="1" applyAlignment="1" applyProtection="1">
      <alignment horizontal="center" vertical="center"/>
    </xf>
    <xf numFmtId="166" fontId="14" fillId="33" borderId="5" xfId="5" applyNumberFormat="1" applyFont="1" applyFill="1" applyBorder="1" applyAlignment="1" applyProtection="1">
      <alignment horizontal="center" vertical="center"/>
    </xf>
    <xf numFmtId="1" fontId="14" fillId="33" borderId="22" xfId="5" applyNumberFormat="1" applyFont="1" applyFill="1" applyBorder="1" applyAlignment="1" applyProtection="1">
      <alignment horizontal="center" vertical="center"/>
    </xf>
    <xf numFmtId="0" fontId="14" fillId="33" borderId="22" xfId="5" applyFont="1" applyFill="1" applyBorder="1" applyAlignment="1" applyProtection="1">
      <alignment horizontal="center" vertical="center"/>
    </xf>
    <xf numFmtId="2" fontId="11" fillId="33" borderId="22" xfId="5" applyNumberFormat="1" applyFont="1" applyFill="1" applyBorder="1" applyAlignment="1" applyProtection="1">
      <alignment horizontal="right" vertical="center"/>
    </xf>
    <xf numFmtId="166" fontId="14" fillId="33" borderId="22" xfId="5" applyNumberFormat="1" applyFont="1" applyFill="1" applyBorder="1" applyAlignment="1" applyProtection="1">
      <alignment horizontal="center" vertical="center"/>
    </xf>
    <xf numFmtId="166" fontId="14" fillId="33" borderId="23" xfId="5" applyNumberFormat="1" applyFont="1" applyFill="1" applyBorder="1" applyAlignment="1" applyProtection="1">
      <alignment horizontal="center" vertical="center"/>
    </xf>
    <xf numFmtId="2" fontId="14" fillId="33" borderId="1" xfId="5" applyNumberFormat="1" applyFont="1" applyFill="1" applyBorder="1" applyAlignment="1" applyProtection="1">
      <alignment horizontal="center" vertical="center"/>
    </xf>
    <xf numFmtId="2" fontId="14" fillId="33" borderId="21" xfId="5" applyNumberFormat="1" applyFont="1" applyFill="1" applyBorder="1" applyAlignment="1" applyProtection="1">
      <alignment horizontal="center" vertical="center"/>
    </xf>
    <xf numFmtId="0" fontId="11" fillId="26" borderId="2" xfId="0" applyFont="1" applyFill="1" applyBorder="1" applyAlignment="1" applyProtection="1">
      <alignment horizontal="center" vertical="center"/>
      <protection locked="0"/>
    </xf>
    <xf numFmtId="0" fontId="11" fillId="26" borderId="0" xfId="0" applyFont="1" applyFill="1" applyBorder="1" applyAlignment="1" applyProtection="1">
      <alignment horizontal="center" vertical="center"/>
      <protection locked="0"/>
    </xf>
    <xf numFmtId="0" fontId="11" fillId="26" borderId="5" xfId="0" applyFont="1" applyFill="1" applyBorder="1" applyAlignment="1" applyProtection="1">
      <alignment horizontal="center" vertical="center"/>
      <protection locked="0"/>
    </xf>
    <xf numFmtId="0" fontId="11" fillId="26" borderId="15" xfId="0" applyFont="1" applyFill="1" applyBorder="1" applyAlignment="1" applyProtection="1">
      <alignment horizontal="center" vertical="center"/>
      <protection locked="0"/>
    </xf>
    <xf numFmtId="0" fontId="11" fillId="26" borderId="91" xfId="0" applyFont="1" applyFill="1" applyBorder="1" applyAlignment="1" applyProtection="1">
      <alignment horizontal="center" vertical="center"/>
      <protection locked="0"/>
    </xf>
    <xf numFmtId="0" fontId="11" fillId="26" borderId="11" xfId="0" applyFont="1" applyFill="1" applyBorder="1" applyAlignment="1" applyProtection="1">
      <alignment horizontal="center" vertical="center"/>
      <protection locked="0"/>
    </xf>
    <xf numFmtId="0" fontId="11" fillId="33" borderId="8" xfId="0" applyFont="1" applyFill="1" applyBorder="1" applyAlignment="1" applyProtection="1">
      <alignment horizontal="center" vertical="center"/>
      <protection locked="0"/>
    </xf>
    <xf numFmtId="0" fontId="11" fillId="33" borderId="4" xfId="0" applyFont="1" applyFill="1" applyBorder="1" applyAlignment="1" applyProtection="1">
      <alignment horizontal="center" vertical="center"/>
      <protection locked="0"/>
    </xf>
    <xf numFmtId="0" fontId="11" fillId="33" borderId="4" xfId="0" applyFont="1" applyFill="1" applyBorder="1" applyAlignment="1" applyProtection="1">
      <alignment horizontal="center" vertical="center"/>
    </xf>
    <xf numFmtId="0" fontId="11" fillId="33" borderId="6" xfId="0" applyFont="1" applyFill="1" applyBorder="1" applyAlignment="1" applyProtection="1">
      <alignment horizontal="center" vertical="center"/>
      <protection locked="0"/>
    </xf>
    <xf numFmtId="0" fontId="11" fillId="33" borderId="55" xfId="0" applyFont="1" applyFill="1" applyBorder="1" applyAlignment="1" applyProtection="1">
      <alignment horizontal="center" vertical="center"/>
      <protection locked="0"/>
    </xf>
    <xf numFmtId="0" fontId="11" fillId="33" borderId="15" xfId="0" applyFont="1" applyFill="1" applyBorder="1" applyAlignment="1" applyProtection="1">
      <alignment horizontal="center" vertical="center"/>
      <protection locked="0"/>
    </xf>
    <xf numFmtId="0" fontId="11" fillId="33" borderId="91" xfId="0" applyFont="1" applyFill="1" applyBorder="1" applyAlignment="1" applyProtection="1">
      <alignment horizontal="center" vertical="center"/>
      <protection locked="0"/>
    </xf>
    <xf numFmtId="0" fontId="11" fillId="33" borderId="8" xfId="0" applyFont="1" applyFill="1" applyBorder="1" applyAlignment="1" applyProtection="1">
      <alignment horizontal="center" vertical="center"/>
    </xf>
    <xf numFmtId="0" fontId="11" fillId="33" borderId="6" xfId="0" applyFont="1" applyFill="1" applyBorder="1" applyAlignment="1" applyProtection="1">
      <alignment horizontal="center" vertical="center"/>
    </xf>
    <xf numFmtId="0" fontId="11" fillId="33" borderId="55" xfId="0" applyFont="1" applyFill="1" applyBorder="1" applyAlignment="1" applyProtection="1">
      <alignment horizontal="center" vertical="center"/>
    </xf>
    <xf numFmtId="0" fontId="11" fillId="33" borderId="15" xfId="0" applyFont="1" applyFill="1" applyBorder="1" applyAlignment="1" applyProtection="1">
      <alignment horizontal="center" vertical="center"/>
    </xf>
    <xf numFmtId="0" fontId="11" fillId="33" borderId="15" xfId="0" applyFont="1" applyFill="1" applyBorder="1" applyAlignment="1" applyProtection="1">
      <alignment vertical="center"/>
    </xf>
    <xf numFmtId="0" fontId="11" fillId="33" borderId="91" xfId="0" applyFont="1" applyFill="1" applyBorder="1" applyAlignment="1" applyProtection="1">
      <alignment vertical="center"/>
    </xf>
    <xf numFmtId="166" fontId="14" fillId="33" borderId="26" xfId="0" applyNumberFormat="1" applyFont="1" applyFill="1" applyBorder="1" applyAlignment="1" applyProtection="1">
      <alignment horizontal="center" vertical="center"/>
    </xf>
    <xf numFmtId="166" fontId="14" fillId="33" borderId="1" xfId="0" applyNumberFormat="1" applyFont="1" applyFill="1" applyBorder="1" applyAlignment="1" applyProtection="1">
      <alignment horizontal="center" vertical="center"/>
    </xf>
    <xf numFmtId="164" fontId="14" fillId="33" borderId="1" xfId="0" applyNumberFormat="1" applyFont="1" applyFill="1" applyBorder="1" applyAlignment="1" applyProtection="1">
      <alignment horizontal="center" vertical="center"/>
    </xf>
    <xf numFmtId="2" fontId="14" fillId="33" borderId="21" xfId="0" applyNumberFormat="1" applyFont="1" applyFill="1" applyBorder="1" applyAlignment="1" applyProtection="1">
      <alignment horizontal="center" vertical="center"/>
    </xf>
    <xf numFmtId="0" fontId="11" fillId="33" borderId="44" xfId="0" applyFont="1" applyFill="1" applyBorder="1" applyAlignment="1" applyProtection="1">
      <alignment horizontal="center" vertical="center"/>
      <protection locked="0"/>
    </xf>
    <xf numFmtId="0" fontId="11" fillId="33" borderId="59" xfId="0" applyFont="1" applyFill="1" applyBorder="1" applyAlignment="1" applyProtection="1">
      <alignment horizontal="center" vertical="center"/>
      <protection locked="0"/>
    </xf>
    <xf numFmtId="0" fontId="11" fillId="33" borderId="98" xfId="0" applyFont="1" applyFill="1" applyBorder="1" applyAlignment="1" applyProtection="1">
      <alignment horizontal="center" vertical="center"/>
      <protection locked="0"/>
    </xf>
    <xf numFmtId="166" fontId="14" fillId="33" borderId="2" xfId="0" applyNumberFormat="1" applyFont="1" applyFill="1" applyBorder="1" applyAlignment="1" applyProtection="1">
      <alignment horizontal="center" vertical="center"/>
      <protection locked="0"/>
    </xf>
    <xf numFmtId="166" fontId="14" fillId="33" borderId="0" xfId="0" applyNumberFormat="1" applyFont="1" applyFill="1" applyBorder="1" applyAlignment="1" applyProtection="1">
      <alignment horizontal="center" vertical="center"/>
    </xf>
    <xf numFmtId="0" fontId="14" fillId="33" borderId="0" xfId="0" applyFont="1" applyFill="1" applyBorder="1" applyAlignment="1" applyProtection="1">
      <alignment horizontal="center" vertical="center"/>
      <protection locked="0"/>
    </xf>
    <xf numFmtId="0" fontId="14" fillId="33" borderId="5" xfId="0" applyFont="1" applyFill="1" applyBorder="1" applyAlignment="1" applyProtection="1">
      <alignment horizontal="center" vertical="center"/>
      <protection locked="0"/>
    </xf>
    <xf numFmtId="0" fontId="11" fillId="33" borderId="11" xfId="0" applyFont="1" applyFill="1" applyBorder="1" applyAlignment="1" applyProtection="1">
      <alignment horizontal="center" vertical="center"/>
      <protection locked="0"/>
    </xf>
    <xf numFmtId="0" fontId="11" fillId="33" borderId="22" xfId="0" applyFont="1" applyFill="1" applyBorder="1" applyAlignment="1" applyProtection="1">
      <alignment horizontal="center" vertical="center"/>
      <protection locked="0"/>
    </xf>
    <xf numFmtId="0" fontId="11" fillId="33" borderId="23" xfId="0" applyFont="1" applyFill="1" applyBorder="1" applyAlignment="1" applyProtection="1">
      <alignment horizontal="center" vertical="center"/>
      <protection locked="0"/>
    </xf>
    <xf numFmtId="0" fontId="15" fillId="33" borderId="26" xfId="5" applyFont="1" applyFill="1" applyBorder="1" applyAlignment="1" applyProtection="1">
      <alignment horizontal="center" vertical="center"/>
      <protection locked="0"/>
    </xf>
    <xf numFmtId="166" fontId="14" fillId="33" borderId="0" xfId="0" applyNumberFormat="1" applyFont="1" applyFill="1" applyBorder="1" applyAlignment="1" applyProtection="1">
      <alignment horizontal="center" vertical="center"/>
      <protection locked="0"/>
    </xf>
    <xf numFmtId="0" fontId="68" fillId="0" borderId="0" xfId="0" applyFont="1" applyAlignment="1" applyProtection="1">
      <alignment horizontal="right" vertical="center"/>
    </xf>
    <xf numFmtId="180" fontId="10" fillId="0" borderId="0" xfId="0" applyNumberFormat="1" applyFont="1" applyAlignment="1" applyProtection="1">
      <alignment vertical="center"/>
    </xf>
    <xf numFmtId="0" fontId="12" fillId="3" borderId="43" xfId="4" applyFont="1" applyFill="1" applyBorder="1" applyAlignment="1" applyProtection="1">
      <alignment horizontal="center"/>
    </xf>
    <xf numFmtId="172" fontId="2" fillId="3" borderId="9" xfId="0" applyNumberFormat="1" applyFont="1" applyFill="1" applyBorder="1" applyAlignment="1" applyProtection="1">
      <alignment horizontal="center"/>
    </xf>
    <xf numFmtId="172" fontId="2" fillId="3" borderId="4" xfId="0" applyNumberFormat="1" applyFont="1" applyFill="1" applyBorder="1" applyAlignment="1" applyProtection="1">
      <alignment horizontal="center"/>
    </xf>
    <xf numFmtId="0" fontId="14" fillId="4" borderId="65" xfId="0" applyNumberFormat="1" applyFont="1" applyFill="1" applyBorder="1" applyAlignment="1" applyProtection="1">
      <alignment horizontal="center"/>
    </xf>
    <xf numFmtId="14" fontId="2" fillId="3" borderId="2" xfId="0" applyNumberFormat="1" applyFont="1" applyFill="1" applyBorder="1" applyAlignment="1" applyProtection="1">
      <alignment horizontal="left"/>
    </xf>
    <xf numFmtId="0" fontId="2" fillId="0" borderId="53" xfId="0" applyFont="1" applyBorder="1" applyAlignment="1" applyProtection="1">
      <alignment horizontal="center"/>
    </xf>
    <xf numFmtId="0" fontId="2" fillId="0" borderId="3" xfId="0" applyFont="1" applyBorder="1" applyAlignment="1" applyProtection="1">
      <alignment horizontal="center"/>
    </xf>
    <xf numFmtId="0" fontId="0" fillId="0" borderId="0" xfId="0" applyBorder="1"/>
    <xf numFmtId="0" fontId="0" fillId="0" borderId="5" xfId="0" applyBorder="1"/>
    <xf numFmtId="0" fontId="0" fillId="0" borderId="22" xfId="0" applyBorder="1"/>
    <xf numFmtId="0" fontId="0" fillId="0" borderId="23" xfId="0" applyBorder="1"/>
    <xf numFmtId="0" fontId="44" fillId="0" borderId="0" xfId="0" applyFont="1" applyBorder="1" applyAlignment="1">
      <alignment horizontal="center" vertical="center"/>
    </xf>
    <xf numFmtId="0" fontId="44" fillId="0" borderId="0" xfId="0" applyFont="1" applyFill="1" applyBorder="1" applyAlignment="1">
      <alignment horizontal="center" vertical="center"/>
    </xf>
    <xf numFmtId="0" fontId="11" fillId="3" borderId="71" xfId="0" applyFont="1" applyFill="1" applyBorder="1" applyAlignment="1" applyProtection="1">
      <alignment horizontal="center" vertical="center"/>
    </xf>
    <xf numFmtId="0" fontId="11" fillId="3" borderId="69" xfId="0" applyFont="1" applyFill="1" applyBorder="1" applyAlignment="1" applyProtection="1">
      <alignment horizontal="center" vertical="center"/>
    </xf>
    <xf numFmtId="0" fontId="79" fillId="27" borderId="0" xfId="0" applyFont="1" applyFill="1" applyBorder="1"/>
    <xf numFmtId="0" fontId="57" fillId="27" borderId="0" xfId="0" applyFont="1" applyFill="1" applyBorder="1" applyAlignment="1">
      <alignment horizontal="center"/>
    </xf>
    <xf numFmtId="0" fontId="66" fillId="27" borderId="0" xfId="0" applyFont="1" applyFill="1" applyBorder="1"/>
    <xf numFmtId="0" fontId="57" fillId="27" borderId="0" xfId="0" applyFont="1" applyFill="1" applyBorder="1"/>
    <xf numFmtId="9" fontId="66" fillId="27" borderId="0" xfId="16" applyFont="1" applyFill="1" applyBorder="1" applyAlignment="1">
      <alignment horizontal="center"/>
    </xf>
    <xf numFmtId="0" fontId="79" fillId="27" borderId="0" xfId="0" applyFont="1" applyFill="1" applyBorder="1" applyAlignment="1">
      <alignment horizontal="left"/>
    </xf>
    <xf numFmtId="0" fontId="57" fillId="27" borderId="0" xfId="0" applyFont="1" applyFill="1" applyBorder="1" applyAlignment="1"/>
    <xf numFmtId="9" fontId="57" fillId="27" borderId="0" xfId="16" applyFont="1" applyFill="1" applyBorder="1" applyAlignment="1">
      <alignment horizontal="center"/>
    </xf>
    <xf numFmtId="0" fontId="57" fillId="27" borderId="0" xfId="0" applyFont="1" applyFill="1" applyBorder="1" applyAlignment="1">
      <alignment horizontal="right"/>
    </xf>
    <xf numFmtId="0" fontId="66" fillId="27" borderId="0" xfId="0" applyFont="1" applyFill="1" applyBorder="1" applyAlignment="1">
      <alignment horizontal="center"/>
    </xf>
    <xf numFmtId="0" fontId="44" fillId="27" borderId="0" xfId="0" applyFont="1" applyFill="1" applyBorder="1" applyAlignment="1">
      <alignment horizontal="center" vertical="center"/>
    </xf>
    <xf numFmtId="0" fontId="66" fillId="27" borderId="0" xfId="0" applyNumberFormat="1" applyFont="1" applyFill="1" applyBorder="1"/>
    <xf numFmtId="0" fontId="44" fillId="27" borderId="0" xfId="0" applyFont="1" applyFill="1" applyBorder="1" applyAlignment="1">
      <alignment vertical="center"/>
    </xf>
    <xf numFmtId="0" fontId="57" fillId="27" borderId="29" xfId="0" applyFont="1" applyFill="1" applyBorder="1" applyAlignment="1">
      <alignment horizontal="left"/>
    </xf>
    <xf numFmtId="0" fontId="57" fillId="27" borderId="13" xfId="0" applyFont="1" applyFill="1" applyBorder="1" applyAlignment="1">
      <alignment horizontal="left"/>
    </xf>
    <xf numFmtId="0" fontId="57" fillId="27" borderId="58" xfId="0" applyFont="1" applyFill="1" applyBorder="1" applyAlignment="1">
      <alignment horizontal="left"/>
    </xf>
    <xf numFmtId="0" fontId="14" fillId="35" borderId="10" xfId="5" applyFont="1" applyFill="1" applyBorder="1" applyAlignment="1" applyProtection="1">
      <alignment horizontal="center" vertical="center"/>
      <protection locked="0"/>
    </xf>
    <xf numFmtId="0" fontId="14" fillId="35" borderId="12" xfId="5" applyFont="1" applyFill="1" applyBorder="1" applyAlignment="1" applyProtection="1">
      <alignment horizontal="center" vertical="center"/>
      <protection locked="0"/>
    </xf>
    <xf numFmtId="0" fontId="14" fillId="35" borderId="53" xfId="5" applyFont="1" applyFill="1" applyBorder="1" applyAlignment="1" applyProtection="1">
      <alignment horizontal="center" vertical="center"/>
      <protection locked="0"/>
    </xf>
    <xf numFmtId="0" fontId="83" fillId="27" borderId="0" xfId="0" applyFont="1" applyFill="1" applyBorder="1"/>
    <xf numFmtId="0" fontId="44" fillId="0" borderId="2" xfId="0" applyFont="1" applyBorder="1"/>
    <xf numFmtId="0" fontId="44" fillId="0" borderId="0" xfId="0" applyFont="1" applyBorder="1" applyAlignment="1">
      <alignment horizontal="center"/>
    </xf>
    <xf numFmtId="0" fontId="44" fillId="0" borderId="0" xfId="0" applyFont="1" applyFill="1" applyBorder="1" applyAlignment="1">
      <alignment horizontal="center"/>
    </xf>
    <xf numFmtId="0" fontId="0" fillId="0" borderId="0" xfId="0" applyBorder="1" applyAlignment="1">
      <alignment horizontal="center"/>
    </xf>
    <xf numFmtId="0" fontId="66" fillId="27" borderId="29" xfId="0" applyFont="1" applyFill="1" applyBorder="1"/>
    <xf numFmtId="0" fontId="66" fillId="27" borderId="9" xfId="0" applyFont="1" applyFill="1" applyBorder="1"/>
    <xf numFmtId="0" fontId="66" fillId="27" borderId="10" xfId="0" applyFont="1" applyFill="1" applyBorder="1"/>
    <xf numFmtId="0" fontId="66" fillId="27" borderId="13" xfId="0" applyFont="1" applyFill="1" applyBorder="1"/>
    <xf numFmtId="0" fontId="66" fillId="27" borderId="58" xfId="0" applyFont="1" applyFill="1" applyBorder="1"/>
    <xf numFmtId="0" fontId="66" fillId="27" borderId="3" xfId="0" applyFont="1" applyFill="1" applyBorder="1"/>
    <xf numFmtId="0" fontId="66" fillId="27" borderId="29" xfId="0" applyFont="1" applyFill="1" applyBorder="1" applyAlignment="1">
      <alignment horizontal="center"/>
    </xf>
    <xf numFmtId="0" fontId="66" fillId="27" borderId="9" xfId="0" applyFont="1" applyFill="1" applyBorder="1" applyAlignment="1">
      <alignment horizontal="center"/>
    </xf>
    <xf numFmtId="0" fontId="66" fillId="27" borderId="10" xfId="0" applyFont="1" applyFill="1" applyBorder="1" applyAlignment="1">
      <alignment horizontal="center"/>
    </xf>
    <xf numFmtId="0" fontId="66" fillId="27" borderId="13" xfId="0" applyFont="1" applyFill="1" applyBorder="1" applyAlignment="1">
      <alignment horizontal="center"/>
    </xf>
    <xf numFmtId="0" fontId="66" fillId="27" borderId="12" xfId="0" applyFont="1" applyFill="1" applyBorder="1" applyAlignment="1">
      <alignment horizontal="center"/>
    </xf>
    <xf numFmtId="0" fontId="66" fillId="27" borderId="58" xfId="0" applyFont="1" applyFill="1" applyBorder="1" applyAlignment="1">
      <alignment horizontal="center"/>
    </xf>
    <xf numFmtId="0" fontId="66" fillId="27" borderId="3" xfId="0" applyFont="1" applyFill="1" applyBorder="1" applyAlignment="1">
      <alignment horizontal="center"/>
    </xf>
    <xf numFmtId="0" fontId="66" fillId="27" borderId="53" xfId="0" applyFont="1" applyFill="1" applyBorder="1" applyAlignment="1">
      <alignment horizontal="center"/>
    </xf>
    <xf numFmtId="0" fontId="84" fillId="27" borderId="0" xfId="0" applyFont="1" applyFill="1" applyBorder="1"/>
    <xf numFmtId="0" fontId="79" fillId="36" borderId="118" xfId="0" applyFont="1" applyFill="1" applyBorder="1" applyAlignment="1">
      <alignment horizontal="left"/>
    </xf>
    <xf numFmtId="1" fontId="66" fillId="27" borderId="0" xfId="0" applyNumberFormat="1" applyFont="1" applyFill="1" applyBorder="1" applyAlignment="1">
      <alignment horizontal="center"/>
    </xf>
    <xf numFmtId="0" fontId="66" fillId="27" borderId="0" xfId="0" applyFont="1" applyFill="1" applyBorder="1" applyAlignment="1" applyProtection="1">
      <alignment horizontal="center"/>
      <protection locked="0"/>
    </xf>
    <xf numFmtId="0" fontId="83" fillId="27" borderId="9" xfId="0" applyFont="1" applyFill="1" applyBorder="1"/>
    <xf numFmtId="0" fontId="57" fillId="27" borderId="9" xfId="0" applyFont="1" applyFill="1" applyBorder="1"/>
    <xf numFmtId="0" fontId="66" fillId="27" borderId="118" xfId="0" applyFont="1" applyFill="1" applyBorder="1" applyAlignment="1"/>
    <xf numFmtId="0" fontId="57" fillId="27" borderId="118" xfId="0" applyFont="1" applyFill="1" applyBorder="1" applyAlignment="1"/>
    <xf numFmtId="0" fontId="66" fillId="27" borderId="118" xfId="0" applyFont="1" applyFill="1" applyBorder="1" applyAlignment="1">
      <alignment horizontal="center"/>
    </xf>
    <xf numFmtId="0" fontId="66" fillId="27" borderId="118" xfId="0" applyFont="1" applyFill="1" applyBorder="1"/>
    <xf numFmtId="0" fontId="66" fillId="27" borderId="118" xfId="0" applyFont="1" applyFill="1" applyBorder="1" applyAlignment="1">
      <alignment wrapText="1"/>
    </xf>
    <xf numFmtId="0" fontId="66" fillId="27" borderId="118" xfId="0" applyFont="1" applyFill="1" applyBorder="1" applyAlignment="1">
      <alignment horizontal="center" wrapText="1"/>
    </xf>
    <xf numFmtId="0" fontId="66" fillId="27" borderId="52" xfId="0" applyFont="1" applyFill="1" applyBorder="1" applyAlignment="1">
      <alignment horizontal="center"/>
    </xf>
    <xf numFmtId="0" fontId="66" fillId="27" borderId="110" xfId="0" applyFont="1" applyFill="1" applyBorder="1" applyAlignment="1">
      <alignment horizontal="center"/>
    </xf>
    <xf numFmtId="0" fontId="66" fillId="27" borderId="111" xfId="0" applyFont="1" applyFill="1" applyBorder="1" applyAlignment="1">
      <alignment horizontal="center"/>
    </xf>
    <xf numFmtId="0" fontId="66" fillId="27" borderId="52" xfId="0" applyNumberFormat="1" applyFont="1" applyFill="1" applyBorder="1"/>
    <xf numFmtId="0" fontId="66" fillId="27" borderId="110" xfId="0" applyNumberFormat="1" applyFont="1" applyFill="1" applyBorder="1"/>
    <xf numFmtId="0" fontId="66" fillId="27" borderId="111" xfId="0" applyNumberFormat="1" applyFont="1" applyFill="1" applyBorder="1"/>
    <xf numFmtId="0" fontId="14" fillId="35" borderId="0" xfId="5" applyFont="1" applyFill="1" applyBorder="1" applyAlignment="1" applyProtection="1">
      <alignment horizontal="center" vertical="center"/>
      <protection locked="0"/>
    </xf>
    <xf numFmtId="0" fontId="14" fillId="35" borderId="3" xfId="5" applyFont="1" applyFill="1" applyBorder="1" applyAlignment="1" applyProtection="1">
      <alignment horizontal="center" vertical="center"/>
      <protection locked="0"/>
    </xf>
    <xf numFmtId="0" fontId="66" fillId="27" borderId="3" xfId="0" applyFont="1" applyFill="1" applyBorder="1" applyAlignment="1" applyProtection="1">
      <alignment horizontal="center"/>
      <protection locked="0"/>
    </xf>
    <xf numFmtId="0" fontId="66" fillId="27" borderId="53" xfId="0" applyFont="1" applyFill="1" applyBorder="1" applyAlignment="1" applyProtection="1">
      <alignment horizontal="center"/>
      <protection locked="0"/>
    </xf>
    <xf numFmtId="0" fontId="85" fillId="27" borderId="0" xfId="0" applyFont="1" applyFill="1" applyBorder="1"/>
    <xf numFmtId="0" fontId="85" fillId="27" borderId="0" xfId="0" applyFont="1" applyFill="1" applyBorder="1" applyAlignment="1">
      <alignment horizontal="right"/>
    </xf>
    <xf numFmtId="0" fontId="85" fillId="27" borderId="0" xfId="0" applyFont="1" applyFill="1" applyBorder="1" applyAlignment="1">
      <alignment horizontal="center"/>
    </xf>
    <xf numFmtId="0" fontId="66" fillId="27" borderId="75" xfId="0" applyFont="1" applyFill="1" applyBorder="1" applyAlignment="1">
      <alignment horizontal="center"/>
    </xf>
    <xf numFmtId="0" fontId="14" fillId="35" borderId="52" xfId="5" applyFont="1" applyFill="1" applyBorder="1" applyAlignment="1" applyProtection="1">
      <alignment horizontal="center" vertical="center"/>
      <protection locked="0"/>
    </xf>
    <xf numFmtId="0" fontId="14" fillId="35" borderId="110" xfId="5" applyFont="1" applyFill="1" applyBorder="1" applyAlignment="1" applyProtection="1">
      <alignment horizontal="center" vertical="center"/>
      <protection locked="0"/>
    </xf>
    <xf numFmtId="0" fontId="14" fillId="35" borderId="111" xfId="5" applyFont="1" applyFill="1" applyBorder="1" applyAlignment="1" applyProtection="1">
      <alignment horizontal="center" vertical="center"/>
      <protection locked="0"/>
    </xf>
    <xf numFmtId="0" fontId="14" fillId="7" borderId="1" xfId="0" applyNumberFormat="1" applyFont="1" applyFill="1" applyBorder="1" applyAlignment="1" applyProtection="1">
      <alignment horizontal="center" vertical="center"/>
      <protection locked="0"/>
    </xf>
    <xf numFmtId="0" fontId="14" fillId="7" borderId="70" xfId="0" applyNumberFormat="1" applyFont="1" applyFill="1" applyBorder="1" applyAlignment="1" applyProtection="1">
      <alignment horizontal="center" vertical="center"/>
      <protection locked="0"/>
    </xf>
    <xf numFmtId="0" fontId="14" fillId="7" borderId="32" xfId="0" applyNumberFormat="1" applyFont="1" applyFill="1" applyBorder="1" applyAlignment="1" applyProtection="1">
      <alignment horizontal="center" vertical="center"/>
      <protection locked="0"/>
    </xf>
    <xf numFmtId="0" fontId="14" fillId="7" borderId="68" xfId="0" applyNumberFormat="1" applyFont="1" applyFill="1" applyBorder="1" applyAlignment="1" applyProtection="1">
      <alignment horizontal="center" vertical="center"/>
      <protection locked="0"/>
    </xf>
    <xf numFmtId="0" fontId="14" fillId="7" borderId="39" xfId="0" applyNumberFormat="1" applyFont="1" applyFill="1" applyBorder="1" applyAlignment="1" applyProtection="1">
      <alignment horizontal="center" vertical="center"/>
      <protection locked="0"/>
    </xf>
    <xf numFmtId="0" fontId="14" fillId="7" borderId="38" xfId="0" applyNumberFormat="1" applyFont="1" applyFill="1" applyBorder="1" applyAlignment="1" applyProtection="1">
      <alignment horizontal="center" vertical="center"/>
      <protection locked="0"/>
    </xf>
    <xf numFmtId="0" fontId="14" fillId="7" borderId="71" xfId="0" applyNumberFormat="1" applyFont="1" applyFill="1" applyBorder="1" applyAlignment="1" applyProtection="1">
      <alignment horizontal="center" vertical="center"/>
      <protection locked="0"/>
    </xf>
    <xf numFmtId="0" fontId="14" fillId="7" borderId="33" xfId="0" applyNumberFormat="1" applyFont="1" applyFill="1" applyBorder="1" applyAlignment="1" applyProtection="1">
      <alignment horizontal="center" vertical="center"/>
      <protection locked="0"/>
    </xf>
    <xf numFmtId="0" fontId="14" fillId="7" borderId="69" xfId="0" applyNumberFormat="1" applyFont="1" applyFill="1" applyBorder="1" applyAlignment="1" applyProtection="1">
      <alignment horizontal="center" vertical="center"/>
      <protection locked="0"/>
    </xf>
    <xf numFmtId="0" fontId="14" fillId="7" borderId="72" xfId="0" applyNumberFormat="1" applyFont="1" applyFill="1" applyBorder="1" applyAlignment="1" applyProtection="1">
      <alignment horizontal="center" vertical="center"/>
      <protection locked="0"/>
    </xf>
    <xf numFmtId="0" fontId="14" fillId="7" borderId="46" xfId="0" applyNumberFormat="1" applyFont="1" applyFill="1" applyBorder="1" applyAlignment="1" applyProtection="1">
      <alignment horizontal="center" vertical="center"/>
      <protection locked="0"/>
    </xf>
    <xf numFmtId="0" fontId="14" fillId="7" borderId="73" xfId="0" applyNumberFormat="1" applyFont="1" applyFill="1" applyBorder="1" applyAlignment="1" applyProtection="1">
      <alignment horizontal="center" vertical="center"/>
      <protection locked="0"/>
    </xf>
    <xf numFmtId="0" fontId="14" fillId="7" borderId="49" xfId="0" applyNumberFormat="1" applyFont="1" applyFill="1" applyBorder="1" applyAlignment="1" applyProtection="1">
      <alignment horizontal="center" vertical="center"/>
      <protection locked="0"/>
    </xf>
    <xf numFmtId="0" fontId="14" fillId="7" borderId="131" xfId="0" applyNumberFormat="1" applyFont="1" applyFill="1" applyBorder="1" applyAlignment="1" applyProtection="1">
      <alignment horizontal="center" vertical="center"/>
      <protection locked="0"/>
    </xf>
    <xf numFmtId="0" fontId="14" fillId="7" borderId="126" xfId="0" applyNumberFormat="1" applyFont="1" applyFill="1" applyBorder="1" applyAlignment="1" applyProtection="1">
      <alignment horizontal="center" vertical="center"/>
      <protection locked="0"/>
    </xf>
    <xf numFmtId="0" fontId="14" fillId="7" borderId="153" xfId="0" applyNumberFormat="1" applyFont="1" applyFill="1" applyBorder="1" applyAlignment="1" applyProtection="1">
      <alignment horizontal="center" vertical="center"/>
      <protection locked="0"/>
    </xf>
    <xf numFmtId="0" fontId="14" fillId="7" borderId="118" xfId="0" applyNumberFormat="1" applyFont="1" applyFill="1" applyBorder="1" applyAlignment="1" applyProtection="1">
      <alignment horizontal="center" vertical="center"/>
      <protection locked="0"/>
    </xf>
    <xf numFmtId="0" fontId="14" fillId="7" borderId="37" xfId="0" applyNumberFormat="1" applyFont="1" applyFill="1" applyBorder="1" applyAlignment="1" applyProtection="1">
      <alignment horizontal="center" vertical="center"/>
      <protection locked="0"/>
    </xf>
    <xf numFmtId="0" fontId="14" fillId="7" borderId="31" xfId="0" applyNumberFormat="1" applyFont="1" applyFill="1" applyBorder="1" applyAlignment="1" applyProtection="1">
      <alignment horizontal="center" vertical="center"/>
      <protection locked="0"/>
    </xf>
    <xf numFmtId="0" fontId="14" fillId="7" borderId="36" xfId="0" applyNumberFormat="1" applyFont="1" applyFill="1" applyBorder="1" applyAlignment="1" applyProtection="1">
      <alignment horizontal="center" vertical="center"/>
      <protection locked="0"/>
    </xf>
    <xf numFmtId="0" fontId="86" fillId="27" borderId="29" xfId="0" applyFont="1" applyFill="1" applyBorder="1" applyAlignment="1" applyProtection="1">
      <alignment horizontal="center"/>
    </xf>
    <xf numFmtId="0" fontId="14" fillId="37" borderId="9" xfId="0" applyFont="1" applyFill="1" applyBorder="1" applyAlignment="1" applyProtection="1">
      <alignment horizontal="center" vertical="center"/>
    </xf>
    <xf numFmtId="0" fontId="14" fillId="37" borderId="10" xfId="0" applyFont="1" applyFill="1" applyBorder="1" applyAlignment="1" applyProtection="1">
      <alignment horizontal="center" vertical="center"/>
    </xf>
    <xf numFmtId="0" fontId="14" fillId="7" borderId="87" xfId="0" applyNumberFormat="1" applyFont="1" applyFill="1" applyBorder="1" applyAlignment="1" applyProtection="1">
      <alignment horizontal="center" vertical="center"/>
      <protection locked="0"/>
    </xf>
    <xf numFmtId="0" fontId="14" fillId="7" borderId="43" xfId="0" applyNumberFormat="1" applyFont="1" applyFill="1" applyBorder="1" applyAlignment="1" applyProtection="1">
      <alignment horizontal="center" vertical="center"/>
      <protection locked="0"/>
    </xf>
    <xf numFmtId="0" fontId="14" fillId="7" borderId="125" xfId="0" applyNumberFormat="1" applyFont="1" applyFill="1" applyBorder="1" applyAlignment="1" applyProtection="1">
      <alignment horizontal="center" vertical="center"/>
      <protection locked="0"/>
    </xf>
    <xf numFmtId="0" fontId="14" fillId="7" borderId="40" xfId="0" applyNumberFormat="1" applyFont="1" applyFill="1" applyBorder="1" applyAlignment="1" applyProtection="1">
      <alignment horizontal="center" vertical="center"/>
      <protection locked="0"/>
    </xf>
    <xf numFmtId="0" fontId="14" fillId="7" borderId="154" xfId="0" applyNumberFormat="1" applyFont="1" applyFill="1" applyBorder="1" applyAlignment="1" applyProtection="1">
      <alignment horizontal="center" vertical="center"/>
      <protection locked="0"/>
    </xf>
    <xf numFmtId="0" fontId="66" fillId="27" borderId="0" xfId="0" applyFont="1" applyFill="1" applyBorder="1" applyAlignment="1">
      <alignment horizontal="right"/>
    </xf>
    <xf numFmtId="0" fontId="14" fillId="7" borderId="45" xfId="0" applyNumberFormat="1" applyFont="1" applyFill="1" applyBorder="1" applyAlignment="1" applyProtection="1">
      <alignment horizontal="center" vertical="center"/>
      <protection locked="0"/>
    </xf>
    <xf numFmtId="0" fontId="14" fillId="7" borderId="64" xfId="0" applyNumberFormat="1" applyFont="1" applyFill="1" applyBorder="1" applyAlignment="1" applyProtection="1">
      <alignment horizontal="center" vertical="center"/>
      <protection locked="0"/>
    </xf>
    <xf numFmtId="0" fontId="14" fillId="7" borderId="155" xfId="0" applyNumberFormat="1" applyFont="1" applyFill="1" applyBorder="1" applyAlignment="1" applyProtection="1">
      <alignment horizontal="center" vertical="center"/>
      <protection locked="0"/>
    </xf>
    <xf numFmtId="0" fontId="14" fillId="7" borderId="90" xfId="0" applyNumberFormat="1" applyFont="1" applyFill="1" applyBorder="1" applyAlignment="1" applyProtection="1">
      <alignment horizontal="center" vertical="center"/>
      <protection locked="0"/>
    </xf>
    <xf numFmtId="0" fontId="14" fillId="37" borderId="29" xfId="0" applyFont="1" applyFill="1" applyBorder="1" applyAlignment="1" applyProtection="1">
      <alignment horizontal="center" vertical="center"/>
    </xf>
    <xf numFmtId="0" fontId="66" fillId="27" borderId="29" xfId="0" applyFont="1" applyFill="1" applyBorder="1" applyAlignment="1">
      <alignment horizontal="right"/>
    </xf>
    <xf numFmtId="0" fontId="87" fillId="27" borderId="29" xfId="0" applyFont="1" applyFill="1" applyBorder="1" applyAlignment="1" applyProtection="1">
      <alignment horizontal="center"/>
    </xf>
    <xf numFmtId="0" fontId="66" fillId="37" borderId="9" xfId="0" applyFont="1" applyFill="1" applyBorder="1" applyAlignment="1" applyProtection="1">
      <alignment horizontal="right" vertical="center"/>
    </xf>
    <xf numFmtId="0" fontId="14" fillId="7" borderId="59" xfId="0" applyNumberFormat="1" applyFont="1" applyFill="1" applyBorder="1" applyAlignment="1" applyProtection="1">
      <alignment horizontal="center" vertical="center"/>
      <protection locked="0"/>
    </xf>
    <xf numFmtId="0" fontId="14" fillId="7" borderId="50" xfId="0" applyNumberFormat="1" applyFont="1" applyFill="1" applyBorder="1" applyAlignment="1" applyProtection="1">
      <alignment horizontal="center" vertical="center"/>
      <protection locked="0"/>
    </xf>
    <xf numFmtId="0" fontId="88" fillId="27" borderId="52" xfId="0" applyNumberFormat="1" applyFont="1" applyFill="1" applyBorder="1" applyAlignment="1" applyProtection="1">
      <alignment horizontal="center" vertical="center"/>
    </xf>
    <xf numFmtId="0" fontId="88" fillId="27" borderId="110" xfId="0" applyNumberFormat="1" applyFont="1" applyFill="1" applyBorder="1" applyAlignment="1" applyProtection="1">
      <alignment horizontal="center" vertical="center"/>
    </xf>
    <xf numFmtId="0" fontId="14" fillId="35" borderId="9" xfId="5" applyNumberFormat="1" applyFont="1" applyFill="1" applyBorder="1" applyAlignment="1" applyProtection="1">
      <alignment horizontal="center" vertical="center"/>
      <protection locked="0"/>
    </xf>
    <xf numFmtId="0" fontId="14" fillId="27" borderId="58" xfId="0" applyNumberFormat="1" applyFont="1" applyFill="1" applyBorder="1" applyAlignment="1" applyProtection="1">
      <alignment horizontal="center" vertical="center"/>
    </xf>
    <xf numFmtId="0" fontId="14" fillId="35" borderId="75" xfId="5" applyNumberFormat="1" applyFont="1" applyFill="1" applyBorder="1" applyAlignment="1" applyProtection="1">
      <alignment horizontal="center" vertical="center"/>
      <protection locked="0"/>
    </xf>
    <xf numFmtId="0" fontId="14" fillId="35" borderId="74" xfId="5" applyNumberFormat="1" applyFont="1" applyFill="1" applyBorder="1" applyAlignment="1" applyProtection="1">
      <alignment horizontal="center" vertical="center"/>
      <protection locked="0"/>
    </xf>
    <xf numFmtId="0" fontId="14" fillId="35" borderId="76" xfId="5" applyNumberFormat="1" applyFont="1" applyFill="1" applyBorder="1" applyAlignment="1" applyProtection="1">
      <alignment horizontal="center" vertical="center"/>
      <protection locked="0"/>
    </xf>
    <xf numFmtId="0" fontId="14" fillId="35" borderId="52" xfId="5" applyNumberFormat="1" applyFont="1" applyFill="1" applyBorder="1" applyAlignment="1" applyProtection="1">
      <alignment horizontal="center" vertical="center"/>
      <protection locked="0"/>
    </xf>
    <xf numFmtId="0" fontId="79" fillId="38" borderId="118" xfId="0" applyFont="1" applyFill="1" applyBorder="1" applyAlignment="1">
      <alignment horizontal="left"/>
    </xf>
    <xf numFmtId="0" fontId="44" fillId="27" borderId="118" xfId="0" applyFont="1" applyFill="1" applyBorder="1" applyAlignment="1">
      <alignment horizontal="center" vertical="center"/>
    </xf>
    <xf numFmtId="0" fontId="44" fillId="27" borderId="52" xfId="0" applyFont="1" applyFill="1" applyBorder="1" applyAlignment="1">
      <alignment horizontal="center" vertical="center"/>
    </xf>
    <xf numFmtId="0" fontId="66" fillId="27" borderId="52" xfId="0" applyNumberFormat="1" applyFont="1" applyFill="1" applyBorder="1" applyAlignment="1">
      <alignment horizontal="center"/>
    </xf>
    <xf numFmtId="0" fontId="66" fillId="27" borderId="110" xfId="0" applyNumberFormat="1" applyFont="1" applyFill="1" applyBorder="1" applyAlignment="1">
      <alignment horizontal="center"/>
    </xf>
    <xf numFmtId="0" fontId="66" fillId="27" borderId="111" xfId="0" applyNumberFormat="1" applyFont="1" applyFill="1" applyBorder="1" applyAlignment="1">
      <alignment horizontal="center"/>
    </xf>
    <xf numFmtId="0" fontId="57" fillId="27" borderId="75" xfId="0" applyFont="1" applyFill="1" applyBorder="1" applyAlignment="1">
      <alignment horizontal="center" wrapText="1"/>
    </xf>
    <xf numFmtId="0" fontId="57" fillId="27" borderId="76" xfId="0" applyFont="1" applyFill="1" applyBorder="1" applyAlignment="1">
      <alignment horizontal="center" wrapText="1"/>
    </xf>
    <xf numFmtId="0" fontId="86" fillId="27" borderId="52" xfId="0" applyFont="1" applyFill="1" applyBorder="1" applyAlignment="1" applyProtection="1">
      <alignment horizontal="center"/>
    </xf>
    <xf numFmtId="0" fontId="86" fillId="27" borderId="110" xfId="0" applyFont="1" applyFill="1" applyBorder="1" applyAlignment="1" applyProtection="1">
      <alignment horizontal="center"/>
    </xf>
    <xf numFmtId="0" fontId="86" fillId="27" borderId="111" xfId="0" applyFont="1" applyFill="1" applyBorder="1" applyAlignment="1" applyProtection="1">
      <alignment horizontal="center"/>
    </xf>
    <xf numFmtId="0" fontId="0" fillId="0" borderId="0" xfId="0" applyProtection="1">
      <protection hidden="1"/>
    </xf>
    <xf numFmtId="0" fontId="90" fillId="39" borderId="156" xfId="0" applyFont="1" applyFill="1" applyBorder="1" applyProtection="1">
      <protection hidden="1"/>
    </xf>
    <xf numFmtId="0" fontId="90" fillId="39" borderId="0" xfId="0" applyFont="1" applyFill="1" applyBorder="1" applyProtection="1">
      <protection hidden="1"/>
    </xf>
    <xf numFmtId="0" fontId="91" fillId="39" borderId="0" xfId="0" applyFont="1" applyFill="1" applyBorder="1" applyProtection="1">
      <protection hidden="1"/>
    </xf>
    <xf numFmtId="0" fontId="90" fillId="39" borderId="0" xfId="0" applyFont="1" applyFill="1" applyBorder="1" applyAlignment="1" applyProtection="1">
      <alignment horizontal="center"/>
      <protection hidden="1"/>
    </xf>
    <xf numFmtId="166" fontId="90" fillId="39" borderId="0" xfId="0" applyNumberFormat="1" applyFont="1" applyFill="1" applyBorder="1" applyAlignment="1" applyProtection="1">
      <alignment horizontal="center"/>
      <protection hidden="1"/>
    </xf>
    <xf numFmtId="0" fontId="90" fillId="39" borderId="157" xfId="0" applyFont="1" applyFill="1" applyBorder="1" applyAlignment="1" applyProtection="1">
      <alignment horizontal="center"/>
      <protection hidden="1"/>
    </xf>
    <xf numFmtId="0" fontId="90" fillId="39" borderId="29" xfId="0" applyFont="1" applyFill="1" applyBorder="1" applyProtection="1">
      <protection hidden="1"/>
    </xf>
    <xf numFmtId="0" fontId="90" fillId="39" borderId="9" xfId="0" applyFont="1" applyFill="1" applyBorder="1" applyProtection="1">
      <protection hidden="1"/>
    </xf>
    <xf numFmtId="0" fontId="91" fillId="39" borderId="9" xfId="0" applyFont="1" applyFill="1" applyBorder="1" applyAlignment="1" applyProtection="1">
      <alignment horizontal="center"/>
      <protection hidden="1"/>
    </xf>
    <xf numFmtId="0" fontId="90" fillId="39" borderId="9" xfId="0" applyFont="1" applyFill="1" applyBorder="1" applyAlignment="1" applyProtection="1">
      <alignment horizontal="center"/>
      <protection hidden="1"/>
    </xf>
    <xf numFmtId="0" fontId="90" fillId="39" borderId="10" xfId="0" applyFont="1" applyFill="1" applyBorder="1" applyAlignment="1" applyProtection="1">
      <alignment horizontal="center"/>
      <protection hidden="1"/>
    </xf>
    <xf numFmtId="0" fontId="94" fillId="0" borderId="0" xfId="0" applyFont="1" applyFill="1" applyBorder="1" applyAlignment="1" applyProtection="1">
      <alignment horizontal="center"/>
      <protection hidden="1"/>
    </xf>
    <xf numFmtId="0" fontId="14" fillId="27" borderId="0" xfId="0" applyNumberFormat="1" applyFont="1" applyFill="1" applyBorder="1" applyAlignment="1" applyProtection="1">
      <alignment horizontal="center" vertical="center"/>
    </xf>
    <xf numFmtId="0" fontId="10" fillId="26" borderId="157" xfId="0" applyFont="1" applyFill="1" applyBorder="1" applyAlignment="1" applyProtection="1">
      <alignment vertical="center"/>
    </xf>
    <xf numFmtId="10" fontId="14" fillId="7" borderId="70" xfId="0" applyNumberFormat="1" applyFont="1" applyFill="1" applyBorder="1" applyAlignment="1" applyProtection="1">
      <alignment horizontal="center" vertical="center"/>
      <protection locked="0"/>
    </xf>
    <xf numFmtId="10" fontId="14" fillId="7" borderId="68" xfId="0" applyNumberFormat="1" applyFont="1" applyFill="1" applyBorder="1" applyAlignment="1" applyProtection="1">
      <alignment horizontal="center" vertical="center"/>
      <protection locked="0"/>
    </xf>
    <xf numFmtId="10" fontId="14" fillId="7" borderId="71" xfId="0" applyNumberFormat="1" applyFont="1" applyFill="1" applyBorder="1" applyAlignment="1" applyProtection="1">
      <alignment horizontal="center" vertical="center"/>
      <protection locked="0"/>
    </xf>
    <xf numFmtId="10" fontId="14" fillId="7" borderId="69" xfId="0" applyNumberFormat="1" applyFont="1" applyFill="1" applyBorder="1" applyAlignment="1" applyProtection="1">
      <alignment horizontal="center" vertical="center"/>
      <protection locked="0"/>
    </xf>
    <xf numFmtId="0" fontId="95" fillId="0" borderId="0" xfId="0" applyFont="1" applyAlignment="1" applyProtection="1">
      <alignment vertical="center"/>
    </xf>
    <xf numFmtId="0" fontId="44" fillId="28" borderId="0" xfId="0" applyNumberFormat="1" applyFont="1" applyFill="1" applyBorder="1" applyAlignment="1">
      <alignment horizontal="right"/>
    </xf>
    <xf numFmtId="191" fontId="14" fillId="11" borderId="1" xfId="0" applyNumberFormat="1" applyFont="1" applyFill="1" applyBorder="1" applyAlignment="1" applyProtection="1">
      <alignment horizontal="center" vertical="center"/>
      <protection locked="0"/>
    </xf>
    <xf numFmtId="0" fontId="57" fillId="27" borderId="0" xfId="0" applyFont="1" applyFill="1" applyBorder="1" applyAlignment="1">
      <alignment horizontal="center"/>
    </xf>
    <xf numFmtId="0" fontId="66" fillId="27" borderId="0" xfId="0" applyFont="1" applyFill="1" applyBorder="1" applyAlignment="1">
      <alignment horizontal="center"/>
    </xf>
    <xf numFmtId="0" fontId="96" fillId="0" borderId="0" xfId="0" applyFont="1" applyAlignment="1" applyProtection="1">
      <alignment vertical="center"/>
    </xf>
    <xf numFmtId="0" fontId="57" fillId="27" borderId="0" xfId="0" applyFont="1" applyFill="1" applyBorder="1" applyAlignment="1">
      <alignment horizontal="center"/>
    </xf>
    <xf numFmtId="0" fontId="66" fillId="27" borderId="74" xfId="0" applyFont="1" applyFill="1" applyBorder="1" applyAlignment="1">
      <alignment horizontal="center"/>
    </xf>
    <xf numFmtId="9" fontId="57" fillId="27" borderId="0" xfId="16" applyFont="1" applyFill="1" applyBorder="1" applyAlignment="1">
      <alignment horizontal="center" wrapText="1"/>
    </xf>
    <xf numFmtId="0" fontId="66" fillId="27" borderId="0" xfId="0" applyFont="1" applyFill="1" applyBorder="1" applyAlignment="1">
      <alignment horizontal="center"/>
    </xf>
    <xf numFmtId="0" fontId="66" fillId="27" borderId="0" xfId="16" applyNumberFormat="1" applyFont="1" applyFill="1" applyBorder="1" applyAlignment="1">
      <alignment horizontal="center"/>
    </xf>
    <xf numFmtId="0" fontId="66" fillId="27" borderId="0" xfId="16" applyNumberFormat="1" applyFont="1" applyFill="1" applyBorder="1" applyAlignment="1">
      <alignment horizontal="right"/>
    </xf>
    <xf numFmtId="0" fontId="97" fillId="27" borderId="58" xfId="0" applyFont="1" applyFill="1" applyBorder="1" applyAlignment="1">
      <alignment horizontal="center"/>
    </xf>
    <xf numFmtId="0" fontId="97" fillId="27" borderId="3" xfId="0" applyFont="1" applyFill="1" applyBorder="1" applyAlignment="1" applyProtection="1">
      <alignment horizontal="center"/>
      <protection locked="0"/>
    </xf>
    <xf numFmtId="0" fontId="97" fillId="27" borderId="53" xfId="0" applyFont="1" applyFill="1" applyBorder="1" applyAlignment="1">
      <alignment horizontal="center"/>
    </xf>
    <xf numFmtId="0" fontId="97" fillId="27" borderId="154" xfId="0" applyNumberFormat="1" applyFont="1" applyFill="1" applyBorder="1" applyAlignment="1" applyProtection="1">
      <alignment horizontal="center" vertical="center"/>
    </xf>
    <xf numFmtId="0" fontId="97" fillId="27" borderId="32" xfId="0" applyNumberFormat="1" applyFont="1" applyFill="1" applyBorder="1" applyAlignment="1" applyProtection="1">
      <alignment horizontal="center" vertical="center"/>
    </xf>
    <xf numFmtId="0" fontId="97" fillId="27" borderId="90" xfId="0" applyNumberFormat="1" applyFont="1" applyFill="1" applyBorder="1" applyAlignment="1" applyProtection="1">
      <alignment horizontal="center" vertical="center"/>
    </xf>
    <xf numFmtId="0" fontId="98" fillId="27" borderId="52" xfId="0" applyNumberFormat="1" applyFont="1" applyFill="1" applyBorder="1" applyAlignment="1" applyProtection="1">
      <alignment horizontal="center" vertical="center"/>
    </xf>
    <xf numFmtId="0" fontId="97" fillId="27" borderId="43" xfId="0" applyNumberFormat="1" applyFont="1" applyFill="1" applyBorder="1" applyAlignment="1" applyProtection="1">
      <alignment horizontal="center" vertical="center"/>
    </xf>
    <xf numFmtId="0" fontId="97" fillId="27" borderId="38" xfId="0" applyNumberFormat="1" applyFont="1" applyFill="1" applyBorder="1" applyAlignment="1" applyProtection="1">
      <alignment horizontal="center" vertical="center"/>
    </xf>
    <xf numFmtId="0" fontId="98" fillId="27" borderId="110" xfId="0" applyNumberFormat="1" applyFont="1" applyFill="1" applyBorder="1" applyAlignment="1" applyProtection="1">
      <alignment horizontal="center" vertical="center"/>
    </xf>
    <xf numFmtId="0" fontId="97" fillId="27" borderId="45" xfId="0" applyNumberFormat="1" applyFont="1" applyFill="1" applyBorder="1" applyAlignment="1" applyProtection="1">
      <alignment horizontal="center" vertical="center"/>
    </xf>
    <xf numFmtId="0" fontId="97" fillId="27" borderId="64" xfId="0" applyNumberFormat="1" applyFont="1" applyFill="1" applyBorder="1" applyAlignment="1" applyProtection="1">
      <alignment horizontal="center" vertical="center"/>
    </xf>
    <xf numFmtId="0" fontId="99" fillId="37" borderId="29" xfId="0" applyFont="1" applyFill="1" applyBorder="1" applyAlignment="1" applyProtection="1">
      <alignment horizontal="center" vertical="center"/>
    </xf>
    <xf numFmtId="0" fontId="99" fillId="37" borderId="9" xfId="0" applyFont="1" applyFill="1" applyBorder="1" applyAlignment="1" applyProtection="1">
      <alignment horizontal="center" vertical="center"/>
    </xf>
    <xf numFmtId="0" fontId="97" fillId="27" borderId="10" xfId="0" applyFont="1" applyFill="1" applyBorder="1" applyProtection="1"/>
    <xf numFmtId="0" fontId="97" fillId="27" borderId="13" xfId="0" applyFont="1" applyFill="1" applyBorder="1" applyAlignment="1" applyProtection="1">
      <alignment horizontal="center"/>
    </xf>
    <xf numFmtId="0" fontId="97" fillId="27" borderId="0" xfId="0" applyFont="1" applyFill="1" applyBorder="1" applyAlignment="1" applyProtection="1">
      <alignment horizontal="center"/>
    </xf>
    <xf numFmtId="0" fontId="97" fillId="27" borderId="12" xfId="0" applyFont="1" applyFill="1" applyBorder="1" applyAlignment="1" applyProtection="1">
      <alignment horizontal="center"/>
    </xf>
    <xf numFmtId="0" fontId="97" fillId="27" borderId="155" xfId="0" applyNumberFormat="1" applyFont="1" applyFill="1" applyBorder="1" applyAlignment="1" applyProtection="1">
      <alignment horizontal="center" vertical="center"/>
    </xf>
    <xf numFmtId="0" fontId="97" fillId="27" borderId="49" xfId="0" applyNumberFormat="1" applyFont="1" applyFill="1" applyBorder="1" applyAlignment="1" applyProtection="1">
      <alignment horizontal="center" vertical="center"/>
    </xf>
    <xf numFmtId="0" fontId="97" fillId="27" borderId="39" xfId="0" applyNumberFormat="1" applyFont="1" applyFill="1" applyBorder="1" applyAlignment="1" applyProtection="1">
      <alignment horizontal="center" vertical="center"/>
    </xf>
    <xf numFmtId="0" fontId="97" fillId="27" borderId="1" xfId="0" applyNumberFormat="1" applyFont="1" applyFill="1" applyBorder="1" applyAlignment="1" applyProtection="1">
      <alignment horizontal="center" vertical="center"/>
    </xf>
    <xf numFmtId="0" fontId="97" fillId="27" borderId="71" xfId="0" applyNumberFormat="1" applyFont="1" applyFill="1" applyBorder="1" applyAlignment="1" applyProtection="1">
      <alignment horizontal="center" vertical="center"/>
    </xf>
    <xf numFmtId="0" fontId="97" fillId="27" borderId="33" xfId="0" applyNumberFormat="1" applyFont="1" applyFill="1" applyBorder="1" applyAlignment="1" applyProtection="1">
      <alignment horizontal="center" vertical="center"/>
    </xf>
    <xf numFmtId="0" fontId="97" fillId="27" borderId="69" xfId="0" applyNumberFormat="1" applyFont="1" applyFill="1" applyBorder="1" applyAlignment="1" applyProtection="1">
      <alignment horizontal="center" vertical="center"/>
    </xf>
    <xf numFmtId="0" fontId="14" fillId="35" borderId="10" xfId="5" applyNumberFormat="1" applyFont="1" applyFill="1" applyBorder="1" applyAlignment="1" applyProtection="1">
      <alignment horizontal="center" vertical="center"/>
      <protection locked="0"/>
    </xf>
    <xf numFmtId="0" fontId="14" fillId="35" borderId="157" xfId="5" applyFont="1" applyFill="1" applyBorder="1" applyAlignment="1" applyProtection="1">
      <alignment horizontal="center" vertical="center"/>
      <protection locked="0"/>
    </xf>
    <xf numFmtId="0" fontId="66" fillId="27" borderId="52" xfId="0" applyFont="1" applyFill="1" applyBorder="1"/>
    <xf numFmtId="0" fontId="66" fillId="27" borderId="110" xfId="0" applyFont="1" applyFill="1" applyBorder="1"/>
    <xf numFmtId="0" fontId="66" fillId="27" borderId="111" xfId="0" applyFont="1" applyFill="1" applyBorder="1"/>
    <xf numFmtId="20" fontId="22" fillId="26" borderId="0" xfId="0" applyNumberFormat="1" applyFont="1" applyFill="1" applyBorder="1" applyAlignment="1" applyProtection="1">
      <alignment horizontal="right" vertical="center"/>
    </xf>
    <xf numFmtId="2" fontId="100" fillId="26" borderId="0" xfId="0" applyNumberFormat="1" applyFont="1" applyFill="1" applyBorder="1" applyAlignment="1" applyProtection="1">
      <alignment horizontal="center" vertical="center"/>
    </xf>
    <xf numFmtId="0" fontId="0" fillId="27" borderId="75" xfId="0" applyFill="1" applyBorder="1" applyProtection="1">
      <protection hidden="1"/>
    </xf>
    <xf numFmtId="0" fontId="0" fillId="27" borderId="74" xfId="0" applyFill="1" applyBorder="1" applyProtection="1">
      <protection hidden="1"/>
    </xf>
    <xf numFmtId="0" fontId="0" fillId="27" borderId="76" xfId="0" applyFill="1" applyBorder="1" applyProtection="1">
      <protection hidden="1"/>
    </xf>
    <xf numFmtId="203" fontId="44" fillId="0" borderId="0" xfId="0" applyNumberFormat="1" applyFont="1" applyBorder="1" applyAlignment="1">
      <alignment horizontal="center" vertical="center"/>
    </xf>
    <xf numFmtId="0" fontId="58" fillId="0" borderId="4" xfId="0" applyFont="1" applyBorder="1" applyAlignment="1">
      <alignment wrapText="1"/>
    </xf>
    <xf numFmtId="0" fontId="101" fillId="0" borderId="0" xfId="0" applyFont="1" applyAlignment="1">
      <alignment wrapText="1"/>
    </xf>
    <xf numFmtId="0" fontId="103" fillId="0" borderId="0" xfId="0" applyFont="1" applyAlignment="1">
      <alignment wrapText="1"/>
    </xf>
    <xf numFmtId="0" fontId="58" fillId="0" borderId="0" xfId="0" applyFont="1" applyBorder="1" applyAlignment="1">
      <alignment wrapText="1"/>
    </xf>
    <xf numFmtId="0" fontId="14" fillId="35" borderId="156" xfId="5" applyFont="1" applyFill="1" applyBorder="1" applyAlignment="1" applyProtection="1">
      <alignment horizontal="center" vertical="center"/>
      <protection locked="0"/>
    </xf>
    <xf numFmtId="0" fontId="14" fillId="35" borderId="58" xfId="5" applyFont="1" applyFill="1" applyBorder="1" applyAlignment="1" applyProtection="1">
      <alignment horizontal="center" vertical="center"/>
      <protection locked="0"/>
    </xf>
    <xf numFmtId="0" fontId="14" fillId="7" borderId="48" xfId="0" applyNumberFormat="1" applyFont="1" applyFill="1" applyBorder="1" applyAlignment="1" applyProtection="1">
      <alignment horizontal="center" vertical="center"/>
      <protection locked="0"/>
    </xf>
    <xf numFmtId="0" fontId="14" fillId="7" borderId="88" xfId="0" applyNumberFormat="1" applyFont="1" applyFill="1" applyBorder="1" applyAlignment="1" applyProtection="1">
      <alignment horizontal="center" vertical="center"/>
      <protection locked="0"/>
    </xf>
    <xf numFmtId="0" fontId="14" fillId="35" borderId="29" xfId="5" applyFont="1" applyFill="1" applyBorder="1" applyAlignment="1" applyProtection="1">
      <alignment horizontal="center" vertical="center"/>
      <protection locked="0"/>
    </xf>
    <xf numFmtId="0" fontId="14" fillId="35" borderId="157" xfId="5" applyNumberFormat="1" applyFont="1" applyFill="1" applyBorder="1" applyAlignment="1" applyProtection="1">
      <alignment horizontal="center" vertical="center"/>
      <protection locked="0"/>
    </xf>
    <xf numFmtId="0" fontId="14" fillId="35" borderId="53" xfId="5" applyNumberFormat="1" applyFont="1" applyFill="1" applyBorder="1" applyAlignment="1" applyProtection="1">
      <alignment horizontal="center" vertical="center"/>
      <protection locked="0"/>
    </xf>
    <xf numFmtId="0" fontId="14" fillId="35" borderId="110" xfId="5" applyNumberFormat="1" applyFont="1" applyFill="1" applyBorder="1" applyAlignment="1" applyProtection="1">
      <alignment horizontal="center" vertical="center"/>
      <protection locked="0"/>
    </xf>
    <xf numFmtId="0" fontId="14" fillId="35" borderId="111" xfId="5" applyNumberFormat="1" applyFont="1" applyFill="1" applyBorder="1" applyAlignment="1" applyProtection="1">
      <alignment horizontal="center" vertical="center"/>
      <protection locked="0"/>
    </xf>
    <xf numFmtId="0" fontId="57" fillId="27" borderId="9" xfId="0" applyFont="1" applyFill="1" applyBorder="1" applyAlignment="1"/>
    <xf numFmtId="0" fontId="66" fillId="27" borderId="0" xfId="0" applyFont="1" applyFill="1" applyBorder="1" applyAlignment="1"/>
    <xf numFmtId="0" fontId="104" fillId="27" borderId="29" xfId="0" applyFont="1" applyFill="1" applyBorder="1" applyAlignment="1">
      <alignment horizontal="right"/>
    </xf>
    <xf numFmtId="0" fontId="86" fillId="27" borderId="9" xfId="0" applyFont="1" applyFill="1" applyBorder="1" applyAlignment="1">
      <alignment horizontal="center"/>
    </xf>
    <xf numFmtId="0" fontId="86" fillId="27" borderId="10" xfId="16" applyNumberFormat="1" applyFont="1" applyFill="1" applyBorder="1" applyAlignment="1">
      <alignment horizontal="center"/>
    </xf>
    <xf numFmtId="0" fontId="57" fillId="27" borderId="29" xfId="0" applyFont="1" applyFill="1" applyBorder="1" applyAlignment="1">
      <alignment horizontal="right"/>
    </xf>
    <xf numFmtId="0" fontId="66" fillId="27" borderId="10" xfId="16" applyNumberFormat="1" applyFont="1" applyFill="1" applyBorder="1" applyAlignment="1">
      <alignment horizontal="center"/>
    </xf>
    <xf numFmtId="0" fontId="57" fillId="27" borderId="156" xfId="0" applyFont="1" applyFill="1" applyBorder="1" applyAlignment="1">
      <alignment horizontal="right"/>
    </xf>
    <xf numFmtId="0" fontId="66" fillId="27" borderId="157" xfId="16" applyNumberFormat="1" applyFont="1" applyFill="1" applyBorder="1" applyAlignment="1">
      <alignment horizontal="center"/>
    </xf>
    <xf numFmtId="0" fontId="57" fillId="27" borderId="58" xfId="0" applyFont="1" applyFill="1" applyBorder="1" applyAlignment="1">
      <alignment horizontal="right"/>
    </xf>
    <xf numFmtId="0" fontId="66" fillId="27" borderId="53" xfId="16" applyNumberFormat="1" applyFont="1" applyFill="1" applyBorder="1" applyAlignment="1">
      <alignment horizontal="center"/>
    </xf>
    <xf numFmtId="0" fontId="66" fillId="27" borderId="157" xfId="0" applyFont="1" applyFill="1" applyBorder="1" applyAlignment="1">
      <alignment horizontal="center"/>
    </xf>
    <xf numFmtId="0" fontId="57" fillId="27" borderId="157" xfId="0" applyFont="1" applyFill="1" applyBorder="1" applyAlignment="1">
      <alignment horizontal="center"/>
    </xf>
    <xf numFmtId="0" fontId="86" fillId="27" borderId="10" xfId="0" applyFont="1" applyFill="1" applyBorder="1" applyAlignment="1">
      <alignment horizontal="center"/>
    </xf>
    <xf numFmtId="0" fontId="57" fillId="27" borderId="156" xfId="0" applyFont="1" applyFill="1" applyBorder="1" applyAlignment="1">
      <alignment horizontal="center"/>
    </xf>
    <xf numFmtId="0" fontId="86" fillId="27" borderId="29" xfId="0" applyFont="1" applyFill="1" applyBorder="1" applyAlignment="1">
      <alignment horizontal="center"/>
    </xf>
    <xf numFmtId="0" fontId="66" fillId="27" borderId="156" xfId="0" applyFont="1" applyFill="1" applyBorder="1" applyAlignment="1">
      <alignment horizontal="center"/>
    </xf>
    <xf numFmtId="9" fontId="86" fillId="27" borderId="29" xfId="16" applyFont="1" applyFill="1" applyBorder="1" applyAlignment="1">
      <alignment horizontal="center"/>
    </xf>
    <xf numFmtId="0" fontId="66" fillId="27" borderId="29" xfId="16" applyNumberFormat="1" applyFont="1" applyFill="1" applyBorder="1" applyAlignment="1">
      <alignment horizontal="right"/>
    </xf>
    <xf numFmtId="0" fontId="66" fillId="27" borderId="156" xfId="16" applyNumberFormat="1" applyFont="1" applyFill="1" applyBorder="1" applyAlignment="1">
      <alignment horizontal="right"/>
    </xf>
    <xf numFmtId="0" fontId="66" fillId="27" borderId="58" xfId="16" applyNumberFormat="1" applyFont="1" applyFill="1" applyBorder="1" applyAlignment="1">
      <alignment horizontal="right"/>
    </xf>
    <xf numFmtId="0" fontId="66" fillId="27" borderId="9" xfId="0" applyFont="1" applyFill="1" applyBorder="1" applyAlignment="1">
      <alignment horizontal="right"/>
    </xf>
    <xf numFmtId="0" fontId="66" fillId="27" borderId="9" xfId="0" applyFont="1" applyFill="1" applyBorder="1" applyAlignment="1"/>
    <xf numFmtId="0" fontId="66" fillId="27" borderId="10" xfId="0" applyFont="1" applyFill="1" applyBorder="1" applyAlignment="1"/>
    <xf numFmtId="9" fontId="57" fillId="27" borderId="58" xfId="16" applyFont="1" applyFill="1" applyBorder="1" applyAlignment="1">
      <alignment horizontal="center"/>
    </xf>
    <xf numFmtId="9" fontId="57" fillId="27" borderId="3" xfId="16" applyFont="1" applyFill="1" applyBorder="1" applyAlignment="1">
      <alignment horizontal="center"/>
    </xf>
    <xf numFmtId="9" fontId="57" fillId="27" borderId="53" xfId="16" applyFont="1" applyFill="1" applyBorder="1" applyAlignment="1">
      <alignment horizontal="center"/>
    </xf>
    <xf numFmtId="0" fontId="13" fillId="0" borderId="73" xfId="0" applyNumberFormat="1" applyFont="1" applyBorder="1" applyAlignment="1" applyProtection="1">
      <alignment horizontal="center"/>
    </xf>
    <xf numFmtId="1" fontId="11" fillId="0" borderId="50" xfId="0" applyNumberFormat="1" applyFont="1" applyBorder="1" applyAlignment="1" applyProtection="1">
      <alignment horizontal="center"/>
    </xf>
    <xf numFmtId="1" fontId="11" fillId="0" borderId="46" xfId="0" applyNumberFormat="1" applyFont="1" applyBorder="1" applyAlignment="1" applyProtection="1">
      <alignment horizontal="center"/>
    </xf>
    <xf numFmtId="1" fontId="11" fillId="0" borderId="100" xfId="0" applyNumberFormat="1" applyFont="1" applyBorder="1" applyAlignment="1" applyProtection="1">
      <alignment horizontal="center"/>
    </xf>
    <xf numFmtId="0" fontId="11" fillId="26" borderId="0" xfId="0" applyFont="1" applyFill="1" applyBorder="1" applyAlignment="1" applyProtection="1">
      <alignment horizontal="right" vertical="center"/>
    </xf>
    <xf numFmtId="0" fontId="15" fillId="12" borderId="21" xfId="4" applyNumberFormat="1" applyFont="1" applyFill="1" applyBorder="1" applyAlignment="1" applyProtection="1">
      <alignment horizontal="center" vertical="center"/>
      <protection locked="0"/>
    </xf>
    <xf numFmtId="0" fontId="105" fillId="0" borderId="0" xfId="17" applyAlignment="1">
      <alignment vertical="center"/>
    </xf>
    <xf numFmtId="0" fontId="79" fillId="0" borderId="0" xfId="0" applyFont="1"/>
    <xf numFmtId="0" fontId="18" fillId="0" borderId="1" xfId="0" applyNumberFormat="1" applyFont="1" applyFill="1" applyBorder="1" applyAlignment="1" applyProtection="1">
      <alignment horizontal="center" vertical="center"/>
    </xf>
    <xf numFmtId="0" fontId="70" fillId="28" borderId="74" xfId="0" applyNumberFormat="1" applyFont="1" applyFill="1" applyBorder="1" applyAlignment="1">
      <alignment horizontal="left"/>
    </xf>
    <xf numFmtId="0" fontId="14" fillId="26" borderId="0" xfId="3" applyNumberFormat="1" applyFont="1" applyFill="1" applyBorder="1" applyAlignment="1" applyProtection="1">
      <alignment horizontal="center" vertical="center"/>
    </xf>
    <xf numFmtId="1" fontId="14" fillId="26" borderId="0" xfId="0" applyNumberFormat="1" applyFont="1" applyFill="1" applyBorder="1" applyAlignment="1" applyProtection="1">
      <alignment horizontal="center" vertical="center"/>
    </xf>
    <xf numFmtId="0" fontId="11" fillId="26" borderId="11" xfId="0" applyFont="1" applyFill="1" applyBorder="1" applyAlignment="1" applyProtection="1">
      <alignment horizontal="right" vertical="center"/>
    </xf>
    <xf numFmtId="1" fontId="14" fillId="26" borderId="22" xfId="3" applyNumberFormat="1" applyFont="1" applyFill="1" applyBorder="1" applyAlignment="1" applyProtection="1">
      <alignment horizontal="center" vertical="center"/>
    </xf>
    <xf numFmtId="0" fontId="11" fillId="26" borderId="22" xfId="0" applyFont="1" applyFill="1" applyBorder="1" applyAlignment="1" applyProtection="1">
      <alignment vertical="center"/>
    </xf>
    <xf numFmtId="0" fontId="2" fillId="26" borderId="22" xfId="0" applyFont="1" applyFill="1" applyBorder="1" applyAlignment="1" applyProtection="1">
      <alignment horizontal="right" vertical="center"/>
    </xf>
    <xf numFmtId="182" fontId="11" fillId="26" borderId="0" xfId="0" applyNumberFormat="1" applyFont="1" applyFill="1" applyBorder="1" applyAlignment="1" applyProtection="1">
      <alignment horizontal="center" vertical="center"/>
    </xf>
    <xf numFmtId="182" fontId="11" fillId="26" borderId="5" xfId="0" applyNumberFormat="1" applyFont="1" applyFill="1" applyBorder="1" applyAlignment="1" applyProtection="1">
      <alignment horizontal="left" vertical="center"/>
    </xf>
    <xf numFmtId="0" fontId="14" fillId="26" borderId="0" xfId="0" applyFont="1" applyFill="1" applyBorder="1" applyAlignment="1" applyProtection="1">
      <alignment horizontal="center" vertical="center"/>
    </xf>
    <xf numFmtId="1" fontId="11" fillId="26" borderId="5" xfId="0" applyNumberFormat="1" applyFont="1" applyFill="1" applyBorder="1" applyAlignment="1" applyProtection="1">
      <alignment horizontal="left" vertical="center"/>
    </xf>
    <xf numFmtId="0" fontId="11" fillId="26" borderId="23" xfId="0" applyFont="1" applyFill="1" applyBorder="1" applyAlignment="1" applyProtection="1">
      <alignment horizontal="left" vertical="center"/>
    </xf>
    <xf numFmtId="1" fontId="14" fillId="26" borderId="22" xfId="0" applyNumberFormat="1" applyFont="1" applyFill="1" applyBorder="1" applyAlignment="1" applyProtection="1">
      <alignment horizontal="center" vertical="center"/>
    </xf>
    <xf numFmtId="0" fontId="17" fillId="26" borderId="8" xfId="0" applyFont="1" applyFill="1" applyBorder="1" applyAlignment="1" applyProtection="1">
      <alignment horizontal="left" vertical="center"/>
    </xf>
    <xf numFmtId="0" fontId="11" fillId="26" borderId="4" xfId="0" applyFont="1" applyFill="1" applyBorder="1" applyAlignment="1" applyProtection="1">
      <alignment horizontal="center" vertical="center"/>
    </xf>
    <xf numFmtId="0" fontId="10" fillId="26" borderId="4" xfId="0" applyFont="1" applyFill="1" applyBorder="1" applyAlignment="1" applyProtection="1">
      <alignment horizontal="center" vertical="center"/>
    </xf>
    <xf numFmtId="0" fontId="10" fillId="26" borderId="6" xfId="0" applyFont="1" applyFill="1" applyBorder="1" applyAlignment="1" applyProtection="1">
      <alignment horizontal="center" vertical="center"/>
    </xf>
    <xf numFmtId="0" fontId="11" fillId="26" borderId="5" xfId="0" applyFont="1" applyFill="1" applyBorder="1" applyAlignment="1" applyProtection="1">
      <alignment horizontal="center" vertical="center"/>
    </xf>
    <xf numFmtId="0" fontId="14" fillId="26" borderId="1" xfId="0" applyNumberFormat="1" applyFont="1" applyFill="1" applyBorder="1" applyAlignment="1" applyProtection="1">
      <alignment horizontal="left" vertical="center"/>
    </xf>
    <xf numFmtId="0" fontId="14" fillId="26" borderId="21" xfId="0" applyNumberFormat="1" applyFont="1" applyFill="1" applyBorder="1" applyAlignment="1" applyProtection="1">
      <alignment horizontal="left" vertical="center"/>
    </xf>
    <xf numFmtId="0" fontId="14" fillId="26" borderId="0" xfId="0" applyNumberFormat="1" applyFont="1" applyFill="1" applyBorder="1" applyAlignment="1" applyProtection="1">
      <alignment horizontal="left" vertical="center"/>
    </xf>
    <xf numFmtId="0" fontId="14" fillId="26" borderId="5" xfId="0" applyNumberFormat="1" applyFont="1" applyFill="1" applyBorder="1" applyAlignment="1" applyProtection="1">
      <alignment horizontal="left" vertical="center"/>
    </xf>
    <xf numFmtId="0" fontId="10" fillId="26" borderId="5" xfId="0" applyFont="1" applyFill="1" applyBorder="1" applyAlignment="1" applyProtection="1">
      <alignment horizontal="center" vertical="center"/>
    </xf>
    <xf numFmtId="0" fontId="11" fillId="30" borderId="0" xfId="0" applyFont="1" applyFill="1" applyBorder="1" applyAlignment="1" applyProtection="1">
      <alignment horizontal="center" vertical="center"/>
    </xf>
    <xf numFmtId="0" fontId="11" fillId="30" borderId="5" xfId="0" applyFont="1" applyFill="1" applyBorder="1" applyAlignment="1" applyProtection="1">
      <alignment horizontal="center" vertical="center"/>
    </xf>
    <xf numFmtId="0" fontId="17" fillId="26" borderId="2" xfId="0" applyFont="1" applyFill="1" applyBorder="1" applyAlignment="1" applyProtection="1">
      <alignment horizontal="left" vertical="center"/>
    </xf>
    <xf numFmtId="0" fontId="11" fillId="26" borderId="8" xfId="0" applyFont="1" applyFill="1" applyBorder="1" applyAlignment="1" applyProtection="1">
      <alignment horizontal="center" vertical="center"/>
    </xf>
    <xf numFmtId="0" fontId="11" fillId="26" borderId="4" xfId="0" applyFont="1" applyFill="1" applyBorder="1" applyAlignment="1" applyProtection="1">
      <alignment vertical="center"/>
    </xf>
    <xf numFmtId="0" fontId="11" fillId="26" borderId="4" xfId="0" applyNumberFormat="1" applyFont="1" applyFill="1" applyBorder="1" applyAlignment="1" applyProtection="1">
      <alignment horizontal="right" vertical="center"/>
    </xf>
    <xf numFmtId="0" fontId="14" fillId="26" borderId="4" xfId="0" applyNumberFormat="1" applyFont="1" applyFill="1" applyBorder="1" applyAlignment="1" applyProtection="1">
      <alignment horizontal="left" vertical="center"/>
    </xf>
    <xf numFmtId="0" fontId="18" fillId="26" borderId="4" xfId="0" applyNumberFormat="1" applyFont="1" applyFill="1" applyBorder="1" applyAlignment="1" applyProtection="1">
      <alignment horizontal="left" vertical="center"/>
    </xf>
    <xf numFmtId="0" fontId="18" fillId="26" borderId="6" xfId="0" applyNumberFormat="1" applyFont="1" applyFill="1" applyBorder="1" applyAlignment="1" applyProtection="1">
      <alignment horizontal="left" vertical="center"/>
    </xf>
    <xf numFmtId="0" fontId="11" fillId="26" borderId="0" xfId="0" applyNumberFormat="1" applyFont="1" applyFill="1" applyBorder="1" applyAlignment="1" applyProtection="1">
      <alignment horizontal="right" vertical="center"/>
    </xf>
    <xf numFmtId="0" fontId="18" fillId="26" borderId="0" xfId="0" applyNumberFormat="1" applyFont="1" applyFill="1" applyBorder="1" applyAlignment="1" applyProtection="1">
      <alignment horizontal="left" vertical="center"/>
    </xf>
    <xf numFmtId="182" fontId="14" fillId="26" borderId="0" xfId="0" applyNumberFormat="1" applyFont="1" applyFill="1" applyBorder="1" applyAlignment="1" applyProtection="1">
      <alignment horizontal="left" vertical="center"/>
    </xf>
    <xf numFmtId="0" fontId="14" fillId="26" borderId="25" xfId="0" applyNumberFormat="1" applyFont="1" applyFill="1" applyBorder="1" applyAlignment="1" applyProtection="1">
      <alignment horizontal="left" vertical="center"/>
    </xf>
    <xf numFmtId="0" fontId="14" fillId="26" borderId="28" xfId="0" applyNumberFormat="1" applyFont="1" applyFill="1" applyBorder="1" applyAlignment="1" applyProtection="1">
      <alignment horizontal="left" vertical="center"/>
    </xf>
    <xf numFmtId="0" fontId="2" fillId="4" borderId="2" xfId="0" applyFont="1" applyFill="1" applyBorder="1" applyAlignment="1" applyProtection="1">
      <alignment horizontal="right"/>
    </xf>
    <xf numFmtId="0" fontId="37" fillId="28" borderId="156" xfId="0" applyNumberFormat="1" applyFont="1" applyFill="1" applyBorder="1" applyAlignment="1">
      <alignment horizontal="left"/>
    </xf>
    <xf numFmtId="0" fontId="106" fillId="0" borderId="0" xfId="0" applyFont="1" applyBorder="1" applyProtection="1">
      <protection locked="0"/>
    </xf>
    <xf numFmtId="0" fontId="106" fillId="0" borderId="0" xfId="0" applyFont="1"/>
    <xf numFmtId="0" fontId="79" fillId="41" borderId="0" xfId="0" applyFont="1" applyFill="1"/>
    <xf numFmtId="0" fontId="79" fillId="0" borderId="0" xfId="0" applyFont="1" applyBorder="1" applyProtection="1">
      <protection locked="0"/>
    </xf>
    <xf numFmtId="0" fontId="79" fillId="41" borderId="118" xfId="0" applyFont="1" applyFill="1" applyBorder="1"/>
    <xf numFmtId="20" fontId="2" fillId="0" borderId="0" xfId="0" applyNumberFormat="1" applyFont="1" applyAlignment="1" applyProtection="1">
      <alignment vertical="center"/>
      <protection locked="0"/>
    </xf>
    <xf numFmtId="0" fontId="1" fillId="41" borderId="0" xfId="0" applyFont="1" applyFill="1"/>
    <xf numFmtId="0" fontId="0" fillId="41" borderId="0" xfId="0" applyFill="1"/>
    <xf numFmtId="0" fontId="2" fillId="0" borderId="9" xfId="0" applyFont="1" applyBorder="1" applyAlignment="1" applyProtection="1">
      <alignment vertical="center"/>
      <protection locked="0"/>
    </xf>
    <xf numFmtId="0" fontId="0" fillId="0" borderId="9" xfId="0" applyBorder="1"/>
    <xf numFmtId="0" fontId="0" fillId="0" borderId="10" xfId="0" applyBorder="1"/>
    <xf numFmtId="0" fontId="0" fillId="0" borderId="157" xfId="0" applyBorder="1"/>
    <xf numFmtId="0" fontId="2" fillId="0" borderId="3" xfId="0" applyFont="1" applyBorder="1" applyAlignment="1" applyProtection="1">
      <alignment vertical="center"/>
      <protection locked="0"/>
    </xf>
    <xf numFmtId="0" fontId="0" fillId="0" borderId="3" xfId="0" applyBorder="1"/>
    <xf numFmtId="0" fontId="0" fillId="0" borderId="53" xfId="0" applyBorder="1"/>
    <xf numFmtId="220" fontId="1" fillId="0" borderId="0" xfId="0" applyNumberFormat="1" applyFont="1"/>
    <xf numFmtId="0" fontId="11" fillId="0" borderId="157" xfId="0" applyFont="1" applyBorder="1" applyAlignment="1" applyProtection="1">
      <alignment horizontal="center"/>
    </xf>
    <xf numFmtId="0" fontId="15" fillId="12" borderId="1" xfId="4" applyNumberFormat="1" applyFont="1" applyFill="1" applyBorder="1" applyAlignment="1" applyProtection="1">
      <alignment horizontal="center" vertical="center"/>
      <protection locked="0"/>
    </xf>
    <xf numFmtId="218" fontId="15" fillId="12" borderId="1" xfId="4" applyNumberFormat="1" applyFont="1" applyFill="1" applyBorder="1" applyAlignment="1" applyProtection="1">
      <alignment horizontal="center" vertical="center"/>
      <protection locked="0"/>
    </xf>
    <xf numFmtId="0" fontId="60" fillId="28" borderId="12" xfId="0" applyNumberFormat="1" applyFont="1" applyFill="1" applyBorder="1" applyAlignment="1">
      <alignment horizontal="center"/>
    </xf>
    <xf numFmtId="0" fontId="11" fillId="26" borderId="4" xfId="0" applyFont="1" applyFill="1" applyBorder="1" applyAlignment="1" applyProtection="1">
      <alignment horizontal="center" vertical="center"/>
    </xf>
    <xf numFmtId="0" fontId="0" fillId="0" borderId="8" xfId="0" applyBorder="1" applyAlignment="1">
      <alignment vertical="center"/>
    </xf>
    <xf numFmtId="0" fontId="0" fillId="0" borderId="6" xfId="0" applyBorder="1" applyAlignment="1">
      <alignment vertical="center"/>
    </xf>
    <xf numFmtId="172" fontId="12" fillId="4" borderId="5" xfId="2" applyNumberFormat="1" applyFont="1" applyFill="1" applyBorder="1" applyAlignment="1" applyProtection="1">
      <alignment horizontal="right" vertical="center"/>
    </xf>
    <xf numFmtId="49" fontId="2" fillId="5" borderId="1" xfId="0" applyNumberFormat="1" applyFont="1" applyFill="1" applyBorder="1" applyAlignment="1" applyProtection="1">
      <alignment horizontal="center" vertical="center"/>
      <protection locked="0"/>
    </xf>
    <xf numFmtId="0" fontId="0" fillId="0" borderId="0" xfId="0" applyBorder="1" applyAlignment="1" applyProtection="1">
      <alignment vertical="center"/>
      <protection locked="0"/>
    </xf>
    <xf numFmtId="218" fontId="14" fillId="6" borderId="1" xfId="2" applyNumberFormat="1" applyFont="1" applyFill="1" applyBorder="1" applyAlignment="1" applyProtection="1">
      <alignment horizontal="center" vertical="center"/>
      <protection locked="0"/>
    </xf>
    <xf numFmtId="218" fontId="15" fillId="12" borderId="21" xfId="4" applyNumberFormat="1" applyFont="1" applyFill="1" applyBorder="1" applyAlignment="1" applyProtection="1">
      <alignment horizontal="center" vertical="center"/>
      <protection locked="0"/>
    </xf>
    <xf numFmtId="0" fontId="44" fillId="28" borderId="0" xfId="0" applyNumberFormat="1" applyFont="1" applyFill="1" applyBorder="1" applyAlignment="1">
      <alignment horizontal="center"/>
    </xf>
    <xf numFmtId="0" fontId="44" fillId="28" borderId="29" xfId="0" applyNumberFormat="1" applyFont="1" applyFill="1" applyBorder="1" applyAlignment="1">
      <alignment horizontal="center"/>
    </xf>
    <xf numFmtId="0" fontId="44" fillId="28" borderId="10" xfId="0" applyNumberFormat="1" applyFont="1" applyFill="1" applyBorder="1" applyAlignment="1">
      <alignment horizontal="center"/>
    </xf>
    <xf numFmtId="0" fontId="44" fillId="28" borderId="9" xfId="0" applyNumberFormat="1" applyFont="1" applyFill="1" applyBorder="1" applyAlignment="1">
      <alignment horizontal="center"/>
    </xf>
    <xf numFmtId="0" fontId="44" fillId="28" borderId="0" xfId="0" applyNumberFormat="1" applyFont="1" applyFill="1" applyAlignment="1">
      <alignment horizontal="center"/>
    </xf>
    <xf numFmtId="0" fontId="14" fillId="26" borderId="66" xfId="0" applyNumberFormat="1" applyFont="1" applyFill="1" applyBorder="1" applyAlignment="1" applyProtection="1">
      <alignment horizontal="left" vertical="center"/>
    </xf>
    <xf numFmtId="0" fontId="14" fillId="26" borderId="101" xfId="0" applyNumberFormat="1" applyFont="1" applyFill="1" applyBorder="1" applyAlignment="1" applyProtection="1">
      <alignment horizontal="left" vertical="center"/>
    </xf>
    <xf numFmtId="0" fontId="14" fillId="26" borderId="51" xfId="0" applyNumberFormat="1" applyFont="1" applyFill="1" applyBorder="1" applyAlignment="1" applyProtection="1">
      <alignment horizontal="left" vertical="center"/>
    </xf>
    <xf numFmtId="0" fontId="14" fillId="26" borderId="30" xfId="0" applyNumberFormat="1" applyFont="1" applyFill="1" applyBorder="1" applyAlignment="1" applyProtection="1">
      <alignment horizontal="left" vertical="center"/>
    </xf>
    <xf numFmtId="0" fontId="14" fillId="10" borderId="102" xfId="0" applyNumberFormat="1" applyFont="1" applyFill="1" applyBorder="1" applyAlignment="1" applyProtection="1">
      <alignment horizontal="center" vertical="center"/>
      <protection locked="0"/>
    </xf>
    <xf numFmtId="0" fontId="14" fillId="10" borderId="27" xfId="0" applyNumberFormat="1" applyFont="1" applyFill="1" applyBorder="1" applyAlignment="1" applyProtection="1">
      <alignment horizontal="center" vertical="center"/>
      <protection locked="0"/>
    </xf>
    <xf numFmtId="0" fontId="14" fillId="0" borderId="0" xfId="0" applyNumberFormat="1" applyFont="1" applyFill="1" applyBorder="1" applyAlignment="1" applyProtection="1">
      <alignment horizontal="center" vertical="center"/>
      <protection locked="0"/>
    </xf>
    <xf numFmtId="0" fontId="14" fillId="0" borderId="0" xfId="0" applyNumberFormat="1" applyFont="1" applyFill="1" applyBorder="1" applyAlignment="1" applyProtection="1">
      <alignment horizontal="left" vertical="center"/>
    </xf>
    <xf numFmtId="0" fontId="108" fillId="0" borderId="0" xfId="0" applyFont="1" applyFill="1" applyAlignment="1" applyProtection="1">
      <alignment horizontal="left"/>
      <protection locked="0"/>
    </xf>
    <xf numFmtId="0" fontId="92" fillId="0" borderId="0" xfId="0" applyFont="1" applyProtection="1">
      <protection hidden="1"/>
    </xf>
    <xf numFmtId="0" fontId="94" fillId="0" borderId="0" xfId="0" applyFont="1" applyProtection="1">
      <protection hidden="1"/>
    </xf>
    <xf numFmtId="0" fontId="94" fillId="0" borderId="0" xfId="0" applyFont="1" applyAlignment="1" applyProtection="1">
      <alignment horizontal="center"/>
      <protection hidden="1"/>
    </xf>
    <xf numFmtId="0" fontId="14" fillId="26" borderId="92" xfId="0" applyNumberFormat="1" applyFont="1" applyFill="1" applyBorder="1" applyAlignment="1" applyProtection="1">
      <alignment horizontal="left" vertical="center"/>
    </xf>
    <xf numFmtId="0" fontId="14" fillId="26" borderId="43" xfId="0" applyNumberFormat="1" applyFont="1" applyFill="1" applyBorder="1" applyAlignment="1" applyProtection="1">
      <alignment horizontal="left" vertical="center"/>
    </xf>
    <xf numFmtId="0" fontId="14" fillId="26" borderId="62" xfId="0" applyNumberFormat="1" applyFont="1" applyFill="1" applyBorder="1" applyAlignment="1" applyProtection="1">
      <alignment horizontal="left" vertical="center"/>
    </xf>
    <xf numFmtId="0" fontId="94" fillId="0" borderId="0" xfId="0" applyFont="1" applyAlignment="1" applyProtection="1">
      <protection hidden="1"/>
    </xf>
    <xf numFmtId="0" fontId="2" fillId="0" borderId="0" xfId="0" applyFont="1" applyBorder="1" applyAlignment="1" applyProtection="1">
      <alignment vertical="center"/>
    </xf>
    <xf numFmtId="0" fontId="14" fillId="26" borderId="48" xfId="0" applyNumberFormat="1" applyFont="1" applyFill="1" applyBorder="1" applyAlignment="1" applyProtection="1">
      <alignment horizontal="left" vertical="center"/>
    </xf>
    <xf numFmtId="0" fontId="14" fillId="26" borderId="49" xfId="0" applyNumberFormat="1" applyFont="1" applyFill="1" applyBorder="1" applyAlignment="1" applyProtection="1">
      <alignment horizontal="left" vertical="center"/>
    </xf>
    <xf numFmtId="0" fontId="14" fillId="26" borderId="104" xfId="0" applyNumberFormat="1" applyFont="1" applyFill="1" applyBorder="1" applyAlignment="1" applyProtection="1">
      <alignment horizontal="left" vertical="center"/>
    </xf>
    <xf numFmtId="0" fontId="109" fillId="0" borderId="29" xfId="0" applyFont="1" applyFill="1" applyBorder="1" applyAlignment="1" applyProtection="1">
      <alignment horizontal="right"/>
      <protection hidden="1"/>
    </xf>
    <xf numFmtId="0" fontId="92" fillId="0" borderId="9" xfId="0" applyFont="1" applyBorder="1" applyProtection="1">
      <protection hidden="1"/>
    </xf>
    <xf numFmtId="0" fontId="92" fillId="0" borderId="10" xfId="0" applyFont="1" applyBorder="1" applyProtection="1">
      <protection hidden="1"/>
    </xf>
    <xf numFmtId="0" fontId="109" fillId="0" borderId="156" xfId="0" applyFont="1" applyFill="1" applyBorder="1" applyAlignment="1" applyProtection="1">
      <alignment horizontal="right"/>
      <protection hidden="1"/>
    </xf>
    <xf numFmtId="0" fontId="92" fillId="0" borderId="0" xfId="0" applyFont="1" applyBorder="1" applyProtection="1">
      <protection hidden="1"/>
    </xf>
    <xf numFmtId="0" fontId="92" fillId="0" borderId="157" xfId="0" applyFont="1" applyBorder="1" applyProtection="1">
      <protection hidden="1"/>
    </xf>
    <xf numFmtId="0" fontId="110" fillId="0" borderId="156" xfId="0" applyFont="1" applyFill="1" applyBorder="1" applyAlignment="1" applyProtection="1">
      <alignment horizontal="right"/>
      <protection hidden="1"/>
    </xf>
    <xf numFmtId="0" fontId="92" fillId="0" borderId="3" xfId="0" applyFont="1" applyBorder="1" applyProtection="1">
      <protection hidden="1"/>
    </xf>
    <xf numFmtId="0" fontId="94" fillId="0" borderId="53" xfId="0" applyFont="1" applyBorder="1" applyProtection="1">
      <protection hidden="1"/>
    </xf>
    <xf numFmtId="0" fontId="92" fillId="0" borderId="0" xfId="0" applyFont="1" applyAlignment="1" applyProtection="1">
      <alignment horizontal="right"/>
      <protection hidden="1"/>
    </xf>
    <xf numFmtId="0" fontId="92" fillId="0" borderId="0" xfId="0" applyFont="1" applyFill="1" applyAlignment="1" applyProtection="1">
      <alignment horizontal="right"/>
      <protection hidden="1"/>
    </xf>
    <xf numFmtId="0" fontId="94" fillId="0" borderId="58" xfId="0" applyFont="1" applyBorder="1" applyAlignment="1" applyProtection="1">
      <alignment horizontal="right"/>
      <protection hidden="1"/>
    </xf>
    <xf numFmtId="0" fontId="11" fillId="0" borderId="0" xfId="0" applyFont="1" applyBorder="1" applyAlignment="1" applyProtection="1">
      <alignment horizontal="right" vertical="center"/>
    </xf>
    <xf numFmtId="0" fontId="2" fillId="0" borderId="0" xfId="0" applyFont="1" applyBorder="1" applyAlignment="1" applyProtection="1">
      <alignment horizontal="right" vertical="center"/>
    </xf>
    <xf numFmtId="0" fontId="80" fillId="0" borderId="0" xfId="0" applyFont="1" applyBorder="1" applyAlignment="1" applyProtection="1">
      <alignment vertical="center"/>
    </xf>
    <xf numFmtId="0" fontId="44" fillId="28" borderId="156" xfId="0" applyNumberFormat="1" applyFont="1" applyFill="1" applyBorder="1" applyAlignment="1">
      <alignment horizontal="left"/>
    </xf>
    <xf numFmtId="0" fontId="44" fillId="28" borderId="156" xfId="0" applyNumberFormat="1" applyFont="1" applyFill="1" applyBorder="1" applyAlignment="1">
      <alignment horizontal="center"/>
    </xf>
    <xf numFmtId="0" fontId="44" fillId="28" borderId="157" xfId="0" applyNumberFormat="1" applyFont="1" applyFill="1" applyBorder="1" applyAlignment="1">
      <alignment horizontal="center"/>
    </xf>
    <xf numFmtId="0" fontId="44" fillId="28" borderId="29" xfId="0" applyNumberFormat="1" applyFont="1" applyFill="1" applyBorder="1" applyAlignment="1">
      <alignment horizontal="left"/>
    </xf>
    <xf numFmtId="0" fontId="111" fillId="26" borderId="0" xfId="0" applyFont="1" applyFill="1" applyBorder="1" applyAlignment="1" applyProtection="1">
      <alignment vertical="center"/>
    </xf>
    <xf numFmtId="0" fontId="66" fillId="27" borderId="75" xfId="0" applyFont="1" applyFill="1" applyBorder="1" applyAlignment="1"/>
    <xf numFmtId="0" fontId="66" fillId="27" borderId="76" xfId="0" applyFont="1" applyFill="1" applyBorder="1" applyAlignment="1"/>
    <xf numFmtId="9" fontId="66" fillId="27" borderId="58" xfId="16" applyFont="1" applyFill="1" applyBorder="1" applyAlignment="1"/>
    <xf numFmtId="9" fontId="66" fillId="27" borderId="53" xfId="16" applyFont="1" applyFill="1" applyBorder="1" applyAlignment="1"/>
    <xf numFmtId="0" fontId="104" fillId="27" borderId="156" xfId="0" applyFont="1" applyFill="1" applyBorder="1" applyAlignment="1">
      <alignment horizontal="right"/>
    </xf>
    <xf numFmtId="0" fontId="86" fillId="27" borderId="157" xfId="0" applyFont="1" applyFill="1" applyBorder="1" applyAlignment="1">
      <alignment horizontal="center"/>
    </xf>
    <xf numFmtId="0" fontId="86" fillId="27" borderId="0" xfId="0" applyFont="1" applyFill="1" applyBorder="1" applyAlignment="1">
      <alignment horizontal="center"/>
    </xf>
    <xf numFmtId="0" fontId="86" fillId="27" borderId="156" xfId="0" applyFont="1" applyFill="1" applyBorder="1" applyAlignment="1">
      <alignment horizontal="center"/>
    </xf>
    <xf numFmtId="0" fontId="66" fillId="0" borderId="0" xfId="0" applyFont="1" applyFill="1" applyBorder="1"/>
    <xf numFmtId="0" fontId="66" fillId="0" borderId="0" xfId="0" applyFont="1" applyFill="1" applyBorder="1" applyAlignment="1">
      <alignment horizontal="center"/>
    </xf>
    <xf numFmtId="0" fontId="0" fillId="0" borderId="0" xfId="0" applyFill="1"/>
    <xf numFmtId="0" fontId="66" fillId="0" borderId="118" xfId="0" applyFont="1" applyFill="1" applyBorder="1"/>
    <xf numFmtId="22" fontId="66" fillId="0" borderId="118" xfId="0" applyNumberFormat="1" applyFont="1" applyFill="1" applyBorder="1" applyAlignment="1">
      <alignment horizontal="center"/>
    </xf>
    <xf numFmtId="9" fontId="66" fillId="0" borderId="118" xfId="0" applyNumberFormat="1" applyFont="1" applyFill="1" applyBorder="1"/>
    <xf numFmtId="0" fontId="66" fillId="0" borderId="118" xfId="0" applyNumberFormat="1" applyFont="1" applyFill="1" applyBorder="1" applyAlignment="1">
      <alignment horizontal="center"/>
    </xf>
    <xf numFmtId="0" fontId="0" fillId="0" borderId="0" xfId="0" applyFill="1" applyAlignment="1">
      <alignment horizontal="center"/>
    </xf>
    <xf numFmtId="14" fontId="66" fillId="0" borderId="118" xfId="0" applyNumberFormat="1" applyFont="1" applyFill="1" applyBorder="1" applyAlignment="1">
      <alignment horizontal="center"/>
    </xf>
    <xf numFmtId="22" fontId="66" fillId="0" borderId="0" xfId="0" applyNumberFormat="1" applyFont="1" applyFill="1" applyBorder="1" applyAlignment="1">
      <alignment horizontal="center"/>
    </xf>
    <xf numFmtId="9" fontId="66" fillId="0" borderId="0" xfId="0" applyNumberFormat="1" applyFont="1" applyFill="1" applyBorder="1"/>
    <xf numFmtId="0" fontId="112" fillId="0" borderId="118" xfId="0" applyFont="1" applyFill="1" applyBorder="1" applyProtection="1">
      <protection hidden="1"/>
    </xf>
    <xf numFmtId="0" fontId="14" fillId="6" borderId="1" xfId="2" applyNumberFormat="1" applyFont="1" applyFill="1" applyBorder="1" applyAlignment="1" applyProtection="1">
      <alignment horizontal="center" vertical="center"/>
      <protection locked="0"/>
    </xf>
    <xf numFmtId="0" fontId="4" fillId="28" borderId="0" xfId="0" applyNumberFormat="1" applyFont="1" applyFill="1" applyBorder="1" applyAlignment="1">
      <alignment horizontal="center"/>
    </xf>
    <xf numFmtId="0" fontId="44" fillId="28" borderId="0" xfId="0" applyNumberFormat="1" applyFont="1" applyFill="1" applyBorder="1" applyAlignment="1">
      <alignment horizontal="center"/>
    </xf>
    <xf numFmtId="0" fontId="44" fillId="28" borderId="3" xfId="0" applyNumberFormat="1" applyFont="1" applyFill="1" applyBorder="1" applyAlignment="1">
      <alignment horizontal="center" vertical="top"/>
    </xf>
    <xf numFmtId="0" fontId="44" fillId="28" borderId="9" xfId="0" applyNumberFormat="1" applyFont="1" applyFill="1" applyBorder="1" applyAlignment="1">
      <alignment horizontal="center"/>
    </xf>
    <xf numFmtId="0" fontId="17" fillId="26" borderId="4" xfId="5" applyFont="1" applyFill="1" applyBorder="1" applyAlignment="1" applyProtection="1">
      <alignment vertical="center"/>
    </xf>
    <xf numFmtId="0" fontId="12" fillId="26" borderId="0" xfId="5" applyFont="1" applyFill="1" applyBorder="1" applyAlignment="1" applyProtection="1">
      <alignment horizontal="right" vertical="center"/>
    </xf>
    <xf numFmtId="0" fontId="12" fillId="26" borderId="0" xfId="5" applyFont="1" applyFill="1" applyBorder="1" applyAlignment="1" applyProtection="1">
      <alignment horizontal="center" vertical="center"/>
      <protection locked="0"/>
    </xf>
    <xf numFmtId="0" fontId="12" fillId="26" borderId="22" xfId="5" applyFont="1" applyFill="1" applyBorder="1" applyAlignment="1" applyProtection="1">
      <alignment horizontal="center" vertical="center"/>
      <protection locked="0"/>
    </xf>
    <xf numFmtId="221" fontId="14" fillId="26" borderId="1" xfId="5" applyNumberFormat="1" applyFont="1" applyFill="1" applyBorder="1" applyAlignment="1" applyProtection="1">
      <alignment horizontal="center" vertical="center"/>
    </xf>
    <xf numFmtId="221" fontId="14" fillId="3" borderId="1" xfId="5" applyNumberFormat="1" applyFont="1" applyFill="1" applyBorder="1" applyAlignment="1" applyProtection="1">
      <alignment horizontal="center" vertical="center"/>
    </xf>
    <xf numFmtId="0" fontId="44" fillId="28" borderId="157" xfId="0" applyNumberFormat="1" applyFont="1" applyFill="1" applyBorder="1" applyAlignment="1"/>
    <xf numFmtId="0" fontId="44" fillId="28" borderId="156" xfId="0" applyNumberFormat="1" applyFont="1" applyFill="1" applyBorder="1"/>
    <xf numFmtId="182" fontId="0" fillId="0" borderId="0" xfId="0" applyNumberFormat="1" applyAlignment="1">
      <alignment horizontal="left"/>
    </xf>
    <xf numFmtId="166" fontId="14" fillId="9" borderId="65" xfId="0" applyNumberFormat="1" applyFont="1" applyFill="1" applyBorder="1" applyAlignment="1" applyProtection="1">
      <alignment horizontal="center" vertical="center"/>
      <protection locked="0"/>
    </xf>
    <xf numFmtId="9" fontId="2" fillId="26" borderId="29" xfId="0" applyNumberFormat="1" applyFont="1" applyFill="1" applyBorder="1" applyAlignment="1" applyProtection="1">
      <alignment horizontal="right" vertical="center"/>
    </xf>
    <xf numFmtId="1" fontId="14" fillId="0" borderId="87" xfId="0" applyNumberFormat="1" applyFont="1" applyFill="1" applyBorder="1" applyAlignment="1" applyProtection="1">
      <alignment horizontal="center" vertical="center"/>
      <protection locked="0"/>
    </xf>
    <xf numFmtId="1" fontId="14" fillId="0" borderId="32" xfId="0" applyNumberFormat="1" applyFont="1" applyFill="1" applyBorder="1" applyAlignment="1" applyProtection="1">
      <alignment horizontal="center" vertical="center"/>
      <protection locked="0"/>
    </xf>
    <xf numFmtId="166" fontId="14" fillId="0" borderId="32" xfId="0" applyNumberFormat="1" applyFont="1" applyFill="1" applyBorder="1" applyAlignment="1" applyProtection="1">
      <alignment horizontal="center" vertical="center"/>
      <protection locked="0"/>
    </xf>
    <xf numFmtId="166" fontId="14" fillId="0" borderId="72" xfId="0" applyNumberFormat="1" applyFont="1" applyFill="1" applyBorder="1" applyAlignment="1" applyProtection="1">
      <alignment horizontal="center" vertical="center"/>
      <protection locked="0"/>
    </xf>
    <xf numFmtId="166" fontId="14" fillId="0" borderId="68" xfId="0" applyNumberFormat="1" applyFont="1" applyFill="1" applyBorder="1" applyAlignment="1" applyProtection="1">
      <alignment horizontal="center" vertical="center"/>
      <protection locked="0"/>
    </xf>
    <xf numFmtId="9" fontId="2" fillId="26" borderId="58" xfId="0" applyNumberFormat="1" applyFont="1" applyFill="1" applyBorder="1" applyAlignment="1" applyProtection="1">
      <alignment horizontal="right" vertical="center"/>
    </xf>
    <xf numFmtId="1" fontId="14" fillId="0" borderId="88" xfId="0" applyNumberFormat="1" applyFont="1" applyFill="1" applyBorder="1" applyAlignment="1" applyProtection="1">
      <alignment horizontal="center" vertical="center"/>
      <protection locked="0"/>
    </xf>
    <xf numFmtId="1" fontId="14" fillId="0" borderId="33" xfId="0" applyNumberFormat="1" applyFont="1" applyFill="1" applyBorder="1" applyAlignment="1" applyProtection="1">
      <alignment horizontal="center" vertical="center"/>
      <protection locked="0"/>
    </xf>
    <xf numFmtId="166" fontId="14" fillId="0" borderId="33" xfId="0" applyNumberFormat="1" applyFont="1" applyFill="1" applyBorder="1" applyAlignment="1" applyProtection="1">
      <alignment horizontal="center" vertical="center"/>
      <protection locked="0"/>
    </xf>
    <xf numFmtId="166" fontId="14" fillId="0" borderId="73" xfId="0" applyNumberFormat="1" applyFont="1" applyFill="1" applyBorder="1" applyAlignment="1" applyProtection="1">
      <alignment horizontal="center" vertical="center"/>
      <protection locked="0"/>
    </xf>
    <xf numFmtId="166" fontId="14" fillId="0" borderId="69" xfId="0" applyNumberFormat="1" applyFont="1" applyFill="1" applyBorder="1" applyAlignment="1" applyProtection="1">
      <alignment horizontal="center" vertical="center"/>
      <protection locked="0"/>
    </xf>
    <xf numFmtId="166" fontId="14" fillId="9" borderId="98" xfId="0" applyNumberFormat="1" applyFont="1" applyFill="1" applyBorder="1" applyAlignment="1" applyProtection="1">
      <alignment horizontal="center" vertical="center"/>
      <protection locked="0"/>
    </xf>
    <xf numFmtId="1" fontId="14" fillId="27" borderId="99" xfId="0" applyNumberFormat="1" applyFont="1" applyFill="1" applyBorder="1" applyAlignment="1" applyProtection="1">
      <alignment horizontal="center" vertical="center"/>
    </xf>
    <xf numFmtId="1" fontId="14" fillId="27" borderId="114" xfId="0" applyNumberFormat="1" applyFont="1" applyFill="1" applyBorder="1" applyAlignment="1" applyProtection="1">
      <alignment horizontal="center" vertical="center"/>
    </xf>
    <xf numFmtId="1" fontId="14" fillId="27" borderId="56" xfId="0" applyNumberFormat="1" applyFont="1" applyFill="1" applyBorder="1" applyAlignment="1" applyProtection="1">
      <alignment horizontal="center" vertical="center"/>
    </xf>
    <xf numFmtId="166" fontId="14" fillId="27" borderId="56" xfId="0" applyNumberFormat="1" applyFont="1" applyFill="1" applyBorder="1" applyAlignment="1" applyProtection="1">
      <alignment horizontal="center" vertical="center"/>
    </xf>
    <xf numFmtId="166" fontId="14" fillId="27" borderId="24" xfId="0" applyNumberFormat="1" applyFont="1" applyFill="1" applyBorder="1" applyAlignment="1" applyProtection="1">
      <alignment horizontal="center" vertical="center"/>
    </xf>
    <xf numFmtId="0" fontId="11" fillId="26" borderId="52" xfId="0" applyFont="1" applyFill="1" applyBorder="1" applyAlignment="1" applyProtection="1">
      <alignment horizontal="right" vertical="center"/>
    </xf>
    <xf numFmtId="1" fontId="11" fillId="26" borderId="111" xfId="0" applyNumberFormat="1" applyFont="1" applyFill="1" applyBorder="1" applyAlignment="1" applyProtection="1">
      <alignment horizontal="right" vertical="center"/>
    </xf>
    <xf numFmtId="9" fontId="11" fillId="26" borderId="52" xfId="0" applyNumberFormat="1" applyFont="1" applyFill="1" applyBorder="1" applyAlignment="1" applyProtection="1">
      <alignment horizontal="right" vertical="center"/>
    </xf>
    <xf numFmtId="0" fontId="11" fillId="0" borderId="0" xfId="0" applyFont="1" applyAlignment="1" applyProtection="1">
      <alignment horizontal="center"/>
      <protection locked="0" hidden="1"/>
    </xf>
    <xf numFmtId="1" fontId="14" fillId="0" borderId="72" xfId="0" applyNumberFormat="1" applyFont="1" applyFill="1" applyBorder="1" applyAlignment="1" applyProtection="1">
      <alignment horizontal="center" vertical="center"/>
      <protection locked="0"/>
    </xf>
    <xf numFmtId="1" fontId="14" fillId="0" borderId="73" xfId="0" applyNumberFormat="1" applyFont="1" applyFill="1" applyBorder="1" applyAlignment="1" applyProtection="1">
      <alignment horizontal="center" vertical="center"/>
      <protection locked="0"/>
    </xf>
    <xf numFmtId="1" fontId="14" fillId="27" borderId="24" xfId="0" applyNumberFormat="1" applyFont="1" applyFill="1" applyBorder="1" applyAlignment="1" applyProtection="1">
      <alignment horizontal="center" vertical="center"/>
    </xf>
    <xf numFmtId="0" fontId="14" fillId="10" borderId="51" xfId="0" applyFont="1" applyFill="1" applyBorder="1" applyAlignment="1" applyProtection="1">
      <alignment horizontal="center" vertical="center"/>
      <protection locked="0"/>
    </xf>
    <xf numFmtId="0" fontId="12" fillId="30" borderId="56" xfId="4" applyFont="1" applyFill="1" applyBorder="1" applyAlignment="1" applyProtection="1">
      <alignment horizontal="center"/>
    </xf>
    <xf numFmtId="1" fontId="2" fillId="31" borderId="0" xfId="0" applyNumberFormat="1" applyFont="1" applyFill="1" applyBorder="1" applyAlignment="1" applyProtection="1">
      <alignment horizontal="center" vertical="center"/>
    </xf>
    <xf numFmtId="0" fontId="14" fillId="13" borderId="133" xfId="0" applyFont="1" applyFill="1" applyBorder="1" applyAlignment="1" applyProtection="1">
      <alignment horizontal="center" vertical="center"/>
      <protection locked="0"/>
    </xf>
    <xf numFmtId="0" fontId="14" fillId="10" borderId="47" xfId="0" applyFont="1" applyFill="1" applyBorder="1" applyAlignment="1" applyProtection="1">
      <alignment horizontal="center" vertical="center"/>
      <protection locked="0"/>
    </xf>
    <xf numFmtId="0" fontId="2" fillId="31" borderId="9" xfId="0" applyFont="1" applyFill="1" applyBorder="1" applyAlignment="1" applyProtection="1">
      <alignment horizontal="center" vertical="center"/>
    </xf>
    <xf numFmtId="1" fontId="2" fillId="31" borderId="3" xfId="0" applyNumberFormat="1" applyFont="1" applyFill="1" applyBorder="1" applyAlignment="1" applyProtection="1">
      <alignment horizontal="center" vertical="center"/>
    </xf>
    <xf numFmtId="1" fontId="2" fillId="31" borderId="9" xfId="0" applyNumberFormat="1" applyFont="1" applyFill="1" applyBorder="1" applyAlignment="1" applyProtection="1">
      <alignment horizontal="center" vertical="center"/>
    </xf>
    <xf numFmtId="191" fontId="14" fillId="21" borderId="65" xfId="0" applyNumberFormat="1" applyFont="1" applyFill="1" applyBorder="1" applyAlignment="1" applyProtection="1">
      <alignment horizontal="center" vertical="center"/>
    </xf>
    <xf numFmtId="0" fontId="12" fillId="30" borderId="99" xfId="4" applyFont="1" applyFill="1" applyBorder="1" applyAlignment="1" applyProtection="1">
      <alignment horizontal="center"/>
    </xf>
    <xf numFmtId="191" fontId="14" fillId="21" borderId="87" xfId="0" applyNumberFormat="1" applyFont="1" applyFill="1" applyBorder="1" applyAlignment="1" applyProtection="1">
      <alignment horizontal="center" vertical="center"/>
    </xf>
    <xf numFmtId="191" fontId="14" fillId="21" borderId="32" xfId="0" applyNumberFormat="1" applyFont="1" applyFill="1" applyBorder="1" applyAlignment="1" applyProtection="1">
      <alignment horizontal="center" vertical="center"/>
    </xf>
    <xf numFmtId="191" fontId="14" fillId="21" borderId="72" xfId="0" applyNumberFormat="1" applyFont="1" applyFill="1" applyBorder="1" applyAlignment="1" applyProtection="1">
      <alignment horizontal="center" vertical="center"/>
    </xf>
    <xf numFmtId="191" fontId="14" fillId="21" borderId="68" xfId="0" applyNumberFormat="1" applyFont="1" applyFill="1" applyBorder="1" applyAlignment="1" applyProtection="1">
      <alignment horizontal="center" vertical="center"/>
    </xf>
    <xf numFmtId="191" fontId="14" fillId="21" borderId="88" xfId="0" applyNumberFormat="1" applyFont="1" applyFill="1" applyBorder="1" applyAlignment="1" applyProtection="1">
      <alignment horizontal="center" vertical="center"/>
    </xf>
    <xf numFmtId="191" fontId="14" fillId="21" borderId="33" xfId="0" applyNumberFormat="1" applyFont="1" applyFill="1" applyBorder="1" applyAlignment="1" applyProtection="1">
      <alignment horizontal="center" vertical="center"/>
    </xf>
    <xf numFmtId="191" fontId="14" fillId="21" borderId="73" xfId="0" applyNumberFormat="1" applyFont="1" applyFill="1" applyBorder="1" applyAlignment="1" applyProtection="1">
      <alignment horizontal="center" vertical="center"/>
    </xf>
    <xf numFmtId="191" fontId="14" fillId="21" borderId="69" xfId="0" applyNumberFormat="1" applyFont="1" applyFill="1" applyBorder="1" applyAlignment="1" applyProtection="1">
      <alignment horizontal="center" vertical="center"/>
    </xf>
    <xf numFmtId="0" fontId="90" fillId="39" borderId="158" xfId="0" applyFont="1" applyFill="1" applyBorder="1" applyProtection="1">
      <protection hidden="1"/>
    </xf>
    <xf numFmtId="0" fontId="91" fillId="39" borderId="158" xfId="0" applyFont="1" applyFill="1" applyBorder="1" applyAlignment="1" applyProtection="1">
      <alignment horizontal="center"/>
      <protection hidden="1"/>
    </xf>
    <xf numFmtId="0" fontId="90" fillId="39" borderId="159" xfId="0" applyFont="1" applyFill="1" applyBorder="1" applyProtection="1">
      <protection hidden="1"/>
    </xf>
    <xf numFmtId="0" fontId="90" fillId="39" borderId="0" xfId="0" applyFont="1" applyFill="1" applyBorder="1" applyAlignment="1" applyProtection="1">
      <protection hidden="1"/>
    </xf>
    <xf numFmtId="0" fontId="90" fillId="39" borderId="0" xfId="0" applyFont="1" applyFill="1" applyBorder="1" applyAlignment="1" applyProtection="1">
      <alignment horizontal="right"/>
      <protection hidden="1"/>
    </xf>
    <xf numFmtId="0" fontId="90" fillId="39" borderId="157" xfId="0" applyFont="1" applyFill="1" applyBorder="1" applyAlignment="1" applyProtection="1">
      <alignment horizontal="right"/>
      <protection hidden="1"/>
    </xf>
    <xf numFmtId="0" fontId="90" fillId="0" borderId="0" xfId="0" applyFont="1" applyFill="1" applyBorder="1" applyAlignment="1" applyProtection="1">
      <alignment horizontal="left"/>
      <protection locked="0"/>
    </xf>
    <xf numFmtId="2" fontId="90" fillId="0" borderId="0" xfId="0" applyNumberFormat="1" applyFont="1" applyFill="1" applyBorder="1" applyAlignment="1" applyProtection="1">
      <alignment horizontal="center"/>
      <protection locked="0"/>
    </xf>
    <xf numFmtId="166" fontId="90" fillId="39" borderId="157" xfId="0" applyNumberFormat="1" applyFont="1" applyFill="1" applyBorder="1" applyAlignment="1" applyProtection="1">
      <alignment horizontal="center"/>
      <protection hidden="1"/>
    </xf>
    <xf numFmtId="0" fontId="112" fillId="39" borderId="0" xfId="0" applyFont="1" applyFill="1" applyBorder="1" applyProtection="1">
      <protection hidden="1"/>
    </xf>
    <xf numFmtId="0" fontId="112" fillId="39" borderId="0" xfId="0" applyFont="1" applyFill="1" applyBorder="1" applyAlignment="1" applyProtection="1">
      <alignment horizontal="center"/>
      <protection hidden="1"/>
    </xf>
    <xf numFmtId="0" fontId="90" fillId="39" borderId="160" xfId="0" applyFont="1" applyFill="1" applyBorder="1" applyProtection="1">
      <protection hidden="1"/>
    </xf>
    <xf numFmtId="0" fontId="90" fillId="0" borderId="160" xfId="0" applyFont="1" applyFill="1" applyBorder="1" applyProtection="1">
      <protection locked="0"/>
    </xf>
    <xf numFmtId="0" fontId="90" fillId="39" borderId="53" xfId="0" applyFont="1" applyFill="1" applyBorder="1" applyProtection="1">
      <protection hidden="1"/>
    </xf>
    <xf numFmtId="0" fontId="14" fillId="42" borderId="26" xfId="0" applyNumberFormat="1" applyFont="1" applyFill="1" applyBorder="1" applyAlignment="1" applyProtection="1">
      <alignment horizontal="center" vertical="center"/>
      <protection locked="0"/>
    </xf>
    <xf numFmtId="0" fontId="14" fillId="0" borderId="154" xfId="0" applyFont="1" applyFill="1" applyBorder="1" applyAlignment="1" applyProtection="1">
      <alignment horizontal="center" vertical="center"/>
      <protection locked="0"/>
    </xf>
    <xf numFmtId="0" fontId="14" fillId="0" borderId="161" xfId="0" applyFont="1" applyFill="1" applyBorder="1" applyAlignment="1" applyProtection="1">
      <alignment horizontal="center" vertical="center"/>
      <protection locked="0"/>
    </xf>
    <xf numFmtId="0" fontId="14" fillId="0" borderId="162" xfId="0" applyFont="1" applyFill="1" applyBorder="1" applyAlignment="1" applyProtection="1">
      <alignment horizontal="center" vertical="center"/>
      <protection locked="0"/>
    </xf>
    <xf numFmtId="0" fontId="14" fillId="0" borderId="163" xfId="0" applyFont="1" applyFill="1" applyBorder="1" applyAlignment="1" applyProtection="1">
      <alignment horizontal="center" vertical="center"/>
      <protection locked="0"/>
    </xf>
    <xf numFmtId="0" fontId="14" fillId="0" borderId="164" xfId="0" applyFont="1" applyFill="1" applyBorder="1" applyAlignment="1" applyProtection="1">
      <alignment horizontal="center" vertical="center"/>
      <protection locked="0"/>
    </xf>
    <xf numFmtId="9" fontId="11" fillId="26" borderId="118" xfId="0" applyNumberFormat="1" applyFont="1" applyFill="1" applyBorder="1" applyAlignment="1" applyProtection="1">
      <alignment horizontal="right" vertical="center"/>
    </xf>
    <xf numFmtId="1" fontId="14" fillId="0" borderId="165" xfId="0" applyNumberFormat="1" applyFont="1" applyFill="1" applyBorder="1" applyAlignment="1" applyProtection="1">
      <alignment horizontal="center" vertical="center"/>
      <protection locked="0"/>
    </xf>
    <xf numFmtId="1" fontId="14" fillId="0" borderId="119" xfId="0" applyNumberFormat="1" applyFont="1" applyFill="1" applyBorder="1" applyAlignment="1" applyProtection="1">
      <alignment horizontal="center" vertical="center"/>
      <protection locked="0"/>
    </xf>
    <xf numFmtId="1" fontId="14" fillId="0" borderId="120" xfId="0" applyNumberFormat="1" applyFont="1" applyFill="1" applyBorder="1" applyAlignment="1" applyProtection="1">
      <alignment horizontal="center" vertical="center"/>
      <protection locked="0"/>
    </xf>
    <xf numFmtId="1" fontId="14" fillId="0" borderId="121" xfId="0" applyNumberFormat="1" applyFont="1" applyFill="1" applyBorder="1" applyAlignment="1" applyProtection="1">
      <alignment horizontal="center" vertical="center"/>
      <protection locked="0"/>
    </xf>
    <xf numFmtId="1" fontId="2" fillId="31" borderId="74" xfId="0" applyNumberFormat="1" applyFont="1" applyFill="1" applyBorder="1" applyAlignment="1" applyProtection="1">
      <alignment horizontal="center" vertical="center"/>
    </xf>
    <xf numFmtId="166" fontId="14" fillId="0" borderId="120" xfId="0" applyNumberFormat="1" applyFont="1" applyFill="1" applyBorder="1" applyAlignment="1" applyProtection="1">
      <alignment horizontal="center" vertical="center"/>
      <protection locked="0"/>
    </xf>
    <xf numFmtId="166" fontId="14" fillId="0" borderId="121" xfId="0" applyNumberFormat="1" applyFont="1" applyFill="1" applyBorder="1" applyAlignment="1" applyProtection="1">
      <alignment horizontal="center" vertical="center"/>
      <protection locked="0"/>
    </xf>
    <xf numFmtId="166" fontId="14" fillId="0" borderId="166" xfId="0" applyNumberFormat="1" applyFont="1" applyFill="1" applyBorder="1" applyAlignment="1" applyProtection="1">
      <alignment horizontal="center" vertical="center"/>
      <protection locked="0"/>
    </xf>
    <xf numFmtId="9" fontId="14" fillId="26" borderId="1" xfId="16" applyFont="1" applyFill="1" applyBorder="1" applyAlignment="1" applyProtection="1">
      <alignment horizontal="center" vertical="center"/>
    </xf>
    <xf numFmtId="0" fontId="1" fillId="0" borderId="0" xfId="0" applyFont="1" applyFill="1" applyBorder="1"/>
    <xf numFmtId="222" fontId="14" fillId="0" borderId="37" xfId="0" applyNumberFormat="1" applyFont="1" applyBorder="1" applyAlignment="1" applyProtection="1">
      <alignment horizontal="center" vertical="center"/>
    </xf>
    <xf numFmtId="166" fontId="14" fillId="0" borderId="70" xfId="0" applyNumberFormat="1" applyFont="1" applyFill="1" applyBorder="1" applyAlignment="1" applyProtection="1">
      <alignment horizontal="center" vertical="center"/>
      <protection locked="0"/>
    </xf>
    <xf numFmtId="166" fontId="14" fillId="0" borderId="87" xfId="0" applyNumberFormat="1" applyFont="1" applyFill="1" applyBorder="1" applyAlignment="1" applyProtection="1">
      <alignment horizontal="center" vertical="center"/>
      <protection locked="0"/>
    </xf>
    <xf numFmtId="166" fontId="14" fillId="0" borderId="71" xfId="0" applyNumberFormat="1" applyFont="1" applyFill="1" applyBorder="1" applyAlignment="1" applyProtection="1">
      <alignment horizontal="center" vertical="center"/>
      <protection locked="0"/>
    </xf>
    <xf numFmtId="166" fontId="14" fillId="0" borderId="88" xfId="0" applyNumberFormat="1" applyFont="1" applyFill="1" applyBorder="1" applyAlignment="1" applyProtection="1">
      <alignment horizontal="center" vertical="center"/>
      <protection locked="0"/>
    </xf>
    <xf numFmtId="0" fontId="72" fillId="29" borderId="0" xfId="0" applyNumberFormat="1" applyFont="1" applyFill="1" applyBorder="1" applyAlignment="1">
      <alignment horizontal="left"/>
    </xf>
    <xf numFmtId="0" fontId="72" fillId="29" borderId="0" xfId="0" applyNumberFormat="1" applyFont="1" applyFill="1" applyBorder="1" applyAlignment="1" applyProtection="1">
      <alignment horizontal="left"/>
    </xf>
    <xf numFmtId="182" fontId="0" fillId="0" borderId="0" xfId="0" applyNumberFormat="1" applyBorder="1" applyAlignment="1">
      <alignment horizontal="right"/>
    </xf>
    <xf numFmtId="0" fontId="1" fillId="0" borderId="0" xfId="0" applyFont="1" applyBorder="1"/>
    <xf numFmtId="0" fontId="4" fillId="28" borderId="0" xfId="0" applyNumberFormat="1" applyFont="1" applyFill="1" applyBorder="1" applyAlignment="1">
      <alignment horizontal="center"/>
    </xf>
    <xf numFmtId="0" fontId="60" fillId="28" borderId="0" xfId="0" applyNumberFormat="1" applyFont="1" applyFill="1" applyBorder="1" applyAlignment="1">
      <alignment horizontal="center"/>
    </xf>
    <xf numFmtId="0" fontId="44" fillId="28" borderId="0" xfId="0" applyNumberFormat="1" applyFont="1" applyFill="1" applyBorder="1" applyAlignment="1">
      <alignment horizontal="center"/>
    </xf>
    <xf numFmtId="0" fontId="72" fillId="29" borderId="158" xfId="0" applyNumberFormat="1" applyFont="1" applyFill="1" applyBorder="1" applyAlignment="1"/>
    <xf numFmtId="0" fontId="71" fillId="29" borderId="158" xfId="0" applyNumberFormat="1" applyFont="1" applyFill="1" applyBorder="1"/>
    <xf numFmtId="0" fontId="72" fillId="29" borderId="158" xfId="0" applyNumberFormat="1" applyFont="1" applyFill="1" applyBorder="1" applyAlignment="1">
      <alignment horizontal="left"/>
    </xf>
    <xf numFmtId="0" fontId="72" fillId="29" borderId="158" xfId="0" applyNumberFormat="1" applyFont="1" applyFill="1" applyBorder="1"/>
    <xf numFmtId="0" fontId="71" fillId="29" borderId="156" xfId="0" applyNumberFormat="1" applyFont="1" applyFill="1" applyBorder="1" applyAlignment="1">
      <alignment horizontal="left"/>
    </xf>
    <xf numFmtId="0" fontId="72" fillId="29" borderId="157" xfId="0" applyNumberFormat="1" applyFont="1" applyFill="1" applyBorder="1" applyAlignment="1"/>
    <xf numFmtId="0" fontId="72" fillId="29" borderId="157" xfId="0" applyFont="1" applyFill="1" applyBorder="1" applyAlignment="1">
      <alignment horizontal="left"/>
    </xf>
    <xf numFmtId="0" fontId="72" fillId="29" borderId="160" xfId="0" applyNumberFormat="1" applyFont="1" applyFill="1" applyBorder="1" applyAlignment="1" applyProtection="1">
      <alignment horizontal="left"/>
      <protection locked="0"/>
    </xf>
    <xf numFmtId="0" fontId="72" fillId="29" borderId="160" xfId="0" applyNumberFormat="1" applyFont="1" applyFill="1" applyBorder="1" applyAlignment="1" applyProtection="1">
      <alignment horizontal="left"/>
    </xf>
    <xf numFmtId="0" fontId="72" fillId="29" borderId="160" xfId="0" applyNumberFormat="1" applyFont="1" applyFill="1" applyBorder="1" applyAlignment="1"/>
    <xf numFmtId="0" fontId="71" fillId="29" borderId="160" xfId="0" applyNumberFormat="1" applyFont="1" applyFill="1" applyBorder="1"/>
    <xf numFmtId="0" fontId="72" fillId="29" borderId="160" xfId="0" applyNumberFormat="1" applyFont="1" applyFill="1" applyBorder="1" applyAlignment="1">
      <alignment horizontal="left"/>
    </xf>
    <xf numFmtId="0" fontId="72" fillId="29" borderId="160" xfId="0" applyNumberFormat="1" applyFont="1" applyFill="1" applyBorder="1"/>
    <xf numFmtId="0" fontId="71" fillId="29" borderId="160" xfId="0" applyFont="1" applyFill="1" applyBorder="1" applyAlignment="1">
      <alignment horizontal="right"/>
    </xf>
    <xf numFmtId="0" fontId="72" fillId="29" borderId="160" xfId="0" applyFont="1" applyFill="1" applyBorder="1" applyAlignment="1"/>
    <xf numFmtId="0" fontId="72" fillId="29" borderId="53" xfId="0" applyFont="1" applyFill="1" applyBorder="1" applyAlignment="1">
      <alignment horizontal="left"/>
    </xf>
    <xf numFmtId="0" fontId="90" fillId="39" borderId="29" xfId="0" applyFont="1" applyFill="1" applyBorder="1" applyAlignment="1" applyProtection="1">
      <alignment horizontal="center"/>
      <protection hidden="1"/>
    </xf>
    <xf numFmtId="0" fontId="92" fillId="39" borderId="160" xfId="0" applyFont="1" applyFill="1" applyBorder="1" applyProtection="1">
      <protection hidden="1"/>
    </xf>
    <xf numFmtId="0" fontId="90" fillId="39" borderId="118" xfId="0" applyFont="1" applyFill="1" applyBorder="1" applyAlignment="1" applyProtection="1">
      <alignment horizontal="center"/>
      <protection hidden="1"/>
    </xf>
    <xf numFmtId="0" fontId="90" fillId="0" borderId="110" xfId="0" applyFont="1" applyFill="1" applyBorder="1" applyAlignment="1" applyProtection="1">
      <alignment horizontal="center"/>
      <protection locked="0"/>
    </xf>
    <xf numFmtId="166" fontId="90" fillId="39" borderId="110" xfId="0" applyNumberFormat="1" applyFont="1" applyFill="1" applyBorder="1" applyAlignment="1" applyProtection="1">
      <alignment horizontal="center"/>
      <protection hidden="1"/>
    </xf>
    <xf numFmtId="166" fontId="90" fillId="39" borderId="111" xfId="0" applyNumberFormat="1" applyFont="1" applyFill="1" applyBorder="1" applyAlignment="1" applyProtection="1">
      <alignment horizontal="center"/>
      <protection hidden="1"/>
    </xf>
    <xf numFmtId="0" fontId="94" fillId="39" borderId="156" xfId="0" applyFont="1" applyFill="1" applyBorder="1" applyProtection="1">
      <protection hidden="1"/>
    </xf>
    <xf numFmtId="0" fontId="94" fillId="39" borderId="58" xfId="0" applyFont="1" applyFill="1" applyBorder="1" applyAlignment="1" applyProtection="1">
      <alignment horizontal="left"/>
      <protection hidden="1"/>
    </xf>
    <xf numFmtId="0" fontId="113" fillId="39" borderId="0" xfId="0" applyFont="1" applyFill="1" applyBorder="1" applyAlignment="1" applyProtection="1">
      <alignment horizontal="center"/>
      <protection hidden="1"/>
    </xf>
    <xf numFmtId="0" fontId="112" fillId="39" borderId="157" xfId="0" applyFont="1" applyFill="1" applyBorder="1" applyAlignment="1" applyProtection="1">
      <alignment horizontal="center"/>
      <protection hidden="1"/>
    </xf>
    <xf numFmtId="1" fontId="94" fillId="39" borderId="160" xfId="0" applyNumberFormat="1" applyFont="1" applyFill="1" applyBorder="1" applyAlignment="1" applyProtection="1">
      <alignment horizontal="center"/>
      <protection hidden="1"/>
    </xf>
    <xf numFmtId="1" fontId="94" fillId="39" borderId="53" xfId="0" applyNumberFormat="1" applyFont="1" applyFill="1" applyBorder="1" applyAlignment="1" applyProtection="1">
      <alignment horizontal="center"/>
      <protection hidden="1"/>
    </xf>
    <xf numFmtId="0" fontId="94" fillId="39" borderId="58" xfId="0" applyFont="1" applyFill="1" applyBorder="1" applyProtection="1">
      <protection hidden="1"/>
    </xf>
    <xf numFmtId="0" fontId="94" fillId="39" borderId="160" xfId="0" applyFont="1" applyFill="1" applyBorder="1" applyProtection="1">
      <protection hidden="1"/>
    </xf>
    <xf numFmtId="0" fontId="57" fillId="27" borderId="0" xfId="0" applyFont="1" applyFill="1" applyBorder="1" applyAlignment="1">
      <alignment horizontal="center"/>
    </xf>
    <xf numFmtId="0" fontId="57" fillId="27" borderId="13" xfId="0" applyFont="1" applyFill="1" applyBorder="1" applyAlignment="1">
      <alignment horizontal="left"/>
    </xf>
    <xf numFmtId="0" fontId="58" fillId="0" borderId="118" xfId="0" applyFont="1" applyBorder="1" applyAlignment="1">
      <alignment horizontal="center" vertical="center" wrapText="1"/>
    </xf>
    <xf numFmtId="0" fontId="58" fillId="0" borderId="118" xfId="0" applyFont="1" applyBorder="1" applyAlignment="1">
      <alignment horizontal="center" wrapText="1"/>
    </xf>
    <xf numFmtId="0" fontId="16" fillId="0" borderId="75" xfId="0" applyFont="1" applyBorder="1" applyAlignment="1" applyProtection="1"/>
    <xf numFmtId="0" fontId="16" fillId="0" borderId="74" xfId="0" applyFont="1" applyBorder="1" applyAlignment="1" applyProtection="1"/>
    <xf numFmtId="2" fontId="1" fillId="0" borderId="77" xfId="0" applyNumberFormat="1" applyFont="1" applyBorder="1" applyAlignment="1" applyProtection="1">
      <alignment horizontal="right"/>
    </xf>
    <xf numFmtId="2" fontId="1" fillId="0" borderId="51" xfId="0" applyNumberFormat="1" applyFont="1" applyBorder="1" applyAlignment="1" applyProtection="1">
      <alignment horizontal="right"/>
    </xf>
    <xf numFmtId="2" fontId="23" fillId="0" borderId="51" xfId="0" applyNumberFormat="1" applyFont="1" applyBorder="1" applyAlignment="1" applyProtection="1">
      <alignment horizontal="right"/>
    </xf>
    <xf numFmtId="2" fontId="23" fillId="0" borderId="0" xfId="0" applyNumberFormat="1" applyFont="1" applyBorder="1" applyAlignment="1" applyProtection="1">
      <alignment horizontal="right"/>
    </xf>
    <xf numFmtId="2" fontId="8" fillId="0" borderId="0" xfId="0" applyNumberFormat="1" applyFont="1" applyBorder="1" applyAlignment="1" applyProtection="1">
      <alignment horizontal="right"/>
    </xf>
    <xf numFmtId="2" fontId="23" fillId="0" borderId="56" xfId="0" applyNumberFormat="1" applyFont="1" applyBorder="1" applyAlignment="1" applyProtection="1">
      <alignment horizontal="right"/>
    </xf>
    <xf numFmtId="2" fontId="8" fillId="0" borderId="56" xfId="0" applyNumberFormat="1" applyFont="1" applyBorder="1" applyAlignment="1" applyProtection="1">
      <alignment horizontal="right"/>
    </xf>
    <xf numFmtId="2" fontId="8" fillId="0" borderId="51" xfId="0" applyNumberFormat="1" applyFont="1" applyBorder="1" applyAlignment="1" applyProtection="1">
      <alignment horizontal="right"/>
    </xf>
    <xf numFmtId="0" fontId="2" fillId="0" borderId="71" xfId="0" applyFont="1" applyBorder="1" applyAlignment="1">
      <alignment horizontal="center" vertical="center"/>
    </xf>
    <xf numFmtId="0" fontId="2" fillId="0" borderId="0" xfId="6" applyFont="1" applyFill="1" applyBorder="1" applyAlignment="1" applyProtection="1">
      <alignment horizontal="left"/>
      <protection locked="0"/>
    </xf>
    <xf numFmtId="0" fontId="2" fillId="0" borderId="0" xfId="6" applyFont="1" applyFill="1" applyBorder="1" applyAlignment="1" applyProtection="1">
      <alignment horizontal="center"/>
    </xf>
    <xf numFmtId="0" fontId="2" fillId="26" borderId="2" xfId="0" applyFont="1" applyFill="1" applyBorder="1" applyAlignment="1" applyProtection="1">
      <alignment horizontal="right" vertical="center"/>
    </xf>
    <xf numFmtId="0" fontId="14" fillId="0" borderId="118" xfId="0" applyNumberFormat="1" applyFont="1" applyFill="1" applyBorder="1" applyAlignment="1" applyProtection="1">
      <alignment horizontal="center" vertical="center"/>
      <protection locked="0"/>
    </xf>
    <xf numFmtId="0" fontId="12" fillId="26" borderId="0" xfId="0" applyFont="1" applyFill="1" applyBorder="1" applyAlignment="1" applyProtection="1">
      <alignment horizontal="center" vertical="center" wrapText="1"/>
    </xf>
    <xf numFmtId="0" fontId="114" fillId="26" borderId="0" xfId="0" applyFont="1" applyFill="1" applyBorder="1" applyAlignment="1" applyProtection="1">
      <alignment horizontal="center" vertical="center"/>
    </xf>
    <xf numFmtId="0" fontId="44" fillId="28" borderId="13" xfId="0" applyNumberFormat="1" applyFont="1" applyFill="1" applyBorder="1" applyAlignment="1">
      <alignment horizontal="center"/>
    </xf>
    <xf numFmtId="0" fontId="60" fillId="28" borderId="13" xfId="0" applyNumberFormat="1" applyFont="1" applyFill="1" applyBorder="1" applyAlignment="1">
      <alignment horizontal="center" vertical="top"/>
    </xf>
    <xf numFmtId="0" fontId="60" fillId="28" borderId="0" xfId="0" applyNumberFormat="1" applyFont="1" applyFill="1" applyBorder="1" applyAlignment="1">
      <alignment horizontal="center" vertical="top"/>
    </xf>
    <xf numFmtId="0" fontId="60" fillId="28" borderId="12" xfId="0" applyNumberFormat="1" applyFont="1" applyFill="1" applyBorder="1" applyAlignment="1">
      <alignment horizontal="center" vertical="top"/>
    </xf>
    <xf numFmtId="0" fontId="57" fillId="27" borderId="0" xfId="0" applyFont="1" applyFill="1" applyBorder="1" applyAlignment="1">
      <alignment horizontal="center"/>
    </xf>
    <xf numFmtId="0" fontId="66" fillId="27" borderId="74" xfId="0" applyFont="1" applyFill="1" applyBorder="1" applyAlignment="1">
      <alignment horizontal="center"/>
    </xf>
    <xf numFmtId="9" fontId="57" fillId="27" borderId="0" xfId="16" applyFont="1" applyFill="1" applyBorder="1" applyAlignment="1">
      <alignment horizontal="center"/>
    </xf>
    <xf numFmtId="0" fontId="57" fillId="0" borderId="58" xfId="0" applyFont="1" applyFill="1" applyBorder="1" applyAlignment="1">
      <alignment horizontal="left"/>
    </xf>
    <xf numFmtId="0" fontId="0" fillId="0" borderId="156" xfId="0" applyBorder="1"/>
    <xf numFmtId="0" fontId="0" fillId="0" borderId="58" xfId="0" applyBorder="1"/>
    <xf numFmtId="0" fontId="0" fillId="0" borderId="160" xfId="0" applyBorder="1"/>
    <xf numFmtId="0" fontId="79" fillId="0" borderId="58" xfId="0" applyFont="1" applyBorder="1"/>
    <xf numFmtId="0" fontId="79" fillId="0" borderId="160" xfId="0" applyFont="1" applyBorder="1"/>
    <xf numFmtId="0" fontId="79" fillId="0" borderId="53" xfId="0" applyFont="1" applyBorder="1"/>
    <xf numFmtId="0" fontId="79" fillId="0" borderId="0" xfId="0" applyFont="1" applyFill="1" applyBorder="1"/>
    <xf numFmtId="0" fontId="79" fillId="0" borderId="29" xfId="0" applyFont="1" applyBorder="1" applyAlignment="1">
      <alignment horizontal="center"/>
    </xf>
    <xf numFmtId="0" fontId="79" fillId="0" borderId="10" xfId="0" applyFont="1" applyBorder="1" applyAlignment="1">
      <alignment horizontal="center"/>
    </xf>
    <xf numFmtId="0" fontId="101" fillId="0" borderId="4" xfId="0" applyFont="1" applyBorder="1" applyAlignment="1">
      <alignment wrapText="1"/>
    </xf>
    <xf numFmtId="0" fontId="101" fillId="0" borderId="4" xfId="0" applyFont="1" applyBorder="1" applyAlignment="1">
      <alignment horizontal="center" wrapText="1"/>
    </xf>
    <xf numFmtId="0" fontId="101" fillId="0" borderId="6" xfId="0" applyFont="1" applyBorder="1" applyAlignment="1">
      <alignment horizontal="center" wrapText="1"/>
    </xf>
    <xf numFmtId="0" fontId="101" fillId="0" borderId="0" xfId="0" applyFont="1" applyBorder="1" applyAlignment="1">
      <alignment wrapText="1"/>
    </xf>
    <xf numFmtId="0" fontId="101" fillId="0" borderId="0" xfId="0" applyFont="1" applyBorder="1" applyAlignment="1">
      <alignment horizontal="center" wrapText="1"/>
    </xf>
    <xf numFmtId="0" fontId="101" fillId="0" borderId="5" xfId="0" applyFont="1" applyBorder="1" applyAlignment="1">
      <alignment horizontal="center" wrapText="1"/>
    </xf>
    <xf numFmtId="0" fontId="101" fillId="0" borderId="0" xfId="0" applyFont="1" applyBorder="1"/>
    <xf numFmtId="0" fontId="101" fillId="0" borderId="0" xfId="0" applyFont="1" applyBorder="1" applyAlignment="1">
      <alignment horizontal="center"/>
    </xf>
    <xf numFmtId="0" fontId="101" fillId="0" borderId="0" xfId="0" applyFont="1" applyBorder="1" applyAlignment="1">
      <alignment horizontal="center" vertical="center"/>
    </xf>
    <xf numFmtId="0" fontId="101" fillId="0" borderId="0" xfId="0" applyFont="1" applyBorder="1" applyAlignment="1">
      <alignment horizontal="center" vertical="center" wrapText="1"/>
    </xf>
    <xf numFmtId="203" fontId="101" fillId="0" borderId="0" xfId="0" applyNumberFormat="1" applyFont="1" applyBorder="1" applyAlignment="1">
      <alignment horizontal="center" vertical="center" wrapText="1"/>
    </xf>
    <xf numFmtId="49" fontId="101" fillId="0" borderId="0" xfId="0" applyNumberFormat="1" applyFont="1" applyBorder="1"/>
    <xf numFmtId="1" fontId="101" fillId="0" borderId="0" xfId="0" applyNumberFormat="1" applyFont="1" applyBorder="1"/>
    <xf numFmtId="1" fontId="44" fillId="0" borderId="0" xfId="0" applyNumberFormat="1" applyFont="1" applyFill="1" applyBorder="1"/>
    <xf numFmtId="0" fontId="44" fillId="0" borderId="11" xfId="0" applyFont="1" applyBorder="1"/>
    <xf numFmtId="0" fontId="101" fillId="0" borderId="22" xfId="0" applyFont="1" applyBorder="1"/>
    <xf numFmtId="0" fontId="101" fillId="0" borderId="22" xfId="0" applyFont="1" applyBorder="1" applyAlignment="1">
      <alignment horizontal="center" vertical="center" wrapText="1"/>
    </xf>
    <xf numFmtId="203" fontId="101" fillId="0" borderId="22" xfId="0" applyNumberFormat="1" applyFont="1" applyBorder="1" applyAlignment="1">
      <alignment horizontal="center" vertical="center" wrapText="1"/>
    </xf>
    <xf numFmtId="0" fontId="44" fillId="0" borderId="22" xfId="0" applyFont="1" applyBorder="1" applyAlignment="1">
      <alignment horizontal="center" vertical="center"/>
    </xf>
    <xf numFmtId="0" fontId="44" fillId="0" borderId="22" xfId="0" applyFont="1" applyBorder="1" applyAlignment="1">
      <alignment horizontal="center"/>
    </xf>
    <xf numFmtId="0" fontId="115" fillId="0" borderId="0" xfId="0" applyFont="1"/>
    <xf numFmtId="0" fontId="2" fillId="2" borderId="36" xfId="0" applyFont="1" applyFill="1" applyBorder="1" applyAlignment="1" applyProtection="1">
      <alignment horizontal="center" vertical="center"/>
    </xf>
    <xf numFmtId="0" fontId="0" fillId="0" borderId="0" xfId="0" applyFill="1" applyBorder="1"/>
    <xf numFmtId="0" fontId="44" fillId="43" borderId="29" xfId="0" applyFont="1" applyFill="1" applyBorder="1" applyAlignment="1">
      <alignment horizontal="center" vertical="center"/>
    </xf>
    <xf numFmtId="0" fontId="44" fillId="43" borderId="10" xfId="0" applyFont="1" applyFill="1" applyBorder="1" applyAlignment="1">
      <alignment horizontal="center"/>
    </xf>
    <xf numFmtId="0" fontId="44" fillId="43" borderId="156" xfId="0" applyFont="1" applyFill="1" applyBorder="1" applyAlignment="1">
      <alignment horizontal="center" vertical="center"/>
    </xf>
    <xf numFmtId="0" fontId="44" fillId="43" borderId="157" xfId="0" applyFont="1" applyFill="1" applyBorder="1" applyAlignment="1">
      <alignment horizontal="center"/>
    </xf>
    <xf numFmtId="0" fontId="44" fillId="43" borderId="58" xfId="0" applyFont="1" applyFill="1" applyBorder="1" applyAlignment="1">
      <alignment horizontal="center" vertical="center"/>
    </xf>
    <xf numFmtId="0" fontId="44" fillId="43" borderId="53" xfId="0" applyFont="1" applyFill="1" applyBorder="1" applyAlignment="1">
      <alignment horizontal="center"/>
    </xf>
    <xf numFmtId="0" fontId="13" fillId="5" borderId="129" xfId="0" applyFont="1" applyFill="1" applyBorder="1" applyAlignment="1" applyProtection="1">
      <alignment vertical="center"/>
      <protection locked="0"/>
    </xf>
    <xf numFmtId="0" fontId="66" fillId="27" borderId="156" xfId="0" applyFont="1" applyFill="1" applyBorder="1" applyAlignment="1"/>
    <xf numFmtId="0" fontId="57" fillId="27" borderId="52" xfId="0" applyFont="1" applyFill="1" applyBorder="1" applyAlignment="1">
      <alignment horizontal="center"/>
    </xf>
    <xf numFmtId="0" fontId="66" fillId="27" borderId="9" xfId="16" applyNumberFormat="1" applyFont="1" applyFill="1" applyBorder="1" applyAlignment="1">
      <alignment horizontal="center"/>
    </xf>
    <xf numFmtId="0" fontId="66" fillId="27" borderId="160" xfId="16" applyNumberFormat="1" applyFont="1" applyFill="1" applyBorder="1" applyAlignment="1">
      <alignment horizontal="center"/>
    </xf>
    <xf numFmtId="0" fontId="66" fillId="27" borderId="29" xfId="16" applyNumberFormat="1" applyFont="1" applyFill="1" applyBorder="1" applyAlignment="1">
      <alignment horizontal="center"/>
    </xf>
    <xf numFmtId="0" fontId="66" fillId="27" borderId="156" xfId="16" applyNumberFormat="1" applyFont="1" applyFill="1" applyBorder="1" applyAlignment="1">
      <alignment horizontal="center"/>
    </xf>
    <xf numFmtId="0" fontId="66" fillId="27" borderId="58" xfId="16" applyNumberFormat="1" applyFont="1" applyFill="1" applyBorder="1" applyAlignment="1">
      <alignment horizontal="center"/>
    </xf>
    <xf numFmtId="9" fontId="66" fillId="27" borderId="75" xfId="16" applyFont="1" applyFill="1" applyBorder="1" applyAlignment="1"/>
    <xf numFmtId="9" fontId="66" fillId="27" borderId="76" xfId="16" applyFont="1" applyFill="1" applyBorder="1" applyAlignment="1"/>
    <xf numFmtId="0" fontId="86" fillId="27" borderId="75" xfId="16" applyNumberFormat="1" applyFont="1" applyFill="1" applyBorder="1" applyAlignment="1">
      <alignment horizontal="center"/>
    </xf>
    <xf numFmtId="0" fontId="86" fillId="27" borderId="76" xfId="16" applyNumberFormat="1" applyFont="1" applyFill="1" applyBorder="1" applyAlignment="1">
      <alignment horizontal="center"/>
    </xf>
    <xf numFmtId="0" fontId="66" fillId="27" borderId="160" xfId="0" applyFont="1" applyFill="1" applyBorder="1" applyAlignment="1">
      <alignment horizontal="center"/>
    </xf>
    <xf numFmtId="0" fontId="66" fillId="27" borderId="156" xfId="0" applyFont="1" applyFill="1" applyBorder="1"/>
    <xf numFmtId="0" fontId="66" fillId="27" borderId="157" xfId="0" applyFont="1" applyFill="1" applyBorder="1" applyAlignment="1"/>
    <xf numFmtId="0" fontId="66" fillId="27" borderId="74" xfId="0" applyFont="1" applyFill="1" applyBorder="1" applyAlignment="1"/>
    <xf numFmtId="9" fontId="57" fillId="27" borderId="160" xfId="16" applyFont="1" applyFill="1" applyBorder="1" applyAlignment="1">
      <alignment horizontal="center"/>
    </xf>
    <xf numFmtId="9" fontId="66" fillId="27" borderId="160" xfId="16" applyFont="1" applyFill="1" applyBorder="1" applyAlignment="1"/>
    <xf numFmtId="0" fontId="86" fillId="27" borderId="9" xfId="16" applyNumberFormat="1" applyFont="1" applyFill="1" applyBorder="1" applyAlignment="1">
      <alignment horizontal="center"/>
    </xf>
    <xf numFmtId="0" fontId="66" fillId="27" borderId="29" xfId="0" applyFont="1" applyFill="1" applyBorder="1" applyAlignment="1"/>
    <xf numFmtId="0" fontId="57" fillId="27" borderId="53" xfId="0" applyFont="1" applyFill="1" applyBorder="1" applyAlignment="1">
      <alignment horizontal="center"/>
    </xf>
    <xf numFmtId="0" fontId="57" fillId="27" borderId="9" xfId="0" applyFont="1" applyFill="1" applyBorder="1" applyAlignment="1">
      <alignment horizontal="center"/>
    </xf>
    <xf numFmtId="0" fontId="66" fillId="27" borderId="160" xfId="16" applyNumberFormat="1" applyFont="1" applyFill="1" applyBorder="1" applyAlignment="1">
      <alignment horizontal="right"/>
    </xf>
    <xf numFmtId="9" fontId="66" fillId="27" borderId="160" xfId="16" applyFont="1" applyFill="1" applyBorder="1" applyAlignment="1">
      <alignment horizontal="center"/>
    </xf>
    <xf numFmtId="0" fontId="87" fillId="27" borderId="160" xfId="0" applyFont="1" applyFill="1" applyBorder="1" applyAlignment="1" applyProtection="1">
      <alignment horizontal="center"/>
    </xf>
    <xf numFmtId="0" fontId="57" fillId="27" borderId="111" xfId="0" applyFont="1" applyFill="1" applyBorder="1" applyAlignment="1">
      <alignment horizontal="center"/>
    </xf>
    <xf numFmtId="9" fontId="66" fillId="27" borderId="9" xfId="16" applyFont="1" applyFill="1" applyBorder="1" applyAlignment="1">
      <alignment horizontal="center"/>
    </xf>
    <xf numFmtId="9" fontId="57" fillId="27" borderId="10" xfId="16" applyFont="1" applyFill="1" applyBorder="1" applyAlignment="1">
      <alignment horizontal="center"/>
    </xf>
    <xf numFmtId="9" fontId="66" fillId="27" borderId="53" xfId="16" applyFont="1" applyFill="1" applyBorder="1" applyAlignment="1">
      <alignment horizontal="center"/>
    </xf>
    <xf numFmtId="0" fontId="87" fillId="27" borderId="53" xfId="0" applyFont="1" applyFill="1" applyBorder="1" applyAlignment="1" applyProtection="1">
      <alignment horizontal="center"/>
    </xf>
    <xf numFmtId="0" fontId="66" fillId="27" borderId="157" xfId="0" applyFont="1" applyFill="1" applyBorder="1"/>
    <xf numFmtId="0" fontId="66" fillId="27" borderId="53" xfId="0" applyFont="1" applyFill="1" applyBorder="1"/>
    <xf numFmtId="9" fontId="66" fillId="27" borderId="29" xfId="16" applyFont="1" applyFill="1" applyBorder="1" applyAlignment="1">
      <alignment horizontal="center"/>
    </xf>
    <xf numFmtId="9" fontId="66" fillId="27" borderId="58" xfId="16" applyFont="1" applyFill="1" applyBorder="1" applyAlignment="1">
      <alignment horizontal="center"/>
    </xf>
    <xf numFmtId="0" fontId="106" fillId="0" borderId="8" xfId="0" applyFont="1" applyFill="1" applyBorder="1" applyAlignment="1" applyProtection="1">
      <alignment vertical="center"/>
      <protection locked="0"/>
    </xf>
    <xf numFmtId="0" fontId="106" fillId="45" borderId="4" xfId="0" applyFont="1" applyFill="1" applyBorder="1" applyAlignment="1" applyProtection="1">
      <alignment vertical="center"/>
      <protection locked="0"/>
    </xf>
    <xf numFmtId="0" fontId="106" fillId="0" borderId="86" xfId="2" applyFont="1" applyFill="1" applyBorder="1" applyAlignment="1" applyProtection="1">
      <alignment horizontal="center" vertical="center"/>
      <protection locked="0"/>
    </xf>
    <xf numFmtId="0" fontId="106" fillId="45" borderId="0" xfId="0" applyFont="1" applyFill="1" applyBorder="1" applyAlignment="1" applyProtection="1">
      <alignment horizontal="right" vertical="center"/>
    </xf>
    <xf numFmtId="0" fontId="116" fillId="45" borderId="0" xfId="0" applyFont="1" applyFill="1" applyBorder="1" applyAlignment="1" applyProtection="1">
      <alignment horizontal="center" vertical="center"/>
    </xf>
    <xf numFmtId="0" fontId="116" fillId="45" borderId="5" xfId="0" applyFont="1" applyFill="1" applyBorder="1" applyAlignment="1" applyProtection="1">
      <alignment horizontal="center" vertical="center"/>
    </xf>
    <xf numFmtId="0" fontId="117" fillId="0" borderId="2" xfId="0" applyFont="1" applyFill="1" applyBorder="1" applyAlignment="1" applyProtection="1">
      <alignment vertical="center"/>
      <protection locked="0"/>
    </xf>
    <xf numFmtId="0" fontId="116" fillId="45" borderId="0" xfId="0" applyFont="1" applyFill="1" applyBorder="1" applyAlignment="1" applyProtection="1">
      <alignment horizontal="right" vertical="center"/>
    </xf>
    <xf numFmtId="49" fontId="117" fillId="0" borderId="0" xfId="0" applyNumberFormat="1" applyFont="1" applyFill="1" applyBorder="1" applyAlignment="1" applyProtection="1">
      <alignment horizontal="center" vertical="center"/>
      <protection locked="0"/>
    </xf>
    <xf numFmtId="49" fontId="117" fillId="0" borderId="5" xfId="0" applyNumberFormat="1" applyFont="1" applyFill="1" applyBorder="1" applyAlignment="1" applyProtection="1">
      <alignment horizontal="center" vertical="center"/>
      <protection locked="0"/>
    </xf>
    <xf numFmtId="172" fontId="116" fillId="45" borderId="0" xfId="0" applyNumberFormat="1" applyFont="1" applyFill="1" applyBorder="1" applyAlignment="1" applyProtection="1">
      <alignment horizontal="right" vertical="center"/>
    </xf>
    <xf numFmtId="0" fontId="117" fillId="0" borderId="0" xfId="3" applyNumberFormat="1" applyFont="1" applyFill="1" applyBorder="1" applyAlignment="1" applyProtection="1">
      <alignment horizontal="center" vertical="center"/>
      <protection locked="0"/>
    </xf>
    <xf numFmtId="0" fontId="117" fillId="0" borderId="5" xfId="3" applyNumberFormat="1" applyFont="1" applyFill="1" applyBorder="1" applyAlignment="1" applyProtection="1">
      <alignment horizontal="center" vertical="center"/>
      <protection locked="0"/>
    </xf>
    <xf numFmtId="169" fontId="117" fillId="0" borderId="0" xfId="3" applyNumberFormat="1" applyFont="1" applyFill="1" applyBorder="1" applyAlignment="1" applyProtection="1">
      <alignment horizontal="center" vertical="center"/>
      <protection locked="0"/>
    </xf>
    <xf numFmtId="169" fontId="117" fillId="0" borderId="5" xfId="3" applyNumberFormat="1" applyFont="1" applyFill="1" applyBorder="1" applyAlignment="1" applyProtection="1">
      <alignment horizontal="center" vertical="center"/>
      <protection locked="0"/>
    </xf>
    <xf numFmtId="0" fontId="116" fillId="45" borderId="0" xfId="2" applyFont="1" applyFill="1" applyBorder="1" applyAlignment="1" applyProtection="1">
      <alignment horizontal="right" vertical="center"/>
    </xf>
    <xf numFmtId="166" fontId="117" fillId="0" borderId="0" xfId="2" applyNumberFormat="1" applyFont="1" applyFill="1" applyBorder="1" applyAlignment="1" applyProtection="1">
      <alignment horizontal="center" vertical="center"/>
      <protection locked="0"/>
    </xf>
    <xf numFmtId="166" fontId="117" fillId="0" borderId="5" xfId="2" applyNumberFormat="1" applyFont="1" applyFill="1" applyBorder="1" applyAlignment="1" applyProtection="1">
      <alignment horizontal="center" vertical="center"/>
      <protection locked="0"/>
    </xf>
    <xf numFmtId="166" fontId="117" fillId="45" borderId="0" xfId="2" applyNumberFormat="1" applyFont="1" applyFill="1" applyBorder="1" applyAlignment="1" applyProtection="1">
      <alignment horizontal="center" vertical="center"/>
    </xf>
    <xf numFmtId="166" fontId="117" fillId="45" borderId="5" xfId="2" applyNumberFormat="1" applyFont="1" applyFill="1" applyBorder="1" applyAlignment="1" applyProtection="1">
      <alignment horizontal="center" vertical="center"/>
    </xf>
    <xf numFmtId="172" fontId="116" fillId="45" borderId="0" xfId="2" applyNumberFormat="1" applyFont="1" applyFill="1" applyBorder="1" applyAlignment="1" applyProtection="1">
      <alignment horizontal="right" vertical="center"/>
    </xf>
    <xf numFmtId="0" fontId="116" fillId="45" borderId="0" xfId="0" applyFont="1" applyFill="1" applyBorder="1"/>
    <xf numFmtId="0" fontId="116" fillId="45" borderId="5" xfId="0" applyFont="1" applyFill="1" applyBorder="1"/>
    <xf numFmtId="0" fontId="116" fillId="46" borderId="11" xfId="0" applyFont="1" applyFill="1" applyBorder="1" applyAlignment="1" applyProtection="1">
      <alignment horizontal="center" vertical="center"/>
    </xf>
    <xf numFmtId="0" fontId="116" fillId="46" borderId="22" xfId="0" applyFont="1" applyFill="1" applyBorder="1"/>
    <xf numFmtId="0" fontId="118" fillId="45" borderId="2" xfId="0" applyFont="1" applyFill="1" applyBorder="1" applyAlignment="1"/>
    <xf numFmtId="0" fontId="0" fillId="44" borderId="0" xfId="0" applyFill="1"/>
    <xf numFmtId="0" fontId="106" fillId="44" borderId="0" xfId="0" applyFont="1" applyFill="1"/>
    <xf numFmtId="0" fontId="116" fillId="44" borderId="0" xfId="0" applyFont="1" applyFill="1"/>
    <xf numFmtId="0" fontId="0" fillId="44" borderId="0" xfId="0" applyFill="1" applyBorder="1"/>
    <xf numFmtId="0" fontId="106" fillId="45" borderId="4" xfId="0" applyFont="1" applyFill="1" applyBorder="1" applyAlignment="1" applyProtection="1">
      <alignment horizontal="right" vertical="center"/>
      <protection locked="0"/>
    </xf>
    <xf numFmtId="0" fontId="116" fillId="45" borderId="11" xfId="0" applyFont="1" applyFill="1" applyBorder="1" applyAlignment="1" applyProtection="1">
      <alignment horizontal="center" vertical="center"/>
    </xf>
    <xf numFmtId="0" fontId="116" fillId="45" borderId="22" xfId="0" applyFont="1" applyFill="1" applyBorder="1"/>
    <xf numFmtId="0" fontId="106" fillId="0" borderId="129" xfId="0" applyFont="1" applyFill="1" applyBorder="1" applyAlignment="1" applyProtection="1">
      <alignment vertical="center"/>
      <protection locked="0"/>
    </xf>
    <xf numFmtId="0" fontId="106" fillId="44" borderId="0" xfId="0" applyFont="1" applyFill="1" applyAlignment="1">
      <alignment horizontal="right"/>
    </xf>
    <xf numFmtId="0" fontId="44" fillId="28" borderId="0" xfId="0" applyNumberFormat="1" applyFont="1" applyFill="1" applyBorder="1" applyAlignment="1">
      <alignment horizontal="center"/>
    </xf>
    <xf numFmtId="0" fontId="44" fillId="28" borderId="12" xfId="0" applyNumberFormat="1" applyFont="1" applyFill="1" applyBorder="1" applyAlignment="1">
      <alignment horizontal="center"/>
    </xf>
    <xf numFmtId="0" fontId="44" fillId="28" borderId="13" xfId="0" applyNumberFormat="1" applyFont="1" applyFill="1" applyBorder="1" applyAlignment="1">
      <alignment horizontal="center"/>
    </xf>
    <xf numFmtId="0" fontId="60" fillId="28" borderId="13" xfId="0" applyNumberFormat="1" applyFont="1" applyFill="1" applyBorder="1" applyAlignment="1">
      <alignment horizontal="center" vertical="top"/>
    </xf>
    <xf numFmtId="0" fontId="66" fillId="27" borderId="53" xfId="16" applyNumberFormat="1" applyFont="1" applyFill="1" applyBorder="1" applyAlignment="1">
      <alignment horizontal="center"/>
    </xf>
    <xf numFmtId="0" fontId="66" fillId="27" borderId="52" xfId="0" applyFont="1" applyFill="1" applyBorder="1" applyAlignment="1">
      <alignment horizontal="center"/>
    </xf>
    <xf numFmtId="0" fontId="66" fillId="27" borderId="156" xfId="0" applyFont="1" applyFill="1" applyBorder="1" applyAlignment="1">
      <alignment horizontal="center"/>
    </xf>
    <xf numFmtId="0" fontId="66" fillId="27" borderId="157" xfId="0" applyFont="1" applyFill="1" applyBorder="1" applyAlignment="1">
      <alignment horizontal="center"/>
    </xf>
    <xf numFmtId="0" fontId="66" fillId="27" borderId="75" xfId="0" applyFont="1" applyFill="1" applyBorder="1" applyAlignment="1">
      <alignment horizontal="center"/>
    </xf>
    <xf numFmtId="0" fontId="66" fillId="27" borderId="74" xfId="0" applyFont="1" applyFill="1" applyBorder="1" applyAlignment="1">
      <alignment horizontal="center"/>
    </xf>
    <xf numFmtId="0" fontId="66" fillId="27" borderId="76" xfId="0" applyFont="1" applyFill="1" applyBorder="1" applyAlignment="1">
      <alignment horizontal="center"/>
    </xf>
    <xf numFmtId="0" fontId="66" fillId="27" borderId="58" xfId="0" applyFont="1" applyFill="1" applyBorder="1" applyAlignment="1">
      <alignment horizontal="center"/>
    </xf>
    <xf numFmtId="0" fontId="66" fillId="27" borderId="53" xfId="0" applyFont="1" applyFill="1" applyBorder="1" applyAlignment="1">
      <alignment horizontal="center"/>
    </xf>
    <xf numFmtId="0" fontId="116" fillId="45" borderId="23" xfId="0" applyFont="1" applyFill="1" applyBorder="1" applyAlignment="1">
      <alignment horizontal="center"/>
    </xf>
    <xf numFmtId="0" fontId="44" fillId="28" borderId="13" xfId="0" applyNumberFormat="1" applyFont="1" applyFill="1" applyBorder="1" applyAlignment="1">
      <alignment horizontal="center"/>
    </xf>
    <xf numFmtId="0" fontId="44" fillId="28" borderId="0" xfId="0" applyNumberFormat="1" applyFont="1" applyFill="1" applyBorder="1" applyAlignment="1">
      <alignment horizontal="center"/>
    </xf>
    <xf numFmtId="0" fontId="44" fillId="28" borderId="12" xfId="0" applyNumberFormat="1" applyFont="1" applyFill="1" applyBorder="1" applyAlignment="1">
      <alignment horizontal="center"/>
    </xf>
    <xf numFmtId="0" fontId="60" fillId="28" borderId="13" xfId="0" applyNumberFormat="1" applyFont="1" applyFill="1" applyBorder="1" applyAlignment="1">
      <alignment horizontal="center" vertical="top"/>
    </xf>
    <xf numFmtId="0" fontId="60" fillId="28" borderId="0" xfId="0" applyNumberFormat="1" applyFont="1" applyFill="1" applyBorder="1" applyAlignment="1">
      <alignment horizontal="center" vertical="top"/>
    </xf>
    <xf numFmtId="0" fontId="60" fillId="28" borderId="12" xfId="0" applyNumberFormat="1" applyFont="1" applyFill="1" applyBorder="1" applyAlignment="1">
      <alignment horizontal="center" vertical="top"/>
    </xf>
    <xf numFmtId="0" fontId="44" fillId="28" borderId="0" xfId="0" applyNumberFormat="1" applyFont="1" applyFill="1" applyAlignment="1">
      <alignment horizontal="center"/>
    </xf>
    <xf numFmtId="0" fontId="11" fillId="26" borderId="4" xfId="5" applyFont="1" applyFill="1" applyBorder="1" applyAlignment="1" applyProtection="1">
      <alignment horizontal="center" vertical="center"/>
    </xf>
    <xf numFmtId="14" fontId="11" fillId="26" borderId="4" xfId="5" applyNumberFormat="1" applyFont="1" applyFill="1" applyBorder="1" applyAlignment="1" applyProtection="1">
      <alignment horizontal="right" vertical="center"/>
    </xf>
    <xf numFmtId="14" fontId="11" fillId="26" borderId="0" xfId="5" applyNumberFormat="1" applyFont="1" applyFill="1" applyBorder="1" applyAlignment="1" applyProtection="1">
      <alignment horizontal="right" vertical="center"/>
    </xf>
    <xf numFmtId="180" fontId="11" fillId="26" borderId="0" xfId="5" applyNumberFormat="1" applyFont="1" applyFill="1" applyBorder="1" applyAlignment="1" applyProtection="1">
      <alignment horizontal="right" vertical="center"/>
    </xf>
    <xf numFmtId="0" fontId="11" fillId="26" borderId="0" xfId="5" applyFont="1" applyFill="1" applyBorder="1" applyAlignment="1" applyProtection="1">
      <alignment horizontal="right" vertical="center"/>
    </xf>
    <xf numFmtId="0" fontId="11" fillId="26" borderId="114" xfId="5" applyFont="1" applyFill="1" applyBorder="1" applyAlignment="1" applyProtection="1">
      <alignment horizontal="right" vertical="center"/>
    </xf>
    <xf numFmtId="0" fontId="57" fillId="27" borderId="0" xfId="0" applyFont="1" applyFill="1" applyBorder="1" applyAlignment="1">
      <alignment horizontal="center"/>
    </xf>
    <xf numFmtId="0" fontId="66" fillId="27" borderId="58" xfId="0" applyFont="1" applyFill="1" applyBorder="1" applyAlignment="1">
      <alignment horizontal="center"/>
    </xf>
    <xf numFmtId="0" fontId="66" fillId="27" borderId="53" xfId="0" applyFont="1" applyFill="1" applyBorder="1" applyAlignment="1">
      <alignment horizontal="center"/>
    </xf>
    <xf numFmtId="0" fontId="66" fillId="27" borderId="157" xfId="0" applyFont="1" applyFill="1" applyBorder="1" applyAlignment="1">
      <alignment horizontal="center"/>
    </xf>
    <xf numFmtId="0" fontId="66" fillId="27" borderId="118" xfId="0" applyFont="1" applyFill="1" applyBorder="1" applyAlignment="1">
      <alignment horizontal="center"/>
    </xf>
    <xf numFmtId="0" fontId="66" fillId="27" borderId="118" xfId="0" applyFont="1" applyFill="1" applyBorder="1" applyAlignment="1">
      <alignment horizontal="center" wrapText="1"/>
    </xf>
    <xf numFmtId="9" fontId="66" fillId="27" borderId="0" xfId="16" applyFont="1" applyFill="1" applyBorder="1" applyAlignment="1">
      <alignment horizontal="center"/>
    </xf>
    <xf numFmtId="0" fontId="17" fillId="4" borderId="4" xfId="0" applyFont="1" applyFill="1" applyBorder="1" applyAlignment="1" applyProtection="1">
      <alignment horizontal="right" vertical="center"/>
    </xf>
    <xf numFmtId="0" fontId="57" fillId="4" borderId="4" xfId="0" applyFont="1" applyFill="1" applyBorder="1" applyAlignment="1" applyProtection="1">
      <alignment horizontal="center" vertical="center"/>
    </xf>
    <xf numFmtId="0" fontId="119" fillId="4" borderId="4" xfId="2" applyFont="1" applyFill="1" applyBorder="1" applyAlignment="1" applyProtection="1">
      <alignment horizontal="center" vertical="center"/>
    </xf>
    <xf numFmtId="0" fontId="119" fillId="4" borderId="54" xfId="2" applyFont="1" applyFill="1" applyBorder="1" applyAlignment="1" applyProtection="1">
      <alignment horizontal="center" vertical="center"/>
    </xf>
    <xf numFmtId="0" fontId="119" fillId="4" borderId="6" xfId="2" applyFont="1" applyFill="1" applyBorder="1" applyAlignment="1" applyProtection="1">
      <alignment horizontal="center" vertical="center"/>
    </xf>
    <xf numFmtId="0" fontId="2" fillId="0" borderId="52" xfId="0" applyFont="1" applyBorder="1" applyAlignment="1">
      <alignment horizontal="center" vertical="center"/>
    </xf>
    <xf numFmtId="0" fontId="2" fillId="0" borderId="110" xfId="0" applyFont="1" applyBorder="1" applyAlignment="1">
      <alignment horizontal="center" vertical="center"/>
    </xf>
    <xf numFmtId="0" fontId="0" fillId="0" borderId="111" xfId="0" applyBorder="1" applyProtection="1"/>
    <xf numFmtId="0" fontId="66" fillId="27" borderId="9" xfId="16" applyNumberFormat="1" applyFont="1" applyFill="1" applyBorder="1" applyAlignment="1">
      <alignment horizontal="right"/>
    </xf>
    <xf numFmtId="0" fontId="0" fillId="0" borderId="0" xfId="0" applyAlignment="1" applyProtection="1">
      <protection hidden="1"/>
    </xf>
    <xf numFmtId="0" fontId="92" fillId="0" borderId="10" xfId="0" applyFont="1" applyBorder="1" applyAlignment="1" applyProtection="1">
      <protection hidden="1"/>
    </xf>
    <xf numFmtId="0" fontId="92" fillId="0" borderId="157" xfId="0" applyFont="1" applyBorder="1" applyAlignment="1" applyProtection="1">
      <protection hidden="1"/>
    </xf>
    <xf numFmtId="0" fontId="94" fillId="0" borderId="53" xfId="0" applyFont="1" applyBorder="1" applyAlignment="1" applyProtection="1">
      <protection hidden="1"/>
    </xf>
    <xf numFmtId="0" fontId="92" fillId="0" borderId="0" xfId="0" applyFont="1" applyAlignment="1" applyProtection="1">
      <protection hidden="1"/>
    </xf>
    <xf numFmtId="0" fontId="57" fillId="26" borderId="0" xfId="0" applyFont="1" applyFill="1" applyBorder="1" applyAlignment="1" applyProtection="1">
      <alignment vertical="center"/>
      <protection locked="0"/>
    </xf>
    <xf numFmtId="0" fontId="57" fillId="26" borderId="29" xfId="0" applyFont="1" applyFill="1" applyBorder="1" applyAlignment="1" applyProtection="1">
      <alignment vertical="center"/>
      <protection locked="0"/>
    </xf>
    <xf numFmtId="0" fontId="57" fillId="26" borderId="9" xfId="0" applyFont="1" applyFill="1" applyBorder="1" applyAlignment="1" applyProtection="1">
      <alignment vertical="center"/>
      <protection locked="0"/>
    </xf>
    <xf numFmtId="0" fontId="57" fillId="26" borderId="156" xfId="0" applyFont="1" applyFill="1" applyBorder="1" applyAlignment="1" applyProtection="1">
      <alignment vertical="center"/>
      <protection locked="0"/>
    </xf>
    <xf numFmtId="0" fontId="57" fillId="26" borderId="58" xfId="0" applyFont="1" applyFill="1" applyBorder="1" applyAlignment="1" applyProtection="1">
      <alignment vertical="center"/>
      <protection locked="0"/>
    </xf>
    <xf numFmtId="0" fontId="57" fillId="26" borderId="160" xfId="0" applyFont="1" applyFill="1" applyBorder="1" applyAlignment="1" applyProtection="1">
      <alignment vertical="center"/>
      <protection locked="0"/>
    </xf>
    <xf numFmtId="0" fontId="57" fillId="26" borderId="29" xfId="0" applyFont="1" applyFill="1" applyBorder="1" applyAlignment="1" applyProtection="1">
      <alignment horizontal="right" vertical="center"/>
      <protection locked="0"/>
    </xf>
    <xf numFmtId="0" fontId="57" fillId="26" borderId="156" xfId="0" applyFont="1" applyFill="1" applyBorder="1" applyAlignment="1" applyProtection="1">
      <alignment horizontal="right" vertical="center"/>
      <protection locked="0"/>
    </xf>
    <xf numFmtId="0" fontId="57" fillId="26" borderId="58" xfId="0" applyFont="1" applyFill="1" applyBorder="1" applyAlignment="1" applyProtection="1">
      <alignment horizontal="right" vertical="center"/>
      <protection locked="0"/>
    </xf>
    <xf numFmtId="0" fontId="66" fillId="27" borderId="156" xfId="0" applyFont="1" applyFill="1" applyBorder="1" applyAlignment="1" applyProtection="1">
      <alignment horizontal="center"/>
      <protection locked="0"/>
    </xf>
    <xf numFmtId="0" fontId="57" fillId="0" borderId="156" xfId="0" applyFont="1" applyFill="1" applyBorder="1" applyAlignment="1">
      <alignment horizontal="left"/>
    </xf>
    <xf numFmtId="0" fontId="83" fillId="27" borderId="29" xfId="0" applyFont="1" applyFill="1" applyBorder="1"/>
    <xf numFmtId="0" fontId="84" fillId="27" borderId="156" xfId="0" applyFont="1" applyFill="1" applyBorder="1"/>
    <xf numFmtId="0" fontId="57" fillId="27" borderId="156" xfId="0" applyFont="1" applyFill="1" applyBorder="1"/>
    <xf numFmtId="0" fontId="14" fillId="27" borderId="156" xfId="0" applyNumberFormat="1" applyFont="1" applyFill="1" applyBorder="1" applyAlignment="1" applyProtection="1">
      <alignment horizontal="center" vertical="center"/>
    </xf>
    <xf numFmtId="0" fontId="66" fillId="27" borderId="160" xfId="0" applyFont="1" applyFill="1" applyBorder="1"/>
    <xf numFmtId="0" fontId="14" fillId="27" borderId="160" xfId="0" applyNumberFormat="1" applyFont="1" applyFill="1" applyBorder="1" applyAlignment="1" applyProtection="1">
      <alignment horizontal="center" vertical="center"/>
    </xf>
    <xf numFmtId="0" fontId="14" fillId="27" borderId="53" xfId="0" applyNumberFormat="1" applyFont="1" applyFill="1" applyBorder="1" applyAlignment="1" applyProtection="1">
      <alignment horizontal="center" vertical="center"/>
      <protection locked="0"/>
    </xf>
    <xf numFmtId="167" fontId="15" fillId="0" borderId="1" xfId="0" applyNumberFormat="1" applyFont="1" applyFill="1" applyBorder="1" applyAlignment="1" applyProtection="1">
      <alignment horizontal="center" vertical="center"/>
      <protection locked="0"/>
    </xf>
    <xf numFmtId="0" fontId="10" fillId="26" borderId="156" xfId="0" applyFont="1" applyFill="1" applyBorder="1" applyAlignment="1" applyProtection="1">
      <alignment vertical="center"/>
    </xf>
    <xf numFmtId="0" fontId="116" fillId="47" borderId="8" xfId="0" applyFont="1" applyFill="1" applyBorder="1"/>
    <xf numFmtId="0" fontId="106" fillId="47" borderId="4" xfId="0" applyFont="1" applyFill="1" applyBorder="1" applyAlignment="1" applyProtection="1">
      <alignment vertical="center"/>
      <protection locked="0"/>
    </xf>
    <xf numFmtId="0" fontId="116" fillId="47" borderId="2" xfId="0" applyFont="1" applyFill="1" applyBorder="1"/>
    <xf numFmtId="0" fontId="106" fillId="47" borderId="0" xfId="0" applyFont="1" applyFill="1" applyBorder="1" applyAlignment="1" applyProtection="1">
      <alignment horizontal="right" vertical="center"/>
    </xf>
    <xf numFmtId="0" fontId="116" fillId="47" borderId="0" xfId="0" applyFont="1" applyFill="1" applyBorder="1" applyAlignment="1" applyProtection="1">
      <alignment horizontal="right" vertical="center"/>
    </xf>
    <xf numFmtId="172" fontId="116" fillId="47" borderId="0" xfId="0" applyNumberFormat="1" applyFont="1" applyFill="1" applyBorder="1" applyAlignment="1" applyProtection="1">
      <alignment horizontal="right" vertical="center"/>
    </xf>
    <xf numFmtId="0" fontId="116" fillId="47" borderId="0" xfId="2" applyFont="1" applyFill="1" applyBorder="1" applyAlignment="1" applyProtection="1">
      <alignment horizontal="right" vertical="center"/>
    </xf>
    <xf numFmtId="172" fontId="116" fillId="47" borderId="0" xfId="2" applyNumberFormat="1" applyFont="1" applyFill="1" applyBorder="1" applyAlignment="1" applyProtection="1">
      <alignment horizontal="right" vertical="center"/>
    </xf>
    <xf numFmtId="0" fontId="116" fillId="47" borderId="0" xfId="0" applyFont="1" applyFill="1" applyBorder="1"/>
    <xf numFmtId="0" fontId="116" fillId="47" borderId="11" xfId="0" applyFont="1" applyFill="1" applyBorder="1"/>
    <xf numFmtId="0" fontId="116" fillId="47" borderId="22" xfId="0" applyFont="1" applyFill="1" applyBorder="1"/>
    <xf numFmtId="0" fontId="106" fillId="47" borderId="4" xfId="0" applyFont="1" applyFill="1" applyBorder="1" applyAlignment="1" applyProtection="1">
      <alignment horizontal="right" vertical="center"/>
      <protection locked="0"/>
    </xf>
    <xf numFmtId="0" fontId="116" fillId="47" borderId="0" xfId="0" applyFont="1" applyFill="1" applyBorder="1" applyAlignment="1" applyProtection="1">
      <alignment horizontal="center" vertical="center"/>
    </xf>
    <xf numFmtId="0" fontId="116" fillId="47" borderId="5" xfId="0" applyFont="1" applyFill="1" applyBorder="1" applyAlignment="1" applyProtection="1">
      <alignment horizontal="center" vertical="center"/>
    </xf>
    <xf numFmtId="166" fontId="117" fillId="47" borderId="0" xfId="2" applyNumberFormat="1" applyFont="1" applyFill="1" applyBorder="1" applyAlignment="1" applyProtection="1">
      <alignment horizontal="center" vertical="center"/>
    </xf>
    <xf numFmtId="166" fontId="117" fillId="47" borderId="5" xfId="2" applyNumberFormat="1" applyFont="1" applyFill="1" applyBorder="1" applyAlignment="1" applyProtection="1">
      <alignment horizontal="center" vertical="center"/>
    </xf>
    <xf numFmtId="0" fontId="116" fillId="47" borderId="5" xfId="0" applyFont="1" applyFill="1" applyBorder="1"/>
    <xf numFmtId="0" fontId="116" fillId="47" borderId="23" xfId="0" applyFont="1" applyFill="1" applyBorder="1"/>
    <xf numFmtId="0" fontId="14" fillId="35" borderId="118" xfId="5" applyNumberFormat="1" applyFont="1" applyFill="1" applyBorder="1" applyAlignment="1" applyProtection="1">
      <alignment horizontal="center" vertical="center"/>
      <protection locked="0"/>
    </xf>
    <xf numFmtId="0" fontId="14" fillId="7" borderId="165" xfId="0" applyNumberFormat="1" applyFont="1" applyFill="1" applyBorder="1" applyAlignment="1" applyProtection="1">
      <alignment horizontal="center" vertical="center"/>
      <protection locked="0"/>
    </xf>
    <xf numFmtId="0" fontId="14" fillId="7" borderId="121" xfId="0" applyNumberFormat="1" applyFont="1" applyFill="1" applyBorder="1" applyAlignment="1" applyProtection="1">
      <alignment horizontal="center" vertical="center"/>
      <protection locked="0"/>
    </xf>
    <xf numFmtId="0" fontId="57" fillId="27" borderId="118" xfId="0" applyFont="1" applyFill="1" applyBorder="1" applyAlignment="1">
      <alignment horizontal="left"/>
    </xf>
    <xf numFmtId="0" fontId="14" fillId="35" borderId="118" xfId="5" applyFont="1" applyFill="1" applyBorder="1" applyAlignment="1" applyProtection="1">
      <alignment horizontal="center" vertical="center"/>
      <protection locked="0"/>
    </xf>
    <xf numFmtId="0" fontId="66" fillId="27" borderId="118" xfId="0" applyNumberFormat="1" applyFont="1" applyFill="1" applyBorder="1"/>
    <xf numFmtId="0" fontId="85" fillId="0" borderId="118" xfId="0" applyFont="1" applyFill="1" applyBorder="1"/>
    <xf numFmtId="0" fontId="88" fillId="26" borderId="2" xfId="0" applyFont="1" applyFill="1" applyBorder="1" applyAlignment="1" applyProtection="1">
      <alignment vertical="center"/>
    </xf>
    <xf numFmtId="0" fontId="88" fillId="26" borderId="0" xfId="0" applyFont="1" applyFill="1" applyBorder="1" applyAlignment="1" applyProtection="1">
      <alignment vertical="center"/>
    </xf>
    <xf numFmtId="0" fontId="88" fillId="26" borderId="0" xfId="0" applyFont="1" applyFill="1" applyBorder="1" applyAlignment="1" applyProtection="1">
      <alignment horizontal="right" vertical="center"/>
    </xf>
    <xf numFmtId="0" fontId="88" fillId="26" borderId="113" xfId="0" applyFont="1" applyFill="1" applyBorder="1" applyAlignment="1" applyProtection="1">
      <alignment vertical="center"/>
    </xf>
    <xf numFmtId="0" fontId="88" fillId="26" borderId="3" xfId="0" applyFont="1" applyFill="1" applyBorder="1" applyAlignment="1" applyProtection="1">
      <alignment vertical="center"/>
    </xf>
    <xf numFmtId="0" fontId="2" fillId="26" borderId="59" xfId="0" applyFont="1" applyFill="1" applyBorder="1" applyAlignment="1" applyProtection="1">
      <alignment horizontal="center" vertical="center"/>
    </xf>
    <xf numFmtId="0" fontId="2" fillId="0" borderId="1" xfId="0" applyNumberFormat="1" applyFont="1" applyFill="1" applyBorder="1" applyAlignment="1" applyProtection="1">
      <alignment horizontal="center" vertical="center"/>
      <protection locked="0"/>
    </xf>
    <xf numFmtId="0" fontId="2" fillId="26" borderId="1" xfId="0" applyFont="1" applyFill="1" applyBorder="1" applyAlignment="1" applyProtection="1">
      <alignment horizontal="center" vertical="center"/>
    </xf>
    <xf numFmtId="0" fontId="2" fillId="26" borderId="143" xfId="0" applyFont="1" applyFill="1" applyBorder="1" applyAlignment="1" applyProtection="1">
      <alignment horizontal="center" vertical="center"/>
    </xf>
    <xf numFmtId="0" fontId="2" fillId="26" borderId="24" xfId="0" applyFont="1" applyFill="1" applyBorder="1" applyAlignment="1" applyProtection="1">
      <alignment horizontal="right" vertical="center"/>
    </xf>
    <xf numFmtId="0" fontId="2" fillId="26" borderId="24" xfId="0" applyFont="1" applyFill="1" applyBorder="1" applyAlignment="1" applyProtection="1">
      <alignment vertical="center"/>
    </xf>
    <xf numFmtId="0" fontId="2" fillId="26" borderId="148" xfId="0" applyFont="1" applyFill="1" applyBorder="1" applyAlignment="1" applyProtection="1">
      <alignment vertical="center"/>
    </xf>
    <xf numFmtId="0" fontId="2" fillId="26" borderId="150" xfId="0" applyFont="1" applyFill="1" applyBorder="1" applyAlignment="1" applyProtection="1">
      <alignment vertical="center"/>
    </xf>
    <xf numFmtId="166" fontId="14" fillId="15" borderId="1" xfId="5" applyNumberFormat="1" applyFont="1" applyFill="1" applyBorder="1" applyAlignment="1" applyProtection="1">
      <alignment horizontal="center" vertical="center"/>
      <protection locked="0"/>
    </xf>
    <xf numFmtId="0" fontId="11" fillId="43" borderId="0" xfId="5" applyFont="1" applyFill="1" applyAlignment="1" applyProtection="1">
      <alignment horizontal="center" vertical="center"/>
    </xf>
    <xf numFmtId="0" fontId="2" fillId="7" borderId="0" xfId="5" applyFont="1" applyFill="1" applyAlignment="1" applyProtection="1">
      <alignment horizontal="center" vertical="center"/>
    </xf>
    <xf numFmtId="0" fontId="11" fillId="7" borderId="0" xfId="5" applyFont="1" applyFill="1" applyAlignment="1" applyProtection="1">
      <alignment horizontal="center" vertical="center"/>
    </xf>
    <xf numFmtId="0" fontId="11" fillId="7" borderId="8" xfId="5" applyFont="1" applyFill="1" applyBorder="1" applyAlignment="1" applyProtection="1">
      <alignment horizontal="center" vertical="center"/>
    </xf>
    <xf numFmtId="0" fontId="11" fillId="7" borderId="2" xfId="5" applyFont="1" applyFill="1" applyBorder="1" applyAlignment="1" applyProtection="1">
      <alignment horizontal="center" vertical="center"/>
    </xf>
    <xf numFmtId="174" fontId="14" fillId="23" borderId="1" xfId="0" applyNumberFormat="1" applyFont="1" applyFill="1" applyBorder="1" applyAlignment="1" applyProtection="1">
      <alignment horizontal="center" vertical="center"/>
      <protection locked="0"/>
    </xf>
    <xf numFmtId="168" fontId="14" fillId="15" borderId="1" xfId="0" applyNumberFormat="1" applyFont="1" applyFill="1" applyBorder="1" applyAlignment="1" applyProtection="1">
      <alignment horizontal="center" vertical="center"/>
      <protection locked="0"/>
    </xf>
    <xf numFmtId="0" fontId="14" fillId="7" borderId="1" xfId="5" applyFont="1" applyFill="1" applyBorder="1" applyAlignment="1" applyProtection="1">
      <alignment horizontal="center" vertical="center"/>
      <protection locked="0"/>
    </xf>
    <xf numFmtId="169" fontId="14" fillId="23" borderId="1" xfId="0" applyNumberFormat="1" applyFont="1" applyFill="1" applyBorder="1" applyAlignment="1" applyProtection="1">
      <alignment horizontal="center" vertical="center"/>
      <protection locked="0"/>
    </xf>
    <xf numFmtId="0" fontId="14" fillId="23" borderId="1" xfId="0" applyFont="1" applyFill="1" applyBorder="1" applyAlignment="1" applyProtection="1">
      <alignment horizontal="center" vertical="center"/>
      <protection locked="0"/>
    </xf>
    <xf numFmtId="0" fontId="14" fillId="15" borderId="1" xfId="5" applyFont="1" applyFill="1" applyBorder="1" applyAlignment="1" applyProtection="1">
      <alignment horizontal="center" vertical="center"/>
      <protection locked="0"/>
    </xf>
    <xf numFmtId="0" fontId="11" fillId="7" borderId="0" xfId="5" applyFont="1" applyFill="1" applyAlignment="1" applyProtection="1">
      <alignment horizontal="right" vertical="center"/>
    </xf>
    <xf numFmtId="0" fontId="14" fillId="23" borderId="1" xfId="5" applyFont="1" applyFill="1" applyBorder="1" applyAlignment="1" applyProtection="1">
      <alignment horizontal="center" vertical="center"/>
      <protection locked="0"/>
    </xf>
    <xf numFmtId="0" fontId="11" fillId="7" borderId="11" xfId="5" applyFont="1" applyFill="1" applyBorder="1" applyAlignment="1" applyProtection="1">
      <alignment horizontal="center" vertical="center"/>
    </xf>
    <xf numFmtId="2" fontId="14" fillId="23" borderId="45" xfId="5" applyNumberFormat="1" applyFont="1" applyFill="1" applyBorder="1" applyAlignment="1" applyProtection="1">
      <alignment horizontal="center" vertical="center"/>
      <protection locked="0"/>
    </xf>
    <xf numFmtId="2" fontId="14" fillId="23" borderId="51" xfId="0" applyNumberFormat="1" applyFont="1" applyFill="1" applyBorder="1" applyAlignment="1" applyProtection="1">
      <alignment horizontal="center" vertical="center"/>
      <protection locked="0"/>
    </xf>
    <xf numFmtId="0" fontId="14" fillId="23" borderId="1" xfId="5" applyNumberFormat="1" applyFont="1" applyFill="1" applyBorder="1" applyAlignment="1" applyProtection="1">
      <alignment horizontal="center" vertical="center"/>
      <protection locked="0"/>
    </xf>
    <xf numFmtId="2" fontId="14" fillId="23" borderId="1" xfId="5" applyNumberFormat="1" applyFont="1" applyFill="1" applyBorder="1" applyAlignment="1" applyProtection="1">
      <alignment horizontal="center" vertical="center"/>
      <protection locked="0"/>
    </xf>
    <xf numFmtId="0" fontId="0" fillId="7" borderId="0" xfId="0" applyFill="1"/>
    <xf numFmtId="0" fontId="34" fillId="7" borderId="0" xfId="5" applyFont="1" applyFill="1" applyAlignment="1" applyProtection="1">
      <alignment horizontal="right" vertical="center"/>
    </xf>
    <xf numFmtId="0" fontId="34" fillId="7" borderId="0" xfId="5" applyFont="1" applyFill="1" applyAlignment="1" applyProtection="1">
      <alignment horizontal="center" vertical="center"/>
    </xf>
    <xf numFmtId="0" fontId="34" fillId="7" borderId="4" xfId="0" applyNumberFormat="1" applyFont="1" applyFill="1" applyBorder="1" applyAlignment="1">
      <alignment horizontal="left"/>
    </xf>
    <xf numFmtId="0" fontId="11" fillId="7" borderId="10" xfId="5" applyFont="1" applyFill="1" applyBorder="1" applyAlignment="1" applyProtection="1">
      <alignment horizontal="center" vertical="center"/>
    </xf>
    <xf numFmtId="0" fontId="34" fillId="43" borderId="0" xfId="0" applyNumberFormat="1" applyFont="1" applyFill="1" applyBorder="1" applyAlignment="1">
      <alignment horizontal="left"/>
    </xf>
    <xf numFmtId="0" fontId="11" fillId="43" borderId="0" xfId="5" applyFont="1" applyFill="1" applyAlignment="1" applyProtection="1">
      <alignment horizontal="right" vertical="center"/>
    </xf>
    <xf numFmtId="0" fontId="11" fillId="43" borderId="0" xfId="5" applyFont="1" applyFill="1" applyBorder="1" applyAlignment="1" applyProtection="1">
      <alignment horizontal="right" vertical="center"/>
    </xf>
    <xf numFmtId="0" fontId="11" fillId="43" borderId="0" xfId="5" applyFont="1" applyFill="1" applyBorder="1" applyAlignment="1" applyProtection="1">
      <alignment horizontal="center" vertical="center"/>
    </xf>
    <xf numFmtId="0" fontId="2" fillId="43" borderId="0" xfId="5" applyFont="1" applyFill="1" applyAlignment="1" applyProtection="1">
      <alignment horizontal="center" vertical="center"/>
    </xf>
    <xf numFmtId="49" fontId="11" fillId="43" borderId="0" xfId="5" applyNumberFormat="1" applyFont="1" applyFill="1" applyAlignment="1" applyProtection="1">
      <alignment horizontal="right" vertical="center"/>
    </xf>
    <xf numFmtId="165" fontId="0" fillId="43" borderId="0" xfId="0" applyNumberFormat="1" applyFill="1" applyAlignment="1">
      <alignment horizontal="center" vertical="center"/>
    </xf>
    <xf numFmtId="0" fontId="0" fillId="43" borderId="0" xfId="0" applyFill="1"/>
    <xf numFmtId="0" fontId="34" fillId="43" borderId="0" xfId="5" applyFont="1" applyFill="1" applyAlignment="1" applyProtection="1">
      <alignment horizontal="right" vertical="center"/>
    </xf>
    <xf numFmtId="0" fontId="34" fillId="43" borderId="0" xfId="5" applyFont="1" applyFill="1" applyAlignment="1" applyProtection="1">
      <alignment horizontal="center" vertical="center"/>
    </xf>
    <xf numFmtId="0" fontId="34" fillId="43" borderId="4" xfId="0" applyNumberFormat="1" applyFont="1" applyFill="1" applyBorder="1" applyAlignment="1">
      <alignment horizontal="left"/>
    </xf>
    <xf numFmtId="0" fontId="11" fillId="43" borderId="0" xfId="5" applyFont="1" applyFill="1" applyAlignment="1" applyProtection="1">
      <alignment horizontal="left" vertical="center"/>
    </xf>
    <xf numFmtId="0" fontId="10" fillId="28" borderId="29" xfId="0" applyFont="1" applyFill="1" applyBorder="1" applyAlignment="1" applyProtection="1">
      <alignment horizontal="left"/>
      <protection locked="0"/>
    </xf>
    <xf numFmtId="0" fontId="11" fillId="28" borderId="10" xfId="5" applyFont="1" applyFill="1" applyBorder="1" applyAlignment="1" applyProtection="1">
      <alignment horizontal="center" vertical="center"/>
    </xf>
    <xf numFmtId="0" fontId="10" fillId="28" borderId="9" xfId="0" applyFont="1" applyFill="1" applyBorder="1" applyAlignment="1" applyProtection="1">
      <alignment horizontal="left"/>
      <protection locked="0"/>
    </xf>
    <xf numFmtId="0" fontId="10" fillId="28" borderId="10" xfId="0" applyFont="1" applyFill="1" applyBorder="1" applyAlignment="1" applyProtection="1">
      <alignment horizontal="left"/>
      <protection locked="0"/>
    </xf>
    <xf numFmtId="0" fontId="14" fillId="37" borderId="1" xfId="0" applyFont="1" applyFill="1" applyBorder="1" applyAlignment="1" applyProtection="1">
      <alignment horizontal="center" vertical="center"/>
      <protection locked="0"/>
    </xf>
    <xf numFmtId="2" fontId="14" fillId="48" borderId="1" xfId="5" applyNumberFormat="1" applyFont="1" applyFill="1" applyBorder="1" applyAlignment="1" applyProtection="1">
      <alignment horizontal="center" vertical="center"/>
    </xf>
    <xf numFmtId="166" fontId="14" fillId="48" borderId="1" xfId="5" applyNumberFormat="1" applyFont="1" applyFill="1" applyBorder="1" applyAlignment="1" applyProtection="1">
      <alignment horizontal="center" vertical="center"/>
    </xf>
    <xf numFmtId="166" fontId="14" fillId="48" borderId="21" xfId="5" applyNumberFormat="1" applyFont="1" applyFill="1" applyBorder="1" applyAlignment="1" applyProtection="1">
      <alignment horizontal="center" vertical="center"/>
    </xf>
    <xf numFmtId="0" fontId="11" fillId="7" borderId="0" xfId="0" applyFont="1" applyFill="1" applyAlignment="1" applyProtection="1">
      <alignment vertical="center"/>
    </xf>
    <xf numFmtId="0" fontId="14" fillId="7" borderId="21" xfId="0" applyFont="1" applyFill="1" applyBorder="1" applyAlignment="1" applyProtection="1">
      <alignment horizontal="center" vertical="center"/>
      <protection locked="0"/>
    </xf>
    <xf numFmtId="0" fontId="14" fillId="7" borderId="1" xfId="0" applyFont="1" applyFill="1" applyBorder="1" applyAlignment="1" applyProtection="1">
      <alignment horizontal="center" vertical="center"/>
      <protection locked="0"/>
    </xf>
    <xf numFmtId="0" fontId="14" fillId="7" borderId="25" xfId="0" applyFont="1" applyFill="1" applyBorder="1" applyAlignment="1" applyProtection="1">
      <alignment horizontal="center" vertical="center"/>
      <protection locked="0"/>
    </xf>
    <xf numFmtId="0" fontId="14" fillId="7" borderId="28" xfId="0" applyFont="1" applyFill="1" applyBorder="1" applyAlignment="1" applyProtection="1">
      <alignment horizontal="center" vertical="center"/>
      <protection locked="0"/>
    </xf>
    <xf numFmtId="0" fontId="11" fillId="7" borderId="22" xfId="0" applyFont="1" applyFill="1" applyBorder="1" applyAlignment="1" applyProtection="1">
      <alignment vertical="center"/>
    </xf>
    <xf numFmtId="0" fontId="10" fillId="7" borderId="0" xfId="0" applyFont="1" applyFill="1" applyBorder="1" applyAlignment="1" applyProtection="1">
      <alignment vertical="center"/>
    </xf>
    <xf numFmtId="0" fontId="36" fillId="7" borderId="0" xfId="0" applyFont="1" applyFill="1" applyBorder="1" applyAlignment="1" applyProtection="1">
      <alignment vertical="center"/>
    </xf>
    <xf numFmtId="0" fontId="11" fillId="7" borderId="0" xfId="0" applyFont="1" applyFill="1" applyAlignment="1" applyProtection="1">
      <alignment horizontal="center" vertical="center"/>
    </xf>
    <xf numFmtId="0" fontId="28" fillId="7" borderId="0" xfId="0" applyFont="1" applyFill="1" applyAlignment="1" applyProtection="1">
      <alignment horizontal="center" vertical="center"/>
      <protection locked="0"/>
    </xf>
    <xf numFmtId="0" fontId="11" fillId="7" borderId="0" xfId="0" applyFont="1" applyFill="1" applyBorder="1" applyAlignment="1" applyProtection="1">
      <alignment vertical="center"/>
    </xf>
    <xf numFmtId="0" fontId="11" fillId="7" borderId="0" xfId="0" applyFont="1" applyFill="1" applyAlignment="1" applyProtection="1">
      <alignment horizontal="center" vertical="center"/>
      <protection locked="0"/>
    </xf>
    <xf numFmtId="0" fontId="14" fillId="28" borderId="1" xfId="5" applyFont="1" applyFill="1" applyBorder="1" applyAlignment="1" applyProtection="1">
      <alignment horizontal="center" vertical="center"/>
      <protection locked="0"/>
    </xf>
    <xf numFmtId="0" fontId="10" fillId="27" borderId="0" xfId="0" applyFont="1" applyFill="1" applyAlignment="1" applyProtection="1">
      <alignment vertical="center"/>
    </xf>
    <xf numFmtId="0" fontId="12" fillId="33" borderId="54" xfId="5" applyFont="1" applyFill="1" applyBorder="1" applyAlignment="1" applyProtection="1">
      <alignment horizontal="center" vertical="center"/>
    </xf>
    <xf numFmtId="174" fontId="14" fillId="15" borderId="1" xfId="5" applyNumberFormat="1" applyFont="1" applyFill="1" applyBorder="1" applyAlignment="1" applyProtection="1">
      <alignment horizontal="center" vertical="center"/>
      <protection locked="0"/>
    </xf>
    <xf numFmtId="168" fontId="14" fillId="15" borderId="1" xfId="5" applyNumberFormat="1" applyFont="1" applyFill="1" applyBorder="1" applyAlignment="1" applyProtection="1">
      <alignment horizontal="center" vertical="center"/>
      <protection locked="0"/>
    </xf>
    <xf numFmtId="0" fontId="14" fillId="15" borderId="1" xfId="5" applyNumberFormat="1" applyFont="1" applyFill="1" applyBorder="1" applyAlignment="1" applyProtection="1">
      <alignment horizontal="center" vertical="center"/>
      <protection locked="0"/>
    </xf>
    <xf numFmtId="49" fontId="14" fillId="15" borderId="1" xfId="5" applyNumberFormat="1" applyFont="1" applyFill="1" applyBorder="1" applyAlignment="1" applyProtection="1">
      <alignment horizontal="center" vertical="center"/>
      <protection locked="0"/>
    </xf>
    <xf numFmtId="0" fontId="14" fillId="15" borderId="25" xfId="5" applyNumberFormat="1" applyFont="1" applyFill="1" applyBorder="1" applyAlignment="1" applyProtection="1">
      <alignment horizontal="center" vertical="center"/>
      <protection locked="0"/>
    </xf>
    <xf numFmtId="0" fontId="11" fillId="36" borderId="170" xfId="5" applyFont="1" applyFill="1" applyBorder="1" applyAlignment="1" applyProtection="1">
      <alignment horizontal="center" vertical="center"/>
    </xf>
    <xf numFmtId="0" fontId="10" fillId="0" borderId="0" xfId="0" applyFont="1" applyFill="1" applyBorder="1" applyAlignment="1" applyProtection="1">
      <alignment vertical="center"/>
    </xf>
    <xf numFmtId="0" fontId="2" fillId="0" borderId="0" xfId="0" applyFont="1" applyFill="1" applyBorder="1" applyAlignment="1" applyProtection="1">
      <alignment vertical="center"/>
    </xf>
    <xf numFmtId="0" fontId="2" fillId="0" borderId="0" xfId="0" applyFont="1" applyFill="1" applyBorder="1" applyAlignment="1" applyProtection="1">
      <alignment vertical="center"/>
      <protection locked="0"/>
    </xf>
    <xf numFmtId="0" fontId="116" fillId="38" borderId="151" xfId="0" applyFont="1" applyFill="1" applyBorder="1" applyAlignment="1">
      <alignment vertical="center"/>
    </xf>
    <xf numFmtId="0" fontId="66" fillId="38" borderId="19" xfId="0" applyFont="1" applyFill="1" applyBorder="1"/>
    <xf numFmtId="0" fontId="66" fillId="38" borderId="152" xfId="0" applyFont="1" applyFill="1" applyBorder="1"/>
    <xf numFmtId="0" fontId="121" fillId="27" borderId="0" xfId="0" applyFont="1" applyFill="1" applyBorder="1" applyAlignment="1">
      <alignment vertical="center"/>
    </xf>
    <xf numFmtId="180" fontId="14" fillId="9" borderId="9" xfId="0" applyNumberFormat="1" applyFont="1" applyFill="1" applyBorder="1" applyAlignment="1">
      <alignment horizontal="left"/>
    </xf>
    <xf numFmtId="0" fontId="8" fillId="0" borderId="29" xfId="0" applyNumberFormat="1" applyFont="1" applyBorder="1" applyAlignment="1">
      <alignment horizontal="center"/>
    </xf>
    <xf numFmtId="0" fontId="8" fillId="0" borderId="9" xfId="0" applyNumberFormat="1" applyFont="1" applyBorder="1" applyAlignment="1">
      <alignment horizontal="center"/>
    </xf>
    <xf numFmtId="0" fontId="8" fillId="0" borderId="10" xfId="0" applyNumberFormat="1" applyFont="1" applyBorder="1" applyAlignment="1">
      <alignment horizontal="center"/>
    </xf>
    <xf numFmtId="0" fontId="60" fillId="28" borderId="0" xfId="0" applyFont="1" applyFill="1" applyAlignment="1" applyProtection="1">
      <alignment horizontal="left" vertical="justify" wrapText="1"/>
    </xf>
    <xf numFmtId="0" fontId="4" fillId="28" borderId="156" xfId="0" applyNumberFormat="1" applyFont="1" applyFill="1" applyBorder="1" applyAlignment="1">
      <alignment horizontal="center"/>
    </xf>
    <xf numFmtId="0" fontId="4" fillId="28" borderId="0" xfId="0" applyNumberFormat="1" applyFont="1" applyFill="1" applyBorder="1" applyAlignment="1">
      <alignment horizontal="center"/>
    </xf>
    <xf numFmtId="0" fontId="4" fillId="28" borderId="157" xfId="0" applyNumberFormat="1" applyFont="1" applyFill="1" applyBorder="1" applyAlignment="1">
      <alignment horizontal="center"/>
    </xf>
    <xf numFmtId="0" fontId="59" fillId="28" borderId="13" xfId="0" applyNumberFormat="1" applyFont="1" applyFill="1" applyBorder="1" applyAlignment="1">
      <alignment horizontal="center" vertical="center"/>
    </xf>
    <xf numFmtId="0" fontId="59" fillId="28" borderId="0" xfId="0" applyNumberFormat="1" applyFont="1" applyFill="1" applyBorder="1" applyAlignment="1">
      <alignment horizontal="center" vertical="center"/>
    </xf>
    <xf numFmtId="0" fontId="59" fillId="28" borderId="12" xfId="0" applyNumberFormat="1" applyFont="1" applyFill="1" applyBorder="1" applyAlignment="1">
      <alignment horizontal="center" vertical="center"/>
    </xf>
    <xf numFmtId="0" fontId="60" fillId="28" borderId="0" xfId="0" applyFont="1" applyFill="1" applyAlignment="1" applyProtection="1">
      <alignment horizontal="left" vertical="top" wrapText="1"/>
    </xf>
    <xf numFmtId="0" fontId="60" fillId="28" borderId="0" xfId="0" applyNumberFormat="1" applyFont="1" applyFill="1" applyAlignment="1">
      <alignment horizontal="justify" vertical="top"/>
    </xf>
    <xf numFmtId="0" fontId="44" fillId="28" borderId="29" xfId="0" applyNumberFormat="1" applyFont="1" applyFill="1" applyBorder="1" applyAlignment="1">
      <alignment horizontal="center"/>
    </xf>
    <xf numFmtId="0" fontId="44" fillId="28" borderId="10" xfId="0" applyNumberFormat="1" applyFont="1" applyFill="1" applyBorder="1" applyAlignment="1">
      <alignment horizontal="center"/>
    </xf>
    <xf numFmtId="0" fontId="44" fillId="28" borderId="0" xfId="0" applyNumberFormat="1" applyFont="1" applyFill="1" applyAlignment="1">
      <alignment horizontal="center"/>
    </xf>
    <xf numFmtId="0" fontId="4" fillId="28" borderId="29" xfId="0" applyNumberFormat="1" applyFont="1" applyFill="1" applyBorder="1" applyAlignment="1">
      <alignment horizontal="center"/>
    </xf>
    <xf numFmtId="0" fontId="4" fillId="28" borderId="9" xfId="0" applyNumberFormat="1" applyFont="1" applyFill="1" applyBorder="1" applyAlignment="1">
      <alignment horizontal="center"/>
    </xf>
    <xf numFmtId="0" fontId="4" fillId="28" borderId="10" xfId="0" applyNumberFormat="1" applyFont="1" applyFill="1" applyBorder="1" applyAlignment="1">
      <alignment horizontal="center"/>
    </xf>
    <xf numFmtId="0" fontId="59" fillId="28" borderId="13" xfId="0" applyNumberFormat="1" applyFont="1" applyFill="1" applyBorder="1" applyAlignment="1">
      <alignment horizontal="center" shrinkToFit="1"/>
    </xf>
    <xf numFmtId="0" fontId="59" fillId="28" borderId="0" xfId="0" applyNumberFormat="1" applyFont="1" applyFill="1" applyBorder="1" applyAlignment="1">
      <alignment horizontal="center" shrinkToFit="1"/>
    </xf>
    <xf numFmtId="0" fontId="59" fillId="28" borderId="12" xfId="0" applyNumberFormat="1" applyFont="1" applyFill="1" applyBorder="1" applyAlignment="1">
      <alignment horizontal="center" shrinkToFit="1"/>
    </xf>
    <xf numFmtId="0" fontId="59" fillId="28" borderId="13" xfId="0" applyNumberFormat="1" applyFont="1" applyFill="1" applyBorder="1" applyAlignment="1">
      <alignment horizontal="center"/>
    </xf>
    <xf numFmtId="0" fontId="59" fillId="28" borderId="0" xfId="0" applyNumberFormat="1" applyFont="1" applyFill="1" applyBorder="1" applyAlignment="1">
      <alignment horizontal="center"/>
    </xf>
    <xf numFmtId="0" fontId="59" fillId="28" borderId="12" xfId="0" applyNumberFormat="1" applyFont="1" applyFill="1" applyBorder="1" applyAlignment="1">
      <alignment horizontal="center"/>
    </xf>
    <xf numFmtId="216" fontId="60" fillId="28" borderId="13" xfId="0" applyNumberFormat="1" applyFont="1" applyFill="1" applyBorder="1" applyAlignment="1">
      <alignment horizontal="center"/>
    </xf>
    <xf numFmtId="216" fontId="60" fillId="28" borderId="0" xfId="0" applyNumberFormat="1" applyFont="1" applyFill="1" applyBorder="1" applyAlignment="1">
      <alignment horizontal="center"/>
    </xf>
    <xf numFmtId="216" fontId="60" fillId="28" borderId="12" xfId="0" applyNumberFormat="1" applyFont="1" applyFill="1" applyBorder="1" applyAlignment="1">
      <alignment horizontal="center"/>
    </xf>
    <xf numFmtId="0" fontId="60" fillId="28" borderId="13" xfId="0" applyNumberFormat="1" applyFont="1" applyFill="1" applyBorder="1" applyAlignment="1">
      <alignment horizontal="center"/>
    </xf>
    <xf numFmtId="0" fontId="60" fillId="28" borderId="0" xfId="0" applyNumberFormat="1" applyFont="1" applyFill="1" applyBorder="1" applyAlignment="1">
      <alignment horizontal="center"/>
    </xf>
    <xf numFmtId="0" fontId="60" fillId="28" borderId="12" xfId="0" applyNumberFormat="1" applyFont="1" applyFill="1" applyBorder="1" applyAlignment="1">
      <alignment horizontal="center"/>
    </xf>
    <xf numFmtId="0" fontId="44" fillId="28" borderId="0" xfId="0" applyNumberFormat="1" applyFont="1" applyFill="1" applyBorder="1" applyAlignment="1">
      <alignment horizontal="center"/>
    </xf>
    <xf numFmtId="0" fontId="44" fillId="28" borderId="12" xfId="0" applyNumberFormat="1" applyFont="1" applyFill="1" applyBorder="1" applyAlignment="1">
      <alignment horizontal="center"/>
    </xf>
    <xf numFmtId="0" fontId="44" fillId="28" borderId="13" xfId="0" applyNumberFormat="1" applyFont="1" applyFill="1" applyBorder="1" applyAlignment="1">
      <alignment horizontal="center"/>
    </xf>
    <xf numFmtId="1" fontId="59" fillId="28" borderId="13" xfId="0" applyNumberFormat="1" applyFont="1" applyFill="1" applyBorder="1" applyAlignment="1">
      <alignment horizontal="center"/>
    </xf>
    <xf numFmtId="1" fontId="59" fillId="28" borderId="0" xfId="0" applyNumberFormat="1" applyFont="1" applyFill="1" applyBorder="1" applyAlignment="1">
      <alignment horizontal="center"/>
    </xf>
    <xf numFmtId="1" fontId="59" fillId="28" borderId="12" xfId="0" applyNumberFormat="1" applyFont="1" applyFill="1" applyBorder="1" applyAlignment="1">
      <alignment horizontal="center"/>
    </xf>
    <xf numFmtId="1" fontId="59" fillId="28" borderId="13" xfId="0" applyNumberFormat="1" applyFont="1" applyFill="1" applyBorder="1" applyAlignment="1">
      <alignment horizontal="center" vertical="center"/>
    </xf>
    <xf numFmtId="1" fontId="59" fillId="28" borderId="0" xfId="0" applyNumberFormat="1" applyFont="1" applyFill="1" applyBorder="1" applyAlignment="1">
      <alignment horizontal="center" vertical="center"/>
    </xf>
    <xf numFmtId="1" fontId="59" fillId="28" borderId="12" xfId="0" applyNumberFormat="1" applyFont="1" applyFill="1" applyBorder="1" applyAlignment="1">
      <alignment horizontal="center" vertical="center"/>
    </xf>
    <xf numFmtId="180" fontId="72" fillId="29" borderId="158" xfId="0" applyNumberFormat="1" applyFont="1" applyFill="1" applyBorder="1" applyAlignment="1">
      <alignment horizontal="left"/>
    </xf>
    <xf numFmtId="0" fontId="72" fillId="29" borderId="0" xfId="0" applyNumberFormat="1" applyFont="1" applyFill="1" applyBorder="1" applyAlignment="1">
      <alignment horizontal="left"/>
    </xf>
    <xf numFmtId="0" fontId="72" fillId="29" borderId="0" xfId="0" applyNumberFormat="1" applyFont="1" applyFill="1" applyBorder="1" applyAlignment="1" applyProtection="1">
      <alignment horizontal="left"/>
    </xf>
    <xf numFmtId="166" fontId="44" fillId="28" borderId="13" xfId="0" applyNumberFormat="1" applyFont="1" applyFill="1" applyBorder="1" applyAlignment="1">
      <alignment horizontal="center"/>
    </xf>
    <xf numFmtId="166" fontId="44" fillId="28" borderId="0" xfId="0" applyNumberFormat="1" applyFont="1" applyFill="1" applyBorder="1" applyAlignment="1">
      <alignment horizontal="center"/>
    </xf>
    <xf numFmtId="166" fontId="44" fillId="28" borderId="12" xfId="0" applyNumberFormat="1" applyFont="1" applyFill="1" applyBorder="1" applyAlignment="1">
      <alignment horizontal="center"/>
    </xf>
    <xf numFmtId="0" fontId="44" fillId="28" borderId="3" xfId="0" applyNumberFormat="1" applyFont="1" applyFill="1" applyBorder="1" applyAlignment="1">
      <alignment horizontal="center" vertical="top"/>
    </xf>
    <xf numFmtId="213" fontId="44" fillId="28" borderId="0" xfId="0" applyNumberFormat="1" applyFont="1" applyFill="1" applyBorder="1" applyAlignment="1">
      <alignment horizontal="center"/>
    </xf>
    <xf numFmtId="0" fontId="44" fillId="28" borderId="9" xfId="0" applyNumberFormat="1" applyFont="1" applyFill="1" applyBorder="1" applyAlignment="1">
      <alignment horizontal="center"/>
    </xf>
    <xf numFmtId="0" fontId="60" fillId="28" borderId="0" xfId="0" applyNumberFormat="1" applyFont="1" applyFill="1" applyAlignment="1">
      <alignment horizontal="justify" vertical="top" wrapText="1"/>
    </xf>
    <xf numFmtId="0" fontId="67" fillId="28" borderId="13" xfId="0" applyNumberFormat="1" applyFont="1" applyFill="1" applyBorder="1" applyAlignment="1">
      <alignment horizontal="center" wrapText="1" shrinkToFit="1"/>
    </xf>
    <xf numFmtId="0" fontId="67" fillId="28" borderId="0" xfId="0" applyNumberFormat="1" applyFont="1" applyFill="1" applyBorder="1" applyAlignment="1">
      <alignment horizontal="center" wrapText="1" shrinkToFit="1"/>
    </xf>
    <xf numFmtId="0" fontId="67" fillId="28" borderId="12" xfId="0" applyNumberFormat="1" applyFont="1" applyFill="1" applyBorder="1" applyAlignment="1">
      <alignment horizontal="center" wrapText="1" shrinkToFit="1"/>
    </xf>
    <xf numFmtId="0" fontId="67" fillId="28" borderId="13" xfId="0" applyNumberFormat="1" applyFont="1" applyFill="1" applyBorder="1" applyAlignment="1">
      <alignment horizontal="center"/>
    </xf>
    <xf numFmtId="0" fontId="67" fillId="28" borderId="0" xfId="0" applyNumberFormat="1" applyFont="1" applyFill="1" applyBorder="1" applyAlignment="1">
      <alignment horizontal="center"/>
    </xf>
    <xf numFmtId="0" fontId="67" fillId="28" borderId="12" xfId="0" applyNumberFormat="1" applyFont="1" applyFill="1" applyBorder="1" applyAlignment="1">
      <alignment horizontal="center"/>
    </xf>
    <xf numFmtId="0" fontId="60" fillId="28" borderId="13" xfId="0" applyNumberFormat="1" applyFont="1" applyFill="1" applyBorder="1" applyAlignment="1">
      <alignment horizontal="center" vertical="top"/>
    </xf>
    <xf numFmtId="0" fontId="60" fillId="28" borderId="0" xfId="0" applyNumberFormat="1" applyFont="1" applyFill="1" applyBorder="1" applyAlignment="1">
      <alignment horizontal="center" vertical="top"/>
    </xf>
    <xf numFmtId="0" fontId="60" fillId="28" borderId="12" xfId="0" applyNumberFormat="1" applyFont="1" applyFill="1" applyBorder="1" applyAlignment="1">
      <alignment horizontal="center" vertical="top"/>
    </xf>
    <xf numFmtId="0" fontId="44" fillId="28" borderId="13" xfId="0" applyNumberFormat="1" applyFont="1" applyFill="1" applyBorder="1" applyAlignment="1">
      <alignment horizontal="center" vertical="top"/>
    </xf>
    <xf numFmtId="0" fontId="44" fillId="28" borderId="12" xfId="0" applyNumberFormat="1" applyFont="1" applyFill="1" applyBorder="1" applyAlignment="1">
      <alignment horizontal="center" vertical="top"/>
    </xf>
    <xf numFmtId="2" fontId="44" fillId="28" borderId="13" xfId="0" applyNumberFormat="1" applyFont="1" applyFill="1" applyBorder="1" applyAlignment="1">
      <alignment horizontal="center"/>
    </xf>
    <xf numFmtId="2" fontId="44" fillId="28" borderId="0" xfId="0" applyNumberFormat="1" applyFont="1" applyFill="1" applyBorder="1" applyAlignment="1">
      <alignment horizontal="center"/>
    </xf>
    <xf numFmtId="2" fontId="44" fillId="28" borderId="12" xfId="0" applyNumberFormat="1" applyFont="1" applyFill="1" applyBorder="1" applyAlignment="1">
      <alignment horizontal="center"/>
    </xf>
    <xf numFmtId="0" fontId="44" fillId="28" borderId="9" xfId="0" applyNumberFormat="1" applyFont="1" applyFill="1" applyBorder="1" applyAlignment="1">
      <alignment horizontal="left"/>
    </xf>
    <xf numFmtId="0" fontId="44" fillId="28" borderId="13" xfId="0" applyNumberFormat="1" applyFont="1" applyFill="1" applyBorder="1" applyAlignment="1">
      <alignment horizontal="left" vertical="top" wrapText="1"/>
    </xf>
    <xf numFmtId="0" fontId="44" fillId="28" borderId="0" xfId="0" applyNumberFormat="1" applyFont="1" applyFill="1" applyBorder="1" applyAlignment="1">
      <alignment horizontal="left" vertical="top" wrapText="1"/>
    </xf>
    <xf numFmtId="0" fontId="44" fillId="28" borderId="157" xfId="0" applyNumberFormat="1" applyFont="1" applyFill="1" applyBorder="1" applyAlignment="1">
      <alignment horizontal="left" vertical="top" wrapText="1"/>
    </xf>
    <xf numFmtId="191" fontId="58" fillId="28" borderId="13" xfId="0" applyNumberFormat="1" applyFont="1" applyFill="1" applyBorder="1" applyAlignment="1">
      <alignment horizontal="center"/>
    </xf>
    <xf numFmtId="191" fontId="58" fillId="28" borderId="0" xfId="0" applyNumberFormat="1" applyFont="1" applyFill="1" applyBorder="1" applyAlignment="1">
      <alignment horizontal="center"/>
    </xf>
    <xf numFmtId="191" fontId="58" fillId="28" borderId="12" xfId="0" applyNumberFormat="1" applyFont="1" applyFill="1" applyBorder="1" applyAlignment="1">
      <alignment horizontal="center"/>
    </xf>
    <xf numFmtId="208" fontId="60" fillId="28" borderId="13" xfId="0" applyNumberFormat="1" applyFont="1" applyFill="1" applyBorder="1" applyAlignment="1">
      <alignment horizontal="center"/>
    </xf>
    <xf numFmtId="208" fontId="60" fillId="28" borderId="0" xfId="0" applyNumberFormat="1" applyFont="1" applyFill="1" applyBorder="1" applyAlignment="1">
      <alignment horizontal="center"/>
    </xf>
    <xf numFmtId="208" fontId="60" fillId="28" borderId="12" xfId="0" applyNumberFormat="1" applyFont="1" applyFill="1" applyBorder="1" applyAlignment="1">
      <alignment horizontal="center"/>
    </xf>
    <xf numFmtId="210" fontId="60" fillId="28" borderId="13" xfId="0" applyNumberFormat="1" applyFont="1" applyFill="1" applyBorder="1" applyAlignment="1">
      <alignment horizontal="center"/>
    </xf>
    <xf numFmtId="210" fontId="60" fillId="28" borderId="0" xfId="0" applyNumberFormat="1" applyFont="1" applyFill="1" applyBorder="1" applyAlignment="1">
      <alignment horizontal="center"/>
    </xf>
    <xf numFmtId="210" fontId="60" fillId="28" borderId="12" xfId="0" applyNumberFormat="1" applyFont="1" applyFill="1" applyBorder="1" applyAlignment="1">
      <alignment horizontal="center"/>
    </xf>
    <xf numFmtId="218" fontId="60" fillId="28" borderId="58" xfId="0" applyNumberFormat="1" applyFont="1" applyFill="1" applyBorder="1" applyAlignment="1">
      <alignment horizontal="center"/>
    </xf>
    <xf numFmtId="218" fontId="60" fillId="28" borderId="3" xfId="0" applyNumberFormat="1" applyFont="1" applyFill="1" applyBorder="1" applyAlignment="1">
      <alignment horizontal="center"/>
    </xf>
    <xf numFmtId="218" fontId="60" fillId="28" borderId="53" xfId="0" applyNumberFormat="1" applyFont="1" applyFill="1" applyBorder="1" applyAlignment="1">
      <alignment horizontal="center"/>
    </xf>
    <xf numFmtId="0" fontId="58" fillId="28" borderId="13" xfId="0" applyNumberFormat="1" applyFont="1" applyFill="1" applyBorder="1" applyAlignment="1">
      <alignment horizontal="center"/>
    </xf>
    <xf numFmtId="0" fontId="58" fillId="28" borderId="0" xfId="0" applyNumberFormat="1" applyFont="1" applyFill="1" applyBorder="1" applyAlignment="1">
      <alignment horizontal="center"/>
    </xf>
    <xf numFmtId="0" fontId="58" fillId="28" borderId="12" xfId="0" applyNumberFormat="1" applyFont="1" applyFill="1" applyBorder="1" applyAlignment="1">
      <alignment horizontal="center"/>
    </xf>
    <xf numFmtId="0" fontId="58" fillId="28" borderId="13" xfId="0" applyNumberFormat="1" applyFont="1" applyFill="1" applyBorder="1" applyAlignment="1">
      <alignment horizontal="center" wrapText="1" shrinkToFit="1"/>
    </xf>
    <xf numFmtId="0" fontId="58" fillId="28" borderId="0" xfId="0" applyNumberFormat="1" applyFont="1" applyFill="1" applyBorder="1" applyAlignment="1">
      <alignment horizontal="center" wrapText="1" shrinkToFit="1"/>
    </xf>
    <xf numFmtId="0" fontId="58" fillId="28" borderId="12" xfId="0" applyNumberFormat="1" applyFont="1" applyFill="1" applyBorder="1" applyAlignment="1">
      <alignment horizontal="center" wrapText="1" shrinkToFit="1"/>
    </xf>
    <xf numFmtId="0" fontId="44" fillId="28" borderId="13" xfId="0" applyNumberFormat="1" applyFont="1" applyFill="1" applyBorder="1" applyAlignment="1">
      <alignment horizontal="center" shrinkToFit="1"/>
    </xf>
    <xf numFmtId="0" fontId="44" fillId="28" borderId="0" xfId="0" applyNumberFormat="1" applyFont="1" applyFill="1" applyBorder="1" applyAlignment="1">
      <alignment horizontal="center" shrinkToFit="1"/>
    </xf>
    <xf numFmtId="0" fontId="44" fillId="28" borderId="12" xfId="0" applyNumberFormat="1" applyFont="1" applyFill="1" applyBorder="1" applyAlignment="1">
      <alignment horizontal="center" shrinkToFit="1"/>
    </xf>
    <xf numFmtId="0" fontId="94" fillId="0" borderId="0" xfId="0" applyFont="1" applyAlignment="1" applyProtection="1">
      <alignment horizontal="center"/>
      <protection hidden="1"/>
    </xf>
    <xf numFmtId="0" fontId="17" fillId="0" borderId="22" xfId="0" applyFont="1" applyBorder="1" applyAlignment="1" applyProtection="1">
      <alignment horizontal="center" vertical="center"/>
    </xf>
    <xf numFmtId="0" fontId="11" fillId="2" borderId="13" xfId="0" applyFont="1" applyFill="1" applyBorder="1" applyAlignment="1" applyProtection="1">
      <alignment horizontal="center" vertical="center"/>
      <protection locked="0"/>
    </xf>
    <xf numFmtId="0" fontId="11" fillId="2" borderId="12" xfId="0" applyFont="1" applyFill="1" applyBorder="1" applyAlignment="1" applyProtection="1">
      <alignment horizontal="center" vertical="center"/>
      <protection locked="0"/>
    </xf>
    <xf numFmtId="0" fontId="11" fillId="2" borderId="58" xfId="0" applyFont="1" applyFill="1" applyBorder="1" applyAlignment="1" applyProtection="1">
      <alignment horizontal="center" vertical="center"/>
      <protection locked="0"/>
    </xf>
    <xf numFmtId="0" fontId="11" fillId="2" borderId="53" xfId="0" applyFont="1" applyFill="1" applyBorder="1" applyAlignment="1" applyProtection="1">
      <alignment horizontal="center" vertical="center"/>
      <protection locked="0"/>
    </xf>
    <xf numFmtId="0" fontId="57" fillId="26" borderId="8" xfId="0" applyFont="1" applyFill="1" applyBorder="1" applyAlignment="1" applyProtection="1">
      <alignment horizontal="left" vertical="center"/>
      <protection locked="0"/>
    </xf>
    <xf numFmtId="0" fontId="57" fillId="26" borderId="4" xfId="0" applyFont="1" applyFill="1" applyBorder="1" applyAlignment="1" applyProtection="1">
      <alignment horizontal="left" vertical="center"/>
      <protection locked="0"/>
    </xf>
    <xf numFmtId="0" fontId="57" fillId="26" borderId="6" xfId="0" applyFont="1" applyFill="1" applyBorder="1" applyAlignment="1" applyProtection="1">
      <alignment horizontal="left" vertical="center"/>
      <protection locked="0"/>
    </xf>
    <xf numFmtId="0" fontId="57" fillId="26" borderId="2" xfId="0" applyFont="1" applyFill="1" applyBorder="1" applyAlignment="1" applyProtection="1">
      <alignment horizontal="left" vertical="center"/>
      <protection locked="0"/>
    </xf>
    <xf numFmtId="0" fontId="57" fillId="26" borderId="0" xfId="0" applyFont="1" applyFill="1" applyBorder="1" applyAlignment="1" applyProtection="1">
      <alignment horizontal="left" vertical="center"/>
      <protection locked="0"/>
    </xf>
    <xf numFmtId="0" fontId="57" fillId="26" borderId="5" xfId="0" applyFont="1" applyFill="1" applyBorder="1" applyAlignment="1" applyProtection="1">
      <alignment horizontal="left" vertical="center"/>
      <protection locked="0"/>
    </xf>
    <xf numFmtId="0" fontId="57" fillId="26" borderId="11" xfId="0" applyFont="1" applyFill="1" applyBorder="1" applyAlignment="1" applyProtection="1">
      <alignment horizontal="left" vertical="center"/>
      <protection locked="0"/>
    </xf>
    <xf numFmtId="0" fontId="57" fillId="26" borderId="22" xfId="0" applyFont="1" applyFill="1" applyBorder="1" applyAlignment="1" applyProtection="1">
      <alignment horizontal="left" vertical="center"/>
      <protection locked="0"/>
    </xf>
    <xf numFmtId="0" fontId="57" fillId="26" borderId="23" xfId="0" applyFont="1" applyFill="1" applyBorder="1" applyAlignment="1" applyProtection="1">
      <alignment horizontal="left" vertical="center"/>
      <protection locked="0"/>
    </xf>
    <xf numFmtId="0" fontId="11" fillId="26" borderId="4" xfId="0" applyFont="1" applyFill="1" applyBorder="1" applyAlignment="1" applyProtection="1">
      <alignment horizontal="center" vertical="center"/>
    </xf>
    <xf numFmtId="182" fontId="11" fillId="26" borderId="4" xfId="0" applyNumberFormat="1" applyFont="1" applyFill="1" applyBorder="1" applyAlignment="1" applyProtection="1">
      <alignment horizontal="center" vertical="center"/>
    </xf>
    <xf numFmtId="0" fontId="14" fillId="0" borderId="46" xfId="0" applyFont="1" applyBorder="1" applyAlignment="1" applyProtection="1">
      <alignment horizontal="left" vertical="center"/>
      <protection locked="0"/>
    </xf>
    <xf numFmtId="0" fontId="14" fillId="0" borderId="40" xfId="0" applyFont="1" applyBorder="1" applyAlignment="1" applyProtection="1">
      <alignment horizontal="left" vertical="center"/>
      <protection locked="0"/>
    </xf>
    <xf numFmtId="0" fontId="14" fillId="0" borderId="65" xfId="0" applyFont="1" applyBorder="1" applyAlignment="1" applyProtection="1">
      <alignment horizontal="left" vertical="center"/>
      <protection locked="0"/>
    </xf>
    <xf numFmtId="0" fontId="18" fillId="16" borderId="33" xfId="0" applyFont="1" applyFill="1" applyBorder="1" applyAlignment="1" applyProtection="1">
      <alignment horizontal="center" vertical="center"/>
    </xf>
    <xf numFmtId="0" fontId="14" fillId="0" borderId="46" xfId="0" applyNumberFormat="1" applyFont="1" applyFill="1" applyBorder="1" applyAlignment="1" applyProtection="1">
      <alignment horizontal="center" vertical="center"/>
      <protection locked="0"/>
    </xf>
    <xf numFmtId="0" fontId="14" fillId="0" borderId="43" xfId="0" applyNumberFormat="1" applyFont="1" applyFill="1" applyBorder="1" applyAlignment="1" applyProtection="1">
      <alignment horizontal="center" vertical="center"/>
      <protection locked="0"/>
    </xf>
    <xf numFmtId="179" fontId="14" fillId="26" borderId="46" xfId="0" applyNumberFormat="1" applyFont="1" applyFill="1" applyBorder="1" applyAlignment="1" applyProtection="1">
      <alignment horizontal="center" vertical="center"/>
    </xf>
    <xf numFmtId="179" fontId="14" fillId="26" borderId="43" xfId="0" applyNumberFormat="1" applyFont="1" applyFill="1" applyBorder="1" applyAlignment="1" applyProtection="1">
      <alignment horizontal="center" vertical="center"/>
    </xf>
    <xf numFmtId="0" fontId="14" fillId="0" borderId="47" xfId="0" applyFont="1" applyBorder="1" applyAlignment="1" applyProtection="1">
      <alignment horizontal="left" vertical="top" wrapText="1"/>
      <protection locked="0"/>
    </xf>
    <xf numFmtId="0" fontId="14" fillId="0" borderId="59" xfId="0" applyFont="1" applyBorder="1" applyAlignment="1" applyProtection="1">
      <alignment horizontal="left" vertical="top" wrapText="1"/>
      <protection locked="0"/>
    </xf>
    <xf numFmtId="0" fontId="14" fillId="0" borderId="98" xfId="0" applyFont="1" applyBorder="1" applyAlignment="1" applyProtection="1">
      <alignment horizontal="left" vertical="top" wrapText="1"/>
      <protection locked="0"/>
    </xf>
    <xf numFmtId="0" fontId="14" fillId="0" borderId="24" xfId="0" applyFont="1" applyBorder="1" applyAlignment="1" applyProtection="1">
      <alignment horizontal="left" vertical="top" wrapText="1"/>
      <protection locked="0"/>
    </xf>
    <xf numFmtId="0" fontId="14" fillId="0" borderId="0" xfId="0" applyFont="1" applyBorder="1" applyAlignment="1" applyProtection="1">
      <alignment horizontal="left" vertical="top" wrapText="1"/>
      <protection locked="0"/>
    </xf>
    <xf numFmtId="0" fontId="14" fillId="0" borderId="5" xfId="0" applyFont="1" applyBorder="1" applyAlignment="1" applyProtection="1">
      <alignment horizontal="left" vertical="top" wrapText="1"/>
      <protection locked="0"/>
    </xf>
    <xf numFmtId="0" fontId="14" fillId="0" borderId="117" xfId="0" applyFont="1" applyBorder="1" applyAlignment="1" applyProtection="1">
      <alignment horizontal="left" vertical="top" wrapText="1"/>
      <protection locked="0"/>
    </xf>
    <xf numFmtId="0" fontId="14" fillId="0" borderId="3" xfId="0" applyFont="1" applyBorder="1" applyAlignment="1" applyProtection="1">
      <alignment horizontal="left" vertical="top" wrapText="1"/>
      <protection locked="0"/>
    </xf>
    <xf numFmtId="0" fontId="14" fillId="0" borderId="18" xfId="0" applyFont="1" applyBorder="1" applyAlignment="1" applyProtection="1">
      <alignment horizontal="left" vertical="top" wrapText="1"/>
      <protection locked="0"/>
    </xf>
    <xf numFmtId="0" fontId="120" fillId="26" borderId="0" xfId="0" applyFont="1" applyFill="1" applyBorder="1" applyAlignment="1" applyProtection="1">
      <alignment horizontal="right" vertical="center"/>
    </xf>
    <xf numFmtId="0" fontId="120" fillId="26" borderId="157" xfId="0" applyFont="1" applyFill="1" applyBorder="1" applyAlignment="1" applyProtection="1">
      <alignment horizontal="right" vertical="center"/>
    </xf>
    <xf numFmtId="180" fontId="14" fillId="0" borderId="112" xfId="0" applyNumberFormat="1" applyFont="1" applyBorder="1" applyAlignment="1" applyProtection="1">
      <alignment horizontal="center" vertical="center"/>
      <protection locked="0"/>
    </xf>
    <xf numFmtId="180" fontId="14" fillId="0" borderId="54" xfId="0" applyNumberFormat="1" applyFont="1" applyBorder="1" applyAlignment="1" applyProtection="1">
      <alignment horizontal="center" vertical="center"/>
      <protection locked="0"/>
    </xf>
    <xf numFmtId="180" fontId="14" fillId="0" borderId="92" xfId="0" applyNumberFormat="1" applyFont="1" applyBorder="1" applyAlignment="1" applyProtection="1">
      <alignment horizontal="center" vertical="center"/>
      <protection locked="0"/>
    </xf>
    <xf numFmtId="0" fontId="14" fillId="0" borderId="112" xfId="0" applyFont="1" applyFill="1" applyBorder="1" applyAlignment="1" applyProtection="1">
      <alignment horizontal="center" vertical="center"/>
      <protection locked="0"/>
    </xf>
    <xf numFmtId="0" fontId="14" fillId="0" borderId="54" xfId="0" applyFont="1" applyFill="1" applyBorder="1" applyAlignment="1" applyProtection="1">
      <alignment horizontal="center" vertical="center"/>
      <protection locked="0"/>
    </xf>
    <xf numFmtId="0" fontId="14" fillId="0" borderId="86" xfId="0" applyFont="1" applyFill="1" applyBorder="1" applyAlignment="1" applyProtection="1">
      <alignment horizontal="center" vertical="center"/>
      <protection locked="0"/>
    </xf>
    <xf numFmtId="0" fontId="18" fillId="6" borderId="46" xfId="0" applyFont="1" applyFill="1" applyBorder="1" applyAlignment="1" applyProtection="1">
      <alignment horizontal="center" vertical="center"/>
      <protection locked="0"/>
    </xf>
    <xf numFmtId="0" fontId="18" fillId="6" borderId="40" xfId="0" applyFont="1" applyFill="1" applyBorder="1" applyAlignment="1" applyProtection="1">
      <alignment horizontal="center" vertical="center"/>
      <protection locked="0"/>
    </xf>
    <xf numFmtId="0" fontId="18" fillId="6" borderId="65" xfId="0" applyFont="1" applyFill="1" applyBorder="1" applyAlignment="1" applyProtection="1">
      <alignment horizontal="center" vertical="center"/>
      <protection locked="0"/>
    </xf>
    <xf numFmtId="0" fontId="14" fillId="0" borderId="46" xfId="0" applyFont="1" applyFill="1" applyBorder="1" applyAlignment="1" applyProtection="1">
      <alignment horizontal="center" vertical="center"/>
      <protection locked="0"/>
    </xf>
    <xf numFmtId="0" fontId="14" fillId="0" borderId="40" xfId="0" applyFont="1" applyFill="1" applyBorder="1" applyAlignment="1" applyProtection="1">
      <alignment horizontal="center" vertical="center"/>
      <protection locked="0"/>
    </xf>
    <xf numFmtId="0" fontId="14" fillId="0" borderId="43" xfId="0" applyFont="1" applyFill="1" applyBorder="1" applyAlignment="1" applyProtection="1">
      <alignment horizontal="center" vertical="center"/>
      <protection locked="0"/>
    </xf>
    <xf numFmtId="0" fontId="14" fillId="0" borderId="46" xfId="0" applyFont="1" applyBorder="1" applyAlignment="1" applyProtection="1">
      <alignment horizontal="center" vertical="center"/>
      <protection locked="0"/>
    </xf>
    <xf numFmtId="0" fontId="14" fillId="0" borderId="40" xfId="0" applyFont="1" applyBorder="1" applyAlignment="1" applyProtection="1">
      <alignment horizontal="center" vertical="center"/>
      <protection locked="0"/>
    </xf>
    <xf numFmtId="0" fontId="14" fillId="0" borderId="43" xfId="0" applyFont="1" applyBorder="1" applyAlignment="1" applyProtection="1">
      <alignment horizontal="center" vertical="center"/>
      <protection locked="0"/>
    </xf>
    <xf numFmtId="0" fontId="2" fillId="43" borderId="124" xfId="5" applyFont="1" applyFill="1" applyBorder="1" applyAlignment="1" applyProtection="1">
      <alignment horizontal="center" vertical="center" wrapText="1"/>
    </xf>
    <xf numFmtId="0" fontId="11" fillId="26" borderId="24" xfId="5" applyFont="1" applyFill="1" applyBorder="1" applyAlignment="1" applyProtection="1">
      <alignment horizontal="right" vertical="center"/>
    </xf>
    <xf numFmtId="0" fontId="11" fillId="26" borderId="0" xfId="5" applyFont="1" applyFill="1" applyBorder="1" applyAlignment="1" applyProtection="1">
      <alignment horizontal="right" vertical="center"/>
    </xf>
    <xf numFmtId="0" fontId="11" fillId="26" borderId="114" xfId="5" applyFont="1" applyFill="1" applyBorder="1" applyAlignment="1" applyProtection="1">
      <alignment horizontal="right" vertical="center"/>
    </xf>
    <xf numFmtId="0" fontId="11" fillId="26" borderId="4" xfId="5" applyFont="1" applyFill="1" applyBorder="1" applyAlignment="1" applyProtection="1">
      <alignment horizontal="center" vertical="center"/>
    </xf>
    <xf numFmtId="0" fontId="11" fillId="26" borderId="6" xfId="5" applyFont="1" applyFill="1" applyBorder="1" applyAlignment="1" applyProtection="1">
      <alignment horizontal="center" vertical="center"/>
    </xf>
    <xf numFmtId="0" fontId="2" fillId="26" borderId="4" xfId="5" applyFont="1" applyFill="1" applyBorder="1" applyAlignment="1" applyProtection="1">
      <alignment horizontal="center" vertical="center" wrapText="1"/>
    </xf>
    <xf numFmtId="0" fontId="2" fillId="26" borderId="15" xfId="5" applyFont="1" applyFill="1" applyBorder="1" applyAlignment="1" applyProtection="1">
      <alignment horizontal="center" vertical="center" wrapText="1"/>
    </xf>
    <xf numFmtId="0" fontId="11" fillId="28" borderId="13" xfId="0" applyFont="1" applyFill="1" applyBorder="1" applyAlignment="1" applyProtection="1">
      <alignment horizontal="center" vertical="center"/>
      <protection locked="0"/>
    </xf>
    <xf numFmtId="0" fontId="11" fillId="28" borderId="12" xfId="0" applyFont="1" applyFill="1" applyBorder="1" applyAlignment="1" applyProtection="1">
      <alignment horizontal="center" vertical="center"/>
      <protection locked="0"/>
    </xf>
    <xf numFmtId="0" fontId="11" fillId="28" borderId="58" xfId="0" applyFont="1" applyFill="1" applyBorder="1" applyAlignment="1" applyProtection="1">
      <alignment horizontal="center" vertical="center"/>
      <protection locked="0"/>
    </xf>
    <xf numFmtId="0" fontId="11" fillId="28" borderId="53" xfId="0" applyFont="1" applyFill="1" applyBorder="1" applyAlignment="1" applyProtection="1">
      <alignment horizontal="center" vertical="center"/>
      <protection locked="0"/>
    </xf>
    <xf numFmtId="0" fontId="11" fillId="28" borderId="0" xfId="0" applyFont="1" applyFill="1" applyBorder="1" applyAlignment="1" applyProtection="1">
      <alignment horizontal="center" vertical="center"/>
      <protection locked="0"/>
    </xf>
    <xf numFmtId="0" fontId="11" fillId="28" borderId="3" xfId="0" applyFont="1" applyFill="1" applyBorder="1" applyAlignment="1" applyProtection="1">
      <alignment horizontal="center" vertical="center"/>
      <protection locked="0"/>
    </xf>
    <xf numFmtId="0" fontId="14" fillId="7" borderId="46" xfId="5" applyFont="1" applyFill="1" applyBorder="1" applyAlignment="1" applyProtection="1">
      <alignment horizontal="left" vertical="center"/>
      <protection locked="0"/>
    </xf>
    <xf numFmtId="0" fontId="14" fillId="7" borderId="40" xfId="5" applyFont="1" applyFill="1" applyBorder="1" applyAlignment="1" applyProtection="1">
      <alignment horizontal="left" vertical="center"/>
      <protection locked="0"/>
    </xf>
    <xf numFmtId="0" fontId="14" fillId="7" borderId="65" xfId="5" applyFont="1" applyFill="1" applyBorder="1" applyAlignment="1" applyProtection="1">
      <alignment horizontal="left" vertical="center"/>
      <protection locked="0"/>
    </xf>
    <xf numFmtId="0" fontId="11" fillId="26" borderId="8" xfId="5" applyFont="1" applyFill="1" applyBorder="1" applyAlignment="1" applyProtection="1">
      <alignment horizontal="center" vertical="center"/>
    </xf>
    <xf numFmtId="14" fontId="11" fillId="26" borderId="4" xfId="5" applyNumberFormat="1" applyFont="1" applyFill="1" applyBorder="1" applyAlignment="1" applyProtection="1">
      <alignment horizontal="right" vertical="center"/>
    </xf>
    <xf numFmtId="14" fontId="11" fillId="26" borderId="24" xfId="5" applyNumberFormat="1" applyFont="1" applyFill="1" applyBorder="1" applyAlignment="1" applyProtection="1">
      <alignment horizontal="right" vertical="center"/>
    </xf>
    <xf numFmtId="14" fontId="11" fillId="26" borderId="0" xfId="5" applyNumberFormat="1" applyFont="1" applyFill="1" applyBorder="1" applyAlignment="1" applyProtection="1">
      <alignment horizontal="right" vertical="center"/>
    </xf>
    <xf numFmtId="180" fontId="11" fillId="26" borderId="24" xfId="5" applyNumberFormat="1" applyFont="1" applyFill="1" applyBorder="1" applyAlignment="1" applyProtection="1">
      <alignment horizontal="right" vertical="center"/>
    </xf>
    <xf numFmtId="180" fontId="11" fillId="26" borderId="0" xfId="5" applyNumberFormat="1" applyFont="1" applyFill="1" applyBorder="1" applyAlignment="1" applyProtection="1">
      <alignment horizontal="right" vertical="center"/>
    </xf>
    <xf numFmtId="180" fontId="11" fillId="26" borderId="114" xfId="5" applyNumberFormat="1" applyFont="1" applyFill="1" applyBorder="1" applyAlignment="1" applyProtection="1">
      <alignment horizontal="right" vertical="center"/>
    </xf>
    <xf numFmtId="0" fontId="17" fillId="26" borderId="8" xfId="0" applyFont="1" applyFill="1" applyBorder="1" applyAlignment="1" applyProtection="1">
      <alignment horizontal="center" vertical="center"/>
      <protection locked="0"/>
    </xf>
    <xf numFmtId="0" fontId="17" fillId="26" borderId="4" xfId="0" applyFont="1" applyFill="1" applyBorder="1" applyAlignment="1" applyProtection="1">
      <alignment horizontal="center" vertical="center"/>
      <protection locked="0"/>
    </xf>
    <xf numFmtId="0" fontId="17" fillId="26" borderId="6" xfId="0" applyFont="1" applyFill="1" applyBorder="1" applyAlignment="1" applyProtection="1">
      <alignment horizontal="center" vertical="center"/>
      <protection locked="0"/>
    </xf>
    <xf numFmtId="0" fontId="11" fillId="33" borderId="46" xfId="0" applyFont="1" applyFill="1" applyBorder="1" applyAlignment="1" applyProtection="1">
      <alignment horizontal="center" vertical="center"/>
      <protection locked="0"/>
    </xf>
    <xf numFmtId="0" fontId="11" fillId="33" borderId="40" xfId="0" applyFont="1" applyFill="1" applyBorder="1" applyAlignment="1" applyProtection="1">
      <alignment horizontal="center" vertical="center"/>
      <protection locked="0"/>
    </xf>
    <xf numFmtId="0" fontId="11" fillId="33" borderId="65" xfId="0"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0" fontId="11" fillId="2" borderId="3" xfId="0" applyFont="1" applyFill="1" applyBorder="1" applyAlignment="1" applyProtection="1">
      <alignment horizontal="center" vertical="center"/>
      <protection locked="0"/>
    </xf>
    <xf numFmtId="0" fontId="11" fillId="3" borderId="4" xfId="5" applyFont="1" applyFill="1" applyBorder="1" applyAlignment="1" applyProtection="1">
      <alignment horizontal="center" vertical="center"/>
    </xf>
    <xf numFmtId="14" fontId="11" fillId="3" borderId="24" xfId="5" applyNumberFormat="1" applyFont="1" applyFill="1" applyBorder="1" applyAlignment="1" applyProtection="1">
      <alignment horizontal="right" vertical="center"/>
    </xf>
    <xf numFmtId="14" fontId="11" fillId="3" borderId="0" xfId="5" applyNumberFormat="1" applyFont="1" applyFill="1" applyBorder="1" applyAlignment="1" applyProtection="1">
      <alignment horizontal="right" vertical="center"/>
    </xf>
    <xf numFmtId="180" fontId="11" fillId="3" borderId="24" xfId="5" applyNumberFormat="1" applyFont="1" applyFill="1" applyBorder="1" applyAlignment="1" applyProtection="1">
      <alignment horizontal="right" vertical="center"/>
    </xf>
    <xf numFmtId="180" fontId="11" fillId="3" borderId="0" xfId="5" applyNumberFormat="1" applyFont="1" applyFill="1" applyBorder="1" applyAlignment="1" applyProtection="1">
      <alignment horizontal="right" vertical="center"/>
    </xf>
    <xf numFmtId="180" fontId="11" fillId="3" borderId="114" xfId="5" applyNumberFormat="1" applyFont="1" applyFill="1" applyBorder="1" applyAlignment="1" applyProtection="1">
      <alignment horizontal="right" vertical="center"/>
    </xf>
    <xf numFmtId="0" fontId="81" fillId="32" borderId="151" xfId="5" applyFont="1" applyFill="1" applyBorder="1" applyAlignment="1" applyProtection="1">
      <alignment horizontal="center" vertical="center"/>
    </xf>
    <xf numFmtId="0" fontId="81" fillId="32" borderId="19" xfId="5" applyFont="1" applyFill="1" applyBorder="1" applyAlignment="1" applyProtection="1">
      <alignment horizontal="center" vertical="center"/>
    </xf>
    <xf numFmtId="0" fontId="81" fillId="32" borderId="152" xfId="5" applyFont="1" applyFill="1" applyBorder="1" applyAlignment="1" applyProtection="1">
      <alignment horizontal="center" vertical="center"/>
    </xf>
    <xf numFmtId="0" fontId="17" fillId="3" borderId="46" xfId="0" applyFont="1" applyFill="1" applyBorder="1" applyAlignment="1" applyProtection="1">
      <alignment horizontal="center" vertical="center"/>
    </xf>
    <xf numFmtId="0" fontId="17" fillId="3" borderId="43" xfId="0" applyFont="1" applyFill="1" applyBorder="1" applyAlignment="1" applyProtection="1">
      <alignment horizontal="center" vertical="center"/>
    </xf>
    <xf numFmtId="0" fontId="17" fillId="4" borderId="1" xfId="5" applyFont="1" applyFill="1" applyBorder="1" applyAlignment="1" applyProtection="1">
      <alignment horizontal="center" vertical="center"/>
    </xf>
    <xf numFmtId="0" fontId="11" fillId="3" borderId="8" xfId="5" applyFont="1" applyFill="1" applyBorder="1" applyAlignment="1" applyProtection="1">
      <alignment horizontal="center" vertical="center"/>
    </xf>
    <xf numFmtId="14" fontId="11" fillId="3" borderId="4" xfId="5" applyNumberFormat="1" applyFont="1" applyFill="1" applyBorder="1" applyAlignment="1" applyProtection="1">
      <alignment horizontal="right" vertical="center"/>
    </xf>
    <xf numFmtId="0" fontId="11" fillId="3" borderId="24" xfId="5" applyFont="1" applyFill="1" applyBorder="1" applyAlignment="1" applyProtection="1">
      <alignment horizontal="right" vertical="center"/>
    </xf>
    <xf numFmtId="0" fontId="11" fillId="3" borderId="0" xfId="5" applyFont="1" applyFill="1" applyBorder="1" applyAlignment="1" applyProtection="1">
      <alignment horizontal="right" vertical="center"/>
    </xf>
    <xf numFmtId="0" fontId="11" fillId="3" borderId="114" xfId="5" applyFont="1" applyFill="1" applyBorder="1" applyAlignment="1" applyProtection="1">
      <alignment horizontal="right" vertical="center"/>
    </xf>
    <xf numFmtId="0" fontId="17" fillId="3" borderId="1" xfId="5" applyFont="1" applyFill="1" applyBorder="1" applyAlignment="1" applyProtection="1">
      <alignment horizontal="center" vertical="center"/>
    </xf>
    <xf numFmtId="0" fontId="17" fillId="3" borderId="21" xfId="5" applyFont="1" applyFill="1" applyBorder="1" applyAlignment="1" applyProtection="1">
      <alignment horizontal="center" vertical="center"/>
    </xf>
    <xf numFmtId="0" fontId="0" fillId="0" borderId="1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106" fillId="44" borderId="0" xfId="0" applyFont="1" applyFill="1" applyAlignment="1">
      <alignment horizontal="left"/>
    </xf>
    <xf numFmtId="0" fontId="0" fillId="0" borderId="2" xfId="0" applyFill="1" applyBorder="1" applyProtection="1">
      <protection locked="0"/>
    </xf>
    <xf numFmtId="0" fontId="0" fillId="0" borderId="0" xfId="0" applyFill="1" applyBorder="1" applyProtection="1">
      <protection locked="0"/>
    </xf>
    <xf numFmtId="0" fontId="0" fillId="0" borderId="5" xfId="0" applyFill="1" applyBorder="1" applyProtection="1">
      <protection locked="0"/>
    </xf>
    <xf numFmtId="0" fontId="0" fillId="0" borderId="8" xfId="0" applyFill="1" applyBorder="1" applyProtection="1">
      <protection locked="0"/>
    </xf>
    <xf numFmtId="0" fontId="0" fillId="0" borderId="4" xfId="0" applyFill="1" applyBorder="1" applyProtection="1">
      <protection locked="0"/>
    </xf>
    <xf numFmtId="0" fontId="0" fillId="0" borderId="6" xfId="0" applyFill="1" applyBorder="1" applyProtection="1">
      <protection locked="0"/>
    </xf>
    <xf numFmtId="0" fontId="14" fillId="11" borderId="127" xfId="0" applyNumberFormat="1" applyFont="1" applyFill="1" applyBorder="1" applyAlignment="1" applyProtection="1">
      <alignment horizontal="left" vertical="center"/>
      <protection locked="0"/>
    </xf>
    <xf numFmtId="0" fontId="14" fillId="11" borderId="82" xfId="0" applyNumberFormat="1" applyFont="1" applyFill="1" applyBorder="1" applyAlignment="1" applyProtection="1">
      <alignment horizontal="left" vertical="center"/>
      <protection locked="0"/>
    </xf>
    <xf numFmtId="0" fontId="14" fillId="11" borderId="128" xfId="0" applyNumberFormat="1" applyFont="1" applyFill="1" applyBorder="1" applyAlignment="1" applyProtection="1">
      <alignment horizontal="left" vertical="center"/>
      <protection locked="0"/>
    </xf>
    <xf numFmtId="0" fontId="14" fillId="11" borderId="108" xfId="0" applyNumberFormat="1" applyFont="1" applyFill="1" applyBorder="1" applyAlignment="1" applyProtection="1">
      <alignment horizontal="left" vertical="center"/>
      <protection locked="0"/>
    </xf>
    <xf numFmtId="0" fontId="0" fillId="0" borderId="40" xfId="0" applyBorder="1" applyAlignment="1" applyProtection="1">
      <alignment horizontal="left" vertical="center"/>
      <protection locked="0"/>
    </xf>
    <xf numFmtId="0" fontId="0" fillId="0" borderId="126" xfId="0" applyBorder="1" applyAlignment="1" applyProtection="1">
      <alignment horizontal="left" vertical="center"/>
      <protection locked="0"/>
    </xf>
    <xf numFmtId="0" fontId="8" fillId="3" borderId="8" xfId="0" applyFont="1" applyFill="1" applyBorder="1" applyAlignment="1" applyProtection="1">
      <alignment horizontal="center" vertical="center"/>
    </xf>
    <xf numFmtId="0" fontId="8" fillId="3" borderId="4" xfId="0" applyFont="1" applyFill="1" applyBorder="1" applyAlignment="1" applyProtection="1">
      <alignment horizontal="center" vertical="center"/>
    </xf>
    <xf numFmtId="0" fontId="8" fillId="3" borderId="6" xfId="0" applyFont="1" applyFill="1" applyBorder="1" applyAlignment="1" applyProtection="1">
      <alignment horizontal="center" vertical="center"/>
    </xf>
    <xf numFmtId="0" fontId="14" fillId="11" borderId="40" xfId="0" applyNumberFormat="1" applyFont="1" applyFill="1" applyBorder="1" applyAlignment="1" applyProtection="1">
      <alignment horizontal="left" vertical="center"/>
      <protection locked="0"/>
    </xf>
    <xf numFmtId="0" fontId="14" fillId="11" borderId="126" xfId="0" applyNumberFormat="1" applyFont="1" applyFill="1" applyBorder="1" applyAlignment="1" applyProtection="1">
      <alignment horizontal="left" vertical="center"/>
      <protection locked="0"/>
    </xf>
    <xf numFmtId="172" fontId="17" fillId="3" borderId="130" xfId="0" applyNumberFormat="1" applyFont="1" applyFill="1" applyBorder="1" applyAlignment="1" applyProtection="1">
      <alignment horizontal="center" vertical="center"/>
    </xf>
    <xf numFmtId="172" fontId="17" fillId="3" borderId="125" xfId="0" applyNumberFormat="1" applyFont="1" applyFill="1" applyBorder="1" applyAlignment="1" applyProtection="1">
      <alignment horizontal="center" vertical="center"/>
    </xf>
    <xf numFmtId="172" fontId="17" fillId="3" borderId="131" xfId="0" applyNumberFormat="1" applyFont="1" applyFill="1" applyBorder="1" applyAlignment="1" applyProtection="1">
      <alignment horizontal="center" vertical="center"/>
    </xf>
    <xf numFmtId="0" fontId="57" fillId="4" borderId="4" xfId="0" applyFont="1" applyFill="1" applyBorder="1" applyAlignment="1" applyProtection="1">
      <alignment horizontal="right" vertical="center"/>
    </xf>
    <xf numFmtId="0" fontId="15" fillId="12" borderId="46" xfId="4" applyNumberFormat="1" applyFont="1" applyFill="1" applyBorder="1" applyAlignment="1" applyProtection="1">
      <alignment horizontal="center" vertical="center"/>
      <protection locked="0"/>
    </xf>
    <xf numFmtId="0" fontId="15" fillId="12" borderId="40" xfId="4" applyNumberFormat="1" applyFont="1" applyFill="1" applyBorder="1" applyAlignment="1" applyProtection="1">
      <alignment horizontal="center" vertical="center"/>
      <protection locked="0"/>
    </xf>
    <xf numFmtId="0" fontId="15" fillId="12" borderId="65" xfId="4" applyNumberFormat="1" applyFont="1" applyFill="1" applyBorder="1" applyAlignment="1" applyProtection="1">
      <alignment horizontal="center" vertical="center"/>
      <protection locked="0"/>
    </xf>
    <xf numFmtId="0" fontId="17" fillId="40" borderId="8" xfId="0" applyNumberFormat="1" applyFont="1" applyFill="1" applyBorder="1" applyAlignment="1" applyProtection="1">
      <alignment horizontal="center" vertical="top" wrapText="1"/>
    </xf>
    <xf numFmtId="0" fontId="17" fillId="40" borderId="4" xfId="0" applyNumberFormat="1" applyFont="1" applyFill="1" applyBorder="1" applyAlignment="1" applyProtection="1">
      <alignment horizontal="center" vertical="top" wrapText="1"/>
    </xf>
    <xf numFmtId="0" fontId="17" fillId="40" borderId="6" xfId="0" applyNumberFormat="1" applyFont="1" applyFill="1" applyBorder="1" applyAlignment="1" applyProtection="1">
      <alignment horizontal="center" vertical="top" wrapText="1"/>
    </xf>
    <xf numFmtId="0" fontId="17" fillId="40" borderId="2" xfId="0" applyNumberFormat="1" applyFont="1" applyFill="1" applyBorder="1" applyAlignment="1" applyProtection="1">
      <alignment horizontal="center" vertical="top" wrapText="1"/>
    </xf>
    <xf numFmtId="0" fontId="17" fillId="40" borderId="0" xfId="0" applyNumberFormat="1" applyFont="1" applyFill="1" applyBorder="1" applyAlignment="1" applyProtection="1">
      <alignment horizontal="center" vertical="top" wrapText="1"/>
    </xf>
    <xf numFmtId="0" fontId="17" fillId="40" borderId="5" xfId="0" applyNumberFormat="1" applyFont="1" applyFill="1" applyBorder="1" applyAlignment="1" applyProtection="1">
      <alignment horizontal="center" vertical="top" wrapText="1"/>
    </xf>
    <xf numFmtId="0" fontId="17" fillId="40" borderId="11" xfId="0" applyNumberFormat="1" applyFont="1" applyFill="1" applyBorder="1" applyAlignment="1" applyProtection="1">
      <alignment horizontal="center" vertical="top" wrapText="1"/>
    </xf>
    <xf numFmtId="0" fontId="17" fillId="40" borderId="22" xfId="0" applyNumberFormat="1" applyFont="1" applyFill="1" applyBorder="1" applyAlignment="1" applyProtection="1">
      <alignment horizontal="center" vertical="top" wrapText="1"/>
    </xf>
    <xf numFmtId="0" fontId="17" fillId="40" borderId="23" xfId="0" applyNumberFormat="1" applyFont="1" applyFill="1" applyBorder="1" applyAlignment="1" applyProtection="1">
      <alignment horizontal="center" vertical="top" wrapText="1"/>
    </xf>
    <xf numFmtId="0" fontId="13" fillId="2" borderId="22" xfId="0" applyFont="1" applyFill="1" applyBorder="1" applyAlignment="1" applyProtection="1">
      <alignment horizontal="center" vertical="center"/>
    </xf>
    <xf numFmtId="0" fontId="8" fillId="3" borderId="113" xfId="0" applyFont="1" applyFill="1" applyBorder="1" applyAlignment="1" applyProtection="1">
      <alignment horizontal="center" vertical="center"/>
    </xf>
    <xf numFmtId="0" fontId="8" fillId="3" borderId="3" xfId="0" applyFont="1" applyFill="1" applyBorder="1" applyAlignment="1" applyProtection="1">
      <alignment horizontal="center" vertical="center"/>
    </xf>
    <xf numFmtId="0" fontId="8" fillId="3" borderId="18" xfId="0" applyFont="1" applyFill="1" applyBorder="1" applyAlignment="1" applyProtection="1">
      <alignment horizontal="center" vertical="center"/>
    </xf>
    <xf numFmtId="2" fontId="14" fillId="0" borderId="112" xfId="3" applyNumberFormat="1" applyFont="1" applyFill="1" applyBorder="1" applyAlignment="1" applyProtection="1">
      <alignment horizontal="center" vertical="center"/>
      <protection locked="0"/>
    </xf>
    <xf numFmtId="2" fontId="14" fillId="0" borderId="92" xfId="3" applyNumberFormat="1" applyFont="1" applyFill="1" applyBorder="1" applyAlignment="1" applyProtection="1">
      <alignment horizontal="center" vertical="center"/>
      <protection locked="0"/>
    </xf>
    <xf numFmtId="2" fontId="14" fillId="0" borderId="46" xfId="3" applyNumberFormat="1" applyFont="1" applyFill="1" applyBorder="1" applyAlignment="1" applyProtection="1">
      <alignment horizontal="center" vertical="center"/>
      <protection locked="0"/>
    </xf>
    <xf numFmtId="2" fontId="14" fillId="0" borderId="43" xfId="3" applyNumberFormat="1" applyFont="1" applyFill="1" applyBorder="1" applyAlignment="1" applyProtection="1">
      <alignment horizontal="center" vertical="center"/>
      <protection locked="0"/>
    </xf>
    <xf numFmtId="0" fontId="14" fillId="0" borderId="46" xfId="3" applyNumberFormat="1" applyFont="1" applyFill="1" applyBorder="1" applyAlignment="1" applyProtection="1">
      <alignment horizontal="center" vertical="center"/>
      <protection locked="0"/>
    </xf>
    <xf numFmtId="0" fontId="14" fillId="0" borderId="43" xfId="3" applyNumberFormat="1" applyFont="1" applyFill="1" applyBorder="1" applyAlignment="1" applyProtection="1">
      <alignment horizontal="center" vertical="center"/>
      <protection locked="0"/>
    </xf>
    <xf numFmtId="0" fontId="11" fillId="26" borderId="3" xfId="0" applyFont="1" applyFill="1" applyBorder="1" applyAlignment="1" applyProtection="1">
      <alignment horizontal="right" vertical="center"/>
    </xf>
    <xf numFmtId="0" fontId="11" fillId="26" borderId="115" xfId="0" applyFont="1" applyFill="1" applyBorder="1" applyAlignment="1" applyProtection="1">
      <alignment horizontal="right" vertical="center"/>
    </xf>
    <xf numFmtId="0" fontId="11" fillId="26" borderId="4" xfId="0" applyFont="1" applyFill="1" applyBorder="1" applyAlignment="1" applyProtection="1">
      <alignment horizontal="right" vertical="center"/>
    </xf>
    <xf numFmtId="0" fontId="11" fillId="26" borderId="0" xfId="0" applyFont="1" applyFill="1" applyBorder="1" applyAlignment="1" applyProtection="1">
      <alignment horizontal="right" vertical="center"/>
    </xf>
    <xf numFmtId="0" fontId="11" fillId="26" borderId="0" xfId="0" applyNumberFormat="1" applyFont="1" applyFill="1" applyBorder="1" applyAlignment="1" applyProtection="1">
      <alignment horizontal="right" vertical="center"/>
      <protection locked="0"/>
    </xf>
    <xf numFmtId="0" fontId="11" fillId="0" borderId="59" xfId="0" applyFont="1" applyBorder="1" applyAlignment="1" applyProtection="1">
      <alignment vertical="center"/>
      <protection locked="0"/>
    </xf>
    <xf numFmtId="0" fontId="11" fillId="0" borderId="15" xfId="0" applyFont="1" applyBorder="1" applyAlignment="1" applyProtection="1">
      <alignment vertical="center"/>
      <protection locked="0"/>
    </xf>
    <xf numFmtId="2" fontId="14" fillId="0" borderId="117" xfId="3" applyNumberFormat="1" applyFont="1" applyFill="1" applyBorder="1" applyAlignment="1" applyProtection="1">
      <alignment horizontal="center" vertical="center"/>
      <protection locked="0"/>
    </xf>
    <xf numFmtId="2" fontId="14" fillId="0" borderId="3" xfId="3" applyNumberFormat="1" applyFont="1" applyFill="1" applyBorder="1" applyAlignment="1" applyProtection="1">
      <alignment horizontal="center" vertical="center"/>
      <protection locked="0"/>
    </xf>
    <xf numFmtId="186" fontId="17" fillId="26" borderId="4" xfId="0" applyNumberFormat="1" applyFont="1" applyFill="1" applyBorder="1" applyAlignment="1" applyProtection="1">
      <alignment horizontal="center" vertical="center"/>
    </xf>
    <xf numFmtId="186" fontId="17" fillId="26" borderId="6" xfId="0" applyNumberFormat="1" applyFont="1" applyFill="1" applyBorder="1" applyAlignment="1" applyProtection="1">
      <alignment horizontal="center" vertical="center"/>
    </xf>
    <xf numFmtId="0" fontId="17" fillId="26" borderId="125" xfId="0" applyFont="1" applyFill="1" applyBorder="1" applyAlignment="1" applyProtection="1">
      <alignment horizontal="center" vertical="center"/>
      <protection locked="0"/>
    </xf>
    <xf numFmtId="0" fontId="17" fillId="26" borderId="125" xfId="0" applyFont="1" applyFill="1" applyBorder="1" applyAlignment="1" applyProtection="1">
      <alignment horizontal="center" vertical="center" wrapText="1"/>
      <protection locked="0"/>
    </xf>
    <xf numFmtId="0" fontId="19" fillId="26" borderId="125" xfId="0" applyFont="1" applyFill="1" applyBorder="1" applyAlignment="1" applyProtection="1">
      <alignment horizontal="center" vertical="center" wrapText="1"/>
      <protection locked="0"/>
    </xf>
    <xf numFmtId="0" fontId="19" fillId="26" borderId="133" xfId="0" applyFont="1" applyFill="1" applyBorder="1" applyAlignment="1" applyProtection="1">
      <alignment horizontal="center" vertical="center" wrapText="1"/>
      <protection locked="0"/>
    </xf>
    <xf numFmtId="0" fontId="14" fillId="26" borderId="4" xfId="0" applyFont="1" applyFill="1" applyBorder="1" applyAlignment="1" applyProtection="1">
      <alignment horizontal="center" vertical="center"/>
    </xf>
    <xf numFmtId="0" fontId="14" fillId="26" borderId="6" xfId="0" applyFont="1" applyFill="1" applyBorder="1" applyAlignment="1" applyProtection="1">
      <alignment horizontal="center" vertical="center"/>
    </xf>
    <xf numFmtId="0" fontId="18" fillId="26" borderId="0" xfId="0" applyFont="1" applyFill="1" applyBorder="1" applyAlignment="1" applyProtection="1">
      <alignment horizontal="center" vertical="center"/>
    </xf>
    <xf numFmtId="0" fontId="18" fillId="26" borderId="5" xfId="0" applyFont="1" applyFill="1" applyBorder="1" applyAlignment="1" applyProtection="1">
      <alignment horizontal="center" vertical="center"/>
    </xf>
    <xf numFmtId="189" fontId="14" fillId="26" borderId="0" xfId="0" applyNumberFormat="1" applyFont="1" applyFill="1" applyBorder="1" applyAlignment="1" applyProtection="1">
      <alignment horizontal="center" vertical="center"/>
    </xf>
    <xf numFmtId="189" fontId="14" fillId="26" borderId="5" xfId="0" applyNumberFormat="1" applyFont="1" applyFill="1" applyBorder="1" applyAlignment="1" applyProtection="1">
      <alignment horizontal="center" vertical="center"/>
    </xf>
    <xf numFmtId="2" fontId="14" fillId="26" borderId="0" xfId="3" applyNumberFormat="1" applyFont="1" applyFill="1" applyBorder="1" applyAlignment="1" applyProtection="1">
      <alignment horizontal="center" vertical="center"/>
    </xf>
    <xf numFmtId="0" fontId="11" fillId="26" borderId="0" xfId="0" applyFont="1" applyFill="1" applyBorder="1" applyAlignment="1" applyProtection="1">
      <alignment horizontal="left" vertical="center"/>
    </xf>
    <xf numFmtId="0" fontId="18" fillId="5" borderId="73" xfId="3" applyNumberFormat="1" applyFont="1" applyFill="1" applyBorder="1" applyAlignment="1" applyProtection="1">
      <alignment horizontal="center"/>
      <protection locked="0"/>
    </xf>
    <xf numFmtId="0" fontId="18" fillId="5" borderId="88" xfId="3" applyNumberFormat="1" applyFont="1" applyFill="1" applyBorder="1" applyAlignment="1" applyProtection="1">
      <alignment horizontal="center"/>
      <protection locked="0"/>
    </xf>
    <xf numFmtId="0" fontId="14" fillId="3" borderId="4" xfId="0" applyNumberFormat="1" applyFont="1" applyFill="1" applyBorder="1" applyAlignment="1" applyProtection="1">
      <alignment horizontal="left"/>
    </xf>
    <xf numFmtId="0" fontId="14" fillId="3" borderId="6" xfId="0" applyNumberFormat="1" applyFont="1" applyFill="1" applyBorder="1" applyAlignment="1" applyProtection="1">
      <alignment horizontal="left"/>
    </xf>
    <xf numFmtId="0" fontId="18" fillId="3" borderId="0" xfId="0" applyNumberFormat="1" applyFont="1" applyFill="1" applyBorder="1" applyAlignment="1" applyProtection="1">
      <alignment horizontal="left"/>
    </xf>
    <xf numFmtId="0" fontId="18" fillId="3" borderId="5" xfId="0" applyNumberFormat="1" applyFont="1" applyFill="1" applyBorder="1" applyAlignment="1" applyProtection="1">
      <alignment horizontal="left"/>
    </xf>
    <xf numFmtId="180" fontId="14" fillId="3" borderId="22" xfId="0" applyNumberFormat="1" applyFont="1" applyFill="1" applyBorder="1" applyAlignment="1" applyProtection="1">
      <alignment horizontal="left"/>
    </xf>
    <xf numFmtId="180" fontId="14" fillId="3" borderId="23" xfId="0" applyNumberFormat="1" applyFont="1" applyFill="1" applyBorder="1" applyAlignment="1" applyProtection="1">
      <alignment horizontal="left"/>
    </xf>
    <xf numFmtId="0" fontId="8" fillId="3" borderId="8" xfId="0" applyFont="1" applyFill="1" applyBorder="1" applyAlignment="1" applyProtection="1">
      <alignment horizontal="center"/>
    </xf>
    <xf numFmtId="0" fontId="8" fillId="3" borderId="4" xfId="0" applyFont="1" applyFill="1" applyBorder="1" applyAlignment="1" applyProtection="1">
      <alignment horizontal="center"/>
    </xf>
    <xf numFmtId="0" fontId="8" fillId="3" borderId="6" xfId="0" applyFont="1" applyFill="1" applyBorder="1" applyAlignment="1" applyProtection="1">
      <alignment horizontal="center"/>
    </xf>
    <xf numFmtId="0" fontId="8" fillId="3" borderId="113" xfId="0" applyFont="1" applyFill="1" applyBorder="1" applyAlignment="1" applyProtection="1">
      <alignment horizontal="center"/>
    </xf>
    <xf numFmtId="0" fontId="8" fillId="3" borderId="3" xfId="0" applyFont="1" applyFill="1" applyBorder="1" applyAlignment="1" applyProtection="1">
      <alignment horizontal="center"/>
    </xf>
    <xf numFmtId="0" fontId="8" fillId="3" borderId="18" xfId="0" applyFont="1" applyFill="1" applyBorder="1" applyAlignment="1" applyProtection="1">
      <alignment horizontal="center"/>
    </xf>
    <xf numFmtId="0" fontId="13" fillId="2" borderId="22" xfId="0" applyFont="1" applyFill="1" applyBorder="1" applyAlignment="1" applyProtection="1">
      <alignment horizontal="center"/>
    </xf>
    <xf numFmtId="0" fontId="11" fillId="2" borderId="110" xfId="0" applyFont="1" applyFill="1" applyBorder="1" applyAlignment="1" applyProtection="1">
      <alignment horizontal="center" vertical="center"/>
      <protection locked="0"/>
    </xf>
    <xf numFmtId="0" fontId="11" fillId="2" borderId="111" xfId="0" applyFont="1" applyFill="1" applyBorder="1" applyAlignment="1" applyProtection="1">
      <alignment horizontal="center" vertical="center"/>
      <protection locked="0"/>
    </xf>
    <xf numFmtId="172" fontId="17" fillId="3" borderId="130" xfId="0" applyNumberFormat="1" applyFont="1" applyFill="1" applyBorder="1" applyAlignment="1" applyProtection="1">
      <alignment horizontal="center"/>
    </xf>
    <xf numFmtId="172" fontId="17" fillId="3" borderId="125" xfId="0" applyNumberFormat="1" applyFont="1" applyFill="1" applyBorder="1" applyAlignment="1" applyProtection="1">
      <alignment horizontal="center"/>
    </xf>
    <xf numFmtId="172" fontId="17" fillId="3" borderId="131" xfId="0" applyNumberFormat="1" applyFont="1" applyFill="1" applyBorder="1" applyAlignment="1" applyProtection="1">
      <alignment horizontal="center"/>
    </xf>
    <xf numFmtId="0" fontId="11" fillId="8" borderId="129" xfId="0" applyFont="1" applyFill="1" applyBorder="1" applyAlignment="1" applyProtection="1">
      <alignment horizontal="left"/>
      <protection locked="0"/>
    </xf>
    <xf numFmtId="0" fontId="11" fillId="8" borderId="132" xfId="0" applyFont="1" applyFill="1" applyBorder="1" applyAlignment="1" applyProtection="1">
      <alignment horizontal="left"/>
      <protection locked="0"/>
    </xf>
    <xf numFmtId="172" fontId="17" fillId="3" borderId="70" xfId="0" applyNumberFormat="1" applyFont="1" applyFill="1" applyBorder="1" applyAlignment="1" applyProtection="1">
      <alignment horizontal="center"/>
    </xf>
    <xf numFmtId="172" fontId="17" fillId="3" borderId="68" xfId="0" applyNumberFormat="1" applyFont="1" applyFill="1" applyBorder="1" applyAlignment="1" applyProtection="1">
      <alignment horizontal="center"/>
    </xf>
    <xf numFmtId="0" fontId="2" fillId="4" borderId="40" xfId="0" applyNumberFormat="1" applyFont="1" applyFill="1" applyBorder="1" applyAlignment="1" applyProtection="1">
      <alignment horizontal="left"/>
    </xf>
    <xf numFmtId="0" fontId="2" fillId="4" borderId="43" xfId="0" applyNumberFormat="1" applyFont="1" applyFill="1" applyBorder="1" applyAlignment="1" applyProtection="1">
      <alignment horizontal="left"/>
    </xf>
    <xf numFmtId="49" fontId="14" fillId="5" borderId="47" xfId="0" applyNumberFormat="1" applyFont="1" applyFill="1" applyBorder="1" applyAlignment="1" applyProtection="1">
      <alignment horizontal="center" vertical="center"/>
      <protection locked="0"/>
    </xf>
    <xf numFmtId="49" fontId="14" fillId="5" borderId="45" xfId="0" applyNumberFormat="1" applyFont="1" applyFill="1" applyBorder="1" applyAlignment="1" applyProtection="1">
      <alignment horizontal="center" vertical="center"/>
      <protection locked="0"/>
    </xf>
    <xf numFmtId="0" fontId="17" fillId="0" borderId="19" xfId="0" applyFont="1" applyBorder="1" applyAlignment="1" applyProtection="1">
      <alignment horizontal="center" vertical="center"/>
      <protection locked="0"/>
    </xf>
    <xf numFmtId="0" fontId="2" fillId="0" borderId="0" xfId="0" applyFont="1" applyAlignment="1" applyProtection="1">
      <alignment horizontal="center"/>
      <protection locked="0"/>
    </xf>
    <xf numFmtId="0" fontId="13" fillId="0" borderId="22" xfId="0" applyFont="1" applyBorder="1" applyAlignment="1" applyProtection="1">
      <alignment horizontal="center"/>
      <protection locked="0"/>
    </xf>
    <xf numFmtId="0" fontId="11" fillId="4" borderId="4" xfId="0" applyFont="1" applyFill="1" applyBorder="1" applyAlignment="1" applyProtection="1">
      <alignment horizontal="center" vertical="center"/>
      <protection locked="0"/>
    </xf>
    <xf numFmtId="182" fontId="11" fillId="3" borderId="4" xfId="0" applyNumberFormat="1" applyFont="1" applyFill="1" applyBorder="1" applyAlignment="1" applyProtection="1">
      <alignment horizontal="center" vertical="center"/>
      <protection locked="0"/>
    </xf>
    <xf numFmtId="0" fontId="11" fillId="0" borderId="0" xfId="0" applyFont="1" applyAlignment="1" applyProtection="1">
      <alignment vertical="center"/>
    </xf>
    <xf numFmtId="0" fontId="92" fillId="0" borderId="0" xfId="0" applyFont="1" applyBorder="1" applyAlignment="1" applyProtection="1">
      <alignment horizontal="center"/>
      <protection hidden="1"/>
    </xf>
    <xf numFmtId="0" fontId="92" fillId="0" borderId="160" xfId="0" applyFont="1" applyBorder="1" applyAlignment="1" applyProtection="1">
      <alignment horizontal="center"/>
      <protection hidden="1"/>
    </xf>
    <xf numFmtId="0" fontId="92" fillId="0" borderId="0" xfId="0" applyFont="1" applyProtection="1">
      <protection hidden="1"/>
    </xf>
    <xf numFmtId="0" fontId="92" fillId="0" borderId="9" xfId="0" applyFont="1" applyBorder="1" applyAlignment="1" applyProtection="1">
      <alignment horizontal="center"/>
      <protection hidden="1"/>
    </xf>
    <xf numFmtId="0" fontId="57" fillId="27" borderId="74" xfId="0" applyFont="1" applyFill="1" applyBorder="1" applyAlignment="1">
      <alignment horizontal="center"/>
    </xf>
    <xf numFmtId="0" fontId="57" fillId="27" borderId="76" xfId="0" applyFont="1" applyFill="1" applyBorder="1" applyAlignment="1">
      <alignment horizontal="center"/>
    </xf>
    <xf numFmtId="0" fontId="57" fillId="27" borderId="58" xfId="0" applyFont="1" applyFill="1" applyBorder="1" applyAlignment="1">
      <alignment horizontal="center"/>
    </xf>
    <xf numFmtId="0" fontId="57" fillId="27" borderId="53" xfId="0" applyFont="1" applyFill="1" applyBorder="1" applyAlignment="1">
      <alignment horizontal="center"/>
    </xf>
    <xf numFmtId="0" fontId="57" fillId="27" borderId="52" xfId="0" applyFont="1" applyFill="1" applyBorder="1" applyAlignment="1">
      <alignment horizontal="center"/>
    </xf>
    <xf numFmtId="0" fontId="57" fillId="27" borderId="75" xfId="0" applyFont="1" applyFill="1" applyBorder="1" applyAlignment="1">
      <alignment horizontal="center"/>
    </xf>
    <xf numFmtId="0" fontId="57" fillId="27" borderId="29" xfId="0" applyFont="1" applyFill="1" applyBorder="1" applyAlignment="1">
      <alignment horizontal="center"/>
    </xf>
    <xf numFmtId="0" fontId="57" fillId="27" borderId="9" xfId="0" applyFont="1" applyFill="1" applyBorder="1" applyAlignment="1">
      <alignment horizontal="center"/>
    </xf>
    <xf numFmtId="0" fontId="57" fillId="27" borderId="10" xfId="0" applyFont="1" applyFill="1" applyBorder="1" applyAlignment="1">
      <alignment horizontal="center"/>
    </xf>
    <xf numFmtId="0" fontId="66" fillId="27" borderId="118" xfId="0" applyFont="1" applyFill="1" applyBorder="1" applyAlignment="1">
      <alignment horizontal="center" wrapText="1"/>
    </xf>
    <xf numFmtId="0" fontId="57" fillId="27" borderId="0" xfId="0" applyFont="1" applyFill="1" applyBorder="1" applyAlignment="1">
      <alignment horizontal="center" wrapText="1"/>
    </xf>
    <xf numFmtId="0" fontId="66" fillId="27" borderId="118" xfId="0" applyFont="1" applyFill="1" applyBorder="1" applyAlignment="1">
      <alignment horizontal="center"/>
    </xf>
    <xf numFmtId="0" fontId="57" fillId="27" borderId="118" xfId="0" applyFont="1" applyFill="1" applyBorder="1" applyAlignment="1">
      <alignment horizontal="center"/>
    </xf>
    <xf numFmtId="0" fontId="57" fillId="27" borderId="0" xfId="0" applyFont="1" applyFill="1" applyBorder="1" applyAlignment="1">
      <alignment horizontal="center"/>
    </xf>
    <xf numFmtId="0" fontId="66" fillId="27" borderId="52" xfId="0" applyFont="1" applyFill="1" applyBorder="1" applyAlignment="1">
      <alignment horizontal="center"/>
    </xf>
    <xf numFmtId="9" fontId="57" fillId="27" borderId="0" xfId="16" applyFont="1" applyFill="1" applyBorder="1" applyAlignment="1">
      <alignment horizontal="center" wrapText="1"/>
    </xf>
    <xf numFmtId="9" fontId="57" fillId="27" borderId="0" xfId="16" applyFont="1" applyFill="1" applyBorder="1" applyAlignment="1">
      <alignment horizontal="center" vertical="center"/>
    </xf>
    <xf numFmtId="0" fontId="66" fillId="27" borderId="75" xfId="0" applyFont="1" applyFill="1" applyBorder="1" applyAlignment="1">
      <alignment horizontal="center"/>
    </xf>
    <xf numFmtId="0" fontId="66" fillId="27" borderId="74" xfId="0" applyFont="1" applyFill="1" applyBorder="1" applyAlignment="1">
      <alignment horizontal="center"/>
    </xf>
    <xf numFmtId="0" fontId="66" fillId="27" borderId="76" xfId="0" applyFont="1" applyFill="1" applyBorder="1" applyAlignment="1">
      <alignment horizontal="center"/>
    </xf>
    <xf numFmtId="0" fontId="66" fillId="27" borderId="75" xfId="0" applyFont="1" applyFill="1" applyBorder="1" applyAlignment="1">
      <alignment horizontal="center" wrapText="1"/>
    </xf>
    <xf numFmtId="0" fontId="66" fillId="27" borderId="76" xfId="0" applyFont="1" applyFill="1" applyBorder="1" applyAlignment="1">
      <alignment horizontal="center" wrapText="1"/>
    </xf>
    <xf numFmtId="0" fontId="66" fillId="38" borderId="75" xfId="0" applyFont="1" applyFill="1" applyBorder="1" applyAlignment="1">
      <alignment horizontal="center"/>
    </xf>
    <xf numFmtId="0" fontId="66" fillId="38" borderId="76" xfId="0" applyFont="1" applyFill="1" applyBorder="1" applyAlignment="1">
      <alignment horizontal="center"/>
    </xf>
    <xf numFmtId="0" fontId="66" fillId="27" borderId="52" xfId="0" applyFont="1" applyFill="1" applyBorder="1" applyAlignment="1">
      <alignment horizontal="center" wrapText="1"/>
    </xf>
    <xf numFmtId="0" fontId="66" fillId="27" borderId="111" xfId="0" applyFont="1" applyFill="1" applyBorder="1" applyAlignment="1">
      <alignment horizontal="center" wrapText="1"/>
    </xf>
    <xf numFmtId="0" fontId="57" fillId="27" borderId="58" xfId="0" applyFont="1" applyFill="1" applyBorder="1" applyAlignment="1">
      <alignment horizontal="left"/>
    </xf>
    <xf numFmtId="0" fontId="57" fillId="27" borderId="160" xfId="0" applyFont="1" applyFill="1" applyBorder="1" applyAlignment="1">
      <alignment horizontal="left"/>
    </xf>
    <xf numFmtId="0" fontId="85" fillId="27" borderId="0" xfId="0" applyFont="1" applyFill="1" applyBorder="1" applyAlignment="1">
      <alignment horizontal="center" wrapText="1"/>
    </xf>
    <xf numFmtId="0" fontId="85" fillId="27" borderId="157" xfId="0" applyFont="1" applyFill="1" applyBorder="1" applyAlignment="1">
      <alignment horizontal="center" wrapText="1"/>
    </xf>
    <xf numFmtId="0" fontId="66" fillId="27" borderId="156" xfId="0" applyFont="1" applyFill="1" applyBorder="1" applyAlignment="1">
      <alignment horizontal="center"/>
    </xf>
    <xf numFmtId="0" fontId="66" fillId="27" borderId="157" xfId="0" applyFont="1" applyFill="1" applyBorder="1" applyAlignment="1">
      <alignment horizontal="center"/>
    </xf>
    <xf numFmtId="9" fontId="66" fillId="27" borderId="0" xfId="16" applyFont="1" applyFill="1" applyBorder="1" applyAlignment="1">
      <alignment horizontal="center"/>
    </xf>
    <xf numFmtId="9" fontId="66" fillId="27" borderId="157" xfId="16" applyFont="1" applyFill="1" applyBorder="1" applyAlignment="1">
      <alignment horizontal="center"/>
    </xf>
    <xf numFmtId="0" fontId="66" fillId="27" borderId="160" xfId="16" applyNumberFormat="1" applyFont="1" applyFill="1" applyBorder="1" applyAlignment="1">
      <alignment horizontal="center"/>
    </xf>
    <xf numFmtId="0" fontId="66" fillId="27" borderId="53" xfId="16" applyNumberFormat="1" applyFont="1" applyFill="1" applyBorder="1" applyAlignment="1">
      <alignment horizontal="center"/>
    </xf>
    <xf numFmtId="0" fontId="57" fillId="27" borderId="29" xfId="0" applyFont="1" applyFill="1" applyBorder="1" applyAlignment="1">
      <alignment horizontal="left"/>
    </xf>
    <xf numFmtId="0" fontId="57" fillId="27" borderId="9" xfId="0" applyFont="1" applyFill="1" applyBorder="1" applyAlignment="1">
      <alignment horizontal="left"/>
    </xf>
    <xf numFmtId="0" fontId="57" fillId="27" borderId="156" xfId="0" applyFont="1" applyFill="1" applyBorder="1" applyAlignment="1">
      <alignment horizontal="left"/>
    </xf>
    <xf numFmtId="0" fontId="57" fillId="27" borderId="0" xfId="0" applyFont="1" applyFill="1" applyBorder="1" applyAlignment="1">
      <alignment horizontal="left"/>
    </xf>
    <xf numFmtId="0" fontId="83" fillId="27" borderId="29" xfId="0" applyFont="1" applyFill="1" applyBorder="1" applyAlignment="1">
      <alignment horizontal="center"/>
    </xf>
    <xf numFmtId="0" fontId="83" fillId="27" borderId="9" xfId="0" applyFont="1" applyFill="1" applyBorder="1" applyAlignment="1">
      <alignment horizontal="center"/>
    </xf>
    <xf numFmtId="0" fontId="83" fillId="27" borderId="10" xfId="0" applyFont="1" applyFill="1" applyBorder="1" applyAlignment="1">
      <alignment horizontal="center"/>
    </xf>
    <xf numFmtId="0" fontId="57" fillId="27" borderId="157" xfId="0" applyFont="1" applyFill="1" applyBorder="1" applyAlignment="1">
      <alignment horizontal="center"/>
    </xf>
    <xf numFmtId="9" fontId="57" fillId="27" borderId="9" xfId="16" applyFont="1" applyFill="1" applyBorder="1" applyAlignment="1">
      <alignment horizontal="center"/>
    </xf>
    <xf numFmtId="9" fontId="57" fillId="27" borderId="10" xfId="16" applyFont="1" applyFill="1" applyBorder="1" applyAlignment="1">
      <alignment horizontal="center"/>
    </xf>
    <xf numFmtId="0" fontId="66" fillId="27" borderId="58" xfId="0" applyFont="1" applyFill="1" applyBorder="1" applyAlignment="1">
      <alignment horizontal="center"/>
    </xf>
    <xf numFmtId="0" fontId="66" fillId="27" borderId="53" xfId="0" applyFont="1" applyFill="1" applyBorder="1" applyAlignment="1">
      <alignment horizontal="center"/>
    </xf>
    <xf numFmtId="9" fontId="66" fillId="27" borderId="156" xfId="16" applyFont="1" applyFill="1" applyBorder="1" applyAlignment="1">
      <alignment horizontal="center"/>
    </xf>
    <xf numFmtId="0" fontId="66" fillId="27" borderId="58" xfId="16" applyNumberFormat="1" applyFont="1" applyFill="1" applyBorder="1" applyAlignment="1">
      <alignment horizontal="center"/>
    </xf>
    <xf numFmtId="0" fontId="57" fillId="38" borderId="75" xfId="0" applyFont="1" applyFill="1" applyBorder="1" applyAlignment="1">
      <alignment horizontal="center"/>
    </xf>
    <xf numFmtId="0" fontId="57" fillId="38" borderId="76" xfId="0" applyFont="1" applyFill="1" applyBorder="1" applyAlignment="1">
      <alignment horizontal="center"/>
    </xf>
    <xf numFmtId="0" fontId="66" fillId="27" borderId="0" xfId="0" applyFont="1" applyFill="1" applyBorder="1" applyAlignment="1">
      <alignment horizontal="center" wrapText="1"/>
    </xf>
    <xf numFmtId="0" fontId="66" fillId="27" borderId="0" xfId="0" applyFont="1" applyFill="1" applyBorder="1" applyAlignment="1">
      <alignment horizontal="center"/>
    </xf>
    <xf numFmtId="0" fontId="58" fillId="0" borderId="75" xfId="0" applyFont="1" applyBorder="1" applyAlignment="1">
      <alignment horizontal="center" vertical="center" wrapText="1"/>
    </xf>
    <xf numFmtId="0" fontId="58" fillId="0" borderId="168" xfId="0" applyFont="1" applyBorder="1" applyAlignment="1">
      <alignment horizontal="center" vertical="center" wrapText="1"/>
    </xf>
    <xf numFmtId="0" fontId="58" fillId="0" borderId="118" xfId="0" applyFont="1" applyBorder="1" applyAlignment="1">
      <alignment horizontal="center" vertical="center" wrapText="1"/>
    </xf>
    <xf numFmtId="0" fontId="58" fillId="0" borderId="168" xfId="0" applyFont="1" applyBorder="1" applyAlignment="1">
      <alignment horizontal="center" wrapText="1"/>
    </xf>
    <xf numFmtId="0" fontId="58" fillId="0" borderId="167" xfId="0" applyFont="1" applyBorder="1" applyAlignment="1">
      <alignment horizontal="center" vertical="center" wrapText="1"/>
    </xf>
    <xf numFmtId="0" fontId="58" fillId="0" borderId="169" xfId="0" applyFont="1" applyBorder="1" applyAlignment="1">
      <alignment horizontal="center" vertical="center" wrapText="1"/>
    </xf>
    <xf numFmtId="0" fontId="39" fillId="4" borderId="4" xfId="0" applyFont="1" applyFill="1" applyBorder="1" applyAlignment="1" applyProtection="1">
      <alignment horizontal="center"/>
      <protection locked="0"/>
    </xf>
    <xf numFmtId="0" fontId="39" fillId="4" borderId="6" xfId="0" applyFont="1" applyFill="1" applyBorder="1" applyAlignment="1" applyProtection="1">
      <alignment horizontal="center"/>
      <protection locked="0"/>
    </xf>
    <xf numFmtId="0" fontId="40" fillId="4" borderId="0" xfId="0" applyFont="1" applyFill="1" applyBorder="1" applyAlignment="1" applyProtection="1">
      <alignment horizontal="center"/>
      <protection locked="0"/>
    </xf>
    <xf numFmtId="0" fontId="40" fillId="4" borderId="5" xfId="0" applyFont="1" applyFill="1" applyBorder="1" applyAlignment="1" applyProtection="1">
      <alignment horizontal="center"/>
      <protection locked="0"/>
    </xf>
    <xf numFmtId="0" fontId="2" fillId="2" borderId="13"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58" xfId="0" applyFont="1" applyFill="1" applyBorder="1" applyAlignment="1" applyProtection="1">
      <alignment horizontal="center" vertical="center"/>
      <protection locked="0"/>
    </xf>
    <xf numFmtId="0" fontId="2" fillId="2" borderId="53" xfId="0" applyFont="1" applyFill="1" applyBorder="1" applyAlignment="1" applyProtection="1">
      <alignment horizontal="center" vertical="center"/>
      <protection locked="0"/>
    </xf>
    <xf numFmtId="0" fontId="39" fillId="4" borderId="0" xfId="0" applyFont="1" applyFill="1" applyBorder="1" applyAlignment="1" applyProtection="1">
      <alignment horizontal="center"/>
      <protection locked="0"/>
    </xf>
    <xf numFmtId="180" fontId="39" fillId="4" borderId="4" xfId="0" applyNumberFormat="1" applyFont="1" applyFill="1" applyBorder="1" applyAlignment="1" applyProtection="1">
      <alignment horizontal="center"/>
      <protection locked="0"/>
    </xf>
    <xf numFmtId="0" fontId="11" fillId="3" borderId="130" xfId="0" applyFont="1" applyFill="1" applyBorder="1" applyAlignment="1" applyProtection="1">
      <alignment horizontal="center" vertical="center"/>
    </xf>
    <xf numFmtId="0" fontId="11" fillId="3" borderId="131" xfId="0" applyFont="1" applyFill="1" applyBorder="1" applyAlignment="1" applyProtection="1">
      <alignment horizontal="center" vertical="center"/>
    </xf>
    <xf numFmtId="0" fontId="10" fillId="0" borderId="3" xfId="0" applyFont="1" applyBorder="1" applyAlignment="1" applyProtection="1">
      <alignment horizontal="center" vertical="center"/>
    </xf>
  </cellXfs>
  <cellStyles count="18">
    <cellStyle name="Hyperlink" xfId="17" builtinId="8"/>
    <cellStyle name="Normal" xfId="0" builtinId="0"/>
    <cellStyle name="Normal_Dioxin Emissions Report Template v 1.4" xfId="1"/>
    <cellStyle name="Normal_flows" xfId="2"/>
    <cellStyle name="Normal_flows after (2)" xfId="3"/>
    <cellStyle name="Normal_hcs" xfId="4"/>
    <cellStyle name="Normal_Sheet1" xfId="5"/>
    <cellStyle name="Normal_TraversePoints2" xfId="6"/>
    <cellStyle name="Percent" xfId="16" builtinId="5"/>
    <cellStyle name="Style1" xfId="7"/>
    <cellStyle name="Style2" xfId="8"/>
    <cellStyle name="Style3" xfId="9"/>
    <cellStyle name="Style4" xfId="10"/>
    <cellStyle name="Style5" xfId="11"/>
    <cellStyle name="Style6" xfId="12"/>
    <cellStyle name="Style7" xfId="13"/>
    <cellStyle name="Style8" xfId="14"/>
    <cellStyle name="StyleDate" xfId="15"/>
  </cellStyles>
  <dxfs count="211">
    <dxf>
      <font>
        <b/>
        <i val="0"/>
        <condense val="0"/>
        <extend val="0"/>
        <color indexed="10"/>
      </font>
    </dxf>
    <dxf>
      <font>
        <b/>
        <i val="0"/>
        <condense val="0"/>
        <extend val="0"/>
        <color indexed="10"/>
      </font>
    </dxf>
    <dxf>
      <font>
        <b/>
        <i val="0"/>
        <condense val="0"/>
        <extend val="0"/>
        <color indexed="10"/>
      </font>
    </dxf>
    <dxf>
      <fill>
        <patternFill>
          <bgColor rgb="FFFFC000"/>
        </patternFill>
      </fill>
    </dxf>
    <dxf>
      <fill>
        <patternFill>
          <bgColor theme="9" tint="0.39994506668294322"/>
        </patternFill>
      </fill>
    </dxf>
    <dxf>
      <font>
        <b/>
        <i val="0"/>
      </font>
      <fill>
        <patternFill>
          <bgColor rgb="FFFFC000"/>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8" tint="0.59996337778862885"/>
        </patternFill>
      </fill>
    </dxf>
    <dxf>
      <font>
        <b/>
        <i val="0"/>
      </font>
      <fill>
        <patternFill>
          <bgColor rgb="FFFFC000"/>
        </patternFill>
      </fill>
    </dxf>
    <dxf>
      <fill>
        <patternFill>
          <bgColor theme="8"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rgb="FFFFC000"/>
        </patternFill>
      </fill>
    </dxf>
    <dxf>
      <font>
        <b/>
        <i val="0"/>
      </font>
      <fill>
        <patternFill>
          <bgColor theme="5" tint="0.59996337778862885"/>
        </patternFill>
      </fill>
    </dxf>
    <dxf>
      <font>
        <b/>
        <i val="0"/>
      </font>
      <fill>
        <patternFill>
          <bgColor theme="5" tint="0.59996337778862885"/>
        </patternFill>
      </fill>
    </dxf>
    <dxf>
      <fill>
        <patternFill>
          <bgColor rgb="FFFFC000"/>
        </patternFill>
      </fill>
    </dxf>
    <dxf>
      <fill>
        <patternFill>
          <bgColor rgb="FFFFC000"/>
        </patternFill>
      </fill>
    </dxf>
    <dxf>
      <fill>
        <patternFill>
          <bgColor theme="9" tint="0.39994506668294322"/>
        </patternFill>
      </fill>
    </dxf>
    <dxf>
      <font>
        <b/>
        <i val="0"/>
      </font>
      <fill>
        <patternFill>
          <bgColor rgb="FFFFC000"/>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rgb="FFFFC000"/>
        </patternFill>
      </fill>
    </dxf>
    <dxf>
      <fill>
        <patternFill>
          <bgColor theme="9" tint="0.39994506668294322"/>
        </patternFill>
      </fill>
    </dxf>
    <dxf>
      <font>
        <b/>
        <i val="0"/>
      </font>
      <fill>
        <patternFill>
          <bgColor rgb="FFFFC000"/>
        </patternFill>
      </fill>
    </dxf>
    <dxf>
      <fill>
        <patternFill>
          <bgColor rgb="FFFFC000"/>
        </patternFill>
      </fill>
    </dxf>
    <dxf>
      <fill>
        <patternFill>
          <bgColor theme="9" tint="0.39994506668294322"/>
        </patternFill>
      </fill>
    </dxf>
    <dxf>
      <font>
        <b/>
        <i val="0"/>
      </font>
      <fill>
        <patternFill>
          <bgColor rgb="FFFFC000"/>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59996337778862885"/>
        </patternFill>
      </fill>
    </dxf>
    <dxf>
      <fill>
        <patternFill>
          <bgColor rgb="FFFFC000"/>
        </patternFill>
      </fill>
    </dxf>
    <dxf>
      <fill>
        <patternFill>
          <bgColor theme="9" tint="0.39994506668294322"/>
        </patternFill>
      </fill>
    </dxf>
    <dxf>
      <font>
        <b/>
        <i val="0"/>
      </font>
      <fill>
        <patternFill>
          <bgColor rgb="FFFFC000"/>
        </patternFill>
      </fill>
    </dxf>
    <dxf>
      <fill>
        <patternFill>
          <bgColor rgb="FFFFC000"/>
        </patternFill>
      </fill>
    </dxf>
    <dxf>
      <fill>
        <patternFill>
          <bgColor theme="9" tint="0.39994506668294322"/>
        </patternFill>
      </fill>
    </dxf>
    <dxf>
      <font>
        <b/>
        <i val="0"/>
      </font>
      <fill>
        <patternFill>
          <bgColor theme="5" tint="0.59996337778862885"/>
        </patternFill>
      </fill>
    </dxf>
    <dxf>
      <font>
        <b/>
        <i val="0"/>
      </font>
      <fill>
        <patternFill>
          <bgColor rgb="FFFFC000"/>
        </patternFill>
      </fill>
    </dxf>
    <dxf>
      <font>
        <b/>
        <i val="0"/>
      </font>
      <fill>
        <patternFill>
          <bgColor theme="5" tint="0.59996337778862885"/>
        </patternFill>
      </fill>
    </dxf>
    <dxf>
      <font>
        <b/>
        <i val="0"/>
      </font>
      <fill>
        <patternFill>
          <bgColor theme="5" tint="0.59996337778862885"/>
        </patternFill>
      </fill>
    </dxf>
    <dxf>
      <fill>
        <patternFill>
          <bgColor theme="9" tint="0.39994506668294322"/>
        </patternFill>
      </fill>
    </dxf>
    <dxf>
      <font>
        <b/>
        <i val="0"/>
      </font>
      <fill>
        <patternFill>
          <bgColor theme="5" tint="0.59996337778862885"/>
        </patternFill>
      </fill>
    </dxf>
    <dxf>
      <fill>
        <patternFill>
          <bgColor rgb="FFFFC000"/>
        </patternFill>
      </fill>
    </dxf>
    <dxf>
      <fill>
        <patternFill>
          <bgColor theme="9" tint="0.39994506668294322"/>
        </patternFill>
      </fill>
    </dxf>
    <dxf>
      <font>
        <b/>
        <i val="0"/>
      </font>
      <fill>
        <patternFill>
          <bgColor theme="5" tint="0.59996337778862885"/>
        </patternFill>
      </fill>
    </dxf>
    <dxf>
      <font>
        <b/>
        <i val="0"/>
      </font>
      <fill>
        <patternFill>
          <bgColor rgb="FFFFC000"/>
        </patternFill>
      </fill>
    </dxf>
    <dxf>
      <font>
        <b/>
        <i val="0"/>
      </font>
      <fill>
        <patternFill>
          <bgColor theme="5" tint="0.59996337778862885"/>
        </patternFill>
      </fill>
    </dxf>
    <dxf>
      <font>
        <b/>
        <i val="0"/>
      </font>
      <fill>
        <patternFill>
          <bgColor theme="5" tint="0.59996337778862885"/>
        </patternFill>
      </fill>
    </dxf>
    <dxf>
      <font>
        <b/>
        <i val="0"/>
        <condense val="0"/>
        <extend val="0"/>
        <color indexed="17"/>
      </font>
    </dxf>
    <dxf>
      <font>
        <b val="0"/>
        <i val="0"/>
        <color rgb="FFFF0000"/>
      </font>
    </dxf>
    <dxf>
      <font>
        <b val="0"/>
        <i val="0"/>
        <color rgb="FFFF0000"/>
      </font>
    </dxf>
    <dxf>
      <font>
        <b/>
        <i val="0"/>
        <condense val="0"/>
        <extend val="0"/>
        <color indexed="10"/>
      </font>
    </dxf>
    <dxf>
      <font>
        <b/>
        <i val="0"/>
        <condense val="0"/>
        <extend val="0"/>
        <color indexed="10"/>
      </font>
    </dxf>
    <dxf>
      <font>
        <b/>
        <i val="0"/>
        <condense val="0"/>
        <extend val="0"/>
      </font>
    </dxf>
    <dxf>
      <font>
        <b/>
        <i val="0"/>
        <condense val="0"/>
        <extend val="0"/>
        <color indexed="12"/>
      </font>
    </dxf>
    <dxf>
      <fill>
        <patternFill>
          <bgColor theme="6" tint="0.39994506668294322"/>
        </patternFill>
      </fill>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ill>
        <patternFill>
          <bgColor theme="9" tint="0.39994506668294322"/>
        </patternFill>
      </fill>
    </dxf>
    <dxf>
      <fill>
        <patternFill>
          <bgColor theme="6" tint="0.39994506668294322"/>
        </patternFill>
      </fill>
    </dxf>
    <dxf>
      <fill>
        <patternFill>
          <bgColor theme="9" tint="0.39994506668294322"/>
        </patternFill>
      </fill>
    </dxf>
    <dxf>
      <font>
        <b/>
        <i val="0"/>
        <condense val="0"/>
        <extend val="0"/>
      </font>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ont>
        <b/>
        <i val="0"/>
        <condense val="0"/>
        <extend val="0"/>
        <color indexed="12"/>
      </font>
    </dxf>
    <dxf>
      <font>
        <b/>
        <i val="0"/>
        <condense val="0"/>
        <extend val="0"/>
        <color indexed="10"/>
      </font>
    </dxf>
    <dxf>
      <font>
        <b/>
        <i val="0"/>
        <condense val="0"/>
        <extend val="0"/>
        <color indexed="10"/>
      </font>
    </dxf>
    <dxf>
      <font>
        <color theme="0"/>
      </font>
    </dxf>
    <dxf>
      <font>
        <b/>
        <i val="0"/>
        <condense val="0"/>
        <extend val="0"/>
        <color indexed="1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font>
    </dxf>
    <dxf>
      <font>
        <b/>
        <i val="0"/>
        <condense val="0"/>
        <extend val="0"/>
        <color indexed="10"/>
      </font>
    </dxf>
    <dxf>
      <font>
        <b/>
        <i val="0"/>
        <condense val="0"/>
        <extend val="0"/>
      </font>
    </dxf>
    <dxf>
      <font>
        <b/>
        <i val="0"/>
        <condense val="0"/>
        <extend val="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CFFCC"/>
      <color rgb="FFFFFF99"/>
      <color rgb="FF0000FF"/>
      <color rgb="FFC0C0FF"/>
      <color rgb="FFC0FFFF"/>
      <color rgb="FFB7DE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8.xml"/><Relationship Id="rId20" Type="http://schemas.openxmlformats.org/officeDocument/2006/relationships/worksheet" Target="worksheets/sheet19.xml"/><Relationship Id="rId21" Type="http://schemas.openxmlformats.org/officeDocument/2006/relationships/worksheet" Target="worksheets/sheet20.xml"/><Relationship Id="rId22" Type="http://schemas.openxmlformats.org/officeDocument/2006/relationships/worksheet" Target="worksheets/sheet21.xml"/><Relationship Id="rId23" Type="http://schemas.openxmlformats.org/officeDocument/2006/relationships/worksheet" Target="worksheets/sheet22.xml"/><Relationship Id="rId24" Type="http://schemas.openxmlformats.org/officeDocument/2006/relationships/worksheet" Target="worksheets/sheet23.xml"/><Relationship Id="rId25" Type="http://schemas.openxmlformats.org/officeDocument/2006/relationships/worksheet" Target="worksheets/sheet24.xml"/><Relationship Id="rId26" Type="http://schemas.openxmlformats.org/officeDocument/2006/relationships/externalLink" Target="externalLinks/externalLink1.xml"/><Relationship Id="rId27" Type="http://schemas.openxmlformats.org/officeDocument/2006/relationships/theme" Target="theme/theme1.xml"/><Relationship Id="rId28" Type="http://schemas.openxmlformats.org/officeDocument/2006/relationships/styles" Target="styles.xml"/><Relationship Id="rId29" Type="http://schemas.openxmlformats.org/officeDocument/2006/relationships/sharedStrings" Target="sharedStrings.xml"/><Relationship Id="rId30" Type="http://schemas.openxmlformats.org/officeDocument/2006/relationships/calcChain" Target="calcChain.xml"/><Relationship Id="rId31" Type="http://schemas.microsoft.com/office/2006/relationships/vbaProject" Target="vbaProject.bin"/><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worksheet" Target="worksheets/sheet12.xml"/><Relationship Id="rId14" Type="http://schemas.openxmlformats.org/officeDocument/2006/relationships/worksheet" Target="worksheets/sheet13.xml"/><Relationship Id="rId15" Type="http://schemas.openxmlformats.org/officeDocument/2006/relationships/worksheet" Target="worksheets/sheet14.xml"/><Relationship Id="rId16" Type="http://schemas.openxmlformats.org/officeDocument/2006/relationships/worksheet" Target="worksheets/sheet15.xml"/><Relationship Id="rId17" Type="http://schemas.openxmlformats.org/officeDocument/2006/relationships/worksheet" Target="worksheets/sheet16.xml"/><Relationship Id="rId18" Type="http://schemas.openxmlformats.org/officeDocument/2006/relationships/worksheet" Target="worksheets/sheet17.xml"/><Relationship Id="rId19" Type="http://schemas.openxmlformats.org/officeDocument/2006/relationships/worksheet" Target="worksheets/sheet18.xml"/><Relationship Id="rId1" Type="http://schemas.openxmlformats.org/officeDocument/2006/relationships/worksheet" Target="worksheets/sheet1.xml"/><Relationship Id="rId2" Type="http://schemas.openxmlformats.org/officeDocument/2006/relationships/chartsheet" Target="chart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a:lstStyle/>
          <a:p>
            <a:pPr>
              <a:defRPr sz="1200" b="1" i="0" u="none" strike="noStrike" baseline="0">
                <a:solidFill>
                  <a:srgbClr val="000000"/>
                </a:solidFill>
                <a:latin typeface="Arial"/>
                <a:ea typeface="Arial"/>
                <a:cs typeface="Arial"/>
              </a:defRPr>
            </a:pPr>
            <a:r>
              <a:rPr lang="en-AU"/>
              <a:t>Gases
DPX, DDMMYY</a:t>
            </a:r>
          </a:p>
        </c:rich>
      </c:tx>
      <c:layout>
        <c:manualLayout>
          <c:xMode val="edge"/>
          <c:yMode val="edge"/>
          <c:x val="0.440795959153217"/>
          <c:y val="0.0203488101105266"/>
        </c:manualLayout>
      </c:layout>
      <c:overlay val="0"/>
      <c:spPr>
        <a:noFill/>
        <a:ln w="25400">
          <a:noFill/>
        </a:ln>
      </c:spPr>
    </c:title>
    <c:autoTitleDeleted val="0"/>
    <c:plotArea>
      <c:layout>
        <c:manualLayout>
          <c:layoutTarget val="inner"/>
          <c:xMode val="edge"/>
          <c:yMode val="edge"/>
          <c:x val="0.0527363184079602"/>
          <c:y val="0.143895348837209"/>
          <c:w val="0.81592039800995"/>
          <c:h val="0.75"/>
        </c:manualLayout>
      </c:layout>
      <c:lineChart>
        <c:grouping val="standard"/>
        <c:varyColors val="0"/>
        <c:ser>
          <c:idx val="4"/>
          <c:order val="0"/>
          <c:tx>
            <c:strRef>
              <c:f>Gases!$H$8</c:f>
              <c:strCache>
                <c:ptCount val="1"/>
                <c:pt idx="0">
                  <c:v>NOx as NO2</c:v>
                </c:pt>
              </c:strCache>
            </c:strRef>
          </c:tx>
          <c:spPr>
            <a:ln w="12700">
              <a:solidFill>
                <a:srgbClr val="800000"/>
              </a:solidFill>
              <a:prstDash val="solid"/>
            </a:ln>
          </c:spPr>
          <c:marker>
            <c:symbol val="triangle"/>
            <c:size val="5"/>
            <c:spPr>
              <a:solidFill>
                <a:srgbClr val="800000"/>
              </a:solidFill>
              <a:ln>
                <a:solidFill>
                  <a:srgbClr val="800000"/>
                </a:solidFill>
                <a:prstDash val="solid"/>
              </a:ln>
            </c:spPr>
          </c:marker>
          <c:val>
            <c:numRef>
              <c:f>Gases!$I$26:$I$505</c:f>
              <c:numCache>
                <c:formatCode>General</c:formatCode>
                <c:ptCount val="48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pt idx="371">
                  <c:v>0.0</c:v>
                </c:pt>
                <c:pt idx="372">
                  <c:v>0.0</c:v>
                </c:pt>
                <c:pt idx="373">
                  <c:v>0.0</c:v>
                </c:pt>
                <c:pt idx="374">
                  <c:v>0.0</c:v>
                </c:pt>
                <c:pt idx="375">
                  <c:v>0.0</c:v>
                </c:pt>
                <c:pt idx="376">
                  <c:v>0.0</c:v>
                </c:pt>
                <c:pt idx="377">
                  <c:v>0.0</c:v>
                </c:pt>
                <c:pt idx="378">
                  <c:v>0.0</c:v>
                </c:pt>
                <c:pt idx="379">
                  <c:v>0.0</c:v>
                </c:pt>
                <c:pt idx="380">
                  <c:v>0.0</c:v>
                </c:pt>
                <c:pt idx="381">
                  <c:v>0.0</c:v>
                </c:pt>
                <c:pt idx="382">
                  <c:v>0.0</c:v>
                </c:pt>
                <c:pt idx="383">
                  <c:v>0.0</c:v>
                </c:pt>
                <c:pt idx="384">
                  <c:v>0.0</c:v>
                </c:pt>
                <c:pt idx="385">
                  <c:v>0.0</c:v>
                </c:pt>
                <c:pt idx="386">
                  <c:v>0.0</c:v>
                </c:pt>
                <c:pt idx="387">
                  <c:v>0.0</c:v>
                </c:pt>
                <c:pt idx="388">
                  <c:v>0.0</c:v>
                </c:pt>
                <c:pt idx="389">
                  <c:v>0.0</c:v>
                </c:pt>
                <c:pt idx="390">
                  <c:v>0.0</c:v>
                </c:pt>
                <c:pt idx="391">
                  <c:v>0.0</c:v>
                </c:pt>
                <c:pt idx="392">
                  <c:v>0.0</c:v>
                </c:pt>
                <c:pt idx="393">
                  <c:v>0.0</c:v>
                </c:pt>
                <c:pt idx="394">
                  <c:v>0.0</c:v>
                </c:pt>
                <c:pt idx="395">
                  <c:v>0.0</c:v>
                </c:pt>
                <c:pt idx="396">
                  <c:v>0.0</c:v>
                </c:pt>
                <c:pt idx="397">
                  <c:v>0.0</c:v>
                </c:pt>
                <c:pt idx="398">
                  <c:v>0.0</c:v>
                </c:pt>
                <c:pt idx="399">
                  <c:v>0.0</c:v>
                </c:pt>
                <c:pt idx="400">
                  <c:v>0.0</c:v>
                </c:pt>
                <c:pt idx="401">
                  <c:v>0.0</c:v>
                </c:pt>
                <c:pt idx="402">
                  <c:v>0.0</c:v>
                </c:pt>
                <c:pt idx="403">
                  <c:v>0.0</c:v>
                </c:pt>
                <c:pt idx="404">
                  <c:v>0.0</c:v>
                </c:pt>
                <c:pt idx="405">
                  <c:v>0.0</c:v>
                </c:pt>
                <c:pt idx="406">
                  <c:v>0.0</c:v>
                </c:pt>
                <c:pt idx="407">
                  <c:v>0.0</c:v>
                </c:pt>
                <c:pt idx="408">
                  <c:v>0.0</c:v>
                </c:pt>
                <c:pt idx="409">
                  <c:v>0.0</c:v>
                </c:pt>
                <c:pt idx="410">
                  <c:v>0.0</c:v>
                </c:pt>
                <c:pt idx="411">
                  <c:v>0.0</c:v>
                </c:pt>
                <c:pt idx="412">
                  <c:v>0.0</c:v>
                </c:pt>
                <c:pt idx="413">
                  <c:v>0.0</c:v>
                </c:pt>
                <c:pt idx="414">
                  <c:v>0.0</c:v>
                </c:pt>
                <c:pt idx="415">
                  <c:v>0.0</c:v>
                </c:pt>
                <c:pt idx="416">
                  <c:v>0.0</c:v>
                </c:pt>
                <c:pt idx="417">
                  <c:v>0.0</c:v>
                </c:pt>
                <c:pt idx="418">
                  <c:v>0.0</c:v>
                </c:pt>
                <c:pt idx="419">
                  <c:v>0.0</c:v>
                </c:pt>
                <c:pt idx="420">
                  <c:v>0.0</c:v>
                </c:pt>
                <c:pt idx="421">
                  <c:v>0.0</c:v>
                </c:pt>
                <c:pt idx="422">
                  <c:v>0.0</c:v>
                </c:pt>
                <c:pt idx="423">
                  <c:v>0.0</c:v>
                </c:pt>
                <c:pt idx="424">
                  <c:v>0.0</c:v>
                </c:pt>
                <c:pt idx="425">
                  <c:v>0.0</c:v>
                </c:pt>
                <c:pt idx="426">
                  <c:v>0.0</c:v>
                </c:pt>
                <c:pt idx="427">
                  <c:v>0.0</c:v>
                </c:pt>
                <c:pt idx="428">
                  <c:v>0.0</c:v>
                </c:pt>
                <c:pt idx="429">
                  <c:v>0.0</c:v>
                </c:pt>
                <c:pt idx="430">
                  <c:v>0.0</c:v>
                </c:pt>
                <c:pt idx="431">
                  <c:v>0.0</c:v>
                </c:pt>
                <c:pt idx="432">
                  <c:v>0.0</c:v>
                </c:pt>
                <c:pt idx="433">
                  <c:v>0.0</c:v>
                </c:pt>
                <c:pt idx="434">
                  <c:v>0.0</c:v>
                </c:pt>
                <c:pt idx="435">
                  <c:v>0.0</c:v>
                </c:pt>
                <c:pt idx="436">
                  <c:v>0.0</c:v>
                </c:pt>
                <c:pt idx="437">
                  <c:v>0.0</c:v>
                </c:pt>
                <c:pt idx="438">
                  <c:v>0.0</c:v>
                </c:pt>
                <c:pt idx="439">
                  <c:v>0.0</c:v>
                </c:pt>
                <c:pt idx="440">
                  <c:v>0.0</c:v>
                </c:pt>
                <c:pt idx="441">
                  <c:v>0.0</c:v>
                </c:pt>
                <c:pt idx="442">
                  <c:v>0.0</c:v>
                </c:pt>
                <c:pt idx="443">
                  <c:v>0.0</c:v>
                </c:pt>
                <c:pt idx="444">
                  <c:v>0.0</c:v>
                </c:pt>
                <c:pt idx="445">
                  <c:v>0.0</c:v>
                </c:pt>
                <c:pt idx="446">
                  <c:v>0.0</c:v>
                </c:pt>
                <c:pt idx="447">
                  <c:v>0.0</c:v>
                </c:pt>
                <c:pt idx="448">
                  <c:v>0.0</c:v>
                </c:pt>
                <c:pt idx="449">
                  <c:v>0.0</c:v>
                </c:pt>
                <c:pt idx="450">
                  <c:v>0.0</c:v>
                </c:pt>
                <c:pt idx="451">
                  <c:v>0.0</c:v>
                </c:pt>
                <c:pt idx="452">
                  <c:v>0.0</c:v>
                </c:pt>
                <c:pt idx="453">
                  <c:v>0.0</c:v>
                </c:pt>
                <c:pt idx="454">
                  <c:v>0.0</c:v>
                </c:pt>
                <c:pt idx="455">
                  <c:v>0.0</c:v>
                </c:pt>
                <c:pt idx="456">
                  <c:v>0.0</c:v>
                </c:pt>
                <c:pt idx="457">
                  <c:v>0.0</c:v>
                </c:pt>
                <c:pt idx="458">
                  <c:v>0.0</c:v>
                </c:pt>
                <c:pt idx="459">
                  <c:v>0.0</c:v>
                </c:pt>
                <c:pt idx="460">
                  <c:v>0.0</c:v>
                </c:pt>
                <c:pt idx="461">
                  <c:v>0.0</c:v>
                </c:pt>
                <c:pt idx="462">
                  <c:v>0.0</c:v>
                </c:pt>
                <c:pt idx="463">
                  <c:v>0.0</c:v>
                </c:pt>
                <c:pt idx="464">
                  <c:v>0.0</c:v>
                </c:pt>
                <c:pt idx="465">
                  <c:v>0.0</c:v>
                </c:pt>
                <c:pt idx="466">
                  <c:v>0.0</c:v>
                </c:pt>
                <c:pt idx="467">
                  <c:v>0.0</c:v>
                </c:pt>
                <c:pt idx="468">
                  <c:v>0.0</c:v>
                </c:pt>
                <c:pt idx="469">
                  <c:v>0.0</c:v>
                </c:pt>
                <c:pt idx="470">
                  <c:v>0.0</c:v>
                </c:pt>
                <c:pt idx="471">
                  <c:v>0.0</c:v>
                </c:pt>
                <c:pt idx="472">
                  <c:v>0.0</c:v>
                </c:pt>
                <c:pt idx="473">
                  <c:v>0.0</c:v>
                </c:pt>
                <c:pt idx="474">
                  <c:v>0.0</c:v>
                </c:pt>
                <c:pt idx="475">
                  <c:v>0.0</c:v>
                </c:pt>
                <c:pt idx="476">
                  <c:v>0.0</c:v>
                </c:pt>
                <c:pt idx="477">
                  <c:v>0.0</c:v>
                </c:pt>
                <c:pt idx="478">
                  <c:v>0.0</c:v>
                </c:pt>
                <c:pt idx="479">
                  <c:v>0.0</c:v>
                </c:pt>
              </c:numCache>
            </c:numRef>
          </c:val>
          <c:smooth val="0"/>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Gases!$C$26:$C$505</c15:sqref>
                        </c15:formulaRef>
                      </c:ext>
                    </c:extLst>
                  </c:multiLvlStrRef>
                </c15:cat>
              </c15:filteredCategoryTitle>
            </c:ext>
            <c:ext xmlns:c16="http://schemas.microsoft.com/office/drawing/2014/chart" uri="{C3380CC4-5D6E-409C-BE32-E72D297353CC}">
              <c16:uniqueId val="{00000000-477F-4275-9F3A-00C4635A0716}"/>
            </c:ext>
          </c:extLst>
        </c:ser>
        <c:ser>
          <c:idx val="5"/>
          <c:order val="1"/>
          <c:tx>
            <c:strRef>
              <c:f>Gases!$J$8</c:f>
              <c:strCache>
                <c:ptCount val="1"/>
                <c:pt idx="0">
                  <c:v>SO2</c:v>
                </c:pt>
              </c:strCache>
            </c:strRef>
          </c:tx>
          <c:spPr>
            <a:ln w="12700">
              <a:solidFill>
                <a:srgbClr val="0080C0"/>
              </a:solidFill>
              <a:prstDash val="solid"/>
            </a:ln>
          </c:spPr>
          <c:marker>
            <c:symbol val="circle"/>
            <c:size val="5"/>
            <c:spPr>
              <a:solidFill>
                <a:srgbClr val="0080C0"/>
              </a:solidFill>
              <a:ln>
                <a:solidFill>
                  <a:srgbClr val="0080C0"/>
                </a:solidFill>
                <a:prstDash val="solid"/>
              </a:ln>
            </c:spPr>
          </c:marker>
          <c:val>
            <c:numRef>
              <c:f>Gases!$K$26:$K$505</c:f>
              <c:numCache>
                <c:formatCode>General</c:formatCode>
                <c:ptCount val="48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pt idx="371">
                  <c:v>0.0</c:v>
                </c:pt>
                <c:pt idx="372">
                  <c:v>0.0</c:v>
                </c:pt>
                <c:pt idx="373">
                  <c:v>0.0</c:v>
                </c:pt>
                <c:pt idx="374">
                  <c:v>0.0</c:v>
                </c:pt>
                <c:pt idx="375">
                  <c:v>0.0</c:v>
                </c:pt>
                <c:pt idx="376">
                  <c:v>0.0</c:v>
                </c:pt>
                <c:pt idx="377">
                  <c:v>0.0</c:v>
                </c:pt>
                <c:pt idx="378">
                  <c:v>0.0</c:v>
                </c:pt>
                <c:pt idx="379">
                  <c:v>0.0</c:v>
                </c:pt>
                <c:pt idx="380">
                  <c:v>0.0</c:v>
                </c:pt>
                <c:pt idx="381">
                  <c:v>0.0</c:v>
                </c:pt>
                <c:pt idx="382">
                  <c:v>0.0</c:v>
                </c:pt>
                <c:pt idx="383">
                  <c:v>0.0</c:v>
                </c:pt>
                <c:pt idx="384">
                  <c:v>0.0</c:v>
                </c:pt>
                <c:pt idx="385">
                  <c:v>0.0</c:v>
                </c:pt>
                <c:pt idx="386">
                  <c:v>0.0</c:v>
                </c:pt>
                <c:pt idx="387">
                  <c:v>0.0</c:v>
                </c:pt>
                <c:pt idx="388">
                  <c:v>0.0</c:v>
                </c:pt>
                <c:pt idx="389">
                  <c:v>0.0</c:v>
                </c:pt>
                <c:pt idx="390">
                  <c:v>0.0</c:v>
                </c:pt>
                <c:pt idx="391">
                  <c:v>0.0</c:v>
                </c:pt>
                <c:pt idx="392">
                  <c:v>0.0</c:v>
                </c:pt>
                <c:pt idx="393">
                  <c:v>0.0</c:v>
                </c:pt>
                <c:pt idx="394">
                  <c:v>0.0</c:v>
                </c:pt>
                <c:pt idx="395">
                  <c:v>0.0</c:v>
                </c:pt>
                <c:pt idx="396">
                  <c:v>0.0</c:v>
                </c:pt>
                <c:pt idx="397">
                  <c:v>0.0</c:v>
                </c:pt>
                <c:pt idx="398">
                  <c:v>0.0</c:v>
                </c:pt>
                <c:pt idx="399">
                  <c:v>0.0</c:v>
                </c:pt>
                <c:pt idx="400">
                  <c:v>0.0</c:v>
                </c:pt>
                <c:pt idx="401">
                  <c:v>0.0</c:v>
                </c:pt>
                <c:pt idx="402">
                  <c:v>0.0</c:v>
                </c:pt>
                <c:pt idx="403">
                  <c:v>0.0</c:v>
                </c:pt>
                <c:pt idx="404">
                  <c:v>0.0</c:v>
                </c:pt>
                <c:pt idx="405">
                  <c:v>0.0</c:v>
                </c:pt>
                <c:pt idx="406">
                  <c:v>0.0</c:v>
                </c:pt>
                <c:pt idx="407">
                  <c:v>0.0</c:v>
                </c:pt>
                <c:pt idx="408">
                  <c:v>0.0</c:v>
                </c:pt>
                <c:pt idx="409">
                  <c:v>0.0</c:v>
                </c:pt>
                <c:pt idx="410">
                  <c:v>0.0</c:v>
                </c:pt>
                <c:pt idx="411">
                  <c:v>0.0</c:v>
                </c:pt>
                <c:pt idx="412">
                  <c:v>0.0</c:v>
                </c:pt>
                <c:pt idx="413">
                  <c:v>0.0</c:v>
                </c:pt>
                <c:pt idx="414">
                  <c:v>0.0</c:v>
                </c:pt>
                <c:pt idx="415">
                  <c:v>0.0</c:v>
                </c:pt>
                <c:pt idx="416">
                  <c:v>0.0</c:v>
                </c:pt>
                <c:pt idx="417">
                  <c:v>0.0</c:v>
                </c:pt>
                <c:pt idx="418">
                  <c:v>0.0</c:v>
                </c:pt>
                <c:pt idx="419">
                  <c:v>0.0</c:v>
                </c:pt>
                <c:pt idx="420">
                  <c:v>0.0</c:v>
                </c:pt>
                <c:pt idx="421">
                  <c:v>0.0</c:v>
                </c:pt>
                <c:pt idx="422">
                  <c:v>0.0</c:v>
                </c:pt>
                <c:pt idx="423">
                  <c:v>0.0</c:v>
                </c:pt>
                <c:pt idx="424">
                  <c:v>0.0</c:v>
                </c:pt>
                <c:pt idx="425">
                  <c:v>0.0</c:v>
                </c:pt>
                <c:pt idx="426">
                  <c:v>0.0</c:v>
                </c:pt>
                <c:pt idx="427">
                  <c:v>0.0</c:v>
                </c:pt>
                <c:pt idx="428">
                  <c:v>0.0</c:v>
                </c:pt>
                <c:pt idx="429">
                  <c:v>0.0</c:v>
                </c:pt>
                <c:pt idx="430">
                  <c:v>0.0</c:v>
                </c:pt>
                <c:pt idx="431">
                  <c:v>0.0</c:v>
                </c:pt>
                <c:pt idx="432">
                  <c:v>0.0</c:v>
                </c:pt>
                <c:pt idx="433">
                  <c:v>0.0</c:v>
                </c:pt>
                <c:pt idx="434">
                  <c:v>0.0</c:v>
                </c:pt>
                <c:pt idx="435">
                  <c:v>0.0</c:v>
                </c:pt>
                <c:pt idx="436">
                  <c:v>0.0</c:v>
                </c:pt>
                <c:pt idx="437">
                  <c:v>0.0</c:v>
                </c:pt>
                <c:pt idx="438">
                  <c:v>0.0</c:v>
                </c:pt>
                <c:pt idx="439">
                  <c:v>0.0</c:v>
                </c:pt>
                <c:pt idx="440">
                  <c:v>0.0</c:v>
                </c:pt>
                <c:pt idx="441">
                  <c:v>0.0</c:v>
                </c:pt>
                <c:pt idx="442">
                  <c:v>0.0</c:v>
                </c:pt>
                <c:pt idx="443">
                  <c:v>0.0</c:v>
                </c:pt>
                <c:pt idx="444">
                  <c:v>0.0</c:v>
                </c:pt>
                <c:pt idx="445">
                  <c:v>0.0</c:v>
                </c:pt>
                <c:pt idx="446">
                  <c:v>0.0</c:v>
                </c:pt>
                <c:pt idx="447">
                  <c:v>0.0</c:v>
                </c:pt>
                <c:pt idx="448">
                  <c:v>0.0</c:v>
                </c:pt>
                <c:pt idx="449">
                  <c:v>0.0</c:v>
                </c:pt>
                <c:pt idx="450">
                  <c:v>0.0</c:v>
                </c:pt>
                <c:pt idx="451">
                  <c:v>0.0</c:v>
                </c:pt>
                <c:pt idx="452">
                  <c:v>0.0</c:v>
                </c:pt>
                <c:pt idx="453">
                  <c:v>0.0</c:v>
                </c:pt>
                <c:pt idx="454">
                  <c:v>0.0</c:v>
                </c:pt>
                <c:pt idx="455">
                  <c:v>0.0</c:v>
                </c:pt>
                <c:pt idx="456">
                  <c:v>0.0</c:v>
                </c:pt>
                <c:pt idx="457">
                  <c:v>0.0</c:v>
                </c:pt>
                <c:pt idx="458">
                  <c:v>0.0</c:v>
                </c:pt>
                <c:pt idx="459">
                  <c:v>0.0</c:v>
                </c:pt>
                <c:pt idx="460">
                  <c:v>0.0</c:v>
                </c:pt>
                <c:pt idx="461">
                  <c:v>0.0</c:v>
                </c:pt>
                <c:pt idx="462">
                  <c:v>0.0</c:v>
                </c:pt>
                <c:pt idx="463">
                  <c:v>0.0</c:v>
                </c:pt>
                <c:pt idx="464">
                  <c:v>0.0</c:v>
                </c:pt>
                <c:pt idx="465">
                  <c:v>0.0</c:v>
                </c:pt>
                <c:pt idx="466">
                  <c:v>0.0</c:v>
                </c:pt>
                <c:pt idx="467">
                  <c:v>0.0</c:v>
                </c:pt>
                <c:pt idx="468">
                  <c:v>0.0</c:v>
                </c:pt>
                <c:pt idx="469">
                  <c:v>0.0</c:v>
                </c:pt>
                <c:pt idx="470">
                  <c:v>0.0</c:v>
                </c:pt>
                <c:pt idx="471">
                  <c:v>0.0</c:v>
                </c:pt>
                <c:pt idx="472">
                  <c:v>0.0</c:v>
                </c:pt>
                <c:pt idx="473">
                  <c:v>0.0</c:v>
                </c:pt>
                <c:pt idx="474">
                  <c:v>0.0</c:v>
                </c:pt>
                <c:pt idx="475">
                  <c:v>0.0</c:v>
                </c:pt>
                <c:pt idx="476">
                  <c:v>0.0</c:v>
                </c:pt>
                <c:pt idx="477">
                  <c:v>0.0</c:v>
                </c:pt>
                <c:pt idx="478">
                  <c:v>0.0</c:v>
                </c:pt>
                <c:pt idx="479">
                  <c:v>0.0</c:v>
                </c:pt>
              </c:numCache>
            </c:numRef>
          </c:val>
          <c:smooth val="0"/>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Gases!$C$26:$C$505</c15:sqref>
                        </c15:formulaRef>
                      </c:ext>
                    </c:extLst>
                  </c:multiLvlStrRef>
                </c15:cat>
              </c15:filteredCategoryTitle>
            </c:ext>
            <c:ext xmlns:c16="http://schemas.microsoft.com/office/drawing/2014/chart" uri="{C3380CC4-5D6E-409C-BE32-E72D297353CC}">
              <c16:uniqueId val="{00000001-477F-4275-9F3A-00C4635A0716}"/>
            </c:ext>
          </c:extLst>
        </c:ser>
        <c:ser>
          <c:idx val="6"/>
          <c:order val="2"/>
          <c:tx>
            <c:strRef>
              <c:f>Gases!$L$8</c:f>
              <c:strCache>
                <c:ptCount val="1"/>
                <c:pt idx="0">
                  <c:v>CO</c:v>
                </c:pt>
              </c:strCache>
            </c:strRef>
          </c:tx>
          <c:spPr>
            <a:ln w="12700">
              <a:solidFill>
                <a:srgbClr val="000000"/>
              </a:solidFill>
              <a:prstDash val="solid"/>
            </a:ln>
          </c:spPr>
          <c:marker>
            <c:symbol val="circle"/>
            <c:size val="5"/>
            <c:spPr>
              <a:solidFill>
                <a:srgbClr val="000000"/>
              </a:solidFill>
              <a:ln>
                <a:solidFill>
                  <a:srgbClr val="000000"/>
                </a:solidFill>
                <a:prstDash val="solid"/>
              </a:ln>
            </c:spPr>
          </c:marker>
          <c:val>
            <c:numRef>
              <c:f>Gases!$M$26:$M$505</c:f>
              <c:numCache>
                <c:formatCode>General</c:formatCode>
                <c:ptCount val="48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pt idx="371">
                  <c:v>0.0</c:v>
                </c:pt>
                <c:pt idx="372">
                  <c:v>0.0</c:v>
                </c:pt>
                <c:pt idx="373">
                  <c:v>0.0</c:v>
                </c:pt>
                <c:pt idx="374">
                  <c:v>0.0</c:v>
                </c:pt>
                <c:pt idx="375">
                  <c:v>0.0</c:v>
                </c:pt>
                <c:pt idx="376">
                  <c:v>0.0</c:v>
                </c:pt>
                <c:pt idx="377">
                  <c:v>0.0</c:v>
                </c:pt>
                <c:pt idx="378">
                  <c:v>0.0</c:v>
                </c:pt>
                <c:pt idx="379">
                  <c:v>0.0</c:v>
                </c:pt>
                <c:pt idx="380">
                  <c:v>0.0</c:v>
                </c:pt>
                <c:pt idx="381">
                  <c:v>0.0</c:v>
                </c:pt>
                <c:pt idx="382">
                  <c:v>0.0</c:v>
                </c:pt>
                <c:pt idx="383">
                  <c:v>0.0</c:v>
                </c:pt>
                <c:pt idx="384">
                  <c:v>0.0</c:v>
                </c:pt>
                <c:pt idx="385">
                  <c:v>0.0</c:v>
                </c:pt>
                <c:pt idx="386">
                  <c:v>0.0</c:v>
                </c:pt>
                <c:pt idx="387">
                  <c:v>0.0</c:v>
                </c:pt>
                <c:pt idx="388">
                  <c:v>0.0</c:v>
                </c:pt>
                <c:pt idx="389">
                  <c:v>0.0</c:v>
                </c:pt>
                <c:pt idx="390">
                  <c:v>0.0</c:v>
                </c:pt>
                <c:pt idx="391">
                  <c:v>0.0</c:v>
                </c:pt>
                <c:pt idx="392">
                  <c:v>0.0</c:v>
                </c:pt>
                <c:pt idx="393">
                  <c:v>0.0</c:v>
                </c:pt>
                <c:pt idx="394">
                  <c:v>0.0</c:v>
                </c:pt>
                <c:pt idx="395">
                  <c:v>0.0</c:v>
                </c:pt>
                <c:pt idx="396">
                  <c:v>0.0</c:v>
                </c:pt>
                <c:pt idx="397">
                  <c:v>0.0</c:v>
                </c:pt>
                <c:pt idx="398">
                  <c:v>0.0</c:v>
                </c:pt>
                <c:pt idx="399">
                  <c:v>0.0</c:v>
                </c:pt>
                <c:pt idx="400">
                  <c:v>0.0</c:v>
                </c:pt>
                <c:pt idx="401">
                  <c:v>0.0</c:v>
                </c:pt>
                <c:pt idx="402">
                  <c:v>0.0</c:v>
                </c:pt>
                <c:pt idx="403">
                  <c:v>0.0</c:v>
                </c:pt>
                <c:pt idx="404">
                  <c:v>0.0</c:v>
                </c:pt>
                <c:pt idx="405">
                  <c:v>0.0</c:v>
                </c:pt>
                <c:pt idx="406">
                  <c:v>0.0</c:v>
                </c:pt>
                <c:pt idx="407">
                  <c:v>0.0</c:v>
                </c:pt>
                <c:pt idx="408">
                  <c:v>0.0</c:v>
                </c:pt>
                <c:pt idx="409">
                  <c:v>0.0</c:v>
                </c:pt>
                <c:pt idx="410">
                  <c:v>0.0</c:v>
                </c:pt>
                <c:pt idx="411">
                  <c:v>0.0</c:v>
                </c:pt>
                <c:pt idx="412">
                  <c:v>0.0</c:v>
                </c:pt>
                <c:pt idx="413">
                  <c:v>0.0</c:v>
                </c:pt>
                <c:pt idx="414">
                  <c:v>0.0</c:v>
                </c:pt>
                <c:pt idx="415">
                  <c:v>0.0</c:v>
                </c:pt>
                <c:pt idx="416">
                  <c:v>0.0</c:v>
                </c:pt>
                <c:pt idx="417">
                  <c:v>0.0</c:v>
                </c:pt>
                <c:pt idx="418">
                  <c:v>0.0</c:v>
                </c:pt>
                <c:pt idx="419">
                  <c:v>0.0</c:v>
                </c:pt>
                <c:pt idx="420">
                  <c:v>0.0</c:v>
                </c:pt>
                <c:pt idx="421">
                  <c:v>0.0</c:v>
                </c:pt>
                <c:pt idx="422">
                  <c:v>0.0</c:v>
                </c:pt>
                <c:pt idx="423">
                  <c:v>0.0</c:v>
                </c:pt>
                <c:pt idx="424">
                  <c:v>0.0</c:v>
                </c:pt>
                <c:pt idx="425">
                  <c:v>0.0</c:v>
                </c:pt>
                <c:pt idx="426">
                  <c:v>0.0</c:v>
                </c:pt>
                <c:pt idx="427">
                  <c:v>0.0</c:v>
                </c:pt>
                <c:pt idx="428">
                  <c:v>0.0</c:v>
                </c:pt>
                <c:pt idx="429">
                  <c:v>0.0</c:v>
                </c:pt>
                <c:pt idx="430">
                  <c:v>0.0</c:v>
                </c:pt>
                <c:pt idx="431">
                  <c:v>0.0</c:v>
                </c:pt>
                <c:pt idx="432">
                  <c:v>0.0</c:v>
                </c:pt>
                <c:pt idx="433">
                  <c:v>0.0</c:v>
                </c:pt>
                <c:pt idx="434">
                  <c:v>0.0</c:v>
                </c:pt>
                <c:pt idx="435">
                  <c:v>0.0</c:v>
                </c:pt>
                <c:pt idx="436">
                  <c:v>0.0</c:v>
                </c:pt>
                <c:pt idx="437">
                  <c:v>0.0</c:v>
                </c:pt>
                <c:pt idx="438">
                  <c:v>0.0</c:v>
                </c:pt>
                <c:pt idx="439">
                  <c:v>0.0</c:v>
                </c:pt>
                <c:pt idx="440">
                  <c:v>0.0</c:v>
                </c:pt>
                <c:pt idx="441">
                  <c:v>0.0</c:v>
                </c:pt>
                <c:pt idx="442">
                  <c:v>0.0</c:v>
                </c:pt>
                <c:pt idx="443">
                  <c:v>0.0</c:v>
                </c:pt>
                <c:pt idx="444">
                  <c:v>0.0</c:v>
                </c:pt>
                <c:pt idx="445">
                  <c:v>0.0</c:v>
                </c:pt>
                <c:pt idx="446">
                  <c:v>0.0</c:v>
                </c:pt>
                <c:pt idx="447">
                  <c:v>0.0</c:v>
                </c:pt>
                <c:pt idx="448">
                  <c:v>0.0</c:v>
                </c:pt>
                <c:pt idx="449">
                  <c:v>0.0</c:v>
                </c:pt>
                <c:pt idx="450">
                  <c:v>0.0</c:v>
                </c:pt>
                <c:pt idx="451">
                  <c:v>0.0</c:v>
                </c:pt>
                <c:pt idx="452">
                  <c:v>0.0</c:v>
                </c:pt>
                <c:pt idx="453">
                  <c:v>0.0</c:v>
                </c:pt>
                <c:pt idx="454">
                  <c:v>0.0</c:v>
                </c:pt>
                <c:pt idx="455">
                  <c:v>0.0</c:v>
                </c:pt>
                <c:pt idx="456">
                  <c:v>0.0</c:v>
                </c:pt>
                <c:pt idx="457">
                  <c:v>0.0</c:v>
                </c:pt>
                <c:pt idx="458">
                  <c:v>0.0</c:v>
                </c:pt>
                <c:pt idx="459">
                  <c:v>0.0</c:v>
                </c:pt>
                <c:pt idx="460">
                  <c:v>0.0</c:v>
                </c:pt>
                <c:pt idx="461">
                  <c:v>0.0</c:v>
                </c:pt>
                <c:pt idx="462">
                  <c:v>0.0</c:v>
                </c:pt>
                <c:pt idx="463">
                  <c:v>0.0</c:v>
                </c:pt>
                <c:pt idx="464">
                  <c:v>0.0</c:v>
                </c:pt>
                <c:pt idx="465">
                  <c:v>0.0</c:v>
                </c:pt>
                <c:pt idx="466">
                  <c:v>0.0</c:v>
                </c:pt>
                <c:pt idx="467">
                  <c:v>0.0</c:v>
                </c:pt>
                <c:pt idx="468">
                  <c:v>0.0</c:v>
                </c:pt>
                <c:pt idx="469">
                  <c:v>0.0</c:v>
                </c:pt>
                <c:pt idx="470">
                  <c:v>0.0</c:v>
                </c:pt>
                <c:pt idx="471">
                  <c:v>0.0</c:v>
                </c:pt>
                <c:pt idx="472">
                  <c:v>0.0</c:v>
                </c:pt>
                <c:pt idx="473">
                  <c:v>0.0</c:v>
                </c:pt>
                <c:pt idx="474">
                  <c:v>0.0</c:v>
                </c:pt>
                <c:pt idx="475">
                  <c:v>0.0</c:v>
                </c:pt>
                <c:pt idx="476">
                  <c:v>0.0</c:v>
                </c:pt>
                <c:pt idx="477">
                  <c:v>0.0</c:v>
                </c:pt>
                <c:pt idx="478">
                  <c:v>0.0</c:v>
                </c:pt>
                <c:pt idx="479">
                  <c:v>0.0</c:v>
                </c:pt>
              </c:numCache>
            </c:numRef>
          </c:val>
          <c:smooth val="0"/>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Gases!$C$26:$C$505</c15:sqref>
                        </c15:formulaRef>
                      </c:ext>
                    </c:extLst>
                  </c:multiLvlStrRef>
                </c15:cat>
              </c15:filteredCategoryTitle>
            </c:ext>
            <c:ext xmlns:c16="http://schemas.microsoft.com/office/drawing/2014/chart" uri="{C3380CC4-5D6E-409C-BE32-E72D297353CC}">
              <c16:uniqueId val="{00000002-477F-4275-9F3A-00C4635A0716}"/>
            </c:ext>
          </c:extLst>
        </c:ser>
        <c:ser>
          <c:idx val="0"/>
          <c:order val="5"/>
          <c:tx>
            <c:strRef>
              <c:f>Gases!$R$8</c:f>
              <c:strCache>
                <c:ptCount val="1"/>
                <c:pt idx="0">
                  <c:v>TOC (as methane)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val>
            <c:numRef>
              <c:f>Gases!$R$26:$R$505</c:f>
              <c:numCache>
                <c:formatCode>General</c:formatCode>
                <c:ptCount val="48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pt idx="371">
                  <c:v>0.0</c:v>
                </c:pt>
                <c:pt idx="372">
                  <c:v>0.0</c:v>
                </c:pt>
                <c:pt idx="373">
                  <c:v>0.0</c:v>
                </c:pt>
                <c:pt idx="374">
                  <c:v>0.0</c:v>
                </c:pt>
                <c:pt idx="375">
                  <c:v>0.0</c:v>
                </c:pt>
                <c:pt idx="376">
                  <c:v>0.0</c:v>
                </c:pt>
                <c:pt idx="377">
                  <c:v>0.0</c:v>
                </c:pt>
                <c:pt idx="378">
                  <c:v>0.0</c:v>
                </c:pt>
                <c:pt idx="379">
                  <c:v>0.0</c:v>
                </c:pt>
                <c:pt idx="380">
                  <c:v>0.0</c:v>
                </c:pt>
                <c:pt idx="381">
                  <c:v>0.0</c:v>
                </c:pt>
                <c:pt idx="382">
                  <c:v>0.0</c:v>
                </c:pt>
                <c:pt idx="383">
                  <c:v>0.0</c:v>
                </c:pt>
                <c:pt idx="384">
                  <c:v>0.0</c:v>
                </c:pt>
                <c:pt idx="385">
                  <c:v>0.0</c:v>
                </c:pt>
                <c:pt idx="386">
                  <c:v>0.0</c:v>
                </c:pt>
                <c:pt idx="387">
                  <c:v>0.0</c:v>
                </c:pt>
                <c:pt idx="388">
                  <c:v>0.0</c:v>
                </c:pt>
                <c:pt idx="389">
                  <c:v>0.0</c:v>
                </c:pt>
                <c:pt idx="390">
                  <c:v>0.0</c:v>
                </c:pt>
                <c:pt idx="391">
                  <c:v>0.0</c:v>
                </c:pt>
                <c:pt idx="392">
                  <c:v>0.0</c:v>
                </c:pt>
                <c:pt idx="393">
                  <c:v>0.0</c:v>
                </c:pt>
                <c:pt idx="394">
                  <c:v>0.0</c:v>
                </c:pt>
                <c:pt idx="395">
                  <c:v>0.0</c:v>
                </c:pt>
                <c:pt idx="396">
                  <c:v>0.0</c:v>
                </c:pt>
                <c:pt idx="397">
                  <c:v>0.0</c:v>
                </c:pt>
                <c:pt idx="398">
                  <c:v>0.0</c:v>
                </c:pt>
                <c:pt idx="399">
                  <c:v>0.0</c:v>
                </c:pt>
                <c:pt idx="400">
                  <c:v>0.0</c:v>
                </c:pt>
                <c:pt idx="401">
                  <c:v>0.0</c:v>
                </c:pt>
                <c:pt idx="402">
                  <c:v>0.0</c:v>
                </c:pt>
                <c:pt idx="403">
                  <c:v>0.0</c:v>
                </c:pt>
                <c:pt idx="404">
                  <c:v>0.0</c:v>
                </c:pt>
                <c:pt idx="405">
                  <c:v>0.0</c:v>
                </c:pt>
                <c:pt idx="406">
                  <c:v>0.0</c:v>
                </c:pt>
                <c:pt idx="407">
                  <c:v>0.0</c:v>
                </c:pt>
                <c:pt idx="408">
                  <c:v>0.0</c:v>
                </c:pt>
                <c:pt idx="409">
                  <c:v>0.0</c:v>
                </c:pt>
                <c:pt idx="410">
                  <c:v>0.0</c:v>
                </c:pt>
                <c:pt idx="411">
                  <c:v>0.0</c:v>
                </c:pt>
                <c:pt idx="412">
                  <c:v>0.0</c:v>
                </c:pt>
                <c:pt idx="413">
                  <c:v>0.0</c:v>
                </c:pt>
                <c:pt idx="414">
                  <c:v>0.0</c:v>
                </c:pt>
                <c:pt idx="415">
                  <c:v>0.0</c:v>
                </c:pt>
                <c:pt idx="416">
                  <c:v>0.0</c:v>
                </c:pt>
                <c:pt idx="417">
                  <c:v>0.0</c:v>
                </c:pt>
                <c:pt idx="418">
                  <c:v>0.0</c:v>
                </c:pt>
                <c:pt idx="419">
                  <c:v>0.0</c:v>
                </c:pt>
                <c:pt idx="420">
                  <c:v>0.0</c:v>
                </c:pt>
                <c:pt idx="421">
                  <c:v>0.0</c:v>
                </c:pt>
                <c:pt idx="422">
                  <c:v>0.0</c:v>
                </c:pt>
                <c:pt idx="423">
                  <c:v>0.0</c:v>
                </c:pt>
                <c:pt idx="424">
                  <c:v>0.0</c:v>
                </c:pt>
                <c:pt idx="425">
                  <c:v>0.0</c:v>
                </c:pt>
                <c:pt idx="426">
                  <c:v>0.0</c:v>
                </c:pt>
                <c:pt idx="427">
                  <c:v>0.0</c:v>
                </c:pt>
                <c:pt idx="428">
                  <c:v>0.0</c:v>
                </c:pt>
                <c:pt idx="429">
                  <c:v>0.0</c:v>
                </c:pt>
                <c:pt idx="430">
                  <c:v>0.0</c:v>
                </c:pt>
                <c:pt idx="431">
                  <c:v>0.0</c:v>
                </c:pt>
                <c:pt idx="432">
                  <c:v>0.0</c:v>
                </c:pt>
                <c:pt idx="433">
                  <c:v>0.0</c:v>
                </c:pt>
                <c:pt idx="434">
                  <c:v>0.0</c:v>
                </c:pt>
                <c:pt idx="435">
                  <c:v>0.0</c:v>
                </c:pt>
                <c:pt idx="436">
                  <c:v>0.0</c:v>
                </c:pt>
                <c:pt idx="437">
                  <c:v>0.0</c:v>
                </c:pt>
                <c:pt idx="438">
                  <c:v>0.0</c:v>
                </c:pt>
                <c:pt idx="439">
                  <c:v>0.0</c:v>
                </c:pt>
                <c:pt idx="440">
                  <c:v>0.0</c:v>
                </c:pt>
                <c:pt idx="441">
                  <c:v>0.0</c:v>
                </c:pt>
                <c:pt idx="442">
                  <c:v>0.0</c:v>
                </c:pt>
                <c:pt idx="443">
                  <c:v>0.0</c:v>
                </c:pt>
                <c:pt idx="444">
                  <c:v>0.0</c:v>
                </c:pt>
                <c:pt idx="445">
                  <c:v>0.0</c:v>
                </c:pt>
                <c:pt idx="446">
                  <c:v>0.0</c:v>
                </c:pt>
                <c:pt idx="447">
                  <c:v>0.0</c:v>
                </c:pt>
                <c:pt idx="448">
                  <c:v>0.0</c:v>
                </c:pt>
                <c:pt idx="449">
                  <c:v>0.0</c:v>
                </c:pt>
                <c:pt idx="450">
                  <c:v>0.0</c:v>
                </c:pt>
                <c:pt idx="451">
                  <c:v>0.0</c:v>
                </c:pt>
                <c:pt idx="452">
                  <c:v>0.0</c:v>
                </c:pt>
                <c:pt idx="453">
                  <c:v>0.0</c:v>
                </c:pt>
                <c:pt idx="454">
                  <c:v>0.0</c:v>
                </c:pt>
                <c:pt idx="455">
                  <c:v>0.0</c:v>
                </c:pt>
                <c:pt idx="456">
                  <c:v>0.0</c:v>
                </c:pt>
                <c:pt idx="457">
                  <c:v>0.0</c:v>
                </c:pt>
                <c:pt idx="458">
                  <c:v>0.0</c:v>
                </c:pt>
                <c:pt idx="459">
                  <c:v>0.0</c:v>
                </c:pt>
                <c:pt idx="460">
                  <c:v>0.0</c:v>
                </c:pt>
                <c:pt idx="461">
                  <c:v>0.0</c:v>
                </c:pt>
                <c:pt idx="462">
                  <c:v>0.0</c:v>
                </c:pt>
                <c:pt idx="463">
                  <c:v>0.0</c:v>
                </c:pt>
                <c:pt idx="464">
                  <c:v>0.0</c:v>
                </c:pt>
                <c:pt idx="465">
                  <c:v>0.0</c:v>
                </c:pt>
                <c:pt idx="466">
                  <c:v>0.0</c:v>
                </c:pt>
                <c:pt idx="467">
                  <c:v>0.0</c:v>
                </c:pt>
                <c:pt idx="468">
                  <c:v>0.0</c:v>
                </c:pt>
                <c:pt idx="469">
                  <c:v>0.0</c:v>
                </c:pt>
                <c:pt idx="470">
                  <c:v>0.0</c:v>
                </c:pt>
                <c:pt idx="471">
                  <c:v>0.0</c:v>
                </c:pt>
                <c:pt idx="472">
                  <c:v>0.0</c:v>
                </c:pt>
                <c:pt idx="473">
                  <c:v>0.0</c:v>
                </c:pt>
                <c:pt idx="474">
                  <c:v>0.0</c:v>
                </c:pt>
                <c:pt idx="475">
                  <c:v>0.0</c:v>
                </c:pt>
                <c:pt idx="476">
                  <c:v>0.0</c:v>
                </c:pt>
                <c:pt idx="477">
                  <c:v>0.0</c:v>
                </c:pt>
                <c:pt idx="478">
                  <c:v>0.0</c:v>
                </c:pt>
                <c:pt idx="479">
                  <c:v>0.0</c:v>
                </c:pt>
              </c:numCache>
            </c:numRef>
          </c:val>
          <c:smooth val="0"/>
          <c:extLst xmlns:c16r2="http://schemas.microsoft.com/office/drawing/2015/06/chart">
            <c:ext xmlns:c16="http://schemas.microsoft.com/office/drawing/2014/chart" uri="{C3380CC4-5D6E-409C-BE32-E72D297353CC}">
              <c16:uniqueId val="{00000003-477F-4275-9F3A-00C4635A0716}"/>
            </c:ext>
          </c:extLst>
        </c:ser>
        <c:dLbls>
          <c:showLegendKey val="0"/>
          <c:showVal val="0"/>
          <c:showCatName val="0"/>
          <c:showSerName val="0"/>
          <c:showPercent val="0"/>
          <c:showBubbleSize val="0"/>
        </c:dLbls>
        <c:marker val="1"/>
        <c:smooth val="0"/>
        <c:axId val="-2145769368"/>
        <c:axId val="2129980776"/>
      </c:lineChart>
      <c:lineChart>
        <c:grouping val="standard"/>
        <c:varyColors val="0"/>
        <c:ser>
          <c:idx val="2"/>
          <c:order val="3"/>
          <c:tx>
            <c:strRef>
              <c:f>Gases!$N$8</c:f>
              <c:strCache>
                <c:ptCount val="1"/>
                <c:pt idx="0">
                  <c:v>CO2</c:v>
                </c:pt>
              </c:strCache>
            </c:strRef>
          </c:tx>
          <c:spPr>
            <a:ln w="12700">
              <a:solidFill>
                <a:srgbClr val="FF0000"/>
              </a:solidFill>
              <a:prstDash val="solid"/>
            </a:ln>
          </c:spPr>
          <c:marker>
            <c:symbol val="triangle"/>
            <c:size val="5"/>
            <c:spPr>
              <a:solidFill>
                <a:srgbClr val="FF0000"/>
              </a:solidFill>
              <a:ln>
                <a:solidFill>
                  <a:srgbClr val="FF0000"/>
                </a:solidFill>
                <a:prstDash val="solid"/>
              </a:ln>
            </c:spPr>
          </c:marker>
          <c:val>
            <c:numRef>
              <c:f>Gases!$N$26:$N$505</c:f>
              <c:numCache>
                <c:formatCode>General</c:formatCode>
                <c:ptCount val="48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pt idx="371">
                  <c:v>0.0</c:v>
                </c:pt>
                <c:pt idx="372">
                  <c:v>0.0</c:v>
                </c:pt>
                <c:pt idx="373">
                  <c:v>0.0</c:v>
                </c:pt>
                <c:pt idx="374">
                  <c:v>0.0</c:v>
                </c:pt>
                <c:pt idx="375">
                  <c:v>0.0</c:v>
                </c:pt>
                <c:pt idx="376">
                  <c:v>0.0</c:v>
                </c:pt>
                <c:pt idx="377">
                  <c:v>0.0</c:v>
                </c:pt>
                <c:pt idx="378">
                  <c:v>0.0</c:v>
                </c:pt>
                <c:pt idx="379">
                  <c:v>0.0</c:v>
                </c:pt>
                <c:pt idx="380">
                  <c:v>0.0</c:v>
                </c:pt>
                <c:pt idx="381">
                  <c:v>0.0</c:v>
                </c:pt>
                <c:pt idx="382">
                  <c:v>0.0</c:v>
                </c:pt>
                <c:pt idx="383">
                  <c:v>0.0</c:v>
                </c:pt>
                <c:pt idx="384">
                  <c:v>0.0</c:v>
                </c:pt>
                <c:pt idx="385">
                  <c:v>0.0</c:v>
                </c:pt>
                <c:pt idx="386">
                  <c:v>0.0</c:v>
                </c:pt>
                <c:pt idx="387">
                  <c:v>0.0</c:v>
                </c:pt>
                <c:pt idx="388">
                  <c:v>0.0</c:v>
                </c:pt>
                <c:pt idx="389">
                  <c:v>0.0</c:v>
                </c:pt>
                <c:pt idx="390">
                  <c:v>0.0</c:v>
                </c:pt>
                <c:pt idx="391">
                  <c:v>0.0</c:v>
                </c:pt>
                <c:pt idx="392">
                  <c:v>0.0</c:v>
                </c:pt>
                <c:pt idx="393">
                  <c:v>0.0</c:v>
                </c:pt>
                <c:pt idx="394">
                  <c:v>0.0</c:v>
                </c:pt>
                <c:pt idx="395">
                  <c:v>0.0</c:v>
                </c:pt>
                <c:pt idx="396">
                  <c:v>0.0</c:v>
                </c:pt>
                <c:pt idx="397">
                  <c:v>0.0</c:v>
                </c:pt>
                <c:pt idx="398">
                  <c:v>0.0</c:v>
                </c:pt>
                <c:pt idx="399">
                  <c:v>0.0</c:v>
                </c:pt>
                <c:pt idx="400">
                  <c:v>0.0</c:v>
                </c:pt>
                <c:pt idx="401">
                  <c:v>0.0</c:v>
                </c:pt>
                <c:pt idx="402">
                  <c:v>0.0</c:v>
                </c:pt>
                <c:pt idx="403">
                  <c:v>0.0</c:v>
                </c:pt>
                <c:pt idx="404">
                  <c:v>0.0</c:v>
                </c:pt>
                <c:pt idx="405">
                  <c:v>0.0</c:v>
                </c:pt>
                <c:pt idx="406">
                  <c:v>0.0</c:v>
                </c:pt>
                <c:pt idx="407">
                  <c:v>0.0</c:v>
                </c:pt>
                <c:pt idx="408">
                  <c:v>0.0</c:v>
                </c:pt>
                <c:pt idx="409">
                  <c:v>0.0</c:v>
                </c:pt>
                <c:pt idx="410">
                  <c:v>0.0</c:v>
                </c:pt>
                <c:pt idx="411">
                  <c:v>0.0</c:v>
                </c:pt>
                <c:pt idx="412">
                  <c:v>0.0</c:v>
                </c:pt>
                <c:pt idx="413">
                  <c:v>0.0</c:v>
                </c:pt>
                <c:pt idx="414">
                  <c:v>0.0</c:v>
                </c:pt>
                <c:pt idx="415">
                  <c:v>0.0</c:v>
                </c:pt>
                <c:pt idx="416">
                  <c:v>0.0</c:v>
                </c:pt>
                <c:pt idx="417">
                  <c:v>0.0</c:v>
                </c:pt>
                <c:pt idx="418">
                  <c:v>0.0</c:v>
                </c:pt>
                <c:pt idx="419">
                  <c:v>0.0</c:v>
                </c:pt>
                <c:pt idx="420">
                  <c:v>0.0</c:v>
                </c:pt>
                <c:pt idx="421">
                  <c:v>0.0</c:v>
                </c:pt>
                <c:pt idx="422">
                  <c:v>0.0</c:v>
                </c:pt>
                <c:pt idx="423">
                  <c:v>0.0</c:v>
                </c:pt>
                <c:pt idx="424">
                  <c:v>0.0</c:v>
                </c:pt>
                <c:pt idx="425">
                  <c:v>0.0</c:v>
                </c:pt>
                <c:pt idx="426">
                  <c:v>0.0</c:v>
                </c:pt>
                <c:pt idx="427">
                  <c:v>0.0</c:v>
                </c:pt>
                <c:pt idx="428">
                  <c:v>0.0</c:v>
                </c:pt>
                <c:pt idx="429">
                  <c:v>0.0</c:v>
                </c:pt>
                <c:pt idx="430">
                  <c:v>0.0</c:v>
                </c:pt>
                <c:pt idx="431">
                  <c:v>0.0</c:v>
                </c:pt>
                <c:pt idx="432">
                  <c:v>0.0</c:v>
                </c:pt>
                <c:pt idx="433">
                  <c:v>0.0</c:v>
                </c:pt>
                <c:pt idx="434">
                  <c:v>0.0</c:v>
                </c:pt>
                <c:pt idx="435">
                  <c:v>0.0</c:v>
                </c:pt>
                <c:pt idx="436">
                  <c:v>0.0</c:v>
                </c:pt>
                <c:pt idx="437">
                  <c:v>0.0</c:v>
                </c:pt>
                <c:pt idx="438">
                  <c:v>0.0</c:v>
                </c:pt>
                <c:pt idx="439">
                  <c:v>0.0</c:v>
                </c:pt>
                <c:pt idx="440">
                  <c:v>0.0</c:v>
                </c:pt>
                <c:pt idx="441">
                  <c:v>0.0</c:v>
                </c:pt>
                <c:pt idx="442">
                  <c:v>0.0</c:v>
                </c:pt>
                <c:pt idx="443">
                  <c:v>0.0</c:v>
                </c:pt>
                <c:pt idx="444">
                  <c:v>0.0</c:v>
                </c:pt>
                <c:pt idx="445">
                  <c:v>0.0</c:v>
                </c:pt>
                <c:pt idx="446">
                  <c:v>0.0</c:v>
                </c:pt>
                <c:pt idx="447">
                  <c:v>0.0</c:v>
                </c:pt>
                <c:pt idx="448">
                  <c:v>0.0</c:v>
                </c:pt>
                <c:pt idx="449">
                  <c:v>0.0</c:v>
                </c:pt>
                <c:pt idx="450">
                  <c:v>0.0</c:v>
                </c:pt>
                <c:pt idx="451">
                  <c:v>0.0</c:v>
                </c:pt>
                <c:pt idx="452">
                  <c:v>0.0</c:v>
                </c:pt>
                <c:pt idx="453">
                  <c:v>0.0</c:v>
                </c:pt>
                <c:pt idx="454">
                  <c:v>0.0</c:v>
                </c:pt>
                <c:pt idx="455">
                  <c:v>0.0</c:v>
                </c:pt>
                <c:pt idx="456">
                  <c:v>0.0</c:v>
                </c:pt>
                <c:pt idx="457">
                  <c:v>0.0</c:v>
                </c:pt>
                <c:pt idx="458">
                  <c:v>0.0</c:v>
                </c:pt>
                <c:pt idx="459">
                  <c:v>0.0</c:v>
                </c:pt>
                <c:pt idx="460">
                  <c:v>0.0</c:v>
                </c:pt>
                <c:pt idx="461">
                  <c:v>0.0</c:v>
                </c:pt>
                <c:pt idx="462">
                  <c:v>0.0</c:v>
                </c:pt>
                <c:pt idx="463">
                  <c:v>0.0</c:v>
                </c:pt>
                <c:pt idx="464">
                  <c:v>0.0</c:v>
                </c:pt>
                <c:pt idx="465">
                  <c:v>0.0</c:v>
                </c:pt>
                <c:pt idx="466">
                  <c:v>0.0</c:v>
                </c:pt>
                <c:pt idx="467">
                  <c:v>0.0</c:v>
                </c:pt>
                <c:pt idx="468">
                  <c:v>0.0</c:v>
                </c:pt>
                <c:pt idx="469">
                  <c:v>0.0</c:v>
                </c:pt>
                <c:pt idx="470">
                  <c:v>0.0</c:v>
                </c:pt>
                <c:pt idx="471">
                  <c:v>0.0</c:v>
                </c:pt>
                <c:pt idx="472">
                  <c:v>0.0</c:v>
                </c:pt>
                <c:pt idx="473">
                  <c:v>0.0</c:v>
                </c:pt>
                <c:pt idx="474">
                  <c:v>0.0</c:v>
                </c:pt>
                <c:pt idx="475">
                  <c:v>0.0</c:v>
                </c:pt>
                <c:pt idx="476">
                  <c:v>0.0</c:v>
                </c:pt>
                <c:pt idx="477">
                  <c:v>0.0</c:v>
                </c:pt>
                <c:pt idx="478">
                  <c:v>0.0</c:v>
                </c:pt>
                <c:pt idx="479">
                  <c:v>0.0</c:v>
                </c:pt>
              </c:numCache>
            </c:numRef>
          </c:val>
          <c:smooth val="0"/>
          <c:extLst xmlns:c16r2="http://schemas.microsoft.com/office/drawing/2015/06/chart">
            <c:ext xmlns:c16="http://schemas.microsoft.com/office/drawing/2014/chart" uri="{C3380CC4-5D6E-409C-BE32-E72D297353CC}">
              <c16:uniqueId val="{00000004-477F-4275-9F3A-00C4635A0716}"/>
            </c:ext>
          </c:extLst>
        </c:ser>
        <c:ser>
          <c:idx val="3"/>
          <c:order val="4"/>
          <c:tx>
            <c:strRef>
              <c:f>Gases!$P$8</c:f>
              <c:strCache>
                <c:ptCount val="1"/>
                <c:pt idx="0">
                  <c:v>O2</c:v>
                </c:pt>
              </c:strCache>
            </c:strRef>
          </c:tx>
          <c:spPr>
            <a:ln w="12700">
              <a:solidFill>
                <a:srgbClr val="008000"/>
              </a:solidFill>
              <a:prstDash val="solid"/>
            </a:ln>
          </c:spPr>
          <c:marker>
            <c:symbol val="square"/>
            <c:size val="5"/>
            <c:spPr>
              <a:solidFill>
                <a:srgbClr val="008000"/>
              </a:solidFill>
              <a:ln>
                <a:solidFill>
                  <a:srgbClr val="008000"/>
                </a:solidFill>
                <a:prstDash val="solid"/>
              </a:ln>
            </c:spPr>
          </c:marker>
          <c:val>
            <c:numRef>
              <c:f>Gases!$P$26:$P$505</c:f>
              <c:numCache>
                <c:formatCode>General</c:formatCode>
                <c:ptCount val="480"/>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pt idx="51">
                  <c:v>0.0</c:v>
                </c:pt>
                <c:pt idx="52">
                  <c:v>0.0</c:v>
                </c:pt>
                <c:pt idx="53">
                  <c:v>0.0</c:v>
                </c:pt>
                <c:pt idx="54">
                  <c:v>0.0</c:v>
                </c:pt>
                <c:pt idx="55">
                  <c:v>0.0</c:v>
                </c:pt>
                <c:pt idx="56">
                  <c:v>0.0</c:v>
                </c:pt>
                <c:pt idx="57">
                  <c:v>0.0</c:v>
                </c:pt>
                <c:pt idx="58">
                  <c:v>0.0</c:v>
                </c:pt>
                <c:pt idx="59">
                  <c:v>0.0</c:v>
                </c:pt>
                <c:pt idx="60">
                  <c:v>0.0</c:v>
                </c:pt>
                <c:pt idx="61">
                  <c:v>0.0</c:v>
                </c:pt>
                <c:pt idx="62">
                  <c:v>0.0</c:v>
                </c:pt>
                <c:pt idx="63">
                  <c:v>0.0</c:v>
                </c:pt>
                <c:pt idx="64">
                  <c:v>0.0</c:v>
                </c:pt>
                <c:pt idx="65">
                  <c:v>0.0</c:v>
                </c:pt>
                <c:pt idx="66">
                  <c:v>0.0</c:v>
                </c:pt>
                <c:pt idx="67">
                  <c:v>0.0</c:v>
                </c:pt>
                <c:pt idx="68">
                  <c:v>0.0</c:v>
                </c:pt>
                <c:pt idx="69">
                  <c:v>0.0</c:v>
                </c:pt>
                <c:pt idx="70">
                  <c:v>0.0</c:v>
                </c:pt>
                <c:pt idx="71">
                  <c:v>0.0</c:v>
                </c:pt>
                <c:pt idx="72">
                  <c:v>0.0</c:v>
                </c:pt>
                <c:pt idx="73">
                  <c:v>0.0</c:v>
                </c:pt>
                <c:pt idx="74">
                  <c:v>0.0</c:v>
                </c:pt>
                <c:pt idx="75">
                  <c:v>0.0</c:v>
                </c:pt>
                <c:pt idx="76">
                  <c:v>0.0</c:v>
                </c:pt>
                <c:pt idx="77">
                  <c:v>0.0</c:v>
                </c:pt>
                <c:pt idx="78">
                  <c:v>0.0</c:v>
                </c:pt>
                <c:pt idx="79">
                  <c:v>0.0</c:v>
                </c:pt>
                <c:pt idx="80">
                  <c:v>0.0</c:v>
                </c:pt>
                <c:pt idx="81">
                  <c:v>0.0</c:v>
                </c:pt>
                <c:pt idx="82">
                  <c:v>0.0</c:v>
                </c:pt>
                <c:pt idx="83">
                  <c:v>0.0</c:v>
                </c:pt>
                <c:pt idx="84">
                  <c:v>0.0</c:v>
                </c:pt>
                <c:pt idx="85">
                  <c:v>0.0</c:v>
                </c:pt>
                <c:pt idx="86">
                  <c:v>0.0</c:v>
                </c:pt>
                <c:pt idx="87">
                  <c:v>0.0</c:v>
                </c:pt>
                <c:pt idx="88">
                  <c:v>0.0</c:v>
                </c:pt>
                <c:pt idx="89">
                  <c:v>0.0</c:v>
                </c:pt>
                <c:pt idx="90">
                  <c:v>0.0</c:v>
                </c:pt>
                <c:pt idx="91">
                  <c:v>0.0</c:v>
                </c:pt>
                <c:pt idx="92">
                  <c:v>0.0</c:v>
                </c:pt>
                <c:pt idx="93">
                  <c:v>0.0</c:v>
                </c:pt>
                <c:pt idx="94">
                  <c:v>0.0</c:v>
                </c:pt>
                <c:pt idx="95">
                  <c:v>0.0</c:v>
                </c:pt>
                <c:pt idx="96">
                  <c:v>0.0</c:v>
                </c:pt>
                <c:pt idx="97">
                  <c:v>0.0</c:v>
                </c:pt>
                <c:pt idx="98">
                  <c:v>0.0</c:v>
                </c:pt>
                <c:pt idx="99">
                  <c:v>0.0</c:v>
                </c:pt>
                <c:pt idx="100">
                  <c:v>0.0</c:v>
                </c:pt>
                <c:pt idx="101">
                  <c:v>0.0</c:v>
                </c:pt>
                <c:pt idx="102">
                  <c:v>0.0</c:v>
                </c:pt>
                <c:pt idx="103">
                  <c:v>0.0</c:v>
                </c:pt>
                <c:pt idx="104">
                  <c:v>0.0</c:v>
                </c:pt>
                <c:pt idx="105">
                  <c:v>0.0</c:v>
                </c:pt>
                <c:pt idx="106">
                  <c:v>0.0</c:v>
                </c:pt>
                <c:pt idx="107">
                  <c:v>0.0</c:v>
                </c:pt>
                <c:pt idx="108">
                  <c:v>0.0</c:v>
                </c:pt>
                <c:pt idx="109">
                  <c:v>0.0</c:v>
                </c:pt>
                <c:pt idx="110">
                  <c:v>0.0</c:v>
                </c:pt>
                <c:pt idx="111">
                  <c:v>0.0</c:v>
                </c:pt>
                <c:pt idx="112">
                  <c:v>0.0</c:v>
                </c:pt>
                <c:pt idx="113">
                  <c:v>0.0</c:v>
                </c:pt>
                <c:pt idx="114">
                  <c:v>0.0</c:v>
                </c:pt>
                <c:pt idx="115">
                  <c:v>0.0</c:v>
                </c:pt>
                <c:pt idx="116">
                  <c:v>0.0</c:v>
                </c:pt>
                <c:pt idx="117">
                  <c:v>0.0</c:v>
                </c:pt>
                <c:pt idx="118">
                  <c:v>0.0</c:v>
                </c:pt>
                <c:pt idx="119">
                  <c:v>0.0</c:v>
                </c:pt>
                <c:pt idx="120">
                  <c:v>0.0</c:v>
                </c:pt>
                <c:pt idx="121">
                  <c:v>0.0</c:v>
                </c:pt>
                <c:pt idx="122">
                  <c:v>0.0</c:v>
                </c:pt>
                <c:pt idx="123">
                  <c:v>0.0</c:v>
                </c:pt>
                <c:pt idx="124">
                  <c:v>0.0</c:v>
                </c:pt>
                <c:pt idx="125">
                  <c:v>0.0</c:v>
                </c:pt>
                <c:pt idx="126">
                  <c:v>0.0</c:v>
                </c:pt>
                <c:pt idx="127">
                  <c:v>0.0</c:v>
                </c:pt>
                <c:pt idx="128">
                  <c:v>0.0</c:v>
                </c:pt>
                <c:pt idx="129">
                  <c:v>0.0</c:v>
                </c:pt>
                <c:pt idx="130">
                  <c:v>0.0</c:v>
                </c:pt>
                <c:pt idx="131">
                  <c:v>0.0</c:v>
                </c:pt>
                <c:pt idx="132">
                  <c:v>0.0</c:v>
                </c:pt>
                <c:pt idx="133">
                  <c:v>0.0</c:v>
                </c:pt>
                <c:pt idx="134">
                  <c:v>0.0</c:v>
                </c:pt>
                <c:pt idx="135">
                  <c:v>0.0</c:v>
                </c:pt>
                <c:pt idx="136">
                  <c:v>0.0</c:v>
                </c:pt>
                <c:pt idx="137">
                  <c:v>0.0</c:v>
                </c:pt>
                <c:pt idx="138">
                  <c:v>0.0</c:v>
                </c:pt>
                <c:pt idx="139">
                  <c:v>0.0</c:v>
                </c:pt>
                <c:pt idx="140">
                  <c:v>0.0</c:v>
                </c:pt>
                <c:pt idx="141">
                  <c:v>0.0</c:v>
                </c:pt>
                <c:pt idx="142">
                  <c:v>0.0</c:v>
                </c:pt>
                <c:pt idx="143">
                  <c:v>0.0</c:v>
                </c:pt>
                <c:pt idx="144">
                  <c:v>0.0</c:v>
                </c:pt>
                <c:pt idx="145">
                  <c:v>0.0</c:v>
                </c:pt>
                <c:pt idx="146">
                  <c:v>0.0</c:v>
                </c:pt>
                <c:pt idx="147">
                  <c:v>0.0</c:v>
                </c:pt>
                <c:pt idx="148">
                  <c:v>0.0</c:v>
                </c:pt>
                <c:pt idx="149">
                  <c:v>0.0</c:v>
                </c:pt>
                <c:pt idx="150">
                  <c:v>0.0</c:v>
                </c:pt>
                <c:pt idx="151">
                  <c:v>0.0</c:v>
                </c:pt>
                <c:pt idx="152">
                  <c:v>0.0</c:v>
                </c:pt>
                <c:pt idx="153">
                  <c:v>0.0</c:v>
                </c:pt>
                <c:pt idx="154">
                  <c:v>0.0</c:v>
                </c:pt>
                <c:pt idx="155">
                  <c:v>0.0</c:v>
                </c:pt>
                <c:pt idx="156">
                  <c:v>0.0</c:v>
                </c:pt>
                <c:pt idx="157">
                  <c:v>0.0</c:v>
                </c:pt>
                <c:pt idx="158">
                  <c:v>0.0</c:v>
                </c:pt>
                <c:pt idx="159">
                  <c:v>0.0</c:v>
                </c:pt>
                <c:pt idx="160">
                  <c:v>0.0</c:v>
                </c:pt>
                <c:pt idx="161">
                  <c:v>0.0</c:v>
                </c:pt>
                <c:pt idx="162">
                  <c:v>0.0</c:v>
                </c:pt>
                <c:pt idx="163">
                  <c:v>0.0</c:v>
                </c:pt>
                <c:pt idx="164">
                  <c:v>0.0</c:v>
                </c:pt>
                <c:pt idx="165">
                  <c:v>0.0</c:v>
                </c:pt>
                <c:pt idx="166">
                  <c:v>0.0</c:v>
                </c:pt>
                <c:pt idx="167">
                  <c:v>0.0</c:v>
                </c:pt>
                <c:pt idx="168">
                  <c:v>0.0</c:v>
                </c:pt>
                <c:pt idx="169">
                  <c:v>0.0</c:v>
                </c:pt>
                <c:pt idx="170">
                  <c:v>0.0</c:v>
                </c:pt>
                <c:pt idx="171">
                  <c:v>0.0</c:v>
                </c:pt>
                <c:pt idx="172">
                  <c:v>0.0</c:v>
                </c:pt>
                <c:pt idx="173">
                  <c:v>0.0</c:v>
                </c:pt>
                <c:pt idx="174">
                  <c:v>0.0</c:v>
                </c:pt>
                <c:pt idx="175">
                  <c:v>0.0</c:v>
                </c:pt>
                <c:pt idx="176">
                  <c:v>0.0</c:v>
                </c:pt>
                <c:pt idx="177">
                  <c:v>0.0</c:v>
                </c:pt>
                <c:pt idx="178">
                  <c:v>0.0</c:v>
                </c:pt>
                <c:pt idx="179">
                  <c:v>0.0</c:v>
                </c:pt>
                <c:pt idx="180">
                  <c:v>0.0</c:v>
                </c:pt>
                <c:pt idx="181">
                  <c:v>0.0</c:v>
                </c:pt>
                <c:pt idx="182">
                  <c:v>0.0</c:v>
                </c:pt>
                <c:pt idx="183">
                  <c:v>0.0</c:v>
                </c:pt>
                <c:pt idx="184">
                  <c:v>0.0</c:v>
                </c:pt>
                <c:pt idx="185">
                  <c:v>0.0</c:v>
                </c:pt>
                <c:pt idx="186">
                  <c:v>0.0</c:v>
                </c:pt>
                <c:pt idx="187">
                  <c:v>0.0</c:v>
                </c:pt>
                <c:pt idx="188">
                  <c:v>0.0</c:v>
                </c:pt>
                <c:pt idx="189">
                  <c:v>0.0</c:v>
                </c:pt>
                <c:pt idx="190">
                  <c:v>0.0</c:v>
                </c:pt>
                <c:pt idx="191">
                  <c:v>0.0</c:v>
                </c:pt>
                <c:pt idx="192">
                  <c:v>0.0</c:v>
                </c:pt>
                <c:pt idx="193">
                  <c:v>0.0</c:v>
                </c:pt>
                <c:pt idx="194">
                  <c:v>0.0</c:v>
                </c:pt>
                <c:pt idx="195">
                  <c:v>0.0</c:v>
                </c:pt>
                <c:pt idx="196">
                  <c:v>0.0</c:v>
                </c:pt>
                <c:pt idx="197">
                  <c:v>0.0</c:v>
                </c:pt>
                <c:pt idx="198">
                  <c:v>0.0</c:v>
                </c:pt>
                <c:pt idx="199">
                  <c:v>0.0</c:v>
                </c:pt>
                <c:pt idx="200">
                  <c:v>0.0</c:v>
                </c:pt>
                <c:pt idx="201">
                  <c:v>0.0</c:v>
                </c:pt>
                <c:pt idx="202">
                  <c:v>0.0</c:v>
                </c:pt>
                <c:pt idx="203">
                  <c:v>0.0</c:v>
                </c:pt>
                <c:pt idx="204">
                  <c:v>0.0</c:v>
                </c:pt>
                <c:pt idx="205">
                  <c:v>0.0</c:v>
                </c:pt>
                <c:pt idx="206">
                  <c:v>0.0</c:v>
                </c:pt>
                <c:pt idx="207">
                  <c:v>0.0</c:v>
                </c:pt>
                <c:pt idx="208">
                  <c:v>0.0</c:v>
                </c:pt>
                <c:pt idx="209">
                  <c:v>0.0</c:v>
                </c:pt>
                <c:pt idx="210">
                  <c:v>0.0</c:v>
                </c:pt>
                <c:pt idx="211">
                  <c:v>0.0</c:v>
                </c:pt>
                <c:pt idx="212">
                  <c:v>0.0</c:v>
                </c:pt>
                <c:pt idx="213">
                  <c:v>0.0</c:v>
                </c:pt>
                <c:pt idx="214">
                  <c:v>0.0</c:v>
                </c:pt>
                <c:pt idx="215">
                  <c:v>0.0</c:v>
                </c:pt>
                <c:pt idx="216">
                  <c:v>0.0</c:v>
                </c:pt>
                <c:pt idx="217">
                  <c:v>0.0</c:v>
                </c:pt>
                <c:pt idx="218">
                  <c:v>0.0</c:v>
                </c:pt>
                <c:pt idx="219">
                  <c:v>0.0</c:v>
                </c:pt>
                <c:pt idx="220">
                  <c:v>0.0</c:v>
                </c:pt>
                <c:pt idx="221">
                  <c:v>0.0</c:v>
                </c:pt>
                <c:pt idx="222">
                  <c:v>0.0</c:v>
                </c:pt>
                <c:pt idx="223">
                  <c:v>0.0</c:v>
                </c:pt>
                <c:pt idx="224">
                  <c:v>0.0</c:v>
                </c:pt>
                <c:pt idx="225">
                  <c:v>0.0</c:v>
                </c:pt>
                <c:pt idx="226">
                  <c:v>0.0</c:v>
                </c:pt>
                <c:pt idx="227">
                  <c:v>0.0</c:v>
                </c:pt>
                <c:pt idx="228">
                  <c:v>0.0</c:v>
                </c:pt>
                <c:pt idx="229">
                  <c:v>0.0</c:v>
                </c:pt>
                <c:pt idx="230">
                  <c:v>0.0</c:v>
                </c:pt>
                <c:pt idx="231">
                  <c:v>0.0</c:v>
                </c:pt>
                <c:pt idx="232">
                  <c:v>0.0</c:v>
                </c:pt>
                <c:pt idx="233">
                  <c:v>0.0</c:v>
                </c:pt>
                <c:pt idx="234">
                  <c:v>0.0</c:v>
                </c:pt>
                <c:pt idx="235">
                  <c:v>0.0</c:v>
                </c:pt>
                <c:pt idx="236">
                  <c:v>0.0</c:v>
                </c:pt>
                <c:pt idx="237">
                  <c:v>0.0</c:v>
                </c:pt>
                <c:pt idx="238">
                  <c:v>0.0</c:v>
                </c:pt>
                <c:pt idx="239">
                  <c:v>0.0</c:v>
                </c:pt>
                <c:pt idx="240">
                  <c:v>0.0</c:v>
                </c:pt>
                <c:pt idx="241">
                  <c:v>0.0</c:v>
                </c:pt>
                <c:pt idx="242">
                  <c:v>0.0</c:v>
                </c:pt>
                <c:pt idx="243">
                  <c:v>0.0</c:v>
                </c:pt>
                <c:pt idx="244">
                  <c:v>0.0</c:v>
                </c:pt>
                <c:pt idx="245">
                  <c:v>0.0</c:v>
                </c:pt>
                <c:pt idx="246">
                  <c:v>0.0</c:v>
                </c:pt>
                <c:pt idx="247">
                  <c:v>0.0</c:v>
                </c:pt>
                <c:pt idx="248">
                  <c:v>0.0</c:v>
                </c:pt>
                <c:pt idx="249">
                  <c:v>0.0</c:v>
                </c:pt>
                <c:pt idx="250">
                  <c:v>0.0</c:v>
                </c:pt>
                <c:pt idx="251">
                  <c:v>0.0</c:v>
                </c:pt>
                <c:pt idx="252">
                  <c:v>0.0</c:v>
                </c:pt>
                <c:pt idx="253">
                  <c:v>0.0</c:v>
                </c:pt>
                <c:pt idx="254">
                  <c:v>0.0</c:v>
                </c:pt>
                <c:pt idx="255">
                  <c:v>0.0</c:v>
                </c:pt>
                <c:pt idx="256">
                  <c:v>0.0</c:v>
                </c:pt>
                <c:pt idx="257">
                  <c:v>0.0</c:v>
                </c:pt>
                <c:pt idx="258">
                  <c:v>0.0</c:v>
                </c:pt>
                <c:pt idx="259">
                  <c:v>0.0</c:v>
                </c:pt>
                <c:pt idx="260">
                  <c:v>0.0</c:v>
                </c:pt>
                <c:pt idx="261">
                  <c:v>0.0</c:v>
                </c:pt>
                <c:pt idx="262">
                  <c:v>0.0</c:v>
                </c:pt>
                <c:pt idx="263">
                  <c:v>0.0</c:v>
                </c:pt>
                <c:pt idx="264">
                  <c:v>0.0</c:v>
                </c:pt>
                <c:pt idx="265">
                  <c:v>0.0</c:v>
                </c:pt>
                <c:pt idx="266">
                  <c:v>0.0</c:v>
                </c:pt>
                <c:pt idx="267">
                  <c:v>0.0</c:v>
                </c:pt>
                <c:pt idx="268">
                  <c:v>0.0</c:v>
                </c:pt>
                <c:pt idx="269">
                  <c:v>0.0</c:v>
                </c:pt>
                <c:pt idx="270">
                  <c:v>0.0</c:v>
                </c:pt>
                <c:pt idx="271">
                  <c:v>0.0</c:v>
                </c:pt>
                <c:pt idx="272">
                  <c:v>0.0</c:v>
                </c:pt>
                <c:pt idx="273">
                  <c:v>0.0</c:v>
                </c:pt>
                <c:pt idx="274">
                  <c:v>0.0</c:v>
                </c:pt>
                <c:pt idx="275">
                  <c:v>0.0</c:v>
                </c:pt>
                <c:pt idx="276">
                  <c:v>0.0</c:v>
                </c:pt>
                <c:pt idx="277">
                  <c:v>0.0</c:v>
                </c:pt>
                <c:pt idx="278">
                  <c:v>0.0</c:v>
                </c:pt>
                <c:pt idx="279">
                  <c:v>0.0</c:v>
                </c:pt>
                <c:pt idx="280">
                  <c:v>0.0</c:v>
                </c:pt>
                <c:pt idx="281">
                  <c:v>0.0</c:v>
                </c:pt>
                <c:pt idx="282">
                  <c:v>0.0</c:v>
                </c:pt>
                <c:pt idx="283">
                  <c:v>0.0</c:v>
                </c:pt>
                <c:pt idx="284">
                  <c:v>0.0</c:v>
                </c:pt>
                <c:pt idx="285">
                  <c:v>0.0</c:v>
                </c:pt>
                <c:pt idx="286">
                  <c:v>0.0</c:v>
                </c:pt>
                <c:pt idx="287">
                  <c:v>0.0</c:v>
                </c:pt>
                <c:pt idx="288">
                  <c:v>0.0</c:v>
                </c:pt>
                <c:pt idx="289">
                  <c:v>0.0</c:v>
                </c:pt>
                <c:pt idx="290">
                  <c:v>0.0</c:v>
                </c:pt>
                <c:pt idx="291">
                  <c:v>0.0</c:v>
                </c:pt>
                <c:pt idx="292">
                  <c:v>0.0</c:v>
                </c:pt>
                <c:pt idx="293">
                  <c:v>0.0</c:v>
                </c:pt>
                <c:pt idx="294">
                  <c:v>0.0</c:v>
                </c:pt>
                <c:pt idx="295">
                  <c:v>0.0</c:v>
                </c:pt>
                <c:pt idx="296">
                  <c:v>0.0</c:v>
                </c:pt>
                <c:pt idx="297">
                  <c:v>0.0</c:v>
                </c:pt>
                <c:pt idx="298">
                  <c:v>0.0</c:v>
                </c:pt>
                <c:pt idx="299">
                  <c:v>0.0</c:v>
                </c:pt>
                <c:pt idx="300">
                  <c:v>0.0</c:v>
                </c:pt>
                <c:pt idx="301">
                  <c:v>0.0</c:v>
                </c:pt>
                <c:pt idx="302">
                  <c:v>0.0</c:v>
                </c:pt>
                <c:pt idx="303">
                  <c:v>0.0</c:v>
                </c:pt>
                <c:pt idx="304">
                  <c:v>0.0</c:v>
                </c:pt>
                <c:pt idx="305">
                  <c:v>0.0</c:v>
                </c:pt>
                <c:pt idx="306">
                  <c:v>0.0</c:v>
                </c:pt>
                <c:pt idx="307">
                  <c:v>0.0</c:v>
                </c:pt>
                <c:pt idx="308">
                  <c:v>0.0</c:v>
                </c:pt>
                <c:pt idx="309">
                  <c:v>0.0</c:v>
                </c:pt>
                <c:pt idx="310">
                  <c:v>0.0</c:v>
                </c:pt>
                <c:pt idx="311">
                  <c:v>0.0</c:v>
                </c:pt>
                <c:pt idx="312">
                  <c:v>0.0</c:v>
                </c:pt>
                <c:pt idx="313">
                  <c:v>0.0</c:v>
                </c:pt>
                <c:pt idx="314">
                  <c:v>0.0</c:v>
                </c:pt>
                <c:pt idx="315">
                  <c:v>0.0</c:v>
                </c:pt>
                <c:pt idx="316">
                  <c:v>0.0</c:v>
                </c:pt>
                <c:pt idx="317">
                  <c:v>0.0</c:v>
                </c:pt>
                <c:pt idx="318">
                  <c:v>0.0</c:v>
                </c:pt>
                <c:pt idx="319">
                  <c:v>0.0</c:v>
                </c:pt>
                <c:pt idx="320">
                  <c:v>0.0</c:v>
                </c:pt>
                <c:pt idx="321">
                  <c:v>0.0</c:v>
                </c:pt>
                <c:pt idx="322">
                  <c:v>0.0</c:v>
                </c:pt>
                <c:pt idx="323">
                  <c:v>0.0</c:v>
                </c:pt>
                <c:pt idx="324">
                  <c:v>0.0</c:v>
                </c:pt>
                <c:pt idx="325">
                  <c:v>0.0</c:v>
                </c:pt>
                <c:pt idx="326">
                  <c:v>0.0</c:v>
                </c:pt>
                <c:pt idx="327">
                  <c:v>0.0</c:v>
                </c:pt>
                <c:pt idx="328">
                  <c:v>0.0</c:v>
                </c:pt>
                <c:pt idx="329">
                  <c:v>0.0</c:v>
                </c:pt>
                <c:pt idx="330">
                  <c:v>0.0</c:v>
                </c:pt>
                <c:pt idx="331">
                  <c:v>0.0</c:v>
                </c:pt>
                <c:pt idx="332">
                  <c:v>0.0</c:v>
                </c:pt>
                <c:pt idx="333">
                  <c:v>0.0</c:v>
                </c:pt>
                <c:pt idx="334">
                  <c:v>0.0</c:v>
                </c:pt>
                <c:pt idx="335">
                  <c:v>0.0</c:v>
                </c:pt>
                <c:pt idx="336">
                  <c:v>0.0</c:v>
                </c:pt>
                <c:pt idx="337">
                  <c:v>0.0</c:v>
                </c:pt>
                <c:pt idx="338">
                  <c:v>0.0</c:v>
                </c:pt>
                <c:pt idx="339">
                  <c:v>0.0</c:v>
                </c:pt>
                <c:pt idx="340">
                  <c:v>0.0</c:v>
                </c:pt>
                <c:pt idx="341">
                  <c:v>0.0</c:v>
                </c:pt>
                <c:pt idx="342">
                  <c:v>0.0</c:v>
                </c:pt>
                <c:pt idx="343">
                  <c:v>0.0</c:v>
                </c:pt>
                <c:pt idx="344">
                  <c:v>0.0</c:v>
                </c:pt>
                <c:pt idx="345">
                  <c:v>0.0</c:v>
                </c:pt>
                <c:pt idx="346">
                  <c:v>0.0</c:v>
                </c:pt>
                <c:pt idx="347">
                  <c:v>0.0</c:v>
                </c:pt>
                <c:pt idx="348">
                  <c:v>0.0</c:v>
                </c:pt>
                <c:pt idx="349">
                  <c:v>0.0</c:v>
                </c:pt>
                <c:pt idx="350">
                  <c:v>0.0</c:v>
                </c:pt>
                <c:pt idx="351">
                  <c:v>0.0</c:v>
                </c:pt>
                <c:pt idx="352">
                  <c:v>0.0</c:v>
                </c:pt>
                <c:pt idx="353">
                  <c:v>0.0</c:v>
                </c:pt>
                <c:pt idx="354">
                  <c:v>0.0</c:v>
                </c:pt>
                <c:pt idx="355">
                  <c:v>0.0</c:v>
                </c:pt>
                <c:pt idx="356">
                  <c:v>0.0</c:v>
                </c:pt>
                <c:pt idx="357">
                  <c:v>0.0</c:v>
                </c:pt>
                <c:pt idx="358">
                  <c:v>0.0</c:v>
                </c:pt>
                <c:pt idx="359">
                  <c:v>0.0</c:v>
                </c:pt>
                <c:pt idx="360">
                  <c:v>0.0</c:v>
                </c:pt>
                <c:pt idx="361">
                  <c:v>0.0</c:v>
                </c:pt>
                <c:pt idx="362">
                  <c:v>0.0</c:v>
                </c:pt>
                <c:pt idx="363">
                  <c:v>0.0</c:v>
                </c:pt>
                <c:pt idx="364">
                  <c:v>0.0</c:v>
                </c:pt>
                <c:pt idx="365">
                  <c:v>0.0</c:v>
                </c:pt>
                <c:pt idx="366">
                  <c:v>0.0</c:v>
                </c:pt>
                <c:pt idx="367">
                  <c:v>0.0</c:v>
                </c:pt>
                <c:pt idx="368">
                  <c:v>0.0</c:v>
                </c:pt>
                <c:pt idx="369">
                  <c:v>0.0</c:v>
                </c:pt>
                <c:pt idx="370">
                  <c:v>0.0</c:v>
                </c:pt>
                <c:pt idx="371">
                  <c:v>0.0</c:v>
                </c:pt>
                <c:pt idx="372">
                  <c:v>0.0</c:v>
                </c:pt>
                <c:pt idx="373">
                  <c:v>0.0</c:v>
                </c:pt>
                <c:pt idx="374">
                  <c:v>0.0</c:v>
                </c:pt>
                <c:pt idx="375">
                  <c:v>0.0</c:v>
                </c:pt>
                <c:pt idx="376">
                  <c:v>0.0</c:v>
                </c:pt>
                <c:pt idx="377">
                  <c:v>0.0</c:v>
                </c:pt>
                <c:pt idx="378">
                  <c:v>0.0</c:v>
                </c:pt>
                <c:pt idx="379">
                  <c:v>0.0</c:v>
                </c:pt>
                <c:pt idx="380">
                  <c:v>0.0</c:v>
                </c:pt>
                <c:pt idx="381">
                  <c:v>0.0</c:v>
                </c:pt>
                <c:pt idx="382">
                  <c:v>0.0</c:v>
                </c:pt>
                <c:pt idx="383">
                  <c:v>0.0</c:v>
                </c:pt>
                <c:pt idx="384">
                  <c:v>0.0</c:v>
                </c:pt>
                <c:pt idx="385">
                  <c:v>0.0</c:v>
                </c:pt>
                <c:pt idx="386">
                  <c:v>0.0</c:v>
                </c:pt>
                <c:pt idx="387">
                  <c:v>0.0</c:v>
                </c:pt>
                <c:pt idx="388">
                  <c:v>0.0</c:v>
                </c:pt>
                <c:pt idx="389">
                  <c:v>0.0</c:v>
                </c:pt>
                <c:pt idx="390">
                  <c:v>0.0</c:v>
                </c:pt>
                <c:pt idx="391">
                  <c:v>0.0</c:v>
                </c:pt>
                <c:pt idx="392">
                  <c:v>0.0</c:v>
                </c:pt>
                <c:pt idx="393">
                  <c:v>0.0</c:v>
                </c:pt>
                <c:pt idx="394">
                  <c:v>0.0</c:v>
                </c:pt>
                <c:pt idx="395">
                  <c:v>0.0</c:v>
                </c:pt>
                <c:pt idx="396">
                  <c:v>0.0</c:v>
                </c:pt>
                <c:pt idx="397">
                  <c:v>0.0</c:v>
                </c:pt>
                <c:pt idx="398">
                  <c:v>0.0</c:v>
                </c:pt>
                <c:pt idx="399">
                  <c:v>0.0</c:v>
                </c:pt>
                <c:pt idx="400">
                  <c:v>0.0</c:v>
                </c:pt>
                <c:pt idx="401">
                  <c:v>0.0</c:v>
                </c:pt>
                <c:pt idx="402">
                  <c:v>0.0</c:v>
                </c:pt>
                <c:pt idx="403">
                  <c:v>0.0</c:v>
                </c:pt>
                <c:pt idx="404">
                  <c:v>0.0</c:v>
                </c:pt>
                <c:pt idx="405">
                  <c:v>0.0</c:v>
                </c:pt>
                <c:pt idx="406">
                  <c:v>0.0</c:v>
                </c:pt>
                <c:pt idx="407">
                  <c:v>0.0</c:v>
                </c:pt>
                <c:pt idx="408">
                  <c:v>0.0</c:v>
                </c:pt>
                <c:pt idx="409">
                  <c:v>0.0</c:v>
                </c:pt>
                <c:pt idx="410">
                  <c:v>0.0</c:v>
                </c:pt>
                <c:pt idx="411">
                  <c:v>0.0</c:v>
                </c:pt>
                <c:pt idx="412">
                  <c:v>0.0</c:v>
                </c:pt>
                <c:pt idx="413">
                  <c:v>0.0</c:v>
                </c:pt>
                <c:pt idx="414">
                  <c:v>0.0</c:v>
                </c:pt>
                <c:pt idx="415">
                  <c:v>0.0</c:v>
                </c:pt>
                <c:pt idx="416">
                  <c:v>0.0</c:v>
                </c:pt>
                <c:pt idx="417">
                  <c:v>0.0</c:v>
                </c:pt>
                <c:pt idx="418">
                  <c:v>0.0</c:v>
                </c:pt>
                <c:pt idx="419">
                  <c:v>0.0</c:v>
                </c:pt>
                <c:pt idx="420">
                  <c:v>0.0</c:v>
                </c:pt>
                <c:pt idx="421">
                  <c:v>0.0</c:v>
                </c:pt>
                <c:pt idx="422">
                  <c:v>0.0</c:v>
                </c:pt>
                <c:pt idx="423">
                  <c:v>0.0</c:v>
                </c:pt>
                <c:pt idx="424">
                  <c:v>0.0</c:v>
                </c:pt>
                <c:pt idx="425">
                  <c:v>0.0</c:v>
                </c:pt>
                <c:pt idx="426">
                  <c:v>0.0</c:v>
                </c:pt>
                <c:pt idx="427">
                  <c:v>0.0</c:v>
                </c:pt>
                <c:pt idx="428">
                  <c:v>0.0</c:v>
                </c:pt>
                <c:pt idx="429">
                  <c:v>0.0</c:v>
                </c:pt>
                <c:pt idx="430">
                  <c:v>0.0</c:v>
                </c:pt>
                <c:pt idx="431">
                  <c:v>0.0</c:v>
                </c:pt>
                <c:pt idx="432">
                  <c:v>0.0</c:v>
                </c:pt>
                <c:pt idx="433">
                  <c:v>0.0</c:v>
                </c:pt>
                <c:pt idx="434">
                  <c:v>0.0</c:v>
                </c:pt>
                <c:pt idx="435">
                  <c:v>0.0</c:v>
                </c:pt>
                <c:pt idx="436">
                  <c:v>0.0</c:v>
                </c:pt>
                <c:pt idx="437">
                  <c:v>0.0</c:v>
                </c:pt>
                <c:pt idx="438">
                  <c:v>0.0</c:v>
                </c:pt>
                <c:pt idx="439">
                  <c:v>0.0</c:v>
                </c:pt>
                <c:pt idx="440">
                  <c:v>0.0</c:v>
                </c:pt>
                <c:pt idx="441">
                  <c:v>0.0</c:v>
                </c:pt>
                <c:pt idx="442">
                  <c:v>0.0</c:v>
                </c:pt>
                <c:pt idx="443">
                  <c:v>0.0</c:v>
                </c:pt>
                <c:pt idx="444">
                  <c:v>0.0</c:v>
                </c:pt>
                <c:pt idx="445">
                  <c:v>0.0</c:v>
                </c:pt>
                <c:pt idx="446">
                  <c:v>0.0</c:v>
                </c:pt>
                <c:pt idx="447">
                  <c:v>0.0</c:v>
                </c:pt>
                <c:pt idx="448">
                  <c:v>0.0</c:v>
                </c:pt>
                <c:pt idx="449">
                  <c:v>0.0</c:v>
                </c:pt>
                <c:pt idx="450">
                  <c:v>0.0</c:v>
                </c:pt>
                <c:pt idx="451">
                  <c:v>0.0</c:v>
                </c:pt>
                <c:pt idx="452">
                  <c:v>0.0</c:v>
                </c:pt>
                <c:pt idx="453">
                  <c:v>0.0</c:v>
                </c:pt>
                <c:pt idx="454">
                  <c:v>0.0</c:v>
                </c:pt>
                <c:pt idx="455">
                  <c:v>0.0</c:v>
                </c:pt>
                <c:pt idx="456">
                  <c:v>0.0</c:v>
                </c:pt>
                <c:pt idx="457">
                  <c:v>0.0</c:v>
                </c:pt>
                <c:pt idx="458">
                  <c:v>0.0</c:v>
                </c:pt>
                <c:pt idx="459">
                  <c:v>0.0</c:v>
                </c:pt>
                <c:pt idx="460">
                  <c:v>0.0</c:v>
                </c:pt>
                <c:pt idx="461">
                  <c:v>0.0</c:v>
                </c:pt>
                <c:pt idx="462">
                  <c:v>0.0</c:v>
                </c:pt>
                <c:pt idx="463">
                  <c:v>0.0</c:v>
                </c:pt>
                <c:pt idx="464">
                  <c:v>0.0</c:v>
                </c:pt>
                <c:pt idx="465">
                  <c:v>0.0</c:v>
                </c:pt>
                <c:pt idx="466">
                  <c:v>0.0</c:v>
                </c:pt>
                <c:pt idx="467">
                  <c:v>0.0</c:v>
                </c:pt>
                <c:pt idx="468">
                  <c:v>0.0</c:v>
                </c:pt>
                <c:pt idx="469">
                  <c:v>0.0</c:v>
                </c:pt>
                <c:pt idx="470">
                  <c:v>0.0</c:v>
                </c:pt>
                <c:pt idx="471">
                  <c:v>0.0</c:v>
                </c:pt>
                <c:pt idx="472">
                  <c:v>0.0</c:v>
                </c:pt>
                <c:pt idx="473">
                  <c:v>0.0</c:v>
                </c:pt>
                <c:pt idx="474">
                  <c:v>0.0</c:v>
                </c:pt>
                <c:pt idx="475">
                  <c:v>0.0</c:v>
                </c:pt>
                <c:pt idx="476">
                  <c:v>0.0</c:v>
                </c:pt>
                <c:pt idx="477">
                  <c:v>0.0</c:v>
                </c:pt>
                <c:pt idx="478">
                  <c:v>0.0</c:v>
                </c:pt>
                <c:pt idx="479">
                  <c:v>0.0</c:v>
                </c:pt>
              </c:numCache>
            </c:numRef>
          </c:val>
          <c:smooth val="0"/>
          <c:extLst xmlns:c16r2="http://schemas.microsoft.com/office/drawing/2015/06/chart">
            <c:ext xmlns:c16="http://schemas.microsoft.com/office/drawing/2014/chart" uri="{C3380CC4-5D6E-409C-BE32-E72D297353CC}">
              <c16:uniqueId val="{00000005-477F-4275-9F3A-00C4635A0716}"/>
            </c:ext>
          </c:extLst>
        </c:ser>
        <c:dLbls>
          <c:showLegendKey val="0"/>
          <c:showVal val="0"/>
          <c:showCatName val="0"/>
          <c:showSerName val="0"/>
          <c:showPercent val="0"/>
          <c:showBubbleSize val="0"/>
        </c:dLbls>
        <c:marker val="1"/>
        <c:smooth val="0"/>
        <c:axId val="2037778888"/>
        <c:axId val="2130569784"/>
      </c:lineChart>
      <c:catAx>
        <c:axId val="-21457693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AU"/>
                  <a:t>Time (hhmm)</a:t>
                </a:r>
              </a:p>
            </c:rich>
          </c:tx>
          <c:layout>
            <c:manualLayout>
              <c:xMode val="edge"/>
              <c:yMode val="edge"/>
              <c:x val="0.450746335634487"/>
              <c:y val="0.909883666288439"/>
            </c:manualLayout>
          </c:layout>
          <c:overlay val="0"/>
          <c:spPr>
            <a:noFill/>
            <a:ln w="25400">
              <a:noFill/>
            </a:ln>
          </c:spPr>
        </c:title>
        <c:numFmt formatCode="h:mm" sourceLinked="1"/>
        <c:majorTickMark val="cross"/>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2129980776"/>
        <c:crosses val="autoZero"/>
        <c:auto val="0"/>
        <c:lblAlgn val="ctr"/>
        <c:lblOffset val="100"/>
        <c:tickLblSkip val="10"/>
        <c:tickMarkSkip val="1"/>
        <c:noMultiLvlLbl val="0"/>
      </c:catAx>
      <c:valAx>
        <c:axId val="2129980776"/>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AU"/>
                  <a:t>mg/m³, at STP</a:t>
                </a:r>
              </a:p>
            </c:rich>
          </c:tx>
          <c:layout>
            <c:manualLayout>
              <c:xMode val="edge"/>
              <c:yMode val="edge"/>
              <c:x val="0.0109452471522571"/>
              <c:y val="0.450581362919155"/>
            </c:manualLayout>
          </c:layout>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45769368"/>
        <c:crosses val="autoZero"/>
        <c:crossBetween val="between"/>
      </c:valAx>
      <c:catAx>
        <c:axId val="2037778888"/>
        <c:scaling>
          <c:orientation val="minMax"/>
        </c:scaling>
        <c:delete val="1"/>
        <c:axPos val="b"/>
        <c:majorTickMark val="out"/>
        <c:minorTickMark val="none"/>
        <c:tickLblPos val="nextTo"/>
        <c:crossAx val="2130569784"/>
        <c:crosses val="autoZero"/>
        <c:auto val="0"/>
        <c:lblAlgn val="ctr"/>
        <c:lblOffset val="100"/>
        <c:noMultiLvlLbl val="0"/>
      </c:catAx>
      <c:valAx>
        <c:axId val="2130569784"/>
        <c:scaling>
          <c:orientation val="minMax"/>
        </c:scaling>
        <c:delete val="0"/>
        <c:axPos val="r"/>
        <c:title>
          <c:tx>
            <c:rich>
              <a:bodyPr/>
              <a:lstStyle/>
              <a:p>
                <a:pPr>
                  <a:defRPr sz="1000" b="1" i="0" u="none" strike="noStrike" baseline="0">
                    <a:solidFill>
                      <a:srgbClr val="000000"/>
                    </a:solidFill>
                    <a:latin typeface="Arial"/>
                    <a:ea typeface="Arial"/>
                    <a:cs typeface="Arial"/>
                  </a:defRPr>
                </a:pPr>
                <a:r>
                  <a:rPr lang="en-AU"/>
                  <a:t>% v/v, dry basis</a:t>
                </a:r>
              </a:p>
            </c:rich>
          </c:tx>
          <c:layout>
            <c:manualLayout>
              <c:xMode val="edge"/>
              <c:yMode val="edge"/>
              <c:x val="0.966169179150817"/>
              <c:y val="0.446220969103753"/>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37778888"/>
        <c:crosses val="max"/>
        <c:crossBetween val="between"/>
      </c:valAx>
      <c:spPr>
        <a:solidFill>
          <a:srgbClr val="FFFFFF"/>
        </a:solidFill>
        <a:ln w="12700">
          <a:solidFill>
            <a:srgbClr val="808080"/>
          </a:solidFill>
          <a:prstDash val="solid"/>
        </a:ln>
      </c:spPr>
    </c:plotArea>
    <c:legend>
      <c:legendPos val="r"/>
      <c:layout>
        <c:manualLayout>
          <c:xMode val="edge"/>
          <c:yMode val="edge"/>
          <c:x val="0.931343278909222"/>
          <c:y val="0.431686017413762"/>
          <c:w val="0.0636815328501432"/>
          <c:h val="0.175871967969069"/>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sheetPr codeName="Chart1">
    <tabColor indexed="31"/>
  </sheetPr>
  <sheetViews>
    <sheetView zoomScale="80" workbookViewId="0"/>
  </sheetViews>
  <pageMargins left="0.55118110236220474" right="0.55118110236220474" top="0.39370078740157483" bottom="0.59055118110236227" header="0.31496062992125984" footer="0.31496062992125984"/>
  <pageSetup paperSize="9" orientation="landscape"/>
  <headerFooter alignWithMargins="0">
    <oddFooter>&amp;L&amp;8&amp;Z&amp;F&amp;C&amp;8&amp;A&amp;R&amp;8&amp;D  &amp;T</oddFooter>
  </headerFooter>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V$110"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4.vml.rels><?xml version="1.0" encoding="UTF-8" standalone="yes"?>
<Relationships xmlns="http://schemas.openxmlformats.org/package/2006/relationships"><Relationship Id="rId9" Type="http://schemas.openxmlformats.org/officeDocument/2006/relationships/image" Target="../media/image9.emf"/><Relationship Id="rId20" Type="http://schemas.openxmlformats.org/officeDocument/2006/relationships/image" Target="../media/image20.emf"/><Relationship Id="rId21" Type="http://schemas.openxmlformats.org/officeDocument/2006/relationships/image" Target="../media/image21.emf"/><Relationship Id="rId22" Type="http://schemas.openxmlformats.org/officeDocument/2006/relationships/image" Target="../media/image22.emf"/><Relationship Id="rId23" Type="http://schemas.openxmlformats.org/officeDocument/2006/relationships/image" Target="../media/image23.emf"/><Relationship Id="rId10" Type="http://schemas.openxmlformats.org/officeDocument/2006/relationships/image" Target="../media/image10.emf"/><Relationship Id="rId11" Type="http://schemas.openxmlformats.org/officeDocument/2006/relationships/image" Target="../media/image11.emf"/><Relationship Id="rId12" Type="http://schemas.openxmlformats.org/officeDocument/2006/relationships/image" Target="../media/image12.emf"/><Relationship Id="rId13" Type="http://schemas.openxmlformats.org/officeDocument/2006/relationships/image" Target="../media/image13.emf"/><Relationship Id="rId14" Type="http://schemas.openxmlformats.org/officeDocument/2006/relationships/image" Target="../media/image14.emf"/><Relationship Id="rId15" Type="http://schemas.openxmlformats.org/officeDocument/2006/relationships/image" Target="../media/image15.emf"/><Relationship Id="rId16" Type="http://schemas.openxmlformats.org/officeDocument/2006/relationships/image" Target="../media/image16.emf"/><Relationship Id="rId17" Type="http://schemas.openxmlformats.org/officeDocument/2006/relationships/image" Target="../media/image17.emf"/><Relationship Id="rId18" Type="http://schemas.openxmlformats.org/officeDocument/2006/relationships/image" Target="../media/image18.emf"/><Relationship Id="rId19" Type="http://schemas.openxmlformats.org/officeDocument/2006/relationships/image" Target="../media/image19.emf"/><Relationship Id="rId1" Type="http://schemas.openxmlformats.org/officeDocument/2006/relationships/image" Target="../media/image1.emf"/><Relationship Id="rId2" Type="http://schemas.openxmlformats.org/officeDocument/2006/relationships/image" Target="../media/image2.emf"/><Relationship Id="rId3" Type="http://schemas.openxmlformats.org/officeDocument/2006/relationships/image" Target="../media/image3.emf"/><Relationship Id="rId4" Type="http://schemas.openxmlformats.org/officeDocument/2006/relationships/image" Target="../media/image4.emf"/><Relationship Id="rId5" Type="http://schemas.openxmlformats.org/officeDocument/2006/relationships/image" Target="../media/image5.emf"/><Relationship Id="rId6" Type="http://schemas.openxmlformats.org/officeDocument/2006/relationships/image" Target="../media/image6.emf"/><Relationship Id="rId7" Type="http://schemas.openxmlformats.org/officeDocument/2006/relationships/image" Target="../media/image7.emf"/><Relationship Id="rId8"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18.vml.rels><?xml version="1.0" encoding="UTF-8" standalone="yes"?>
<Relationships xmlns="http://schemas.openxmlformats.org/package/2006/relationships"><Relationship Id="rId11" Type="http://schemas.openxmlformats.org/officeDocument/2006/relationships/image" Target="../media/image35.emf"/><Relationship Id="rId12" Type="http://schemas.openxmlformats.org/officeDocument/2006/relationships/image" Target="../media/image36.emf"/><Relationship Id="rId13" Type="http://schemas.openxmlformats.org/officeDocument/2006/relationships/image" Target="../media/image37.emf"/><Relationship Id="rId14" Type="http://schemas.openxmlformats.org/officeDocument/2006/relationships/image" Target="../media/image38.emf"/><Relationship Id="rId15" Type="http://schemas.openxmlformats.org/officeDocument/2006/relationships/image" Target="../media/image39.emf"/><Relationship Id="rId16" Type="http://schemas.openxmlformats.org/officeDocument/2006/relationships/image" Target="../media/image40.emf"/><Relationship Id="rId1" Type="http://schemas.openxmlformats.org/officeDocument/2006/relationships/image" Target="../media/image25.emf"/><Relationship Id="rId2" Type="http://schemas.openxmlformats.org/officeDocument/2006/relationships/image" Target="../media/image26.emf"/><Relationship Id="rId3" Type="http://schemas.openxmlformats.org/officeDocument/2006/relationships/image" Target="../media/image27.emf"/><Relationship Id="rId4" Type="http://schemas.openxmlformats.org/officeDocument/2006/relationships/image" Target="../media/image28.emf"/><Relationship Id="rId5" Type="http://schemas.openxmlformats.org/officeDocument/2006/relationships/image" Target="../media/image29.emf"/><Relationship Id="rId6" Type="http://schemas.openxmlformats.org/officeDocument/2006/relationships/image" Target="../media/image30.emf"/><Relationship Id="rId7" Type="http://schemas.openxmlformats.org/officeDocument/2006/relationships/image" Target="../media/image31.emf"/><Relationship Id="rId8" Type="http://schemas.openxmlformats.org/officeDocument/2006/relationships/image" Target="../media/image32.emf"/><Relationship Id="rId9" Type="http://schemas.openxmlformats.org/officeDocument/2006/relationships/image" Target="../media/image33.emf"/><Relationship Id="rId10" Type="http://schemas.openxmlformats.org/officeDocument/2006/relationships/image" Target="../media/image34.emf"/></Relationships>
</file>

<file path=xl/drawings/drawing1.xml><?xml version="1.0" encoding="utf-8"?>
<xdr:wsDr xmlns:xdr="http://schemas.openxmlformats.org/drawingml/2006/spreadsheetDrawing" xmlns:a="http://schemas.openxmlformats.org/drawingml/2006/main">
  <xdr:absoluteAnchor>
    <xdr:pos x="0" y="0"/>
    <xdr:ext cx="9584531" cy="654843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152400</xdr:rowOff>
        </xdr:from>
        <xdr:to>
          <xdr:col>13</xdr:col>
          <xdr:colOff>406400</xdr:colOff>
          <xdr:row>3</xdr:row>
          <xdr:rowOff>12700</xdr:rowOff>
        </xdr:to>
        <xdr:sp macro="" textlink="">
          <xdr:nvSpPr>
            <xdr:cNvPr id="32769" name="Button 1" hidden="1">
              <a:extLst>
                <a:ext uri="{63B3BB69-23CF-44E3-9099-C40C66FF867C}">
                  <a14:compatExt spid="_x0000_s327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MS Sans Serif"/>
                  <a:ea typeface="MS Sans Serif"/>
                  <a:cs typeface="MS Sans Serif"/>
                </a:rPr>
                <a:t>Hide Unused</a:t>
              </a:r>
            </a:p>
            <a:p>
              <a:pPr algn="ctr" rtl="0">
                <a:defRPr sz="1000"/>
              </a:pPr>
              <a:r>
                <a:rPr lang="en-US" sz="1000" b="1" i="0" u="none" strike="noStrike" baseline="0">
                  <a:solidFill>
                    <a:srgbClr val="000000"/>
                  </a:solidFill>
                  <a:latin typeface="MS Sans Serif"/>
                  <a:ea typeface="MS Sans Serif"/>
                  <a:cs typeface="MS Sans Serif"/>
                </a:rPr>
                <a:t>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76200</xdr:colOff>
          <xdr:row>0</xdr:row>
          <xdr:rowOff>152400</xdr:rowOff>
        </xdr:from>
        <xdr:to>
          <xdr:col>14</xdr:col>
          <xdr:colOff>406400</xdr:colOff>
          <xdr:row>3</xdr:row>
          <xdr:rowOff>12700</xdr:rowOff>
        </xdr:to>
        <xdr:sp macro="" textlink="">
          <xdr:nvSpPr>
            <xdr:cNvPr id="30725" name="Button 5" hidden="1">
              <a:extLst>
                <a:ext uri="{63B3BB69-23CF-44E3-9099-C40C66FF867C}">
                  <a14:compatExt spid="_x0000_s307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MS Sans Serif"/>
                  <a:ea typeface="MS Sans Serif"/>
                  <a:cs typeface="MS Sans Serif"/>
                </a:rPr>
                <a:t>Hide Unused</a:t>
              </a:r>
            </a:p>
            <a:p>
              <a:pPr algn="ctr" rtl="0">
                <a:defRPr sz="1000"/>
              </a:pPr>
              <a:r>
                <a:rPr lang="en-US" sz="1000" b="1" i="0" u="none" strike="noStrike" baseline="0">
                  <a:solidFill>
                    <a:srgbClr val="000000"/>
                  </a:solidFill>
                  <a:latin typeface="MS Sans Serif"/>
                  <a:ea typeface="MS Sans Serif"/>
                  <a:cs typeface="MS Sans Serif"/>
                </a:rPr>
                <a:t>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3</xdr:row>
          <xdr:rowOff>114300</xdr:rowOff>
        </xdr:from>
        <xdr:to>
          <xdr:col>14</xdr:col>
          <xdr:colOff>406400</xdr:colOff>
          <xdr:row>5</xdr:row>
          <xdr:rowOff>152400</xdr:rowOff>
        </xdr:to>
        <xdr:sp macro="" textlink="">
          <xdr:nvSpPr>
            <xdr:cNvPr id="30726" name="Button 6" hidden="1">
              <a:extLst>
                <a:ext uri="{63B3BB69-23CF-44E3-9099-C40C66FF867C}">
                  <a14:compatExt spid="_x0000_s3072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MS Sans Serif"/>
                  <a:ea typeface="MS Sans Serif"/>
                  <a:cs typeface="MS Sans Serif"/>
                </a:rPr>
                <a:t>Hide Zero's</a:t>
              </a:r>
            </a:p>
            <a:p>
              <a:pPr algn="ctr" rtl="0">
                <a:defRPr sz="1000"/>
              </a:pPr>
              <a:r>
                <a:rPr lang="en-US" sz="900" b="1" i="0" u="none" strike="noStrike" baseline="0">
                  <a:solidFill>
                    <a:srgbClr val="000000"/>
                  </a:solidFill>
                  <a:latin typeface="MS Sans Serif"/>
                  <a:ea typeface="MS Sans Serif"/>
                  <a:cs typeface="MS Sans Serif"/>
                </a:rPr>
                <a:t>(select range)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10</xdr:row>
          <xdr:rowOff>12700</xdr:rowOff>
        </xdr:from>
        <xdr:to>
          <xdr:col>2</xdr:col>
          <xdr:colOff>228600</xdr:colOff>
          <xdr:row>11</xdr:row>
          <xdr:rowOff>101600</xdr:rowOff>
        </xdr:to>
        <xdr:sp macro="" textlink="">
          <xdr:nvSpPr>
            <xdr:cNvPr id="2280" name="CheckTPM" hidden="1">
              <a:extLst>
                <a:ext uri="{63B3BB69-23CF-44E3-9099-C40C66FF867C}">
                  <a14:compatExt spid="_x0000_s22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17</xdr:row>
          <xdr:rowOff>38100</xdr:rowOff>
        </xdr:from>
        <xdr:to>
          <xdr:col>2</xdr:col>
          <xdr:colOff>203200</xdr:colOff>
          <xdr:row>19</xdr:row>
          <xdr:rowOff>0</xdr:rowOff>
        </xdr:to>
        <xdr:sp macro="" textlink="">
          <xdr:nvSpPr>
            <xdr:cNvPr id="2282" name="CheckM23" hidden="1">
              <a:extLst>
                <a:ext uri="{63B3BB69-23CF-44E3-9099-C40C66FF867C}">
                  <a14:compatExt spid="_x0000_s22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13</xdr:row>
          <xdr:rowOff>88900</xdr:rowOff>
        </xdr:from>
        <xdr:to>
          <xdr:col>3</xdr:col>
          <xdr:colOff>457200</xdr:colOff>
          <xdr:row>15</xdr:row>
          <xdr:rowOff>63500</xdr:rowOff>
        </xdr:to>
        <xdr:sp macro="" textlink="">
          <xdr:nvSpPr>
            <xdr:cNvPr id="2283" name="CheckNoniso" hidden="1">
              <a:extLst>
                <a:ext uri="{63B3BB69-23CF-44E3-9099-C40C66FF867C}">
                  <a14:compatExt spid="_x0000_s22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14</xdr:row>
          <xdr:rowOff>114300</xdr:rowOff>
        </xdr:from>
        <xdr:to>
          <xdr:col>4</xdr:col>
          <xdr:colOff>76200</xdr:colOff>
          <xdr:row>16</xdr:row>
          <xdr:rowOff>76200</xdr:rowOff>
        </xdr:to>
        <xdr:sp macro="" textlink="">
          <xdr:nvSpPr>
            <xdr:cNvPr id="2284" name="CheckBag" hidden="1">
              <a:extLst>
                <a:ext uri="{63B3BB69-23CF-44E3-9099-C40C66FF867C}">
                  <a14:compatExt spid="_x0000_s2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14</xdr:row>
          <xdr:rowOff>114300</xdr:rowOff>
        </xdr:from>
        <xdr:to>
          <xdr:col>2</xdr:col>
          <xdr:colOff>101600</xdr:colOff>
          <xdr:row>16</xdr:row>
          <xdr:rowOff>76200</xdr:rowOff>
        </xdr:to>
        <xdr:sp macro="" textlink="">
          <xdr:nvSpPr>
            <xdr:cNvPr id="2285" name="CheckCtube" hidden="1">
              <a:extLst>
                <a:ext uri="{63B3BB69-23CF-44E3-9099-C40C66FF867C}">
                  <a14:compatExt spid="_x0000_s22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18</xdr:row>
          <xdr:rowOff>63500</xdr:rowOff>
        </xdr:from>
        <xdr:to>
          <xdr:col>0</xdr:col>
          <xdr:colOff>584200</xdr:colOff>
          <xdr:row>20</xdr:row>
          <xdr:rowOff>25400</xdr:rowOff>
        </xdr:to>
        <xdr:sp macro="" textlink="">
          <xdr:nvSpPr>
            <xdr:cNvPr id="2286" name="CheckGas" hidden="1">
              <a:extLst>
                <a:ext uri="{63B3BB69-23CF-44E3-9099-C40C66FF867C}">
                  <a14:compatExt spid="_x0000_s2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23</xdr:row>
          <xdr:rowOff>63500</xdr:rowOff>
        </xdr:from>
        <xdr:to>
          <xdr:col>1</xdr:col>
          <xdr:colOff>254000</xdr:colOff>
          <xdr:row>25</xdr:row>
          <xdr:rowOff>0</xdr:rowOff>
        </xdr:to>
        <xdr:sp macro="" textlink="">
          <xdr:nvSpPr>
            <xdr:cNvPr id="2287" name="CheckOdour" hidden="1">
              <a:extLst>
                <a:ext uri="{63B3BB69-23CF-44E3-9099-C40C66FF867C}">
                  <a14:compatExt spid="_x0000_s22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22</xdr:row>
          <xdr:rowOff>12700</xdr:rowOff>
        </xdr:from>
        <xdr:to>
          <xdr:col>3</xdr:col>
          <xdr:colOff>292100</xdr:colOff>
          <xdr:row>23</xdr:row>
          <xdr:rowOff>101600</xdr:rowOff>
        </xdr:to>
        <xdr:sp macro="" textlink="">
          <xdr:nvSpPr>
            <xdr:cNvPr id="2302" name="CheckLicence" hidden="1">
              <a:extLst>
                <a:ext uri="{63B3BB69-23CF-44E3-9099-C40C66FF867C}">
                  <a14:compatExt spid="_x0000_s2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20</xdr:row>
          <xdr:rowOff>127000</xdr:rowOff>
        </xdr:from>
        <xdr:to>
          <xdr:col>2</xdr:col>
          <xdr:colOff>50800</xdr:colOff>
          <xdr:row>22</xdr:row>
          <xdr:rowOff>88900</xdr:rowOff>
        </xdr:to>
        <xdr:sp macro="" textlink="">
          <xdr:nvSpPr>
            <xdr:cNvPr id="2303" name="CheckO2correction" hidden="1">
              <a:extLst>
                <a:ext uri="{63B3BB69-23CF-44E3-9099-C40C66FF867C}">
                  <a14:compatExt spid="_x0000_s2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469900</xdr:colOff>
          <xdr:row>23</xdr:row>
          <xdr:rowOff>50800</xdr:rowOff>
        </xdr:from>
        <xdr:to>
          <xdr:col>5</xdr:col>
          <xdr:colOff>342900</xdr:colOff>
          <xdr:row>25</xdr:row>
          <xdr:rowOff>12700</xdr:rowOff>
        </xdr:to>
        <xdr:sp macro="" textlink="">
          <xdr:nvSpPr>
            <xdr:cNvPr id="2364" name="CheckDrift" hidden="1">
              <a:extLst>
                <a:ext uri="{63B3BB69-23CF-44E3-9099-C40C66FF867C}">
                  <a14:compatExt spid="_x0000_s2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18</xdr:row>
          <xdr:rowOff>76200</xdr:rowOff>
        </xdr:from>
        <xdr:to>
          <xdr:col>1</xdr:col>
          <xdr:colOff>482600</xdr:colOff>
          <xdr:row>20</xdr:row>
          <xdr:rowOff>38100</xdr:rowOff>
        </xdr:to>
        <xdr:sp macro="" textlink="">
          <xdr:nvSpPr>
            <xdr:cNvPr id="2373" name="CheckNO" hidden="1">
              <a:extLst>
                <a:ext uri="{63B3BB69-23CF-44E3-9099-C40C66FF867C}">
                  <a14:compatExt spid="_x0000_s2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18</xdr:row>
          <xdr:rowOff>76200</xdr:rowOff>
        </xdr:from>
        <xdr:to>
          <xdr:col>3</xdr:col>
          <xdr:colOff>63500</xdr:colOff>
          <xdr:row>20</xdr:row>
          <xdr:rowOff>38100</xdr:rowOff>
        </xdr:to>
        <xdr:sp macro="" textlink="">
          <xdr:nvSpPr>
            <xdr:cNvPr id="2374" name="CheckNOx" hidden="1">
              <a:extLst>
                <a:ext uri="{63B3BB69-23CF-44E3-9099-C40C66FF867C}">
                  <a14:compatExt spid="_x0000_s2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19</xdr:row>
          <xdr:rowOff>114300</xdr:rowOff>
        </xdr:from>
        <xdr:to>
          <xdr:col>2</xdr:col>
          <xdr:colOff>254000</xdr:colOff>
          <xdr:row>21</xdr:row>
          <xdr:rowOff>76200</xdr:rowOff>
        </xdr:to>
        <xdr:sp macro="" textlink="">
          <xdr:nvSpPr>
            <xdr:cNvPr id="2375" name="CheckSO2" hidden="1">
              <a:extLst>
                <a:ext uri="{63B3BB69-23CF-44E3-9099-C40C66FF867C}">
                  <a14:compatExt spid="_x0000_s2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19</xdr:row>
          <xdr:rowOff>114300</xdr:rowOff>
        </xdr:from>
        <xdr:to>
          <xdr:col>1</xdr:col>
          <xdr:colOff>431800</xdr:colOff>
          <xdr:row>21</xdr:row>
          <xdr:rowOff>76200</xdr:rowOff>
        </xdr:to>
        <xdr:sp macro="" textlink="">
          <xdr:nvSpPr>
            <xdr:cNvPr id="2376" name="CheckCO" hidden="1">
              <a:extLst>
                <a:ext uri="{63B3BB69-23CF-44E3-9099-C40C66FF867C}">
                  <a14:compatExt spid="_x0000_s2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18</xdr:row>
          <xdr:rowOff>76200</xdr:rowOff>
        </xdr:from>
        <xdr:to>
          <xdr:col>4</xdr:col>
          <xdr:colOff>165100</xdr:colOff>
          <xdr:row>20</xdr:row>
          <xdr:rowOff>38100</xdr:rowOff>
        </xdr:to>
        <xdr:sp macro="" textlink="">
          <xdr:nvSpPr>
            <xdr:cNvPr id="2377" name="CheckCO2O2" hidden="1">
              <a:extLst>
                <a:ext uri="{63B3BB69-23CF-44E3-9099-C40C66FF867C}">
                  <a14:compatExt spid="_x0000_s2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22</xdr:row>
          <xdr:rowOff>12700</xdr:rowOff>
        </xdr:from>
        <xdr:to>
          <xdr:col>1</xdr:col>
          <xdr:colOff>330200</xdr:colOff>
          <xdr:row>23</xdr:row>
          <xdr:rowOff>114300</xdr:rowOff>
        </xdr:to>
        <xdr:sp macro="" textlink="">
          <xdr:nvSpPr>
            <xdr:cNvPr id="2381" name="CheckEP" hidden="1">
              <a:extLst>
                <a:ext uri="{63B3BB69-23CF-44E3-9099-C40C66FF867C}">
                  <a14:compatExt spid="_x0000_s23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15</xdr:row>
          <xdr:rowOff>127000</xdr:rowOff>
        </xdr:from>
        <xdr:to>
          <xdr:col>1</xdr:col>
          <xdr:colOff>482600</xdr:colOff>
          <xdr:row>17</xdr:row>
          <xdr:rowOff>88900</xdr:rowOff>
        </xdr:to>
        <xdr:sp macro="" textlink="">
          <xdr:nvSpPr>
            <xdr:cNvPr id="2538" name="CheckTOC" hidden="1">
              <a:extLst>
                <a:ext uri="{63B3BB69-23CF-44E3-9099-C40C66FF867C}">
                  <a14:compatExt spid="_x0000_s2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18</xdr:row>
          <xdr:rowOff>76200</xdr:rowOff>
        </xdr:from>
        <xdr:to>
          <xdr:col>2</xdr:col>
          <xdr:colOff>215900</xdr:colOff>
          <xdr:row>20</xdr:row>
          <xdr:rowOff>38100</xdr:rowOff>
        </xdr:to>
        <xdr:sp macro="" textlink="">
          <xdr:nvSpPr>
            <xdr:cNvPr id="2671" name="CheckNO2" hidden="1">
              <a:extLst>
                <a:ext uri="{63B3BB69-23CF-44E3-9099-C40C66FF867C}">
                  <a14:compatExt spid="_x0000_s26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19</xdr:row>
          <xdr:rowOff>114300</xdr:rowOff>
        </xdr:from>
        <xdr:to>
          <xdr:col>3</xdr:col>
          <xdr:colOff>330200</xdr:colOff>
          <xdr:row>21</xdr:row>
          <xdr:rowOff>76200</xdr:rowOff>
        </xdr:to>
        <xdr:sp macro="" textlink="">
          <xdr:nvSpPr>
            <xdr:cNvPr id="2733" name="CheckOther" hidden="1">
              <a:extLst>
                <a:ext uri="{63B3BB69-23CF-44E3-9099-C40C66FF867C}">
                  <a14:compatExt spid="_x0000_s27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11</xdr:row>
          <xdr:rowOff>25400</xdr:rowOff>
        </xdr:from>
        <xdr:to>
          <xdr:col>2</xdr:col>
          <xdr:colOff>228600</xdr:colOff>
          <xdr:row>12</xdr:row>
          <xdr:rowOff>127000</xdr:rowOff>
        </xdr:to>
        <xdr:sp macro="" textlink="">
          <xdr:nvSpPr>
            <xdr:cNvPr id="2795" name="CheckBox1" hidden="1">
              <a:extLst>
                <a:ext uri="{63B3BB69-23CF-44E3-9099-C40C66FF867C}">
                  <a14:compatExt spid="_x0000_s2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406400</xdr:colOff>
          <xdr:row>23</xdr:row>
          <xdr:rowOff>76200</xdr:rowOff>
        </xdr:from>
        <xdr:to>
          <xdr:col>3</xdr:col>
          <xdr:colOff>419100</xdr:colOff>
          <xdr:row>24</xdr:row>
          <xdr:rowOff>114300</xdr:rowOff>
        </xdr:to>
        <xdr:sp macro="" textlink="">
          <xdr:nvSpPr>
            <xdr:cNvPr id="2797" name="CheckInlet" hidden="1">
              <a:extLst>
                <a:ext uri="{63B3BB69-23CF-44E3-9099-C40C66FF867C}">
                  <a14:compatExt spid="_x0000_s2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12</xdr:row>
          <xdr:rowOff>63500</xdr:rowOff>
        </xdr:from>
        <xdr:to>
          <xdr:col>2</xdr:col>
          <xdr:colOff>215900</xdr:colOff>
          <xdr:row>14</xdr:row>
          <xdr:rowOff>0</xdr:rowOff>
        </xdr:to>
        <xdr:sp macro="" textlink="">
          <xdr:nvSpPr>
            <xdr:cNvPr id="2798" name="CheckSubstances" hidden="1">
              <a:extLst>
                <a:ext uri="{63B3BB69-23CF-44E3-9099-C40C66FF867C}">
                  <a14:compatExt spid="_x0000_s2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469900</xdr:colOff>
          <xdr:row>22</xdr:row>
          <xdr:rowOff>12700</xdr:rowOff>
        </xdr:from>
        <xdr:to>
          <xdr:col>5</xdr:col>
          <xdr:colOff>342900</xdr:colOff>
          <xdr:row>23</xdr:row>
          <xdr:rowOff>101600</xdr:rowOff>
        </xdr:to>
        <xdr:sp macro="" textlink="">
          <xdr:nvSpPr>
            <xdr:cNvPr id="2799" name="CheckAF" hidden="1">
              <a:extLst>
                <a:ext uri="{63B3BB69-23CF-44E3-9099-C40C66FF867C}">
                  <a14:compatExt spid="_x0000_s279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254000</xdr:colOff>
          <xdr:row>13</xdr:row>
          <xdr:rowOff>25400</xdr:rowOff>
        </xdr:from>
        <xdr:to>
          <xdr:col>0</xdr:col>
          <xdr:colOff>406400</xdr:colOff>
          <xdr:row>14</xdr:row>
          <xdr:rowOff>12700</xdr:rowOff>
        </xdr:to>
        <xdr:sp macro="" textlink="">
          <xdr:nvSpPr>
            <xdr:cNvPr id="14402" name="CheckBox1" hidden="1">
              <a:extLst>
                <a:ext uri="{63B3BB69-23CF-44E3-9099-C40C66FF867C}">
                  <a14:compatExt spid="_x0000_s14402"/>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109</xdr:row>
          <xdr:rowOff>101600</xdr:rowOff>
        </xdr:from>
        <xdr:to>
          <xdr:col>1</xdr:col>
          <xdr:colOff>444500</xdr:colOff>
          <xdr:row>111</xdr:row>
          <xdr:rowOff>50800</xdr:rowOff>
        </xdr:to>
        <xdr:sp macro="" textlink="">
          <xdr:nvSpPr>
            <xdr:cNvPr id="16465" name="Check Box 81" hidden="1">
              <a:extLst>
                <a:ext uri="{63B3BB69-23CF-44E3-9099-C40C66FF867C}">
                  <a14:compatExt spid="_x0000_s164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Exclude CH4 from totals?</a:t>
              </a:r>
            </a:p>
          </xdr:txBody>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177800</xdr:colOff>
          <xdr:row>7</xdr:row>
          <xdr:rowOff>101600</xdr:rowOff>
        </xdr:from>
        <xdr:to>
          <xdr:col>12</xdr:col>
          <xdr:colOff>88900</xdr:colOff>
          <xdr:row>7</xdr:row>
          <xdr:rowOff>368300</xdr:rowOff>
        </xdr:to>
        <xdr:sp macro="" textlink="">
          <xdr:nvSpPr>
            <xdr:cNvPr id="50187" name="Button 11" hidden="1">
              <a:extLst>
                <a:ext uri="{63B3BB69-23CF-44E3-9099-C40C66FF867C}">
                  <a14:compatExt spid="_x0000_s5018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MS Sans Serif"/>
                  <a:ea typeface="MS Sans Serif"/>
                  <a:cs typeface="MS Sans Serif"/>
                </a:rPr>
                <a:t>Hide Unrequired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254000</xdr:colOff>
          <xdr:row>7</xdr:row>
          <xdr:rowOff>101600</xdr:rowOff>
        </xdr:from>
        <xdr:to>
          <xdr:col>13</xdr:col>
          <xdr:colOff>520700</xdr:colOff>
          <xdr:row>7</xdr:row>
          <xdr:rowOff>368300</xdr:rowOff>
        </xdr:to>
        <xdr:sp macro="" textlink="">
          <xdr:nvSpPr>
            <xdr:cNvPr id="50188" name="Button 12" hidden="1">
              <a:extLst>
                <a:ext uri="{63B3BB69-23CF-44E3-9099-C40C66FF867C}">
                  <a14:compatExt spid="_x0000_s5018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MS Sans Serif"/>
                  <a:ea typeface="MS Sans Serif"/>
                  <a:cs typeface="MS Sans Serif"/>
                </a:rPr>
                <a:t>Unhide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38100</xdr:colOff>
          <xdr:row>21</xdr:row>
          <xdr:rowOff>63500</xdr:rowOff>
        </xdr:from>
        <xdr:to>
          <xdr:col>12</xdr:col>
          <xdr:colOff>1054100</xdr:colOff>
          <xdr:row>22</xdr:row>
          <xdr:rowOff>139700</xdr:rowOff>
        </xdr:to>
        <xdr:sp macro="" textlink="">
          <xdr:nvSpPr>
            <xdr:cNvPr id="37891" name="CheckBox1" hidden="1">
              <a:extLst>
                <a:ext uri="{63B3BB69-23CF-44E3-9099-C40C66FF867C}">
                  <a14:compatExt spid="_x0000_s378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21</xdr:row>
          <xdr:rowOff>50800</xdr:rowOff>
        </xdr:from>
        <xdr:to>
          <xdr:col>13</xdr:col>
          <xdr:colOff>1054100</xdr:colOff>
          <xdr:row>22</xdr:row>
          <xdr:rowOff>139700</xdr:rowOff>
        </xdr:to>
        <xdr:sp macro="" textlink="">
          <xdr:nvSpPr>
            <xdr:cNvPr id="37892" name="CheckBox2" hidden="1">
              <a:extLst>
                <a:ext uri="{63B3BB69-23CF-44E3-9099-C40C66FF867C}">
                  <a14:compatExt spid="_x0000_s378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21</xdr:row>
          <xdr:rowOff>50800</xdr:rowOff>
        </xdr:from>
        <xdr:to>
          <xdr:col>14</xdr:col>
          <xdr:colOff>1054100</xdr:colOff>
          <xdr:row>22</xdr:row>
          <xdr:rowOff>139700</xdr:rowOff>
        </xdr:to>
        <xdr:sp macro="" textlink="">
          <xdr:nvSpPr>
            <xdr:cNvPr id="37893" name="CheckBox3" hidden="1">
              <a:extLst>
                <a:ext uri="{63B3BB69-23CF-44E3-9099-C40C66FF867C}">
                  <a14:compatExt spid="_x0000_s378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21</xdr:row>
          <xdr:rowOff>50800</xdr:rowOff>
        </xdr:from>
        <xdr:to>
          <xdr:col>15</xdr:col>
          <xdr:colOff>1054100</xdr:colOff>
          <xdr:row>22</xdr:row>
          <xdr:rowOff>139700</xdr:rowOff>
        </xdr:to>
        <xdr:sp macro="" textlink="">
          <xdr:nvSpPr>
            <xdr:cNvPr id="37894" name="CheckBox4" hidden="1">
              <a:extLst>
                <a:ext uri="{63B3BB69-23CF-44E3-9099-C40C66FF867C}">
                  <a14:compatExt spid="_x0000_s378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21</xdr:row>
          <xdr:rowOff>50800</xdr:rowOff>
        </xdr:from>
        <xdr:to>
          <xdr:col>16</xdr:col>
          <xdr:colOff>1054100</xdr:colOff>
          <xdr:row>22</xdr:row>
          <xdr:rowOff>139700</xdr:rowOff>
        </xdr:to>
        <xdr:sp macro="" textlink="">
          <xdr:nvSpPr>
            <xdr:cNvPr id="37895" name="CheckBox5" hidden="1">
              <a:extLst>
                <a:ext uri="{63B3BB69-23CF-44E3-9099-C40C66FF867C}">
                  <a14:compatExt spid="_x0000_s378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21</xdr:row>
          <xdr:rowOff>50800</xdr:rowOff>
        </xdr:from>
        <xdr:to>
          <xdr:col>17</xdr:col>
          <xdr:colOff>1054100</xdr:colOff>
          <xdr:row>22</xdr:row>
          <xdr:rowOff>139700</xdr:rowOff>
        </xdr:to>
        <xdr:sp macro="" textlink="">
          <xdr:nvSpPr>
            <xdr:cNvPr id="37896" name="CheckBox6" hidden="1">
              <a:extLst>
                <a:ext uri="{63B3BB69-23CF-44E3-9099-C40C66FF867C}">
                  <a14:compatExt spid="_x0000_s378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25400</xdr:colOff>
          <xdr:row>21</xdr:row>
          <xdr:rowOff>50800</xdr:rowOff>
        </xdr:from>
        <xdr:to>
          <xdr:col>18</xdr:col>
          <xdr:colOff>1041400</xdr:colOff>
          <xdr:row>22</xdr:row>
          <xdr:rowOff>139700</xdr:rowOff>
        </xdr:to>
        <xdr:sp macro="" textlink="">
          <xdr:nvSpPr>
            <xdr:cNvPr id="37897" name="CheckBox7" hidden="1">
              <a:extLst>
                <a:ext uri="{63B3BB69-23CF-44E3-9099-C40C66FF867C}">
                  <a14:compatExt spid="_x0000_s378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21</xdr:row>
          <xdr:rowOff>50800</xdr:rowOff>
        </xdr:from>
        <xdr:to>
          <xdr:col>19</xdr:col>
          <xdr:colOff>1054100</xdr:colOff>
          <xdr:row>22</xdr:row>
          <xdr:rowOff>139700</xdr:rowOff>
        </xdr:to>
        <xdr:sp macro="" textlink="">
          <xdr:nvSpPr>
            <xdr:cNvPr id="37898" name="CheckBox8" hidden="1">
              <a:extLst>
                <a:ext uri="{63B3BB69-23CF-44E3-9099-C40C66FF867C}">
                  <a14:compatExt spid="_x0000_s378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0</xdr:row>
          <xdr:rowOff>50800</xdr:rowOff>
        </xdr:from>
        <xdr:to>
          <xdr:col>12</xdr:col>
          <xdr:colOff>1054100</xdr:colOff>
          <xdr:row>1</xdr:row>
          <xdr:rowOff>139700</xdr:rowOff>
        </xdr:to>
        <xdr:sp macro="" textlink="">
          <xdr:nvSpPr>
            <xdr:cNvPr id="37899" name="CheckBox9" hidden="1">
              <a:extLst>
                <a:ext uri="{63B3BB69-23CF-44E3-9099-C40C66FF867C}">
                  <a14:compatExt spid="_x0000_s378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0</xdr:row>
          <xdr:rowOff>50800</xdr:rowOff>
        </xdr:from>
        <xdr:to>
          <xdr:col>13</xdr:col>
          <xdr:colOff>1054100</xdr:colOff>
          <xdr:row>1</xdr:row>
          <xdr:rowOff>139700</xdr:rowOff>
        </xdr:to>
        <xdr:sp macro="" textlink="">
          <xdr:nvSpPr>
            <xdr:cNvPr id="37900" name="CheckBox10" hidden="1">
              <a:extLst>
                <a:ext uri="{63B3BB69-23CF-44E3-9099-C40C66FF867C}">
                  <a14:compatExt spid="_x0000_s379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0</xdr:row>
          <xdr:rowOff>50800</xdr:rowOff>
        </xdr:from>
        <xdr:to>
          <xdr:col>14</xdr:col>
          <xdr:colOff>1054100</xdr:colOff>
          <xdr:row>1</xdr:row>
          <xdr:rowOff>139700</xdr:rowOff>
        </xdr:to>
        <xdr:sp macro="" textlink="">
          <xdr:nvSpPr>
            <xdr:cNvPr id="37901" name="CheckBox11" hidden="1">
              <a:extLst>
                <a:ext uri="{63B3BB69-23CF-44E3-9099-C40C66FF867C}">
                  <a14:compatExt spid="_x0000_s37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0</xdr:row>
          <xdr:rowOff>50800</xdr:rowOff>
        </xdr:from>
        <xdr:to>
          <xdr:col>15</xdr:col>
          <xdr:colOff>1054100</xdr:colOff>
          <xdr:row>1</xdr:row>
          <xdr:rowOff>139700</xdr:rowOff>
        </xdr:to>
        <xdr:sp macro="" textlink="">
          <xdr:nvSpPr>
            <xdr:cNvPr id="37902" name="CheckBox12" hidden="1">
              <a:extLst>
                <a:ext uri="{63B3BB69-23CF-44E3-9099-C40C66FF867C}">
                  <a14:compatExt spid="_x0000_s379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0</xdr:row>
          <xdr:rowOff>50800</xdr:rowOff>
        </xdr:from>
        <xdr:to>
          <xdr:col>16</xdr:col>
          <xdr:colOff>1054100</xdr:colOff>
          <xdr:row>1</xdr:row>
          <xdr:rowOff>139700</xdr:rowOff>
        </xdr:to>
        <xdr:sp macro="" textlink="">
          <xdr:nvSpPr>
            <xdr:cNvPr id="37903" name="CheckBox13" hidden="1">
              <a:extLst>
                <a:ext uri="{63B3BB69-23CF-44E3-9099-C40C66FF867C}">
                  <a14:compatExt spid="_x0000_s379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0</xdr:row>
          <xdr:rowOff>50800</xdr:rowOff>
        </xdr:from>
        <xdr:to>
          <xdr:col>17</xdr:col>
          <xdr:colOff>1054100</xdr:colOff>
          <xdr:row>1</xdr:row>
          <xdr:rowOff>139700</xdr:rowOff>
        </xdr:to>
        <xdr:sp macro="" textlink="">
          <xdr:nvSpPr>
            <xdr:cNvPr id="37904" name="CheckBox14" hidden="1">
              <a:extLst>
                <a:ext uri="{63B3BB69-23CF-44E3-9099-C40C66FF867C}">
                  <a14:compatExt spid="_x0000_s379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0</xdr:row>
          <xdr:rowOff>63500</xdr:rowOff>
        </xdr:from>
        <xdr:to>
          <xdr:col>18</xdr:col>
          <xdr:colOff>1054100</xdr:colOff>
          <xdr:row>1</xdr:row>
          <xdr:rowOff>139700</xdr:rowOff>
        </xdr:to>
        <xdr:sp macro="" textlink="">
          <xdr:nvSpPr>
            <xdr:cNvPr id="37905" name="CheckBox15" hidden="1">
              <a:extLst>
                <a:ext uri="{63B3BB69-23CF-44E3-9099-C40C66FF867C}">
                  <a14:compatExt spid="_x0000_s379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0</xdr:row>
          <xdr:rowOff>50800</xdr:rowOff>
        </xdr:from>
        <xdr:to>
          <xdr:col>19</xdr:col>
          <xdr:colOff>1054100</xdr:colOff>
          <xdr:row>1</xdr:row>
          <xdr:rowOff>139700</xdr:rowOff>
        </xdr:to>
        <xdr:sp macro="" textlink="">
          <xdr:nvSpPr>
            <xdr:cNvPr id="37906" name="CheckBox16" hidden="1">
              <a:extLst>
                <a:ext uri="{63B3BB69-23CF-44E3-9099-C40C66FF867C}">
                  <a14:compatExt spid="_x0000_s37906"/>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NEW%20FLOWS%2013112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amplingSummary"/>
      <sheetName val="StackSummary"/>
      <sheetName val="Flows&amp;Isokinetics"/>
      <sheetName val="Flows&amp;Isokinetics (2)"/>
      <sheetName val="Flows&amp;Isokinetics (3)"/>
      <sheetName val="Flows&amp;Isokinetics (4)"/>
      <sheetName val="Flows&amp;Isokinetics (5)"/>
      <sheetName val="Afterflows"/>
      <sheetName val="Non-isokinetics"/>
      <sheetName val="Analyser"/>
      <sheetName val="Iso Results"/>
      <sheetName val="Non-IsoResults"/>
      <sheetName val="VOC Tube Results"/>
      <sheetName val="Method23 Results"/>
      <sheetName val="Results Check"/>
      <sheetName val="ResultsReport"/>
      <sheetName val="PM10"/>
      <sheetName val="DioxinsPAHsReport"/>
      <sheetName val="StnCode"/>
      <sheetName val="Calibrations"/>
      <sheetName val="Nozzles"/>
      <sheetName val="PsycMoist"/>
      <sheetName val="GasesChart"/>
      <sheetName val="QCReport"/>
      <sheetName val="Results Summary"/>
      <sheetName val="Units"/>
      <sheetName val="Report Summary"/>
      <sheetName val="SamplePlane"/>
      <sheetName val="TraversePoints"/>
      <sheetName val="CAS Numbers"/>
      <sheetName val="Workbook Updates"/>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 Id="rId2" Type="http://schemas.openxmlformats.org/officeDocument/2006/relationships/vmlDrawing" Target="../drawings/vmlDrawing4.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vmlDrawing" Target="../drawings/vmlDrawing10.vml"/><Relationship Id="rId3"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omments" Target="../comments9.xml"/><Relationship Id="rId1" Type="http://schemas.openxmlformats.org/officeDocument/2006/relationships/drawing" Target="../drawings/drawing6.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11.xml"/><Relationship Id="rId1" Type="http://schemas.openxmlformats.org/officeDocument/2006/relationships/drawing" Target="../drawings/drawing7.xml"/><Relationship Id="rId2" Type="http://schemas.openxmlformats.org/officeDocument/2006/relationships/vmlDrawing" Target="../drawings/vmlDrawing13.vml"/></Relationships>
</file>

<file path=xl/worksheets/_rels/sheet17.xml.rels><?xml version="1.0" encoding="UTF-8" standalone="yes"?>
<Relationships xmlns="http://schemas.openxmlformats.org/package/2006/relationships"><Relationship Id="rId1" Type="http://schemas.openxmlformats.org/officeDocument/2006/relationships/vmlDrawing" Target="../drawings/vmlDrawing14.vml"/><Relationship Id="rId2"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1" Type="http://schemas.openxmlformats.org/officeDocument/2006/relationships/vmlDrawing" Target="../drawings/vmlDrawing15.vml"/><Relationship Id="rId2"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6.vml"/><Relationship Id="rId2"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7.vml"/><Relationship Id="rId2"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8.xml"/><Relationship Id="rId2" Type="http://schemas.openxmlformats.org/officeDocument/2006/relationships/vmlDrawing" Target="../drawings/vmlDrawing18.vml"/><Relationship Id="rId3" Type="http://schemas.openxmlformats.org/officeDocument/2006/relationships/comments" Target="../comments16.x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19.vml"/><Relationship Id="rId2" Type="http://schemas.openxmlformats.org/officeDocument/2006/relationships/comments" Target="../comments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F404"/>
  <sheetViews>
    <sheetView workbookViewId="0">
      <pane ySplit="1" topLeftCell="A385" activePane="bottomLeft" state="frozen"/>
      <selection pane="bottomLeft" activeCell="E398" sqref="E398"/>
    </sheetView>
  </sheetViews>
  <sheetFormatPr baseColWidth="10" defaultColWidth="8.7109375" defaultRowHeight="13" x14ac:dyDescent="0"/>
  <cols>
    <col min="1" max="2" width="8.7109375" style="772"/>
    <col min="3" max="4" width="8.7109375" style="661"/>
    <col min="5" max="5" width="115.42578125" customWidth="1"/>
    <col min="6" max="6" width="11.85546875" customWidth="1"/>
  </cols>
  <sheetData>
    <row r="1" spans="1:6">
      <c r="A1" s="771" t="s">
        <v>1196</v>
      </c>
      <c r="B1" s="771" t="s">
        <v>1994</v>
      </c>
      <c r="C1" s="661" t="s">
        <v>374</v>
      </c>
      <c r="D1" s="661" t="s">
        <v>1004</v>
      </c>
      <c r="E1" t="s">
        <v>375</v>
      </c>
      <c r="F1" t="s">
        <v>1993</v>
      </c>
    </row>
    <row r="2" spans="1:6">
      <c r="A2" s="772">
        <v>38860</v>
      </c>
      <c r="C2" s="661">
        <v>1</v>
      </c>
      <c r="E2" t="s">
        <v>401</v>
      </c>
    </row>
    <row r="3" spans="1:6">
      <c r="C3" s="661">
        <v>2</v>
      </c>
      <c r="E3" t="s">
        <v>402</v>
      </c>
    </row>
    <row r="4" spans="1:6">
      <c r="C4" s="661">
        <v>3</v>
      </c>
      <c r="E4" t="s">
        <v>405</v>
      </c>
    </row>
    <row r="5" spans="1:6">
      <c r="C5" s="661">
        <v>4</v>
      </c>
      <c r="E5" t="s">
        <v>406</v>
      </c>
    </row>
    <row r="6" spans="1:6">
      <c r="A6" s="772">
        <v>38873</v>
      </c>
      <c r="C6" s="661">
        <v>1</v>
      </c>
      <c r="E6" t="s">
        <v>407</v>
      </c>
    </row>
    <row r="7" spans="1:6">
      <c r="C7" s="661">
        <v>2</v>
      </c>
      <c r="E7" t="s">
        <v>408</v>
      </c>
    </row>
    <row r="8" spans="1:6">
      <c r="A8" s="772">
        <v>38874</v>
      </c>
      <c r="C8" s="661">
        <v>1</v>
      </c>
      <c r="E8" t="s">
        <v>409</v>
      </c>
    </row>
    <row r="9" spans="1:6">
      <c r="A9" s="772">
        <v>38889</v>
      </c>
      <c r="C9" s="661">
        <v>1</v>
      </c>
      <c r="E9" t="s">
        <v>410</v>
      </c>
    </row>
    <row r="10" spans="1:6">
      <c r="C10" s="661">
        <v>2</v>
      </c>
      <c r="E10" t="s">
        <v>411</v>
      </c>
    </row>
    <row r="11" spans="1:6">
      <c r="A11" s="772">
        <v>38904</v>
      </c>
      <c r="C11" s="661">
        <v>1</v>
      </c>
      <c r="E11" t="s">
        <v>412</v>
      </c>
    </row>
    <row r="12" spans="1:6">
      <c r="C12" s="661">
        <v>2</v>
      </c>
      <c r="E12" t="s">
        <v>417</v>
      </c>
    </row>
    <row r="13" spans="1:6">
      <c r="A13" s="772">
        <v>38908</v>
      </c>
      <c r="C13" s="661">
        <v>1</v>
      </c>
      <c r="E13" t="s">
        <v>418</v>
      </c>
    </row>
    <row r="14" spans="1:6">
      <c r="A14" s="772">
        <v>38915</v>
      </c>
      <c r="C14" s="661">
        <v>1</v>
      </c>
      <c r="E14" t="s">
        <v>481</v>
      </c>
    </row>
    <row r="15" spans="1:6">
      <c r="A15" s="772">
        <v>38925</v>
      </c>
      <c r="C15" s="661">
        <v>1</v>
      </c>
      <c r="E15" t="s">
        <v>492</v>
      </c>
    </row>
    <row r="16" spans="1:6">
      <c r="A16" s="772">
        <v>38928</v>
      </c>
      <c r="C16" s="661">
        <v>1</v>
      </c>
      <c r="E16" t="s">
        <v>496</v>
      </c>
    </row>
    <row r="17" spans="1:5">
      <c r="C17" s="661">
        <v>2</v>
      </c>
      <c r="E17" t="s">
        <v>497</v>
      </c>
    </row>
    <row r="18" spans="1:5">
      <c r="C18" s="661">
        <v>3</v>
      </c>
      <c r="E18" t="s">
        <v>498</v>
      </c>
    </row>
    <row r="19" spans="1:5">
      <c r="C19" s="661">
        <v>4</v>
      </c>
      <c r="E19" t="s">
        <v>501</v>
      </c>
    </row>
    <row r="20" spans="1:5">
      <c r="A20" s="772">
        <v>38936</v>
      </c>
      <c r="C20" s="661">
        <v>1</v>
      </c>
      <c r="E20" t="s">
        <v>504</v>
      </c>
    </row>
    <row r="21" spans="1:5">
      <c r="C21" s="661">
        <v>2</v>
      </c>
      <c r="E21" t="s">
        <v>506</v>
      </c>
    </row>
    <row r="22" spans="1:5">
      <c r="C22" s="661">
        <v>3</v>
      </c>
      <c r="E22" t="s">
        <v>507</v>
      </c>
    </row>
    <row r="23" spans="1:5">
      <c r="C23" s="661">
        <v>4</v>
      </c>
      <c r="E23" t="s">
        <v>505</v>
      </c>
    </row>
    <row r="24" spans="1:5">
      <c r="A24" s="772">
        <v>38943</v>
      </c>
      <c r="C24" s="661">
        <v>1</v>
      </c>
      <c r="E24" t="s">
        <v>514</v>
      </c>
    </row>
    <row r="25" spans="1:5">
      <c r="A25" s="772">
        <v>38946</v>
      </c>
      <c r="C25" s="661">
        <v>1</v>
      </c>
      <c r="E25" t="s">
        <v>532</v>
      </c>
    </row>
    <row r="26" spans="1:5">
      <c r="A26" s="772">
        <v>38949</v>
      </c>
      <c r="C26" s="661">
        <v>1</v>
      </c>
      <c r="E26" t="s">
        <v>538</v>
      </c>
    </row>
    <row r="27" spans="1:5">
      <c r="A27" s="772">
        <v>38954</v>
      </c>
      <c r="C27" s="661">
        <v>1</v>
      </c>
      <c r="E27" t="s">
        <v>548</v>
      </c>
    </row>
    <row r="28" spans="1:5">
      <c r="A28" s="772">
        <v>38959</v>
      </c>
      <c r="C28" s="661">
        <v>1</v>
      </c>
      <c r="E28" t="s">
        <v>418</v>
      </c>
    </row>
    <row r="29" spans="1:5">
      <c r="C29" s="661">
        <v>2</v>
      </c>
      <c r="E29" t="s">
        <v>549</v>
      </c>
    </row>
    <row r="30" spans="1:5">
      <c r="A30" s="772">
        <v>38981</v>
      </c>
      <c r="C30" s="661">
        <v>1</v>
      </c>
      <c r="E30" t="s">
        <v>556</v>
      </c>
    </row>
    <row r="31" spans="1:5">
      <c r="A31" s="772">
        <v>38996</v>
      </c>
      <c r="C31" s="661">
        <v>1</v>
      </c>
      <c r="E31" t="s">
        <v>558</v>
      </c>
    </row>
    <row r="32" spans="1:5">
      <c r="A32" s="772">
        <v>39002</v>
      </c>
      <c r="C32" s="661">
        <v>1</v>
      </c>
      <c r="E32" t="s">
        <v>563</v>
      </c>
    </row>
    <row r="33" spans="1:5">
      <c r="A33" s="772">
        <v>39004</v>
      </c>
      <c r="C33" s="661">
        <v>1</v>
      </c>
      <c r="E33" t="s">
        <v>564</v>
      </c>
    </row>
    <row r="34" spans="1:5">
      <c r="A34" s="772">
        <v>39005</v>
      </c>
      <c r="C34" s="661">
        <v>1</v>
      </c>
      <c r="E34" t="s">
        <v>566</v>
      </c>
    </row>
    <row r="35" spans="1:5">
      <c r="A35" s="772">
        <v>39007</v>
      </c>
      <c r="C35" s="661">
        <v>1</v>
      </c>
      <c r="E35" t="s">
        <v>567</v>
      </c>
    </row>
    <row r="36" spans="1:5">
      <c r="A36" s="772">
        <v>39008</v>
      </c>
      <c r="C36" s="661">
        <v>1</v>
      </c>
      <c r="E36" t="s">
        <v>569</v>
      </c>
    </row>
    <row r="37" spans="1:5">
      <c r="A37" s="772">
        <v>39020</v>
      </c>
      <c r="C37" s="661">
        <v>1</v>
      </c>
      <c r="E37" t="s">
        <v>570</v>
      </c>
    </row>
    <row r="38" spans="1:5">
      <c r="A38" s="772">
        <v>39023</v>
      </c>
      <c r="C38" s="661">
        <v>1</v>
      </c>
      <c r="E38" t="s">
        <v>571</v>
      </c>
    </row>
    <row r="39" spans="1:5">
      <c r="A39" s="772">
        <v>39030</v>
      </c>
      <c r="C39" s="661">
        <v>1</v>
      </c>
      <c r="E39" t="s">
        <v>573</v>
      </c>
    </row>
    <row r="40" spans="1:5">
      <c r="A40" s="772">
        <v>39045</v>
      </c>
      <c r="C40" s="661">
        <v>1</v>
      </c>
      <c r="E40" t="s">
        <v>583</v>
      </c>
    </row>
    <row r="41" spans="1:5">
      <c r="C41" s="661">
        <v>2</v>
      </c>
      <c r="E41" t="s">
        <v>584</v>
      </c>
    </row>
    <row r="42" spans="1:5">
      <c r="A42" s="772">
        <v>39050</v>
      </c>
      <c r="C42" s="661">
        <v>1</v>
      </c>
      <c r="E42" t="s">
        <v>586</v>
      </c>
    </row>
    <row r="43" spans="1:5">
      <c r="A43" s="772">
        <v>39058</v>
      </c>
      <c r="C43" s="661">
        <v>1</v>
      </c>
      <c r="E43" t="s">
        <v>592</v>
      </c>
    </row>
    <row r="44" spans="1:5">
      <c r="C44" s="661">
        <v>2</v>
      </c>
      <c r="E44" t="s">
        <v>593</v>
      </c>
    </row>
    <row r="45" spans="1:5">
      <c r="A45" s="772">
        <v>39062</v>
      </c>
      <c r="C45" s="661">
        <v>1</v>
      </c>
      <c r="E45" t="s">
        <v>594</v>
      </c>
    </row>
    <row r="46" spans="1:5">
      <c r="A46" s="772">
        <v>39085</v>
      </c>
      <c r="C46" s="661">
        <v>1</v>
      </c>
      <c r="E46" t="s">
        <v>601</v>
      </c>
    </row>
    <row r="47" spans="1:5">
      <c r="A47" s="772">
        <v>39094</v>
      </c>
      <c r="C47" s="661">
        <v>1</v>
      </c>
      <c r="E47" t="s">
        <v>602</v>
      </c>
    </row>
    <row r="48" spans="1:5">
      <c r="C48" s="661">
        <v>2</v>
      </c>
      <c r="E48" t="s">
        <v>603</v>
      </c>
    </row>
    <row r="49" spans="1:5">
      <c r="C49" s="661">
        <v>3</v>
      </c>
      <c r="E49" t="s">
        <v>601</v>
      </c>
    </row>
    <row r="50" spans="1:5">
      <c r="A50" s="772">
        <v>39098</v>
      </c>
      <c r="C50" s="661">
        <v>1</v>
      </c>
      <c r="E50" t="s">
        <v>604</v>
      </c>
    </row>
    <row r="51" spans="1:5">
      <c r="A51" s="772">
        <v>39108</v>
      </c>
      <c r="C51" s="661">
        <v>1</v>
      </c>
      <c r="E51" t="s">
        <v>606</v>
      </c>
    </row>
    <row r="52" spans="1:5">
      <c r="C52" s="661">
        <v>2</v>
      </c>
      <c r="E52" t="s">
        <v>605</v>
      </c>
    </row>
    <row r="53" spans="1:5">
      <c r="A53" s="772">
        <v>39109</v>
      </c>
      <c r="C53" s="661">
        <v>1</v>
      </c>
      <c r="E53" t="s">
        <v>613</v>
      </c>
    </row>
    <row r="54" spans="1:5">
      <c r="C54" s="661">
        <v>2</v>
      </c>
      <c r="E54" t="s">
        <v>615</v>
      </c>
    </row>
    <row r="55" spans="1:5">
      <c r="A55" s="772">
        <v>39111</v>
      </c>
      <c r="C55" s="661">
        <v>1</v>
      </c>
      <c r="E55" t="s">
        <v>603</v>
      </c>
    </row>
    <row r="56" spans="1:5">
      <c r="C56" s="661">
        <v>2</v>
      </c>
      <c r="E56" t="s">
        <v>601</v>
      </c>
    </row>
    <row r="57" spans="1:5">
      <c r="A57" s="772">
        <v>39112</v>
      </c>
      <c r="C57" s="661">
        <v>1</v>
      </c>
      <c r="E57" t="s">
        <v>616</v>
      </c>
    </row>
    <row r="58" spans="1:5">
      <c r="A58" s="772">
        <v>39117</v>
      </c>
      <c r="C58" s="661">
        <v>1</v>
      </c>
      <c r="E58" t="s">
        <v>622</v>
      </c>
    </row>
    <row r="59" spans="1:5">
      <c r="C59" s="661">
        <v>2</v>
      </c>
      <c r="E59" t="s">
        <v>629</v>
      </c>
    </row>
    <row r="60" spans="1:5">
      <c r="A60" s="772">
        <v>39122</v>
      </c>
      <c r="C60" s="661">
        <v>1</v>
      </c>
      <c r="E60" t="s">
        <v>639</v>
      </c>
    </row>
    <row r="61" spans="1:5">
      <c r="A61" s="772">
        <v>39124</v>
      </c>
      <c r="C61" s="661">
        <v>1</v>
      </c>
      <c r="E61" t="s">
        <v>635</v>
      </c>
    </row>
    <row r="62" spans="1:5">
      <c r="A62" s="772">
        <v>39127</v>
      </c>
      <c r="C62" s="661">
        <v>1</v>
      </c>
      <c r="E62" t="s">
        <v>636</v>
      </c>
    </row>
    <row r="63" spans="1:5">
      <c r="A63" s="772">
        <v>39133</v>
      </c>
      <c r="C63" s="661">
        <v>1</v>
      </c>
      <c r="E63" t="s">
        <v>638</v>
      </c>
    </row>
    <row r="64" spans="1:5">
      <c r="A64" s="772">
        <v>39134</v>
      </c>
      <c r="C64" s="661">
        <v>1</v>
      </c>
      <c r="E64" t="s">
        <v>643</v>
      </c>
    </row>
    <row r="65" spans="1:5">
      <c r="C65" s="661">
        <v>2</v>
      </c>
      <c r="E65" t="s">
        <v>644</v>
      </c>
    </row>
    <row r="66" spans="1:5">
      <c r="A66" s="772">
        <v>39136</v>
      </c>
      <c r="C66" s="661">
        <v>1</v>
      </c>
      <c r="E66" t="s">
        <v>645</v>
      </c>
    </row>
    <row r="67" spans="1:5">
      <c r="A67" s="772">
        <v>39141</v>
      </c>
      <c r="C67" s="661">
        <v>1</v>
      </c>
      <c r="E67" t="s">
        <v>601</v>
      </c>
    </row>
    <row r="68" spans="1:5">
      <c r="A68" s="772">
        <v>39145</v>
      </c>
      <c r="C68" s="661">
        <v>1</v>
      </c>
      <c r="E68" t="s">
        <v>646</v>
      </c>
    </row>
    <row r="69" spans="1:5">
      <c r="A69" s="772">
        <v>39146</v>
      </c>
      <c r="C69" s="661">
        <v>1</v>
      </c>
      <c r="E69" t="s">
        <v>647</v>
      </c>
    </row>
    <row r="70" spans="1:5">
      <c r="A70" s="772">
        <v>39148</v>
      </c>
      <c r="C70" s="661">
        <v>1</v>
      </c>
      <c r="E70" t="s">
        <v>651</v>
      </c>
    </row>
    <row r="71" spans="1:5">
      <c r="A71" s="772">
        <v>39154</v>
      </c>
      <c r="C71" s="661">
        <v>1</v>
      </c>
      <c r="E71" t="s">
        <v>652</v>
      </c>
    </row>
    <row r="72" spans="1:5">
      <c r="A72" s="772">
        <v>39162</v>
      </c>
      <c r="C72" s="661">
        <v>1</v>
      </c>
      <c r="E72" t="s">
        <v>657</v>
      </c>
    </row>
    <row r="73" spans="1:5">
      <c r="A73" s="772">
        <v>39163</v>
      </c>
      <c r="C73" s="661">
        <v>1</v>
      </c>
      <c r="E73" t="s">
        <v>663</v>
      </c>
    </row>
    <row r="74" spans="1:5">
      <c r="A74" s="772">
        <v>39175</v>
      </c>
      <c r="C74" s="661">
        <v>1</v>
      </c>
      <c r="E74" t="s">
        <v>664</v>
      </c>
    </row>
    <row r="75" spans="1:5">
      <c r="A75" s="772">
        <v>39182</v>
      </c>
      <c r="C75" s="661">
        <v>1</v>
      </c>
      <c r="E75" t="s">
        <v>665</v>
      </c>
    </row>
    <row r="76" spans="1:5">
      <c r="A76" s="772">
        <v>39197</v>
      </c>
      <c r="C76" s="661">
        <v>1</v>
      </c>
      <c r="E76" t="s">
        <v>669</v>
      </c>
    </row>
    <row r="77" spans="1:5">
      <c r="A77" s="772">
        <v>39201</v>
      </c>
      <c r="C77" s="661">
        <v>1</v>
      </c>
      <c r="E77" t="s">
        <v>678</v>
      </c>
    </row>
    <row r="78" spans="1:5">
      <c r="A78" s="772">
        <v>39203</v>
      </c>
      <c r="C78" s="661">
        <v>1</v>
      </c>
      <c r="E78" t="s">
        <v>680</v>
      </c>
    </row>
    <row r="79" spans="1:5">
      <c r="C79" s="661">
        <v>2</v>
      </c>
      <c r="E79" t="s">
        <v>679</v>
      </c>
    </row>
    <row r="80" spans="1:5">
      <c r="A80" s="772">
        <v>39223</v>
      </c>
      <c r="C80" s="661">
        <v>1</v>
      </c>
      <c r="E80" t="s">
        <v>682</v>
      </c>
    </row>
    <row r="81" spans="1:5">
      <c r="A81" s="772">
        <v>39224</v>
      </c>
      <c r="C81" s="661">
        <v>1</v>
      </c>
      <c r="E81" t="s">
        <v>691</v>
      </c>
    </row>
    <row r="82" spans="1:5">
      <c r="A82" s="772">
        <v>39227</v>
      </c>
      <c r="C82" s="661">
        <v>1</v>
      </c>
      <c r="E82" t="s">
        <v>692</v>
      </c>
    </row>
    <row r="83" spans="1:5">
      <c r="C83" s="661">
        <v>2</v>
      </c>
      <c r="E83" t="s">
        <v>693</v>
      </c>
    </row>
    <row r="84" spans="1:5">
      <c r="A84" s="772">
        <v>39230</v>
      </c>
      <c r="C84" s="661">
        <v>1</v>
      </c>
      <c r="E84" t="s">
        <v>694</v>
      </c>
    </row>
    <row r="85" spans="1:5">
      <c r="C85" s="661">
        <v>2</v>
      </c>
      <c r="E85" t="s">
        <v>818</v>
      </c>
    </row>
    <row r="86" spans="1:5">
      <c r="A86" s="772">
        <v>39234</v>
      </c>
      <c r="C86" s="661">
        <v>1</v>
      </c>
      <c r="E86" t="s">
        <v>571</v>
      </c>
    </row>
    <row r="87" spans="1:5">
      <c r="A87" s="772">
        <v>39248</v>
      </c>
      <c r="C87" s="661">
        <v>1</v>
      </c>
      <c r="E87" t="s">
        <v>695</v>
      </c>
    </row>
    <row r="88" spans="1:5">
      <c r="C88" s="661">
        <v>2</v>
      </c>
      <c r="E88" t="s">
        <v>696</v>
      </c>
    </row>
    <row r="89" spans="1:5">
      <c r="A89" s="772">
        <v>39259</v>
      </c>
      <c r="C89" s="661">
        <v>1</v>
      </c>
      <c r="E89" t="s">
        <v>697</v>
      </c>
    </row>
    <row r="90" spans="1:5">
      <c r="A90" s="772">
        <v>39260</v>
      </c>
      <c r="C90" s="661">
        <v>1</v>
      </c>
      <c r="E90" t="s">
        <v>721</v>
      </c>
    </row>
    <row r="91" spans="1:5">
      <c r="A91" s="772">
        <v>39267</v>
      </c>
      <c r="C91" s="661">
        <v>1</v>
      </c>
      <c r="E91" t="s">
        <v>603</v>
      </c>
    </row>
    <row r="92" spans="1:5">
      <c r="C92" s="661">
        <v>2</v>
      </c>
      <c r="E92" t="s">
        <v>601</v>
      </c>
    </row>
    <row r="93" spans="1:5">
      <c r="A93" s="772">
        <v>39268</v>
      </c>
      <c r="C93" s="661">
        <v>1</v>
      </c>
      <c r="E93" t="s">
        <v>725</v>
      </c>
    </row>
    <row r="94" spans="1:5">
      <c r="A94" s="772">
        <v>39271</v>
      </c>
      <c r="C94" s="661">
        <v>1</v>
      </c>
      <c r="E94" t="s">
        <v>728</v>
      </c>
    </row>
    <row r="95" spans="1:5">
      <c r="C95" s="661">
        <v>2</v>
      </c>
      <c r="E95" t="s">
        <v>727</v>
      </c>
    </row>
    <row r="96" spans="1:5">
      <c r="A96" s="772">
        <v>39273</v>
      </c>
      <c r="C96" s="661">
        <v>1</v>
      </c>
      <c r="E96" t="s">
        <v>814</v>
      </c>
    </row>
    <row r="97" spans="1:5">
      <c r="A97" s="772">
        <v>39275</v>
      </c>
      <c r="C97" s="661">
        <v>1</v>
      </c>
      <c r="E97" t="s">
        <v>817</v>
      </c>
    </row>
    <row r="98" spans="1:5">
      <c r="A98" s="772">
        <v>39316</v>
      </c>
      <c r="C98" s="661">
        <v>1</v>
      </c>
      <c r="E98" t="s">
        <v>820</v>
      </c>
    </row>
    <row r="99" spans="1:5">
      <c r="A99" s="772">
        <v>39329</v>
      </c>
      <c r="C99" s="661">
        <v>1</v>
      </c>
      <c r="E99" t="s">
        <v>821</v>
      </c>
    </row>
    <row r="100" spans="1:5">
      <c r="A100" s="772">
        <v>39370</v>
      </c>
      <c r="C100" s="661">
        <v>1</v>
      </c>
      <c r="E100" t="s">
        <v>826</v>
      </c>
    </row>
    <row r="101" spans="1:5">
      <c r="C101" s="661">
        <v>2</v>
      </c>
      <c r="E101" t="s">
        <v>827</v>
      </c>
    </row>
    <row r="102" spans="1:5">
      <c r="C102" s="661">
        <v>3</v>
      </c>
      <c r="E102" t="s">
        <v>828</v>
      </c>
    </row>
    <row r="103" spans="1:5">
      <c r="A103" s="772">
        <v>39391</v>
      </c>
      <c r="C103" s="661">
        <v>1</v>
      </c>
      <c r="E103" t="s">
        <v>829</v>
      </c>
    </row>
    <row r="104" spans="1:5">
      <c r="A104" s="772">
        <v>39394</v>
      </c>
      <c r="C104" s="661">
        <v>1</v>
      </c>
      <c r="E104" t="s">
        <v>833</v>
      </c>
    </row>
    <row r="105" spans="1:5">
      <c r="A105" s="772">
        <v>39400</v>
      </c>
      <c r="C105" s="661">
        <v>1</v>
      </c>
      <c r="E105" t="s">
        <v>834</v>
      </c>
    </row>
    <row r="106" spans="1:5">
      <c r="A106" s="772">
        <v>39404</v>
      </c>
      <c r="C106" s="661">
        <v>1</v>
      </c>
      <c r="E106" t="s">
        <v>870</v>
      </c>
    </row>
    <row r="107" spans="1:5">
      <c r="A107" s="772">
        <v>39406</v>
      </c>
      <c r="C107" s="661">
        <v>1</v>
      </c>
      <c r="E107" t="s">
        <v>871</v>
      </c>
    </row>
    <row r="108" spans="1:5">
      <c r="A108" s="772">
        <v>39407</v>
      </c>
      <c r="C108" s="661">
        <v>1</v>
      </c>
      <c r="E108" t="s">
        <v>873</v>
      </c>
    </row>
    <row r="109" spans="1:5">
      <c r="A109" s="772">
        <v>39408</v>
      </c>
      <c r="C109" s="661">
        <v>1</v>
      </c>
      <c r="E109" t="s">
        <v>879</v>
      </c>
    </row>
    <row r="110" spans="1:5">
      <c r="A110" s="772">
        <v>39409</v>
      </c>
      <c r="C110" s="661">
        <v>1</v>
      </c>
      <c r="E110" t="s">
        <v>880</v>
      </c>
    </row>
    <row r="111" spans="1:5">
      <c r="A111" s="772">
        <v>39421</v>
      </c>
      <c r="C111" s="661">
        <v>1</v>
      </c>
      <c r="E111" t="s">
        <v>884</v>
      </c>
    </row>
    <row r="112" spans="1:5">
      <c r="C112" s="661">
        <v>2</v>
      </c>
      <c r="E112" t="s">
        <v>885</v>
      </c>
    </row>
    <row r="113" spans="1:5">
      <c r="A113" s="772">
        <v>39433</v>
      </c>
      <c r="C113" s="661">
        <v>1</v>
      </c>
      <c r="E113" t="s">
        <v>893</v>
      </c>
    </row>
    <row r="114" spans="1:5">
      <c r="C114" s="661">
        <v>2</v>
      </c>
      <c r="E114" t="s">
        <v>894</v>
      </c>
    </row>
    <row r="115" spans="1:5">
      <c r="A115" s="772">
        <v>39467</v>
      </c>
      <c r="C115" s="661">
        <v>1</v>
      </c>
      <c r="E115" t="s">
        <v>895</v>
      </c>
    </row>
    <row r="116" spans="1:5">
      <c r="C116" s="661">
        <v>2</v>
      </c>
      <c r="E116" t="s">
        <v>896</v>
      </c>
    </row>
    <row r="117" spans="1:5">
      <c r="A117" s="772">
        <v>39469</v>
      </c>
      <c r="C117" s="661">
        <v>1</v>
      </c>
      <c r="E117" t="s">
        <v>898</v>
      </c>
    </row>
    <row r="118" spans="1:5">
      <c r="A118" s="772">
        <v>39470</v>
      </c>
      <c r="C118" s="661">
        <v>1</v>
      </c>
      <c r="E118" t="s">
        <v>899</v>
      </c>
    </row>
    <row r="119" spans="1:5">
      <c r="A119" s="772">
        <v>39471</v>
      </c>
      <c r="C119" s="661">
        <v>1</v>
      </c>
      <c r="E119" t="s">
        <v>900</v>
      </c>
    </row>
    <row r="120" spans="1:5">
      <c r="A120" s="772">
        <v>39472</v>
      </c>
      <c r="C120" s="661">
        <v>1</v>
      </c>
      <c r="E120" t="s">
        <v>904</v>
      </c>
    </row>
    <row r="121" spans="1:5">
      <c r="A121" s="772">
        <v>39476</v>
      </c>
      <c r="C121" s="661">
        <v>1</v>
      </c>
      <c r="E121" t="s">
        <v>912</v>
      </c>
    </row>
    <row r="122" spans="1:5">
      <c r="A122" s="772">
        <v>39480</v>
      </c>
      <c r="C122" s="661">
        <v>1</v>
      </c>
      <c r="E122" t="s">
        <v>893</v>
      </c>
    </row>
    <row r="123" spans="1:5">
      <c r="A123" s="772">
        <v>39486</v>
      </c>
      <c r="C123" s="661">
        <v>1</v>
      </c>
      <c r="E123" t="s">
        <v>907</v>
      </c>
    </row>
    <row r="124" spans="1:5">
      <c r="A124" s="772">
        <v>39503</v>
      </c>
      <c r="C124" s="661">
        <v>1</v>
      </c>
      <c r="E124" t="s">
        <v>909</v>
      </c>
    </row>
    <row r="125" spans="1:5">
      <c r="A125" s="772">
        <v>39505</v>
      </c>
      <c r="C125" s="661">
        <v>1</v>
      </c>
      <c r="E125" t="s">
        <v>910</v>
      </c>
    </row>
    <row r="126" spans="1:5">
      <c r="A126" s="772">
        <v>39524</v>
      </c>
      <c r="C126" s="661">
        <v>1</v>
      </c>
      <c r="E126" t="s">
        <v>911</v>
      </c>
    </row>
    <row r="127" spans="1:5">
      <c r="A127" s="772">
        <v>39548</v>
      </c>
      <c r="C127" s="661">
        <v>1</v>
      </c>
      <c r="E127" t="s">
        <v>937</v>
      </c>
    </row>
    <row r="128" spans="1:5">
      <c r="A128" s="772">
        <v>39573</v>
      </c>
      <c r="C128" s="661">
        <v>1</v>
      </c>
      <c r="E128" t="s">
        <v>938</v>
      </c>
    </row>
    <row r="129" spans="1:5">
      <c r="A129" s="772">
        <v>39589</v>
      </c>
      <c r="C129" s="661">
        <v>1</v>
      </c>
      <c r="E129" t="s">
        <v>939</v>
      </c>
    </row>
    <row r="130" spans="1:5">
      <c r="A130" s="772">
        <v>39601</v>
      </c>
      <c r="C130" s="661">
        <v>1</v>
      </c>
      <c r="E130" t="s">
        <v>943</v>
      </c>
    </row>
    <row r="131" spans="1:5">
      <c r="A131" s="772">
        <v>39603</v>
      </c>
      <c r="C131" s="661">
        <v>1</v>
      </c>
      <c r="E131" t="s">
        <v>948</v>
      </c>
    </row>
    <row r="132" spans="1:5">
      <c r="A132" s="772">
        <v>39610</v>
      </c>
      <c r="C132" s="661">
        <v>1</v>
      </c>
      <c r="E132" t="s">
        <v>989</v>
      </c>
    </row>
    <row r="133" spans="1:5">
      <c r="A133" s="772">
        <v>39611</v>
      </c>
      <c r="C133" s="661">
        <v>1</v>
      </c>
      <c r="E133" t="s">
        <v>990</v>
      </c>
    </row>
    <row r="134" spans="1:5">
      <c r="A134" s="772">
        <v>39621</v>
      </c>
      <c r="C134" s="661">
        <v>1</v>
      </c>
      <c r="E134" t="s">
        <v>1002</v>
      </c>
    </row>
    <row r="135" spans="1:5">
      <c r="C135" s="661">
        <v>2</v>
      </c>
      <c r="E135" t="s">
        <v>1005</v>
      </c>
    </row>
    <row r="136" spans="1:5">
      <c r="A136" s="772">
        <v>39623</v>
      </c>
      <c r="C136" s="661">
        <v>1</v>
      </c>
      <c r="E136" t="s">
        <v>1007</v>
      </c>
    </row>
    <row r="137" spans="1:5">
      <c r="A137" s="772">
        <v>39624</v>
      </c>
      <c r="C137" s="661">
        <v>1</v>
      </c>
      <c r="E137" t="s">
        <v>1010</v>
      </c>
    </row>
    <row r="138" spans="1:5">
      <c r="A138" s="772">
        <v>39630</v>
      </c>
      <c r="C138" s="661">
        <v>1</v>
      </c>
      <c r="E138" t="s">
        <v>1011</v>
      </c>
    </row>
    <row r="139" spans="1:5">
      <c r="C139" s="661">
        <v>2</v>
      </c>
      <c r="E139" t="s">
        <v>1012</v>
      </c>
    </row>
    <row r="140" spans="1:5">
      <c r="A140" s="772">
        <v>39637</v>
      </c>
      <c r="C140" s="661">
        <v>1</v>
      </c>
      <c r="E140" t="s">
        <v>1013</v>
      </c>
    </row>
    <row r="141" spans="1:5">
      <c r="C141" s="661">
        <v>2</v>
      </c>
      <c r="E141" t="s">
        <v>1016</v>
      </c>
    </row>
    <row r="142" spans="1:5">
      <c r="A142" s="772">
        <v>39640</v>
      </c>
      <c r="C142" s="661">
        <v>1</v>
      </c>
      <c r="E142" t="s">
        <v>1014</v>
      </c>
    </row>
    <row r="143" spans="1:5">
      <c r="A143" s="772">
        <v>39643</v>
      </c>
      <c r="C143" s="661">
        <v>1</v>
      </c>
      <c r="E143" t="s">
        <v>1015</v>
      </c>
    </row>
    <row r="144" spans="1:5">
      <c r="A144" s="772">
        <v>39644</v>
      </c>
      <c r="C144" s="661">
        <v>1</v>
      </c>
      <c r="E144" t="s">
        <v>1018</v>
      </c>
    </row>
    <row r="145" spans="1:5">
      <c r="A145" s="772">
        <v>39647</v>
      </c>
      <c r="C145" s="661">
        <v>1</v>
      </c>
      <c r="E145" t="s">
        <v>1019</v>
      </c>
    </row>
    <row r="146" spans="1:5">
      <c r="A146" s="772">
        <v>39652</v>
      </c>
      <c r="C146" s="661">
        <v>1</v>
      </c>
      <c r="E146" t="s">
        <v>1020</v>
      </c>
    </row>
    <row r="147" spans="1:5">
      <c r="A147" s="772">
        <v>39653</v>
      </c>
      <c r="C147" s="661">
        <v>1</v>
      </c>
      <c r="E147" t="s">
        <v>1021</v>
      </c>
    </row>
    <row r="148" spans="1:5">
      <c r="A148" s="772">
        <v>39664</v>
      </c>
      <c r="C148" s="661">
        <v>1</v>
      </c>
      <c r="E148" t="s">
        <v>1022</v>
      </c>
    </row>
    <row r="149" spans="1:5">
      <c r="C149" s="661">
        <v>2</v>
      </c>
      <c r="E149" t="s">
        <v>1023</v>
      </c>
    </row>
    <row r="150" spans="1:5">
      <c r="A150" s="772">
        <v>39665</v>
      </c>
      <c r="C150" s="661">
        <v>1</v>
      </c>
      <c r="E150" t="s">
        <v>1024</v>
      </c>
    </row>
    <row r="151" spans="1:5">
      <c r="A151" s="772">
        <v>39666</v>
      </c>
      <c r="C151" s="661">
        <v>1</v>
      </c>
      <c r="E151" t="s">
        <v>1025</v>
      </c>
    </row>
    <row r="152" spans="1:5">
      <c r="A152" s="772">
        <v>39674</v>
      </c>
      <c r="C152" s="661">
        <v>1</v>
      </c>
      <c r="E152" t="s">
        <v>1026</v>
      </c>
    </row>
    <row r="153" spans="1:5">
      <c r="A153" s="772">
        <v>39682</v>
      </c>
      <c r="C153" s="661">
        <v>1</v>
      </c>
      <c r="E153" t="s">
        <v>1027</v>
      </c>
    </row>
    <row r="154" spans="1:5">
      <c r="C154" s="661">
        <v>2</v>
      </c>
      <c r="E154" t="s">
        <v>1028</v>
      </c>
    </row>
    <row r="155" spans="1:5">
      <c r="A155" s="772">
        <v>39707</v>
      </c>
      <c r="C155" s="661">
        <v>1</v>
      </c>
      <c r="E155" t="s">
        <v>1029</v>
      </c>
    </row>
    <row r="156" spans="1:5">
      <c r="C156" s="661">
        <v>2</v>
      </c>
      <c r="E156" t="s">
        <v>1030</v>
      </c>
    </row>
    <row r="157" spans="1:5">
      <c r="A157" s="772">
        <v>39709</v>
      </c>
      <c r="C157" s="661">
        <v>1</v>
      </c>
      <c r="E157" t="s">
        <v>1039</v>
      </c>
    </row>
    <row r="158" spans="1:5">
      <c r="A158" s="772">
        <v>39717</v>
      </c>
      <c r="C158" s="661">
        <v>1</v>
      </c>
      <c r="E158" t="s">
        <v>1040</v>
      </c>
    </row>
    <row r="159" spans="1:5">
      <c r="A159" s="772">
        <v>39745</v>
      </c>
      <c r="C159" s="661">
        <v>1</v>
      </c>
      <c r="E159" t="s">
        <v>1042</v>
      </c>
    </row>
    <row r="160" spans="1:5">
      <c r="C160" s="661">
        <v>2</v>
      </c>
      <c r="E160" t="s">
        <v>1043</v>
      </c>
    </row>
    <row r="161" spans="1:5">
      <c r="A161" s="772">
        <v>39752</v>
      </c>
      <c r="C161" s="661">
        <v>1</v>
      </c>
      <c r="E161" t="s">
        <v>1047</v>
      </c>
    </row>
    <row r="162" spans="1:5">
      <c r="C162" s="661">
        <v>2</v>
      </c>
      <c r="E162" t="s">
        <v>1048</v>
      </c>
    </row>
    <row r="163" spans="1:5">
      <c r="A163" s="772">
        <v>39769</v>
      </c>
      <c r="C163" s="661">
        <v>1</v>
      </c>
      <c r="E163" t="s">
        <v>1068</v>
      </c>
    </row>
    <row r="164" spans="1:5">
      <c r="A164" s="772">
        <v>39775</v>
      </c>
      <c r="C164" s="661">
        <v>1</v>
      </c>
      <c r="E164" t="s">
        <v>1080</v>
      </c>
    </row>
    <row r="165" spans="1:5">
      <c r="A165" s="772">
        <v>39776</v>
      </c>
      <c r="C165" s="661">
        <v>1</v>
      </c>
      <c r="E165" t="s">
        <v>1081</v>
      </c>
    </row>
    <row r="166" spans="1:5">
      <c r="C166" s="661">
        <v>2</v>
      </c>
      <c r="E166" t="s">
        <v>1082</v>
      </c>
    </row>
    <row r="167" spans="1:5">
      <c r="A167" s="772">
        <v>39777</v>
      </c>
      <c r="C167" s="661">
        <v>1</v>
      </c>
      <c r="E167" t="s">
        <v>1084</v>
      </c>
    </row>
    <row r="168" spans="1:5">
      <c r="C168" s="661">
        <v>2</v>
      </c>
      <c r="E168" t="s">
        <v>1085</v>
      </c>
    </row>
    <row r="169" spans="1:5">
      <c r="A169" s="772">
        <v>39778</v>
      </c>
      <c r="C169" s="661">
        <v>1</v>
      </c>
      <c r="E169" t="s">
        <v>1086</v>
      </c>
    </row>
    <row r="170" spans="1:5">
      <c r="A170" s="772">
        <v>39801</v>
      </c>
      <c r="C170" s="661">
        <v>1</v>
      </c>
      <c r="E170" t="s">
        <v>1087</v>
      </c>
    </row>
    <row r="171" spans="1:5">
      <c r="A171" s="772">
        <v>39846</v>
      </c>
      <c r="C171" s="661">
        <v>1</v>
      </c>
      <c r="E171" t="s">
        <v>1096</v>
      </c>
    </row>
    <row r="172" spans="1:5">
      <c r="C172" s="661">
        <v>2</v>
      </c>
      <c r="E172" t="s">
        <v>1097</v>
      </c>
    </row>
    <row r="173" spans="1:5">
      <c r="C173" s="661">
        <v>3</v>
      </c>
      <c r="E173" t="s">
        <v>1100</v>
      </c>
    </row>
    <row r="174" spans="1:5">
      <c r="A174" s="772">
        <v>39850</v>
      </c>
      <c r="C174" s="661">
        <v>1</v>
      </c>
      <c r="E174" t="s">
        <v>603</v>
      </c>
    </row>
    <row r="175" spans="1:5">
      <c r="C175" s="661">
        <v>2</v>
      </c>
      <c r="E175" t="s">
        <v>1101</v>
      </c>
    </row>
    <row r="176" spans="1:5">
      <c r="A176" s="772">
        <v>39874</v>
      </c>
      <c r="C176" s="661">
        <v>1</v>
      </c>
      <c r="E176" t="s">
        <v>1102</v>
      </c>
    </row>
    <row r="177" spans="1:5">
      <c r="A177" s="772">
        <v>39887</v>
      </c>
      <c r="C177" s="661">
        <v>1</v>
      </c>
      <c r="E177" t="s">
        <v>1103</v>
      </c>
    </row>
    <row r="178" spans="1:5">
      <c r="C178" s="661">
        <v>2</v>
      </c>
      <c r="E178" t="s">
        <v>1104</v>
      </c>
    </row>
    <row r="179" spans="1:5">
      <c r="A179" s="772">
        <v>39888</v>
      </c>
      <c r="C179" s="661">
        <v>1</v>
      </c>
      <c r="E179" t="s">
        <v>1106</v>
      </c>
    </row>
    <row r="180" spans="1:5">
      <c r="A180" s="772">
        <v>39891</v>
      </c>
      <c r="C180" s="661">
        <v>1</v>
      </c>
      <c r="E180" t="s">
        <v>1107</v>
      </c>
    </row>
    <row r="181" spans="1:5">
      <c r="C181" s="661">
        <v>2</v>
      </c>
      <c r="E181" t="s">
        <v>1108</v>
      </c>
    </row>
    <row r="182" spans="1:5">
      <c r="C182" s="661">
        <v>3</v>
      </c>
      <c r="E182" t="s">
        <v>1109</v>
      </c>
    </row>
    <row r="183" spans="1:5">
      <c r="A183" s="772">
        <v>39902</v>
      </c>
      <c r="C183" s="661">
        <v>1</v>
      </c>
      <c r="E183" t="s">
        <v>1111</v>
      </c>
    </row>
    <row r="184" spans="1:5">
      <c r="A184" s="772">
        <v>39903</v>
      </c>
      <c r="C184" s="661">
        <v>1</v>
      </c>
      <c r="E184" t="s">
        <v>1112</v>
      </c>
    </row>
    <row r="185" spans="1:5">
      <c r="A185" s="772">
        <v>39910</v>
      </c>
      <c r="C185" s="661">
        <v>1</v>
      </c>
      <c r="E185" t="s">
        <v>1116</v>
      </c>
    </row>
    <row r="186" spans="1:5">
      <c r="C186" s="661">
        <v>2</v>
      </c>
      <c r="E186" t="s">
        <v>1115</v>
      </c>
    </row>
    <row r="187" spans="1:5">
      <c r="C187" s="661">
        <v>3</v>
      </c>
      <c r="E187" t="s">
        <v>1113</v>
      </c>
    </row>
    <row r="188" spans="1:5">
      <c r="A188" s="772">
        <v>39917</v>
      </c>
      <c r="C188" s="661">
        <v>1</v>
      </c>
      <c r="E188" t="s">
        <v>1117</v>
      </c>
    </row>
    <row r="189" spans="1:5">
      <c r="A189" s="772">
        <v>39934</v>
      </c>
      <c r="C189" s="661">
        <v>1</v>
      </c>
      <c r="E189" t="s">
        <v>1118</v>
      </c>
    </row>
    <row r="190" spans="1:5">
      <c r="A190" s="772">
        <v>39939</v>
      </c>
      <c r="C190" s="661">
        <v>1</v>
      </c>
      <c r="E190" t="s">
        <v>1119</v>
      </c>
    </row>
    <row r="191" spans="1:5">
      <c r="A191" s="772">
        <v>39940</v>
      </c>
      <c r="C191" s="661">
        <v>1</v>
      </c>
      <c r="E191" t="s">
        <v>1120</v>
      </c>
    </row>
    <row r="192" spans="1:5">
      <c r="A192" s="772">
        <v>39947</v>
      </c>
      <c r="C192" s="661">
        <v>1</v>
      </c>
      <c r="E192" t="s">
        <v>1121</v>
      </c>
    </row>
    <row r="193" spans="1:5">
      <c r="A193" s="772">
        <v>39965</v>
      </c>
      <c r="C193" s="661">
        <v>1</v>
      </c>
      <c r="E193" t="s">
        <v>1123</v>
      </c>
    </row>
    <row r="194" spans="1:5">
      <c r="A194" s="772">
        <v>39966</v>
      </c>
      <c r="C194" s="661">
        <v>1</v>
      </c>
      <c r="E194" t="s">
        <v>1125</v>
      </c>
    </row>
    <row r="195" spans="1:5">
      <c r="C195" s="661">
        <v>2</v>
      </c>
      <c r="E195" t="s">
        <v>1124</v>
      </c>
    </row>
    <row r="196" spans="1:5">
      <c r="A196" s="772">
        <v>39967</v>
      </c>
      <c r="C196" s="661">
        <v>1</v>
      </c>
      <c r="E196" t="s">
        <v>1126</v>
      </c>
    </row>
    <row r="197" spans="1:5">
      <c r="C197" s="661">
        <v>2</v>
      </c>
      <c r="E197" t="s">
        <v>1127</v>
      </c>
    </row>
    <row r="198" spans="1:5">
      <c r="C198" s="661">
        <v>3</v>
      </c>
      <c r="E198" t="s">
        <v>1128</v>
      </c>
    </row>
    <row r="199" spans="1:5">
      <c r="A199" s="772">
        <v>39969</v>
      </c>
      <c r="C199" s="661">
        <v>1</v>
      </c>
      <c r="E199" t="s">
        <v>1129</v>
      </c>
    </row>
    <row r="200" spans="1:5">
      <c r="A200" s="772">
        <v>39973</v>
      </c>
      <c r="C200" s="661">
        <v>1</v>
      </c>
      <c r="E200" t="s">
        <v>1130</v>
      </c>
    </row>
    <row r="201" spans="1:5">
      <c r="A201" s="772">
        <v>39979</v>
      </c>
      <c r="C201" s="661">
        <v>1</v>
      </c>
      <c r="E201" t="s">
        <v>1131</v>
      </c>
    </row>
    <row r="202" spans="1:5">
      <c r="A202" s="772">
        <v>39983</v>
      </c>
      <c r="C202" s="661">
        <v>1</v>
      </c>
      <c r="E202" t="s">
        <v>1134</v>
      </c>
    </row>
    <row r="203" spans="1:5">
      <c r="C203" s="661">
        <v>2</v>
      </c>
      <c r="E203" t="s">
        <v>1135</v>
      </c>
    </row>
    <row r="204" spans="1:5">
      <c r="A204" s="772">
        <v>39988</v>
      </c>
      <c r="C204" s="661">
        <v>1</v>
      </c>
      <c r="E204" t="s">
        <v>1136</v>
      </c>
    </row>
    <row r="205" spans="1:5">
      <c r="C205" s="661">
        <v>2</v>
      </c>
      <c r="E205" t="s">
        <v>1138</v>
      </c>
    </row>
    <row r="206" spans="1:5">
      <c r="A206" s="772">
        <v>39990</v>
      </c>
      <c r="C206" s="661">
        <v>1</v>
      </c>
      <c r="E206" t="s">
        <v>1139</v>
      </c>
    </row>
    <row r="207" spans="1:5">
      <c r="C207" s="661">
        <v>2</v>
      </c>
      <c r="E207" t="s">
        <v>1140</v>
      </c>
    </row>
    <row r="208" spans="1:5">
      <c r="C208" s="661">
        <v>3</v>
      </c>
      <c r="E208" t="s">
        <v>1141</v>
      </c>
    </row>
    <row r="209" spans="1:5">
      <c r="A209" s="772">
        <v>39997</v>
      </c>
      <c r="C209" s="661">
        <v>1</v>
      </c>
      <c r="E209" t="s">
        <v>1142</v>
      </c>
    </row>
    <row r="210" spans="1:5">
      <c r="A210" s="772">
        <v>40003</v>
      </c>
      <c r="C210" s="661">
        <v>1</v>
      </c>
      <c r="E210" t="s">
        <v>1143</v>
      </c>
    </row>
    <row r="211" spans="1:5">
      <c r="C211" s="661">
        <v>2</v>
      </c>
      <c r="E211" t="s">
        <v>1145</v>
      </c>
    </row>
    <row r="212" spans="1:5">
      <c r="A212" s="772">
        <v>40008</v>
      </c>
      <c r="C212" s="661">
        <v>1</v>
      </c>
      <c r="E212" t="s">
        <v>1149</v>
      </c>
    </row>
    <row r="213" spans="1:5">
      <c r="A213" s="772">
        <v>40009</v>
      </c>
      <c r="C213" s="661">
        <v>1</v>
      </c>
      <c r="E213" t="s">
        <v>1157</v>
      </c>
    </row>
    <row r="214" spans="1:5">
      <c r="C214" s="661">
        <v>2</v>
      </c>
      <c r="E214" t="s">
        <v>1158</v>
      </c>
    </row>
    <row r="215" spans="1:5">
      <c r="A215" s="772">
        <v>40015</v>
      </c>
      <c r="C215" s="661">
        <v>1</v>
      </c>
      <c r="E215" t="s">
        <v>1159</v>
      </c>
    </row>
    <row r="216" spans="1:5">
      <c r="C216" s="661">
        <v>2</v>
      </c>
      <c r="E216" t="s">
        <v>1161</v>
      </c>
    </row>
    <row r="217" spans="1:5">
      <c r="A217" s="772">
        <v>40017</v>
      </c>
      <c r="C217" s="661">
        <v>1</v>
      </c>
      <c r="E217" t="s">
        <v>1162</v>
      </c>
    </row>
    <row r="218" spans="1:5">
      <c r="A218" s="772">
        <v>40018</v>
      </c>
      <c r="C218" s="661">
        <v>1</v>
      </c>
      <c r="E218" t="s">
        <v>1175</v>
      </c>
    </row>
    <row r="219" spans="1:5">
      <c r="A219" s="772">
        <v>40035</v>
      </c>
      <c r="C219" s="661">
        <v>1</v>
      </c>
      <c r="E219" t="s">
        <v>1177</v>
      </c>
    </row>
    <row r="220" spans="1:5">
      <c r="A220" s="772">
        <v>40037</v>
      </c>
      <c r="C220" s="661">
        <v>1</v>
      </c>
      <c r="E220" t="s">
        <v>1178</v>
      </c>
    </row>
    <row r="221" spans="1:5">
      <c r="A221" s="772">
        <v>40044</v>
      </c>
      <c r="C221" s="661">
        <v>1</v>
      </c>
      <c r="E221" t="s">
        <v>1179</v>
      </c>
    </row>
    <row r="222" spans="1:5">
      <c r="A222" s="772">
        <v>40058</v>
      </c>
      <c r="C222" s="661">
        <v>1</v>
      </c>
      <c r="E222" t="s">
        <v>1181</v>
      </c>
    </row>
    <row r="223" spans="1:5">
      <c r="A223" s="772">
        <v>40070</v>
      </c>
      <c r="C223" s="661">
        <v>1</v>
      </c>
      <c r="E223" t="s">
        <v>1182</v>
      </c>
    </row>
    <row r="224" spans="1:5">
      <c r="A224" s="772">
        <v>40079</v>
      </c>
      <c r="C224" s="661">
        <v>1</v>
      </c>
      <c r="E224" t="s">
        <v>1185</v>
      </c>
    </row>
    <row r="225" spans="1:5">
      <c r="A225" s="772">
        <v>40085</v>
      </c>
      <c r="C225" s="661">
        <v>1</v>
      </c>
      <c r="E225" t="s">
        <v>1186</v>
      </c>
    </row>
    <row r="226" spans="1:5">
      <c r="C226" s="661">
        <v>2</v>
      </c>
      <c r="E226" t="s">
        <v>1187</v>
      </c>
    </row>
    <row r="227" spans="1:5">
      <c r="A227" s="772">
        <v>40120</v>
      </c>
      <c r="C227" s="661">
        <v>1</v>
      </c>
      <c r="E227" t="s">
        <v>1188</v>
      </c>
    </row>
    <row r="228" spans="1:5">
      <c r="A228" s="772">
        <v>40155</v>
      </c>
      <c r="C228" s="661">
        <v>1</v>
      </c>
      <c r="E228" t="s">
        <v>1189</v>
      </c>
    </row>
    <row r="229" spans="1:5">
      <c r="A229" s="772">
        <v>40158</v>
      </c>
      <c r="C229" s="661">
        <v>1</v>
      </c>
      <c r="E229" t="s">
        <v>1190</v>
      </c>
    </row>
    <row r="230" spans="1:5">
      <c r="A230" s="772">
        <v>40212</v>
      </c>
      <c r="C230" s="661">
        <v>1</v>
      </c>
      <c r="E230" t="s">
        <v>1194</v>
      </c>
    </row>
    <row r="231" spans="1:5">
      <c r="A231" s="772">
        <v>40213</v>
      </c>
      <c r="C231" s="661">
        <v>1</v>
      </c>
      <c r="E231" t="s">
        <v>1193</v>
      </c>
    </row>
    <row r="232" spans="1:5">
      <c r="A232" s="772">
        <v>40217</v>
      </c>
      <c r="C232" s="661">
        <v>1</v>
      </c>
      <c r="E232" t="s">
        <v>1192</v>
      </c>
    </row>
    <row r="233" spans="1:5">
      <c r="A233" s="772">
        <v>40224</v>
      </c>
      <c r="C233" s="661">
        <v>1</v>
      </c>
      <c r="E233" t="s">
        <v>1191</v>
      </c>
    </row>
    <row r="234" spans="1:5">
      <c r="A234" s="772">
        <v>40225</v>
      </c>
      <c r="C234" s="661">
        <v>1</v>
      </c>
      <c r="E234" t="s">
        <v>1183</v>
      </c>
    </row>
    <row r="235" spans="1:5">
      <c r="A235" s="772">
        <v>40242</v>
      </c>
      <c r="C235" s="661">
        <v>1</v>
      </c>
      <c r="E235" t="s">
        <v>1180</v>
      </c>
    </row>
    <row r="236" spans="1:5">
      <c r="A236" s="772">
        <v>40263</v>
      </c>
      <c r="C236" s="661">
        <v>1</v>
      </c>
      <c r="E236" t="s">
        <v>1174</v>
      </c>
    </row>
    <row r="237" spans="1:5">
      <c r="A237" s="772">
        <v>40290</v>
      </c>
      <c r="C237" s="661">
        <v>1</v>
      </c>
      <c r="E237" t="s">
        <v>1160</v>
      </c>
    </row>
    <row r="238" spans="1:5">
      <c r="A238" s="772">
        <v>40295</v>
      </c>
      <c r="C238" s="661">
        <v>1</v>
      </c>
      <c r="E238" t="s">
        <v>1150</v>
      </c>
    </row>
    <row r="239" spans="1:5">
      <c r="A239" s="772">
        <v>40344</v>
      </c>
      <c r="C239" s="661">
        <v>1</v>
      </c>
      <c r="E239" t="s">
        <v>1137</v>
      </c>
    </row>
    <row r="240" spans="1:5">
      <c r="A240" s="772">
        <v>40354</v>
      </c>
      <c r="C240" s="661">
        <v>1</v>
      </c>
      <c r="D240" s="661" t="s">
        <v>1098</v>
      </c>
      <c r="E240" t="s">
        <v>1132</v>
      </c>
    </row>
    <row r="241" spans="1:5">
      <c r="C241" s="661">
        <v>2</v>
      </c>
      <c r="D241" s="661" t="s">
        <v>1098</v>
      </c>
      <c r="E241" t="s">
        <v>1133</v>
      </c>
    </row>
    <row r="242" spans="1:5">
      <c r="C242" s="661">
        <v>3</v>
      </c>
      <c r="D242" s="661" t="s">
        <v>1098</v>
      </c>
      <c r="E242" t="s">
        <v>1122</v>
      </c>
    </row>
    <row r="243" spans="1:5">
      <c r="A243" s="772">
        <v>40364</v>
      </c>
      <c r="C243" s="661">
        <v>1</v>
      </c>
      <c r="D243" s="661" t="s">
        <v>1098</v>
      </c>
      <c r="E243" t="s">
        <v>1114</v>
      </c>
    </row>
    <row r="244" spans="1:5">
      <c r="A244" s="772">
        <v>40365</v>
      </c>
      <c r="C244" s="661">
        <v>1</v>
      </c>
      <c r="D244" s="661" t="s">
        <v>1369</v>
      </c>
      <c r="E244" t="s">
        <v>1105</v>
      </c>
    </row>
    <row r="245" spans="1:5">
      <c r="A245" s="772">
        <v>40366</v>
      </c>
      <c r="C245" s="661">
        <v>1</v>
      </c>
      <c r="D245" s="661" t="s">
        <v>1098</v>
      </c>
      <c r="E245" t="s">
        <v>1099</v>
      </c>
    </row>
    <row r="246" spans="1:5">
      <c r="A246" s="772">
        <v>40368</v>
      </c>
      <c r="C246" s="661">
        <v>1</v>
      </c>
      <c r="D246" s="661" t="s">
        <v>1098</v>
      </c>
      <c r="E246" t="s">
        <v>1083</v>
      </c>
    </row>
    <row r="247" spans="1:5">
      <c r="A247" s="772">
        <v>40385</v>
      </c>
      <c r="C247" s="661">
        <v>1</v>
      </c>
      <c r="D247" s="661" t="s">
        <v>1098</v>
      </c>
      <c r="E247" t="s">
        <v>1046</v>
      </c>
    </row>
    <row r="248" spans="1:5">
      <c r="A248" s="772">
        <v>40409</v>
      </c>
      <c r="C248" s="661">
        <v>1</v>
      </c>
      <c r="D248" s="661" t="s">
        <v>1369</v>
      </c>
      <c r="E248" t="s">
        <v>1017</v>
      </c>
    </row>
    <row r="249" spans="1:5">
      <c r="A249" s="772">
        <v>40441</v>
      </c>
      <c r="C249" s="661">
        <v>1</v>
      </c>
      <c r="D249" s="661" t="s">
        <v>1098</v>
      </c>
      <c r="E249" t="s">
        <v>1003</v>
      </c>
    </row>
    <row r="250" spans="1:5">
      <c r="A250" s="772">
        <v>40451</v>
      </c>
      <c r="C250" s="661">
        <v>1</v>
      </c>
      <c r="D250" s="661" t="s">
        <v>1098</v>
      </c>
      <c r="E250" t="s">
        <v>977</v>
      </c>
    </row>
    <row r="251" spans="1:5">
      <c r="A251" s="772">
        <v>40465</v>
      </c>
      <c r="C251" s="661">
        <v>1</v>
      </c>
      <c r="D251" s="661" t="s">
        <v>1098</v>
      </c>
      <c r="E251" t="s">
        <v>942</v>
      </c>
    </row>
    <row r="252" spans="1:5">
      <c r="A252" s="772">
        <v>40479</v>
      </c>
      <c r="C252" s="661">
        <v>1</v>
      </c>
      <c r="D252" s="661" t="s">
        <v>1098</v>
      </c>
      <c r="E252" t="s">
        <v>942</v>
      </c>
    </row>
    <row r="253" spans="1:5">
      <c r="A253" s="772">
        <v>40505</v>
      </c>
      <c r="C253" s="661">
        <v>1</v>
      </c>
      <c r="D253" s="661" t="s">
        <v>1098</v>
      </c>
      <c r="E253" t="s">
        <v>747</v>
      </c>
    </row>
    <row r="254" spans="1:5">
      <c r="A254" s="772">
        <v>40609</v>
      </c>
      <c r="C254" s="661">
        <v>1</v>
      </c>
      <c r="D254" s="661" t="s">
        <v>640</v>
      </c>
      <c r="E254" t="s">
        <v>641</v>
      </c>
    </row>
    <row r="255" spans="1:5">
      <c r="A255" s="772">
        <v>40626</v>
      </c>
      <c r="C255" s="661">
        <v>1</v>
      </c>
      <c r="D255" s="1000" t="s">
        <v>1098</v>
      </c>
      <c r="E255" s="1001" t="s">
        <v>565</v>
      </c>
    </row>
    <row r="256" spans="1:5">
      <c r="A256" s="772">
        <v>40679</v>
      </c>
      <c r="C256" s="661">
        <v>1</v>
      </c>
      <c r="D256" s="661" t="s">
        <v>494</v>
      </c>
      <c r="E256" s="1001" t="s">
        <v>495</v>
      </c>
    </row>
    <row r="257" spans="1:5">
      <c r="A257" s="772">
        <v>40714</v>
      </c>
      <c r="C257" s="661">
        <v>1</v>
      </c>
      <c r="D257" s="661" t="s">
        <v>421</v>
      </c>
      <c r="E257" s="1001" t="s">
        <v>422</v>
      </c>
    </row>
    <row r="258" spans="1:5">
      <c r="C258" s="661">
        <v>2</v>
      </c>
      <c r="D258" s="661" t="s">
        <v>421</v>
      </c>
      <c r="E258" s="1001" t="s">
        <v>423</v>
      </c>
    </row>
    <row r="259" spans="1:5">
      <c r="C259" s="661">
        <v>3</v>
      </c>
      <c r="D259" s="661" t="s">
        <v>421</v>
      </c>
      <c r="E259" s="1001" t="s">
        <v>424</v>
      </c>
    </row>
    <row r="260" spans="1:5">
      <c r="A260" s="772">
        <v>40743</v>
      </c>
      <c r="C260" s="661">
        <v>1</v>
      </c>
      <c r="D260" s="661" t="s">
        <v>1369</v>
      </c>
      <c r="E260" s="1001" t="s">
        <v>397</v>
      </c>
    </row>
    <row r="261" spans="1:5">
      <c r="C261" s="661">
        <v>2</v>
      </c>
      <c r="D261" s="661" t="s">
        <v>1369</v>
      </c>
      <c r="E261" s="1001" t="s">
        <v>400</v>
      </c>
    </row>
    <row r="262" spans="1:5">
      <c r="A262" s="772">
        <v>40759</v>
      </c>
      <c r="C262" s="661">
        <v>1</v>
      </c>
      <c r="D262" s="661" t="s">
        <v>1369</v>
      </c>
      <c r="E262" s="1001" t="s">
        <v>254</v>
      </c>
    </row>
    <row r="263" spans="1:5">
      <c r="C263" s="661">
        <v>2</v>
      </c>
      <c r="D263" s="661" t="s">
        <v>1369</v>
      </c>
      <c r="E263" s="1001" t="s">
        <v>256</v>
      </c>
    </row>
    <row r="264" spans="1:5">
      <c r="A264" s="772">
        <v>40772</v>
      </c>
      <c r="C264" s="661">
        <v>1</v>
      </c>
      <c r="D264" s="661" t="s">
        <v>1098</v>
      </c>
      <c r="E264" s="1001" t="s">
        <v>1413</v>
      </c>
    </row>
    <row r="265" spans="1:5">
      <c r="C265" s="661">
        <v>2</v>
      </c>
      <c r="D265" s="661" t="s">
        <v>1098</v>
      </c>
      <c r="E265" s="1001" t="s">
        <v>1305</v>
      </c>
    </row>
    <row r="266" spans="1:5">
      <c r="A266" s="772">
        <v>40780</v>
      </c>
      <c r="C266" s="661">
        <v>1</v>
      </c>
      <c r="D266" s="661" t="s">
        <v>1369</v>
      </c>
      <c r="E266" s="1001" t="s">
        <v>1155</v>
      </c>
    </row>
    <row r="267" spans="1:5">
      <c r="A267" s="772">
        <v>40784</v>
      </c>
      <c r="C267" s="661">
        <v>1</v>
      </c>
      <c r="D267" s="661" t="s">
        <v>1369</v>
      </c>
      <c r="E267" s="1001" t="s">
        <v>1156</v>
      </c>
    </row>
    <row r="268" spans="1:5">
      <c r="A268" s="772">
        <v>40808</v>
      </c>
      <c r="C268" s="661">
        <v>1</v>
      </c>
      <c r="D268" s="661" t="s">
        <v>421</v>
      </c>
      <c r="E268" s="1001" t="s">
        <v>423</v>
      </c>
    </row>
    <row r="269" spans="1:5">
      <c r="C269" s="661">
        <v>2</v>
      </c>
      <c r="D269" s="661" t="s">
        <v>421</v>
      </c>
      <c r="E269" s="1001" t="s">
        <v>1076</v>
      </c>
    </row>
    <row r="270" spans="1:5">
      <c r="A270" s="772">
        <v>40878</v>
      </c>
      <c r="C270" s="661">
        <v>1</v>
      </c>
      <c r="D270" s="661" t="s">
        <v>421</v>
      </c>
      <c r="E270" s="1001" t="s">
        <v>423</v>
      </c>
    </row>
    <row r="271" spans="1:5">
      <c r="C271" s="661">
        <v>2</v>
      </c>
      <c r="D271" s="661" t="s">
        <v>421</v>
      </c>
      <c r="E271" s="1001" t="s">
        <v>1076</v>
      </c>
    </row>
    <row r="272" spans="1:5">
      <c r="C272" s="661">
        <v>3</v>
      </c>
      <c r="D272" s="661" t="s">
        <v>421</v>
      </c>
      <c r="E272" s="1001" t="s">
        <v>424</v>
      </c>
    </row>
    <row r="273" spans="1:5">
      <c r="A273" s="772">
        <v>40896</v>
      </c>
      <c r="C273" s="661">
        <v>1</v>
      </c>
      <c r="D273" s="661" t="s">
        <v>1369</v>
      </c>
      <c r="E273" s="1001" t="s">
        <v>903</v>
      </c>
    </row>
    <row r="274" spans="1:5">
      <c r="A274" s="772">
        <v>40912</v>
      </c>
      <c r="C274" s="661">
        <v>1</v>
      </c>
      <c r="D274" s="661" t="s">
        <v>1369</v>
      </c>
      <c r="E274" s="1001" t="s">
        <v>463</v>
      </c>
    </row>
    <row r="275" spans="1:5">
      <c r="C275" s="661">
        <v>2</v>
      </c>
      <c r="D275" s="661" t="s">
        <v>1369</v>
      </c>
      <c r="E275" s="1001" t="s">
        <v>464</v>
      </c>
    </row>
    <row r="276" spans="1:5">
      <c r="C276" s="661">
        <v>3</v>
      </c>
      <c r="D276" s="661" t="s">
        <v>1369</v>
      </c>
      <c r="E276" s="1001" t="s">
        <v>465</v>
      </c>
    </row>
    <row r="277" spans="1:5">
      <c r="C277" s="661">
        <v>4</v>
      </c>
      <c r="D277" s="661" t="s">
        <v>1369</v>
      </c>
      <c r="E277" s="1001" t="s">
        <v>466</v>
      </c>
    </row>
    <row r="278" spans="1:5">
      <c r="C278" s="661">
        <v>5</v>
      </c>
      <c r="D278" s="661" t="s">
        <v>1369</v>
      </c>
      <c r="E278" s="1001" t="s">
        <v>467</v>
      </c>
    </row>
    <row r="279" spans="1:5">
      <c r="C279" s="661">
        <v>6</v>
      </c>
      <c r="D279" s="661" t="s">
        <v>1369</v>
      </c>
      <c r="E279" s="1001" t="s">
        <v>468</v>
      </c>
    </row>
    <row r="280" spans="1:5">
      <c r="C280" s="661">
        <v>7</v>
      </c>
      <c r="D280" s="661" t="s">
        <v>1369</v>
      </c>
      <c r="E280" s="1001" t="s">
        <v>469</v>
      </c>
    </row>
    <row r="281" spans="1:5">
      <c r="C281" s="661">
        <v>8</v>
      </c>
      <c r="D281" s="661" t="s">
        <v>1369</v>
      </c>
      <c r="E281" s="1001" t="s">
        <v>470</v>
      </c>
    </row>
    <row r="282" spans="1:5">
      <c r="C282" s="661">
        <v>9</v>
      </c>
      <c r="D282" s="661" t="s">
        <v>1369</v>
      </c>
      <c r="E282" s="1001" t="s">
        <v>471</v>
      </c>
    </row>
    <row r="283" spans="1:5">
      <c r="C283" s="661">
        <v>10</v>
      </c>
      <c r="D283" s="661" t="s">
        <v>1369</v>
      </c>
      <c r="E283" s="1001" t="s">
        <v>472</v>
      </c>
    </row>
    <row r="284" spans="1:5">
      <c r="C284" s="661">
        <v>11</v>
      </c>
      <c r="D284" s="661" t="s">
        <v>1369</v>
      </c>
      <c r="E284" s="1001" t="s">
        <v>473</v>
      </c>
    </row>
    <row r="285" spans="1:5">
      <c r="C285" s="661">
        <v>12</v>
      </c>
      <c r="D285" s="661" t="s">
        <v>1369</v>
      </c>
      <c r="E285" s="1001" t="s">
        <v>474</v>
      </c>
    </row>
    <row r="286" spans="1:5">
      <c r="A286" s="772">
        <v>40913</v>
      </c>
      <c r="C286" s="661">
        <v>1</v>
      </c>
      <c r="D286" s="661" t="s">
        <v>1098</v>
      </c>
      <c r="E286" s="1001" t="s">
        <v>399</v>
      </c>
    </row>
    <row r="287" spans="1:5">
      <c r="A287" s="772">
        <v>40919</v>
      </c>
      <c r="C287" s="661">
        <v>1</v>
      </c>
      <c r="D287" s="661" t="s">
        <v>1369</v>
      </c>
      <c r="E287" s="1001" t="s">
        <v>255</v>
      </c>
    </row>
    <row r="288" spans="1:5">
      <c r="A288" s="772">
        <v>40938</v>
      </c>
      <c r="C288" s="661">
        <v>1</v>
      </c>
      <c r="D288" s="661" t="s">
        <v>1369</v>
      </c>
      <c r="E288" s="1001" t="s">
        <v>1425</v>
      </c>
    </row>
    <row r="289" spans="1:5">
      <c r="A289" s="772">
        <v>40954</v>
      </c>
      <c r="C289" s="661">
        <v>1</v>
      </c>
      <c r="D289" s="661" t="s">
        <v>1098</v>
      </c>
      <c r="E289" s="1001" t="s">
        <v>1212</v>
      </c>
    </row>
    <row r="290" spans="1:5">
      <c r="A290" s="772">
        <v>40959</v>
      </c>
      <c r="C290" s="661">
        <v>1</v>
      </c>
      <c r="D290" s="661" t="s">
        <v>1369</v>
      </c>
      <c r="E290" s="1001" t="s">
        <v>1032</v>
      </c>
    </row>
    <row r="291" spans="1:5">
      <c r="A291" s="772">
        <v>40961</v>
      </c>
      <c r="C291" s="661">
        <v>1</v>
      </c>
      <c r="D291" s="661" t="s">
        <v>421</v>
      </c>
      <c r="E291" s="1001" t="s">
        <v>830</v>
      </c>
    </row>
    <row r="292" spans="1:5">
      <c r="C292" s="661">
        <v>2</v>
      </c>
      <c r="D292" s="661" t="s">
        <v>421</v>
      </c>
      <c r="E292" s="1001" t="s">
        <v>831</v>
      </c>
    </row>
    <row r="293" spans="1:5">
      <c r="C293" s="661">
        <v>3</v>
      </c>
      <c r="D293" s="661" t="s">
        <v>421</v>
      </c>
      <c r="E293" s="1001" t="s">
        <v>832</v>
      </c>
    </row>
    <row r="294" spans="1:5">
      <c r="A294" s="772">
        <v>40973</v>
      </c>
      <c r="C294" s="661">
        <v>1</v>
      </c>
      <c r="D294" s="661" t="s">
        <v>1369</v>
      </c>
      <c r="E294" s="1001" t="s">
        <v>715</v>
      </c>
    </row>
    <row r="295" spans="1:5">
      <c r="A295" s="772">
        <v>41023</v>
      </c>
      <c r="C295" s="661">
        <v>1</v>
      </c>
      <c r="D295" s="661" t="s">
        <v>1369</v>
      </c>
      <c r="E295" s="1001" t="s">
        <v>628</v>
      </c>
    </row>
    <row r="296" spans="1:5">
      <c r="A296" s="772">
        <v>41039</v>
      </c>
      <c r="C296" s="661">
        <v>1</v>
      </c>
      <c r="D296" s="661" t="s">
        <v>421</v>
      </c>
      <c r="E296" s="1001" t="s">
        <v>571</v>
      </c>
    </row>
    <row r="297" spans="1:5">
      <c r="A297" s="772">
        <v>41053</v>
      </c>
      <c r="C297" s="661">
        <v>1</v>
      </c>
      <c r="D297" s="661" t="s">
        <v>421</v>
      </c>
      <c r="E297" s="1001" t="s">
        <v>571</v>
      </c>
    </row>
    <row r="298" spans="1:5">
      <c r="A298" s="772">
        <v>41114</v>
      </c>
      <c r="C298" s="661">
        <v>1</v>
      </c>
      <c r="D298" s="661" t="s">
        <v>1369</v>
      </c>
      <c r="E298" s="1001" t="s">
        <v>103</v>
      </c>
    </row>
    <row r="299" spans="1:5">
      <c r="A299" s="772">
        <v>41114</v>
      </c>
      <c r="C299" s="661">
        <v>2</v>
      </c>
      <c r="D299" s="661" t="s">
        <v>421</v>
      </c>
      <c r="E299" s="1001" t="s">
        <v>571</v>
      </c>
    </row>
    <row r="300" spans="1:5">
      <c r="A300" s="772">
        <v>41143</v>
      </c>
      <c r="C300" s="661">
        <v>1</v>
      </c>
      <c r="D300" s="661" t="s">
        <v>1369</v>
      </c>
      <c r="E300" s="1001" t="s">
        <v>1176</v>
      </c>
    </row>
    <row r="301" spans="1:5">
      <c r="A301" s="772">
        <v>41144</v>
      </c>
      <c r="C301" s="661">
        <v>1</v>
      </c>
      <c r="D301" s="661" t="s">
        <v>1093</v>
      </c>
      <c r="E301" s="1001" t="s">
        <v>571</v>
      </c>
    </row>
    <row r="302" spans="1:5">
      <c r="C302" s="661">
        <v>2</v>
      </c>
      <c r="D302" s="661" t="s">
        <v>1093</v>
      </c>
      <c r="E302" s="1001" t="s">
        <v>1094</v>
      </c>
    </row>
    <row r="303" spans="1:5">
      <c r="C303" s="661">
        <v>3</v>
      </c>
      <c r="D303" s="661" t="s">
        <v>1093</v>
      </c>
      <c r="E303" s="1001" t="s">
        <v>1095</v>
      </c>
    </row>
    <row r="304" spans="1:5">
      <c r="A304" s="772">
        <v>41192</v>
      </c>
      <c r="C304" s="661">
        <v>1</v>
      </c>
      <c r="D304" s="661" t="s">
        <v>1093</v>
      </c>
      <c r="E304" s="1001" t="s">
        <v>986</v>
      </c>
    </row>
    <row r="305" spans="1:5">
      <c r="A305" s="772">
        <v>41213</v>
      </c>
      <c r="C305" s="661">
        <v>1</v>
      </c>
      <c r="D305" s="661" t="s">
        <v>1093</v>
      </c>
      <c r="E305" s="1001" t="s">
        <v>706</v>
      </c>
    </row>
    <row r="306" spans="1:5">
      <c r="A306" s="772">
        <v>41233</v>
      </c>
      <c r="C306" s="661">
        <v>1</v>
      </c>
      <c r="D306" s="661" t="s">
        <v>1093</v>
      </c>
      <c r="E306" s="1001" t="s">
        <v>611</v>
      </c>
    </row>
    <row r="307" spans="1:5">
      <c r="C307" s="661">
        <v>2</v>
      </c>
      <c r="D307" s="661" t="s">
        <v>1093</v>
      </c>
      <c r="E307" s="1001" t="s">
        <v>612</v>
      </c>
    </row>
    <row r="308" spans="1:5">
      <c r="A308" s="772">
        <v>41257</v>
      </c>
      <c r="C308" s="661">
        <v>1</v>
      </c>
      <c r="D308" s="661" t="s">
        <v>1093</v>
      </c>
      <c r="E308" s="1001" t="s">
        <v>488</v>
      </c>
    </row>
    <row r="309" spans="1:5">
      <c r="C309" s="661">
        <v>2</v>
      </c>
      <c r="D309" s="661" t="s">
        <v>1093</v>
      </c>
      <c r="E309" s="1001" t="s">
        <v>489</v>
      </c>
    </row>
    <row r="310" spans="1:5">
      <c r="C310" s="661">
        <v>3</v>
      </c>
      <c r="D310" s="661" t="s">
        <v>1093</v>
      </c>
      <c r="E310" s="1001" t="s">
        <v>490</v>
      </c>
    </row>
    <row r="311" spans="1:5">
      <c r="A311" s="772">
        <v>41332</v>
      </c>
      <c r="C311" s="661">
        <v>1</v>
      </c>
      <c r="D311" s="661" t="s">
        <v>1369</v>
      </c>
      <c r="E311" s="1001" t="s">
        <v>357</v>
      </c>
    </row>
    <row r="312" spans="1:5">
      <c r="A312" s="772">
        <v>41353</v>
      </c>
      <c r="C312" s="661">
        <v>1</v>
      </c>
      <c r="D312" s="661" t="s">
        <v>1369</v>
      </c>
      <c r="E312" s="1001" t="s">
        <v>132</v>
      </c>
    </row>
    <row r="313" spans="1:5">
      <c r="A313" s="772">
        <v>41369</v>
      </c>
      <c r="C313" s="661">
        <v>1</v>
      </c>
      <c r="D313" s="661" t="s">
        <v>421</v>
      </c>
      <c r="E313" s="1001" t="s">
        <v>1368</v>
      </c>
    </row>
    <row r="314" spans="1:5">
      <c r="A314" s="772">
        <v>41400</v>
      </c>
      <c r="C314" s="661">
        <v>1</v>
      </c>
      <c r="D314" s="661" t="s">
        <v>1369</v>
      </c>
      <c r="E314" s="1001" t="s">
        <v>1144</v>
      </c>
    </row>
    <row r="315" spans="1:5">
      <c r="A315" s="772">
        <v>41414</v>
      </c>
      <c r="C315" s="661">
        <v>1</v>
      </c>
      <c r="D315" s="661" t="s">
        <v>1369</v>
      </c>
      <c r="E315" s="1001" t="s">
        <v>897</v>
      </c>
    </row>
    <row r="316" spans="1:5">
      <c r="A316" s="772">
        <v>41421</v>
      </c>
      <c r="C316" s="661">
        <v>1</v>
      </c>
      <c r="D316" s="661" t="s">
        <v>421</v>
      </c>
      <c r="E316" s="1001" t="s">
        <v>571</v>
      </c>
    </row>
    <row r="317" spans="1:5">
      <c r="A317" s="772">
        <v>41464</v>
      </c>
      <c r="C317" s="661">
        <v>1</v>
      </c>
      <c r="D317" s="661" t="s">
        <v>421</v>
      </c>
      <c r="E317" s="1001" t="s">
        <v>571</v>
      </c>
    </row>
    <row r="318" spans="1:5">
      <c r="A318" s="772">
        <v>41520</v>
      </c>
      <c r="C318" s="661">
        <v>1</v>
      </c>
      <c r="D318" s="661" t="s">
        <v>421</v>
      </c>
      <c r="E318" s="1001" t="s">
        <v>571</v>
      </c>
    </row>
    <row r="319" spans="1:5">
      <c r="C319" s="661">
        <v>2</v>
      </c>
      <c r="D319" s="661" t="s">
        <v>421</v>
      </c>
      <c r="E319" s="1001" t="s">
        <v>321</v>
      </c>
    </row>
    <row r="320" spans="1:5">
      <c r="A320" s="772">
        <v>41578</v>
      </c>
      <c r="C320" s="661">
        <v>1</v>
      </c>
      <c r="D320" s="661" t="s">
        <v>421</v>
      </c>
      <c r="E320" s="1001" t="s">
        <v>571</v>
      </c>
    </row>
    <row r="321" spans="1:5">
      <c r="A321" s="772">
        <v>41656</v>
      </c>
      <c r="C321" s="661">
        <v>1</v>
      </c>
      <c r="D321" s="661" t="s">
        <v>421</v>
      </c>
      <c r="E321" s="1001" t="s">
        <v>571</v>
      </c>
    </row>
    <row r="322" spans="1:5">
      <c r="A322" s="772">
        <v>41737</v>
      </c>
      <c r="C322" s="661">
        <v>1</v>
      </c>
      <c r="D322" s="661" t="s">
        <v>421</v>
      </c>
      <c r="E322" s="1001" t="s">
        <v>571</v>
      </c>
    </row>
    <row r="323" spans="1:5">
      <c r="A323" s="772">
        <v>41766</v>
      </c>
      <c r="C323" s="661">
        <v>1</v>
      </c>
      <c r="D323" s="661" t="s">
        <v>421</v>
      </c>
      <c r="E323" s="1001" t="s">
        <v>571</v>
      </c>
    </row>
    <row r="324" spans="1:5">
      <c r="C324" s="661">
        <v>2</v>
      </c>
      <c r="D324" s="661" t="s">
        <v>421</v>
      </c>
      <c r="E324" s="1001" t="s">
        <v>681</v>
      </c>
    </row>
    <row r="325" spans="1:5">
      <c r="A325" s="772">
        <v>41845</v>
      </c>
      <c r="C325" s="661">
        <v>1</v>
      </c>
      <c r="D325" s="661" t="s">
        <v>421</v>
      </c>
      <c r="E325" s="1001" t="s">
        <v>571</v>
      </c>
    </row>
    <row r="326" spans="1:5">
      <c r="A326" s="772">
        <v>41981</v>
      </c>
      <c r="C326" s="661">
        <v>1</v>
      </c>
      <c r="D326" s="1000" t="s">
        <v>1098</v>
      </c>
      <c r="E326" s="1001" t="s">
        <v>1576</v>
      </c>
    </row>
    <row r="327" spans="1:5">
      <c r="C327" s="661">
        <v>2</v>
      </c>
      <c r="D327" s="1000" t="s">
        <v>1098</v>
      </c>
      <c r="E327" s="1001" t="s">
        <v>1577</v>
      </c>
    </row>
    <row r="328" spans="1:5">
      <c r="A328" s="772">
        <v>41985</v>
      </c>
      <c r="C328" s="661">
        <v>1</v>
      </c>
      <c r="D328" s="1000" t="s">
        <v>1098</v>
      </c>
      <c r="E328" s="1001" t="s">
        <v>1586</v>
      </c>
    </row>
    <row r="329" spans="1:5">
      <c r="E329" s="1001" t="s">
        <v>1587</v>
      </c>
    </row>
    <row r="330" spans="1:5">
      <c r="A330" s="772">
        <v>42032</v>
      </c>
      <c r="C330" s="661">
        <v>1</v>
      </c>
      <c r="D330" s="661" t="s">
        <v>1369</v>
      </c>
      <c r="E330" s="1001" t="s">
        <v>1590</v>
      </c>
    </row>
    <row r="331" spans="1:5">
      <c r="C331" s="661">
        <v>2</v>
      </c>
      <c r="D331" s="661" t="s">
        <v>1369</v>
      </c>
      <c r="E331" s="1001" t="s">
        <v>1589</v>
      </c>
    </row>
    <row r="332" spans="1:5">
      <c r="A332" s="772">
        <v>42037</v>
      </c>
      <c r="C332" s="661">
        <v>1</v>
      </c>
      <c r="D332" s="661" t="s">
        <v>421</v>
      </c>
      <c r="E332" s="1001" t="s">
        <v>571</v>
      </c>
    </row>
    <row r="333" spans="1:5">
      <c r="A333" s="772">
        <v>42065</v>
      </c>
      <c r="C333" s="661">
        <v>1</v>
      </c>
      <c r="D333" s="661" t="s">
        <v>1098</v>
      </c>
      <c r="E333" s="1001" t="s">
        <v>1597</v>
      </c>
    </row>
    <row r="334" spans="1:5">
      <c r="C334" s="661">
        <v>2</v>
      </c>
      <c r="D334" s="661" t="s">
        <v>1098</v>
      </c>
      <c r="E334" s="1001" t="s">
        <v>1615</v>
      </c>
    </row>
    <row r="335" spans="1:5">
      <c r="C335" s="661">
        <v>3</v>
      </c>
      <c r="D335" s="661" t="s">
        <v>1098</v>
      </c>
      <c r="E335" s="1001" t="s">
        <v>1613</v>
      </c>
    </row>
    <row r="336" spans="1:5">
      <c r="C336" s="661">
        <v>4</v>
      </c>
      <c r="D336" s="661" t="s">
        <v>1098</v>
      </c>
      <c r="E336" s="1001" t="s">
        <v>1598</v>
      </c>
    </row>
    <row r="337" spans="1:5">
      <c r="C337" s="661">
        <v>5</v>
      </c>
      <c r="D337" s="661" t="s">
        <v>1098</v>
      </c>
      <c r="E337" s="1001" t="s">
        <v>1599</v>
      </c>
    </row>
    <row r="338" spans="1:5">
      <c r="C338" s="661">
        <v>6</v>
      </c>
      <c r="D338" s="661" t="s">
        <v>1098</v>
      </c>
      <c r="E338" s="1001" t="s">
        <v>1611</v>
      </c>
    </row>
    <row r="339" spans="1:5">
      <c r="C339" s="661">
        <v>7</v>
      </c>
      <c r="D339" s="661" t="s">
        <v>1098</v>
      </c>
      <c r="E339" s="1001" t="s">
        <v>1612</v>
      </c>
    </row>
    <row r="340" spans="1:5">
      <c r="C340" s="661">
        <v>8</v>
      </c>
      <c r="D340" s="661" t="s">
        <v>1098</v>
      </c>
      <c r="E340" s="1001" t="s">
        <v>1614</v>
      </c>
    </row>
    <row r="341" spans="1:5">
      <c r="A341" s="772">
        <v>42066</v>
      </c>
      <c r="C341" s="661">
        <v>1</v>
      </c>
      <c r="D341" s="661" t="s">
        <v>1098</v>
      </c>
      <c r="E341" s="1001" t="s">
        <v>1616</v>
      </c>
    </row>
    <row r="342" spans="1:5">
      <c r="A342" s="772">
        <v>42086</v>
      </c>
      <c r="C342" s="661">
        <v>1</v>
      </c>
      <c r="D342" s="661" t="s">
        <v>1098</v>
      </c>
      <c r="E342" s="1001" t="s">
        <v>1619</v>
      </c>
    </row>
    <row r="343" spans="1:5">
      <c r="C343" s="661">
        <v>2</v>
      </c>
      <c r="D343" s="661" t="s">
        <v>1098</v>
      </c>
      <c r="E343" s="1001" t="s">
        <v>1620</v>
      </c>
    </row>
    <row r="344" spans="1:5">
      <c r="C344" s="661">
        <v>3</v>
      </c>
      <c r="D344" s="661" t="s">
        <v>1098</v>
      </c>
      <c r="E344" s="1001" t="s">
        <v>1621</v>
      </c>
    </row>
    <row r="345" spans="1:5">
      <c r="A345" s="772">
        <v>42093</v>
      </c>
      <c r="C345" s="661">
        <v>1</v>
      </c>
      <c r="D345" s="661" t="s">
        <v>1098</v>
      </c>
      <c r="E345" s="1001" t="s">
        <v>1626</v>
      </c>
    </row>
    <row r="346" spans="1:5">
      <c r="C346" s="661">
        <v>2</v>
      </c>
      <c r="D346" s="661" t="s">
        <v>1098</v>
      </c>
      <c r="E346" s="1001" t="s">
        <v>1627</v>
      </c>
    </row>
    <row r="347" spans="1:5">
      <c r="C347" s="661">
        <v>3</v>
      </c>
      <c r="D347" s="661" t="s">
        <v>1098</v>
      </c>
      <c r="E347" s="1001" t="s">
        <v>1628</v>
      </c>
    </row>
    <row r="348" spans="1:5">
      <c r="C348" s="661">
        <v>4</v>
      </c>
      <c r="D348" s="661" t="s">
        <v>1098</v>
      </c>
      <c r="E348" s="1001" t="s">
        <v>1629</v>
      </c>
    </row>
    <row r="349" spans="1:5">
      <c r="C349" s="661">
        <v>5</v>
      </c>
      <c r="D349" s="661" t="s">
        <v>1098</v>
      </c>
      <c r="E349" s="1001" t="s">
        <v>1630</v>
      </c>
    </row>
    <row r="350" spans="1:5">
      <c r="A350" s="772">
        <v>42115</v>
      </c>
      <c r="C350" s="661">
        <v>1</v>
      </c>
      <c r="D350" s="661" t="s">
        <v>1098</v>
      </c>
      <c r="E350" s="1001" t="s">
        <v>1652</v>
      </c>
    </row>
    <row r="351" spans="1:5">
      <c r="C351" s="661">
        <v>2</v>
      </c>
      <c r="D351" s="661" t="s">
        <v>1098</v>
      </c>
      <c r="E351" s="1001" t="s">
        <v>1653</v>
      </c>
    </row>
    <row r="352" spans="1:5">
      <c r="A352" s="772">
        <v>42125</v>
      </c>
      <c r="C352" s="661">
        <v>1</v>
      </c>
      <c r="D352" s="661" t="s">
        <v>1098</v>
      </c>
      <c r="E352" s="1001" t="s">
        <v>1654</v>
      </c>
    </row>
    <row r="353" spans="1:5">
      <c r="A353" s="772">
        <v>42137</v>
      </c>
      <c r="C353" s="661">
        <v>1</v>
      </c>
      <c r="D353" s="661" t="s">
        <v>1098</v>
      </c>
      <c r="E353" s="1001" t="s">
        <v>1656</v>
      </c>
    </row>
    <row r="354" spans="1:5">
      <c r="C354" s="661">
        <v>2</v>
      </c>
      <c r="D354" s="661" t="s">
        <v>1098</v>
      </c>
      <c r="E354" s="1001" t="s">
        <v>1657</v>
      </c>
    </row>
    <row r="355" spans="1:5">
      <c r="A355" s="772">
        <v>42158</v>
      </c>
      <c r="C355" s="661">
        <v>1</v>
      </c>
      <c r="D355" s="661" t="s">
        <v>1098</v>
      </c>
      <c r="E355" s="1001" t="s">
        <v>1665</v>
      </c>
    </row>
    <row r="356" spans="1:5">
      <c r="D356" s="661" t="s">
        <v>1098</v>
      </c>
      <c r="E356" s="1001" t="s">
        <v>1666</v>
      </c>
    </row>
    <row r="357" spans="1:5">
      <c r="A357" s="772">
        <v>42170</v>
      </c>
      <c r="C357" s="661">
        <v>1</v>
      </c>
      <c r="D357" s="661" t="s">
        <v>1098</v>
      </c>
      <c r="E357" s="1001" t="s">
        <v>1689</v>
      </c>
    </row>
    <row r="358" spans="1:5">
      <c r="C358" s="661">
        <v>2</v>
      </c>
      <c r="D358" s="661" t="s">
        <v>1098</v>
      </c>
      <c r="E358" s="1001" t="s">
        <v>1667</v>
      </c>
    </row>
    <row r="359" spans="1:5">
      <c r="C359" s="661">
        <v>3</v>
      </c>
      <c r="D359" s="661" t="s">
        <v>1098</v>
      </c>
      <c r="E359" s="1001" t="s">
        <v>1668</v>
      </c>
    </row>
    <row r="360" spans="1:5">
      <c r="C360" s="661">
        <v>4</v>
      </c>
      <c r="D360" s="661" t="s">
        <v>1098</v>
      </c>
      <c r="E360" s="1001" t="s">
        <v>1669</v>
      </c>
    </row>
    <row r="361" spans="1:5">
      <c r="C361" s="661">
        <v>5</v>
      </c>
      <c r="D361" s="661" t="s">
        <v>1098</v>
      </c>
      <c r="E361" s="1001" t="s">
        <v>1670</v>
      </c>
    </row>
    <row r="362" spans="1:5">
      <c r="C362" s="661">
        <v>6</v>
      </c>
      <c r="D362" s="661" t="s">
        <v>1098</v>
      </c>
      <c r="E362" s="1001" t="s">
        <v>1675</v>
      </c>
    </row>
    <row r="363" spans="1:5">
      <c r="A363" s="772">
        <v>42180</v>
      </c>
      <c r="C363" s="661">
        <v>1</v>
      </c>
      <c r="D363" s="661" t="s">
        <v>1098</v>
      </c>
      <c r="E363" s="1001" t="s">
        <v>1680</v>
      </c>
    </row>
    <row r="364" spans="1:5">
      <c r="C364" s="661">
        <v>2</v>
      </c>
      <c r="D364" s="661" t="s">
        <v>1098</v>
      </c>
      <c r="E364" s="1001" t="s">
        <v>1681</v>
      </c>
    </row>
    <row r="365" spans="1:5">
      <c r="C365" s="661">
        <v>3</v>
      </c>
      <c r="D365" s="661" t="s">
        <v>1098</v>
      </c>
      <c r="E365" s="1001" t="s">
        <v>1682</v>
      </c>
    </row>
    <row r="366" spans="1:5">
      <c r="C366" s="661">
        <v>4</v>
      </c>
      <c r="D366" s="661" t="s">
        <v>1098</v>
      </c>
      <c r="E366" s="1001" t="s">
        <v>1683</v>
      </c>
    </row>
    <row r="367" spans="1:5">
      <c r="C367" s="661">
        <v>5</v>
      </c>
      <c r="D367" s="661" t="s">
        <v>1098</v>
      </c>
      <c r="E367" s="1001" t="s">
        <v>1684</v>
      </c>
    </row>
    <row r="368" spans="1:5">
      <c r="C368" s="661">
        <v>6</v>
      </c>
      <c r="D368" s="661" t="s">
        <v>1098</v>
      </c>
      <c r="E368" s="1001" t="s">
        <v>1685</v>
      </c>
    </row>
    <row r="369" spans="1:5">
      <c r="C369" s="661">
        <v>7</v>
      </c>
      <c r="D369" s="661" t="s">
        <v>1098</v>
      </c>
      <c r="E369" s="1001" t="s">
        <v>1688</v>
      </c>
    </row>
    <row r="370" spans="1:5">
      <c r="C370" s="661">
        <v>8</v>
      </c>
      <c r="D370" s="661" t="s">
        <v>1098</v>
      </c>
      <c r="E370" s="1001" t="s">
        <v>1696</v>
      </c>
    </row>
    <row r="371" spans="1:5">
      <c r="C371" s="661">
        <v>9</v>
      </c>
      <c r="D371" s="661" t="s">
        <v>1098</v>
      </c>
      <c r="E371" s="1001" t="s">
        <v>1697</v>
      </c>
    </row>
    <row r="372" spans="1:5">
      <c r="C372" s="661">
        <v>10</v>
      </c>
      <c r="D372" s="661" t="s">
        <v>1098</v>
      </c>
      <c r="E372" s="1001" t="s">
        <v>1698</v>
      </c>
    </row>
    <row r="373" spans="1:5">
      <c r="C373" s="661">
        <v>11</v>
      </c>
      <c r="D373" s="661" t="s">
        <v>1098</v>
      </c>
      <c r="E373" s="1001" t="s">
        <v>1699</v>
      </c>
    </row>
    <row r="374" spans="1:5">
      <c r="A374" s="772">
        <v>42206</v>
      </c>
      <c r="C374" s="661">
        <v>1</v>
      </c>
      <c r="D374" s="661" t="s">
        <v>1098</v>
      </c>
      <c r="E374" s="1001" t="s">
        <v>1701</v>
      </c>
    </row>
    <row r="375" spans="1:5">
      <c r="C375" s="661">
        <v>2</v>
      </c>
      <c r="D375" s="661" t="s">
        <v>1098</v>
      </c>
      <c r="E375" s="1001" t="s">
        <v>1725</v>
      </c>
    </row>
    <row r="376" spans="1:5">
      <c r="C376" s="661">
        <v>3</v>
      </c>
      <c r="D376" s="661" t="s">
        <v>1098</v>
      </c>
      <c r="E376" s="1001" t="s">
        <v>1726</v>
      </c>
    </row>
    <row r="377" spans="1:5">
      <c r="A377" s="772">
        <v>42216</v>
      </c>
      <c r="C377" s="661">
        <v>1</v>
      </c>
      <c r="D377" s="661" t="s">
        <v>1098</v>
      </c>
      <c r="E377" s="1001" t="s">
        <v>1829</v>
      </c>
    </row>
    <row r="378" spans="1:5">
      <c r="C378" s="661">
        <v>2</v>
      </c>
      <c r="D378" s="661" t="s">
        <v>1098</v>
      </c>
      <c r="E378" s="1001" t="s">
        <v>1828</v>
      </c>
    </row>
    <row r="379" spans="1:5">
      <c r="A379" s="772">
        <v>42240</v>
      </c>
      <c r="C379" s="661">
        <v>1</v>
      </c>
      <c r="D379" s="661" t="s">
        <v>1098</v>
      </c>
      <c r="E379" s="1001" t="s">
        <v>1917</v>
      </c>
    </row>
    <row r="380" spans="1:5">
      <c r="A380" s="772">
        <v>42249</v>
      </c>
      <c r="C380" s="661">
        <v>1</v>
      </c>
      <c r="D380" s="661" t="s">
        <v>1098</v>
      </c>
      <c r="E380" s="1001" t="s">
        <v>1940</v>
      </c>
    </row>
    <row r="381" spans="1:5">
      <c r="C381" s="661">
        <v>2</v>
      </c>
      <c r="D381" s="661" t="s">
        <v>1098</v>
      </c>
      <c r="E381" s="1001" t="s">
        <v>1941</v>
      </c>
    </row>
    <row r="382" spans="1:5">
      <c r="C382" s="661">
        <v>3</v>
      </c>
      <c r="D382" s="661" t="s">
        <v>1098</v>
      </c>
      <c r="E382" s="1001" t="s">
        <v>1942</v>
      </c>
    </row>
    <row r="383" spans="1:5">
      <c r="C383" s="661">
        <v>4</v>
      </c>
      <c r="D383" s="661" t="s">
        <v>1098</v>
      </c>
      <c r="E383" s="1001" t="s">
        <v>1943</v>
      </c>
    </row>
    <row r="384" spans="1:5">
      <c r="C384" s="661">
        <v>5</v>
      </c>
      <c r="D384" s="661" t="s">
        <v>1098</v>
      </c>
      <c r="E384" s="1001" t="s">
        <v>1944</v>
      </c>
    </row>
    <row r="385" spans="1:6">
      <c r="C385" s="661">
        <v>6</v>
      </c>
      <c r="D385" s="661" t="s">
        <v>1098</v>
      </c>
      <c r="E385" s="1001" t="s">
        <v>1945</v>
      </c>
    </row>
    <row r="386" spans="1:6">
      <c r="A386" s="772">
        <v>42321</v>
      </c>
      <c r="C386" s="661">
        <v>1</v>
      </c>
      <c r="D386" s="661" t="s">
        <v>1098</v>
      </c>
      <c r="E386" s="1001" t="s">
        <v>2014</v>
      </c>
    </row>
    <row r="387" spans="1:6">
      <c r="C387" s="661">
        <v>2</v>
      </c>
      <c r="D387" s="661" t="s">
        <v>1098</v>
      </c>
      <c r="E387" s="1001" t="s">
        <v>2015</v>
      </c>
    </row>
    <row r="388" spans="1:6">
      <c r="C388" s="661">
        <v>3</v>
      </c>
      <c r="D388" s="661" t="s">
        <v>1098</v>
      </c>
      <c r="E388" s="1001" t="s">
        <v>2016</v>
      </c>
    </row>
    <row r="389" spans="1:6">
      <c r="A389" s="2074" t="s">
        <v>1991</v>
      </c>
      <c r="C389" s="661">
        <v>1</v>
      </c>
      <c r="D389" s="661" t="s">
        <v>1098</v>
      </c>
      <c r="E389" s="1001" t="s">
        <v>1996</v>
      </c>
      <c r="F389" t="s">
        <v>2150</v>
      </c>
    </row>
    <row r="390" spans="1:6">
      <c r="C390" s="661">
        <v>2</v>
      </c>
      <c r="D390" s="661" t="s">
        <v>1098</v>
      </c>
      <c r="E390" s="1001" t="s">
        <v>1995</v>
      </c>
      <c r="F390" t="s">
        <v>2150</v>
      </c>
    </row>
    <row r="391" spans="1:6">
      <c r="C391" s="661">
        <v>3</v>
      </c>
      <c r="D391" s="661" t="s">
        <v>1098</v>
      </c>
      <c r="E391" s="1001" t="s">
        <v>2008</v>
      </c>
      <c r="F391" t="s">
        <v>2150</v>
      </c>
    </row>
    <row r="392" spans="1:6">
      <c r="C392" s="661">
        <v>4</v>
      </c>
      <c r="D392" s="661" t="s">
        <v>1098</v>
      </c>
      <c r="E392" s="1001" t="s">
        <v>2009</v>
      </c>
      <c r="F392" t="s">
        <v>2150</v>
      </c>
    </row>
    <row r="393" spans="1:6" s="1680" customFormat="1">
      <c r="A393" s="2157"/>
      <c r="B393" s="2157"/>
      <c r="C393" s="1711">
        <v>5</v>
      </c>
      <c r="D393" s="1711" t="s">
        <v>1098</v>
      </c>
      <c r="E393" s="2158" t="s">
        <v>2010</v>
      </c>
      <c r="F393" t="s">
        <v>2150</v>
      </c>
    </row>
    <row r="394" spans="1:6" s="1680" customFormat="1">
      <c r="A394" s="2157"/>
      <c r="B394" s="2157"/>
      <c r="C394" s="1711">
        <v>6</v>
      </c>
      <c r="D394" s="1711" t="s">
        <v>1098</v>
      </c>
      <c r="E394" s="2158" t="s">
        <v>2011</v>
      </c>
      <c r="F394" t="s">
        <v>2150</v>
      </c>
    </row>
    <row r="395" spans="1:6">
      <c r="C395" s="661">
        <v>7</v>
      </c>
      <c r="D395" s="661" t="s">
        <v>1098</v>
      </c>
      <c r="E395" s="2149" t="s">
        <v>2012</v>
      </c>
      <c r="F395" t="s">
        <v>2150</v>
      </c>
    </row>
    <row r="396" spans="1:6">
      <c r="C396" s="661">
        <v>8</v>
      </c>
      <c r="D396" s="661" t="s">
        <v>1098</v>
      </c>
      <c r="E396" s="2149" t="s">
        <v>2024</v>
      </c>
      <c r="F396" t="s">
        <v>2150</v>
      </c>
    </row>
    <row r="397" spans="1:6">
      <c r="C397" s="661">
        <v>9</v>
      </c>
      <c r="D397" s="661" t="s">
        <v>1098</v>
      </c>
      <c r="E397" s="2149" t="s">
        <v>2025</v>
      </c>
      <c r="F397" t="s">
        <v>2150</v>
      </c>
    </row>
    <row r="398" spans="1:6">
      <c r="C398" s="661">
        <v>10</v>
      </c>
      <c r="D398" s="661" t="s">
        <v>1098</v>
      </c>
      <c r="E398" s="2149" t="s">
        <v>2163</v>
      </c>
    </row>
    <row r="399" spans="1:6">
      <c r="C399" s="661">
        <v>11</v>
      </c>
      <c r="D399" s="661" t="s">
        <v>1098</v>
      </c>
      <c r="E399" s="2149" t="s">
        <v>2146</v>
      </c>
    </row>
    <row r="400" spans="1:6">
      <c r="C400" s="661">
        <v>12</v>
      </c>
      <c r="D400" s="661" t="s">
        <v>1098</v>
      </c>
      <c r="E400" s="2149" t="s">
        <v>2147</v>
      </c>
    </row>
    <row r="401" spans="3:5">
      <c r="C401" s="661">
        <v>13</v>
      </c>
      <c r="D401" s="661" t="s">
        <v>1098</v>
      </c>
      <c r="E401" s="2149" t="s">
        <v>2148</v>
      </c>
    </row>
    <row r="402" spans="3:5">
      <c r="C402" s="661">
        <v>14</v>
      </c>
      <c r="D402" s="661" t="s">
        <v>1098</v>
      </c>
      <c r="E402" s="2149" t="s">
        <v>2149</v>
      </c>
    </row>
    <row r="403" spans="3:5">
      <c r="C403" s="661">
        <v>15</v>
      </c>
      <c r="D403" s="661" t="s">
        <v>1098</v>
      </c>
      <c r="E403" s="2149" t="s">
        <v>2151</v>
      </c>
    </row>
    <row r="404" spans="3:5">
      <c r="C404" s="661">
        <v>16</v>
      </c>
      <c r="D404" s="661" t="s">
        <v>1098</v>
      </c>
      <c r="E404" s="2149" t="s">
        <v>2162</v>
      </c>
    </row>
  </sheetData>
  <phoneticPr fontId="25" type="noConversion"/>
  <pageMargins left="0.55118110236220474" right="0.55118110236220474" top="1.1811023622047245" bottom="0.78740157480314965" header="0.51181102362204722" footer="0.51181102362204722"/>
  <pageSetup orientation="portrait"/>
  <headerFooter alignWithMargins="0">
    <oddHeader>&amp;C&amp;"MS Sans Serif,Bold"&amp;16&amp;A</oddHeader>
    <oddFooter>&amp;L&amp;Z&amp;F&amp;R&amp;D</oddFooter>
  </headerFooter>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enableFormatConditionsCalculation="0">
    <tabColor indexed="31"/>
  </sheetPr>
  <dimension ref="A1:M214"/>
  <sheetViews>
    <sheetView showGridLines="0" workbookViewId="0">
      <selection activeCell="A6" sqref="A6"/>
    </sheetView>
  </sheetViews>
  <sheetFormatPr baseColWidth="10" defaultColWidth="8.7109375" defaultRowHeight="13" x14ac:dyDescent="0"/>
  <cols>
    <col min="1" max="1" width="4.140625" style="238" customWidth="1"/>
    <col min="2" max="12" width="8.28515625" style="235" customWidth="1"/>
    <col min="13" max="16384" width="8.7109375" style="235"/>
  </cols>
  <sheetData>
    <row r="1" spans="1:13">
      <c r="A1" s="796" t="s">
        <v>41</v>
      </c>
      <c r="B1" s="797" t="s">
        <v>41</v>
      </c>
      <c r="C1" s="797" t="s">
        <v>41</v>
      </c>
      <c r="D1" s="797" t="s">
        <v>41</v>
      </c>
      <c r="E1" s="797" t="s">
        <v>41</v>
      </c>
      <c r="F1" s="797" t="s">
        <v>41</v>
      </c>
      <c r="G1" s="797" t="s">
        <v>41</v>
      </c>
      <c r="H1" s="797" t="s">
        <v>41</v>
      </c>
      <c r="I1" s="797" t="s">
        <v>41</v>
      </c>
      <c r="J1" s="797" t="s">
        <v>41</v>
      </c>
      <c r="K1" s="797" t="s">
        <v>41</v>
      </c>
      <c r="L1" s="797" t="s">
        <v>41</v>
      </c>
    </row>
    <row r="2" spans="1:13">
      <c r="A2" s="314" t="s">
        <v>1196</v>
      </c>
      <c r="B2" s="315"/>
      <c r="C2" s="2506">
        <f>Date</f>
        <v>0</v>
      </c>
      <c r="D2" s="2506"/>
      <c r="E2" s="315"/>
      <c r="F2" s="316" t="s">
        <v>1343</v>
      </c>
      <c r="G2" s="317">
        <f>Client</f>
        <v>0</v>
      </c>
      <c r="H2" s="315"/>
      <c r="I2" s="315"/>
      <c r="J2" s="315"/>
      <c r="K2" s="315"/>
      <c r="L2" s="318"/>
      <c r="M2" s="206"/>
    </row>
    <row r="3" spans="1:13">
      <c r="A3" s="319" t="s">
        <v>36</v>
      </c>
      <c r="B3" s="320"/>
      <c r="C3" s="322">
        <f>Job</f>
        <v>0</v>
      </c>
      <c r="D3" s="320"/>
      <c r="E3" s="320"/>
      <c r="F3" s="321" t="s">
        <v>1204</v>
      </c>
      <c r="G3" s="322">
        <f>StackID</f>
        <v>0</v>
      </c>
      <c r="H3" s="320"/>
      <c r="I3" s="320"/>
      <c r="J3" s="320"/>
      <c r="K3" s="320"/>
      <c r="L3" s="323"/>
      <c r="M3" s="206"/>
    </row>
    <row r="4" spans="1:13">
      <c r="A4" s="319" t="s">
        <v>83</v>
      </c>
      <c r="B4" s="320"/>
      <c r="C4" s="345">
        <f>LicenceNo</f>
        <v>0</v>
      </c>
      <c r="D4" s="320"/>
      <c r="E4" s="320"/>
      <c r="F4" s="321" t="s">
        <v>1442</v>
      </c>
      <c r="G4" s="322">
        <f>Location</f>
        <v>0</v>
      </c>
      <c r="H4" s="320"/>
      <c r="I4" s="329"/>
      <c r="J4" s="329"/>
      <c r="K4" s="329" t="s">
        <v>1443</v>
      </c>
      <c r="L4" s="325" t="str">
        <f>State</f>
        <v>VIC</v>
      </c>
      <c r="M4" s="206"/>
    </row>
    <row r="5" spans="1:13">
      <c r="A5" s="319" t="s">
        <v>1592</v>
      </c>
      <c r="B5" s="320"/>
      <c r="C5" s="345">
        <f>Operators</f>
        <v>0</v>
      </c>
      <c r="D5" s="320"/>
      <c r="E5" s="320"/>
      <c r="F5" s="321"/>
      <c r="G5" s="322"/>
      <c r="H5" s="320"/>
      <c r="I5" s="329"/>
      <c r="J5" s="329"/>
      <c r="K5" s="324"/>
      <c r="L5" s="325"/>
      <c r="M5" s="206"/>
    </row>
    <row r="6" spans="1:13">
      <c r="A6" s="319" t="s">
        <v>1444</v>
      </c>
      <c r="B6" s="345"/>
      <c r="C6" s="320"/>
      <c r="D6" s="320"/>
      <c r="E6" s="320"/>
      <c r="F6" s="345" t="str">
        <f>IF(Details!C4="","",Details!C4)</f>
        <v>Please refer to client records.</v>
      </c>
      <c r="G6" s="322"/>
      <c r="H6" s="320"/>
      <c r="I6" s="329"/>
      <c r="J6" s="329"/>
      <c r="K6" s="324"/>
      <c r="L6" s="325"/>
      <c r="M6" s="206"/>
    </row>
    <row r="7" spans="1:13">
      <c r="A7" s="798" t="s">
        <v>82</v>
      </c>
      <c r="B7" s="799"/>
      <c r="C7" s="800"/>
      <c r="D7" s="800"/>
      <c r="E7" s="800"/>
      <c r="F7" s="801" t="e">
        <f>IF(Details!#REF!="","",Details!#REF!)</f>
        <v>#REF!</v>
      </c>
      <c r="G7" s="800"/>
      <c r="H7" s="800"/>
      <c r="I7" s="800"/>
      <c r="J7" s="800"/>
      <c r="K7" s="800"/>
      <c r="L7" s="326"/>
      <c r="M7" s="206"/>
    </row>
    <row r="8" spans="1:13">
      <c r="A8" s="280" t="s">
        <v>41</v>
      </c>
      <c r="B8" s="280" t="s">
        <v>41</v>
      </c>
      <c r="C8" s="280" t="s">
        <v>41</v>
      </c>
      <c r="D8" s="280" t="s">
        <v>41</v>
      </c>
      <c r="E8" s="280" t="s">
        <v>41</v>
      </c>
      <c r="F8" s="280" t="s">
        <v>41</v>
      </c>
      <c r="G8" s="280" t="s">
        <v>41</v>
      </c>
      <c r="H8" s="280" t="s">
        <v>41</v>
      </c>
      <c r="I8" s="280" t="s">
        <v>41</v>
      </c>
      <c r="J8" s="280" t="s">
        <v>41</v>
      </c>
      <c r="K8" s="280" t="s">
        <v>41</v>
      </c>
      <c r="L8" s="280" t="s">
        <v>41</v>
      </c>
    </row>
    <row r="9" spans="1:13">
      <c r="A9" s="271" t="s">
        <v>38</v>
      </c>
      <c r="B9" s="272"/>
      <c r="C9" s="273"/>
      <c r="D9" s="269"/>
      <c r="E9" s="269"/>
      <c r="F9" s="269"/>
      <c r="G9" s="269"/>
      <c r="H9" s="822"/>
      <c r="I9" s="273"/>
      <c r="J9" s="273"/>
      <c r="K9" s="773"/>
      <c r="L9" s="274"/>
      <c r="M9" s="206"/>
    </row>
    <row r="10" spans="1:13">
      <c r="A10" s="270" t="s">
        <v>1036</v>
      </c>
      <c r="B10" s="203"/>
      <c r="C10" s="203"/>
      <c r="D10" s="203"/>
      <c r="E10" s="203"/>
      <c r="F10" s="203"/>
      <c r="G10" s="203"/>
      <c r="H10" s="952" t="str">
        <f>IF(StackDimA="","",MROUND(StackDimA,5))&amp;IF(StackDimB="",""," x "&amp;MROUND(StackDimB,5))</f>
        <v/>
      </c>
      <c r="I10" s="960" t="str">
        <f>IF(AreaSP="","",AreaSP)</f>
        <v/>
      </c>
      <c r="J10" s="208"/>
      <c r="K10" s="774"/>
      <c r="L10" s="275"/>
      <c r="M10" s="206"/>
    </row>
    <row r="11" spans="1:13">
      <c r="A11" s="270" t="s">
        <v>1037</v>
      </c>
      <c r="B11" s="203"/>
      <c r="C11" s="203"/>
      <c r="D11" s="203"/>
      <c r="E11" s="203"/>
      <c r="F11" s="203"/>
      <c r="G11" s="203"/>
      <c r="H11" s="952" t="str">
        <f>IF(StackExitDimA="","as above",MROUND(StackExitDimA,5))&amp;IF(StackExitDimB="",""," x "&amp;MROUND(StackExitDimB,5))</f>
        <v>as above</v>
      </c>
      <c r="I11" s="960" t="str">
        <f>IF(AreaEP="","",AreaEP)</f>
        <v/>
      </c>
      <c r="J11" s="313"/>
      <c r="K11" s="774"/>
      <c r="L11" s="275"/>
      <c r="M11" s="206"/>
    </row>
    <row r="12" spans="1:13" ht="12.75" customHeight="1">
      <c r="A12" s="276" t="s">
        <v>1045</v>
      </c>
      <c r="B12" s="203"/>
      <c r="C12" s="203"/>
      <c r="D12" s="203"/>
      <c r="E12" s="203"/>
      <c r="F12" s="203"/>
      <c r="G12" s="203"/>
      <c r="H12" s="953" t="str">
        <f>IF(PortSize="","",PortSize)</f>
        <v/>
      </c>
      <c r="I12" s="962" t="str">
        <f>IF(PortDepth="","",PortDepth)</f>
        <v/>
      </c>
      <c r="J12" s="313"/>
      <c r="K12" s="774"/>
      <c r="L12" s="275"/>
      <c r="M12" s="206"/>
    </row>
    <row r="13" spans="1:13">
      <c r="A13" s="270" t="s">
        <v>1038</v>
      </c>
      <c r="B13" s="206"/>
      <c r="C13" s="203"/>
      <c r="D13" s="203"/>
      <c r="E13" s="203"/>
      <c r="F13" s="203"/>
      <c r="G13" s="203"/>
      <c r="H13" s="953" t="str">
        <f>IF(SPaccess="","",SPaccess)</f>
        <v/>
      </c>
      <c r="I13" s="961" t="str">
        <f>IF(SPheight="","",SPheight)</f>
        <v/>
      </c>
      <c r="J13" s="381"/>
      <c r="K13" s="774"/>
      <c r="L13" s="275"/>
      <c r="M13" s="206"/>
    </row>
    <row r="14" spans="1:13">
      <c r="A14" s="270" t="s">
        <v>1041</v>
      </c>
      <c r="B14" s="206"/>
      <c r="C14" s="203"/>
      <c r="D14" s="203"/>
      <c r="E14" s="203"/>
      <c r="F14" s="203"/>
      <c r="G14" s="203"/>
      <c r="H14" s="953" t="str">
        <f>IF(StackOrientation="","",StackOrientation)</f>
        <v/>
      </c>
      <c r="I14" s="956" t="str">
        <f>IF(StackShape="","",StackShape)</f>
        <v/>
      </c>
      <c r="J14" s="381"/>
      <c r="K14" s="774"/>
      <c r="L14" s="275"/>
      <c r="M14" s="206"/>
    </row>
    <row r="15" spans="1:13">
      <c r="A15" s="270" t="s">
        <v>1210</v>
      </c>
      <c r="B15" s="206"/>
      <c r="C15" s="208"/>
      <c r="D15" s="203"/>
      <c r="E15" s="203"/>
      <c r="F15" s="203"/>
      <c r="G15" s="203"/>
      <c r="H15" s="952" t="str">
        <f>IF(DisturbTypeDown="","",DisturbTypeDown)</f>
        <v/>
      </c>
      <c r="I15" s="957" t="str">
        <f>IF(DisturbDistDown="","",DisturbDistDown)</f>
        <v/>
      </c>
      <c r="J15" s="208"/>
      <c r="K15" s="774"/>
      <c r="L15" s="275"/>
      <c r="M15" s="206"/>
    </row>
    <row r="16" spans="1:13">
      <c r="A16" s="270" t="s">
        <v>1211</v>
      </c>
      <c r="B16" s="206"/>
      <c r="C16" s="208"/>
      <c r="D16" s="203"/>
      <c r="E16" s="203"/>
      <c r="F16" s="203"/>
      <c r="G16" s="203"/>
      <c r="H16" s="952" t="str">
        <f>IF(DisturbTypeUp="","",DisturbTypeUp)</f>
        <v/>
      </c>
      <c r="I16" s="957" t="str">
        <f>IF(DisturbDistUp="","",DisturbDistUp)</f>
        <v/>
      </c>
      <c r="J16" s="237"/>
      <c r="K16" s="774"/>
      <c r="L16" s="275"/>
      <c r="M16" s="206"/>
    </row>
    <row r="17" spans="1:13">
      <c r="A17" s="270" t="s">
        <v>940</v>
      </c>
      <c r="B17" s="203"/>
      <c r="C17" s="203"/>
      <c r="D17" s="203"/>
      <c r="E17" s="203"/>
      <c r="F17" s="203"/>
      <c r="G17" s="203"/>
      <c r="H17" s="954" t="str">
        <f>IF(TraversesSampled="","",TraversesSampled)</f>
        <v/>
      </c>
      <c r="I17" s="958" t="str">
        <f>IF(OR(TraversesSampled="",PointsTraverse=""),"",PointsTraverse*TraversesSampled)</f>
        <v/>
      </c>
      <c r="J17" s="769"/>
      <c r="K17" s="774"/>
      <c r="L17" s="275"/>
      <c r="M17" s="206"/>
    </row>
    <row r="18" spans="1:13">
      <c r="A18" s="277" t="s">
        <v>941</v>
      </c>
      <c r="B18" s="471"/>
      <c r="C18" s="344"/>
      <c r="D18" s="464"/>
      <c r="E18" s="464"/>
      <c r="F18" s="464"/>
      <c r="G18" s="464"/>
      <c r="H18" s="955" t="str">
        <f>TravMethod</f>
        <v>AS4323.1</v>
      </c>
      <c r="I18" s="959" t="str">
        <f ca="1">Details!F27</f>
        <v>Satisfactory</v>
      </c>
      <c r="J18" s="802"/>
      <c r="K18" s="775"/>
      <c r="L18" s="281"/>
      <c r="M18" s="206"/>
    </row>
    <row r="19" spans="1:13">
      <c r="A19" s="280" t="s">
        <v>41</v>
      </c>
      <c r="B19" s="280" t="s">
        <v>41</v>
      </c>
      <c r="C19" s="280" t="s">
        <v>41</v>
      </c>
      <c r="D19" s="280" t="s">
        <v>41</v>
      </c>
      <c r="E19" s="280" t="s">
        <v>41</v>
      </c>
      <c r="F19" s="280" t="s">
        <v>41</v>
      </c>
      <c r="G19" s="280" t="s">
        <v>41</v>
      </c>
      <c r="H19" s="280" t="s">
        <v>41</v>
      </c>
      <c r="I19" s="280" t="s">
        <v>41</v>
      </c>
      <c r="J19" s="280" t="s">
        <v>41</v>
      </c>
      <c r="K19" s="280" t="s">
        <v>41</v>
      </c>
      <c r="L19" s="280" t="s">
        <v>41</v>
      </c>
    </row>
    <row r="20" spans="1:13">
      <c r="A20" s="271" t="s">
        <v>867</v>
      </c>
      <c r="B20" s="272"/>
      <c r="C20" s="2507" t="s">
        <v>8</v>
      </c>
      <c r="D20" s="2508"/>
      <c r="E20" s="2508"/>
      <c r="F20" s="2508"/>
      <c r="G20" s="2509"/>
      <c r="H20" s="2508" t="s">
        <v>9</v>
      </c>
      <c r="I20" s="2508"/>
      <c r="J20" s="2508"/>
      <c r="K20" s="2508"/>
      <c r="L20" s="2509"/>
    </row>
    <row r="21" spans="1:13">
      <c r="A21" s="278"/>
      <c r="B21" s="236"/>
      <c r="C21" s="807" t="s">
        <v>855</v>
      </c>
      <c r="D21" s="808" t="s">
        <v>837</v>
      </c>
      <c r="E21" s="808" t="s">
        <v>838</v>
      </c>
      <c r="F21" s="808" t="s">
        <v>1214</v>
      </c>
      <c r="G21" s="809" t="s">
        <v>1214</v>
      </c>
      <c r="H21" s="807" t="s">
        <v>855</v>
      </c>
      <c r="I21" s="808" t="s">
        <v>837</v>
      </c>
      <c r="J21" s="808" t="s">
        <v>838</v>
      </c>
      <c r="K21" s="808" t="s">
        <v>1214</v>
      </c>
      <c r="L21" s="809" t="s">
        <v>1214</v>
      </c>
    </row>
    <row r="22" spans="1:13">
      <c r="A22" s="279"/>
      <c r="B22" s="236"/>
      <c r="C22" s="807" t="s">
        <v>53</v>
      </c>
      <c r="D22" s="808" t="s">
        <v>872</v>
      </c>
      <c r="E22" s="808" t="s">
        <v>872</v>
      </c>
      <c r="F22" s="808" t="s">
        <v>634</v>
      </c>
      <c r="G22" s="809" t="s">
        <v>843</v>
      </c>
      <c r="H22" s="807" t="s">
        <v>53</v>
      </c>
      <c r="I22" s="808" t="s">
        <v>872</v>
      </c>
      <c r="J22" s="808" t="s">
        <v>872</v>
      </c>
      <c r="K22" s="808" t="s">
        <v>634</v>
      </c>
      <c r="L22" s="809" t="s">
        <v>843</v>
      </c>
    </row>
    <row r="23" spans="1:13">
      <c r="A23" s="789" t="str">
        <f>IF('Flows &amp; Isokinetics'!E15="","",'Flows &amp; Isokinetics'!E15)</f>
        <v/>
      </c>
      <c r="B23" s="790" t="str">
        <f>IF('Flows &amp; Isokinetics'!F15="","",'Flows &amp; Isokinetics'!F15)</f>
        <v/>
      </c>
      <c r="C23" s="794" t="str">
        <f>IF('Flows &amp; Isokinetics'!H15="","",'Flows &amp; Isokinetics'!H15)</f>
        <v/>
      </c>
      <c r="D23" s="207" t="str">
        <f>IF('Flows &amp; Isokinetics'!M15="","",signum('Flows &amp; Isokinetics'!M15,SigFig1))</f>
        <v/>
      </c>
      <c r="E23" s="207" t="str">
        <f>IF('Flows &amp; Isokinetics'!N15="","",VND&amp;signum2('Flows &amp; Isokinetics'!N15,SigFig1,SigFig2,VND))</f>
        <v/>
      </c>
      <c r="F23" s="207" t="str">
        <f>IF('Flows &amp; Isokinetics'!I15="","",VND&amp;signum2('Flows &amp; Isokinetics'!P15,SigFig1,SigFig2,VND))</f>
        <v/>
      </c>
      <c r="G23" s="793" t="str">
        <f>IF('Flows &amp; Isokinetics'!J15="","",VND&amp;signum2('Flows &amp; Isokinetics'!AA15,SigFig1,SigFig2,VND))</f>
        <v/>
      </c>
      <c r="H23" s="795" t="str">
        <f>IF('Flows &amp; Isokinetics'!H81="","",'Flows &amp; Isokinetics'!H81)</f>
        <v/>
      </c>
      <c r="I23" s="207" t="str">
        <f>IF('Flows &amp; Isokinetics'!M81="","",signum('Flows &amp; Isokinetics'!M81,SigFig1))</f>
        <v/>
      </c>
      <c r="J23" s="207" t="str">
        <f>IF('Flows &amp; Isokinetics'!N81="","",VND&amp;signum2('Flows &amp; Isokinetics'!N81,SigFig1,SigFig2,VND))</f>
        <v/>
      </c>
      <c r="K23" s="207" t="str">
        <f>IF('Flows &amp; Isokinetics'!P81="","",VND&amp;signum2('Flows &amp; Isokinetics'!P81,SigFig1,SigFig2,VND))</f>
        <v/>
      </c>
      <c r="L23" s="793" t="str">
        <f>IF('Flows &amp; Isokinetics'!AA81="","",VND&amp;signum2('Flows &amp; Isokinetics'!AA81,SigFig1,SigFig2,VND))</f>
        <v/>
      </c>
    </row>
    <row r="24" spans="1:13">
      <c r="A24" s="789" t="str">
        <f>IF('Flows &amp; Isokinetics'!E16="","",'Flows &amp; Isokinetics'!E16)</f>
        <v/>
      </c>
      <c r="B24" s="790" t="str">
        <f>IF('Flows &amp; Isokinetics'!F16="","",'Flows &amp; Isokinetics'!F16)</f>
        <v/>
      </c>
      <c r="C24" s="794" t="str">
        <f>IF('Flows &amp; Isokinetics'!H16="","",'Flows &amp; Isokinetics'!H16)</f>
        <v/>
      </c>
      <c r="D24" s="207" t="str">
        <f>IF('Flows &amp; Isokinetics'!M16="","",signum('Flows &amp; Isokinetics'!M16,SigFig1))</f>
        <v/>
      </c>
      <c r="E24" s="207" t="str">
        <f>IF('Flows &amp; Isokinetics'!N16="","",VND&amp;signum2('Flows &amp; Isokinetics'!N16,SigFig1,SigFig2,VND))</f>
        <v/>
      </c>
      <c r="F24" s="207" t="str">
        <f>IF('Flows &amp; Isokinetics'!I16="","",VND&amp;signum2('Flows &amp; Isokinetics'!P16,SigFig1,SigFig2,VND))</f>
        <v/>
      </c>
      <c r="G24" s="793" t="str">
        <f>IF('Flows &amp; Isokinetics'!J16="","",VND&amp;signum2('Flows &amp; Isokinetics'!AA16,SigFig1,SigFig2,VND))</f>
        <v/>
      </c>
      <c r="H24" s="795" t="str">
        <f>IF('Flows &amp; Isokinetics'!H82="","",'Flows &amp; Isokinetics'!H82)</f>
        <v/>
      </c>
      <c r="I24" s="207" t="str">
        <f>IF('Flows &amp; Isokinetics'!M82="","",signum('Flows &amp; Isokinetics'!M82,SigFig1))</f>
        <v/>
      </c>
      <c r="J24" s="207" t="str">
        <f>IF('Flows &amp; Isokinetics'!N82="","",VND&amp;signum2('Flows &amp; Isokinetics'!N82,SigFig1,SigFig2,VND))</f>
        <v/>
      </c>
      <c r="K24" s="207" t="str">
        <f>IF('Flows &amp; Isokinetics'!P82="","",VND&amp;signum2('Flows &amp; Isokinetics'!P82,SigFig1,SigFig2,VND))</f>
        <v/>
      </c>
      <c r="L24" s="793" t="str">
        <f>IF('Flows &amp; Isokinetics'!AA82="","",VND&amp;signum2('Flows &amp; Isokinetics'!AA82,SigFig1,SigFig2,VND))</f>
        <v/>
      </c>
    </row>
    <row r="25" spans="1:13">
      <c r="A25" s="789" t="str">
        <f>IF('Flows &amp; Isokinetics'!E17="","",'Flows &amp; Isokinetics'!E17)</f>
        <v/>
      </c>
      <c r="B25" s="790" t="str">
        <f>IF('Flows &amp; Isokinetics'!F17="","",'Flows &amp; Isokinetics'!F17)</f>
        <v/>
      </c>
      <c r="C25" s="794" t="str">
        <f>IF('Flows &amp; Isokinetics'!H17="","",'Flows &amp; Isokinetics'!H17)</f>
        <v/>
      </c>
      <c r="D25" s="207" t="str">
        <f>IF('Flows &amp; Isokinetics'!M17="","",signum('Flows &amp; Isokinetics'!M17,SigFig1))</f>
        <v/>
      </c>
      <c r="E25" s="207" t="str">
        <f>IF('Flows &amp; Isokinetics'!N17="","",VND&amp;signum2('Flows &amp; Isokinetics'!N17,SigFig1,SigFig2,VND))</f>
        <v/>
      </c>
      <c r="F25" s="207" t="str">
        <f>IF('Flows &amp; Isokinetics'!I17="","",VND&amp;signum2('Flows &amp; Isokinetics'!P17,SigFig1,SigFig2,VND))</f>
        <v/>
      </c>
      <c r="G25" s="793" t="str">
        <f>IF('Flows &amp; Isokinetics'!J17="","",VND&amp;signum2('Flows &amp; Isokinetics'!AA17,SigFig1,SigFig2,VND))</f>
        <v/>
      </c>
      <c r="H25" s="795" t="str">
        <f>IF('Flows &amp; Isokinetics'!H83="","",'Flows &amp; Isokinetics'!H83)</f>
        <v/>
      </c>
      <c r="I25" s="207" t="str">
        <f>IF('Flows &amp; Isokinetics'!M83="","",signum('Flows &amp; Isokinetics'!M83,SigFig1))</f>
        <v/>
      </c>
      <c r="J25" s="207" t="str">
        <f>IF('Flows &amp; Isokinetics'!N83="","",VND&amp;signum2('Flows &amp; Isokinetics'!N83,SigFig1,SigFig2,VND))</f>
        <v/>
      </c>
      <c r="K25" s="207" t="str">
        <f>IF('Flows &amp; Isokinetics'!P83="","",VND&amp;signum2('Flows &amp; Isokinetics'!P83,SigFig1,SigFig2,VND))</f>
        <v/>
      </c>
      <c r="L25" s="793" t="str">
        <f>IF('Flows &amp; Isokinetics'!AA83="","",VND&amp;signum2('Flows &amp; Isokinetics'!AA83,SigFig1,SigFig2,VND))</f>
        <v/>
      </c>
    </row>
    <row r="26" spans="1:13">
      <c r="A26" s="789" t="str">
        <f>IF('Flows &amp; Isokinetics'!E18="","",'Flows &amp; Isokinetics'!E18)</f>
        <v/>
      </c>
      <c r="B26" s="790" t="str">
        <f>IF('Flows &amp; Isokinetics'!F18="","",'Flows &amp; Isokinetics'!F18)</f>
        <v/>
      </c>
      <c r="C26" s="794" t="str">
        <f>IF('Flows &amp; Isokinetics'!H18="","",'Flows &amp; Isokinetics'!H18)</f>
        <v/>
      </c>
      <c r="D26" s="207" t="str">
        <f>IF('Flows &amp; Isokinetics'!M18="","",signum('Flows &amp; Isokinetics'!M18,SigFig1))</f>
        <v/>
      </c>
      <c r="E26" s="207" t="str">
        <f>IF('Flows &amp; Isokinetics'!N18="","",VND&amp;signum2('Flows &amp; Isokinetics'!N18,SigFig1,SigFig2,VND))</f>
        <v/>
      </c>
      <c r="F26" s="207" t="str">
        <f>IF('Flows &amp; Isokinetics'!I18="","",VND&amp;signum2('Flows &amp; Isokinetics'!P18,SigFig1,SigFig2,VND))</f>
        <v/>
      </c>
      <c r="G26" s="793" t="str">
        <f>IF('Flows &amp; Isokinetics'!J18="","",VND&amp;signum2('Flows &amp; Isokinetics'!AA18,SigFig1,SigFig2,VND))</f>
        <v/>
      </c>
      <c r="H26" s="795" t="str">
        <f>IF('Flows &amp; Isokinetics'!H84="","",'Flows &amp; Isokinetics'!H84)</f>
        <v/>
      </c>
      <c r="I26" s="207" t="str">
        <f>IF('Flows &amp; Isokinetics'!M84="","",signum('Flows &amp; Isokinetics'!M84,SigFig1))</f>
        <v/>
      </c>
      <c r="J26" s="207" t="str">
        <f>IF('Flows &amp; Isokinetics'!N84="","",VND&amp;signum2('Flows &amp; Isokinetics'!N84,SigFig1,SigFig2,VND))</f>
        <v/>
      </c>
      <c r="K26" s="207" t="str">
        <f>IF('Flows &amp; Isokinetics'!P84="","",VND&amp;signum2('Flows &amp; Isokinetics'!P84,SigFig1,SigFig2,VND))</f>
        <v/>
      </c>
      <c r="L26" s="793" t="str">
        <f>IF('Flows &amp; Isokinetics'!AA84="","",VND&amp;signum2('Flows &amp; Isokinetics'!AA84,SigFig1,SigFig2,VND))</f>
        <v/>
      </c>
    </row>
    <row r="27" spans="1:13">
      <c r="A27" s="789" t="str">
        <f>IF('Flows &amp; Isokinetics'!E19="","",'Flows &amp; Isokinetics'!E19)</f>
        <v/>
      </c>
      <c r="B27" s="790" t="str">
        <f>IF('Flows &amp; Isokinetics'!F19="","",'Flows &amp; Isokinetics'!F19)</f>
        <v/>
      </c>
      <c r="C27" s="794" t="str">
        <f>IF('Flows &amp; Isokinetics'!H19="","",'Flows &amp; Isokinetics'!H19)</f>
        <v/>
      </c>
      <c r="D27" s="207" t="str">
        <f>IF('Flows &amp; Isokinetics'!M19="","",signum('Flows &amp; Isokinetics'!M19,SigFig1))</f>
        <v/>
      </c>
      <c r="E27" s="207" t="str">
        <f>IF('Flows &amp; Isokinetics'!N19="","",VND&amp;signum2('Flows &amp; Isokinetics'!N19,SigFig1,SigFig2,VND))</f>
        <v/>
      </c>
      <c r="F27" s="207" t="str">
        <f>IF('Flows &amp; Isokinetics'!I19="","",VND&amp;signum2('Flows &amp; Isokinetics'!P19,SigFig1,SigFig2,VND))</f>
        <v/>
      </c>
      <c r="G27" s="793" t="str">
        <f>IF('Flows &amp; Isokinetics'!J19="","",VND&amp;signum2('Flows &amp; Isokinetics'!AA19,SigFig1,SigFig2,VND))</f>
        <v/>
      </c>
      <c r="H27" s="795" t="str">
        <f>IF('Flows &amp; Isokinetics'!H85="","",'Flows &amp; Isokinetics'!H85)</f>
        <v/>
      </c>
      <c r="I27" s="207" t="str">
        <f>IF('Flows &amp; Isokinetics'!M85="","",signum('Flows &amp; Isokinetics'!M85,SigFig1))</f>
        <v/>
      </c>
      <c r="J27" s="207" t="str">
        <f>IF('Flows &amp; Isokinetics'!N85="","",VND&amp;signum2('Flows &amp; Isokinetics'!N85,SigFig1,SigFig2,VND))</f>
        <v/>
      </c>
      <c r="K27" s="207" t="str">
        <f>IF('Flows &amp; Isokinetics'!P85="","",VND&amp;signum2('Flows &amp; Isokinetics'!P85,SigFig1,SigFig2,VND))</f>
        <v/>
      </c>
      <c r="L27" s="793" t="str">
        <f>IF('Flows &amp; Isokinetics'!AA85="","",VND&amp;signum2('Flows &amp; Isokinetics'!AA85,SigFig1,SigFig2,VND))</f>
        <v/>
      </c>
    </row>
    <row r="28" spans="1:13">
      <c r="A28" s="789" t="str">
        <f>IF('Flows &amp; Isokinetics'!E20="","",'Flows &amp; Isokinetics'!E20)</f>
        <v/>
      </c>
      <c r="B28" s="790" t="str">
        <f>IF('Flows &amp; Isokinetics'!F20="","",'Flows &amp; Isokinetics'!F20)</f>
        <v/>
      </c>
      <c r="C28" s="794" t="str">
        <f>IF('Flows &amp; Isokinetics'!H20="","",'Flows &amp; Isokinetics'!H20)</f>
        <v/>
      </c>
      <c r="D28" s="207" t="str">
        <f>IF('Flows &amp; Isokinetics'!M20="","",signum('Flows &amp; Isokinetics'!M20,SigFig1))</f>
        <v/>
      </c>
      <c r="E28" s="207" t="str">
        <f>IF('Flows &amp; Isokinetics'!N20="","",VND&amp;signum2('Flows &amp; Isokinetics'!N20,SigFig1,SigFig2,VND))</f>
        <v/>
      </c>
      <c r="F28" s="207" t="str">
        <f>IF('Flows &amp; Isokinetics'!I20="","",VND&amp;signum2('Flows &amp; Isokinetics'!P20,SigFig1,SigFig2,VND))</f>
        <v/>
      </c>
      <c r="G28" s="793" t="str">
        <f>IF('Flows &amp; Isokinetics'!J20="","",VND&amp;signum2('Flows &amp; Isokinetics'!AA20,SigFig1,SigFig2,VND))</f>
        <v/>
      </c>
      <c r="H28" s="795" t="str">
        <f>IF('Flows &amp; Isokinetics'!H86="","",'Flows &amp; Isokinetics'!H86)</f>
        <v/>
      </c>
      <c r="I28" s="207" t="str">
        <f>IF('Flows &amp; Isokinetics'!M86="","",signum('Flows &amp; Isokinetics'!M86,SigFig1))</f>
        <v/>
      </c>
      <c r="J28" s="207" t="str">
        <f>IF('Flows &amp; Isokinetics'!N86="","",VND&amp;signum2('Flows &amp; Isokinetics'!N86,SigFig1,SigFig2,VND))</f>
        <v/>
      </c>
      <c r="K28" s="207" t="str">
        <f>IF('Flows &amp; Isokinetics'!P86="","",VND&amp;signum2('Flows &amp; Isokinetics'!P86,SigFig1,SigFig2,VND))</f>
        <v/>
      </c>
      <c r="L28" s="793" t="str">
        <f>IF('Flows &amp; Isokinetics'!AA86="","",VND&amp;signum2('Flows &amp; Isokinetics'!AA86,SigFig1,SigFig2,VND))</f>
        <v/>
      </c>
    </row>
    <row r="29" spans="1:13">
      <c r="A29" s="789" t="str">
        <f>IF('Flows &amp; Isokinetics'!E21="","",'Flows &amp; Isokinetics'!E21)</f>
        <v/>
      </c>
      <c r="B29" s="790" t="str">
        <f>IF('Flows &amp; Isokinetics'!F21="","",'Flows &amp; Isokinetics'!F21)</f>
        <v/>
      </c>
      <c r="C29" s="794" t="str">
        <f>IF('Flows &amp; Isokinetics'!H21="","",'Flows &amp; Isokinetics'!H21)</f>
        <v/>
      </c>
      <c r="D29" s="207" t="str">
        <f>IF('Flows &amp; Isokinetics'!M21="","",signum('Flows &amp; Isokinetics'!M21,SigFig1))</f>
        <v/>
      </c>
      <c r="E29" s="207" t="str">
        <f>IF('Flows &amp; Isokinetics'!N21="","",VND&amp;signum2('Flows &amp; Isokinetics'!N21,SigFig1,SigFig2,VND))</f>
        <v/>
      </c>
      <c r="F29" s="207" t="str">
        <f>IF('Flows &amp; Isokinetics'!I21="","",VND&amp;signum2('Flows &amp; Isokinetics'!P21,SigFig1,SigFig2,VND))</f>
        <v/>
      </c>
      <c r="G29" s="793" t="str">
        <f>IF('Flows &amp; Isokinetics'!J21="","",VND&amp;signum2('Flows &amp; Isokinetics'!AA21,SigFig1,SigFig2,VND))</f>
        <v/>
      </c>
      <c r="H29" s="795" t="str">
        <f>IF('Flows &amp; Isokinetics'!H87="","",'Flows &amp; Isokinetics'!H87)</f>
        <v/>
      </c>
      <c r="I29" s="207" t="str">
        <f>IF('Flows &amp; Isokinetics'!M87="","",signum('Flows &amp; Isokinetics'!M87,SigFig1))</f>
        <v/>
      </c>
      <c r="J29" s="207" t="str">
        <f>IF('Flows &amp; Isokinetics'!N87="","",VND&amp;signum2('Flows &amp; Isokinetics'!N87,SigFig1,SigFig2,VND))</f>
        <v/>
      </c>
      <c r="K29" s="207" t="str">
        <f>IF('Flows &amp; Isokinetics'!P87="","",VND&amp;signum2('Flows &amp; Isokinetics'!P87,SigFig1,SigFig2,VND))</f>
        <v/>
      </c>
      <c r="L29" s="793" t="str">
        <f>IF('Flows &amp; Isokinetics'!AA87="","",VND&amp;signum2('Flows &amp; Isokinetics'!AA87,SigFig1,SigFig2,VND))</f>
        <v/>
      </c>
    </row>
    <row r="30" spans="1:13">
      <c r="A30" s="789" t="str">
        <f>IF('Flows &amp; Isokinetics'!E22="","",'Flows &amp; Isokinetics'!E22)</f>
        <v/>
      </c>
      <c r="B30" s="790" t="str">
        <f>IF('Flows &amp; Isokinetics'!F22="","",'Flows &amp; Isokinetics'!F22)</f>
        <v/>
      </c>
      <c r="C30" s="794" t="str">
        <f>IF('Flows &amp; Isokinetics'!H22="","",'Flows &amp; Isokinetics'!H22)</f>
        <v/>
      </c>
      <c r="D30" s="207" t="str">
        <f>IF('Flows &amp; Isokinetics'!M22="","",signum('Flows &amp; Isokinetics'!M22,SigFig1))</f>
        <v/>
      </c>
      <c r="E30" s="207" t="str">
        <f>IF('Flows &amp; Isokinetics'!N22="","",VND&amp;signum2('Flows &amp; Isokinetics'!N22,SigFig1,SigFig2,VND))</f>
        <v/>
      </c>
      <c r="F30" s="207" t="str">
        <f>IF('Flows &amp; Isokinetics'!I22="","",VND&amp;signum2('Flows &amp; Isokinetics'!P22,SigFig1,SigFig2,VND))</f>
        <v/>
      </c>
      <c r="G30" s="793" t="str">
        <f>IF('Flows &amp; Isokinetics'!J22="","",VND&amp;signum2('Flows &amp; Isokinetics'!AA22,SigFig1,SigFig2,VND))</f>
        <v/>
      </c>
      <c r="H30" s="795" t="str">
        <f>IF('Flows &amp; Isokinetics'!H88="","",'Flows &amp; Isokinetics'!H88)</f>
        <v/>
      </c>
      <c r="I30" s="207" t="str">
        <f>IF('Flows &amp; Isokinetics'!M88="","",signum('Flows &amp; Isokinetics'!M88,SigFig1))</f>
        <v/>
      </c>
      <c r="J30" s="207" t="str">
        <f>IF('Flows &amp; Isokinetics'!N88="","",VND&amp;signum2('Flows &amp; Isokinetics'!N88,SigFig1,SigFig2,VND))</f>
        <v/>
      </c>
      <c r="K30" s="207" t="str">
        <f>IF('Flows &amp; Isokinetics'!P88="","",VND&amp;signum2('Flows &amp; Isokinetics'!P88,SigFig1,SigFig2,VND))</f>
        <v/>
      </c>
      <c r="L30" s="793" t="str">
        <f>IF('Flows &amp; Isokinetics'!AA88="","",VND&amp;signum2('Flows &amp; Isokinetics'!AA88,SigFig1,SigFig2,VND))</f>
        <v/>
      </c>
    </row>
    <row r="31" spans="1:13">
      <c r="A31" s="789" t="str">
        <f>IF('Flows &amp; Isokinetics'!E23="","",'Flows &amp; Isokinetics'!E23)</f>
        <v/>
      </c>
      <c r="B31" s="790" t="str">
        <f>IF('Flows &amp; Isokinetics'!F23="","",'Flows &amp; Isokinetics'!F23)</f>
        <v/>
      </c>
      <c r="C31" s="794" t="str">
        <f>IF('Flows &amp; Isokinetics'!H23="","",'Flows &amp; Isokinetics'!H23)</f>
        <v/>
      </c>
      <c r="D31" s="207" t="str">
        <f>IF('Flows &amp; Isokinetics'!M23="","",signum('Flows &amp; Isokinetics'!M23,SigFig1))</f>
        <v/>
      </c>
      <c r="E31" s="207" t="str">
        <f>IF('Flows &amp; Isokinetics'!N23="","",VND&amp;signum2('Flows &amp; Isokinetics'!N23,SigFig1,SigFig2,VND))</f>
        <v/>
      </c>
      <c r="F31" s="207" t="str">
        <f>IF('Flows &amp; Isokinetics'!I23="","",VND&amp;signum2('Flows &amp; Isokinetics'!P23,SigFig1,SigFig2,VND))</f>
        <v/>
      </c>
      <c r="G31" s="793" t="str">
        <f>IF('Flows &amp; Isokinetics'!J23="","",VND&amp;signum2('Flows &amp; Isokinetics'!AA23,SigFig1,SigFig2,VND))</f>
        <v/>
      </c>
      <c r="H31" s="795" t="str">
        <f>IF('Flows &amp; Isokinetics'!H89="","",'Flows &amp; Isokinetics'!H89)</f>
        <v/>
      </c>
      <c r="I31" s="207" t="str">
        <f>IF('Flows &amp; Isokinetics'!M89="","",signum('Flows &amp; Isokinetics'!M89,SigFig1))</f>
        <v/>
      </c>
      <c r="J31" s="207" t="str">
        <f>IF('Flows &amp; Isokinetics'!N89="","",VND&amp;signum2('Flows &amp; Isokinetics'!N89,SigFig1,SigFig2,VND))</f>
        <v/>
      </c>
      <c r="K31" s="207" t="str">
        <f>IF('Flows &amp; Isokinetics'!P89="","",VND&amp;signum2('Flows &amp; Isokinetics'!P89,SigFig1,SigFig2,VND))</f>
        <v/>
      </c>
      <c r="L31" s="793" t="str">
        <f>IF('Flows &amp; Isokinetics'!AA89="","",VND&amp;signum2('Flows &amp; Isokinetics'!AA89,SigFig1,SigFig2,VND))</f>
        <v/>
      </c>
    </row>
    <row r="32" spans="1:13">
      <c r="A32" s="789" t="str">
        <f>IF('Flows &amp; Isokinetics'!E24="","",'Flows &amp; Isokinetics'!E24)</f>
        <v/>
      </c>
      <c r="B32" s="790" t="str">
        <f>IF('Flows &amp; Isokinetics'!F24="","",'Flows &amp; Isokinetics'!F24)</f>
        <v/>
      </c>
      <c r="C32" s="794" t="str">
        <f>IF('Flows &amp; Isokinetics'!H24="","",'Flows &amp; Isokinetics'!H24)</f>
        <v/>
      </c>
      <c r="D32" s="207" t="str">
        <f>IF('Flows &amp; Isokinetics'!M24="","",signum('Flows &amp; Isokinetics'!M24,SigFig1))</f>
        <v/>
      </c>
      <c r="E32" s="207" t="str">
        <f>IF('Flows &amp; Isokinetics'!N24="","",VND&amp;signum2('Flows &amp; Isokinetics'!N24,SigFig1,SigFig2,VND))</f>
        <v/>
      </c>
      <c r="F32" s="207" t="str">
        <f>IF('Flows &amp; Isokinetics'!I24="","",VND&amp;signum2('Flows &amp; Isokinetics'!P24,SigFig1,SigFig2,VND))</f>
        <v/>
      </c>
      <c r="G32" s="793" t="str">
        <f>IF('Flows &amp; Isokinetics'!J24="","",VND&amp;signum2('Flows &amp; Isokinetics'!AA24,SigFig1,SigFig2,VND))</f>
        <v/>
      </c>
      <c r="H32" s="795" t="str">
        <f>IF('Flows &amp; Isokinetics'!H90="","",'Flows &amp; Isokinetics'!H90)</f>
        <v/>
      </c>
      <c r="I32" s="207" t="str">
        <f>IF('Flows &amp; Isokinetics'!M90="","",signum('Flows &amp; Isokinetics'!M90,SigFig1))</f>
        <v/>
      </c>
      <c r="J32" s="207" t="str">
        <f>IF('Flows &amp; Isokinetics'!N90="","",VND&amp;signum2('Flows &amp; Isokinetics'!N90,SigFig1,SigFig2,VND))</f>
        <v/>
      </c>
      <c r="K32" s="207" t="str">
        <f>IF('Flows &amp; Isokinetics'!P90="","",VND&amp;signum2('Flows &amp; Isokinetics'!P90,SigFig1,SigFig2,VND))</f>
        <v/>
      </c>
      <c r="L32" s="793" t="str">
        <f>IF('Flows &amp; Isokinetics'!AA90="","",VND&amp;signum2('Flows &amp; Isokinetics'!AA90,SigFig1,SigFig2,VND))</f>
        <v/>
      </c>
    </row>
    <row r="33" spans="1:12">
      <c r="A33" s="789" t="str">
        <f>IF('Flows &amp; Isokinetics'!E25="","",'Flows &amp; Isokinetics'!E25)</f>
        <v/>
      </c>
      <c r="B33" s="790" t="str">
        <f>IF('Flows &amp; Isokinetics'!F25="","",'Flows &amp; Isokinetics'!F25)</f>
        <v/>
      </c>
      <c r="C33" s="794" t="str">
        <f>IF('Flows &amp; Isokinetics'!H25="","",'Flows &amp; Isokinetics'!H25)</f>
        <v/>
      </c>
      <c r="D33" s="207" t="str">
        <f>IF('Flows &amp; Isokinetics'!M25="","",signum('Flows &amp; Isokinetics'!M25,SigFig1))</f>
        <v/>
      </c>
      <c r="E33" s="207" t="str">
        <f>IF('Flows &amp; Isokinetics'!N25="","",VND&amp;signum2('Flows &amp; Isokinetics'!N25,SigFig1,SigFig2,VND))</f>
        <v/>
      </c>
      <c r="F33" s="207" t="str">
        <f>IF('Flows &amp; Isokinetics'!I25="","",VND&amp;signum2('Flows &amp; Isokinetics'!P25,SigFig1,SigFig2,VND))</f>
        <v/>
      </c>
      <c r="G33" s="793" t="str">
        <f>IF('Flows &amp; Isokinetics'!J25="","",VND&amp;signum2('Flows &amp; Isokinetics'!AA25,SigFig1,SigFig2,VND))</f>
        <v/>
      </c>
      <c r="H33" s="795" t="str">
        <f>IF('Flows &amp; Isokinetics'!H91="","",'Flows &amp; Isokinetics'!H91)</f>
        <v/>
      </c>
      <c r="I33" s="207" t="str">
        <f>IF('Flows &amp; Isokinetics'!M91="","",signum('Flows &amp; Isokinetics'!M91,SigFig1))</f>
        <v/>
      </c>
      <c r="J33" s="207" t="str">
        <f>IF('Flows &amp; Isokinetics'!N91="","",VND&amp;signum2('Flows &amp; Isokinetics'!N91,SigFig1,SigFig2,VND))</f>
        <v/>
      </c>
      <c r="K33" s="207" t="str">
        <f>IF('Flows &amp; Isokinetics'!P91="","",VND&amp;signum2('Flows &amp; Isokinetics'!P91,SigFig1,SigFig2,VND))</f>
        <v/>
      </c>
      <c r="L33" s="793" t="str">
        <f>IF('Flows &amp; Isokinetics'!AA91="","",VND&amp;signum2('Flows &amp; Isokinetics'!AA91,SigFig1,SigFig2,VND))</f>
        <v/>
      </c>
    </row>
    <row r="34" spans="1:12">
      <c r="A34" s="789" t="str">
        <f>IF('Flows &amp; Isokinetics'!E26="","",'Flows &amp; Isokinetics'!E26)</f>
        <v/>
      </c>
      <c r="B34" s="790" t="str">
        <f>IF('Flows &amp; Isokinetics'!F26="","",'Flows &amp; Isokinetics'!F26)</f>
        <v/>
      </c>
      <c r="C34" s="794" t="str">
        <f>IF('Flows &amp; Isokinetics'!H26="","",'Flows &amp; Isokinetics'!H26)</f>
        <v/>
      </c>
      <c r="D34" s="207" t="str">
        <f>IF('Flows &amp; Isokinetics'!M26="","",signum('Flows &amp; Isokinetics'!M26,SigFig1))</f>
        <v/>
      </c>
      <c r="E34" s="207" t="str">
        <f>IF('Flows &amp; Isokinetics'!N26="","",VND&amp;signum2('Flows &amp; Isokinetics'!N26,SigFig1,SigFig2,VND))</f>
        <v/>
      </c>
      <c r="F34" s="207" t="str">
        <f>IF('Flows &amp; Isokinetics'!I26="","",VND&amp;signum2('Flows &amp; Isokinetics'!P26,SigFig1,SigFig2,VND))</f>
        <v/>
      </c>
      <c r="G34" s="793" t="str">
        <f>IF('Flows &amp; Isokinetics'!J26="","",VND&amp;signum2('Flows &amp; Isokinetics'!AA26,SigFig1,SigFig2,VND))</f>
        <v/>
      </c>
      <c r="H34" s="795" t="str">
        <f>IF('Flows &amp; Isokinetics'!H92="","",'Flows &amp; Isokinetics'!H92)</f>
        <v/>
      </c>
      <c r="I34" s="207" t="str">
        <f>IF('Flows &amp; Isokinetics'!M92="","",signum('Flows &amp; Isokinetics'!M92,SigFig1))</f>
        <v/>
      </c>
      <c r="J34" s="207" t="str">
        <f>IF('Flows &amp; Isokinetics'!N92="","",VND&amp;signum2('Flows &amp; Isokinetics'!N92,SigFig1,SigFig2,VND))</f>
        <v/>
      </c>
      <c r="K34" s="207" t="str">
        <f>IF('Flows &amp; Isokinetics'!P92="","",VND&amp;signum2('Flows &amp; Isokinetics'!P92,SigFig1,SigFig2,VND))</f>
        <v/>
      </c>
      <c r="L34" s="793" t="str">
        <f>IF('Flows &amp; Isokinetics'!AA92="","",VND&amp;signum2('Flows &amp; Isokinetics'!AA92,SigFig1,SigFig2,VND))</f>
        <v/>
      </c>
    </row>
    <row r="35" spans="1:12">
      <c r="A35" s="789" t="str">
        <f>IF('Flows &amp; Isokinetics'!E27="","",'Flows &amp; Isokinetics'!E27)</f>
        <v/>
      </c>
      <c r="B35" s="790" t="str">
        <f>IF('Flows &amp; Isokinetics'!F27="","",'Flows &amp; Isokinetics'!F27)</f>
        <v/>
      </c>
      <c r="C35" s="794" t="str">
        <f>IF('Flows &amp; Isokinetics'!H27="","",'Flows &amp; Isokinetics'!H27)</f>
        <v/>
      </c>
      <c r="D35" s="207" t="str">
        <f>IF('Flows &amp; Isokinetics'!M27="","",signum('Flows &amp; Isokinetics'!M27,SigFig1))</f>
        <v/>
      </c>
      <c r="E35" s="207" t="str">
        <f>IF('Flows &amp; Isokinetics'!N27="","",VND&amp;signum2('Flows &amp; Isokinetics'!N27,SigFig1,SigFig2,VND))</f>
        <v/>
      </c>
      <c r="F35" s="207" t="str">
        <f>IF('Flows &amp; Isokinetics'!I27="","",VND&amp;signum2('Flows &amp; Isokinetics'!P27,SigFig1,SigFig2,VND))</f>
        <v/>
      </c>
      <c r="G35" s="793" t="str">
        <f>IF('Flows &amp; Isokinetics'!J27="","",VND&amp;signum2('Flows &amp; Isokinetics'!AA27,SigFig1,SigFig2,VND))</f>
        <v/>
      </c>
      <c r="H35" s="795" t="str">
        <f>IF('Flows &amp; Isokinetics'!H93="","",'Flows &amp; Isokinetics'!H93)</f>
        <v/>
      </c>
      <c r="I35" s="207" t="str">
        <f>IF('Flows &amp; Isokinetics'!M93="","",signum('Flows &amp; Isokinetics'!M93,SigFig1))</f>
        <v/>
      </c>
      <c r="J35" s="207" t="str">
        <f>IF('Flows &amp; Isokinetics'!N93="","",VND&amp;signum2('Flows &amp; Isokinetics'!N93,SigFig1,SigFig2,VND))</f>
        <v/>
      </c>
      <c r="K35" s="207" t="str">
        <f>IF('Flows &amp; Isokinetics'!P93="","",VND&amp;signum2('Flows &amp; Isokinetics'!P93,SigFig1,SigFig2,VND))</f>
        <v/>
      </c>
      <c r="L35" s="793" t="str">
        <f>IF('Flows &amp; Isokinetics'!AA93="","",VND&amp;signum2('Flows &amp; Isokinetics'!AA93,SigFig1,SigFig2,VND))</f>
        <v/>
      </c>
    </row>
    <row r="36" spans="1:12">
      <c r="A36" s="789" t="str">
        <f>IF('Flows &amp; Isokinetics'!E28="","",'Flows &amp; Isokinetics'!E28)</f>
        <v/>
      </c>
      <c r="B36" s="790" t="str">
        <f>IF('Flows &amp; Isokinetics'!F28="","",'Flows &amp; Isokinetics'!F28)</f>
        <v/>
      </c>
      <c r="C36" s="794" t="str">
        <f>IF('Flows &amp; Isokinetics'!H28="","",'Flows &amp; Isokinetics'!H28)</f>
        <v/>
      </c>
      <c r="D36" s="207" t="str">
        <f>IF('Flows &amp; Isokinetics'!M28="","",signum('Flows &amp; Isokinetics'!M28,SigFig1))</f>
        <v/>
      </c>
      <c r="E36" s="207" t="str">
        <f>IF('Flows &amp; Isokinetics'!N28="","",VND&amp;signum2('Flows &amp; Isokinetics'!N28,SigFig1,SigFig2,VND))</f>
        <v/>
      </c>
      <c r="F36" s="207" t="str">
        <f>IF('Flows &amp; Isokinetics'!I28="","",VND&amp;signum2('Flows &amp; Isokinetics'!P28,SigFig1,SigFig2,VND))</f>
        <v/>
      </c>
      <c r="G36" s="793" t="str">
        <f>IF('Flows &amp; Isokinetics'!J28="","",VND&amp;signum2('Flows &amp; Isokinetics'!AA28,SigFig1,SigFig2,VND))</f>
        <v/>
      </c>
      <c r="H36" s="795" t="str">
        <f>IF('Flows &amp; Isokinetics'!H94="","",'Flows &amp; Isokinetics'!H94)</f>
        <v/>
      </c>
      <c r="I36" s="207" t="str">
        <f>IF('Flows &amp; Isokinetics'!M94="","",signum('Flows &amp; Isokinetics'!M94,SigFig1))</f>
        <v/>
      </c>
      <c r="J36" s="207" t="str">
        <f>IF('Flows &amp; Isokinetics'!N94="","",VND&amp;signum2('Flows &amp; Isokinetics'!N94,SigFig1,SigFig2,VND))</f>
        <v/>
      </c>
      <c r="K36" s="207" t="str">
        <f>IF('Flows &amp; Isokinetics'!P94="","",VND&amp;signum2('Flows &amp; Isokinetics'!P94,SigFig1,SigFig2,VND))</f>
        <v/>
      </c>
      <c r="L36" s="793" t="str">
        <f>IF('Flows &amp; Isokinetics'!AA94="","",VND&amp;signum2('Flows &amp; Isokinetics'!AA94,SigFig1,SigFig2,VND))</f>
        <v/>
      </c>
    </row>
    <row r="37" spans="1:12">
      <c r="A37" s="789" t="str">
        <f>IF('Flows &amp; Isokinetics'!E29="","",'Flows &amp; Isokinetics'!E29)</f>
        <v/>
      </c>
      <c r="B37" s="790" t="str">
        <f>IF('Flows &amp; Isokinetics'!F29="","",'Flows &amp; Isokinetics'!F29)</f>
        <v/>
      </c>
      <c r="C37" s="794" t="str">
        <f>IF('Flows &amp; Isokinetics'!H29="","",'Flows &amp; Isokinetics'!H29)</f>
        <v/>
      </c>
      <c r="D37" s="207" t="str">
        <f>IF('Flows &amp; Isokinetics'!M29="","",signum('Flows &amp; Isokinetics'!M29,SigFig1))</f>
        <v/>
      </c>
      <c r="E37" s="207" t="str">
        <f>IF('Flows &amp; Isokinetics'!N29="","",VND&amp;signum2('Flows &amp; Isokinetics'!N29,SigFig1,SigFig2,VND))</f>
        <v/>
      </c>
      <c r="F37" s="207" t="str">
        <f>IF('Flows &amp; Isokinetics'!I29="","",VND&amp;signum2('Flows &amp; Isokinetics'!P29,SigFig1,SigFig2,VND))</f>
        <v/>
      </c>
      <c r="G37" s="793" t="str">
        <f>IF('Flows &amp; Isokinetics'!J29="","",VND&amp;signum2('Flows &amp; Isokinetics'!AA29,SigFig1,SigFig2,VND))</f>
        <v/>
      </c>
      <c r="H37" s="795" t="str">
        <f>IF('Flows &amp; Isokinetics'!H95="","",'Flows &amp; Isokinetics'!H95)</f>
        <v/>
      </c>
      <c r="I37" s="207" t="str">
        <f>IF('Flows &amp; Isokinetics'!M95="","",signum('Flows &amp; Isokinetics'!M95,SigFig1))</f>
        <v/>
      </c>
      <c r="J37" s="207" t="str">
        <f>IF('Flows &amp; Isokinetics'!N95="","",VND&amp;signum2('Flows &amp; Isokinetics'!N95,SigFig1,SigFig2,VND))</f>
        <v/>
      </c>
      <c r="K37" s="207" t="str">
        <f>IF('Flows &amp; Isokinetics'!P95="","",VND&amp;signum2('Flows &amp; Isokinetics'!P95,SigFig1,SigFig2,VND))</f>
        <v/>
      </c>
      <c r="L37" s="793" t="str">
        <f>IF('Flows &amp; Isokinetics'!AA95="","",VND&amp;signum2('Flows &amp; Isokinetics'!AA95,SigFig1,SigFig2,VND))</f>
        <v/>
      </c>
    </row>
    <row r="38" spans="1:12">
      <c r="A38" s="789" t="str">
        <f>IF('Flows &amp; Isokinetics'!E30="","",'Flows &amp; Isokinetics'!E30)</f>
        <v/>
      </c>
      <c r="B38" s="790" t="str">
        <f>IF('Flows &amp; Isokinetics'!F30="","",'Flows &amp; Isokinetics'!F30)</f>
        <v/>
      </c>
      <c r="C38" s="794" t="str">
        <f>IF('Flows &amp; Isokinetics'!H30="","",'Flows &amp; Isokinetics'!H30)</f>
        <v/>
      </c>
      <c r="D38" s="207" t="str">
        <f>IF('Flows &amp; Isokinetics'!M30="","",signum('Flows &amp; Isokinetics'!M30,SigFig1))</f>
        <v/>
      </c>
      <c r="E38" s="207" t="str">
        <f>IF('Flows &amp; Isokinetics'!N30="","",VND&amp;signum2('Flows &amp; Isokinetics'!N30,SigFig1,SigFig2,VND))</f>
        <v/>
      </c>
      <c r="F38" s="207" t="str">
        <f>IF('Flows &amp; Isokinetics'!I30="","",VND&amp;signum2('Flows &amp; Isokinetics'!P30,SigFig1,SigFig2,VND))</f>
        <v/>
      </c>
      <c r="G38" s="793" t="str">
        <f>IF('Flows &amp; Isokinetics'!J30="","",VND&amp;signum2('Flows &amp; Isokinetics'!AA30,SigFig1,SigFig2,VND))</f>
        <v/>
      </c>
      <c r="H38" s="795" t="str">
        <f>IF('Flows &amp; Isokinetics'!H96="","",'Flows &amp; Isokinetics'!H96)</f>
        <v/>
      </c>
      <c r="I38" s="207" t="str">
        <f>IF('Flows &amp; Isokinetics'!M96="","",signum('Flows &amp; Isokinetics'!M96,SigFig1))</f>
        <v/>
      </c>
      <c r="J38" s="207" t="str">
        <f>IF('Flows &amp; Isokinetics'!N96="","",VND&amp;signum2('Flows &amp; Isokinetics'!N96,SigFig1,SigFig2,VND))</f>
        <v/>
      </c>
      <c r="K38" s="207" t="str">
        <f>IF('Flows &amp; Isokinetics'!P96="","",VND&amp;signum2('Flows &amp; Isokinetics'!P96,SigFig1,SigFig2,VND))</f>
        <v/>
      </c>
      <c r="L38" s="793" t="str">
        <f>IF('Flows &amp; Isokinetics'!AA96="","",VND&amp;signum2('Flows &amp; Isokinetics'!AA96,SigFig1,SigFig2,VND))</f>
        <v/>
      </c>
    </row>
    <row r="39" spans="1:12">
      <c r="A39" s="789" t="str">
        <f>IF('Flows &amp; Isokinetics'!E31="","",'Flows &amp; Isokinetics'!E31)</f>
        <v/>
      </c>
      <c r="B39" s="790" t="str">
        <f>IF('Flows &amp; Isokinetics'!F31="","",'Flows &amp; Isokinetics'!F31)</f>
        <v/>
      </c>
      <c r="C39" s="794" t="str">
        <f>IF('Flows &amp; Isokinetics'!H31="","",'Flows &amp; Isokinetics'!H31)</f>
        <v/>
      </c>
      <c r="D39" s="207" t="str">
        <f>IF('Flows &amp; Isokinetics'!M31="","",signum('Flows &amp; Isokinetics'!M31,SigFig1))</f>
        <v/>
      </c>
      <c r="E39" s="207" t="str">
        <f>IF('Flows &amp; Isokinetics'!N31="","",VND&amp;signum2('Flows &amp; Isokinetics'!N31,SigFig1,SigFig2,VND))</f>
        <v/>
      </c>
      <c r="F39" s="207" t="str">
        <f>IF('Flows &amp; Isokinetics'!I31="","",VND&amp;signum2('Flows &amp; Isokinetics'!P31,SigFig1,SigFig2,VND))</f>
        <v/>
      </c>
      <c r="G39" s="793" t="str">
        <f>IF('Flows &amp; Isokinetics'!J31="","",VND&amp;signum2('Flows &amp; Isokinetics'!AA31,SigFig1,SigFig2,VND))</f>
        <v/>
      </c>
      <c r="H39" s="795" t="str">
        <f>IF('Flows &amp; Isokinetics'!H97="","",'Flows &amp; Isokinetics'!H97)</f>
        <v/>
      </c>
      <c r="I39" s="207" t="str">
        <f>IF('Flows &amp; Isokinetics'!M97="","",signum('Flows &amp; Isokinetics'!M97,SigFig1))</f>
        <v/>
      </c>
      <c r="J39" s="207" t="str">
        <f>IF('Flows &amp; Isokinetics'!N97="","",VND&amp;signum2('Flows &amp; Isokinetics'!N97,SigFig1,SigFig2,VND))</f>
        <v/>
      </c>
      <c r="K39" s="207" t="str">
        <f>IF('Flows &amp; Isokinetics'!P97="","",VND&amp;signum2('Flows &amp; Isokinetics'!P97,SigFig1,SigFig2,VND))</f>
        <v/>
      </c>
      <c r="L39" s="793" t="str">
        <f>IF('Flows &amp; Isokinetics'!AA97="","",VND&amp;signum2('Flows &amp; Isokinetics'!AA97,SigFig1,SigFig2,VND))</f>
        <v/>
      </c>
    </row>
    <row r="40" spans="1:12">
      <c r="A40" s="789" t="str">
        <f>IF('Flows &amp; Isokinetics'!E32="","",'Flows &amp; Isokinetics'!E32)</f>
        <v/>
      </c>
      <c r="B40" s="790" t="str">
        <f>IF('Flows &amp; Isokinetics'!F32="","",'Flows &amp; Isokinetics'!F32)</f>
        <v/>
      </c>
      <c r="C40" s="794" t="str">
        <f>IF('Flows &amp; Isokinetics'!H32="","",'Flows &amp; Isokinetics'!H32)</f>
        <v/>
      </c>
      <c r="D40" s="207" t="str">
        <f>IF('Flows &amp; Isokinetics'!M32="","",signum('Flows &amp; Isokinetics'!M32,SigFig1))</f>
        <v/>
      </c>
      <c r="E40" s="207" t="str">
        <f>IF('Flows &amp; Isokinetics'!N32="","",VND&amp;signum2('Flows &amp; Isokinetics'!N32,SigFig1,SigFig2,VND))</f>
        <v/>
      </c>
      <c r="F40" s="207" t="str">
        <f>IF('Flows &amp; Isokinetics'!I32="","",VND&amp;signum2('Flows &amp; Isokinetics'!P32,SigFig1,SigFig2,VND))</f>
        <v/>
      </c>
      <c r="G40" s="793" t="str">
        <f>IF('Flows &amp; Isokinetics'!J32="","",VND&amp;signum2('Flows &amp; Isokinetics'!AA32,SigFig1,SigFig2,VND))</f>
        <v/>
      </c>
      <c r="H40" s="795" t="str">
        <f>IF('Flows &amp; Isokinetics'!H98="","",'Flows &amp; Isokinetics'!H98)</f>
        <v/>
      </c>
      <c r="I40" s="207" t="str">
        <f>IF('Flows &amp; Isokinetics'!M98="","",signum('Flows &amp; Isokinetics'!M98,SigFig1))</f>
        <v/>
      </c>
      <c r="J40" s="207" t="str">
        <f>IF('Flows &amp; Isokinetics'!N98="","",VND&amp;signum2('Flows &amp; Isokinetics'!N98,SigFig1,SigFig2,VND))</f>
        <v/>
      </c>
      <c r="K40" s="207" t="str">
        <f>IF('Flows &amp; Isokinetics'!P98="","",VND&amp;signum2('Flows &amp; Isokinetics'!P98,SigFig1,SigFig2,VND))</f>
        <v/>
      </c>
      <c r="L40" s="793" t="str">
        <f>IF('Flows &amp; Isokinetics'!AA98="","",VND&amp;signum2('Flows &amp; Isokinetics'!AA98,SigFig1,SigFig2,VND))</f>
        <v/>
      </c>
    </row>
    <row r="41" spans="1:12">
      <c r="A41" s="789" t="str">
        <f>IF('Flows &amp; Isokinetics'!E33="","",'Flows &amp; Isokinetics'!E33)</f>
        <v/>
      </c>
      <c r="B41" s="790" t="str">
        <f>IF('Flows &amp; Isokinetics'!F33="","",'Flows &amp; Isokinetics'!F33)</f>
        <v/>
      </c>
      <c r="C41" s="794" t="str">
        <f>IF('Flows &amp; Isokinetics'!H33="","",'Flows &amp; Isokinetics'!H33)</f>
        <v/>
      </c>
      <c r="D41" s="207" t="str">
        <f>IF('Flows &amp; Isokinetics'!M33="","",signum('Flows &amp; Isokinetics'!M33,SigFig1))</f>
        <v/>
      </c>
      <c r="E41" s="207" t="str">
        <f>IF('Flows &amp; Isokinetics'!N33="","",VND&amp;signum2('Flows &amp; Isokinetics'!N33,SigFig1,SigFig2,VND))</f>
        <v/>
      </c>
      <c r="F41" s="207" t="str">
        <f>IF('Flows &amp; Isokinetics'!I33="","",VND&amp;signum2('Flows &amp; Isokinetics'!P33,SigFig1,SigFig2,VND))</f>
        <v/>
      </c>
      <c r="G41" s="793" t="str">
        <f>IF('Flows &amp; Isokinetics'!J33="","",VND&amp;signum2('Flows &amp; Isokinetics'!AA33,SigFig1,SigFig2,VND))</f>
        <v/>
      </c>
      <c r="H41" s="795" t="str">
        <f>IF('Flows &amp; Isokinetics'!H99="","",'Flows &amp; Isokinetics'!H99)</f>
        <v/>
      </c>
      <c r="I41" s="207" t="str">
        <f>IF('Flows &amp; Isokinetics'!M99="","",signum('Flows &amp; Isokinetics'!M99,SigFig1))</f>
        <v/>
      </c>
      <c r="J41" s="207" t="str">
        <f>IF('Flows &amp; Isokinetics'!N99="","",VND&amp;signum2('Flows &amp; Isokinetics'!N99,SigFig1,SigFig2,VND))</f>
        <v/>
      </c>
      <c r="K41" s="207" t="str">
        <f>IF('Flows &amp; Isokinetics'!P99="","",VND&amp;signum2('Flows &amp; Isokinetics'!P99,SigFig1,SigFig2,VND))</f>
        <v/>
      </c>
      <c r="L41" s="793" t="str">
        <f>IF('Flows &amp; Isokinetics'!AA99="","",VND&amp;signum2('Flows &amp; Isokinetics'!AA99,SigFig1,SigFig2,VND))</f>
        <v/>
      </c>
    </row>
    <row r="42" spans="1:12">
      <c r="A42" s="789" t="str">
        <f>IF('Flows &amp; Isokinetics'!E34="","",'Flows &amp; Isokinetics'!E34)</f>
        <v/>
      </c>
      <c r="B42" s="790" t="str">
        <f>IF('Flows &amp; Isokinetics'!F34="","",'Flows &amp; Isokinetics'!F34)</f>
        <v/>
      </c>
      <c r="C42" s="794" t="str">
        <f>IF('Flows &amp; Isokinetics'!H34="","",'Flows &amp; Isokinetics'!H34)</f>
        <v/>
      </c>
      <c r="D42" s="207" t="str">
        <f>IF('Flows &amp; Isokinetics'!M34="","",signum('Flows &amp; Isokinetics'!M34,SigFig1))</f>
        <v/>
      </c>
      <c r="E42" s="207" t="str">
        <f>IF('Flows &amp; Isokinetics'!N34="","",VND&amp;signum2('Flows &amp; Isokinetics'!N34,SigFig1,SigFig2,VND))</f>
        <v/>
      </c>
      <c r="F42" s="207" t="str">
        <f>IF('Flows &amp; Isokinetics'!I34="","",VND&amp;signum2('Flows &amp; Isokinetics'!P34,SigFig1,SigFig2,VND))</f>
        <v/>
      </c>
      <c r="G42" s="793" t="str">
        <f>IF('Flows &amp; Isokinetics'!J34="","",VND&amp;signum2('Flows &amp; Isokinetics'!AA34,SigFig1,SigFig2,VND))</f>
        <v/>
      </c>
      <c r="H42" s="795" t="str">
        <f>IF('Flows &amp; Isokinetics'!H100="","",'Flows &amp; Isokinetics'!H100)</f>
        <v/>
      </c>
      <c r="I42" s="207" t="str">
        <f>IF('Flows &amp; Isokinetics'!M100="","",signum('Flows &amp; Isokinetics'!M100,SigFig1))</f>
        <v/>
      </c>
      <c r="J42" s="207" t="str">
        <f>IF('Flows &amp; Isokinetics'!N100="","",VND&amp;signum2('Flows &amp; Isokinetics'!N100,SigFig1,SigFig2,VND))</f>
        <v/>
      </c>
      <c r="K42" s="207" t="str">
        <f>IF('Flows &amp; Isokinetics'!P100="","",VND&amp;signum2('Flows &amp; Isokinetics'!P100,SigFig1,SigFig2,VND))</f>
        <v/>
      </c>
      <c r="L42" s="793" t="str">
        <f>IF('Flows &amp; Isokinetics'!AA100="","",VND&amp;signum2('Flows &amp; Isokinetics'!AA100,SigFig1,SigFig2,VND))</f>
        <v/>
      </c>
    </row>
    <row r="43" spans="1:12">
      <c r="A43" s="789" t="str">
        <f>IF('Flows &amp; Isokinetics'!E35="","",'Flows &amp; Isokinetics'!E35)</f>
        <v/>
      </c>
      <c r="B43" s="790" t="str">
        <f>IF('Flows &amp; Isokinetics'!F35="","",'Flows &amp; Isokinetics'!F35)</f>
        <v/>
      </c>
      <c r="C43" s="794" t="str">
        <f>IF('Flows &amp; Isokinetics'!H35="","",'Flows &amp; Isokinetics'!H35)</f>
        <v/>
      </c>
      <c r="D43" s="207" t="str">
        <f>IF('Flows &amp; Isokinetics'!M35="","",signum('Flows &amp; Isokinetics'!M35,SigFig1))</f>
        <v/>
      </c>
      <c r="E43" s="207" t="str">
        <f>IF('Flows &amp; Isokinetics'!N35="","",VND&amp;signum2('Flows &amp; Isokinetics'!N35,SigFig1,SigFig2,VND))</f>
        <v/>
      </c>
      <c r="F43" s="207" t="str">
        <f>IF('Flows &amp; Isokinetics'!I35="","",VND&amp;signum2('Flows &amp; Isokinetics'!P35,SigFig1,SigFig2,VND))</f>
        <v/>
      </c>
      <c r="G43" s="793" t="str">
        <f>IF('Flows &amp; Isokinetics'!J35="","",VND&amp;signum2('Flows &amp; Isokinetics'!AA35,SigFig1,SigFig2,VND))</f>
        <v/>
      </c>
      <c r="H43" s="795" t="str">
        <f>IF('Flows &amp; Isokinetics'!H101="","",'Flows &amp; Isokinetics'!H101)</f>
        <v/>
      </c>
      <c r="I43" s="207" t="str">
        <f>IF('Flows &amp; Isokinetics'!M101="","",signum('Flows &amp; Isokinetics'!M101,SigFig1))</f>
        <v/>
      </c>
      <c r="J43" s="207" t="str">
        <f>IF('Flows &amp; Isokinetics'!N101="","",VND&amp;signum2('Flows &amp; Isokinetics'!N101,SigFig1,SigFig2,VND))</f>
        <v/>
      </c>
      <c r="K43" s="207" t="str">
        <f>IF('Flows &amp; Isokinetics'!P101="","",VND&amp;signum2('Flows &amp; Isokinetics'!P101,SigFig1,SigFig2,VND))</f>
        <v/>
      </c>
      <c r="L43" s="793" t="str">
        <f>IF('Flows &amp; Isokinetics'!AA101="","",VND&amp;signum2('Flows &amp; Isokinetics'!AA101,SigFig1,SigFig2,VND))</f>
        <v/>
      </c>
    </row>
    <row r="44" spans="1:12">
      <c r="A44" s="789" t="str">
        <f>IF('Flows &amp; Isokinetics'!E36="","",'Flows &amp; Isokinetics'!E36)</f>
        <v/>
      </c>
      <c r="B44" s="790" t="str">
        <f>IF('Flows &amp; Isokinetics'!F36="","",'Flows &amp; Isokinetics'!F36)</f>
        <v/>
      </c>
      <c r="C44" s="794" t="str">
        <f>IF('Flows &amp; Isokinetics'!H36="","",'Flows &amp; Isokinetics'!H36)</f>
        <v/>
      </c>
      <c r="D44" s="207" t="str">
        <f>IF('Flows &amp; Isokinetics'!M36="","",signum('Flows &amp; Isokinetics'!M36,SigFig1))</f>
        <v/>
      </c>
      <c r="E44" s="207" t="str">
        <f>IF('Flows &amp; Isokinetics'!N36="","",VND&amp;signum2('Flows &amp; Isokinetics'!N36,SigFig1,SigFig2,VND))</f>
        <v/>
      </c>
      <c r="F44" s="207" t="str">
        <f>IF('Flows &amp; Isokinetics'!I36="","",VND&amp;signum2('Flows &amp; Isokinetics'!P36,SigFig1,SigFig2,VND))</f>
        <v/>
      </c>
      <c r="G44" s="793" t="str">
        <f>IF('Flows &amp; Isokinetics'!J36="","",VND&amp;signum2('Flows &amp; Isokinetics'!AA36,SigFig1,SigFig2,VND))</f>
        <v/>
      </c>
      <c r="H44" s="795" t="str">
        <f>IF('Flows &amp; Isokinetics'!H102="","",'Flows &amp; Isokinetics'!H102)</f>
        <v/>
      </c>
      <c r="I44" s="207" t="str">
        <f>IF('Flows &amp; Isokinetics'!M102="","",signum('Flows &amp; Isokinetics'!M102,SigFig1))</f>
        <v/>
      </c>
      <c r="J44" s="207" t="str">
        <f>IF('Flows &amp; Isokinetics'!N102="","",VND&amp;signum2('Flows &amp; Isokinetics'!N102,SigFig1,SigFig2,VND))</f>
        <v/>
      </c>
      <c r="K44" s="207" t="str">
        <f>IF('Flows &amp; Isokinetics'!P102="","",VND&amp;signum2('Flows &amp; Isokinetics'!P102,SigFig1,SigFig2,VND))</f>
        <v/>
      </c>
      <c r="L44" s="793" t="str">
        <f>IF('Flows &amp; Isokinetics'!AA102="","",VND&amp;signum2('Flows &amp; Isokinetics'!AA102,SigFig1,SigFig2,VND))</f>
        <v/>
      </c>
    </row>
    <row r="45" spans="1:12">
      <c r="A45" s="789" t="str">
        <f>IF('Flows &amp; Isokinetics'!E37="","",'Flows &amp; Isokinetics'!E37)</f>
        <v/>
      </c>
      <c r="B45" s="790" t="str">
        <f>IF('Flows &amp; Isokinetics'!F37="","",'Flows &amp; Isokinetics'!F37)</f>
        <v/>
      </c>
      <c r="C45" s="794" t="str">
        <f>IF('Flows &amp; Isokinetics'!H37="","",'Flows &amp; Isokinetics'!H37)</f>
        <v/>
      </c>
      <c r="D45" s="207" t="str">
        <f>IF('Flows &amp; Isokinetics'!M37="","",signum('Flows &amp; Isokinetics'!M37,SigFig1))</f>
        <v/>
      </c>
      <c r="E45" s="207" t="str">
        <f>IF('Flows &amp; Isokinetics'!N37="","",VND&amp;signum2('Flows &amp; Isokinetics'!N37,SigFig1,SigFig2,VND))</f>
        <v/>
      </c>
      <c r="F45" s="207" t="str">
        <f>IF('Flows &amp; Isokinetics'!I37="","",VND&amp;signum2('Flows &amp; Isokinetics'!P37,SigFig1,SigFig2,VND))</f>
        <v/>
      </c>
      <c r="G45" s="793" t="str">
        <f>IF('Flows &amp; Isokinetics'!J37="","",VND&amp;signum2('Flows &amp; Isokinetics'!AA37,SigFig1,SigFig2,VND))</f>
        <v/>
      </c>
      <c r="H45" s="795" t="str">
        <f>IF('Flows &amp; Isokinetics'!H103="","",'Flows &amp; Isokinetics'!H103)</f>
        <v/>
      </c>
      <c r="I45" s="207" t="str">
        <f>IF('Flows &amp; Isokinetics'!M103="","",signum('Flows &amp; Isokinetics'!M103,SigFig1))</f>
        <v/>
      </c>
      <c r="J45" s="207" t="str">
        <f>IF('Flows &amp; Isokinetics'!N103="","",VND&amp;signum2('Flows &amp; Isokinetics'!N103,SigFig1,SigFig2,VND))</f>
        <v/>
      </c>
      <c r="K45" s="207" t="str">
        <f>IF('Flows &amp; Isokinetics'!P103="","",VND&amp;signum2('Flows &amp; Isokinetics'!P103,SigFig1,SigFig2,VND))</f>
        <v/>
      </c>
      <c r="L45" s="793" t="str">
        <f>IF('Flows &amp; Isokinetics'!AA103="","",VND&amp;signum2('Flows &amp; Isokinetics'!AA103,SigFig1,SigFig2,VND))</f>
        <v/>
      </c>
    </row>
    <row r="46" spans="1:12">
      <c r="A46" s="789" t="str">
        <f>IF('Flows &amp; Isokinetics'!E38="","",'Flows &amp; Isokinetics'!E38)</f>
        <v/>
      </c>
      <c r="B46" s="790" t="str">
        <f>IF('Flows &amp; Isokinetics'!F38="","",'Flows &amp; Isokinetics'!F38)</f>
        <v/>
      </c>
      <c r="C46" s="794" t="str">
        <f>IF('Flows &amp; Isokinetics'!H38="","",'Flows &amp; Isokinetics'!H38)</f>
        <v/>
      </c>
      <c r="D46" s="207" t="str">
        <f>IF('Flows &amp; Isokinetics'!M38="","",signum('Flows &amp; Isokinetics'!M38,SigFig1))</f>
        <v/>
      </c>
      <c r="E46" s="207" t="str">
        <f>IF('Flows &amp; Isokinetics'!N38="","",VND&amp;signum2('Flows &amp; Isokinetics'!N38,SigFig1,SigFig2,VND))</f>
        <v/>
      </c>
      <c r="F46" s="207" t="str">
        <f>IF('Flows &amp; Isokinetics'!I38="","",VND&amp;signum2('Flows &amp; Isokinetics'!P38,SigFig1,SigFig2,VND))</f>
        <v/>
      </c>
      <c r="G46" s="793" t="str">
        <f>IF('Flows &amp; Isokinetics'!J38="","",VND&amp;signum2('Flows &amp; Isokinetics'!AA38,SigFig1,SigFig2,VND))</f>
        <v/>
      </c>
      <c r="H46" s="795" t="str">
        <f>IF('Flows &amp; Isokinetics'!H104="","",'Flows &amp; Isokinetics'!H104)</f>
        <v/>
      </c>
      <c r="I46" s="207" t="str">
        <f>IF('Flows &amp; Isokinetics'!M104="","",signum('Flows &amp; Isokinetics'!M104,SigFig1))</f>
        <v/>
      </c>
      <c r="J46" s="207" t="str">
        <f>IF('Flows &amp; Isokinetics'!N104="","",VND&amp;signum2('Flows &amp; Isokinetics'!N104,SigFig1,SigFig2,VND))</f>
        <v/>
      </c>
      <c r="K46" s="207" t="str">
        <f>IF('Flows &amp; Isokinetics'!P104="","",VND&amp;signum2('Flows &amp; Isokinetics'!P104,SigFig1,SigFig2,VND))</f>
        <v/>
      </c>
      <c r="L46" s="793" t="str">
        <f>IF('Flows &amp; Isokinetics'!AA104="","",VND&amp;signum2('Flows &amp; Isokinetics'!AA104,SigFig1,SigFig2,VND))</f>
        <v/>
      </c>
    </row>
    <row r="47" spans="1:12">
      <c r="A47" s="789" t="str">
        <f>IF('Flows &amp; Isokinetics'!E39="","",'Flows &amp; Isokinetics'!E39)</f>
        <v/>
      </c>
      <c r="B47" s="790" t="str">
        <f>IF('Flows &amp; Isokinetics'!F39="","",'Flows &amp; Isokinetics'!F39)</f>
        <v/>
      </c>
      <c r="C47" s="794" t="str">
        <f>IF('Flows &amp; Isokinetics'!H39="","",'Flows &amp; Isokinetics'!H39)</f>
        <v/>
      </c>
      <c r="D47" s="207" t="str">
        <f>IF('Flows &amp; Isokinetics'!M39="","",signum('Flows &amp; Isokinetics'!M39,SigFig1))</f>
        <v/>
      </c>
      <c r="E47" s="207" t="str">
        <f>IF('Flows &amp; Isokinetics'!N39="","",VND&amp;signum2('Flows &amp; Isokinetics'!N39,SigFig1,SigFig2,VND))</f>
        <v/>
      </c>
      <c r="F47" s="207" t="str">
        <f>IF('Flows &amp; Isokinetics'!I39="","",VND&amp;signum2('Flows &amp; Isokinetics'!P39,SigFig1,SigFig2,VND))</f>
        <v/>
      </c>
      <c r="G47" s="793" t="str">
        <f>IF('Flows &amp; Isokinetics'!J39="","",VND&amp;signum2('Flows &amp; Isokinetics'!AA39,SigFig1,SigFig2,VND))</f>
        <v/>
      </c>
      <c r="H47" s="795" t="str">
        <f>IF('Flows &amp; Isokinetics'!H105="","",'Flows &amp; Isokinetics'!H105)</f>
        <v/>
      </c>
      <c r="I47" s="207" t="str">
        <f>IF('Flows &amp; Isokinetics'!M105="","",signum('Flows &amp; Isokinetics'!M105,SigFig1))</f>
        <v/>
      </c>
      <c r="J47" s="207" t="str">
        <f>IF('Flows &amp; Isokinetics'!N105="","",VND&amp;signum2('Flows &amp; Isokinetics'!N105,SigFig1,SigFig2,VND))</f>
        <v/>
      </c>
      <c r="K47" s="207" t="str">
        <f>IF('Flows &amp; Isokinetics'!P105="","",VND&amp;signum2('Flows &amp; Isokinetics'!P105,SigFig1,SigFig2,VND))</f>
        <v/>
      </c>
      <c r="L47" s="793" t="str">
        <f>IF('Flows &amp; Isokinetics'!AA105="","",VND&amp;signum2('Flows &amp; Isokinetics'!AA105,SigFig1,SigFig2,VND))</f>
        <v/>
      </c>
    </row>
    <row r="48" spans="1:12">
      <c r="A48" s="789" t="str">
        <f>IF('Flows &amp; Isokinetics'!E40="","",'Flows &amp; Isokinetics'!E40)</f>
        <v/>
      </c>
      <c r="B48" s="790" t="str">
        <f>IF('Flows &amp; Isokinetics'!F40="","",'Flows &amp; Isokinetics'!F40)</f>
        <v/>
      </c>
      <c r="C48" s="794" t="str">
        <f>IF('Flows &amp; Isokinetics'!H40="","",'Flows &amp; Isokinetics'!H40)</f>
        <v/>
      </c>
      <c r="D48" s="207" t="str">
        <f>IF('Flows &amp; Isokinetics'!M40="","",signum('Flows &amp; Isokinetics'!M40,SigFig1))</f>
        <v/>
      </c>
      <c r="E48" s="207" t="str">
        <f>IF('Flows &amp; Isokinetics'!N40="","",VND&amp;signum2('Flows &amp; Isokinetics'!N40,SigFig1,SigFig2,VND))</f>
        <v/>
      </c>
      <c r="F48" s="207" t="str">
        <f>IF('Flows &amp; Isokinetics'!I40="","",VND&amp;signum2('Flows &amp; Isokinetics'!P40,SigFig1,SigFig2,VND))</f>
        <v/>
      </c>
      <c r="G48" s="793" t="str">
        <f>IF('Flows &amp; Isokinetics'!J40="","",VND&amp;signum2('Flows &amp; Isokinetics'!AA40,SigFig1,SigFig2,VND))</f>
        <v/>
      </c>
      <c r="H48" s="795" t="str">
        <f>IF('Flows &amp; Isokinetics'!H106="","",'Flows &amp; Isokinetics'!H106)</f>
        <v/>
      </c>
      <c r="I48" s="207" t="str">
        <f>IF('Flows &amp; Isokinetics'!M106="","",signum('Flows &amp; Isokinetics'!M106,SigFig1))</f>
        <v/>
      </c>
      <c r="J48" s="207" t="str">
        <f>IF('Flows &amp; Isokinetics'!N106="","",VND&amp;signum2('Flows &amp; Isokinetics'!N106,SigFig1,SigFig2,VND))</f>
        <v/>
      </c>
      <c r="K48" s="207" t="str">
        <f>IF('Flows &amp; Isokinetics'!P106="","",VND&amp;signum2('Flows &amp; Isokinetics'!P106,SigFig1,SigFig2,VND))</f>
        <v/>
      </c>
      <c r="L48" s="793" t="str">
        <f>IF('Flows &amp; Isokinetics'!AA106="","",VND&amp;signum2('Flows &amp; Isokinetics'!AA106,SigFig1,SigFig2,VND))</f>
        <v/>
      </c>
    </row>
    <row r="49" spans="1:12">
      <c r="A49" s="789" t="str">
        <f>IF('Flows &amp; Isokinetics'!E41="","",'Flows &amp; Isokinetics'!E41)</f>
        <v/>
      </c>
      <c r="B49" s="790" t="str">
        <f>IF('Flows &amp; Isokinetics'!F41="","",'Flows &amp; Isokinetics'!F41)</f>
        <v/>
      </c>
      <c r="C49" s="794" t="str">
        <f>IF('Flows &amp; Isokinetics'!H41="","",'Flows &amp; Isokinetics'!H41)</f>
        <v/>
      </c>
      <c r="D49" s="207" t="str">
        <f>IF('Flows &amp; Isokinetics'!M41="","",signum('Flows &amp; Isokinetics'!M41,SigFig1))</f>
        <v/>
      </c>
      <c r="E49" s="207" t="str">
        <f>IF('Flows &amp; Isokinetics'!N41="","",VND&amp;signum2('Flows &amp; Isokinetics'!N41,SigFig1,SigFig2,VND))</f>
        <v/>
      </c>
      <c r="F49" s="207" t="str">
        <f>IF('Flows &amp; Isokinetics'!I41="","",VND&amp;signum2('Flows &amp; Isokinetics'!P41,SigFig1,SigFig2,VND))</f>
        <v/>
      </c>
      <c r="G49" s="793" t="str">
        <f>IF('Flows &amp; Isokinetics'!J41="","",VND&amp;signum2('Flows &amp; Isokinetics'!AA41,SigFig1,SigFig2,VND))</f>
        <v/>
      </c>
      <c r="H49" s="795" t="str">
        <f>IF('Flows &amp; Isokinetics'!H107="","",'Flows &amp; Isokinetics'!H107)</f>
        <v/>
      </c>
      <c r="I49" s="207" t="str">
        <f>IF('Flows &amp; Isokinetics'!M107="","",signum('Flows &amp; Isokinetics'!M107,SigFig1))</f>
        <v/>
      </c>
      <c r="J49" s="207" t="str">
        <f>IF('Flows &amp; Isokinetics'!N107="","",VND&amp;signum2('Flows &amp; Isokinetics'!N107,SigFig1,SigFig2,VND))</f>
        <v/>
      </c>
      <c r="K49" s="207" t="str">
        <f>IF('Flows &amp; Isokinetics'!P107="","",VND&amp;signum2('Flows &amp; Isokinetics'!P107,SigFig1,SigFig2,VND))</f>
        <v/>
      </c>
      <c r="L49" s="793" t="str">
        <f>IF('Flows &amp; Isokinetics'!AA107="","",VND&amp;signum2('Flows &amp; Isokinetics'!AA107,SigFig1,SigFig2,VND))</f>
        <v/>
      </c>
    </row>
    <row r="50" spans="1:12">
      <c r="A50" s="789" t="str">
        <f>IF('Flows &amp; Isokinetics'!E42="","",'Flows &amp; Isokinetics'!E42)</f>
        <v/>
      </c>
      <c r="B50" s="790" t="str">
        <f>IF('Flows &amp; Isokinetics'!F42="","",'Flows &amp; Isokinetics'!F42)</f>
        <v/>
      </c>
      <c r="C50" s="794" t="str">
        <f>IF('Flows &amp; Isokinetics'!H42="","",'Flows &amp; Isokinetics'!H42)</f>
        <v/>
      </c>
      <c r="D50" s="207" t="str">
        <f>IF('Flows &amp; Isokinetics'!M42="","",signum('Flows &amp; Isokinetics'!M42,SigFig1))</f>
        <v/>
      </c>
      <c r="E50" s="207" t="str">
        <f>IF('Flows &amp; Isokinetics'!N42="","",VND&amp;signum2('Flows &amp; Isokinetics'!N42,SigFig1,SigFig2,VND))</f>
        <v/>
      </c>
      <c r="F50" s="207" t="str">
        <f>IF('Flows &amp; Isokinetics'!I42="","",VND&amp;signum2('Flows &amp; Isokinetics'!P42,SigFig1,SigFig2,VND))</f>
        <v/>
      </c>
      <c r="G50" s="793" t="str">
        <f>IF('Flows &amp; Isokinetics'!J42="","",VND&amp;signum2('Flows &amp; Isokinetics'!AA42,SigFig1,SigFig2,VND))</f>
        <v/>
      </c>
      <c r="H50" s="795" t="str">
        <f>IF('Flows &amp; Isokinetics'!H108="","",'Flows &amp; Isokinetics'!H108)</f>
        <v/>
      </c>
      <c r="I50" s="207" t="str">
        <f>IF('Flows &amp; Isokinetics'!M108="","",signum('Flows &amp; Isokinetics'!M108,SigFig1))</f>
        <v/>
      </c>
      <c r="J50" s="207" t="str">
        <f>IF('Flows &amp; Isokinetics'!N108="","",VND&amp;signum2('Flows &amp; Isokinetics'!N108,SigFig1,SigFig2,VND))</f>
        <v/>
      </c>
      <c r="K50" s="207" t="str">
        <f>IF('Flows &amp; Isokinetics'!P108="","",VND&amp;signum2('Flows &amp; Isokinetics'!P108,SigFig1,SigFig2,VND))</f>
        <v/>
      </c>
      <c r="L50" s="793" t="str">
        <f>IF('Flows &amp; Isokinetics'!AA108="","",VND&amp;signum2('Flows &amp; Isokinetics'!AA108,SigFig1,SigFig2,VND))</f>
        <v/>
      </c>
    </row>
    <row r="51" spans="1:12">
      <c r="A51" s="789" t="str">
        <f>IF('Flows &amp; Isokinetics'!E43="","",'Flows &amp; Isokinetics'!E43)</f>
        <v/>
      </c>
      <c r="B51" s="790" t="str">
        <f>IF('Flows &amp; Isokinetics'!F43="","",'Flows &amp; Isokinetics'!F43)</f>
        <v/>
      </c>
      <c r="C51" s="794" t="str">
        <f>IF('Flows &amp; Isokinetics'!H43="","",'Flows &amp; Isokinetics'!H43)</f>
        <v/>
      </c>
      <c r="D51" s="207" t="str">
        <f>IF('Flows &amp; Isokinetics'!M43="","",signum('Flows &amp; Isokinetics'!M43,SigFig1))</f>
        <v/>
      </c>
      <c r="E51" s="207" t="str">
        <f>IF('Flows &amp; Isokinetics'!N43="","",VND&amp;signum2('Flows &amp; Isokinetics'!N43,SigFig1,SigFig2,VND))</f>
        <v/>
      </c>
      <c r="F51" s="207" t="str">
        <f>IF('Flows &amp; Isokinetics'!I43="","",VND&amp;signum2('Flows &amp; Isokinetics'!P43,SigFig1,SigFig2,VND))</f>
        <v/>
      </c>
      <c r="G51" s="793" t="str">
        <f>IF('Flows &amp; Isokinetics'!J43="","",VND&amp;signum2('Flows &amp; Isokinetics'!AA43,SigFig1,SigFig2,VND))</f>
        <v/>
      </c>
      <c r="H51" s="795" t="str">
        <f>IF('Flows &amp; Isokinetics'!H109="","",'Flows &amp; Isokinetics'!H109)</f>
        <v/>
      </c>
      <c r="I51" s="207" t="str">
        <f>IF('Flows &amp; Isokinetics'!M109="","",signum('Flows &amp; Isokinetics'!M109,SigFig1))</f>
        <v/>
      </c>
      <c r="J51" s="207" t="str">
        <f>IF('Flows &amp; Isokinetics'!N109="","",VND&amp;signum2('Flows &amp; Isokinetics'!N109,SigFig1,SigFig2,VND))</f>
        <v/>
      </c>
      <c r="K51" s="207" t="str">
        <f>IF('Flows &amp; Isokinetics'!P109="","",VND&amp;signum2('Flows &amp; Isokinetics'!P109,SigFig1,SigFig2,VND))</f>
        <v/>
      </c>
      <c r="L51" s="793" t="str">
        <f>IF('Flows &amp; Isokinetics'!AA109="","",VND&amp;signum2('Flows &amp; Isokinetics'!AA109,SigFig1,SigFig2,VND))</f>
        <v/>
      </c>
    </row>
    <row r="52" spans="1:12">
      <c r="A52" s="789" t="str">
        <f>IF('Flows &amp; Isokinetics'!E44="","",'Flows &amp; Isokinetics'!E44)</f>
        <v/>
      </c>
      <c r="B52" s="790" t="str">
        <f>IF('Flows &amp; Isokinetics'!F44="","",'Flows &amp; Isokinetics'!F44)</f>
        <v/>
      </c>
      <c r="C52" s="794" t="str">
        <f>IF('Flows &amp; Isokinetics'!H44="","",'Flows &amp; Isokinetics'!H44)</f>
        <v/>
      </c>
      <c r="D52" s="207" t="str">
        <f>IF('Flows &amp; Isokinetics'!M44="","",signum('Flows &amp; Isokinetics'!M44,SigFig1))</f>
        <v/>
      </c>
      <c r="E52" s="207" t="str">
        <f>IF('Flows &amp; Isokinetics'!N44="","",VND&amp;signum2('Flows &amp; Isokinetics'!N44,SigFig1,SigFig2,VND))</f>
        <v/>
      </c>
      <c r="F52" s="207" t="str">
        <f>IF('Flows &amp; Isokinetics'!I44="","",VND&amp;signum2('Flows &amp; Isokinetics'!P44,SigFig1,SigFig2,VND))</f>
        <v/>
      </c>
      <c r="G52" s="793" t="str">
        <f>IF('Flows &amp; Isokinetics'!J44="","",VND&amp;signum2('Flows &amp; Isokinetics'!AA44,SigFig1,SigFig2,VND))</f>
        <v/>
      </c>
      <c r="H52" s="795" t="str">
        <f>IF('Flows &amp; Isokinetics'!H110="","",'Flows &amp; Isokinetics'!H110)</f>
        <v/>
      </c>
      <c r="I52" s="207" t="str">
        <f>IF('Flows &amp; Isokinetics'!M110="","",signum('Flows &amp; Isokinetics'!M110,SigFig1))</f>
        <v/>
      </c>
      <c r="J52" s="207" t="str">
        <f>IF('Flows &amp; Isokinetics'!N110="","",VND&amp;signum2('Flows &amp; Isokinetics'!N110,SigFig1,SigFig2,VND))</f>
        <v/>
      </c>
      <c r="K52" s="207" t="str">
        <f>IF('Flows &amp; Isokinetics'!P110="","",VND&amp;signum2('Flows &amp; Isokinetics'!P110,SigFig1,SigFig2,VND))</f>
        <v/>
      </c>
      <c r="L52" s="793" t="str">
        <f>IF('Flows &amp; Isokinetics'!AA110="","",VND&amp;signum2('Flows &amp; Isokinetics'!AA110,SigFig1,SigFig2,VND))</f>
        <v/>
      </c>
    </row>
    <row r="53" spans="1:12">
      <c r="A53" s="789" t="str">
        <f>IF('Flows &amp; Isokinetics'!E45="","",'Flows &amp; Isokinetics'!E45)</f>
        <v/>
      </c>
      <c r="B53" s="790" t="str">
        <f>IF('Flows &amp; Isokinetics'!F45="","",'Flows &amp; Isokinetics'!F45)</f>
        <v/>
      </c>
      <c r="C53" s="794" t="str">
        <f>IF('Flows &amp; Isokinetics'!H45="","",'Flows &amp; Isokinetics'!H45)</f>
        <v/>
      </c>
      <c r="D53" s="207" t="str">
        <f>IF('Flows &amp; Isokinetics'!M45="","",signum('Flows &amp; Isokinetics'!M45,SigFig1))</f>
        <v/>
      </c>
      <c r="E53" s="207" t="str">
        <f>IF('Flows &amp; Isokinetics'!N45="","",VND&amp;signum2('Flows &amp; Isokinetics'!N45,SigFig1,SigFig2,VND))</f>
        <v/>
      </c>
      <c r="F53" s="207" t="str">
        <f>IF('Flows &amp; Isokinetics'!I45="","",VND&amp;signum2('Flows &amp; Isokinetics'!P45,SigFig1,SigFig2,VND))</f>
        <v/>
      </c>
      <c r="G53" s="793" t="str">
        <f>IF('Flows &amp; Isokinetics'!J45="","",VND&amp;signum2('Flows &amp; Isokinetics'!AA45,SigFig1,SigFig2,VND))</f>
        <v/>
      </c>
      <c r="H53" s="795" t="str">
        <f>IF('Flows &amp; Isokinetics'!H111="","",'Flows &amp; Isokinetics'!H111)</f>
        <v/>
      </c>
      <c r="I53" s="207" t="str">
        <f>IF('Flows &amp; Isokinetics'!M111="","",signum('Flows &amp; Isokinetics'!M111,SigFig1))</f>
        <v/>
      </c>
      <c r="J53" s="207" t="str">
        <f>IF('Flows &amp; Isokinetics'!N111="","",VND&amp;signum2('Flows &amp; Isokinetics'!N111,SigFig1,SigFig2,VND))</f>
        <v/>
      </c>
      <c r="K53" s="207" t="str">
        <f>IF('Flows &amp; Isokinetics'!P111="","",VND&amp;signum2('Flows &amp; Isokinetics'!P111,SigFig1,SigFig2,VND))</f>
        <v/>
      </c>
      <c r="L53" s="793" t="str">
        <f>IF('Flows &amp; Isokinetics'!AA111="","",VND&amp;signum2('Flows &amp; Isokinetics'!AA111,SigFig1,SigFig2,VND))</f>
        <v/>
      </c>
    </row>
    <row r="54" spans="1:12">
      <c r="A54" s="789" t="str">
        <f>IF('Flows &amp; Isokinetics'!E46="","",'Flows &amp; Isokinetics'!E46)</f>
        <v/>
      </c>
      <c r="B54" s="790" t="str">
        <f>IF('Flows &amp; Isokinetics'!F46="","",'Flows &amp; Isokinetics'!F46)</f>
        <v/>
      </c>
      <c r="C54" s="794" t="str">
        <f>IF('Flows &amp; Isokinetics'!H46="","",'Flows &amp; Isokinetics'!H46)</f>
        <v/>
      </c>
      <c r="D54" s="207" t="str">
        <f>IF('Flows &amp; Isokinetics'!M46="","",signum('Flows &amp; Isokinetics'!M46,SigFig1))</f>
        <v/>
      </c>
      <c r="E54" s="207" t="str">
        <f>IF('Flows &amp; Isokinetics'!N46="","",VND&amp;signum2('Flows &amp; Isokinetics'!N46,SigFig1,SigFig2,VND))</f>
        <v/>
      </c>
      <c r="F54" s="207" t="str">
        <f>IF('Flows &amp; Isokinetics'!I46="","",VND&amp;signum2('Flows &amp; Isokinetics'!P46,SigFig1,SigFig2,VND))</f>
        <v/>
      </c>
      <c r="G54" s="793" t="str">
        <f>IF('Flows &amp; Isokinetics'!J46="","",VND&amp;signum2('Flows &amp; Isokinetics'!AA46,SigFig1,SigFig2,VND))</f>
        <v/>
      </c>
      <c r="H54" s="795" t="str">
        <f>IF('Flows &amp; Isokinetics'!H112="","",'Flows &amp; Isokinetics'!H112)</f>
        <v/>
      </c>
      <c r="I54" s="207" t="str">
        <f>IF('Flows &amp; Isokinetics'!M112="","",signum('Flows &amp; Isokinetics'!M112,SigFig1))</f>
        <v/>
      </c>
      <c r="J54" s="207" t="str">
        <f>IF('Flows &amp; Isokinetics'!N112="","",VND&amp;signum2('Flows &amp; Isokinetics'!N112,SigFig1,SigFig2,VND))</f>
        <v/>
      </c>
      <c r="K54" s="207" t="str">
        <f>IF('Flows &amp; Isokinetics'!P112="","",VND&amp;signum2('Flows &amp; Isokinetics'!P112,SigFig1,SigFig2,VND))</f>
        <v/>
      </c>
      <c r="L54" s="793" t="str">
        <f>IF('Flows &amp; Isokinetics'!AA112="","",VND&amp;signum2('Flows &amp; Isokinetics'!AA112,SigFig1,SigFig2,VND))</f>
        <v/>
      </c>
    </row>
    <row r="55" spans="1:12">
      <c r="A55" s="789" t="str">
        <f>IF('Flows &amp; Isokinetics'!E47="","",'Flows &amp; Isokinetics'!E47)</f>
        <v/>
      </c>
      <c r="B55" s="790" t="str">
        <f>IF('Flows &amp; Isokinetics'!F47="","",'Flows &amp; Isokinetics'!F47)</f>
        <v/>
      </c>
      <c r="C55" s="794" t="str">
        <f>IF('Flows &amp; Isokinetics'!H47="","",'Flows &amp; Isokinetics'!H47)</f>
        <v/>
      </c>
      <c r="D55" s="207" t="str">
        <f>IF('Flows &amp; Isokinetics'!M47="","",signum('Flows &amp; Isokinetics'!M47,SigFig1))</f>
        <v/>
      </c>
      <c r="E55" s="207" t="str">
        <f>IF('Flows &amp; Isokinetics'!N47="","",VND&amp;signum2('Flows &amp; Isokinetics'!N47,SigFig1,SigFig2,VND))</f>
        <v/>
      </c>
      <c r="F55" s="207" t="str">
        <f>IF('Flows &amp; Isokinetics'!I47="","",VND&amp;signum2('Flows &amp; Isokinetics'!P47,SigFig1,SigFig2,VND))</f>
        <v/>
      </c>
      <c r="G55" s="793" t="str">
        <f>IF('Flows &amp; Isokinetics'!J47="","",VND&amp;signum2('Flows &amp; Isokinetics'!AA47,SigFig1,SigFig2,VND))</f>
        <v/>
      </c>
      <c r="H55" s="795" t="str">
        <f>IF('Flows &amp; Isokinetics'!H113="","",'Flows &amp; Isokinetics'!H113)</f>
        <v/>
      </c>
      <c r="I55" s="207" t="str">
        <f>IF('Flows &amp; Isokinetics'!M113="","",signum('Flows &amp; Isokinetics'!M113,SigFig1))</f>
        <v/>
      </c>
      <c r="J55" s="207" t="str">
        <f>IF('Flows &amp; Isokinetics'!N113="","",VND&amp;signum2('Flows &amp; Isokinetics'!N113,SigFig1,SigFig2,VND))</f>
        <v/>
      </c>
      <c r="K55" s="207" t="str">
        <f>IF('Flows &amp; Isokinetics'!P113="","",VND&amp;signum2('Flows &amp; Isokinetics'!P113,SigFig1,SigFig2,VND))</f>
        <v/>
      </c>
      <c r="L55" s="793" t="str">
        <f>IF('Flows &amp; Isokinetics'!AA113="","",VND&amp;signum2('Flows &amp; Isokinetics'!AA113,SigFig1,SigFig2,VND))</f>
        <v/>
      </c>
    </row>
    <row r="56" spans="1:12">
      <c r="A56" s="789" t="str">
        <f>IF('Flows &amp; Isokinetics'!E48="","",'Flows &amp; Isokinetics'!E48)</f>
        <v/>
      </c>
      <c r="B56" s="790" t="str">
        <f>IF('Flows &amp; Isokinetics'!F48="","",'Flows &amp; Isokinetics'!F48)</f>
        <v/>
      </c>
      <c r="C56" s="794" t="str">
        <f>IF('Flows &amp; Isokinetics'!H48="","",'Flows &amp; Isokinetics'!H48)</f>
        <v/>
      </c>
      <c r="D56" s="207" t="str">
        <f>IF('Flows &amp; Isokinetics'!M48="","",signum('Flows &amp; Isokinetics'!M48,SigFig1))</f>
        <v/>
      </c>
      <c r="E56" s="207" t="str">
        <f>IF('Flows &amp; Isokinetics'!N48="","",VND&amp;signum2('Flows &amp; Isokinetics'!N48,SigFig1,SigFig2,VND))</f>
        <v/>
      </c>
      <c r="F56" s="207" t="str">
        <f>IF('Flows &amp; Isokinetics'!I48="","",VND&amp;signum2('Flows &amp; Isokinetics'!P48,SigFig1,SigFig2,VND))</f>
        <v/>
      </c>
      <c r="G56" s="793" t="str">
        <f>IF('Flows &amp; Isokinetics'!J48="","",VND&amp;signum2('Flows &amp; Isokinetics'!AA48,SigFig1,SigFig2,VND))</f>
        <v/>
      </c>
      <c r="H56" s="795" t="str">
        <f>IF('Flows &amp; Isokinetics'!H114="","",'Flows &amp; Isokinetics'!H114)</f>
        <v/>
      </c>
      <c r="I56" s="207" t="str">
        <f>IF('Flows &amp; Isokinetics'!M114="","",signum('Flows &amp; Isokinetics'!M114,SigFig1))</f>
        <v/>
      </c>
      <c r="J56" s="207" t="str">
        <f>IF('Flows &amp; Isokinetics'!N114="","",VND&amp;signum2('Flows &amp; Isokinetics'!N114,SigFig1,SigFig2,VND))</f>
        <v/>
      </c>
      <c r="K56" s="207" t="str">
        <f>IF('Flows &amp; Isokinetics'!P114="","",VND&amp;signum2('Flows &amp; Isokinetics'!P114,SigFig1,SigFig2,VND))</f>
        <v/>
      </c>
      <c r="L56" s="793" t="str">
        <f>IF('Flows &amp; Isokinetics'!AA114="","",VND&amp;signum2('Flows &amp; Isokinetics'!AA114,SigFig1,SigFig2,VND))</f>
        <v/>
      </c>
    </row>
    <row r="57" spans="1:12">
      <c r="A57" s="789" t="str">
        <f>IF('Flows &amp; Isokinetics'!E49="","",'Flows &amp; Isokinetics'!E49)</f>
        <v/>
      </c>
      <c r="B57" s="790" t="str">
        <f>IF('Flows &amp; Isokinetics'!F49="","",'Flows &amp; Isokinetics'!F49)</f>
        <v/>
      </c>
      <c r="C57" s="794" t="str">
        <f>IF('Flows &amp; Isokinetics'!H49="","",'Flows &amp; Isokinetics'!H49)</f>
        <v/>
      </c>
      <c r="D57" s="207" t="str">
        <f>IF('Flows &amp; Isokinetics'!M49="","",signum('Flows &amp; Isokinetics'!M49,SigFig1))</f>
        <v/>
      </c>
      <c r="E57" s="207" t="str">
        <f>IF('Flows &amp; Isokinetics'!N49="","",VND&amp;signum2('Flows &amp; Isokinetics'!N49,SigFig1,SigFig2,VND))</f>
        <v/>
      </c>
      <c r="F57" s="207" t="str">
        <f>IF('Flows &amp; Isokinetics'!I49="","",VND&amp;signum2('Flows &amp; Isokinetics'!P49,SigFig1,SigFig2,VND))</f>
        <v/>
      </c>
      <c r="G57" s="793" t="str">
        <f>IF('Flows &amp; Isokinetics'!J49="","",VND&amp;signum2('Flows &amp; Isokinetics'!AA49,SigFig1,SigFig2,VND))</f>
        <v/>
      </c>
      <c r="H57" s="795" t="str">
        <f>IF('Flows &amp; Isokinetics'!H115="","",'Flows &amp; Isokinetics'!H115)</f>
        <v/>
      </c>
      <c r="I57" s="207" t="str">
        <f>IF('Flows &amp; Isokinetics'!M115="","",signum('Flows &amp; Isokinetics'!M115,SigFig1))</f>
        <v/>
      </c>
      <c r="J57" s="207" t="str">
        <f>IF('Flows &amp; Isokinetics'!N115="","",VND&amp;signum2('Flows &amp; Isokinetics'!N115,SigFig1,SigFig2,VND))</f>
        <v/>
      </c>
      <c r="K57" s="207" t="str">
        <f>IF('Flows &amp; Isokinetics'!P115="","",VND&amp;signum2('Flows &amp; Isokinetics'!P115,SigFig1,SigFig2,VND))</f>
        <v/>
      </c>
      <c r="L57" s="793" t="str">
        <f>IF('Flows &amp; Isokinetics'!AA115="","",VND&amp;signum2('Flows &amp; Isokinetics'!AA115,SigFig1,SigFig2,VND))</f>
        <v/>
      </c>
    </row>
    <row r="58" spans="1:12">
      <c r="A58" s="789" t="str">
        <f>IF('Flows &amp; Isokinetics'!E50="","",'Flows &amp; Isokinetics'!E50)</f>
        <v/>
      </c>
      <c r="B58" s="790" t="str">
        <f>IF('Flows &amp; Isokinetics'!F50="","",'Flows &amp; Isokinetics'!F50)</f>
        <v/>
      </c>
      <c r="C58" s="794" t="str">
        <f>IF('Flows &amp; Isokinetics'!H50="","",'Flows &amp; Isokinetics'!H50)</f>
        <v/>
      </c>
      <c r="D58" s="207" t="str">
        <f>IF('Flows &amp; Isokinetics'!M50="","",signum('Flows &amp; Isokinetics'!M50,SigFig1))</f>
        <v/>
      </c>
      <c r="E58" s="207" t="str">
        <f>IF('Flows &amp; Isokinetics'!N50="","",VND&amp;signum2('Flows &amp; Isokinetics'!N50,SigFig1,SigFig2,VND))</f>
        <v/>
      </c>
      <c r="F58" s="207" t="str">
        <f>IF('Flows &amp; Isokinetics'!I50="","",VND&amp;signum2('Flows &amp; Isokinetics'!P50,SigFig1,SigFig2,VND))</f>
        <v/>
      </c>
      <c r="G58" s="793" t="str">
        <f>IF('Flows &amp; Isokinetics'!J50="","",VND&amp;signum2('Flows &amp; Isokinetics'!AA50,SigFig1,SigFig2,VND))</f>
        <v/>
      </c>
      <c r="H58" s="795" t="str">
        <f>IF('Flows &amp; Isokinetics'!H116="","",'Flows &amp; Isokinetics'!H116)</f>
        <v/>
      </c>
      <c r="I58" s="207" t="str">
        <f>IF('Flows &amp; Isokinetics'!M116="","",signum('Flows &amp; Isokinetics'!M116,SigFig1))</f>
        <v/>
      </c>
      <c r="J58" s="207" t="str">
        <f>IF('Flows &amp; Isokinetics'!N116="","",VND&amp;signum2('Flows &amp; Isokinetics'!N116,SigFig1,SigFig2,VND))</f>
        <v/>
      </c>
      <c r="K58" s="207" t="str">
        <f>IF('Flows &amp; Isokinetics'!P116="","",VND&amp;signum2('Flows &amp; Isokinetics'!P116,SigFig1,SigFig2,VND))</f>
        <v/>
      </c>
      <c r="L58" s="793" t="str">
        <f>IF('Flows &amp; Isokinetics'!AA116="","",VND&amp;signum2('Flows &amp; Isokinetics'!AA116,SigFig1,SigFig2,VND))</f>
        <v/>
      </c>
    </row>
    <row r="59" spans="1:12">
      <c r="A59" s="789" t="str">
        <f>IF('Flows &amp; Isokinetics'!E51="","",'Flows &amp; Isokinetics'!E51)</f>
        <v/>
      </c>
      <c r="B59" s="790" t="str">
        <f>IF('Flows &amp; Isokinetics'!F51="","",'Flows &amp; Isokinetics'!F51)</f>
        <v/>
      </c>
      <c r="C59" s="794" t="str">
        <f>IF('Flows &amp; Isokinetics'!H51="","",'Flows &amp; Isokinetics'!H51)</f>
        <v/>
      </c>
      <c r="D59" s="207" t="str">
        <f>IF('Flows &amp; Isokinetics'!M51="","",signum('Flows &amp; Isokinetics'!M51,SigFig1))</f>
        <v/>
      </c>
      <c r="E59" s="207" t="str">
        <f>IF('Flows &amp; Isokinetics'!N51="","",VND&amp;signum2('Flows &amp; Isokinetics'!N51,SigFig1,SigFig2,VND))</f>
        <v/>
      </c>
      <c r="F59" s="207" t="str">
        <f>IF('Flows &amp; Isokinetics'!I51="","",VND&amp;signum2('Flows &amp; Isokinetics'!P51,SigFig1,SigFig2,VND))</f>
        <v/>
      </c>
      <c r="G59" s="793" t="str">
        <f>IF('Flows &amp; Isokinetics'!J51="","",VND&amp;signum2('Flows &amp; Isokinetics'!AA51,SigFig1,SigFig2,VND))</f>
        <v/>
      </c>
      <c r="H59" s="795" t="str">
        <f>IF('Flows &amp; Isokinetics'!H117="","",'Flows &amp; Isokinetics'!H117)</f>
        <v/>
      </c>
      <c r="I59" s="207" t="str">
        <f>IF('Flows &amp; Isokinetics'!M117="","",signum('Flows &amp; Isokinetics'!M117,SigFig1))</f>
        <v/>
      </c>
      <c r="J59" s="207" t="str">
        <f>IF('Flows &amp; Isokinetics'!N117="","",VND&amp;signum2('Flows &amp; Isokinetics'!N117,SigFig1,SigFig2,VND))</f>
        <v/>
      </c>
      <c r="K59" s="207" t="str">
        <f>IF('Flows &amp; Isokinetics'!P117="","",VND&amp;signum2('Flows &amp; Isokinetics'!P117,SigFig1,SigFig2,VND))</f>
        <v/>
      </c>
      <c r="L59" s="793" t="str">
        <f>IF('Flows &amp; Isokinetics'!AA117="","",VND&amp;signum2('Flows &amp; Isokinetics'!AA117,SigFig1,SigFig2,VND))</f>
        <v/>
      </c>
    </row>
    <row r="60" spans="1:12">
      <c r="A60" s="789" t="str">
        <f>IF('Flows &amp; Isokinetics'!E52="","",'Flows &amp; Isokinetics'!E52)</f>
        <v/>
      </c>
      <c r="B60" s="790" t="str">
        <f>IF('Flows &amp; Isokinetics'!F52="","",'Flows &amp; Isokinetics'!F52)</f>
        <v/>
      </c>
      <c r="C60" s="794" t="str">
        <f>IF('Flows &amp; Isokinetics'!H52="","",'Flows &amp; Isokinetics'!H52)</f>
        <v/>
      </c>
      <c r="D60" s="207" t="str">
        <f>IF('Flows &amp; Isokinetics'!M52="","",signum('Flows &amp; Isokinetics'!M52,SigFig1))</f>
        <v/>
      </c>
      <c r="E60" s="207" t="str">
        <f>IF('Flows &amp; Isokinetics'!N52="","",VND&amp;signum2('Flows &amp; Isokinetics'!N52,SigFig1,SigFig2,VND))</f>
        <v/>
      </c>
      <c r="F60" s="207" t="str">
        <f>IF('Flows &amp; Isokinetics'!I52="","",VND&amp;signum2('Flows &amp; Isokinetics'!P52,SigFig1,SigFig2,VND))</f>
        <v/>
      </c>
      <c r="G60" s="793" t="str">
        <f>IF('Flows &amp; Isokinetics'!J52="","",VND&amp;signum2('Flows &amp; Isokinetics'!AA52,SigFig1,SigFig2,VND))</f>
        <v/>
      </c>
      <c r="H60" s="795" t="str">
        <f>IF('Flows &amp; Isokinetics'!H118="","",'Flows &amp; Isokinetics'!H118)</f>
        <v/>
      </c>
      <c r="I60" s="207" t="str">
        <f>IF('Flows &amp; Isokinetics'!M118="","",signum('Flows &amp; Isokinetics'!M118,SigFig1))</f>
        <v/>
      </c>
      <c r="J60" s="207" t="str">
        <f>IF('Flows &amp; Isokinetics'!N118="","",VND&amp;signum2('Flows &amp; Isokinetics'!N118,SigFig1,SigFig2,VND))</f>
        <v/>
      </c>
      <c r="K60" s="207" t="str">
        <f>IF('Flows &amp; Isokinetics'!P118="","",VND&amp;signum2('Flows &amp; Isokinetics'!P118,SigFig1,SigFig2,VND))</f>
        <v/>
      </c>
      <c r="L60" s="793" t="str">
        <f>IF('Flows &amp; Isokinetics'!AA118="","",VND&amp;signum2('Flows &amp; Isokinetics'!AA118,SigFig1,SigFig2,VND))</f>
        <v/>
      </c>
    </row>
    <row r="61" spans="1:12">
      <c r="A61" s="789" t="str">
        <f>IF('Flows &amp; Isokinetics'!E53="","",'Flows &amp; Isokinetics'!E53)</f>
        <v/>
      </c>
      <c r="B61" s="790" t="str">
        <f>IF('Flows &amp; Isokinetics'!F53="","",'Flows &amp; Isokinetics'!F53)</f>
        <v/>
      </c>
      <c r="C61" s="794" t="str">
        <f>IF('Flows &amp; Isokinetics'!H53="","",'Flows &amp; Isokinetics'!H53)</f>
        <v/>
      </c>
      <c r="D61" s="207" t="str">
        <f>IF('Flows &amp; Isokinetics'!M53="","",signum('Flows &amp; Isokinetics'!M53,SigFig1))</f>
        <v/>
      </c>
      <c r="E61" s="207" t="str">
        <f>IF('Flows &amp; Isokinetics'!N53="","",VND&amp;signum2('Flows &amp; Isokinetics'!N53,SigFig1,SigFig2,VND))</f>
        <v/>
      </c>
      <c r="F61" s="207" t="str">
        <f>IF('Flows &amp; Isokinetics'!I53="","",VND&amp;signum2('Flows &amp; Isokinetics'!P53,SigFig1,SigFig2,VND))</f>
        <v/>
      </c>
      <c r="G61" s="793" t="str">
        <f>IF('Flows &amp; Isokinetics'!J53="","",VND&amp;signum2('Flows &amp; Isokinetics'!AA53,SigFig1,SigFig2,VND))</f>
        <v/>
      </c>
      <c r="H61" s="795" t="str">
        <f>IF('Flows &amp; Isokinetics'!H119="","",'Flows &amp; Isokinetics'!H119)</f>
        <v/>
      </c>
      <c r="I61" s="207" t="str">
        <f>IF('Flows &amp; Isokinetics'!M119="","",signum('Flows &amp; Isokinetics'!M119,SigFig1))</f>
        <v/>
      </c>
      <c r="J61" s="207" t="str">
        <f>IF('Flows &amp; Isokinetics'!N119="","",VND&amp;signum2('Flows &amp; Isokinetics'!N119,SigFig1,SigFig2,VND))</f>
        <v/>
      </c>
      <c r="K61" s="207" t="str">
        <f>IF('Flows &amp; Isokinetics'!P119="","",VND&amp;signum2('Flows &amp; Isokinetics'!P119,SigFig1,SigFig2,VND))</f>
        <v/>
      </c>
      <c r="L61" s="793" t="str">
        <f>IF('Flows &amp; Isokinetics'!AA119="","",VND&amp;signum2('Flows &amp; Isokinetics'!AA119,SigFig1,SigFig2,VND))</f>
        <v/>
      </c>
    </row>
    <row r="62" spans="1:12">
      <c r="A62" s="789" t="str">
        <f>IF('Flows &amp; Isokinetics'!E54="","",'Flows &amp; Isokinetics'!E54)</f>
        <v/>
      </c>
      <c r="B62" s="790" t="str">
        <f>IF('Flows &amp; Isokinetics'!F54="","",'Flows &amp; Isokinetics'!F54)</f>
        <v/>
      </c>
      <c r="C62" s="794" t="str">
        <f>IF('Flows &amp; Isokinetics'!H54="","",'Flows &amp; Isokinetics'!H54)</f>
        <v/>
      </c>
      <c r="D62" s="207" t="str">
        <f>IF('Flows &amp; Isokinetics'!M54="","",signum('Flows &amp; Isokinetics'!M54,SigFig1))</f>
        <v/>
      </c>
      <c r="E62" s="207" t="str">
        <f>IF('Flows &amp; Isokinetics'!N54="","",VND&amp;signum2('Flows &amp; Isokinetics'!N54,SigFig1,SigFig2,VND))</f>
        <v/>
      </c>
      <c r="F62" s="207" t="str">
        <f>IF('Flows &amp; Isokinetics'!I54="","",VND&amp;signum2('Flows &amp; Isokinetics'!P54,SigFig1,SigFig2,VND))</f>
        <v/>
      </c>
      <c r="G62" s="793" t="str">
        <f>IF('Flows &amp; Isokinetics'!J54="","",VND&amp;signum2('Flows &amp; Isokinetics'!AA54,SigFig1,SigFig2,VND))</f>
        <v/>
      </c>
      <c r="H62" s="795" t="str">
        <f>IF('Flows &amp; Isokinetics'!H120="","",'Flows &amp; Isokinetics'!H120)</f>
        <v/>
      </c>
      <c r="I62" s="207" t="str">
        <f>IF('Flows &amp; Isokinetics'!M120="","",signum('Flows &amp; Isokinetics'!M120,SigFig1))</f>
        <v/>
      </c>
      <c r="J62" s="207" t="str">
        <f>IF('Flows &amp; Isokinetics'!N120="","",VND&amp;signum2('Flows &amp; Isokinetics'!N120,SigFig1,SigFig2,VND))</f>
        <v/>
      </c>
      <c r="K62" s="207" t="str">
        <f>IF('Flows &amp; Isokinetics'!P120="","",VND&amp;signum2('Flows &amp; Isokinetics'!P120,SigFig1,SigFig2,VND))</f>
        <v/>
      </c>
      <c r="L62" s="793" t="str">
        <f>IF('Flows &amp; Isokinetics'!AA120="","",VND&amp;signum2('Flows &amp; Isokinetics'!AA120,SigFig1,SigFig2,VND))</f>
        <v/>
      </c>
    </row>
    <row r="63" spans="1:12">
      <c r="A63" s="789" t="str">
        <f>IF('Flows &amp; Isokinetics'!E55="","",'Flows &amp; Isokinetics'!E55)</f>
        <v/>
      </c>
      <c r="B63" s="790" t="str">
        <f>IF('Flows &amp; Isokinetics'!F55="","",'Flows &amp; Isokinetics'!F55)</f>
        <v/>
      </c>
      <c r="C63" s="794" t="str">
        <f>IF('Flows &amp; Isokinetics'!H55="","",'Flows &amp; Isokinetics'!H55)</f>
        <v/>
      </c>
      <c r="D63" s="207" t="str">
        <f>IF('Flows &amp; Isokinetics'!M55="","",signum('Flows &amp; Isokinetics'!M55,SigFig1))</f>
        <v/>
      </c>
      <c r="E63" s="207" t="str">
        <f>IF('Flows &amp; Isokinetics'!N55="","",VND&amp;signum2('Flows &amp; Isokinetics'!N55,SigFig1,SigFig2,VND))</f>
        <v/>
      </c>
      <c r="F63" s="207" t="str">
        <f>IF('Flows &amp; Isokinetics'!I55="","",VND&amp;signum2('Flows &amp; Isokinetics'!P55,SigFig1,SigFig2,VND))</f>
        <v/>
      </c>
      <c r="G63" s="793" t="str">
        <f>IF('Flows &amp; Isokinetics'!J55="","",VND&amp;signum2('Flows &amp; Isokinetics'!AA55,SigFig1,SigFig2,VND))</f>
        <v/>
      </c>
      <c r="H63" s="795" t="str">
        <f>IF('Flows &amp; Isokinetics'!H121="","",'Flows &amp; Isokinetics'!H121)</f>
        <v/>
      </c>
      <c r="I63" s="207" t="str">
        <f>IF('Flows &amp; Isokinetics'!M121="","",signum('Flows &amp; Isokinetics'!M121,SigFig1))</f>
        <v/>
      </c>
      <c r="J63" s="207" t="str">
        <f>IF('Flows &amp; Isokinetics'!N121="","",VND&amp;signum2('Flows &amp; Isokinetics'!N121,SigFig1,SigFig2,VND))</f>
        <v/>
      </c>
      <c r="K63" s="207" t="str">
        <f>IF('Flows &amp; Isokinetics'!P121="","",VND&amp;signum2('Flows &amp; Isokinetics'!P121,SigFig1,SigFig2,VND))</f>
        <v/>
      </c>
      <c r="L63" s="793" t="str">
        <f>IF('Flows &amp; Isokinetics'!AA121="","",VND&amp;signum2('Flows &amp; Isokinetics'!AA121,SigFig1,SigFig2,VND))</f>
        <v/>
      </c>
    </row>
    <row r="64" spans="1:12">
      <c r="A64" s="789" t="str">
        <f>IF('Flows &amp; Isokinetics'!E56="","",'Flows &amp; Isokinetics'!E56)</f>
        <v/>
      </c>
      <c r="B64" s="790" t="str">
        <f>IF('Flows &amp; Isokinetics'!F56="","",'Flows &amp; Isokinetics'!F56)</f>
        <v/>
      </c>
      <c r="C64" s="794" t="str">
        <f>IF('Flows &amp; Isokinetics'!H56="","",'Flows &amp; Isokinetics'!H56)</f>
        <v/>
      </c>
      <c r="D64" s="207" t="str">
        <f>IF('Flows &amp; Isokinetics'!M56="","",signum('Flows &amp; Isokinetics'!M56,SigFig1))</f>
        <v/>
      </c>
      <c r="E64" s="207" t="str">
        <f>IF('Flows &amp; Isokinetics'!N56="","",VND&amp;signum2('Flows &amp; Isokinetics'!N56,SigFig1,SigFig2,VND))</f>
        <v/>
      </c>
      <c r="F64" s="207" t="str">
        <f>IF('Flows &amp; Isokinetics'!I56="","",VND&amp;signum2('Flows &amp; Isokinetics'!P56,SigFig1,SigFig2,VND))</f>
        <v/>
      </c>
      <c r="G64" s="793" t="str">
        <f>IF('Flows &amp; Isokinetics'!J56="","",VND&amp;signum2('Flows &amp; Isokinetics'!AA56,SigFig1,SigFig2,VND))</f>
        <v/>
      </c>
      <c r="H64" s="795" t="str">
        <f>IF('Flows &amp; Isokinetics'!H122="","",'Flows &amp; Isokinetics'!H122)</f>
        <v/>
      </c>
      <c r="I64" s="207" t="str">
        <f>IF('Flows &amp; Isokinetics'!M122="","",signum('Flows &amp; Isokinetics'!M122,SigFig1))</f>
        <v/>
      </c>
      <c r="J64" s="207" t="str">
        <f>IF('Flows &amp; Isokinetics'!N122="","",VND&amp;signum2('Flows &amp; Isokinetics'!N122,SigFig1,SigFig2,VND))</f>
        <v/>
      </c>
      <c r="K64" s="207" t="str">
        <f>IF('Flows &amp; Isokinetics'!P122="","",VND&amp;signum2('Flows &amp; Isokinetics'!P122,SigFig1,SigFig2,VND))</f>
        <v/>
      </c>
      <c r="L64" s="793" t="str">
        <f>IF('Flows &amp; Isokinetics'!AA122="","",VND&amp;signum2('Flows &amp; Isokinetics'!AA122,SigFig1,SigFig2,VND))</f>
        <v/>
      </c>
    </row>
    <row r="65" spans="1:12">
      <c r="A65" s="789" t="str">
        <f>IF('Flows &amp; Isokinetics'!E57="","",'Flows &amp; Isokinetics'!E57)</f>
        <v/>
      </c>
      <c r="B65" s="790" t="str">
        <f>IF('Flows &amp; Isokinetics'!F57="","",'Flows &amp; Isokinetics'!F57)</f>
        <v/>
      </c>
      <c r="C65" s="794" t="str">
        <f>IF('Flows &amp; Isokinetics'!H57="","",'Flows &amp; Isokinetics'!H57)</f>
        <v/>
      </c>
      <c r="D65" s="207" t="str">
        <f>IF('Flows &amp; Isokinetics'!M57="","",signum('Flows &amp; Isokinetics'!M57,SigFig1))</f>
        <v/>
      </c>
      <c r="E65" s="207" t="str">
        <f>IF('Flows &amp; Isokinetics'!N57="","",VND&amp;signum2('Flows &amp; Isokinetics'!N57,SigFig1,SigFig2,VND))</f>
        <v/>
      </c>
      <c r="F65" s="207" t="str">
        <f>IF('Flows &amp; Isokinetics'!I57="","",VND&amp;signum2('Flows &amp; Isokinetics'!P57,SigFig1,SigFig2,VND))</f>
        <v/>
      </c>
      <c r="G65" s="793" t="str">
        <f>IF('Flows &amp; Isokinetics'!J57="","",VND&amp;signum2('Flows &amp; Isokinetics'!AA57,SigFig1,SigFig2,VND))</f>
        <v/>
      </c>
      <c r="H65" s="795" t="str">
        <f>IF('Flows &amp; Isokinetics'!H123="","",'Flows &amp; Isokinetics'!H123)</f>
        <v/>
      </c>
      <c r="I65" s="207" t="str">
        <f>IF('Flows &amp; Isokinetics'!M123="","",signum('Flows &amp; Isokinetics'!M123,SigFig1))</f>
        <v/>
      </c>
      <c r="J65" s="207" t="str">
        <f>IF('Flows &amp; Isokinetics'!N123="","",VND&amp;signum2('Flows &amp; Isokinetics'!N123,SigFig1,SigFig2,VND))</f>
        <v/>
      </c>
      <c r="K65" s="207" t="str">
        <f>IF('Flows &amp; Isokinetics'!P123="","",VND&amp;signum2('Flows &amp; Isokinetics'!P123,SigFig1,SigFig2,VND))</f>
        <v/>
      </c>
      <c r="L65" s="793" t="str">
        <f>IF('Flows &amp; Isokinetics'!AA123="","",VND&amp;signum2('Flows &amp; Isokinetics'!AA123,SigFig1,SigFig2,VND))</f>
        <v/>
      </c>
    </row>
    <row r="66" spans="1:12">
      <c r="A66" s="789" t="str">
        <f>IF('Flows &amp; Isokinetics'!E58="","",'Flows &amp; Isokinetics'!E58)</f>
        <v/>
      </c>
      <c r="B66" s="790" t="str">
        <f>IF('Flows &amp; Isokinetics'!F58="","",'Flows &amp; Isokinetics'!F58)</f>
        <v/>
      </c>
      <c r="C66" s="794" t="str">
        <f>IF('Flows &amp; Isokinetics'!H58="","",'Flows &amp; Isokinetics'!H58)</f>
        <v/>
      </c>
      <c r="D66" s="207" t="str">
        <f>IF('Flows &amp; Isokinetics'!M58="","",signum('Flows &amp; Isokinetics'!M58,SigFig1))</f>
        <v/>
      </c>
      <c r="E66" s="207" t="str">
        <f>IF('Flows &amp; Isokinetics'!N58="","",VND&amp;signum2('Flows &amp; Isokinetics'!N58,SigFig1,SigFig2,VND))</f>
        <v/>
      </c>
      <c r="F66" s="207" t="str">
        <f>IF('Flows &amp; Isokinetics'!I58="","",VND&amp;signum2('Flows &amp; Isokinetics'!P58,SigFig1,SigFig2,VND))</f>
        <v/>
      </c>
      <c r="G66" s="793" t="str">
        <f>IF('Flows &amp; Isokinetics'!J58="","",VND&amp;signum2('Flows &amp; Isokinetics'!AA58,SigFig1,SigFig2,VND))</f>
        <v/>
      </c>
      <c r="H66" s="795" t="str">
        <f>IF('Flows &amp; Isokinetics'!H124="","",'Flows &amp; Isokinetics'!H124)</f>
        <v/>
      </c>
      <c r="I66" s="207" t="str">
        <f>IF('Flows &amp; Isokinetics'!M124="","",signum('Flows &amp; Isokinetics'!M124,SigFig1))</f>
        <v/>
      </c>
      <c r="J66" s="207" t="str">
        <f>IF('Flows &amp; Isokinetics'!N124="","",VND&amp;signum2('Flows &amp; Isokinetics'!N124,SigFig1,SigFig2,VND))</f>
        <v/>
      </c>
      <c r="K66" s="207" t="str">
        <f>IF('Flows &amp; Isokinetics'!P124="","",VND&amp;signum2('Flows &amp; Isokinetics'!P124,SigFig1,SigFig2,VND))</f>
        <v/>
      </c>
      <c r="L66" s="793" t="str">
        <f>IF('Flows &amp; Isokinetics'!AA124="","",VND&amp;signum2('Flows &amp; Isokinetics'!AA124,SigFig1,SigFig2,VND))</f>
        <v/>
      </c>
    </row>
    <row r="67" spans="1:12">
      <c r="A67" s="789" t="str">
        <f>IF('Flows &amp; Isokinetics'!E59="","",'Flows &amp; Isokinetics'!E59)</f>
        <v/>
      </c>
      <c r="B67" s="790" t="str">
        <f>IF('Flows &amp; Isokinetics'!F59="","",'Flows &amp; Isokinetics'!F59)</f>
        <v/>
      </c>
      <c r="C67" s="794" t="str">
        <f>IF('Flows &amp; Isokinetics'!H59="","",'Flows &amp; Isokinetics'!H59)</f>
        <v/>
      </c>
      <c r="D67" s="207" t="str">
        <f>IF('Flows &amp; Isokinetics'!M59="","",signum('Flows &amp; Isokinetics'!M59,SigFig1))</f>
        <v/>
      </c>
      <c r="E67" s="207" t="str">
        <f>IF('Flows &amp; Isokinetics'!N59="","",VND&amp;signum2('Flows &amp; Isokinetics'!N59,SigFig1,SigFig2,VND))</f>
        <v/>
      </c>
      <c r="F67" s="207" t="str">
        <f>IF('Flows &amp; Isokinetics'!I59="","",VND&amp;signum2('Flows &amp; Isokinetics'!P59,SigFig1,SigFig2,VND))</f>
        <v/>
      </c>
      <c r="G67" s="793" t="str">
        <f>IF('Flows &amp; Isokinetics'!J59="","",VND&amp;signum2('Flows &amp; Isokinetics'!AA59,SigFig1,SigFig2,VND))</f>
        <v/>
      </c>
      <c r="H67" s="795" t="str">
        <f>IF('Flows &amp; Isokinetics'!H125="","",'Flows &amp; Isokinetics'!H125)</f>
        <v/>
      </c>
      <c r="I67" s="207" t="str">
        <f>IF('Flows &amp; Isokinetics'!M125="","",signum('Flows &amp; Isokinetics'!M125,SigFig1))</f>
        <v/>
      </c>
      <c r="J67" s="207" t="str">
        <f>IF('Flows &amp; Isokinetics'!N125="","",VND&amp;signum2('Flows &amp; Isokinetics'!N125,SigFig1,SigFig2,VND))</f>
        <v/>
      </c>
      <c r="K67" s="207" t="str">
        <f>IF('Flows &amp; Isokinetics'!P125="","",VND&amp;signum2('Flows &amp; Isokinetics'!P125,SigFig1,SigFig2,VND))</f>
        <v/>
      </c>
      <c r="L67" s="793" t="str">
        <f>IF('Flows &amp; Isokinetics'!AA125="","",VND&amp;signum2('Flows &amp; Isokinetics'!AA125,SigFig1,SigFig2,VND))</f>
        <v/>
      </c>
    </row>
    <row r="68" spans="1:12">
      <c r="A68" s="789" t="str">
        <f>IF('Flows &amp; Isokinetics'!E60="","",'Flows &amp; Isokinetics'!E60)</f>
        <v/>
      </c>
      <c r="B68" s="790" t="str">
        <f>IF('Flows &amp; Isokinetics'!F60="","",'Flows &amp; Isokinetics'!F60)</f>
        <v/>
      </c>
      <c r="C68" s="794" t="str">
        <f>IF('Flows &amp; Isokinetics'!H60="","",'Flows &amp; Isokinetics'!H60)</f>
        <v/>
      </c>
      <c r="D68" s="207" t="str">
        <f>IF('Flows &amp; Isokinetics'!M60="","",signum('Flows &amp; Isokinetics'!M60,SigFig1))</f>
        <v/>
      </c>
      <c r="E68" s="207" t="str">
        <f>IF('Flows &amp; Isokinetics'!N60="","",VND&amp;signum2('Flows &amp; Isokinetics'!N60,SigFig1,SigFig2,VND))</f>
        <v/>
      </c>
      <c r="F68" s="207" t="str">
        <f>IF('Flows &amp; Isokinetics'!I60="","",VND&amp;signum2('Flows &amp; Isokinetics'!P60,SigFig1,SigFig2,VND))</f>
        <v/>
      </c>
      <c r="G68" s="793" t="str">
        <f>IF('Flows &amp; Isokinetics'!J60="","",VND&amp;signum2('Flows &amp; Isokinetics'!AA60,SigFig1,SigFig2,VND))</f>
        <v/>
      </c>
      <c r="H68" s="795" t="str">
        <f>IF('Flows &amp; Isokinetics'!H126="","",'Flows &amp; Isokinetics'!H126)</f>
        <v/>
      </c>
      <c r="I68" s="207" t="str">
        <f>IF('Flows &amp; Isokinetics'!M126="","",signum('Flows &amp; Isokinetics'!M126,SigFig1))</f>
        <v/>
      </c>
      <c r="J68" s="207" t="str">
        <f>IF('Flows &amp; Isokinetics'!N126="","",VND&amp;signum2('Flows &amp; Isokinetics'!N126,SigFig1,SigFig2,VND))</f>
        <v/>
      </c>
      <c r="K68" s="207" t="str">
        <f>IF('Flows &amp; Isokinetics'!P126="","",VND&amp;signum2('Flows &amp; Isokinetics'!P126,SigFig1,SigFig2,VND))</f>
        <v/>
      </c>
      <c r="L68" s="793" t="str">
        <f>IF('Flows &amp; Isokinetics'!AA126="","",VND&amp;signum2('Flows &amp; Isokinetics'!AA126,SigFig1,SigFig2,VND))</f>
        <v/>
      </c>
    </row>
    <row r="69" spans="1:12">
      <c r="A69" s="789" t="str">
        <f>IF('Flows &amp; Isokinetics'!E61="","",'Flows &amp; Isokinetics'!E61)</f>
        <v/>
      </c>
      <c r="B69" s="790" t="str">
        <f>IF('Flows &amp; Isokinetics'!F61="","",'Flows &amp; Isokinetics'!F61)</f>
        <v/>
      </c>
      <c r="C69" s="794" t="str">
        <f>IF('Flows &amp; Isokinetics'!H61="","",'Flows &amp; Isokinetics'!H61)</f>
        <v/>
      </c>
      <c r="D69" s="207" t="str">
        <f>IF('Flows &amp; Isokinetics'!M61="","",signum('Flows &amp; Isokinetics'!M61,SigFig1))</f>
        <v/>
      </c>
      <c r="E69" s="207" t="str">
        <f>IF('Flows &amp; Isokinetics'!N61="","",VND&amp;signum2('Flows &amp; Isokinetics'!N61,SigFig1,SigFig2,VND))</f>
        <v/>
      </c>
      <c r="F69" s="207" t="str">
        <f>IF('Flows &amp; Isokinetics'!I61="","",VND&amp;signum2('Flows &amp; Isokinetics'!P61,SigFig1,SigFig2,VND))</f>
        <v/>
      </c>
      <c r="G69" s="793" t="str">
        <f>IF('Flows &amp; Isokinetics'!J61="","",VND&amp;signum2('Flows &amp; Isokinetics'!AA61,SigFig1,SigFig2,VND))</f>
        <v/>
      </c>
      <c r="H69" s="795" t="str">
        <f>IF('Flows &amp; Isokinetics'!H127="","",'Flows &amp; Isokinetics'!H127)</f>
        <v/>
      </c>
      <c r="I69" s="207" t="str">
        <f>IF('Flows &amp; Isokinetics'!M127="","",signum('Flows &amp; Isokinetics'!M127,SigFig1))</f>
        <v/>
      </c>
      <c r="J69" s="207" t="str">
        <f>IF('Flows &amp; Isokinetics'!N127="","",VND&amp;signum2('Flows &amp; Isokinetics'!N127,SigFig1,SigFig2,VND))</f>
        <v/>
      </c>
      <c r="K69" s="207" t="str">
        <f>IF('Flows &amp; Isokinetics'!P127="","",VND&amp;signum2('Flows &amp; Isokinetics'!P127,SigFig1,SigFig2,VND))</f>
        <v/>
      </c>
      <c r="L69" s="793" t="str">
        <f>IF('Flows &amp; Isokinetics'!AA127="","",VND&amp;signum2('Flows &amp; Isokinetics'!AA127,SigFig1,SigFig2,VND))</f>
        <v/>
      </c>
    </row>
    <row r="70" spans="1:12">
      <c r="A70" s="789" t="str">
        <f>IF('Flows &amp; Isokinetics'!E62="","",'Flows &amp; Isokinetics'!E62)</f>
        <v/>
      </c>
      <c r="B70" s="790" t="str">
        <f>IF('Flows &amp; Isokinetics'!F62="","",'Flows &amp; Isokinetics'!F62)</f>
        <v/>
      </c>
      <c r="C70" s="794" t="str">
        <f>IF('Flows &amp; Isokinetics'!H62="","",'Flows &amp; Isokinetics'!H62)</f>
        <v/>
      </c>
      <c r="D70" s="207" t="str">
        <f>IF('Flows &amp; Isokinetics'!M62="","",signum('Flows &amp; Isokinetics'!M62,SigFig1))</f>
        <v/>
      </c>
      <c r="E70" s="207" t="str">
        <f>IF('Flows &amp; Isokinetics'!N62="","",VND&amp;signum2('Flows &amp; Isokinetics'!N62,SigFig1,SigFig2,VND))</f>
        <v/>
      </c>
      <c r="F70" s="207" t="str">
        <f>IF('Flows &amp; Isokinetics'!I62="","",VND&amp;signum2('Flows &amp; Isokinetics'!P62,SigFig1,SigFig2,VND))</f>
        <v/>
      </c>
      <c r="G70" s="793" t="str">
        <f>IF('Flows &amp; Isokinetics'!J62="","",VND&amp;signum2('Flows &amp; Isokinetics'!AA62,SigFig1,SigFig2,VND))</f>
        <v/>
      </c>
      <c r="H70" s="795" t="str">
        <f>IF('Flows &amp; Isokinetics'!H128="","",'Flows &amp; Isokinetics'!H128)</f>
        <v/>
      </c>
      <c r="I70" s="207" t="str">
        <f>IF('Flows &amp; Isokinetics'!M128="","",signum('Flows &amp; Isokinetics'!M128,SigFig1))</f>
        <v/>
      </c>
      <c r="J70" s="207" t="str">
        <f>IF('Flows &amp; Isokinetics'!N128="","",VND&amp;signum2('Flows &amp; Isokinetics'!N128,SigFig1,SigFig2,VND))</f>
        <v/>
      </c>
      <c r="K70" s="207" t="str">
        <f>IF('Flows &amp; Isokinetics'!P128="","",VND&amp;signum2('Flows &amp; Isokinetics'!P128,SigFig1,SigFig2,VND))</f>
        <v/>
      </c>
      <c r="L70" s="793" t="str">
        <f>IF('Flows &amp; Isokinetics'!AA128="","",VND&amp;signum2('Flows &amp; Isokinetics'!AA128,SigFig1,SigFig2,VND))</f>
        <v/>
      </c>
    </row>
    <row r="71" spans="1:12">
      <c r="A71" s="789" t="str">
        <f>IF('Flows &amp; Isokinetics'!E63="","",'Flows &amp; Isokinetics'!E63)</f>
        <v/>
      </c>
      <c r="B71" s="790" t="str">
        <f>IF('Flows &amp; Isokinetics'!F63="","",'Flows &amp; Isokinetics'!F63)</f>
        <v/>
      </c>
      <c r="C71" s="794" t="str">
        <f>IF('Flows &amp; Isokinetics'!H63="","",'Flows &amp; Isokinetics'!H63)</f>
        <v/>
      </c>
      <c r="D71" s="207" t="str">
        <f>IF('Flows &amp; Isokinetics'!M63="","",signum('Flows &amp; Isokinetics'!M63,SigFig1))</f>
        <v/>
      </c>
      <c r="E71" s="207" t="str">
        <f>IF('Flows &amp; Isokinetics'!N63="","",VND&amp;signum2('Flows &amp; Isokinetics'!N63,SigFig1,SigFig2,VND))</f>
        <v/>
      </c>
      <c r="F71" s="207" t="str">
        <f>IF('Flows &amp; Isokinetics'!I63="","",VND&amp;signum2('Flows &amp; Isokinetics'!P63,SigFig1,SigFig2,VND))</f>
        <v/>
      </c>
      <c r="G71" s="793" t="str">
        <f>IF('Flows &amp; Isokinetics'!J63="","",VND&amp;signum2('Flows &amp; Isokinetics'!AA63,SigFig1,SigFig2,VND))</f>
        <v/>
      </c>
      <c r="H71" s="795" t="str">
        <f>IF('Flows &amp; Isokinetics'!H129="","",'Flows &amp; Isokinetics'!H129)</f>
        <v/>
      </c>
      <c r="I71" s="207" t="str">
        <f>IF('Flows &amp; Isokinetics'!M129="","",signum('Flows &amp; Isokinetics'!M129,SigFig1))</f>
        <v/>
      </c>
      <c r="J71" s="207" t="str">
        <f>IF('Flows &amp; Isokinetics'!N129="","",VND&amp;signum2('Flows &amp; Isokinetics'!N129,SigFig1,SigFig2,VND))</f>
        <v/>
      </c>
      <c r="K71" s="207" t="str">
        <f>IF('Flows &amp; Isokinetics'!P129="","",VND&amp;signum2('Flows &amp; Isokinetics'!P129,SigFig1,SigFig2,VND))</f>
        <v/>
      </c>
      <c r="L71" s="793" t="str">
        <f>IF('Flows &amp; Isokinetics'!AA129="","",VND&amp;signum2('Flows &amp; Isokinetics'!AA129,SigFig1,SigFig2,VND))</f>
        <v/>
      </c>
    </row>
    <row r="72" spans="1:12">
      <c r="A72" s="789" t="str">
        <f>IF('Flows &amp; Isokinetics'!E64="","",'Flows &amp; Isokinetics'!E64)</f>
        <v/>
      </c>
      <c r="B72" s="790" t="str">
        <f>IF('Flows &amp; Isokinetics'!F64="","",'Flows &amp; Isokinetics'!F64)</f>
        <v/>
      </c>
      <c r="C72" s="794" t="str">
        <f>IF('Flows &amp; Isokinetics'!H64="","",'Flows &amp; Isokinetics'!H64)</f>
        <v/>
      </c>
      <c r="D72" s="207" t="str">
        <f>IF('Flows &amp; Isokinetics'!M64="","",signum('Flows &amp; Isokinetics'!M64,SigFig1))</f>
        <v/>
      </c>
      <c r="E72" s="207" t="str">
        <f>IF('Flows &amp; Isokinetics'!N64="","",VND&amp;signum2('Flows &amp; Isokinetics'!N64,SigFig1,SigFig2,VND))</f>
        <v/>
      </c>
      <c r="F72" s="207" t="str">
        <f>IF('Flows &amp; Isokinetics'!I64="","",VND&amp;signum2('Flows &amp; Isokinetics'!P64,SigFig1,SigFig2,VND))</f>
        <v/>
      </c>
      <c r="G72" s="793" t="str">
        <f>IF('Flows &amp; Isokinetics'!J64="","",VND&amp;signum2('Flows &amp; Isokinetics'!AA64,SigFig1,SigFig2,VND))</f>
        <v/>
      </c>
      <c r="H72" s="795" t="str">
        <f>IF('Flows &amp; Isokinetics'!H130="","",'Flows &amp; Isokinetics'!H130)</f>
        <v/>
      </c>
      <c r="I72" s="207" t="str">
        <f>IF('Flows &amp; Isokinetics'!M130="","",signum('Flows &amp; Isokinetics'!M130,SigFig1))</f>
        <v/>
      </c>
      <c r="J72" s="207" t="str">
        <f>IF('Flows &amp; Isokinetics'!N130="","",VND&amp;signum2('Flows &amp; Isokinetics'!N130,SigFig1,SigFig2,VND))</f>
        <v/>
      </c>
      <c r="K72" s="207" t="str">
        <f>IF('Flows &amp; Isokinetics'!P130="","",VND&amp;signum2('Flows &amp; Isokinetics'!P130,SigFig1,SigFig2,VND))</f>
        <v/>
      </c>
      <c r="L72" s="793" t="str">
        <f>IF('Flows &amp; Isokinetics'!AA130="","",VND&amp;signum2('Flows &amp; Isokinetics'!AA130,SigFig1,SigFig2,VND))</f>
        <v/>
      </c>
    </row>
    <row r="73" spans="1:12">
      <c r="A73" s="789" t="str">
        <f>IF('Flows &amp; Isokinetics'!E65="","",'Flows &amp; Isokinetics'!E65)</f>
        <v/>
      </c>
      <c r="B73" s="790" t="str">
        <f>IF('Flows &amp; Isokinetics'!F65="","",'Flows &amp; Isokinetics'!F65)</f>
        <v/>
      </c>
      <c r="C73" s="794" t="str">
        <f>IF('Flows &amp; Isokinetics'!H65="","",'Flows &amp; Isokinetics'!H65)</f>
        <v/>
      </c>
      <c r="D73" s="207" t="str">
        <f>IF('Flows &amp; Isokinetics'!M65="","",signum('Flows &amp; Isokinetics'!M65,SigFig1))</f>
        <v/>
      </c>
      <c r="E73" s="207" t="str">
        <f>IF('Flows &amp; Isokinetics'!N65="","",VND&amp;signum2('Flows &amp; Isokinetics'!N65,SigFig1,SigFig2,VND))</f>
        <v/>
      </c>
      <c r="F73" s="207" t="str">
        <f>IF('Flows &amp; Isokinetics'!I65="","",VND&amp;signum2('Flows &amp; Isokinetics'!P65,SigFig1,SigFig2,VND))</f>
        <v/>
      </c>
      <c r="G73" s="793" t="str">
        <f>IF('Flows &amp; Isokinetics'!J65="","",VND&amp;signum2('Flows &amp; Isokinetics'!AA65,SigFig1,SigFig2,VND))</f>
        <v/>
      </c>
      <c r="H73" s="795" t="str">
        <f>IF('Flows &amp; Isokinetics'!H131="","",'Flows &amp; Isokinetics'!H131)</f>
        <v/>
      </c>
      <c r="I73" s="207" t="str">
        <f>IF('Flows &amp; Isokinetics'!M131="","",signum('Flows &amp; Isokinetics'!M131,SigFig1))</f>
        <v/>
      </c>
      <c r="J73" s="207" t="str">
        <f>IF('Flows &amp; Isokinetics'!N131="","",VND&amp;signum2('Flows &amp; Isokinetics'!N131,SigFig1,SigFig2,VND))</f>
        <v/>
      </c>
      <c r="K73" s="207" t="str">
        <f>IF('Flows &amp; Isokinetics'!P131="","",VND&amp;signum2('Flows &amp; Isokinetics'!P131,SigFig1,SigFig2,VND))</f>
        <v/>
      </c>
      <c r="L73" s="793" t="str">
        <f>IF('Flows &amp; Isokinetics'!AA131="","",VND&amp;signum2('Flows &amp; Isokinetics'!AA131,SigFig1,SigFig2,VND))</f>
        <v/>
      </c>
    </row>
    <row r="74" spans="1:12">
      <c r="A74" s="789" t="str">
        <f>IF('Flows &amp; Isokinetics'!E66="","",'Flows &amp; Isokinetics'!E66)</f>
        <v/>
      </c>
      <c r="B74" s="790" t="str">
        <f>IF('Flows &amp; Isokinetics'!F66="","",'Flows &amp; Isokinetics'!F66)</f>
        <v/>
      </c>
      <c r="C74" s="794" t="str">
        <f>IF('Flows &amp; Isokinetics'!H66="","",'Flows &amp; Isokinetics'!H66)</f>
        <v/>
      </c>
      <c r="D74" s="207" t="str">
        <f>IF('Flows &amp; Isokinetics'!M66="","",signum('Flows &amp; Isokinetics'!M66,SigFig1))</f>
        <v/>
      </c>
      <c r="E74" s="207" t="str">
        <f>IF('Flows &amp; Isokinetics'!N66="","",VND&amp;signum2('Flows &amp; Isokinetics'!N66,SigFig1,SigFig2,VND))</f>
        <v/>
      </c>
      <c r="F74" s="207" t="str">
        <f>IF('Flows &amp; Isokinetics'!I66="","",VND&amp;signum2('Flows &amp; Isokinetics'!P66,SigFig1,SigFig2,VND))</f>
        <v/>
      </c>
      <c r="G74" s="793" t="str">
        <f>IF('Flows &amp; Isokinetics'!J66="","",VND&amp;signum2('Flows &amp; Isokinetics'!AA66,SigFig1,SigFig2,VND))</f>
        <v/>
      </c>
      <c r="H74" s="795" t="str">
        <f>IF('Flows &amp; Isokinetics'!H132="","",'Flows &amp; Isokinetics'!H132)</f>
        <v/>
      </c>
      <c r="I74" s="207" t="str">
        <f>IF('Flows &amp; Isokinetics'!M132="","",signum('Flows &amp; Isokinetics'!M132,SigFig1))</f>
        <v/>
      </c>
      <c r="J74" s="207" t="str">
        <f>IF('Flows &amp; Isokinetics'!N132="","",VND&amp;signum2('Flows &amp; Isokinetics'!N132,SigFig1,SigFig2,VND))</f>
        <v/>
      </c>
      <c r="K74" s="207" t="str">
        <f>IF('Flows &amp; Isokinetics'!P132="","",VND&amp;signum2('Flows &amp; Isokinetics'!P132,SigFig1,SigFig2,VND))</f>
        <v/>
      </c>
      <c r="L74" s="793" t="str">
        <f>IF('Flows &amp; Isokinetics'!AA132="","",VND&amp;signum2('Flows &amp; Isokinetics'!AA132,SigFig1,SigFig2,VND))</f>
        <v/>
      </c>
    </row>
    <row r="75" spans="1:12">
      <c r="A75" s="789" t="str">
        <f>IF('Flows &amp; Isokinetics'!E67="","",'Flows &amp; Isokinetics'!E67)</f>
        <v/>
      </c>
      <c r="B75" s="790" t="str">
        <f>IF('Flows &amp; Isokinetics'!F67="","",'Flows &amp; Isokinetics'!F67)</f>
        <v/>
      </c>
      <c r="C75" s="794" t="str">
        <f>IF('Flows &amp; Isokinetics'!H67="","",'Flows &amp; Isokinetics'!H67)</f>
        <v/>
      </c>
      <c r="D75" s="207" t="str">
        <f>IF('Flows &amp; Isokinetics'!M67="","",signum('Flows &amp; Isokinetics'!M67,SigFig1))</f>
        <v/>
      </c>
      <c r="E75" s="207" t="str">
        <f>IF('Flows &amp; Isokinetics'!N67="","",VND&amp;signum2('Flows &amp; Isokinetics'!N67,SigFig1,SigFig2,VND))</f>
        <v/>
      </c>
      <c r="F75" s="207" t="str">
        <f>IF('Flows &amp; Isokinetics'!I67="","",VND&amp;signum2('Flows &amp; Isokinetics'!P67,SigFig1,SigFig2,VND))</f>
        <v/>
      </c>
      <c r="G75" s="793" t="str">
        <f>IF('Flows &amp; Isokinetics'!J67="","",VND&amp;signum2('Flows &amp; Isokinetics'!AA67,SigFig1,SigFig2,VND))</f>
        <v/>
      </c>
      <c r="H75" s="795" t="str">
        <f>IF('Flows &amp; Isokinetics'!H133="","",'Flows &amp; Isokinetics'!H133)</f>
        <v/>
      </c>
      <c r="I75" s="207" t="str">
        <f>IF('Flows &amp; Isokinetics'!M133="","",signum('Flows &amp; Isokinetics'!M133,SigFig1))</f>
        <v/>
      </c>
      <c r="J75" s="207" t="str">
        <f>IF('Flows &amp; Isokinetics'!N133="","",VND&amp;signum2('Flows &amp; Isokinetics'!N133,SigFig1,SigFig2,VND))</f>
        <v/>
      </c>
      <c r="K75" s="207" t="str">
        <f>IF('Flows &amp; Isokinetics'!P133="","",VND&amp;signum2('Flows &amp; Isokinetics'!P133,SigFig1,SigFig2,VND))</f>
        <v/>
      </c>
      <c r="L75" s="793" t="str">
        <f>IF('Flows &amp; Isokinetics'!AA133="","",VND&amp;signum2('Flows &amp; Isokinetics'!AA133,SigFig1,SigFig2,VND))</f>
        <v/>
      </c>
    </row>
    <row r="76" spans="1:12">
      <c r="A76" s="789" t="str">
        <f>IF('Flows &amp; Isokinetics'!E68="","",'Flows &amp; Isokinetics'!E68)</f>
        <v/>
      </c>
      <c r="B76" s="790" t="str">
        <f>IF('Flows &amp; Isokinetics'!F68="","",'Flows &amp; Isokinetics'!F68)</f>
        <v/>
      </c>
      <c r="C76" s="794" t="str">
        <f>IF('Flows &amp; Isokinetics'!H68="","",'Flows &amp; Isokinetics'!H68)</f>
        <v/>
      </c>
      <c r="D76" s="207" t="str">
        <f>IF('Flows &amp; Isokinetics'!M68="","",signum('Flows &amp; Isokinetics'!M68,SigFig1))</f>
        <v/>
      </c>
      <c r="E76" s="207" t="str">
        <f>IF('Flows &amp; Isokinetics'!N68="","",VND&amp;signum2('Flows &amp; Isokinetics'!N68,SigFig1,SigFig2,VND))</f>
        <v/>
      </c>
      <c r="F76" s="207" t="str">
        <f>IF('Flows &amp; Isokinetics'!I68="","",VND&amp;signum2('Flows &amp; Isokinetics'!P68,SigFig1,SigFig2,VND))</f>
        <v/>
      </c>
      <c r="G76" s="793" t="str">
        <f>IF('Flows &amp; Isokinetics'!J68="","",VND&amp;signum2('Flows &amp; Isokinetics'!AA68,SigFig1,SigFig2,VND))</f>
        <v/>
      </c>
      <c r="H76" s="795" t="str">
        <f>IF('Flows &amp; Isokinetics'!H134="","",'Flows &amp; Isokinetics'!H134)</f>
        <v/>
      </c>
      <c r="I76" s="207" t="str">
        <f>IF('Flows &amp; Isokinetics'!M134="","",signum('Flows &amp; Isokinetics'!M134,SigFig1))</f>
        <v/>
      </c>
      <c r="J76" s="207" t="str">
        <f>IF('Flows &amp; Isokinetics'!N134="","",VND&amp;signum2('Flows &amp; Isokinetics'!N134,SigFig1,SigFig2,VND))</f>
        <v/>
      </c>
      <c r="K76" s="207" t="str">
        <f>IF('Flows &amp; Isokinetics'!P134="","",VND&amp;signum2('Flows &amp; Isokinetics'!P134,SigFig1,SigFig2,VND))</f>
        <v/>
      </c>
      <c r="L76" s="793" t="str">
        <f>IF('Flows &amp; Isokinetics'!AA134="","",VND&amp;signum2('Flows &amp; Isokinetics'!AA134,SigFig1,SigFig2,VND))</f>
        <v/>
      </c>
    </row>
    <row r="77" spans="1:12">
      <c r="A77" s="789" t="str">
        <f>IF('Flows &amp; Isokinetics'!E69="","",'Flows &amp; Isokinetics'!E69)</f>
        <v/>
      </c>
      <c r="B77" s="790" t="str">
        <f>IF('Flows &amp; Isokinetics'!F69="","",'Flows &amp; Isokinetics'!F69)</f>
        <v/>
      </c>
      <c r="C77" s="794" t="str">
        <f>IF('Flows &amp; Isokinetics'!H69="","",'Flows &amp; Isokinetics'!H69)</f>
        <v/>
      </c>
      <c r="D77" s="207" t="str">
        <f>IF('Flows &amp; Isokinetics'!M69="","",signum('Flows &amp; Isokinetics'!M69,SigFig1))</f>
        <v/>
      </c>
      <c r="E77" s="207" t="str">
        <f>IF('Flows &amp; Isokinetics'!N69="","",VND&amp;signum2('Flows &amp; Isokinetics'!N69,SigFig1,SigFig2,VND))</f>
        <v/>
      </c>
      <c r="F77" s="207" t="str">
        <f>IF('Flows &amp; Isokinetics'!I69="","",VND&amp;signum2('Flows &amp; Isokinetics'!P69,SigFig1,SigFig2,VND))</f>
        <v/>
      </c>
      <c r="G77" s="793" t="str">
        <f>IF('Flows &amp; Isokinetics'!J69="","",VND&amp;signum2('Flows &amp; Isokinetics'!AA69,SigFig1,SigFig2,VND))</f>
        <v/>
      </c>
      <c r="H77" s="795" t="str">
        <f>IF('Flows &amp; Isokinetics'!H135="","",'Flows &amp; Isokinetics'!H135)</f>
        <v/>
      </c>
      <c r="I77" s="207" t="str">
        <f>IF('Flows &amp; Isokinetics'!M135="","",signum('Flows &amp; Isokinetics'!M135,SigFig1))</f>
        <v/>
      </c>
      <c r="J77" s="207" t="str">
        <f>IF('Flows &amp; Isokinetics'!N135="","",VND&amp;signum2('Flows &amp; Isokinetics'!N135,SigFig1,SigFig2,VND))</f>
        <v/>
      </c>
      <c r="K77" s="207" t="str">
        <f>IF('Flows &amp; Isokinetics'!P135="","",VND&amp;signum2('Flows &amp; Isokinetics'!P135,SigFig1,SigFig2,VND))</f>
        <v/>
      </c>
      <c r="L77" s="793" t="str">
        <f>IF('Flows &amp; Isokinetics'!AA135="","",VND&amp;signum2('Flows &amp; Isokinetics'!AA135,SigFig1,SigFig2,VND))</f>
        <v/>
      </c>
    </row>
    <row r="78" spans="1:12">
      <c r="A78" s="789" t="str">
        <f>IF('Flows &amp; Isokinetics'!E70="","",'Flows &amp; Isokinetics'!E70)</f>
        <v/>
      </c>
      <c r="B78" s="790" t="str">
        <f>IF('Flows &amp; Isokinetics'!F70="","",'Flows &amp; Isokinetics'!F70)</f>
        <v/>
      </c>
      <c r="C78" s="794" t="str">
        <f>IF('Flows &amp; Isokinetics'!H70="","",'Flows &amp; Isokinetics'!H70)</f>
        <v/>
      </c>
      <c r="D78" s="207" t="str">
        <f>IF('Flows &amp; Isokinetics'!M70="","",signum('Flows &amp; Isokinetics'!M70,SigFig1))</f>
        <v/>
      </c>
      <c r="E78" s="207" t="str">
        <f>IF('Flows &amp; Isokinetics'!N70="","",VND&amp;signum2('Flows &amp; Isokinetics'!N70,SigFig1,SigFig2,VND))</f>
        <v/>
      </c>
      <c r="F78" s="207" t="str">
        <f>IF('Flows &amp; Isokinetics'!I70="","",VND&amp;signum2('Flows &amp; Isokinetics'!P70,SigFig1,SigFig2,VND))</f>
        <v/>
      </c>
      <c r="G78" s="793" t="str">
        <f>IF('Flows &amp; Isokinetics'!J70="","",VND&amp;signum2('Flows &amp; Isokinetics'!AA70,SigFig1,SigFig2,VND))</f>
        <v/>
      </c>
      <c r="H78" s="795" t="str">
        <f>IF('Flows &amp; Isokinetics'!H136="","",'Flows &amp; Isokinetics'!H136)</f>
        <v/>
      </c>
      <c r="I78" s="207" t="str">
        <f>IF('Flows &amp; Isokinetics'!M136="","",signum('Flows &amp; Isokinetics'!M136,SigFig1))</f>
        <v/>
      </c>
      <c r="J78" s="207" t="str">
        <f>IF('Flows &amp; Isokinetics'!N136="","",VND&amp;signum2('Flows &amp; Isokinetics'!N136,SigFig1,SigFig2,VND))</f>
        <v/>
      </c>
      <c r="K78" s="207" t="str">
        <f>IF('Flows &amp; Isokinetics'!P136="","",VND&amp;signum2('Flows &amp; Isokinetics'!P136,SigFig1,SigFig2,VND))</f>
        <v/>
      </c>
      <c r="L78" s="793" t="str">
        <f>IF('Flows &amp; Isokinetics'!AA136="","",VND&amp;signum2('Flows &amp; Isokinetics'!AA136,SigFig1,SigFig2,VND))</f>
        <v/>
      </c>
    </row>
    <row r="79" spans="1:12">
      <c r="A79" s="789" t="str">
        <f>IF('Flows &amp; Isokinetics'!E71="","",'Flows &amp; Isokinetics'!E71)</f>
        <v/>
      </c>
      <c r="B79" s="790" t="str">
        <f>IF('Flows &amp; Isokinetics'!F71="","",'Flows &amp; Isokinetics'!F71)</f>
        <v/>
      </c>
      <c r="C79" s="794" t="str">
        <f>IF('Flows &amp; Isokinetics'!H71="","",'Flows &amp; Isokinetics'!H71)</f>
        <v/>
      </c>
      <c r="D79" s="207" t="str">
        <f>IF('Flows &amp; Isokinetics'!M71="","",signum('Flows &amp; Isokinetics'!M71,SigFig1))</f>
        <v/>
      </c>
      <c r="E79" s="207" t="str">
        <f>IF('Flows &amp; Isokinetics'!N71="","",VND&amp;signum2('Flows &amp; Isokinetics'!N71,SigFig1,SigFig2,VND))</f>
        <v/>
      </c>
      <c r="F79" s="207" t="str">
        <f>IF('Flows &amp; Isokinetics'!I71="","",VND&amp;signum2('Flows &amp; Isokinetics'!P71,SigFig1,SigFig2,VND))</f>
        <v/>
      </c>
      <c r="G79" s="793" t="str">
        <f>IF('Flows &amp; Isokinetics'!J71="","",VND&amp;signum2('Flows &amp; Isokinetics'!AA71,SigFig1,SigFig2,VND))</f>
        <v/>
      </c>
      <c r="H79" s="795" t="str">
        <f>IF('Flows &amp; Isokinetics'!H137="","",'Flows &amp; Isokinetics'!H137)</f>
        <v/>
      </c>
      <c r="I79" s="207" t="str">
        <f>IF('Flows &amp; Isokinetics'!M137="","",signum('Flows &amp; Isokinetics'!M137,SigFig1))</f>
        <v/>
      </c>
      <c r="J79" s="207" t="str">
        <f>IF('Flows &amp; Isokinetics'!N137="","",VND&amp;signum2('Flows &amp; Isokinetics'!N137,SigFig1,SigFig2,VND))</f>
        <v/>
      </c>
      <c r="K79" s="207" t="str">
        <f>IF('Flows &amp; Isokinetics'!P137="","",VND&amp;signum2('Flows &amp; Isokinetics'!P137,SigFig1,SigFig2,VND))</f>
        <v/>
      </c>
      <c r="L79" s="793" t="str">
        <f>IF('Flows &amp; Isokinetics'!AA137="","",VND&amp;signum2('Flows &amp; Isokinetics'!AA137,SigFig1,SigFig2,VND))</f>
        <v/>
      </c>
    </row>
    <row r="80" spans="1:12">
      <c r="A80" s="789" t="str">
        <f>IF('Flows &amp; Isokinetics'!E72="","",'Flows &amp; Isokinetics'!E72)</f>
        <v/>
      </c>
      <c r="B80" s="790" t="str">
        <f>IF('Flows &amp; Isokinetics'!F72="","",'Flows &amp; Isokinetics'!F72)</f>
        <v/>
      </c>
      <c r="C80" s="794" t="str">
        <f>IF('Flows &amp; Isokinetics'!H72="","",'Flows &amp; Isokinetics'!H72)</f>
        <v/>
      </c>
      <c r="D80" s="207" t="str">
        <f>IF('Flows &amp; Isokinetics'!M72="","",signum('Flows &amp; Isokinetics'!M72,SigFig1))</f>
        <v/>
      </c>
      <c r="E80" s="207" t="str">
        <f>IF('Flows &amp; Isokinetics'!N72="","",VND&amp;signum2('Flows &amp; Isokinetics'!N72,SigFig1,SigFig2,VND))</f>
        <v/>
      </c>
      <c r="F80" s="207" t="str">
        <f>IF('Flows &amp; Isokinetics'!I72="","",VND&amp;signum2('Flows &amp; Isokinetics'!P72,SigFig1,SigFig2,VND))</f>
        <v/>
      </c>
      <c r="G80" s="793" t="str">
        <f>IF('Flows &amp; Isokinetics'!J72="","",VND&amp;signum2('Flows &amp; Isokinetics'!AA72,SigFig1,SigFig2,VND))</f>
        <v/>
      </c>
      <c r="H80" s="795" t="str">
        <f>IF('Flows &amp; Isokinetics'!H138="","",'Flows &amp; Isokinetics'!H138)</f>
        <v/>
      </c>
      <c r="I80" s="207" t="str">
        <f>IF('Flows &amp; Isokinetics'!M138="","",signum('Flows &amp; Isokinetics'!M138,SigFig1))</f>
        <v/>
      </c>
      <c r="J80" s="207" t="str">
        <f>IF('Flows &amp; Isokinetics'!N138="","",VND&amp;signum2('Flows &amp; Isokinetics'!N138,SigFig1,SigFig2,VND))</f>
        <v/>
      </c>
      <c r="K80" s="207" t="str">
        <f>IF('Flows &amp; Isokinetics'!P138="","",VND&amp;signum2('Flows &amp; Isokinetics'!P138,SigFig1,SigFig2,VND))</f>
        <v/>
      </c>
      <c r="L80" s="793" t="str">
        <f>IF('Flows &amp; Isokinetics'!AA138="","",VND&amp;signum2('Flows &amp; Isokinetics'!AA138,SigFig1,SigFig2,VND))</f>
        <v/>
      </c>
    </row>
    <row r="81" spans="1:12">
      <c r="A81" s="789" t="str">
        <f>IF('Flows &amp; Isokinetics'!E73="","",'Flows &amp; Isokinetics'!E73)</f>
        <v/>
      </c>
      <c r="B81" s="790" t="str">
        <f>IF('Flows &amp; Isokinetics'!F73="","",'Flows &amp; Isokinetics'!F73)</f>
        <v/>
      </c>
      <c r="C81" s="794" t="str">
        <f>IF('Flows &amp; Isokinetics'!H73="","",'Flows &amp; Isokinetics'!H73)</f>
        <v/>
      </c>
      <c r="D81" s="207" t="str">
        <f>IF('Flows &amp; Isokinetics'!M73="","",signum('Flows &amp; Isokinetics'!M73,SigFig1))</f>
        <v/>
      </c>
      <c r="E81" s="207" t="str">
        <f>IF('Flows &amp; Isokinetics'!N73="","",VND&amp;signum2('Flows &amp; Isokinetics'!N73,SigFig1,SigFig2,VND))</f>
        <v/>
      </c>
      <c r="F81" s="207" t="str">
        <f>IF('Flows &amp; Isokinetics'!I73="","",VND&amp;signum2('Flows &amp; Isokinetics'!P73,SigFig1,SigFig2,VND))</f>
        <v/>
      </c>
      <c r="G81" s="793" t="str">
        <f>IF('Flows &amp; Isokinetics'!J73="","",VND&amp;signum2('Flows &amp; Isokinetics'!AA73,SigFig1,SigFig2,VND))</f>
        <v/>
      </c>
      <c r="H81" s="795" t="str">
        <f>IF('Flows &amp; Isokinetics'!H139="","",'Flows &amp; Isokinetics'!H139)</f>
        <v/>
      </c>
      <c r="I81" s="207" t="str">
        <f>IF('Flows &amp; Isokinetics'!M139="","",signum('Flows &amp; Isokinetics'!M139,SigFig1))</f>
        <v/>
      </c>
      <c r="J81" s="207" t="str">
        <f>IF('Flows &amp; Isokinetics'!N139="","",VND&amp;signum2('Flows &amp; Isokinetics'!N139,SigFig1,SigFig2,VND))</f>
        <v/>
      </c>
      <c r="K81" s="207" t="str">
        <f>IF('Flows &amp; Isokinetics'!P139="","",VND&amp;signum2('Flows &amp; Isokinetics'!P139,SigFig1,SigFig2,VND))</f>
        <v/>
      </c>
      <c r="L81" s="793" t="str">
        <f>IF('Flows &amp; Isokinetics'!AA139="","",VND&amp;signum2('Flows &amp; Isokinetics'!AA139,SigFig1,SigFig2,VND))</f>
        <v/>
      </c>
    </row>
    <row r="82" spans="1:12">
      <c r="A82" s="789" t="str">
        <f>IF('Flows &amp; Isokinetics'!E74="","",'Flows &amp; Isokinetics'!E74)</f>
        <v/>
      </c>
      <c r="B82" s="790" t="str">
        <f>IF('Flows &amp; Isokinetics'!F74="","",'Flows &amp; Isokinetics'!F74)</f>
        <v/>
      </c>
      <c r="C82" s="794" t="str">
        <f>IF('Flows &amp; Isokinetics'!H74="","",'Flows &amp; Isokinetics'!H74)</f>
        <v/>
      </c>
      <c r="D82" s="207" t="str">
        <f>IF('Flows &amp; Isokinetics'!M74="","",signum('Flows &amp; Isokinetics'!M74,SigFig1))</f>
        <v/>
      </c>
      <c r="E82" s="207" t="str">
        <f>IF('Flows &amp; Isokinetics'!N74="","",VND&amp;signum2('Flows &amp; Isokinetics'!N74,SigFig1,SigFig2,VND))</f>
        <v/>
      </c>
      <c r="F82" s="207" t="str">
        <f>IF('Flows &amp; Isokinetics'!I74="","",VND&amp;signum2('Flows &amp; Isokinetics'!P74,SigFig1,SigFig2,VND))</f>
        <v/>
      </c>
      <c r="G82" s="793" t="str">
        <f>IF('Flows &amp; Isokinetics'!J74="","",VND&amp;signum2('Flows &amp; Isokinetics'!AA74,SigFig1,SigFig2,VND))</f>
        <v/>
      </c>
      <c r="H82" s="795" t="str">
        <f>IF('Flows &amp; Isokinetics'!H140="","",'Flows &amp; Isokinetics'!H140)</f>
        <v/>
      </c>
      <c r="I82" s="207" t="str">
        <f>IF('Flows &amp; Isokinetics'!M140="","",signum('Flows &amp; Isokinetics'!M140,SigFig1))</f>
        <v/>
      </c>
      <c r="J82" s="207" t="str">
        <f>IF('Flows &amp; Isokinetics'!N140="","",VND&amp;signum2('Flows &amp; Isokinetics'!N140,SigFig1,SigFig2,VND))</f>
        <v/>
      </c>
      <c r="K82" s="207" t="str">
        <f>IF('Flows &amp; Isokinetics'!P140="","",VND&amp;signum2('Flows &amp; Isokinetics'!P140,SigFig1,SigFig2,VND))</f>
        <v/>
      </c>
      <c r="L82" s="793" t="str">
        <f>IF('Flows &amp; Isokinetics'!AA140="","",VND&amp;signum2('Flows &amp; Isokinetics'!AA140,SigFig1,SigFig2,VND))</f>
        <v/>
      </c>
    </row>
    <row r="83" spans="1:12">
      <c r="A83" s="791"/>
      <c r="B83" s="812" t="str">
        <f>IF('Flows &amp; Isokinetics'!F76="","",'Flows &amp; Isokinetics'!F76)</f>
        <v>Averages</v>
      </c>
      <c r="C83" s="803" t="e">
        <f>IF('Flows &amp; Isokinetics'!H76="","",'Flows &amp; Isokinetics'!H76)</f>
        <v>#DIV/0!</v>
      </c>
      <c r="D83" s="804" t="e">
        <f>IF('Flows &amp; Isokinetics'!M76="","",signum('Flows &amp; Isokinetics'!M76,SigFig1))</f>
        <v>#DIV/0!</v>
      </c>
      <c r="E83" s="804" t="e">
        <f>IF('Flows &amp; Isokinetics'!N76="","",VND&amp;signum2('Flows &amp; Isokinetics'!N76,SigFig1,SigFig2,VND))</f>
        <v>#DIV/0!</v>
      </c>
      <c r="F83" s="804" t="e">
        <f>IF('Flows &amp; Isokinetics'!I76="","",VND&amp;signum2('Flows &amp; Isokinetics'!P76,SigFig1,SigFig2,VND))</f>
        <v>#DIV/0!</v>
      </c>
      <c r="G83" s="805" t="e">
        <f>IF('Flows &amp; Isokinetics'!J76="","",VND&amp;signum2('Flows &amp; Isokinetics'!AA76,SigFig1,SigFig2,VND))</f>
        <v>#DIV/0!</v>
      </c>
      <c r="H83" s="806" t="e">
        <f>IF('Flows &amp; Isokinetics'!H142="","",'Flows &amp; Isokinetics'!H142)</f>
        <v>#DIV/0!</v>
      </c>
      <c r="I83" s="804" t="e">
        <f>IF('Flows &amp; Isokinetics'!M142="","",signum('Flows &amp; Isokinetics'!M142,SigFig1))</f>
        <v>#DIV/0!</v>
      </c>
      <c r="J83" s="804" t="e">
        <f>IF('Flows &amp; Isokinetics'!N142="","",VND&amp;signum2('Flows &amp; Isokinetics'!N142,SigFig1,SigFig2,VND))</f>
        <v>#DIV/0!</v>
      </c>
      <c r="K83" s="804" t="e">
        <f>IF('Flows &amp; Isokinetics'!P142="","",VND&amp;signum2('Flows &amp; Isokinetics'!P142,SigFig1,SigFig2,VND))</f>
        <v>#DIV/0!</v>
      </c>
      <c r="L83" s="805" t="e">
        <f>IF('Flows &amp; Isokinetics'!AA142="","",VND&amp;signum2('Flows &amp; Isokinetics'!AA142,SigFig1,SigFig2,VND))</f>
        <v>#DIV/0!</v>
      </c>
    </row>
    <row r="84" spans="1:12">
      <c r="A84" s="280" t="s">
        <v>41</v>
      </c>
      <c r="B84" s="280" t="s">
        <v>41</v>
      </c>
      <c r="C84" s="280" t="s">
        <v>41</v>
      </c>
      <c r="D84" s="280" t="s">
        <v>41</v>
      </c>
      <c r="E84" s="280" t="s">
        <v>41</v>
      </c>
      <c r="F84" s="280" t="s">
        <v>41</v>
      </c>
      <c r="G84" s="280" t="s">
        <v>41</v>
      </c>
      <c r="H84" s="280" t="s">
        <v>41</v>
      </c>
      <c r="I84" s="280" t="s">
        <v>41</v>
      </c>
      <c r="J84" s="280" t="s">
        <v>41</v>
      </c>
      <c r="K84" s="280" t="s">
        <v>41</v>
      </c>
      <c r="L84" s="280" t="s">
        <v>41</v>
      </c>
    </row>
    <row r="85" spans="1:12">
      <c r="A85" s="271" t="s">
        <v>868</v>
      </c>
      <c r="B85" s="272"/>
      <c r="C85" s="2507" t="s">
        <v>8</v>
      </c>
      <c r="D85" s="2508"/>
      <c r="E85" s="2508"/>
      <c r="F85" s="2508"/>
      <c r="G85" s="2509"/>
      <c r="H85" s="2508" t="s">
        <v>9</v>
      </c>
      <c r="I85" s="2508"/>
      <c r="J85" s="2508"/>
      <c r="K85" s="2508"/>
      <c r="L85" s="2509"/>
    </row>
    <row r="86" spans="1:12">
      <c r="A86" s="278"/>
      <c r="B86" s="788"/>
      <c r="C86" s="807" t="s">
        <v>855</v>
      </c>
      <c r="D86" s="808" t="s">
        <v>837</v>
      </c>
      <c r="E86" s="808" t="s">
        <v>838</v>
      </c>
      <c r="F86" s="808" t="s">
        <v>1214</v>
      </c>
      <c r="G86" s="809" t="s">
        <v>1214</v>
      </c>
      <c r="H86" s="807" t="s">
        <v>855</v>
      </c>
      <c r="I86" s="808" t="s">
        <v>837</v>
      </c>
      <c r="J86" s="808" t="s">
        <v>838</v>
      </c>
      <c r="K86" s="808" t="s">
        <v>1214</v>
      </c>
      <c r="L86" s="809" t="s">
        <v>1214</v>
      </c>
    </row>
    <row r="87" spans="1:12">
      <c r="A87" s="279"/>
      <c r="B87" s="788"/>
      <c r="C87" s="807" t="s">
        <v>53</v>
      </c>
      <c r="D87" s="808" t="s">
        <v>872</v>
      </c>
      <c r="E87" s="808" t="s">
        <v>872</v>
      </c>
      <c r="F87" s="808" t="s">
        <v>634</v>
      </c>
      <c r="G87" s="809" t="s">
        <v>843</v>
      </c>
      <c r="H87" s="807" t="s">
        <v>53</v>
      </c>
      <c r="I87" s="808" t="s">
        <v>872</v>
      </c>
      <c r="J87" s="808" t="s">
        <v>872</v>
      </c>
      <c r="K87" s="808" t="s">
        <v>634</v>
      </c>
      <c r="L87" s="809" t="s">
        <v>843</v>
      </c>
    </row>
    <row r="88" spans="1:12">
      <c r="A88" s="792" t="str">
        <f>IF('Flows &amp; Isokinetics'!E15="","",'Flows &amp; Isokinetics'!E15)</f>
        <v/>
      </c>
      <c r="B88" s="790" t="str">
        <f>IF('Flows &amp; Isokinetics'!F15="","",'Flows &amp; Isokinetics'!F15)</f>
        <v/>
      </c>
      <c r="C88" s="794" t="str">
        <f>IF(Afterflows!F14="","",Afterflows!F14)</f>
        <v/>
      </c>
      <c r="D88" s="207" t="str">
        <f>IF(Afterflows!G14="","",signum(Afterflows!G14,SigFig1))</f>
        <v/>
      </c>
      <c r="E88" s="207" t="str">
        <f>IF(Afterflows!H14="","",VND&amp;signum2(Afterflows!H14,SigFig1,SigFig2,VND))</f>
        <v/>
      </c>
      <c r="F88" s="207" t="str">
        <f>IF(Afterflows!L14="","",VND&amp;signum2(Afterflows!L14,SigFig1,SigFig2,VND))</f>
        <v/>
      </c>
      <c r="G88" s="793" t="str">
        <f>IF(Afterflows!M14="","",VND&amp;signum2(Afterflows!M14,SigFig1,SigFig2,VND))</f>
        <v/>
      </c>
      <c r="H88" s="795" t="str">
        <f>IF(Afterflows!F80="","",Afterflows!F80)</f>
        <v/>
      </c>
      <c r="I88" s="207" t="str">
        <f>IF(Afterflows!G80="","",signum(Afterflows!G80,SigFig1))</f>
        <v/>
      </c>
      <c r="J88" s="207" t="str">
        <f>IF(Afterflows!H80="","",VND&amp;signum2(Afterflows!H80,SigFig1,SigFig2,VND))</f>
        <v/>
      </c>
      <c r="K88" s="207" t="str">
        <f>IF(Afterflows!L80="","",VND&amp;signum2(Afterflows!L80,SigFig1,SigFig2,VND))</f>
        <v/>
      </c>
      <c r="L88" s="793" t="str">
        <f>IF(Afterflows!M80="","",VND&amp;signum2(Afterflows!M80,SigFig1,SigFig2,VND))</f>
        <v/>
      </c>
    </row>
    <row r="89" spans="1:12">
      <c r="A89" s="792" t="str">
        <f>IF('Flows &amp; Isokinetics'!E16="","",'Flows &amp; Isokinetics'!E16)</f>
        <v/>
      </c>
      <c r="B89" s="790" t="str">
        <f>IF('Flows &amp; Isokinetics'!F16="","",'Flows &amp; Isokinetics'!F16)</f>
        <v/>
      </c>
      <c r="C89" s="794" t="str">
        <f>IF(Afterflows!F15="","",Afterflows!F15)</f>
        <v/>
      </c>
      <c r="D89" s="207" t="str">
        <f>IF(Afterflows!G15="","",signum(Afterflows!G15,SigFig1))</f>
        <v/>
      </c>
      <c r="E89" s="207" t="str">
        <f>IF(Afterflows!H15="","",VND&amp;signum2(Afterflows!H15,SigFig1,SigFig2,VND))</f>
        <v/>
      </c>
      <c r="F89" s="207" t="str">
        <f>IF(Afterflows!L15="","",VND&amp;signum2(Afterflows!L15,SigFig1,SigFig2,VND))</f>
        <v/>
      </c>
      <c r="G89" s="793" t="str">
        <f>IF(Afterflows!M15="","",VND&amp;signum2(Afterflows!M15,SigFig1,SigFig2,VND))</f>
        <v/>
      </c>
      <c r="H89" s="795" t="str">
        <f>IF(Afterflows!F81="","",Afterflows!F81)</f>
        <v/>
      </c>
      <c r="I89" s="207" t="str">
        <f>IF(Afterflows!G81="","",signum(Afterflows!G81,SigFig1))</f>
        <v/>
      </c>
      <c r="J89" s="207" t="str">
        <f>IF(Afterflows!H81="","",VND&amp;signum2(Afterflows!H81,SigFig1,SigFig2,VND))</f>
        <v/>
      </c>
      <c r="K89" s="207" t="str">
        <f>IF(Afterflows!L81="","",VND&amp;signum2(Afterflows!L81,SigFig1,SigFig2,VND))</f>
        <v/>
      </c>
      <c r="L89" s="793" t="str">
        <f>IF(Afterflows!M81="","",VND&amp;signum2(Afterflows!M81,SigFig1,SigFig2,VND))</f>
        <v/>
      </c>
    </row>
    <row r="90" spans="1:12">
      <c r="A90" s="792" t="str">
        <f>IF('Flows &amp; Isokinetics'!E17="","",'Flows &amp; Isokinetics'!E17)</f>
        <v/>
      </c>
      <c r="B90" s="790" t="str">
        <f>IF('Flows &amp; Isokinetics'!F17="","",'Flows &amp; Isokinetics'!F17)</f>
        <v/>
      </c>
      <c r="C90" s="794" t="str">
        <f>IF(Afterflows!F16="","",Afterflows!F16)</f>
        <v/>
      </c>
      <c r="D90" s="207" t="str">
        <f>IF(Afterflows!G16="","",signum(Afterflows!G16,SigFig1))</f>
        <v/>
      </c>
      <c r="E90" s="207" t="str">
        <f>IF(Afterflows!H16="","",VND&amp;signum2(Afterflows!H16,SigFig1,SigFig2,VND))</f>
        <v/>
      </c>
      <c r="F90" s="207" t="str">
        <f>IF(Afterflows!L16="","",VND&amp;signum2(Afterflows!L16,SigFig1,SigFig2,VND))</f>
        <v/>
      </c>
      <c r="G90" s="793" t="str">
        <f>IF(Afterflows!M16="","",VND&amp;signum2(Afterflows!M16,SigFig1,SigFig2,VND))</f>
        <v/>
      </c>
      <c r="H90" s="795" t="str">
        <f>IF(Afterflows!F82="","",Afterflows!F82)</f>
        <v/>
      </c>
      <c r="I90" s="207" t="str">
        <f>IF(Afterflows!G82="","",signum(Afterflows!G82,SigFig1))</f>
        <v/>
      </c>
      <c r="J90" s="207" t="str">
        <f>IF(Afterflows!H82="","",VND&amp;signum2(Afterflows!H82,SigFig1,SigFig2,VND))</f>
        <v/>
      </c>
      <c r="K90" s="207" t="str">
        <f>IF(Afterflows!L82="","",VND&amp;signum2(Afterflows!L82,SigFig1,SigFig2,VND))</f>
        <v/>
      </c>
      <c r="L90" s="793" t="str">
        <f>IF(Afterflows!M82="","",VND&amp;signum2(Afterflows!M82,SigFig1,SigFig2,VND))</f>
        <v/>
      </c>
    </row>
    <row r="91" spans="1:12">
      <c r="A91" s="792" t="str">
        <f>IF('Flows &amp; Isokinetics'!E18="","",'Flows &amp; Isokinetics'!E18)</f>
        <v/>
      </c>
      <c r="B91" s="790" t="str">
        <f>IF('Flows &amp; Isokinetics'!F18="","",'Flows &amp; Isokinetics'!F18)</f>
        <v/>
      </c>
      <c r="C91" s="794" t="str">
        <f>IF(Afterflows!F17="","",Afterflows!F17)</f>
        <v/>
      </c>
      <c r="D91" s="207" t="str">
        <f>IF(Afterflows!G17="","",signum(Afterflows!G17,SigFig1))</f>
        <v/>
      </c>
      <c r="E91" s="207" t="str">
        <f>IF(Afterflows!H17="","",VND&amp;signum2(Afterflows!H17,SigFig1,SigFig2,VND))</f>
        <v/>
      </c>
      <c r="F91" s="207" t="str">
        <f>IF(Afterflows!L17="","",VND&amp;signum2(Afterflows!L17,SigFig1,SigFig2,VND))</f>
        <v/>
      </c>
      <c r="G91" s="793" t="str">
        <f>IF(Afterflows!M17="","",VND&amp;signum2(Afterflows!M17,SigFig1,SigFig2,VND))</f>
        <v/>
      </c>
      <c r="H91" s="795" t="str">
        <f>IF(Afterflows!F83="","",Afterflows!F83)</f>
        <v/>
      </c>
      <c r="I91" s="207" t="str">
        <f>IF(Afterflows!G83="","",signum(Afterflows!G83,SigFig1))</f>
        <v/>
      </c>
      <c r="J91" s="207" t="str">
        <f>IF(Afterflows!H83="","",VND&amp;signum2(Afterflows!H83,SigFig1,SigFig2,VND))</f>
        <v/>
      </c>
      <c r="K91" s="207" t="str">
        <f>IF(Afterflows!L83="","",VND&amp;signum2(Afterflows!L83,SigFig1,SigFig2,VND))</f>
        <v/>
      </c>
      <c r="L91" s="793" t="str">
        <f>IF(Afterflows!M83="","",VND&amp;signum2(Afterflows!M83,SigFig1,SigFig2,VND))</f>
        <v/>
      </c>
    </row>
    <row r="92" spans="1:12">
      <c r="A92" s="792" t="str">
        <f>IF('Flows &amp; Isokinetics'!E19="","",'Flows &amp; Isokinetics'!E19)</f>
        <v/>
      </c>
      <c r="B92" s="790" t="str">
        <f>IF('Flows &amp; Isokinetics'!F19="","",'Flows &amp; Isokinetics'!F19)</f>
        <v/>
      </c>
      <c r="C92" s="794" t="str">
        <f>IF(Afterflows!F18="","",Afterflows!F18)</f>
        <v/>
      </c>
      <c r="D92" s="207" t="str">
        <f>IF(Afterflows!G18="","",signum(Afterflows!G18,SigFig1))</f>
        <v/>
      </c>
      <c r="E92" s="207" t="str">
        <f>IF(Afterflows!H18="","",VND&amp;signum2(Afterflows!H18,SigFig1,SigFig2,VND))</f>
        <v/>
      </c>
      <c r="F92" s="207" t="str">
        <f>IF(Afterflows!L18="","",VND&amp;signum2(Afterflows!L18,SigFig1,SigFig2,VND))</f>
        <v/>
      </c>
      <c r="G92" s="793" t="str">
        <f>IF(Afterflows!M18="","",VND&amp;signum2(Afterflows!M18,SigFig1,SigFig2,VND))</f>
        <v/>
      </c>
      <c r="H92" s="795" t="str">
        <f>IF(Afterflows!F84="","",Afterflows!F84)</f>
        <v/>
      </c>
      <c r="I92" s="207" t="str">
        <f>IF(Afterflows!G84="","",signum(Afterflows!G84,SigFig1))</f>
        <v/>
      </c>
      <c r="J92" s="207" t="str">
        <f>IF(Afterflows!H84="","",VND&amp;signum2(Afterflows!H84,SigFig1,SigFig2,VND))</f>
        <v/>
      </c>
      <c r="K92" s="207" t="str">
        <f>IF(Afterflows!L84="","",VND&amp;signum2(Afterflows!L84,SigFig1,SigFig2,VND))</f>
        <v/>
      </c>
      <c r="L92" s="793" t="str">
        <f>IF(Afterflows!M84="","",VND&amp;signum2(Afterflows!M84,SigFig1,SigFig2,VND))</f>
        <v/>
      </c>
    </row>
    <row r="93" spans="1:12">
      <c r="A93" s="792" t="str">
        <f>IF('Flows &amp; Isokinetics'!E20="","",'Flows &amp; Isokinetics'!E20)</f>
        <v/>
      </c>
      <c r="B93" s="790" t="str">
        <f>IF('Flows &amp; Isokinetics'!F20="","",'Flows &amp; Isokinetics'!F20)</f>
        <v/>
      </c>
      <c r="C93" s="794" t="str">
        <f>IF(Afterflows!F19="","",Afterflows!F19)</f>
        <v/>
      </c>
      <c r="D93" s="207" t="str">
        <f>IF(Afterflows!G19="","",signum(Afterflows!G19,SigFig1))</f>
        <v/>
      </c>
      <c r="E93" s="207" t="str">
        <f>IF(Afterflows!H19="","",VND&amp;signum2(Afterflows!H19,SigFig1,SigFig2,VND))</f>
        <v/>
      </c>
      <c r="F93" s="207" t="str">
        <f>IF(Afterflows!L19="","",VND&amp;signum2(Afterflows!L19,SigFig1,SigFig2,VND))</f>
        <v/>
      </c>
      <c r="G93" s="793" t="str">
        <f>IF(Afterflows!M19="","",VND&amp;signum2(Afterflows!M19,SigFig1,SigFig2,VND))</f>
        <v/>
      </c>
      <c r="H93" s="795" t="str">
        <f>IF(Afterflows!F85="","",Afterflows!F85)</f>
        <v/>
      </c>
      <c r="I93" s="207" t="str">
        <f>IF(Afterflows!G85="","",signum(Afterflows!G85,SigFig1))</f>
        <v/>
      </c>
      <c r="J93" s="207" t="str">
        <f>IF(Afterflows!H85="","",VND&amp;signum2(Afterflows!H85,SigFig1,SigFig2,VND))</f>
        <v/>
      </c>
      <c r="K93" s="207" t="str">
        <f>IF(Afterflows!L85="","",VND&amp;signum2(Afterflows!L85,SigFig1,SigFig2,VND))</f>
        <v/>
      </c>
      <c r="L93" s="793" t="str">
        <f>IF(Afterflows!M85="","",VND&amp;signum2(Afterflows!M85,SigFig1,SigFig2,VND))</f>
        <v/>
      </c>
    </row>
    <row r="94" spans="1:12">
      <c r="A94" s="792" t="str">
        <f>IF('Flows &amp; Isokinetics'!E21="","",'Flows &amp; Isokinetics'!E21)</f>
        <v/>
      </c>
      <c r="B94" s="790" t="str">
        <f>IF('Flows &amp; Isokinetics'!F21="","",'Flows &amp; Isokinetics'!F21)</f>
        <v/>
      </c>
      <c r="C94" s="794" t="str">
        <f>IF(Afterflows!F20="","",Afterflows!F20)</f>
        <v/>
      </c>
      <c r="D94" s="207" t="str">
        <f>IF(Afterflows!G20="","",signum(Afterflows!G20,SigFig1))</f>
        <v/>
      </c>
      <c r="E94" s="207" t="str">
        <f>IF(Afterflows!H20="","",VND&amp;signum2(Afterflows!H20,SigFig1,SigFig2,VND))</f>
        <v/>
      </c>
      <c r="F94" s="207" t="str">
        <f>IF(Afterflows!L20="","",VND&amp;signum2(Afterflows!L20,SigFig1,SigFig2,VND))</f>
        <v/>
      </c>
      <c r="G94" s="793" t="str">
        <f>IF(Afterflows!M20="","",VND&amp;signum2(Afterflows!M20,SigFig1,SigFig2,VND))</f>
        <v/>
      </c>
      <c r="H94" s="795" t="str">
        <f>IF(Afterflows!F86="","",Afterflows!F86)</f>
        <v/>
      </c>
      <c r="I94" s="207" t="str">
        <f>IF(Afterflows!G86="","",signum(Afterflows!G86,SigFig1))</f>
        <v/>
      </c>
      <c r="J94" s="207" t="str">
        <f>IF(Afterflows!H86="","",VND&amp;signum2(Afterflows!H86,SigFig1,SigFig2,VND))</f>
        <v/>
      </c>
      <c r="K94" s="207" t="str">
        <f>IF(Afterflows!L86="","",VND&amp;signum2(Afterflows!L86,SigFig1,SigFig2,VND))</f>
        <v/>
      </c>
      <c r="L94" s="793" t="str">
        <f>IF(Afterflows!M86="","",VND&amp;signum2(Afterflows!M86,SigFig1,SigFig2,VND))</f>
        <v/>
      </c>
    </row>
    <row r="95" spans="1:12">
      <c r="A95" s="792" t="str">
        <f>IF('Flows &amp; Isokinetics'!E22="","",'Flows &amp; Isokinetics'!E22)</f>
        <v/>
      </c>
      <c r="B95" s="790" t="str">
        <f>IF('Flows &amp; Isokinetics'!F22="","",'Flows &amp; Isokinetics'!F22)</f>
        <v/>
      </c>
      <c r="C95" s="794" t="str">
        <f>IF(Afterflows!F21="","",Afterflows!F21)</f>
        <v/>
      </c>
      <c r="D95" s="207" t="str">
        <f>IF(Afterflows!G21="","",signum(Afterflows!G21,SigFig1))</f>
        <v/>
      </c>
      <c r="E95" s="207" t="str">
        <f>IF(Afterflows!H21="","",VND&amp;signum2(Afterflows!H21,SigFig1,SigFig2,VND))</f>
        <v/>
      </c>
      <c r="F95" s="207" t="str">
        <f>IF(Afterflows!L21="","",VND&amp;signum2(Afterflows!L21,SigFig1,SigFig2,VND))</f>
        <v/>
      </c>
      <c r="G95" s="793" t="str">
        <f>IF(Afterflows!M21="","",VND&amp;signum2(Afterflows!M21,SigFig1,SigFig2,VND))</f>
        <v/>
      </c>
      <c r="H95" s="795" t="str">
        <f>IF(Afterflows!F87="","",Afterflows!F87)</f>
        <v/>
      </c>
      <c r="I95" s="207" t="str">
        <f>IF(Afterflows!G87="","",signum(Afterflows!G87,SigFig1))</f>
        <v/>
      </c>
      <c r="J95" s="207" t="str">
        <f>IF(Afterflows!H87="","",VND&amp;signum2(Afterflows!H87,SigFig1,SigFig2,VND))</f>
        <v/>
      </c>
      <c r="K95" s="207" t="str">
        <f>IF(Afterflows!L87="","",VND&amp;signum2(Afterflows!L87,SigFig1,SigFig2,VND))</f>
        <v/>
      </c>
      <c r="L95" s="793" t="str">
        <f>IF(Afterflows!M87="","",VND&amp;signum2(Afterflows!M87,SigFig1,SigFig2,VND))</f>
        <v/>
      </c>
    </row>
    <row r="96" spans="1:12">
      <c r="A96" s="792" t="str">
        <f>IF('Flows &amp; Isokinetics'!E23="","",'Flows &amp; Isokinetics'!E23)</f>
        <v/>
      </c>
      <c r="B96" s="790" t="str">
        <f>IF('Flows &amp; Isokinetics'!F23="","",'Flows &amp; Isokinetics'!F23)</f>
        <v/>
      </c>
      <c r="C96" s="794" t="str">
        <f>IF(Afterflows!F22="","",Afterflows!F22)</f>
        <v/>
      </c>
      <c r="D96" s="207" t="str">
        <f>IF(Afterflows!G22="","",signum(Afterflows!G22,SigFig1))</f>
        <v/>
      </c>
      <c r="E96" s="207" t="str">
        <f>IF(Afterflows!H22="","",VND&amp;signum2(Afterflows!H22,SigFig1,SigFig2,VND))</f>
        <v/>
      </c>
      <c r="F96" s="207" t="str">
        <f>IF(Afterflows!L22="","",VND&amp;signum2(Afterflows!L22,SigFig1,SigFig2,VND))</f>
        <v/>
      </c>
      <c r="G96" s="793" t="str">
        <f>IF(Afterflows!M22="","",VND&amp;signum2(Afterflows!M22,SigFig1,SigFig2,VND))</f>
        <v/>
      </c>
      <c r="H96" s="795" t="str">
        <f>IF(Afterflows!F88="","",Afterflows!F88)</f>
        <v/>
      </c>
      <c r="I96" s="207" t="str">
        <f>IF(Afterflows!G88="","",signum(Afterflows!G88,SigFig1))</f>
        <v/>
      </c>
      <c r="J96" s="207" t="str">
        <f>IF(Afterflows!H88="","",VND&amp;signum2(Afterflows!H88,SigFig1,SigFig2,VND))</f>
        <v/>
      </c>
      <c r="K96" s="207" t="str">
        <f>IF(Afterflows!L88="","",VND&amp;signum2(Afterflows!L88,SigFig1,SigFig2,VND))</f>
        <v/>
      </c>
      <c r="L96" s="793" t="str">
        <f>IF(Afterflows!M88="","",VND&amp;signum2(Afterflows!M88,SigFig1,SigFig2,VND))</f>
        <v/>
      </c>
    </row>
    <row r="97" spans="1:12">
      <c r="A97" s="792" t="str">
        <f>IF('Flows &amp; Isokinetics'!E24="","",'Flows &amp; Isokinetics'!E24)</f>
        <v/>
      </c>
      <c r="B97" s="790" t="str">
        <f>IF('Flows &amp; Isokinetics'!F24="","",'Flows &amp; Isokinetics'!F24)</f>
        <v/>
      </c>
      <c r="C97" s="794" t="str">
        <f>IF(Afterflows!F23="","",Afterflows!F23)</f>
        <v/>
      </c>
      <c r="D97" s="207" t="str">
        <f>IF(Afterflows!G23="","",signum(Afterflows!G23,SigFig1))</f>
        <v/>
      </c>
      <c r="E97" s="207" t="str">
        <f>IF(Afterflows!H23="","",VND&amp;signum2(Afterflows!H23,SigFig1,SigFig2,VND))</f>
        <v/>
      </c>
      <c r="F97" s="207" t="str">
        <f>IF(Afterflows!L23="","",VND&amp;signum2(Afterflows!L23,SigFig1,SigFig2,VND))</f>
        <v/>
      </c>
      <c r="G97" s="793" t="str">
        <f>IF(Afterflows!M23="","",VND&amp;signum2(Afterflows!M23,SigFig1,SigFig2,VND))</f>
        <v/>
      </c>
      <c r="H97" s="795" t="str">
        <f>IF(Afterflows!F89="","",Afterflows!F89)</f>
        <v/>
      </c>
      <c r="I97" s="207" t="str">
        <f>IF(Afterflows!G89="","",signum(Afterflows!G89,SigFig1))</f>
        <v/>
      </c>
      <c r="J97" s="207" t="str">
        <f>IF(Afterflows!H89="","",VND&amp;signum2(Afterflows!H89,SigFig1,SigFig2,VND))</f>
        <v/>
      </c>
      <c r="K97" s="207" t="str">
        <f>IF(Afterflows!L89="","",VND&amp;signum2(Afterflows!L89,SigFig1,SigFig2,VND))</f>
        <v/>
      </c>
      <c r="L97" s="793" t="str">
        <f>IF(Afterflows!M89="","",VND&amp;signum2(Afterflows!M89,SigFig1,SigFig2,VND))</f>
        <v/>
      </c>
    </row>
    <row r="98" spans="1:12">
      <c r="A98" s="792" t="str">
        <f>IF('Flows &amp; Isokinetics'!E25="","",'Flows &amp; Isokinetics'!E25)</f>
        <v/>
      </c>
      <c r="B98" s="790" t="str">
        <f>IF('Flows &amp; Isokinetics'!F25="","",'Flows &amp; Isokinetics'!F25)</f>
        <v/>
      </c>
      <c r="C98" s="794" t="str">
        <f>IF(Afterflows!F24="","",Afterflows!F24)</f>
        <v/>
      </c>
      <c r="D98" s="207" t="str">
        <f>IF(Afterflows!G24="","",signum(Afterflows!G24,SigFig1))</f>
        <v/>
      </c>
      <c r="E98" s="207" t="str">
        <f>IF(Afterflows!H24="","",VND&amp;signum2(Afterflows!H24,SigFig1,SigFig2,VND))</f>
        <v/>
      </c>
      <c r="F98" s="207" t="str">
        <f>IF(Afterflows!L24="","",VND&amp;signum2(Afterflows!L24,SigFig1,SigFig2,VND))</f>
        <v/>
      </c>
      <c r="G98" s="793" t="str">
        <f>IF(Afterflows!M24="","",VND&amp;signum2(Afterflows!M24,SigFig1,SigFig2,VND))</f>
        <v/>
      </c>
      <c r="H98" s="795" t="str">
        <f>IF(Afterflows!F90="","",Afterflows!F90)</f>
        <v/>
      </c>
      <c r="I98" s="207" t="str">
        <f>IF(Afterflows!G90="","",signum(Afterflows!G90,SigFig1))</f>
        <v/>
      </c>
      <c r="J98" s="207" t="str">
        <f>IF(Afterflows!H90="","",VND&amp;signum2(Afterflows!H90,SigFig1,SigFig2,VND))</f>
        <v/>
      </c>
      <c r="K98" s="207" t="str">
        <f>IF(Afterflows!L90="","",VND&amp;signum2(Afterflows!L90,SigFig1,SigFig2,VND))</f>
        <v/>
      </c>
      <c r="L98" s="793" t="str">
        <f>IF(Afterflows!M90="","",VND&amp;signum2(Afterflows!M90,SigFig1,SigFig2,VND))</f>
        <v/>
      </c>
    </row>
    <row r="99" spans="1:12">
      <c r="A99" s="792" t="str">
        <f>IF('Flows &amp; Isokinetics'!E26="","",'Flows &amp; Isokinetics'!E26)</f>
        <v/>
      </c>
      <c r="B99" s="790" t="str">
        <f>IF('Flows &amp; Isokinetics'!F26="","",'Flows &amp; Isokinetics'!F26)</f>
        <v/>
      </c>
      <c r="C99" s="794" t="str">
        <f>IF(Afterflows!F25="","",Afterflows!F25)</f>
        <v/>
      </c>
      <c r="D99" s="207" t="str">
        <f>IF(Afterflows!G25="","",signum(Afterflows!G25,SigFig1))</f>
        <v/>
      </c>
      <c r="E99" s="207" t="str">
        <f>IF(Afterflows!H25="","",VND&amp;signum2(Afterflows!H25,SigFig1,SigFig2,VND))</f>
        <v/>
      </c>
      <c r="F99" s="207" t="str">
        <f>IF(Afterflows!L25="","",VND&amp;signum2(Afterflows!L25,SigFig1,SigFig2,VND))</f>
        <v/>
      </c>
      <c r="G99" s="793" t="str">
        <f>IF(Afterflows!M25="","",VND&amp;signum2(Afterflows!M25,SigFig1,SigFig2,VND))</f>
        <v/>
      </c>
      <c r="H99" s="795" t="str">
        <f>IF(Afterflows!F91="","",Afterflows!F91)</f>
        <v/>
      </c>
      <c r="I99" s="207" t="str">
        <f>IF(Afterflows!G91="","",signum(Afterflows!G91,SigFig1))</f>
        <v/>
      </c>
      <c r="J99" s="207" t="str">
        <f>IF(Afterflows!H91="","",VND&amp;signum2(Afterflows!H91,SigFig1,SigFig2,VND))</f>
        <v/>
      </c>
      <c r="K99" s="207" t="str">
        <f>IF(Afterflows!L91="","",VND&amp;signum2(Afterflows!L91,SigFig1,SigFig2,VND))</f>
        <v/>
      </c>
      <c r="L99" s="793" t="str">
        <f>IF(Afterflows!M91="","",VND&amp;signum2(Afterflows!M91,SigFig1,SigFig2,VND))</f>
        <v/>
      </c>
    </row>
    <row r="100" spans="1:12">
      <c r="A100" s="792" t="str">
        <f>IF('Flows &amp; Isokinetics'!E27="","",'Flows &amp; Isokinetics'!E27)</f>
        <v/>
      </c>
      <c r="B100" s="790" t="str">
        <f>IF('Flows &amp; Isokinetics'!F27="","",'Flows &amp; Isokinetics'!F27)</f>
        <v/>
      </c>
      <c r="C100" s="794" t="str">
        <f>IF(Afterflows!F26="","",Afterflows!F26)</f>
        <v/>
      </c>
      <c r="D100" s="207" t="str">
        <f>IF(Afterflows!G26="","",signum(Afterflows!G26,SigFig1))</f>
        <v/>
      </c>
      <c r="E100" s="207" t="str">
        <f>IF(Afterflows!H26="","",VND&amp;signum2(Afterflows!H26,SigFig1,SigFig2,VND))</f>
        <v/>
      </c>
      <c r="F100" s="207" t="str">
        <f>IF(Afterflows!L26="","",VND&amp;signum2(Afterflows!L26,SigFig1,SigFig2,VND))</f>
        <v/>
      </c>
      <c r="G100" s="793" t="str">
        <f>IF(Afterflows!M26="","",VND&amp;signum2(Afterflows!M26,SigFig1,SigFig2,VND))</f>
        <v/>
      </c>
      <c r="H100" s="795" t="str">
        <f>IF(Afterflows!F92="","",Afterflows!F92)</f>
        <v/>
      </c>
      <c r="I100" s="207" t="str">
        <f>IF(Afterflows!G92="","",signum(Afterflows!G92,SigFig1))</f>
        <v/>
      </c>
      <c r="J100" s="207" t="str">
        <f>IF(Afterflows!H92="","",VND&amp;signum2(Afterflows!H92,SigFig1,SigFig2,VND))</f>
        <v/>
      </c>
      <c r="K100" s="207" t="str">
        <f>IF(Afterflows!L92="","",VND&amp;signum2(Afterflows!L92,SigFig1,SigFig2,VND))</f>
        <v/>
      </c>
      <c r="L100" s="793" t="str">
        <f>IF(Afterflows!M92="","",VND&amp;signum2(Afterflows!M92,SigFig1,SigFig2,VND))</f>
        <v/>
      </c>
    </row>
    <row r="101" spans="1:12">
      <c r="A101" s="792" t="str">
        <f>IF('Flows &amp; Isokinetics'!E28="","",'Flows &amp; Isokinetics'!E28)</f>
        <v/>
      </c>
      <c r="B101" s="790" t="str">
        <f>IF('Flows &amp; Isokinetics'!F28="","",'Flows &amp; Isokinetics'!F28)</f>
        <v/>
      </c>
      <c r="C101" s="794" t="str">
        <f>IF(Afterflows!F27="","",Afterflows!F27)</f>
        <v/>
      </c>
      <c r="D101" s="207" t="str">
        <f>IF(Afterflows!G27="","",signum(Afterflows!G27,SigFig1))</f>
        <v/>
      </c>
      <c r="E101" s="207" t="str">
        <f>IF(Afterflows!H27="","",VND&amp;signum2(Afterflows!H27,SigFig1,SigFig2,VND))</f>
        <v/>
      </c>
      <c r="F101" s="207" t="str">
        <f>IF(Afterflows!L27="","",VND&amp;signum2(Afterflows!L27,SigFig1,SigFig2,VND))</f>
        <v/>
      </c>
      <c r="G101" s="793" t="str">
        <f>IF(Afterflows!M27="","",VND&amp;signum2(Afterflows!M27,SigFig1,SigFig2,VND))</f>
        <v/>
      </c>
      <c r="H101" s="795" t="str">
        <f>IF(Afterflows!F93="","",Afterflows!F93)</f>
        <v/>
      </c>
      <c r="I101" s="207" t="str">
        <f>IF(Afterflows!G93="","",signum(Afterflows!G93,SigFig1))</f>
        <v/>
      </c>
      <c r="J101" s="207" t="str">
        <f>IF(Afterflows!H93="","",VND&amp;signum2(Afterflows!H93,SigFig1,SigFig2,VND))</f>
        <v/>
      </c>
      <c r="K101" s="207" t="str">
        <f>IF(Afterflows!L93="","",VND&amp;signum2(Afterflows!L93,SigFig1,SigFig2,VND))</f>
        <v/>
      </c>
      <c r="L101" s="793" t="str">
        <f>IF(Afterflows!M93="","",VND&amp;signum2(Afterflows!M93,SigFig1,SigFig2,VND))</f>
        <v/>
      </c>
    </row>
    <row r="102" spans="1:12">
      <c r="A102" s="792" t="str">
        <f>IF('Flows &amp; Isokinetics'!E29="","",'Flows &amp; Isokinetics'!E29)</f>
        <v/>
      </c>
      <c r="B102" s="790" t="str">
        <f>IF('Flows &amp; Isokinetics'!F29="","",'Flows &amp; Isokinetics'!F29)</f>
        <v/>
      </c>
      <c r="C102" s="794" t="str">
        <f>IF(Afterflows!F28="","",Afterflows!F28)</f>
        <v/>
      </c>
      <c r="D102" s="207" t="str">
        <f>IF(Afterflows!G28="","",signum(Afterflows!G28,SigFig1))</f>
        <v/>
      </c>
      <c r="E102" s="207" t="str">
        <f>IF(Afterflows!H28="","",VND&amp;signum2(Afterflows!H28,SigFig1,SigFig2,VND))</f>
        <v/>
      </c>
      <c r="F102" s="207" t="str">
        <f>IF(Afterflows!L28="","",VND&amp;signum2(Afterflows!L28,SigFig1,SigFig2,VND))</f>
        <v/>
      </c>
      <c r="G102" s="793" t="str">
        <f>IF(Afterflows!M28="","",VND&amp;signum2(Afterflows!M28,SigFig1,SigFig2,VND))</f>
        <v/>
      </c>
      <c r="H102" s="795" t="str">
        <f>IF(Afterflows!F94="","",Afterflows!F94)</f>
        <v/>
      </c>
      <c r="I102" s="207" t="str">
        <f>IF(Afterflows!G94="","",signum(Afterflows!G94,SigFig1))</f>
        <v/>
      </c>
      <c r="J102" s="207" t="str">
        <f>IF(Afterflows!H94="","",VND&amp;signum2(Afterflows!H94,SigFig1,SigFig2,VND))</f>
        <v/>
      </c>
      <c r="K102" s="207" t="str">
        <f>IF(Afterflows!L94="","",VND&amp;signum2(Afterflows!L94,SigFig1,SigFig2,VND))</f>
        <v/>
      </c>
      <c r="L102" s="793" t="str">
        <f>IF(Afterflows!M94="","",VND&amp;signum2(Afterflows!M94,SigFig1,SigFig2,VND))</f>
        <v/>
      </c>
    </row>
    <row r="103" spans="1:12">
      <c r="A103" s="792" t="str">
        <f>IF('Flows &amp; Isokinetics'!E30="","",'Flows &amp; Isokinetics'!E30)</f>
        <v/>
      </c>
      <c r="B103" s="790" t="str">
        <f>IF('Flows &amp; Isokinetics'!F30="","",'Flows &amp; Isokinetics'!F30)</f>
        <v/>
      </c>
      <c r="C103" s="794" t="str">
        <f>IF(Afterflows!F29="","",Afterflows!F29)</f>
        <v/>
      </c>
      <c r="D103" s="207" t="str">
        <f>IF(Afterflows!G29="","",signum(Afterflows!G29,SigFig1))</f>
        <v/>
      </c>
      <c r="E103" s="207" t="str">
        <f>IF(Afterflows!H29="","",VND&amp;signum2(Afterflows!H29,SigFig1,SigFig2,VND))</f>
        <v/>
      </c>
      <c r="F103" s="207" t="str">
        <f>IF(Afterflows!L29="","",VND&amp;signum2(Afterflows!L29,SigFig1,SigFig2,VND))</f>
        <v/>
      </c>
      <c r="G103" s="793" t="str">
        <f>IF(Afterflows!M29="","",VND&amp;signum2(Afterflows!M29,SigFig1,SigFig2,VND))</f>
        <v/>
      </c>
      <c r="H103" s="795" t="str">
        <f>IF(Afterflows!F95="","",Afterflows!F95)</f>
        <v/>
      </c>
      <c r="I103" s="207" t="str">
        <f>IF(Afterflows!G95="","",signum(Afterflows!G95,SigFig1))</f>
        <v/>
      </c>
      <c r="J103" s="207" t="str">
        <f>IF(Afterflows!H95="","",VND&amp;signum2(Afterflows!H95,SigFig1,SigFig2,VND))</f>
        <v/>
      </c>
      <c r="K103" s="207" t="str">
        <f>IF(Afterflows!L95="","",VND&amp;signum2(Afterflows!L95,SigFig1,SigFig2,VND))</f>
        <v/>
      </c>
      <c r="L103" s="793" t="str">
        <f>IF(Afterflows!M95="","",VND&amp;signum2(Afterflows!M95,SigFig1,SigFig2,VND))</f>
        <v/>
      </c>
    </row>
    <row r="104" spans="1:12">
      <c r="A104" s="792" t="str">
        <f>IF('Flows &amp; Isokinetics'!E31="","",'Flows &amp; Isokinetics'!E31)</f>
        <v/>
      </c>
      <c r="B104" s="790" t="str">
        <f>IF('Flows &amp; Isokinetics'!F31="","",'Flows &amp; Isokinetics'!F31)</f>
        <v/>
      </c>
      <c r="C104" s="794" t="str">
        <f>IF(Afterflows!F30="","",Afterflows!F30)</f>
        <v/>
      </c>
      <c r="D104" s="207" t="str">
        <f>IF(Afterflows!G30="","",signum(Afterflows!G30,SigFig1))</f>
        <v/>
      </c>
      <c r="E104" s="207" t="str">
        <f>IF(Afterflows!H30="","",VND&amp;signum2(Afterflows!H30,SigFig1,SigFig2,VND))</f>
        <v/>
      </c>
      <c r="F104" s="207" t="str">
        <f>IF(Afterflows!L30="","",VND&amp;signum2(Afterflows!L30,SigFig1,SigFig2,VND))</f>
        <v/>
      </c>
      <c r="G104" s="793" t="str">
        <f>IF(Afterflows!M30="","",VND&amp;signum2(Afterflows!M30,SigFig1,SigFig2,VND))</f>
        <v/>
      </c>
      <c r="H104" s="795" t="str">
        <f>IF(Afterflows!F96="","",Afterflows!F96)</f>
        <v/>
      </c>
      <c r="I104" s="207" t="str">
        <f>IF(Afterflows!G96="","",signum(Afterflows!G96,SigFig1))</f>
        <v/>
      </c>
      <c r="J104" s="207" t="str">
        <f>IF(Afterflows!H96="","",VND&amp;signum2(Afterflows!H96,SigFig1,SigFig2,VND))</f>
        <v/>
      </c>
      <c r="K104" s="207" t="str">
        <f>IF(Afterflows!L96="","",VND&amp;signum2(Afterflows!L96,SigFig1,SigFig2,VND))</f>
        <v/>
      </c>
      <c r="L104" s="793" t="str">
        <f>IF(Afterflows!M96="","",VND&amp;signum2(Afterflows!M96,SigFig1,SigFig2,VND))</f>
        <v/>
      </c>
    </row>
    <row r="105" spans="1:12">
      <c r="A105" s="792" t="str">
        <f>IF('Flows &amp; Isokinetics'!E32="","",'Flows &amp; Isokinetics'!E32)</f>
        <v/>
      </c>
      <c r="B105" s="790" t="str">
        <f>IF('Flows &amp; Isokinetics'!F32="","",'Flows &amp; Isokinetics'!F32)</f>
        <v/>
      </c>
      <c r="C105" s="794" t="str">
        <f>IF(Afterflows!F31="","",Afterflows!F31)</f>
        <v/>
      </c>
      <c r="D105" s="207" t="str">
        <f>IF(Afterflows!G31="","",signum(Afterflows!G31,SigFig1))</f>
        <v/>
      </c>
      <c r="E105" s="207" t="str">
        <f>IF(Afterflows!H31="","",VND&amp;signum2(Afterflows!H31,SigFig1,SigFig2,VND))</f>
        <v/>
      </c>
      <c r="F105" s="207" t="str">
        <f>IF(Afterflows!L31="","",VND&amp;signum2(Afterflows!L31,SigFig1,SigFig2,VND))</f>
        <v/>
      </c>
      <c r="G105" s="793" t="str">
        <f>IF(Afterflows!M31="","",VND&amp;signum2(Afterflows!M31,SigFig1,SigFig2,VND))</f>
        <v/>
      </c>
      <c r="H105" s="795" t="str">
        <f>IF(Afterflows!F97="","",Afterflows!F97)</f>
        <v/>
      </c>
      <c r="I105" s="207" t="str">
        <f>IF(Afterflows!G97="","",signum(Afterflows!G97,SigFig1))</f>
        <v/>
      </c>
      <c r="J105" s="207" t="str">
        <f>IF(Afterflows!H97="","",VND&amp;signum2(Afterflows!H97,SigFig1,SigFig2,VND))</f>
        <v/>
      </c>
      <c r="K105" s="207" t="str">
        <f>IF(Afterflows!L97="","",VND&amp;signum2(Afterflows!L97,SigFig1,SigFig2,VND))</f>
        <v/>
      </c>
      <c r="L105" s="793" t="str">
        <f>IF(Afterflows!M97="","",VND&amp;signum2(Afterflows!M97,SigFig1,SigFig2,VND))</f>
        <v/>
      </c>
    </row>
    <row r="106" spans="1:12">
      <c r="A106" s="792" t="str">
        <f>IF('Flows &amp; Isokinetics'!E33="","",'Flows &amp; Isokinetics'!E33)</f>
        <v/>
      </c>
      <c r="B106" s="790" t="str">
        <f>IF('Flows &amp; Isokinetics'!F33="","",'Flows &amp; Isokinetics'!F33)</f>
        <v/>
      </c>
      <c r="C106" s="794" t="str">
        <f>IF(Afterflows!F32="","",Afterflows!F32)</f>
        <v/>
      </c>
      <c r="D106" s="207" t="str">
        <f>IF(Afterflows!G32="","",signum(Afterflows!G32,SigFig1))</f>
        <v/>
      </c>
      <c r="E106" s="207" t="str">
        <f>IF(Afterflows!H32="","",VND&amp;signum2(Afterflows!H32,SigFig1,SigFig2,VND))</f>
        <v/>
      </c>
      <c r="F106" s="207" t="str">
        <f>IF(Afterflows!L32="","",VND&amp;signum2(Afterflows!L32,SigFig1,SigFig2,VND))</f>
        <v/>
      </c>
      <c r="G106" s="793" t="str">
        <f>IF(Afterflows!M32="","",VND&amp;signum2(Afterflows!M32,SigFig1,SigFig2,VND))</f>
        <v/>
      </c>
      <c r="H106" s="795" t="str">
        <f>IF(Afterflows!F98="","",Afterflows!F98)</f>
        <v/>
      </c>
      <c r="I106" s="207" t="str">
        <f>IF(Afterflows!G98="","",signum(Afterflows!G98,SigFig1))</f>
        <v/>
      </c>
      <c r="J106" s="207" t="str">
        <f>IF(Afterflows!H98="","",VND&amp;signum2(Afterflows!H98,SigFig1,SigFig2,VND))</f>
        <v/>
      </c>
      <c r="K106" s="207" t="str">
        <f>IF(Afterflows!L98="","",VND&amp;signum2(Afterflows!L98,SigFig1,SigFig2,VND))</f>
        <v/>
      </c>
      <c r="L106" s="793" t="str">
        <f>IF(Afterflows!M98="","",VND&amp;signum2(Afterflows!M98,SigFig1,SigFig2,VND))</f>
        <v/>
      </c>
    </row>
    <row r="107" spans="1:12">
      <c r="A107" s="792" t="str">
        <f>IF('Flows &amp; Isokinetics'!E34="","",'Flows &amp; Isokinetics'!E34)</f>
        <v/>
      </c>
      <c r="B107" s="790" t="str">
        <f>IF('Flows &amp; Isokinetics'!F34="","",'Flows &amp; Isokinetics'!F34)</f>
        <v/>
      </c>
      <c r="C107" s="794" t="str">
        <f>IF(Afterflows!F33="","",Afterflows!F33)</f>
        <v/>
      </c>
      <c r="D107" s="207" t="str">
        <f>IF(Afterflows!G33="","",signum(Afterflows!G33,SigFig1))</f>
        <v/>
      </c>
      <c r="E107" s="207" t="str">
        <f>IF(Afterflows!H33="","",VND&amp;signum2(Afterflows!H33,SigFig1,SigFig2,VND))</f>
        <v/>
      </c>
      <c r="F107" s="207" t="str">
        <f>IF(Afterflows!L33="","",VND&amp;signum2(Afterflows!L33,SigFig1,SigFig2,VND))</f>
        <v/>
      </c>
      <c r="G107" s="793" t="str">
        <f>IF(Afterflows!M33="","",VND&amp;signum2(Afterflows!M33,SigFig1,SigFig2,VND))</f>
        <v/>
      </c>
      <c r="H107" s="795" t="str">
        <f>IF(Afterflows!F99="","",Afterflows!F99)</f>
        <v/>
      </c>
      <c r="I107" s="207" t="str">
        <f>IF(Afterflows!G99="","",signum(Afterflows!G99,SigFig1))</f>
        <v/>
      </c>
      <c r="J107" s="207" t="str">
        <f>IF(Afterflows!H99="","",VND&amp;signum2(Afterflows!H99,SigFig1,SigFig2,VND))</f>
        <v/>
      </c>
      <c r="K107" s="207" t="str">
        <f>IF(Afterflows!L99="","",VND&amp;signum2(Afterflows!L99,SigFig1,SigFig2,VND))</f>
        <v/>
      </c>
      <c r="L107" s="793" t="str">
        <f>IF(Afterflows!M99="","",VND&amp;signum2(Afterflows!M99,SigFig1,SigFig2,VND))</f>
        <v/>
      </c>
    </row>
    <row r="108" spans="1:12">
      <c r="A108" s="792" t="str">
        <f>IF('Flows &amp; Isokinetics'!E35="","",'Flows &amp; Isokinetics'!E35)</f>
        <v/>
      </c>
      <c r="B108" s="790" t="str">
        <f>IF('Flows &amp; Isokinetics'!F35="","",'Flows &amp; Isokinetics'!F35)</f>
        <v/>
      </c>
      <c r="C108" s="794" t="str">
        <f>IF(Afterflows!F34="","",Afterflows!F34)</f>
        <v/>
      </c>
      <c r="D108" s="207" t="str">
        <f>IF(Afterflows!G34="","",signum(Afterflows!G34,SigFig1))</f>
        <v/>
      </c>
      <c r="E108" s="207" t="str">
        <f>IF(Afterflows!H34="","",VND&amp;signum2(Afterflows!H34,SigFig1,SigFig2,VND))</f>
        <v/>
      </c>
      <c r="F108" s="207" t="str">
        <f>IF(Afterflows!L34="","",VND&amp;signum2(Afterflows!L34,SigFig1,SigFig2,VND))</f>
        <v/>
      </c>
      <c r="G108" s="793" t="str">
        <f>IF(Afterflows!M34="","",VND&amp;signum2(Afterflows!M34,SigFig1,SigFig2,VND))</f>
        <v/>
      </c>
      <c r="H108" s="795" t="str">
        <f>IF(Afterflows!F100="","",Afterflows!F100)</f>
        <v/>
      </c>
      <c r="I108" s="207" t="str">
        <f>IF(Afterflows!G100="","",signum(Afterflows!G100,SigFig1))</f>
        <v/>
      </c>
      <c r="J108" s="207" t="str">
        <f>IF(Afterflows!H100="","",VND&amp;signum2(Afterflows!H100,SigFig1,SigFig2,VND))</f>
        <v/>
      </c>
      <c r="K108" s="207" t="str">
        <f>IF(Afterflows!L100="","",VND&amp;signum2(Afterflows!L100,SigFig1,SigFig2,VND))</f>
        <v/>
      </c>
      <c r="L108" s="793" t="str">
        <f>IF(Afterflows!M100="","",VND&amp;signum2(Afterflows!M100,SigFig1,SigFig2,VND))</f>
        <v/>
      </c>
    </row>
    <row r="109" spans="1:12">
      <c r="A109" s="792" t="str">
        <f>IF('Flows &amp; Isokinetics'!E36="","",'Flows &amp; Isokinetics'!E36)</f>
        <v/>
      </c>
      <c r="B109" s="790" t="str">
        <f>IF('Flows &amp; Isokinetics'!F36="","",'Flows &amp; Isokinetics'!F36)</f>
        <v/>
      </c>
      <c r="C109" s="794" t="str">
        <f>IF(Afterflows!F35="","",Afterflows!F35)</f>
        <v/>
      </c>
      <c r="D109" s="207" t="str">
        <f>IF(Afterflows!G35="","",signum(Afterflows!G35,SigFig1))</f>
        <v/>
      </c>
      <c r="E109" s="207" t="str">
        <f>IF(Afterflows!H35="","",VND&amp;signum2(Afterflows!H35,SigFig1,SigFig2,VND))</f>
        <v/>
      </c>
      <c r="F109" s="207" t="str">
        <f>IF(Afterflows!L35="","",VND&amp;signum2(Afterflows!L35,SigFig1,SigFig2,VND))</f>
        <v/>
      </c>
      <c r="G109" s="793" t="str">
        <f>IF(Afterflows!M35="","",VND&amp;signum2(Afterflows!M35,SigFig1,SigFig2,VND))</f>
        <v/>
      </c>
      <c r="H109" s="795" t="str">
        <f>IF(Afterflows!F101="","",Afterflows!F101)</f>
        <v/>
      </c>
      <c r="I109" s="207" t="str">
        <f>IF(Afterflows!G101="","",signum(Afterflows!G101,SigFig1))</f>
        <v/>
      </c>
      <c r="J109" s="207" t="str">
        <f>IF(Afterflows!H101="","",VND&amp;signum2(Afterflows!H101,SigFig1,SigFig2,VND))</f>
        <v/>
      </c>
      <c r="K109" s="207" t="str">
        <f>IF(Afterflows!L101="","",VND&amp;signum2(Afterflows!L101,SigFig1,SigFig2,VND))</f>
        <v/>
      </c>
      <c r="L109" s="793" t="str">
        <f>IF(Afterflows!M101="","",VND&amp;signum2(Afterflows!M101,SigFig1,SigFig2,VND))</f>
        <v/>
      </c>
    </row>
    <row r="110" spans="1:12">
      <c r="A110" s="792" t="str">
        <f>IF('Flows &amp; Isokinetics'!E37="","",'Flows &amp; Isokinetics'!E37)</f>
        <v/>
      </c>
      <c r="B110" s="790" t="str">
        <f>IF('Flows &amp; Isokinetics'!F37="","",'Flows &amp; Isokinetics'!F37)</f>
        <v/>
      </c>
      <c r="C110" s="794" t="str">
        <f>IF(Afterflows!F36="","",Afterflows!F36)</f>
        <v/>
      </c>
      <c r="D110" s="207" t="str">
        <f>IF(Afterflows!G36="","",signum(Afterflows!G36,SigFig1))</f>
        <v/>
      </c>
      <c r="E110" s="207" t="str">
        <f>IF(Afterflows!H36="","",VND&amp;signum2(Afterflows!H36,SigFig1,SigFig2,VND))</f>
        <v/>
      </c>
      <c r="F110" s="207" t="str">
        <f>IF(Afterflows!L36="","",VND&amp;signum2(Afterflows!L36,SigFig1,SigFig2,VND))</f>
        <v/>
      </c>
      <c r="G110" s="793" t="str">
        <f>IF(Afterflows!M36="","",VND&amp;signum2(Afterflows!M36,SigFig1,SigFig2,VND))</f>
        <v/>
      </c>
      <c r="H110" s="795" t="str">
        <f>IF(Afterflows!F102="","",Afterflows!F102)</f>
        <v/>
      </c>
      <c r="I110" s="207" t="str">
        <f>IF(Afterflows!G102="","",signum(Afterflows!G102,SigFig1))</f>
        <v/>
      </c>
      <c r="J110" s="207" t="str">
        <f>IF(Afterflows!H102="","",VND&amp;signum2(Afterflows!H102,SigFig1,SigFig2,VND))</f>
        <v/>
      </c>
      <c r="K110" s="207" t="str">
        <f>IF(Afterflows!L102="","",VND&amp;signum2(Afterflows!L102,SigFig1,SigFig2,VND))</f>
        <v/>
      </c>
      <c r="L110" s="793" t="str">
        <f>IF(Afterflows!M102="","",VND&amp;signum2(Afterflows!M102,SigFig1,SigFig2,VND))</f>
        <v/>
      </c>
    </row>
    <row r="111" spans="1:12">
      <c r="A111" s="792" t="str">
        <f>IF('Flows &amp; Isokinetics'!E38="","",'Flows &amp; Isokinetics'!E38)</f>
        <v/>
      </c>
      <c r="B111" s="790" t="str">
        <f>IF('Flows &amp; Isokinetics'!F38="","",'Flows &amp; Isokinetics'!F38)</f>
        <v/>
      </c>
      <c r="C111" s="794" t="str">
        <f>IF(Afterflows!F37="","",Afterflows!F37)</f>
        <v/>
      </c>
      <c r="D111" s="207" t="str">
        <f>IF(Afterflows!G37="","",signum(Afterflows!G37,SigFig1))</f>
        <v/>
      </c>
      <c r="E111" s="207" t="str">
        <f>IF(Afterflows!H37="","",VND&amp;signum2(Afterflows!H37,SigFig1,SigFig2,VND))</f>
        <v/>
      </c>
      <c r="F111" s="207" t="str">
        <f>IF(Afterflows!L37="","",VND&amp;signum2(Afterflows!L37,SigFig1,SigFig2,VND))</f>
        <v/>
      </c>
      <c r="G111" s="793" t="str">
        <f>IF(Afterflows!M37="","",VND&amp;signum2(Afterflows!M37,SigFig1,SigFig2,VND))</f>
        <v/>
      </c>
      <c r="H111" s="795" t="str">
        <f>IF(Afterflows!F103="","",Afterflows!F103)</f>
        <v/>
      </c>
      <c r="I111" s="207" t="str">
        <f>IF(Afterflows!G103="","",signum(Afterflows!G103,SigFig1))</f>
        <v/>
      </c>
      <c r="J111" s="207" t="str">
        <f>IF(Afterflows!H103="","",VND&amp;signum2(Afterflows!H103,SigFig1,SigFig2,VND))</f>
        <v/>
      </c>
      <c r="K111" s="207" t="str">
        <f>IF(Afterflows!L103="","",VND&amp;signum2(Afterflows!L103,SigFig1,SigFig2,VND))</f>
        <v/>
      </c>
      <c r="L111" s="793" t="str">
        <f>IF(Afterflows!M103="","",VND&amp;signum2(Afterflows!M103,SigFig1,SigFig2,VND))</f>
        <v/>
      </c>
    </row>
    <row r="112" spans="1:12">
      <c r="A112" s="792" t="str">
        <f>IF('Flows &amp; Isokinetics'!E39="","",'Flows &amp; Isokinetics'!E39)</f>
        <v/>
      </c>
      <c r="B112" s="790" t="str">
        <f>IF('Flows &amp; Isokinetics'!F39="","",'Flows &amp; Isokinetics'!F39)</f>
        <v/>
      </c>
      <c r="C112" s="794" t="str">
        <f>IF(Afterflows!F38="","",Afterflows!F38)</f>
        <v/>
      </c>
      <c r="D112" s="207" t="str">
        <f>IF(Afterflows!G38="","",signum(Afterflows!G38,SigFig1))</f>
        <v/>
      </c>
      <c r="E112" s="207" t="str">
        <f>IF(Afterflows!H38="","",VND&amp;signum2(Afterflows!H38,SigFig1,SigFig2,VND))</f>
        <v/>
      </c>
      <c r="F112" s="207" t="str">
        <f>IF(Afterflows!L38="","",VND&amp;signum2(Afterflows!L38,SigFig1,SigFig2,VND))</f>
        <v/>
      </c>
      <c r="G112" s="793" t="str">
        <f>IF(Afterflows!M38="","",VND&amp;signum2(Afterflows!M38,SigFig1,SigFig2,VND))</f>
        <v/>
      </c>
      <c r="H112" s="795" t="str">
        <f>IF(Afterflows!F104="","",Afterflows!F104)</f>
        <v/>
      </c>
      <c r="I112" s="207" t="str">
        <f>IF(Afterflows!G104="","",signum(Afterflows!G104,SigFig1))</f>
        <v/>
      </c>
      <c r="J112" s="207" t="str">
        <f>IF(Afterflows!H104="","",VND&amp;signum2(Afterflows!H104,SigFig1,SigFig2,VND))</f>
        <v/>
      </c>
      <c r="K112" s="207" t="str">
        <f>IF(Afterflows!L104="","",VND&amp;signum2(Afterflows!L104,SigFig1,SigFig2,VND))</f>
        <v/>
      </c>
      <c r="L112" s="793" t="str">
        <f>IF(Afterflows!M104="","",VND&amp;signum2(Afterflows!M104,SigFig1,SigFig2,VND))</f>
        <v/>
      </c>
    </row>
    <row r="113" spans="1:12">
      <c r="A113" s="792" t="str">
        <f>IF('Flows &amp; Isokinetics'!E40="","",'Flows &amp; Isokinetics'!E40)</f>
        <v/>
      </c>
      <c r="B113" s="790" t="str">
        <f>IF('Flows &amp; Isokinetics'!F40="","",'Flows &amp; Isokinetics'!F40)</f>
        <v/>
      </c>
      <c r="C113" s="794" t="str">
        <f>IF(Afterflows!F39="","",Afterflows!F39)</f>
        <v/>
      </c>
      <c r="D113" s="207" t="str">
        <f>IF(Afterflows!G39="","",signum(Afterflows!G39,SigFig1))</f>
        <v/>
      </c>
      <c r="E113" s="207" t="str">
        <f>IF(Afterflows!H39="","",VND&amp;signum2(Afterflows!H39,SigFig1,SigFig2,VND))</f>
        <v/>
      </c>
      <c r="F113" s="207" t="str">
        <f>IF(Afterflows!L39="","",VND&amp;signum2(Afterflows!L39,SigFig1,SigFig2,VND))</f>
        <v/>
      </c>
      <c r="G113" s="793" t="str">
        <f>IF(Afterflows!M39="","",VND&amp;signum2(Afterflows!M39,SigFig1,SigFig2,VND))</f>
        <v/>
      </c>
      <c r="H113" s="795" t="str">
        <f>IF(Afterflows!F105="","",Afterflows!F105)</f>
        <v/>
      </c>
      <c r="I113" s="207" t="str">
        <f>IF(Afterflows!G105="","",signum(Afterflows!G105,SigFig1))</f>
        <v/>
      </c>
      <c r="J113" s="207" t="str">
        <f>IF(Afterflows!H105="","",VND&amp;signum2(Afterflows!H105,SigFig1,SigFig2,VND))</f>
        <v/>
      </c>
      <c r="K113" s="207" t="str">
        <f>IF(Afterflows!L105="","",VND&amp;signum2(Afterflows!L105,SigFig1,SigFig2,VND))</f>
        <v/>
      </c>
      <c r="L113" s="793" t="str">
        <f>IF(Afterflows!M105="","",VND&amp;signum2(Afterflows!M105,SigFig1,SigFig2,VND))</f>
        <v/>
      </c>
    </row>
    <row r="114" spans="1:12">
      <c r="A114" s="792" t="str">
        <f>IF('Flows &amp; Isokinetics'!E41="","",'Flows &amp; Isokinetics'!E41)</f>
        <v/>
      </c>
      <c r="B114" s="790" t="str">
        <f>IF('Flows &amp; Isokinetics'!F41="","",'Flows &amp; Isokinetics'!F41)</f>
        <v/>
      </c>
      <c r="C114" s="794" t="str">
        <f>IF(Afterflows!F40="","",Afterflows!F40)</f>
        <v/>
      </c>
      <c r="D114" s="207" t="str">
        <f>IF(Afterflows!G40="","",signum(Afterflows!G40,SigFig1))</f>
        <v/>
      </c>
      <c r="E114" s="207" t="str">
        <f>IF(Afterflows!H40="","",VND&amp;signum2(Afterflows!H40,SigFig1,SigFig2,VND))</f>
        <v/>
      </c>
      <c r="F114" s="207" t="str">
        <f>IF(Afterflows!L40="","",VND&amp;signum2(Afterflows!L40,SigFig1,SigFig2,VND))</f>
        <v/>
      </c>
      <c r="G114" s="793" t="str">
        <f>IF(Afterflows!M40="","",VND&amp;signum2(Afterflows!M40,SigFig1,SigFig2,VND))</f>
        <v/>
      </c>
      <c r="H114" s="795" t="str">
        <f>IF(Afterflows!F106="","",Afterflows!F106)</f>
        <v/>
      </c>
      <c r="I114" s="207" t="str">
        <f>IF(Afterflows!G106="","",signum(Afterflows!G106,SigFig1))</f>
        <v/>
      </c>
      <c r="J114" s="207" t="str">
        <f>IF(Afterflows!H106="","",VND&amp;signum2(Afterflows!H106,SigFig1,SigFig2,VND))</f>
        <v/>
      </c>
      <c r="K114" s="207" t="str">
        <f>IF(Afterflows!L106="","",VND&amp;signum2(Afterflows!L106,SigFig1,SigFig2,VND))</f>
        <v/>
      </c>
      <c r="L114" s="793" t="str">
        <f>IF(Afterflows!M106="","",VND&amp;signum2(Afterflows!M106,SigFig1,SigFig2,VND))</f>
        <v/>
      </c>
    </row>
    <row r="115" spans="1:12">
      <c r="A115" s="792" t="str">
        <f>IF('Flows &amp; Isokinetics'!E42="","",'Flows &amp; Isokinetics'!E42)</f>
        <v/>
      </c>
      <c r="B115" s="790" t="str">
        <f>IF('Flows &amp; Isokinetics'!F42="","",'Flows &amp; Isokinetics'!F42)</f>
        <v/>
      </c>
      <c r="C115" s="794" t="str">
        <f>IF(Afterflows!F41="","",Afterflows!F41)</f>
        <v/>
      </c>
      <c r="D115" s="207" t="str">
        <f>IF(Afterflows!G41="","",signum(Afterflows!G41,SigFig1))</f>
        <v/>
      </c>
      <c r="E115" s="207" t="str">
        <f>IF(Afterflows!H41="","",VND&amp;signum2(Afterflows!H41,SigFig1,SigFig2,VND))</f>
        <v/>
      </c>
      <c r="F115" s="207" t="str">
        <f>IF(Afterflows!L41="","",VND&amp;signum2(Afterflows!L41,SigFig1,SigFig2,VND))</f>
        <v/>
      </c>
      <c r="G115" s="793" t="str">
        <f>IF(Afterflows!M41="","",VND&amp;signum2(Afterflows!M41,SigFig1,SigFig2,VND))</f>
        <v/>
      </c>
      <c r="H115" s="795" t="str">
        <f>IF(Afterflows!F107="","",Afterflows!F107)</f>
        <v/>
      </c>
      <c r="I115" s="207" t="str">
        <f>IF(Afterflows!G107="","",signum(Afterflows!G107,SigFig1))</f>
        <v/>
      </c>
      <c r="J115" s="207" t="str">
        <f>IF(Afterflows!H107="","",VND&amp;signum2(Afterflows!H107,SigFig1,SigFig2,VND))</f>
        <v/>
      </c>
      <c r="K115" s="207" t="str">
        <f>IF(Afterflows!L107="","",VND&amp;signum2(Afterflows!L107,SigFig1,SigFig2,VND))</f>
        <v/>
      </c>
      <c r="L115" s="793" t="str">
        <f>IF(Afterflows!M107="","",VND&amp;signum2(Afterflows!M107,SigFig1,SigFig2,VND))</f>
        <v/>
      </c>
    </row>
    <row r="116" spans="1:12">
      <c r="A116" s="792" t="str">
        <f>IF('Flows &amp; Isokinetics'!E43="","",'Flows &amp; Isokinetics'!E43)</f>
        <v/>
      </c>
      <c r="B116" s="790" t="str">
        <f>IF('Flows &amp; Isokinetics'!F43="","",'Flows &amp; Isokinetics'!F43)</f>
        <v/>
      </c>
      <c r="C116" s="794" t="str">
        <f>IF(Afterflows!F42="","",Afterflows!F42)</f>
        <v/>
      </c>
      <c r="D116" s="207" t="str">
        <f>IF(Afterflows!G42="","",signum(Afterflows!G42,SigFig1))</f>
        <v/>
      </c>
      <c r="E116" s="207" t="str">
        <f>IF(Afterflows!H42="","",VND&amp;signum2(Afterflows!H42,SigFig1,SigFig2,VND))</f>
        <v/>
      </c>
      <c r="F116" s="207" t="str">
        <f>IF(Afterflows!L42="","",VND&amp;signum2(Afterflows!L42,SigFig1,SigFig2,VND))</f>
        <v/>
      </c>
      <c r="G116" s="793" t="str">
        <f>IF(Afterflows!M42="","",VND&amp;signum2(Afterflows!M42,SigFig1,SigFig2,VND))</f>
        <v/>
      </c>
      <c r="H116" s="795" t="str">
        <f>IF(Afterflows!F108="","",Afterflows!F108)</f>
        <v/>
      </c>
      <c r="I116" s="207" t="str">
        <f>IF(Afterflows!G108="","",signum(Afterflows!G108,SigFig1))</f>
        <v/>
      </c>
      <c r="J116" s="207" t="str">
        <f>IF(Afterflows!H108="","",VND&amp;signum2(Afterflows!H108,SigFig1,SigFig2,VND))</f>
        <v/>
      </c>
      <c r="K116" s="207" t="str">
        <f>IF(Afterflows!L108="","",VND&amp;signum2(Afterflows!L108,SigFig1,SigFig2,VND))</f>
        <v/>
      </c>
      <c r="L116" s="793" t="str">
        <f>IF(Afterflows!M108="","",VND&amp;signum2(Afterflows!M108,SigFig1,SigFig2,VND))</f>
        <v/>
      </c>
    </row>
    <row r="117" spans="1:12">
      <c r="A117" s="792" t="str">
        <f>IF('Flows &amp; Isokinetics'!E44="","",'Flows &amp; Isokinetics'!E44)</f>
        <v/>
      </c>
      <c r="B117" s="790" t="str">
        <f>IF('Flows &amp; Isokinetics'!F44="","",'Flows &amp; Isokinetics'!F44)</f>
        <v/>
      </c>
      <c r="C117" s="794" t="str">
        <f>IF(Afterflows!F43="","",Afterflows!F43)</f>
        <v/>
      </c>
      <c r="D117" s="207" t="str">
        <f>IF(Afterflows!G43="","",signum(Afterflows!G43,SigFig1))</f>
        <v/>
      </c>
      <c r="E117" s="207" t="str">
        <f>IF(Afterflows!H43="","",VND&amp;signum2(Afterflows!H43,SigFig1,SigFig2,VND))</f>
        <v/>
      </c>
      <c r="F117" s="207" t="str">
        <f>IF(Afterflows!L43="","",VND&amp;signum2(Afterflows!L43,SigFig1,SigFig2,VND))</f>
        <v/>
      </c>
      <c r="G117" s="793" t="str">
        <f>IF(Afterflows!M43="","",VND&amp;signum2(Afterflows!M43,SigFig1,SigFig2,VND))</f>
        <v/>
      </c>
      <c r="H117" s="795" t="str">
        <f>IF(Afterflows!F109="","",Afterflows!F109)</f>
        <v/>
      </c>
      <c r="I117" s="207" t="str">
        <f>IF(Afterflows!G109="","",signum(Afterflows!G109,SigFig1))</f>
        <v/>
      </c>
      <c r="J117" s="207" t="str">
        <f>IF(Afterflows!H109="","",VND&amp;signum2(Afterflows!H109,SigFig1,SigFig2,VND))</f>
        <v/>
      </c>
      <c r="K117" s="207" t="str">
        <f>IF(Afterflows!L109="","",VND&amp;signum2(Afterflows!L109,SigFig1,SigFig2,VND))</f>
        <v/>
      </c>
      <c r="L117" s="793" t="str">
        <f>IF(Afterflows!M109="","",VND&amp;signum2(Afterflows!M109,SigFig1,SigFig2,VND))</f>
        <v/>
      </c>
    </row>
    <row r="118" spans="1:12">
      <c r="A118" s="792" t="str">
        <f>IF('Flows &amp; Isokinetics'!E45="","",'Flows &amp; Isokinetics'!E45)</f>
        <v/>
      </c>
      <c r="B118" s="790" t="str">
        <f>IF('Flows &amp; Isokinetics'!F45="","",'Flows &amp; Isokinetics'!F45)</f>
        <v/>
      </c>
      <c r="C118" s="794" t="str">
        <f>IF(Afterflows!F44="","",Afterflows!F44)</f>
        <v/>
      </c>
      <c r="D118" s="207" t="str">
        <f>IF(Afterflows!G44="","",signum(Afterflows!G44,SigFig1))</f>
        <v/>
      </c>
      <c r="E118" s="207" t="str">
        <f>IF(Afterflows!H44="","",VND&amp;signum2(Afterflows!H44,SigFig1,SigFig2,VND))</f>
        <v/>
      </c>
      <c r="F118" s="207" t="str">
        <f>IF(Afterflows!L44="","",VND&amp;signum2(Afterflows!L44,SigFig1,SigFig2,VND))</f>
        <v/>
      </c>
      <c r="G118" s="793" t="str">
        <f>IF(Afterflows!M44="","",VND&amp;signum2(Afterflows!M44,SigFig1,SigFig2,VND))</f>
        <v/>
      </c>
      <c r="H118" s="795" t="str">
        <f>IF(Afterflows!F110="","",Afterflows!F110)</f>
        <v/>
      </c>
      <c r="I118" s="207" t="str">
        <f>IF(Afterflows!G110="","",signum(Afterflows!G110,SigFig1))</f>
        <v/>
      </c>
      <c r="J118" s="207" t="str">
        <f>IF(Afterflows!H110="","",VND&amp;signum2(Afterflows!H110,SigFig1,SigFig2,VND))</f>
        <v/>
      </c>
      <c r="K118" s="207" t="str">
        <f>IF(Afterflows!L110="","",VND&amp;signum2(Afterflows!L110,SigFig1,SigFig2,VND))</f>
        <v/>
      </c>
      <c r="L118" s="793" t="str">
        <f>IF(Afterflows!M110="","",VND&amp;signum2(Afterflows!M110,SigFig1,SigFig2,VND))</f>
        <v/>
      </c>
    </row>
    <row r="119" spans="1:12">
      <c r="A119" s="792" t="str">
        <f>IF('Flows &amp; Isokinetics'!E46="","",'Flows &amp; Isokinetics'!E46)</f>
        <v/>
      </c>
      <c r="B119" s="790" t="str">
        <f>IF('Flows &amp; Isokinetics'!F46="","",'Flows &amp; Isokinetics'!F46)</f>
        <v/>
      </c>
      <c r="C119" s="794" t="str">
        <f>IF(Afterflows!F45="","",Afterflows!F45)</f>
        <v/>
      </c>
      <c r="D119" s="207" t="str">
        <f>IF(Afterflows!G45="","",signum(Afterflows!G45,SigFig1))</f>
        <v/>
      </c>
      <c r="E119" s="207" t="str">
        <f>IF(Afterflows!H45="","",VND&amp;signum2(Afterflows!H45,SigFig1,SigFig2,VND))</f>
        <v/>
      </c>
      <c r="F119" s="207" t="str">
        <f>IF(Afterflows!L45="","",VND&amp;signum2(Afterflows!L45,SigFig1,SigFig2,VND))</f>
        <v/>
      </c>
      <c r="G119" s="793" t="str">
        <f>IF(Afterflows!M45="","",VND&amp;signum2(Afterflows!M45,SigFig1,SigFig2,VND))</f>
        <v/>
      </c>
      <c r="H119" s="795" t="str">
        <f>IF(Afterflows!F111="","",Afterflows!F111)</f>
        <v/>
      </c>
      <c r="I119" s="207" t="str">
        <f>IF(Afterflows!G111="","",signum(Afterflows!G111,SigFig1))</f>
        <v/>
      </c>
      <c r="J119" s="207" t="str">
        <f>IF(Afterflows!H111="","",VND&amp;signum2(Afterflows!H111,SigFig1,SigFig2,VND))</f>
        <v/>
      </c>
      <c r="K119" s="207" t="str">
        <f>IF(Afterflows!L111="","",VND&amp;signum2(Afterflows!L111,SigFig1,SigFig2,VND))</f>
        <v/>
      </c>
      <c r="L119" s="793" t="str">
        <f>IF(Afterflows!M111="","",VND&amp;signum2(Afterflows!M111,SigFig1,SigFig2,VND))</f>
        <v/>
      </c>
    </row>
    <row r="120" spans="1:12">
      <c r="A120" s="792" t="str">
        <f>IF('Flows &amp; Isokinetics'!E47="","",'Flows &amp; Isokinetics'!E47)</f>
        <v/>
      </c>
      <c r="B120" s="790" t="str">
        <f>IF('Flows &amp; Isokinetics'!F47="","",'Flows &amp; Isokinetics'!F47)</f>
        <v/>
      </c>
      <c r="C120" s="794" t="str">
        <f>IF(Afterflows!F46="","",Afterflows!F46)</f>
        <v/>
      </c>
      <c r="D120" s="207" t="str">
        <f>IF(Afterflows!G46="","",signum(Afterflows!G46,SigFig1))</f>
        <v/>
      </c>
      <c r="E120" s="207" t="str">
        <f>IF(Afterflows!H46="","",VND&amp;signum2(Afterflows!H46,SigFig1,SigFig2,VND))</f>
        <v/>
      </c>
      <c r="F120" s="207" t="str">
        <f>IF(Afterflows!L46="","",VND&amp;signum2(Afterflows!L46,SigFig1,SigFig2,VND))</f>
        <v/>
      </c>
      <c r="G120" s="793" t="str">
        <f>IF(Afterflows!M46="","",VND&amp;signum2(Afterflows!M46,SigFig1,SigFig2,VND))</f>
        <v/>
      </c>
      <c r="H120" s="795" t="str">
        <f>IF(Afterflows!F112="","",Afterflows!F112)</f>
        <v/>
      </c>
      <c r="I120" s="207" t="str">
        <f>IF(Afterflows!G112="","",signum(Afterflows!G112,SigFig1))</f>
        <v/>
      </c>
      <c r="J120" s="207" t="str">
        <f>IF(Afterflows!H112="","",VND&amp;signum2(Afterflows!H112,SigFig1,SigFig2,VND))</f>
        <v/>
      </c>
      <c r="K120" s="207" t="str">
        <f>IF(Afterflows!L112="","",VND&amp;signum2(Afterflows!L112,SigFig1,SigFig2,VND))</f>
        <v/>
      </c>
      <c r="L120" s="793" t="str">
        <f>IF(Afterflows!M112="","",VND&amp;signum2(Afterflows!M112,SigFig1,SigFig2,VND))</f>
        <v/>
      </c>
    </row>
    <row r="121" spans="1:12">
      <c r="A121" s="792" t="str">
        <f>IF('Flows &amp; Isokinetics'!E48="","",'Flows &amp; Isokinetics'!E48)</f>
        <v/>
      </c>
      <c r="B121" s="790" t="str">
        <f>IF('Flows &amp; Isokinetics'!F48="","",'Flows &amp; Isokinetics'!F48)</f>
        <v/>
      </c>
      <c r="C121" s="794" t="str">
        <f>IF(Afterflows!F47="","",Afterflows!F47)</f>
        <v/>
      </c>
      <c r="D121" s="207" t="str">
        <f>IF(Afterflows!G47="","",signum(Afterflows!G47,SigFig1))</f>
        <v/>
      </c>
      <c r="E121" s="207" t="str">
        <f>IF(Afterflows!H47="","",VND&amp;signum2(Afterflows!H47,SigFig1,SigFig2,VND))</f>
        <v/>
      </c>
      <c r="F121" s="207" t="str">
        <f>IF(Afterflows!L47="","",VND&amp;signum2(Afterflows!L47,SigFig1,SigFig2,VND))</f>
        <v/>
      </c>
      <c r="G121" s="793" t="str">
        <f>IF(Afterflows!M47="","",VND&amp;signum2(Afterflows!M47,SigFig1,SigFig2,VND))</f>
        <v/>
      </c>
      <c r="H121" s="795" t="str">
        <f>IF(Afterflows!F113="","",Afterflows!F113)</f>
        <v/>
      </c>
      <c r="I121" s="207" t="str">
        <f>IF(Afterflows!G113="","",signum(Afterflows!G113,SigFig1))</f>
        <v/>
      </c>
      <c r="J121" s="207" t="str">
        <f>IF(Afterflows!H113="","",VND&amp;signum2(Afterflows!H113,SigFig1,SigFig2,VND))</f>
        <v/>
      </c>
      <c r="K121" s="207" t="str">
        <f>IF(Afterflows!L113="","",VND&amp;signum2(Afterflows!L113,SigFig1,SigFig2,VND))</f>
        <v/>
      </c>
      <c r="L121" s="793" t="str">
        <f>IF(Afterflows!M113="","",VND&amp;signum2(Afterflows!M113,SigFig1,SigFig2,VND))</f>
        <v/>
      </c>
    </row>
    <row r="122" spans="1:12">
      <c r="A122" s="792" t="str">
        <f>IF('Flows &amp; Isokinetics'!E49="","",'Flows &amp; Isokinetics'!E49)</f>
        <v/>
      </c>
      <c r="B122" s="790" t="str">
        <f>IF('Flows &amp; Isokinetics'!F49="","",'Flows &amp; Isokinetics'!F49)</f>
        <v/>
      </c>
      <c r="C122" s="794" t="str">
        <f>IF(Afterflows!F48="","",Afterflows!F48)</f>
        <v/>
      </c>
      <c r="D122" s="207" t="str">
        <f>IF(Afterflows!G48="","",signum(Afterflows!G48,SigFig1))</f>
        <v/>
      </c>
      <c r="E122" s="207" t="str">
        <f>IF(Afterflows!H48="","",VND&amp;signum2(Afterflows!H48,SigFig1,SigFig2,VND))</f>
        <v/>
      </c>
      <c r="F122" s="207" t="str">
        <f>IF(Afterflows!L48="","",VND&amp;signum2(Afterflows!L48,SigFig1,SigFig2,VND))</f>
        <v/>
      </c>
      <c r="G122" s="793" t="str">
        <f>IF(Afterflows!M48="","",VND&amp;signum2(Afterflows!M48,SigFig1,SigFig2,VND))</f>
        <v/>
      </c>
      <c r="H122" s="795" t="str">
        <f>IF(Afterflows!F114="","",Afterflows!F114)</f>
        <v/>
      </c>
      <c r="I122" s="207" t="str">
        <f>IF(Afterflows!G114="","",signum(Afterflows!G114,SigFig1))</f>
        <v/>
      </c>
      <c r="J122" s="207" t="str">
        <f>IF(Afterflows!H114="","",VND&amp;signum2(Afterflows!H114,SigFig1,SigFig2,VND))</f>
        <v/>
      </c>
      <c r="K122" s="207" t="str">
        <f>IF(Afterflows!L114="","",VND&amp;signum2(Afterflows!L114,SigFig1,SigFig2,VND))</f>
        <v/>
      </c>
      <c r="L122" s="793" t="str">
        <f>IF(Afterflows!M114="","",VND&amp;signum2(Afterflows!M114,SigFig1,SigFig2,VND))</f>
        <v/>
      </c>
    </row>
    <row r="123" spans="1:12">
      <c r="A123" s="792" t="str">
        <f>IF('Flows &amp; Isokinetics'!E50="","",'Flows &amp; Isokinetics'!E50)</f>
        <v/>
      </c>
      <c r="B123" s="790" t="str">
        <f>IF('Flows &amp; Isokinetics'!F50="","",'Flows &amp; Isokinetics'!F50)</f>
        <v/>
      </c>
      <c r="C123" s="794" t="str">
        <f>IF(Afterflows!F49="","",Afterflows!F49)</f>
        <v/>
      </c>
      <c r="D123" s="207" t="str">
        <f>IF(Afterflows!G49="","",signum(Afterflows!G49,SigFig1))</f>
        <v/>
      </c>
      <c r="E123" s="207" t="str">
        <f>IF(Afterflows!H49="","",VND&amp;signum2(Afterflows!H49,SigFig1,SigFig2,VND))</f>
        <v/>
      </c>
      <c r="F123" s="207" t="str">
        <f>IF(Afterflows!L49="","",VND&amp;signum2(Afterflows!L49,SigFig1,SigFig2,VND))</f>
        <v/>
      </c>
      <c r="G123" s="793" t="str">
        <f>IF(Afterflows!M49="","",VND&amp;signum2(Afterflows!M49,SigFig1,SigFig2,VND))</f>
        <v/>
      </c>
      <c r="H123" s="795" t="str">
        <f>IF(Afterflows!F115="","",Afterflows!F115)</f>
        <v/>
      </c>
      <c r="I123" s="207" t="str">
        <f>IF(Afterflows!G115="","",signum(Afterflows!G115,SigFig1))</f>
        <v/>
      </c>
      <c r="J123" s="207" t="str">
        <f>IF(Afterflows!H115="","",VND&amp;signum2(Afterflows!H115,SigFig1,SigFig2,VND))</f>
        <v/>
      </c>
      <c r="K123" s="207" t="str">
        <f>IF(Afterflows!L115="","",VND&amp;signum2(Afterflows!L115,SigFig1,SigFig2,VND))</f>
        <v/>
      </c>
      <c r="L123" s="793" t="str">
        <f>IF(Afterflows!M115="","",VND&amp;signum2(Afterflows!M115,SigFig1,SigFig2,VND))</f>
        <v/>
      </c>
    </row>
    <row r="124" spans="1:12">
      <c r="A124" s="792" t="str">
        <f>IF('Flows &amp; Isokinetics'!E51="","",'Flows &amp; Isokinetics'!E51)</f>
        <v/>
      </c>
      <c r="B124" s="790" t="str">
        <f>IF('Flows &amp; Isokinetics'!F51="","",'Flows &amp; Isokinetics'!F51)</f>
        <v/>
      </c>
      <c r="C124" s="794" t="str">
        <f>IF(Afterflows!F50="","",Afterflows!F50)</f>
        <v/>
      </c>
      <c r="D124" s="207" t="str">
        <f>IF(Afterflows!G50="","",signum(Afterflows!G50,SigFig1))</f>
        <v/>
      </c>
      <c r="E124" s="207" t="str">
        <f>IF(Afterflows!H50="","",VND&amp;signum2(Afterflows!H50,SigFig1,SigFig2,VND))</f>
        <v/>
      </c>
      <c r="F124" s="207" t="str">
        <f>IF(Afterflows!L50="","",VND&amp;signum2(Afterflows!L50,SigFig1,SigFig2,VND))</f>
        <v/>
      </c>
      <c r="G124" s="793" t="str">
        <f>IF(Afterflows!M50="","",VND&amp;signum2(Afterflows!M50,SigFig1,SigFig2,VND))</f>
        <v/>
      </c>
      <c r="H124" s="795" t="str">
        <f>IF(Afterflows!F116="","",Afterflows!F116)</f>
        <v/>
      </c>
      <c r="I124" s="207" t="str">
        <f>IF(Afterflows!G116="","",signum(Afterflows!G116,SigFig1))</f>
        <v/>
      </c>
      <c r="J124" s="207" t="str">
        <f>IF(Afterflows!H116="","",VND&amp;signum2(Afterflows!H116,SigFig1,SigFig2,VND))</f>
        <v/>
      </c>
      <c r="K124" s="207" t="str">
        <f>IF(Afterflows!L116="","",VND&amp;signum2(Afterflows!L116,SigFig1,SigFig2,VND))</f>
        <v/>
      </c>
      <c r="L124" s="793" t="str">
        <f>IF(Afterflows!M116="","",VND&amp;signum2(Afterflows!M116,SigFig1,SigFig2,VND))</f>
        <v/>
      </c>
    </row>
    <row r="125" spans="1:12">
      <c r="A125" s="792" t="str">
        <f>IF('Flows &amp; Isokinetics'!E52="","",'Flows &amp; Isokinetics'!E52)</f>
        <v/>
      </c>
      <c r="B125" s="790" t="str">
        <f>IF('Flows &amp; Isokinetics'!F52="","",'Flows &amp; Isokinetics'!F52)</f>
        <v/>
      </c>
      <c r="C125" s="794" t="str">
        <f>IF(Afterflows!F51="","",Afterflows!F51)</f>
        <v/>
      </c>
      <c r="D125" s="207" t="str">
        <f>IF(Afterflows!G51="","",signum(Afterflows!G51,SigFig1))</f>
        <v/>
      </c>
      <c r="E125" s="207" t="str">
        <f>IF(Afterflows!H51="","",VND&amp;signum2(Afterflows!H51,SigFig1,SigFig2,VND))</f>
        <v/>
      </c>
      <c r="F125" s="207" t="str">
        <f>IF(Afterflows!L51="","",VND&amp;signum2(Afterflows!L51,SigFig1,SigFig2,VND))</f>
        <v/>
      </c>
      <c r="G125" s="793" t="str">
        <f>IF(Afterflows!M51="","",VND&amp;signum2(Afterflows!M51,SigFig1,SigFig2,VND))</f>
        <v/>
      </c>
      <c r="H125" s="795" t="str">
        <f>IF(Afterflows!F117="","",Afterflows!F117)</f>
        <v/>
      </c>
      <c r="I125" s="207" t="str">
        <f>IF(Afterflows!G117="","",signum(Afterflows!G117,SigFig1))</f>
        <v/>
      </c>
      <c r="J125" s="207" t="str">
        <f>IF(Afterflows!H117="","",VND&amp;signum2(Afterflows!H117,SigFig1,SigFig2,VND))</f>
        <v/>
      </c>
      <c r="K125" s="207" t="str">
        <f>IF(Afterflows!L117="","",VND&amp;signum2(Afterflows!L117,SigFig1,SigFig2,VND))</f>
        <v/>
      </c>
      <c r="L125" s="793" t="str">
        <f>IF(Afterflows!M117="","",VND&amp;signum2(Afterflows!M117,SigFig1,SigFig2,VND))</f>
        <v/>
      </c>
    </row>
    <row r="126" spans="1:12">
      <c r="A126" s="792" t="str">
        <f>IF('Flows &amp; Isokinetics'!E53="","",'Flows &amp; Isokinetics'!E53)</f>
        <v/>
      </c>
      <c r="B126" s="790" t="str">
        <f>IF('Flows &amp; Isokinetics'!F53="","",'Flows &amp; Isokinetics'!F53)</f>
        <v/>
      </c>
      <c r="C126" s="794" t="str">
        <f>IF(Afterflows!F52="","",Afterflows!F52)</f>
        <v/>
      </c>
      <c r="D126" s="207" t="str">
        <f>IF(Afterflows!G52="","",signum(Afterflows!G52,SigFig1))</f>
        <v/>
      </c>
      <c r="E126" s="207" t="str">
        <f>IF(Afterflows!H52="","",VND&amp;signum2(Afterflows!H52,SigFig1,SigFig2,VND))</f>
        <v/>
      </c>
      <c r="F126" s="207" t="str">
        <f>IF(Afterflows!L52="","",VND&amp;signum2(Afterflows!L52,SigFig1,SigFig2,VND))</f>
        <v/>
      </c>
      <c r="G126" s="793" t="str">
        <f>IF(Afterflows!M52="","",VND&amp;signum2(Afterflows!M52,SigFig1,SigFig2,VND))</f>
        <v/>
      </c>
      <c r="H126" s="795" t="str">
        <f>IF(Afterflows!F118="","",Afterflows!F118)</f>
        <v/>
      </c>
      <c r="I126" s="207" t="str">
        <f>IF(Afterflows!G118="","",signum(Afterflows!G118,SigFig1))</f>
        <v/>
      </c>
      <c r="J126" s="207" t="str">
        <f>IF(Afterflows!H118="","",VND&amp;signum2(Afterflows!H118,SigFig1,SigFig2,VND))</f>
        <v/>
      </c>
      <c r="K126" s="207" t="str">
        <f>IF(Afterflows!L118="","",VND&amp;signum2(Afterflows!L118,SigFig1,SigFig2,VND))</f>
        <v/>
      </c>
      <c r="L126" s="793" t="str">
        <f>IF(Afterflows!M118="","",VND&amp;signum2(Afterflows!M118,SigFig1,SigFig2,VND))</f>
        <v/>
      </c>
    </row>
    <row r="127" spans="1:12">
      <c r="A127" s="792" t="str">
        <f>IF('Flows &amp; Isokinetics'!E54="","",'Flows &amp; Isokinetics'!E54)</f>
        <v/>
      </c>
      <c r="B127" s="790" t="str">
        <f>IF('Flows &amp; Isokinetics'!F54="","",'Flows &amp; Isokinetics'!F54)</f>
        <v/>
      </c>
      <c r="C127" s="794" t="str">
        <f>IF(Afterflows!F53="","",Afterflows!F53)</f>
        <v/>
      </c>
      <c r="D127" s="207" t="str">
        <f>IF(Afterflows!G53="","",signum(Afterflows!G53,SigFig1))</f>
        <v/>
      </c>
      <c r="E127" s="207" t="str">
        <f>IF(Afterflows!H53="","",VND&amp;signum2(Afterflows!H53,SigFig1,SigFig2,VND))</f>
        <v/>
      </c>
      <c r="F127" s="207" t="str">
        <f>IF(Afterflows!L53="","",VND&amp;signum2(Afterflows!L53,SigFig1,SigFig2,VND))</f>
        <v/>
      </c>
      <c r="G127" s="793" t="str">
        <f>IF(Afterflows!M53="","",VND&amp;signum2(Afterflows!M53,SigFig1,SigFig2,VND))</f>
        <v/>
      </c>
      <c r="H127" s="795" t="str">
        <f>IF(Afterflows!F119="","",Afterflows!F119)</f>
        <v/>
      </c>
      <c r="I127" s="207" t="str">
        <f>IF(Afterflows!G119="","",signum(Afterflows!G119,SigFig1))</f>
        <v/>
      </c>
      <c r="J127" s="207" t="str">
        <f>IF(Afterflows!H119="","",VND&amp;signum2(Afterflows!H119,SigFig1,SigFig2,VND))</f>
        <v/>
      </c>
      <c r="K127" s="207" t="str">
        <f>IF(Afterflows!L119="","",VND&amp;signum2(Afterflows!L119,SigFig1,SigFig2,VND))</f>
        <v/>
      </c>
      <c r="L127" s="793" t="str">
        <f>IF(Afterflows!M119="","",VND&amp;signum2(Afterflows!M119,SigFig1,SigFig2,VND))</f>
        <v/>
      </c>
    </row>
    <row r="128" spans="1:12">
      <c r="A128" s="792" t="str">
        <f>IF('Flows &amp; Isokinetics'!E55="","",'Flows &amp; Isokinetics'!E55)</f>
        <v/>
      </c>
      <c r="B128" s="790" t="str">
        <f>IF('Flows &amp; Isokinetics'!F55="","",'Flows &amp; Isokinetics'!F55)</f>
        <v/>
      </c>
      <c r="C128" s="794" t="str">
        <f>IF(Afterflows!F54="","",Afterflows!F54)</f>
        <v/>
      </c>
      <c r="D128" s="207" t="str">
        <f>IF(Afterflows!G54="","",signum(Afterflows!G54,SigFig1))</f>
        <v/>
      </c>
      <c r="E128" s="207" t="str">
        <f>IF(Afterflows!H54="","",VND&amp;signum2(Afterflows!H54,SigFig1,SigFig2,VND))</f>
        <v/>
      </c>
      <c r="F128" s="207" t="str">
        <f>IF(Afterflows!L54="","",VND&amp;signum2(Afterflows!L54,SigFig1,SigFig2,VND))</f>
        <v/>
      </c>
      <c r="G128" s="793" t="str">
        <f>IF(Afterflows!M54="","",VND&amp;signum2(Afterflows!M54,SigFig1,SigFig2,VND))</f>
        <v/>
      </c>
      <c r="H128" s="795" t="str">
        <f>IF(Afterflows!F120="","",Afterflows!F120)</f>
        <v/>
      </c>
      <c r="I128" s="207" t="str">
        <f>IF(Afterflows!G120="","",signum(Afterflows!G120,SigFig1))</f>
        <v/>
      </c>
      <c r="J128" s="207" t="str">
        <f>IF(Afterflows!H120="","",VND&amp;signum2(Afterflows!H120,SigFig1,SigFig2,VND))</f>
        <v/>
      </c>
      <c r="K128" s="207" t="str">
        <f>IF(Afterflows!L120="","",VND&amp;signum2(Afterflows!L120,SigFig1,SigFig2,VND))</f>
        <v/>
      </c>
      <c r="L128" s="793" t="str">
        <f>IF(Afterflows!M120="","",VND&amp;signum2(Afterflows!M120,SigFig1,SigFig2,VND))</f>
        <v/>
      </c>
    </row>
    <row r="129" spans="1:12">
      <c r="A129" s="792" t="str">
        <f>IF('Flows &amp; Isokinetics'!E56="","",'Flows &amp; Isokinetics'!E56)</f>
        <v/>
      </c>
      <c r="B129" s="790" t="str">
        <f>IF('Flows &amp; Isokinetics'!F56="","",'Flows &amp; Isokinetics'!F56)</f>
        <v/>
      </c>
      <c r="C129" s="794" t="str">
        <f>IF(Afterflows!F55="","",Afterflows!F55)</f>
        <v/>
      </c>
      <c r="D129" s="207" t="str">
        <f>IF(Afterflows!G55="","",signum(Afterflows!G55,SigFig1))</f>
        <v/>
      </c>
      <c r="E129" s="207" t="str">
        <f>IF(Afterflows!H55="","",VND&amp;signum2(Afterflows!H55,SigFig1,SigFig2,VND))</f>
        <v/>
      </c>
      <c r="F129" s="207" t="str">
        <f>IF(Afterflows!L55="","",VND&amp;signum2(Afterflows!L55,SigFig1,SigFig2,VND))</f>
        <v/>
      </c>
      <c r="G129" s="793" t="str">
        <f>IF(Afterflows!M55="","",VND&amp;signum2(Afterflows!M55,SigFig1,SigFig2,VND))</f>
        <v/>
      </c>
      <c r="H129" s="795" t="str">
        <f>IF(Afterflows!F121="","",Afterflows!F121)</f>
        <v/>
      </c>
      <c r="I129" s="207" t="str">
        <f>IF(Afterflows!G121="","",signum(Afterflows!G121,SigFig1))</f>
        <v/>
      </c>
      <c r="J129" s="207" t="str">
        <f>IF(Afterflows!H121="","",VND&amp;signum2(Afterflows!H121,SigFig1,SigFig2,VND))</f>
        <v/>
      </c>
      <c r="K129" s="207" t="str">
        <f>IF(Afterflows!L121="","",VND&amp;signum2(Afterflows!L121,SigFig1,SigFig2,VND))</f>
        <v/>
      </c>
      <c r="L129" s="793" t="str">
        <f>IF(Afterflows!M121="","",VND&amp;signum2(Afterflows!M121,SigFig1,SigFig2,VND))</f>
        <v/>
      </c>
    </row>
    <row r="130" spans="1:12">
      <c r="A130" s="792" t="str">
        <f>IF('Flows &amp; Isokinetics'!E57="","",'Flows &amp; Isokinetics'!E57)</f>
        <v/>
      </c>
      <c r="B130" s="790" t="str">
        <f>IF('Flows &amp; Isokinetics'!F57="","",'Flows &amp; Isokinetics'!F57)</f>
        <v/>
      </c>
      <c r="C130" s="794" t="str">
        <f>IF(Afterflows!F56="","",Afterflows!F56)</f>
        <v/>
      </c>
      <c r="D130" s="207" t="str">
        <f>IF(Afterflows!G56="","",signum(Afterflows!G56,SigFig1))</f>
        <v/>
      </c>
      <c r="E130" s="207" t="str">
        <f>IF(Afterflows!H56="","",VND&amp;signum2(Afterflows!H56,SigFig1,SigFig2,VND))</f>
        <v/>
      </c>
      <c r="F130" s="207" t="str">
        <f>IF(Afterflows!L56="","",VND&amp;signum2(Afterflows!L56,SigFig1,SigFig2,VND))</f>
        <v/>
      </c>
      <c r="G130" s="793" t="str">
        <f>IF(Afterflows!M56="","",VND&amp;signum2(Afterflows!M56,SigFig1,SigFig2,VND))</f>
        <v/>
      </c>
      <c r="H130" s="795" t="str">
        <f>IF(Afterflows!F122="","",Afterflows!F122)</f>
        <v/>
      </c>
      <c r="I130" s="207" t="str">
        <f>IF(Afterflows!G122="","",signum(Afterflows!G122,SigFig1))</f>
        <v/>
      </c>
      <c r="J130" s="207" t="str">
        <f>IF(Afterflows!H122="","",VND&amp;signum2(Afterflows!H122,SigFig1,SigFig2,VND))</f>
        <v/>
      </c>
      <c r="K130" s="207" t="str">
        <f>IF(Afterflows!L122="","",VND&amp;signum2(Afterflows!L122,SigFig1,SigFig2,VND))</f>
        <v/>
      </c>
      <c r="L130" s="793" t="str">
        <f>IF(Afterflows!M122="","",VND&amp;signum2(Afterflows!M122,SigFig1,SigFig2,VND))</f>
        <v/>
      </c>
    </row>
    <row r="131" spans="1:12">
      <c r="A131" s="792" t="str">
        <f>IF('Flows &amp; Isokinetics'!E58="","",'Flows &amp; Isokinetics'!E58)</f>
        <v/>
      </c>
      <c r="B131" s="790" t="str">
        <f>IF('Flows &amp; Isokinetics'!F58="","",'Flows &amp; Isokinetics'!F58)</f>
        <v/>
      </c>
      <c r="C131" s="794" t="str">
        <f>IF(Afterflows!F57="","",Afterflows!F57)</f>
        <v/>
      </c>
      <c r="D131" s="207" t="str">
        <f>IF(Afterflows!G57="","",signum(Afterflows!G57,SigFig1))</f>
        <v/>
      </c>
      <c r="E131" s="207" t="str">
        <f>IF(Afterflows!H57="","",VND&amp;signum2(Afterflows!H57,SigFig1,SigFig2,VND))</f>
        <v/>
      </c>
      <c r="F131" s="207" t="str">
        <f>IF(Afterflows!L57="","",VND&amp;signum2(Afterflows!L57,SigFig1,SigFig2,VND))</f>
        <v/>
      </c>
      <c r="G131" s="793" t="str">
        <f>IF(Afterflows!M57="","",VND&amp;signum2(Afterflows!M57,SigFig1,SigFig2,VND))</f>
        <v/>
      </c>
      <c r="H131" s="795" t="str">
        <f>IF(Afterflows!F123="","",Afterflows!F123)</f>
        <v/>
      </c>
      <c r="I131" s="207" t="str">
        <f>IF(Afterflows!G123="","",signum(Afterflows!G123,SigFig1))</f>
        <v/>
      </c>
      <c r="J131" s="207" t="str">
        <f>IF(Afterflows!H123="","",VND&amp;signum2(Afterflows!H123,SigFig1,SigFig2,VND))</f>
        <v/>
      </c>
      <c r="K131" s="207" t="str">
        <f>IF(Afterflows!L123="","",VND&amp;signum2(Afterflows!L123,SigFig1,SigFig2,VND))</f>
        <v/>
      </c>
      <c r="L131" s="793" t="str">
        <f>IF(Afterflows!M123="","",VND&amp;signum2(Afterflows!M123,SigFig1,SigFig2,VND))</f>
        <v/>
      </c>
    </row>
    <row r="132" spans="1:12">
      <c r="A132" s="792" t="str">
        <f>IF('Flows &amp; Isokinetics'!E59="","",'Flows &amp; Isokinetics'!E59)</f>
        <v/>
      </c>
      <c r="B132" s="790" t="str">
        <f>IF('Flows &amp; Isokinetics'!F59="","",'Flows &amp; Isokinetics'!F59)</f>
        <v/>
      </c>
      <c r="C132" s="794" t="str">
        <f>IF(Afterflows!F58="","",Afterflows!F58)</f>
        <v/>
      </c>
      <c r="D132" s="207" t="str">
        <f>IF(Afterflows!G58="","",signum(Afterflows!G58,SigFig1))</f>
        <v/>
      </c>
      <c r="E132" s="207" t="str">
        <f>IF(Afterflows!H58="","",VND&amp;signum2(Afterflows!H58,SigFig1,SigFig2,VND))</f>
        <v/>
      </c>
      <c r="F132" s="207" t="str">
        <f>IF(Afterflows!L58="","",VND&amp;signum2(Afterflows!L58,SigFig1,SigFig2,VND))</f>
        <v/>
      </c>
      <c r="G132" s="793" t="str">
        <f>IF(Afterflows!M58="","",VND&amp;signum2(Afterflows!M58,SigFig1,SigFig2,VND))</f>
        <v/>
      </c>
      <c r="H132" s="795" t="str">
        <f>IF(Afterflows!F124="","",Afterflows!F124)</f>
        <v/>
      </c>
      <c r="I132" s="207" t="str">
        <f>IF(Afterflows!G124="","",signum(Afterflows!G124,SigFig1))</f>
        <v/>
      </c>
      <c r="J132" s="207" t="str">
        <f>IF(Afterflows!H124="","",VND&amp;signum2(Afterflows!H124,SigFig1,SigFig2,VND))</f>
        <v/>
      </c>
      <c r="K132" s="207" t="str">
        <f>IF(Afterflows!L124="","",VND&amp;signum2(Afterflows!L124,SigFig1,SigFig2,VND))</f>
        <v/>
      </c>
      <c r="L132" s="793" t="str">
        <f>IF(Afterflows!M124="","",VND&amp;signum2(Afterflows!M124,SigFig1,SigFig2,VND))</f>
        <v/>
      </c>
    </row>
    <row r="133" spans="1:12">
      <c r="A133" s="792" t="str">
        <f>IF('Flows &amp; Isokinetics'!E60="","",'Flows &amp; Isokinetics'!E60)</f>
        <v/>
      </c>
      <c r="B133" s="790" t="str">
        <f>IF('Flows &amp; Isokinetics'!F60="","",'Flows &amp; Isokinetics'!F60)</f>
        <v/>
      </c>
      <c r="C133" s="794" t="str">
        <f>IF(Afterflows!F59="","",Afterflows!F59)</f>
        <v/>
      </c>
      <c r="D133" s="207" t="str">
        <f>IF(Afterflows!G59="","",signum(Afterflows!G59,SigFig1))</f>
        <v/>
      </c>
      <c r="E133" s="207" t="str">
        <f>IF(Afterflows!H59="","",VND&amp;signum2(Afterflows!H59,SigFig1,SigFig2,VND))</f>
        <v/>
      </c>
      <c r="F133" s="207" t="str">
        <f>IF(Afterflows!L59="","",VND&amp;signum2(Afterflows!L59,SigFig1,SigFig2,VND))</f>
        <v/>
      </c>
      <c r="G133" s="793" t="str">
        <f>IF(Afterflows!M59="","",VND&amp;signum2(Afterflows!M59,SigFig1,SigFig2,VND))</f>
        <v/>
      </c>
      <c r="H133" s="795" t="str">
        <f>IF(Afterflows!F125="","",Afterflows!F125)</f>
        <v/>
      </c>
      <c r="I133" s="207" t="str">
        <f>IF(Afterflows!G125="","",signum(Afterflows!G125,SigFig1))</f>
        <v/>
      </c>
      <c r="J133" s="207" t="str">
        <f>IF(Afterflows!H125="","",VND&amp;signum2(Afterflows!H125,SigFig1,SigFig2,VND))</f>
        <v/>
      </c>
      <c r="K133" s="207" t="str">
        <f>IF(Afterflows!L125="","",VND&amp;signum2(Afterflows!L125,SigFig1,SigFig2,VND))</f>
        <v/>
      </c>
      <c r="L133" s="793" t="str">
        <f>IF(Afterflows!M125="","",VND&amp;signum2(Afterflows!M125,SigFig1,SigFig2,VND))</f>
        <v/>
      </c>
    </row>
    <row r="134" spans="1:12">
      <c r="A134" s="792" t="str">
        <f>IF('Flows &amp; Isokinetics'!E61="","",'Flows &amp; Isokinetics'!E61)</f>
        <v/>
      </c>
      <c r="B134" s="790" t="str">
        <f>IF('Flows &amp; Isokinetics'!F61="","",'Flows &amp; Isokinetics'!F61)</f>
        <v/>
      </c>
      <c r="C134" s="794" t="str">
        <f>IF(Afterflows!F60="","",Afterflows!F60)</f>
        <v/>
      </c>
      <c r="D134" s="207" t="str">
        <f>IF(Afterflows!G60="","",signum(Afterflows!G60,SigFig1))</f>
        <v/>
      </c>
      <c r="E134" s="207" t="str">
        <f>IF(Afterflows!H60="","",VND&amp;signum2(Afterflows!H60,SigFig1,SigFig2,VND))</f>
        <v/>
      </c>
      <c r="F134" s="207" t="str">
        <f>IF(Afterflows!L60="","",VND&amp;signum2(Afterflows!L60,SigFig1,SigFig2,VND))</f>
        <v/>
      </c>
      <c r="G134" s="793" t="str">
        <f>IF(Afterflows!M60="","",VND&amp;signum2(Afterflows!M60,SigFig1,SigFig2,VND))</f>
        <v/>
      </c>
      <c r="H134" s="795" t="str">
        <f>IF(Afterflows!F126="","",Afterflows!F126)</f>
        <v/>
      </c>
      <c r="I134" s="207" t="str">
        <f>IF(Afterflows!G126="","",signum(Afterflows!G126,SigFig1))</f>
        <v/>
      </c>
      <c r="J134" s="207" t="str">
        <f>IF(Afterflows!H126="","",VND&amp;signum2(Afterflows!H126,SigFig1,SigFig2,VND))</f>
        <v/>
      </c>
      <c r="K134" s="207" t="str">
        <f>IF(Afterflows!L126="","",VND&amp;signum2(Afterflows!L126,SigFig1,SigFig2,VND))</f>
        <v/>
      </c>
      <c r="L134" s="793" t="str">
        <f>IF(Afterflows!M126="","",VND&amp;signum2(Afterflows!M126,SigFig1,SigFig2,VND))</f>
        <v/>
      </c>
    </row>
    <row r="135" spans="1:12">
      <c r="A135" s="792" t="str">
        <f>IF('Flows &amp; Isokinetics'!E62="","",'Flows &amp; Isokinetics'!E62)</f>
        <v/>
      </c>
      <c r="B135" s="790" t="str">
        <f>IF('Flows &amp; Isokinetics'!F62="","",'Flows &amp; Isokinetics'!F62)</f>
        <v/>
      </c>
      <c r="C135" s="794" t="str">
        <f>IF(Afterflows!F61="","",Afterflows!F61)</f>
        <v/>
      </c>
      <c r="D135" s="207" t="str">
        <f>IF(Afterflows!G61="","",signum(Afterflows!G61,SigFig1))</f>
        <v/>
      </c>
      <c r="E135" s="207" t="str">
        <f>IF(Afterflows!H61="","",VND&amp;signum2(Afterflows!H61,SigFig1,SigFig2,VND))</f>
        <v/>
      </c>
      <c r="F135" s="207" t="str">
        <f>IF(Afterflows!L61="","",VND&amp;signum2(Afterflows!L61,SigFig1,SigFig2,VND))</f>
        <v/>
      </c>
      <c r="G135" s="793" t="str">
        <f>IF(Afterflows!M61="","",VND&amp;signum2(Afterflows!M61,SigFig1,SigFig2,VND))</f>
        <v/>
      </c>
      <c r="H135" s="795" t="str">
        <f>IF(Afterflows!F127="","",Afterflows!F127)</f>
        <v/>
      </c>
      <c r="I135" s="207" t="str">
        <f>IF(Afterflows!G127="","",signum(Afterflows!G127,SigFig1))</f>
        <v/>
      </c>
      <c r="J135" s="207" t="str">
        <f>IF(Afterflows!H127="","",VND&amp;signum2(Afterflows!H127,SigFig1,SigFig2,VND))</f>
        <v/>
      </c>
      <c r="K135" s="207" t="str">
        <f>IF(Afterflows!L127="","",VND&amp;signum2(Afterflows!L127,SigFig1,SigFig2,VND))</f>
        <v/>
      </c>
      <c r="L135" s="793" t="str">
        <f>IF(Afterflows!M127="","",VND&amp;signum2(Afterflows!M127,SigFig1,SigFig2,VND))</f>
        <v/>
      </c>
    </row>
    <row r="136" spans="1:12">
      <c r="A136" s="792" t="str">
        <f>IF('Flows &amp; Isokinetics'!E63="","",'Flows &amp; Isokinetics'!E63)</f>
        <v/>
      </c>
      <c r="B136" s="790" t="str">
        <f>IF('Flows &amp; Isokinetics'!F63="","",'Flows &amp; Isokinetics'!F63)</f>
        <v/>
      </c>
      <c r="C136" s="794" t="str">
        <f>IF(Afterflows!F62="","",Afterflows!F62)</f>
        <v/>
      </c>
      <c r="D136" s="207" t="str">
        <f>IF(Afterflows!G62="","",signum(Afterflows!G62,SigFig1))</f>
        <v/>
      </c>
      <c r="E136" s="207" t="str">
        <f>IF(Afterflows!H62="","",VND&amp;signum2(Afterflows!H62,SigFig1,SigFig2,VND))</f>
        <v/>
      </c>
      <c r="F136" s="207" t="str">
        <f>IF(Afterflows!L62="","",VND&amp;signum2(Afterflows!L62,SigFig1,SigFig2,VND))</f>
        <v/>
      </c>
      <c r="G136" s="793" t="str">
        <f>IF(Afterflows!M62="","",VND&amp;signum2(Afterflows!M62,SigFig1,SigFig2,VND))</f>
        <v/>
      </c>
      <c r="H136" s="795" t="str">
        <f>IF(Afterflows!F128="","",Afterflows!F128)</f>
        <v/>
      </c>
      <c r="I136" s="207" t="str">
        <f>IF(Afterflows!G128="","",signum(Afterflows!G128,SigFig1))</f>
        <v/>
      </c>
      <c r="J136" s="207" t="str">
        <f>IF(Afterflows!H128="","",VND&amp;signum2(Afterflows!H128,SigFig1,SigFig2,VND))</f>
        <v/>
      </c>
      <c r="K136" s="207" t="str">
        <f>IF(Afterflows!L128="","",VND&amp;signum2(Afterflows!L128,SigFig1,SigFig2,VND))</f>
        <v/>
      </c>
      <c r="L136" s="793" t="str">
        <f>IF(Afterflows!M128="","",VND&amp;signum2(Afterflows!M128,SigFig1,SigFig2,VND))</f>
        <v/>
      </c>
    </row>
    <row r="137" spans="1:12">
      <c r="A137" s="792" t="str">
        <f>IF('Flows &amp; Isokinetics'!E64="","",'Flows &amp; Isokinetics'!E64)</f>
        <v/>
      </c>
      <c r="B137" s="790" t="str">
        <f>IF('Flows &amp; Isokinetics'!F64="","",'Flows &amp; Isokinetics'!F64)</f>
        <v/>
      </c>
      <c r="C137" s="794" t="str">
        <f>IF(Afterflows!F63="","",Afterflows!F63)</f>
        <v/>
      </c>
      <c r="D137" s="207" t="str">
        <f>IF(Afterflows!G63="","",signum(Afterflows!G63,SigFig1))</f>
        <v/>
      </c>
      <c r="E137" s="207" t="str">
        <f>IF(Afterflows!H63="","",VND&amp;signum2(Afterflows!H63,SigFig1,SigFig2,VND))</f>
        <v/>
      </c>
      <c r="F137" s="207" t="str">
        <f>IF(Afterflows!L63="","",VND&amp;signum2(Afterflows!L63,SigFig1,SigFig2,VND))</f>
        <v/>
      </c>
      <c r="G137" s="793" t="str">
        <f>IF(Afterflows!M63="","",VND&amp;signum2(Afterflows!M63,SigFig1,SigFig2,VND))</f>
        <v/>
      </c>
      <c r="H137" s="795" t="str">
        <f>IF(Afterflows!F129="","",Afterflows!F129)</f>
        <v/>
      </c>
      <c r="I137" s="207" t="str">
        <f>IF(Afterflows!G129="","",signum(Afterflows!G129,SigFig1))</f>
        <v/>
      </c>
      <c r="J137" s="207" t="str">
        <f>IF(Afterflows!H129="","",VND&amp;signum2(Afterflows!H129,SigFig1,SigFig2,VND))</f>
        <v/>
      </c>
      <c r="K137" s="207" t="str">
        <f>IF(Afterflows!L129="","",VND&amp;signum2(Afterflows!L129,SigFig1,SigFig2,VND))</f>
        <v/>
      </c>
      <c r="L137" s="793" t="str">
        <f>IF(Afterflows!M129="","",VND&amp;signum2(Afterflows!M129,SigFig1,SigFig2,VND))</f>
        <v/>
      </c>
    </row>
    <row r="138" spans="1:12">
      <c r="A138" s="792" t="str">
        <f>IF('Flows &amp; Isokinetics'!E65="","",'Flows &amp; Isokinetics'!E65)</f>
        <v/>
      </c>
      <c r="B138" s="790" t="str">
        <f>IF('Flows &amp; Isokinetics'!F65="","",'Flows &amp; Isokinetics'!F65)</f>
        <v/>
      </c>
      <c r="C138" s="794" t="str">
        <f>IF(Afterflows!F64="","",Afterflows!F64)</f>
        <v/>
      </c>
      <c r="D138" s="207" t="str">
        <f>IF(Afterflows!G64="","",signum(Afterflows!G64,SigFig1))</f>
        <v/>
      </c>
      <c r="E138" s="207" t="str">
        <f>IF(Afterflows!H64="","",VND&amp;signum2(Afterflows!H64,SigFig1,SigFig2,VND))</f>
        <v/>
      </c>
      <c r="F138" s="207" t="str">
        <f>IF(Afterflows!L64="","",VND&amp;signum2(Afterflows!L64,SigFig1,SigFig2,VND))</f>
        <v/>
      </c>
      <c r="G138" s="793" t="str">
        <f>IF(Afterflows!M64="","",VND&amp;signum2(Afterflows!M64,SigFig1,SigFig2,VND))</f>
        <v/>
      </c>
      <c r="H138" s="795" t="str">
        <f>IF(Afterflows!F130="","",Afterflows!F130)</f>
        <v/>
      </c>
      <c r="I138" s="207" t="str">
        <f>IF(Afterflows!G130="","",signum(Afterflows!G130,SigFig1))</f>
        <v/>
      </c>
      <c r="J138" s="207" t="str">
        <f>IF(Afterflows!H130="","",VND&amp;signum2(Afterflows!H130,SigFig1,SigFig2,VND))</f>
        <v/>
      </c>
      <c r="K138" s="207" t="str">
        <f>IF(Afterflows!L130="","",VND&amp;signum2(Afterflows!L130,SigFig1,SigFig2,VND))</f>
        <v/>
      </c>
      <c r="L138" s="793" t="str">
        <f>IF(Afterflows!M130="","",VND&amp;signum2(Afterflows!M130,SigFig1,SigFig2,VND))</f>
        <v/>
      </c>
    </row>
    <row r="139" spans="1:12">
      <c r="A139" s="792" t="str">
        <f>IF('Flows &amp; Isokinetics'!E66="","",'Flows &amp; Isokinetics'!E66)</f>
        <v/>
      </c>
      <c r="B139" s="790" t="str">
        <f>IF('Flows &amp; Isokinetics'!F66="","",'Flows &amp; Isokinetics'!F66)</f>
        <v/>
      </c>
      <c r="C139" s="794" t="str">
        <f>IF(Afterflows!F65="","",Afterflows!F65)</f>
        <v/>
      </c>
      <c r="D139" s="207" t="str">
        <f>IF(Afterflows!G65="","",signum(Afterflows!G65,SigFig1))</f>
        <v/>
      </c>
      <c r="E139" s="207" t="str">
        <f>IF(Afterflows!H65="","",VND&amp;signum2(Afterflows!H65,SigFig1,SigFig2,VND))</f>
        <v/>
      </c>
      <c r="F139" s="207" t="str">
        <f>IF(Afterflows!L65="","",VND&amp;signum2(Afterflows!L65,SigFig1,SigFig2,VND))</f>
        <v/>
      </c>
      <c r="G139" s="793" t="str">
        <f>IF(Afterflows!M65="","",VND&amp;signum2(Afterflows!M65,SigFig1,SigFig2,VND))</f>
        <v/>
      </c>
      <c r="H139" s="795" t="str">
        <f>IF(Afterflows!F131="","",Afterflows!F131)</f>
        <v/>
      </c>
      <c r="I139" s="207" t="str">
        <f>IF(Afterflows!G131="","",signum(Afterflows!G131,SigFig1))</f>
        <v/>
      </c>
      <c r="J139" s="207" t="str">
        <f>IF(Afterflows!H131="","",VND&amp;signum2(Afterflows!H131,SigFig1,SigFig2,VND))</f>
        <v/>
      </c>
      <c r="K139" s="207" t="str">
        <f>IF(Afterflows!L131="","",VND&amp;signum2(Afterflows!L131,SigFig1,SigFig2,VND))</f>
        <v/>
      </c>
      <c r="L139" s="793" t="str">
        <f>IF(Afterflows!M131="","",VND&amp;signum2(Afterflows!M131,SigFig1,SigFig2,VND))</f>
        <v/>
      </c>
    </row>
    <row r="140" spans="1:12">
      <c r="A140" s="792" t="str">
        <f>IF('Flows &amp; Isokinetics'!E67="","",'Flows &amp; Isokinetics'!E67)</f>
        <v/>
      </c>
      <c r="B140" s="790" t="str">
        <f>IF('Flows &amp; Isokinetics'!F67="","",'Flows &amp; Isokinetics'!F67)</f>
        <v/>
      </c>
      <c r="C140" s="794" t="str">
        <f>IF(Afterflows!F66="","",Afterflows!F66)</f>
        <v/>
      </c>
      <c r="D140" s="207" t="str">
        <f>IF(Afterflows!G66="","",signum(Afterflows!G66,SigFig1))</f>
        <v/>
      </c>
      <c r="E140" s="207" t="str">
        <f>IF(Afterflows!H66="","",VND&amp;signum2(Afterflows!H66,SigFig1,SigFig2,VND))</f>
        <v/>
      </c>
      <c r="F140" s="207" t="str">
        <f>IF(Afterflows!L66="","",VND&amp;signum2(Afterflows!L66,SigFig1,SigFig2,VND))</f>
        <v/>
      </c>
      <c r="G140" s="793" t="str">
        <f>IF(Afterflows!M66="","",VND&amp;signum2(Afterflows!M66,SigFig1,SigFig2,VND))</f>
        <v/>
      </c>
      <c r="H140" s="795" t="str">
        <f>IF(Afterflows!F132="","",Afterflows!F132)</f>
        <v/>
      </c>
      <c r="I140" s="207" t="str">
        <f>IF(Afterflows!G132="","",signum(Afterflows!G132,SigFig1))</f>
        <v/>
      </c>
      <c r="J140" s="207" t="str">
        <f>IF(Afterflows!H132="","",VND&amp;signum2(Afterflows!H132,SigFig1,SigFig2,VND))</f>
        <v/>
      </c>
      <c r="K140" s="207" t="str">
        <f>IF(Afterflows!L132="","",VND&amp;signum2(Afterflows!L132,SigFig1,SigFig2,VND))</f>
        <v/>
      </c>
      <c r="L140" s="793" t="str">
        <f>IF(Afterflows!M132="","",VND&amp;signum2(Afterflows!M132,SigFig1,SigFig2,VND))</f>
        <v/>
      </c>
    </row>
    <row r="141" spans="1:12">
      <c r="A141" s="792" t="str">
        <f>IF('Flows &amp; Isokinetics'!E68="","",'Flows &amp; Isokinetics'!E68)</f>
        <v/>
      </c>
      <c r="B141" s="790" t="str">
        <f>IF('Flows &amp; Isokinetics'!F68="","",'Flows &amp; Isokinetics'!F68)</f>
        <v/>
      </c>
      <c r="C141" s="794" t="str">
        <f>IF(Afterflows!F67="","",Afterflows!F67)</f>
        <v/>
      </c>
      <c r="D141" s="207" t="str">
        <f>IF(Afterflows!G67="","",signum(Afterflows!G67,SigFig1))</f>
        <v/>
      </c>
      <c r="E141" s="207" t="str">
        <f>IF(Afterflows!H67="","",VND&amp;signum2(Afterflows!H67,SigFig1,SigFig2,VND))</f>
        <v/>
      </c>
      <c r="F141" s="207" t="str">
        <f>IF(Afterflows!L67="","",VND&amp;signum2(Afterflows!L67,SigFig1,SigFig2,VND))</f>
        <v/>
      </c>
      <c r="G141" s="793" t="str">
        <f>IF(Afterflows!M67="","",VND&amp;signum2(Afterflows!M67,SigFig1,SigFig2,VND))</f>
        <v/>
      </c>
      <c r="H141" s="795" t="str">
        <f>IF(Afterflows!F133="","",Afterflows!F133)</f>
        <v/>
      </c>
      <c r="I141" s="207" t="str">
        <f>IF(Afterflows!G133="","",signum(Afterflows!G133,SigFig1))</f>
        <v/>
      </c>
      <c r="J141" s="207" t="str">
        <f>IF(Afterflows!H133="","",VND&amp;signum2(Afterflows!H133,SigFig1,SigFig2,VND))</f>
        <v/>
      </c>
      <c r="K141" s="207" t="str">
        <f>IF(Afterflows!L133="","",VND&amp;signum2(Afterflows!L133,SigFig1,SigFig2,VND))</f>
        <v/>
      </c>
      <c r="L141" s="793" t="str">
        <f>IF(Afterflows!M133="","",VND&amp;signum2(Afterflows!M133,SigFig1,SigFig2,VND))</f>
        <v/>
      </c>
    </row>
    <row r="142" spans="1:12">
      <c r="A142" s="792" t="str">
        <f>IF('Flows &amp; Isokinetics'!E69="","",'Flows &amp; Isokinetics'!E69)</f>
        <v/>
      </c>
      <c r="B142" s="790" t="str">
        <f>IF('Flows &amp; Isokinetics'!F69="","",'Flows &amp; Isokinetics'!F69)</f>
        <v/>
      </c>
      <c r="C142" s="794" t="str">
        <f>IF(Afterflows!F68="","",Afterflows!F68)</f>
        <v/>
      </c>
      <c r="D142" s="207" t="str">
        <f>IF(Afterflows!G68="","",signum(Afterflows!G68,SigFig1))</f>
        <v/>
      </c>
      <c r="E142" s="207" t="str">
        <f>IF(Afterflows!H68="","",VND&amp;signum2(Afterflows!H68,SigFig1,SigFig2,VND))</f>
        <v/>
      </c>
      <c r="F142" s="207" t="str">
        <f>IF(Afterflows!L68="","",VND&amp;signum2(Afterflows!L68,SigFig1,SigFig2,VND))</f>
        <v/>
      </c>
      <c r="G142" s="793" t="str">
        <f>IF(Afterflows!M68="","",VND&amp;signum2(Afterflows!M68,SigFig1,SigFig2,VND))</f>
        <v/>
      </c>
      <c r="H142" s="795" t="str">
        <f>IF(Afterflows!F134="","",Afterflows!F134)</f>
        <v/>
      </c>
      <c r="I142" s="207" t="str">
        <f>IF(Afterflows!G134="","",signum(Afterflows!G134,SigFig1))</f>
        <v/>
      </c>
      <c r="J142" s="207" t="str">
        <f>IF(Afterflows!H134="","",VND&amp;signum2(Afterflows!H134,SigFig1,SigFig2,VND))</f>
        <v/>
      </c>
      <c r="K142" s="207" t="str">
        <f>IF(Afterflows!L134="","",VND&amp;signum2(Afterflows!L134,SigFig1,SigFig2,VND))</f>
        <v/>
      </c>
      <c r="L142" s="793" t="str">
        <f>IF(Afterflows!M134="","",VND&amp;signum2(Afterflows!M134,SigFig1,SigFig2,VND))</f>
        <v/>
      </c>
    </row>
    <row r="143" spans="1:12">
      <c r="A143" s="792" t="str">
        <f>IF('Flows &amp; Isokinetics'!E70="","",'Flows &amp; Isokinetics'!E70)</f>
        <v/>
      </c>
      <c r="B143" s="790" t="str">
        <f>IF('Flows &amp; Isokinetics'!F70="","",'Flows &amp; Isokinetics'!F70)</f>
        <v/>
      </c>
      <c r="C143" s="794" t="str">
        <f>IF(Afterflows!F69="","",Afterflows!F69)</f>
        <v/>
      </c>
      <c r="D143" s="207" t="str">
        <f>IF(Afterflows!G69="","",signum(Afterflows!G69,SigFig1))</f>
        <v/>
      </c>
      <c r="E143" s="207" t="str">
        <f>IF(Afterflows!H69="","",VND&amp;signum2(Afterflows!H69,SigFig1,SigFig2,VND))</f>
        <v/>
      </c>
      <c r="F143" s="207" t="str">
        <f>IF(Afterflows!L69="","",VND&amp;signum2(Afterflows!L69,SigFig1,SigFig2,VND))</f>
        <v/>
      </c>
      <c r="G143" s="793" t="str">
        <f>IF(Afterflows!M69="","",VND&amp;signum2(Afterflows!M69,SigFig1,SigFig2,VND))</f>
        <v/>
      </c>
      <c r="H143" s="795" t="str">
        <f>IF(Afterflows!F135="","",Afterflows!F135)</f>
        <v/>
      </c>
      <c r="I143" s="207" t="str">
        <f>IF(Afterflows!G135="","",signum(Afterflows!G135,SigFig1))</f>
        <v/>
      </c>
      <c r="J143" s="207" t="str">
        <f>IF(Afterflows!H135="","",VND&amp;signum2(Afterflows!H135,SigFig1,SigFig2,VND))</f>
        <v/>
      </c>
      <c r="K143" s="207" t="str">
        <f>IF(Afterflows!L135="","",VND&amp;signum2(Afterflows!L135,SigFig1,SigFig2,VND))</f>
        <v/>
      </c>
      <c r="L143" s="793" t="str">
        <f>IF(Afterflows!M135="","",VND&amp;signum2(Afterflows!M135,SigFig1,SigFig2,VND))</f>
        <v/>
      </c>
    </row>
    <row r="144" spans="1:12">
      <c r="A144" s="792" t="str">
        <f>IF('Flows &amp; Isokinetics'!E71="","",'Flows &amp; Isokinetics'!E71)</f>
        <v/>
      </c>
      <c r="B144" s="790" t="str">
        <f>IF('Flows &amp; Isokinetics'!F71="","",'Flows &amp; Isokinetics'!F71)</f>
        <v/>
      </c>
      <c r="C144" s="794" t="str">
        <f>IF(Afterflows!F70="","",Afterflows!F70)</f>
        <v/>
      </c>
      <c r="D144" s="207" t="str">
        <f>IF(Afterflows!G70="","",signum(Afterflows!G70,SigFig1))</f>
        <v/>
      </c>
      <c r="E144" s="207" t="str">
        <f>IF(Afterflows!H70="","",VND&amp;signum2(Afterflows!H70,SigFig1,SigFig2,VND))</f>
        <v/>
      </c>
      <c r="F144" s="207" t="str">
        <f>IF(Afterflows!L70="","",VND&amp;signum2(Afterflows!L70,SigFig1,SigFig2,VND))</f>
        <v/>
      </c>
      <c r="G144" s="793" t="str">
        <f>IF(Afterflows!M70="","",VND&amp;signum2(Afterflows!M70,SigFig1,SigFig2,VND))</f>
        <v/>
      </c>
      <c r="H144" s="795" t="str">
        <f>IF(Afterflows!F136="","",Afterflows!F136)</f>
        <v/>
      </c>
      <c r="I144" s="207" t="str">
        <f>IF(Afterflows!G136="","",signum(Afterflows!G136,SigFig1))</f>
        <v/>
      </c>
      <c r="J144" s="207" t="str">
        <f>IF(Afterflows!H136="","",VND&amp;signum2(Afterflows!H136,SigFig1,SigFig2,VND))</f>
        <v/>
      </c>
      <c r="K144" s="207" t="str">
        <f>IF(Afterflows!L136="","",VND&amp;signum2(Afterflows!L136,SigFig1,SigFig2,VND))</f>
        <v/>
      </c>
      <c r="L144" s="793" t="str">
        <f>IF(Afterflows!M136="","",VND&amp;signum2(Afterflows!M136,SigFig1,SigFig2,VND))</f>
        <v/>
      </c>
    </row>
    <row r="145" spans="1:12">
      <c r="A145" s="792" t="str">
        <f>IF('Flows &amp; Isokinetics'!E72="","",'Flows &amp; Isokinetics'!E72)</f>
        <v/>
      </c>
      <c r="B145" s="790" t="str">
        <f>IF('Flows &amp; Isokinetics'!F72="","",'Flows &amp; Isokinetics'!F72)</f>
        <v/>
      </c>
      <c r="C145" s="794" t="str">
        <f>IF(Afterflows!F71="","",Afterflows!F71)</f>
        <v/>
      </c>
      <c r="D145" s="207" t="str">
        <f>IF(Afterflows!G71="","",signum(Afterflows!G71,SigFig1))</f>
        <v/>
      </c>
      <c r="E145" s="207" t="str">
        <f>IF(Afterflows!H71="","",VND&amp;signum2(Afterflows!H71,SigFig1,SigFig2,VND))</f>
        <v/>
      </c>
      <c r="F145" s="207" t="str">
        <f>IF(Afterflows!L71="","",VND&amp;signum2(Afterflows!L71,SigFig1,SigFig2,VND))</f>
        <v/>
      </c>
      <c r="G145" s="793" t="str">
        <f>IF(Afterflows!M71="","",VND&amp;signum2(Afterflows!M71,SigFig1,SigFig2,VND))</f>
        <v/>
      </c>
      <c r="H145" s="795" t="str">
        <f>IF(Afterflows!F137="","",Afterflows!F137)</f>
        <v/>
      </c>
      <c r="I145" s="207" t="str">
        <f>IF(Afterflows!G137="","",signum(Afterflows!G137,SigFig1))</f>
        <v/>
      </c>
      <c r="J145" s="207" t="str">
        <f>IF(Afterflows!H137="","",VND&amp;signum2(Afterflows!H137,SigFig1,SigFig2,VND))</f>
        <v/>
      </c>
      <c r="K145" s="207" t="str">
        <f>IF(Afterflows!L137="","",VND&amp;signum2(Afterflows!L137,SigFig1,SigFig2,VND))</f>
        <v/>
      </c>
      <c r="L145" s="793" t="str">
        <f>IF(Afterflows!M137="","",VND&amp;signum2(Afterflows!M137,SigFig1,SigFig2,VND))</f>
        <v/>
      </c>
    </row>
    <row r="146" spans="1:12">
      <c r="A146" s="792" t="str">
        <f>IF('Flows &amp; Isokinetics'!E73="","",'Flows &amp; Isokinetics'!E73)</f>
        <v/>
      </c>
      <c r="B146" s="790" t="str">
        <f>IF('Flows &amp; Isokinetics'!F73="","",'Flows &amp; Isokinetics'!F73)</f>
        <v/>
      </c>
      <c r="C146" s="794" t="str">
        <f>IF(Afterflows!F72="","",Afterflows!F72)</f>
        <v/>
      </c>
      <c r="D146" s="207" t="str">
        <f>IF(Afterflows!G72="","",signum(Afterflows!G72,SigFig1))</f>
        <v/>
      </c>
      <c r="E146" s="207" t="str">
        <f>IF(Afterflows!H72="","",VND&amp;signum2(Afterflows!H72,SigFig1,SigFig2,VND))</f>
        <v/>
      </c>
      <c r="F146" s="207" t="str">
        <f>IF(Afterflows!L72="","",VND&amp;signum2(Afterflows!L72,SigFig1,SigFig2,VND))</f>
        <v/>
      </c>
      <c r="G146" s="793" t="str">
        <f>IF(Afterflows!M72="","",VND&amp;signum2(Afterflows!M72,SigFig1,SigFig2,VND))</f>
        <v/>
      </c>
      <c r="H146" s="795" t="str">
        <f>IF(Afterflows!F138="","",Afterflows!F138)</f>
        <v/>
      </c>
      <c r="I146" s="207" t="str">
        <f>IF(Afterflows!G138="","",signum(Afterflows!G138,SigFig1))</f>
        <v/>
      </c>
      <c r="J146" s="207" t="str">
        <f>IF(Afterflows!H138="","",VND&amp;signum2(Afterflows!H138,SigFig1,SigFig2,VND))</f>
        <v/>
      </c>
      <c r="K146" s="207" t="str">
        <f>IF(Afterflows!L138="","",VND&amp;signum2(Afterflows!L138,SigFig1,SigFig2,VND))</f>
        <v/>
      </c>
      <c r="L146" s="793" t="str">
        <f>IF(Afterflows!M138="","",VND&amp;signum2(Afterflows!M138,SigFig1,SigFig2,VND))</f>
        <v/>
      </c>
    </row>
    <row r="147" spans="1:12">
      <c r="A147" s="792" t="str">
        <f>IF('Flows &amp; Isokinetics'!E74="","",'Flows &amp; Isokinetics'!E74)</f>
        <v/>
      </c>
      <c r="B147" s="790" t="str">
        <f>IF('Flows &amp; Isokinetics'!F74="","",'Flows &amp; Isokinetics'!F74)</f>
        <v/>
      </c>
      <c r="C147" s="794" t="str">
        <f>IF(Afterflows!F73="","",Afterflows!F73)</f>
        <v/>
      </c>
      <c r="D147" s="207" t="str">
        <f>IF(Afterflows!G73="","",signum(Afterflows!G73,SigFig1))</f>
        <v/>
      </c>
      <c r="E147" s="207" t="str">
        <f>IF(Afterflows!H73="","",VND&amp;signum2(Afterflows!H73,SigFig1,SigFig2,VND))</f>
        <v/>
      </c>
      <c r="F147" s="207" t="str">
        <f>IF(Afterflows!L73="","",VND&amp;signum2(Afterflows!L73,SigFig1,SigFig2,VND))</f>
        <v/>
      </c>
      <c r="G147" s="793" t="str">
        <f>IF(Afterflows!M73="","",VND&amp;signum2(Afterflows!M73,SigFig1,SigFig2,VND))</f>
        <v/>
      </c>
      <c r="H147" s="795" t="str">
        <f>IF(Afterflows!F139="","",Afterflows!F139)</f>
        <v/>
      </c>
      <c r="I147" s="207" t="str">
        <f>IF(Afterflows!G139="","",signum(Afterflows!G139,SigFig1))</f>
        <v/>
      </c>
      <c r="J147" s="207" t="str">
        <f>IF(Afterflows!H139="","",VND&amp;signum2(Afterflows!H139,SigFig1,SigFig2,VND))</f>
        <v/>
      </c>
      <c r="K147" s="207" t="str">
        <f>IF(Afterflows!L139="","",VND&amp;signum2(Afterflows!L139,SigFig1,SigFig2,VND))</f>
        <v/>
      </c>
      <c r="L147" s="793" t="str">
        <f>IF(Afterflows!M139="","",VND&amp;signum2(Afterflows!M139,SigFig1,SigFig2,VND))</f>
        <v/>
      </c>
    </row>
    <row r="148" spans="1:12">
      <c r="A148" s="791"/>
      <c r="B148" s="812" t="str">
        <f>IF('Flows &amp; Isokinetics'!F76="","",'Flows &amp; Isokinetics'!F76)</f>
        <v>Averages</v>
      </c>
      <c r="C148" s="803" t="e">
        <f>IF(Afterflows!F75="","",Afterflows!F75)</f>
        <v>#DIV/0!</v>
      </c>
      <c r="D148" s="804" t="e">
        <f>IF(Afterflows!G75="","",signum(Afterflows!G75,SigFig1))</f>
        <v>#DIV/0!</v>
      </c>
      <c r="E148" s="804" t="e">
        <f>IF(Afterflows!H75="","",VND&amp;signum2(Afterflows!H75,SigFig1,SigFig2,VND))</f>
        <v>#DIV/0!</v>
      </c>
      <c r="F148" s="804" t="e">
        <f>IF(Afterflows!L75="","",VND&amp;signum2(Afterflows!L75,SigFig1,SigFig2,VND))</f>
        <v>#DIV/0!</v>
      </c>
      <c r="G148" s="805" t="e">
        <f>IF(Afterflows!M75="","",VND&amp;signum2(Afterflows!M75,SigFig1,SigFig2,VND))</f>
        <v>#DIV/0!</v>
      </c>
      <c r="H148" s="806" t="e">
        <f>IF(Afterflows!F141="","",Afterflows!F141)</f>
        <v>#DIV/0!</v>
      </c>
      <c r="I148" s="804" t="e">
        <f>IF(Afterflows!G141="","",signum(Afterflows!G141,SigFig1))</f>
        <v>#DIV/0!</v>
      </c>
      <c r="J148" s="804" t="e">
        <f>IF(Afterflows!H141="","",VND&amp;signum2(Afterflows!H141,SigFig1,SigFig2,VND))</f>
        <v>#DIV/0!</v>
      </c>
      <c r="K148" s="804" t="e">
        <f>IF(Afterflows!L141="","",VND&amp;signum2(Afterflows!L141,SigFig1,SigFig2,VND))</f>
        <v>#DIV/0!</v>
      </c>
      <c r="L148" s="805" t="e">
        <f>IF(Afterflows!M141="","",VND&amp;signum2(Afterflows!M141,SigFig1,SigFig2,VND))</f>
        <v>#DIV/0!</v>
      </c>
    </row>
    <row r="149" spans="1:12">
      <c r="A149" s="280" t="s">
        <v>41</v>
      </c>
      <c r="B149" s="280" t="s">
        <v>41</v>
      </c>
      <c r="C149" s="280" t="s">
        <v>41</v>
      </c>
      <c r="D149" s="280" t="s">
        <v>41</v>
      </c>
      <c r="E149" s="280" t="s">
        <v>41</v>
      </c>
      <c r="F149" s="280" t="s">
        <v>41</v>
      </c>
      <c r="G149" s="280" t="s">
        <v>41</v>
      </c>
      <c r="H149" s="280" t="s">
        <v>41</v>
      </c>
      <c r="I149" s="280" t="s">
        <v>41</v>
      </c>
      <c r="J149" s="280" t="s">
        <v>41</v>
      </c>
      <c r="K149" s="280" t="s">
        <v>41</v>
      </c>
      <c r="L149" s="280" t="s">
        <v>41</v>
      </c>
    </row>
    <row r="150" spans="1:12">
      <c r="A150" s="271" t="s">
        <v>869</v>
      </c>
      <c r="B150" s="272"/>
      <c r="C150" s="2507" t="s">
        <v>8</v>
      </c>
      <c r="D150" s="2508"/>
      <c r="E150" s="2508"/>
      <c r="F150" s="2508"/>
      <c r="G150" s="2509"/>
      <c r="H150" s="2508" t="s">
        <v>9</v>
      </c>
      <c r="I150" s="2508"/>
      <c r="J150" s="2508"/>
      <c r="K150" s="2508"/>
      <c r="L150" s="2509"/>
    </row>
    <row r="151" spans="1:12">
      <c r="A151" s="278"/>
      <c r="B151" s="788"/>
      <c r="C151" s="807" t="s">
        <v>855</v>
      </c>
      <c r="D151" s="808" t="s">
        <v>837</v>
      </c>
      <c r="E151" s="808" t="s">
        <v>838</v>
      </c>
      <c r="F151" s="808" t="s">
        <v>1214</v>
      </c>
      <c r="G151" s="809" t="s">
        <v>1214</v>
      </c>
      <c r="H151" s="807" t="s">
        <v>855</v>
      </c>
      <c r="I151" s="808" t="s">
        <v>837</v>
      </c>
      <c r="J151" s="808" t="s">
        <v>838</v>
      </c>
      <c r="K151" s="808" t="s">
        <v>1214</v>
      </c>
      <c r="L151" s="809" t="s">
        <v>1214</v>
      </c>
    </row>
    <row r="152" spans="1:12">
      <c r="A152" s="279"/>
      <c r="B152" s="788"/>
      <c r="C152" s="807" t="s">
        <v>53</v>
      </c>
      <c r="D152" s="808" t="s">
        <v>872</v>
      </c>
      <c r="E152" s="808" t="s">
        <v>872</v>
      </c>
      <c r="F152" s="808" t="s">
        <v>634</v>
      </c>
      <c r="G152" s="809" t="s">
        <v>843</v>
      </c>
      <c r="H152" s="807" t="s">
        <v>53</v>
      </c>
      <c r="I152" s="808" t="s">
        <v>872</v>
      </c>
      <c r="J152" s="808" t="s">
        <v>872</v>
      </c>
      <c r="K152" s="808" t="s">
        <v>634</v>
      </c>
      <c r="L152" s="809" t="s">
        <v>843</v>
      </c>
    </row>
    <row r="153" spans="1:12">
      <c r="A153" s="792" t="str">
        <f>IF('Flows &amp; Isokinetics'!E15="","",'Flows &amp; Isokinetics'!E15)</f>
        <v/>
      </c>
      <c r="B153" s="790" t="str">
        <f>IF('Flows &amp; Isokinetics'!F15="","",'Flows &amp; Isokinetics'!F15)</f>
        <v/>
      </c>
      <c r="C153" s="794" t="str">
        <f>IF('PM10 &amp; 2.5'!E15="","",'PM10 &amp; 2.5'!E15)</f>
        <v/>
      </c>
      <c r="D153" s="207" t="str">
        <f>IF('PM10 &amp; 2.5'!J15="","",signum('PM10 &amp; 2.5'!J15,SigFig1))</f>
        <v/>
      </c>
      <c r="E153" s="207" t="str">
        <f>IF('PM10 &amp; 2.5'!K15="","",VND&amp;signum2('PM10 &amp; 2.5'!K15,SigFig1,SigFig2,VND))</f>
        <v/>
      </c>
      <c r="F153" s="207" t="str">
        <f>IF('PM10 &amp; 2.5'!S15="","",VND&amp;signum2('PM10 &amp; 2.5'!S15,SigFig1,SigFig2,VND))</f>
        <v/>
      </c>
      <c r="G153" s="207" t="str">
        <f>IF('PM10 &amp; 2.5'!X15="","",VND&amp;signum2('PM10 &amp; 2.5'!X15,SigFig1,SigFig2,VND))</f>
        <v/>
      </c>
      <c r="H153" s="794" t="str">
        <f>IF('PM10 &amp; 2.5'!E81="","",'PM10 &amp; 2.5'!E81)</f>
        <v/>
      </c>
      <c r="I153" s="207" t="str">
        <f>IF('PM10 &amp; 2.5'!J81="","",signum('PM10 &amp; 2.5'!J81,SigFig1))</f>
        <v/>
      </c>
      <c r="J153" s="207" t="str">
        <f>IF('PM10 &amp; 2.5'!K81="","",VND&amp;signum2('PM10 &amp; 2.5'!K81,SigFig1,SigFig2,VND))</f>
        <v/>
      </c>
      <c r="K153" s="207" t="str">
        <f>IF('PM10 &amp; 2.5'!S81="","",VND&amp;signum2('PM10 &amp; 2.5'!S81,SigFig1,SigFig2,VND))</f>
        <v/>
      </c>
      <c r="L153" s="793" t="str">
        <f>IF('PM10 &amp; 2.5'!X81="","",VND&amp;signum2('PM10 &amp; 2.5'!X81,SigFig1,SigFig2,VND))</f>
        <v/>
      </c>
    </row>
    <row r="154" spans="1:12">
      <c r="A154" s="792" t="str">
        <f>IF('Flows &amp; Isokinetics'!E16="","",'Flows &amp; Isokinetics'!E16)</f>
        <v/>
      </c>
      <c r="B154" s="790" t="str">
        <f>IF('Flows &amp; Isokinetics'!F16="","",'Flows &amp; Isokinetics'!F16)</f>
        <v/>
      </c>
      <c r="C154" s="794" t="str">
        <f>IF('PM10 &amp; 2.5'!E16="","",'PM10 &amp; 2.5'!E16)</f>
        <v/>
      </c>
      <c r="D154" s="207" t="str">
        <f>IF('PM10 &amp; 2.5'!J16="","",signum('PM10 &amp; 2.5'!J16,SigFig1))</f>
        <v/>
      </c>
      <c r="E154" s="207" t="str">
        <f>IF('PM10 &amp; 2.5'!K16="","",VND&amp;signum2('PM10 &amp; 2.5'!K16,SigFig1,SigFig2,VND))</f>
        <v/>
      </c>
      <c r="F154" s="207" t="str">
        <f>IF('PM10 &amp; 2.5'!S16="","",VND&amp;signum2('PM10 &amp; 2.5'!S16,SigFig1,SigFig2,VND))</f>
        <v/>
      </c>
      <c r="G154" s="207" t="str">
        <f>IF('PM10 &amp; 2.5'!X16="","",VND&amp;signum2('PM10 &amp; 2.5'!X16,SigFig1,SigFig2,VND))</f>
        <v/>
      </c>
      <c r="H154" s="794" t="str">
        <f>IF('PM10 &amp; 2.5'!E82="","",'PM10 &amp; 2.5'!E82)</f>
        <v/>
      </c>
      <c r="I154" s="207" t="str">
        <f>IF('PM10 &amp; 2.5'!J82="","",signum('PM10 &amp; 2.5'!J82,SigFig1))</f>
        <v/>
      </c>
      <c r="J154" s="207" t="str">
        <f>IF('PM10 &amp; 2.5'!K82="","",VND&amp;signum2('PM10 &amp; 2.5'!K82,SigFig1,SigFig2,VND))</f>
        <v/>
      </c>
      <c r="K154" s="207" t="str">
        <f>IF('PM10 &amp; 2.5'!S82="","",VND&amp;signum2('PM10 &amp; 2.5'!S82,SigFig1,SigFig2,VND))</f>
        <v/>
      </c>
      <c r="L154" s="793" t="str">
        <f>IF('PM10 &amp; 2.5'!X82="","",VND&amp;signum2('PM10 &amp; 2.5'!X82,SigFig1,SigFig2,VND))</f>
        <v/>
      </c>
    </row>
    <row r="155" spans="1:12">
      <c r="A155" s="792" t="str">
        <f>IF('Flows &amp; Isokinetics'!E17="","",'Flows &amp; Isokinetics'!E17)</f>
        <v/>
      </c>
      <c r="B155" s="790" t="str">
        <f>IF('Flows &amp; Isokinetics'!F17="","",'Flows &amp; Isokinetics'!F17)</f>
        <v/>
      </c>
      <c r="C155" s="794" t="str">
        <f>IF('PM10 &amp; 2.5'!E17="","",'PM10 &amp; 2.5'!E17)</f>
        <v/>
      </c>
      <c r="D155" s="207" t="str">
        <f>IF('PM10 &amp; 2.5'!J17="","",signum('PM10 &amp; 2.5'!J17,SigFig1))</f>
        <v/>
      </c>
      <c r="E155" s="207" t="str">
        <f>IF('PM10 &amp; 2.5'!K17="","",VND&amp;signum2('PM10 &amp; 2.5'!K17,SigFig1,SigFig2,VND))</f>
        <v/>
      </c>
      <c r="F155" s="207" t="str">
        <f>IF('PM10 &amp; 2.5'!S17="","",VND&amp;signum2('PM10 &amp; 2.5'!S17,SigFig1,SigFig2,VND))</f>
        <v/>
      </c>
      <c r="G155" s="207" t="str">
        <f>IF('PM10 &amp; 2.5'!X17="","",VND&amp;signum2('PM10 &amp; 2.5'!X17,SigFig1,SigFig2,VND))</f>
        <v/>
      </c>
      <c r="H155" s="794" t="str">
        <f>IF('PM10 &amp; 2.5'!E83="","",'PM10 &amp; 2.5'!E83)</f>
        <v/>
      </c>
      <c r="I155" s="207" t="str">
        <f>IF('PM10 &amp; 2.5'!J83="","",signum('PM10 &amp; 2.5'!J83,SigFig1))</f>
        <v/>
      </c>
      <c r="J155" s="207" t="str">
        <f>IF('PM10 &amp; 2.5'!K83="","",VND&amp;signum2('PM10 &amp; 2.5'!K83,SigFig1,SigFig2,VND))</f>
        <v/>
      </c>
      <c r="K155" s="207" t="str">
        <f>IF('PM10 &amp; 2.5'!S83="","",VND&amp;signum2('PM10 &amp; 2.5'!S83,SigFig1,SigFig2,VND))</f>
        <v/>
      </c>
      <c r="L155" s="793" t="str">
        <f>IF('PM10 &amp; 2.5'!X83="","",VND&amp;signum2('PM10 &amp; 2.5'!X83,SigFig1,SigFig2,VND))</f>
        <v/>
      </c>
    </row>
    <row r="156" spans="1:12">
      <c r="A156" s="792" t="str">
        <f>IF('Flows &amp; Isokinetics'!E18="","",'Flows &amp; Isokinetics'!E18)</f>
        <v/>
      </c>
      <c r="B156" s="790" t="str">
        <f>IF('Flows &amp; Isokinetics'!F18="","",'Flows &amp; Isokinetics'!F18)</f>
        <v/>
      </c>
      <c r="C156" s="794" t="str">
        <f>IF('PM10 &amp; 2.5'!E18="","",'PM10 &amp; 2.5'!E18)</f>
        <v/>
      </c>
      <c r="D156" s="207" t="str">
        <f>IF('PM10 &amp; 2.5'!J18="","",signum('PM10 &amp; 2.5'!J18,SigFig1))</f>
        <v/>
      </c>
      <c r="E156" s="207" t="str">
        <f>IF('PM10 &amp; 2.5'!K18="","",VND&amp;signum2('PM10 &amp; 2.5'!K18,SigFig1,SigFig2,VND))</f>
        <v/>
      </c>
      <c r="F156" s="207" t="str">
        <f>IF('PM10 &amp; 2.5'!S18="","",VND&amp;signum2('PM10 &amp; 2.5'!S18,SigFig1,SigFig2,VND))</f>
        <v/>
      </c>
      <c r="G156" s="207" t="str">
        <f>IF('PM10 &amp; 2.5'!X18="","",VND&amp;signum2('PM10 &amp; 2.5'!X18,SigFig1,SigFig2,VND))</f>
        <v/>
      </c>
      <c r="H156" s="794" t="str">
        <f>IF('PM10 &amp; 2.5'!E84="","",'PM10 &amp; 2.5'!E84)</f>
        <v/>
      </c>
      <c r="I156" s="207" t="str">
        <f>IF('PM10 &amp; 2.5'!J84="","",signum('PM10 &amp; 2.5'!J84,SigFig1))</f>
        <v/>
      </c>
      <c r="J156" s="207" t="str">
        <f>IF('PM10 &amp; 2.5'!K84="","",VND&amp;signum2('PM10 &amp; 2.5'!K84,SigFig1,SigFig2,VND))</f>
        <v/>
      </c>
      <c r="K156" s="207" t="str">
        <f>IF('PM10 &amp; 2.5'!S84="","",VND&amp;signum2('PM10 &amp; 2.5'!S84,SigFig1,SigFig2,VND))</f>
        <v/>
      </c>
      <c r="L156" s="793" t="str">
        <f>IF('PM10 &amp; 2.5'!X84="","",VND&amp;signum2('PM10 &amp; 2.5'!X84,SigFig1,SigFig2,VND))</f>
        <v/>
      </c>
    </row>
    <row r="157" spans="1:12">
      <c r="A157" s="792" t="str">
        <f>IF('Flows &amp; Isokinetics'!E19="","",'Flows &amp; Isokinetics'!E19)</f>
        <v/>
      </c>
      <c r="B157" s="790" t="str">
        <f>IF('Flows &amp; Isokinetics'!F19="","",'Flows &amp; Isokinetics'!F19)</f>
        <v/>
      </c>
      <c r="C157" s="794" t="str">
        <f>IF('PM10 &amp; 2.5'!E19="","",'PM10 &amp; 2.5'!E19)</f>
        <v/>
      </c>
      <c r="D157" s="207" t="str">
        <f>IF('PM10 &amp; 2.5'!J19="","",signum('PM10 &amp; 2.5'!J19,SigFig1))</f>
        <v/>
      </c>
      <c r="E157" s="207" t="str">
        <f>IF('PM10 &amp; 2.5'!K19="","",VND&amp;signum2('PM10 &amp; 2.5'!K19,SigFig1,SigFig2,VND))</f>
        <v/>
      </c>
      <c r="F157" s="207" t="str">
        <f>IF('PM10 &amp; 2.5'!S19="","",VND&amp;signum2('PM10 &amp; 2.5'!S19,SigFig1,SigFig2,VND))</f>
        <v/>
      </c>
      <c r="G157" s="207" t="str">
        <f>IF('PM10 &amp; 2.5'!X19="","",VND&amp;signum2('PM10 &amp; 2.5'!X19,SigFig1,SigFig2,VND))</f>
        <v/>
      </c>
      <c r="H157" s="794" t="str">
        <f>IF('PM10 &amp; 2.5'!E85="","",'PM10 &amp; 2.5'!E85)</f>
        <v/>
      </c>
      <c r="I157" s="207" t="str">
        <f>IF('PM10 &amp; 2.5'!J85="","",signum('PM10 &amp; 2.5'!J85,SigFig1))</f>
        <v/>
      </c>
      <c r="J157" s="207" t="str">
        <f>IF('PM10 &amp; 2.5'!K85="","",VND&amp;signum2('PM10 &amp; 2.5'!K85,SigFig1,SigFig2,VND))</f>
        <v/>
      </c>
      <c r="K157" s="207" t="str">
        <f>IF('PM10 &amp; 2.5'!S85="","",VND&amp;signum2('PM10 &amp; 2.5'!S85,SigFig1,SigFig2,VND))</f>
        <v/>
      </c>
      <c r="L157" s="793" t="str">
        <f>IF('PM10 &amp; 2.5'!X85="","",VND&amp;signum2('PM10 &amp; 2.5'!X85,SigFig1,SigFig2,VND))</f>
        <v/>
      </c>
    </row>
    <row r="158" spans="1:12">
      <c r="A158" s="792" t="str">
        <f>IF('Flows &amp; Isokinetics'!E20="","",'Flows &amp; Isokinetics'!E20)</f>
        <v/>
      </c>
      <c r="B158" s="790" t="str">
        <f>IF('Flows &amp; Isokinetics'!F20="","",'Flows &amp; Isokinetics'!F20)</f>
        <v/>
      </c>
      <c r="C158" s="794" t="str">
        <f>IF('PM10 &amp; 2.5'!E20="","",'PM10 &amp; 2.5'!E20)</f>
        <v/>
      </c>
      <c r="D158" s="207" t="str">
        <f>IF('PM10 &amp; 2.5'!J20="","",signum('PM10 &amp; 2.5'!J20,SigFig1))</f>
        <v/>
      </c>
      <c r="E158" s="207" t="str">
        <f>IF('PM10 &amp; 2.5'!K20="","",VND&amp;signum2('PM10 &amp; 2.5'!K20,SigFig1,SigFig2,VND))</f>
        <v/>
      </c>
      <c r="F158" s="207" t="str">
        <f>IF('PM10 &amp; 2.5'!S20="","",VND&amp;signum2('PM10 &amp; 2.5'!S20,SigFig1,SigFig2,VND))</f>
        <v/>
      </c>
      <c r="G158" s="207" t="str">
        <f>IF('PM10 &amp; 2.5'!X20="","",VND&amp;signum2('PM10 &amp; 2.5'!X20,SigFig1,SigFig2,VND))</f>
        <v/>
      </c>
      <c r="H158" s="794" t="str">
        <f>IF('PM10 &amp; 2.5'!E86="","",'PM10 &amp; 2.5'!E86)</f>
        <v/>
      </c>
      <c r="I158" s="207" t="str">
        <f>IF('PM10 &amp; 2.5'!J86="","",signum('PM10 &amp; 2.5'!J86,SigFig1))</f>
        <v/>
      </c>
      <c r="J158" s="207" t="str">
        <f>IF('PM10 &amp; 2.5'!K86="","",VND&amp;signum2('PM10 &amp; 2.5'!K86,SigFig1,SigFig2,VND))</f>
        <v/>
      </c>
      <c r="K158" s="207" t="str">
        <f>IF('PM10 &amp; 2.5'!S86="","",VND&amp;signum2('PM10 &amp; 2.5'!S86,SigFig1,SigFig2,VND))</f>
        <v/>
      </c>
      <c r="L158" s="793" t="str">
        <f>IF('PM10 &amp; 2.5'!X86="","",VND&amp;signum2('PM10 &amp; 2.5'!X86,SigFig1,SigFig2,VND))</f>
        <v/>
      </c>
    </row>
    <row r="159" spans="1:12">
      <c r="A159" s="792" t="str">
        <f>IF('Flows &amp; Isokinetics'!E21="","",'Flows &amp; Isokinetics'!E21)</f>
        <v/>
      </c>
      <c r="B159" s="790" t="str">
        <f>IF('Flows &amp; Isokinetics'!F21="","",'Flows &amp; Isokinetics'!F21)</f>
        <v/>
      </c>
      <c r="C159" s="794" t="str">
        <f>IF('PM10 &amp; 2.5'!E21="","",'PM10 &amp; 2.5'!E21)</f>
        <v/>
      </c>
      <c r="D159" s="207" t="str">
        <f>IF('PM10 &amp; 2.5'!J21="","",signum('PM10 &amp; 2.5'!J21,SigFig1))</f>
        <v/>
      </c>
      <c r="E159" s="207" t="str">
        <f>IF('PM10 &amp; 2.5'!K21="","",VND&amp;signum2('PM10 &amp; 2.5'!K21,SigFig1,SigFig2,VND))</f>
        <v/>
      </c>
      <c r="F159" s="207" t="str">
        <f>IF('PM10 &amp; 2.5'!S21="","",VND&amp;signum2('PM10 &amp; 2.5'!S21,SigFig1,SigFig2,VND))</f>
        <v/>
      </c>
      <c r="G159" s="207" t="str">
        <f>IF('PM10 &amp; 2.5'!X21="","",VND&amp;signum2('PM10 &amp; 2.5'!X21,SigFig1,SigFig2,VND))</f>
        <v/>
      </c>
      <c r="H159" s="794" t="str">
        <f>IF('PM10 &amp; 2.5'!E87="","",'PM10 &amp; 2.5'!E87)</f>
        <v/>
      </c>
      <c r="I159" s="207" t="str">
        <f>IF('PM10 &amp; 2.5'!J87="","",signum('PM10 &amp; 2.5'!J87,SigFig1))</f>
        <v/>
      </c>
      <c r="J159" s="207" t="str">
        <f>IF('PM10 &amp; 2.5'!K87="","",VND&amp;signum2('PM10 &amp; 2.5'!K87,SigFig1,SigFig2,VND))</f>
        <v/>
      </c>
      <c r="K159" s="207" t="str">
        <f>IF('PM10 &amp; 2.5'!S87="","",VND&amp;signum2('PM10 &amp; 2.5'!S87,SigFig1,SigFig2,VND))</f>
        <v/>
      </c>
      <c r="L159" s="793" t="str">
        <f>IF('PM10 &amp; 2.5'!X87="","",VND&amp;signum2('PM10 &amp; 2.5'!X87,SigFig1,SigFig2,VND))</f>
        <v/>
      </c>
    </row>
    <row r="160" spans="1:12">
      <c r="A160" s="792" t="str">
        <f>IF('Flows &amp; Isokinetics'!E22="","",'Flows &amp; Isokinetics'!E22)</f>
        <v/>
      </c>
      <c r="B160" s="790" t="str">
        <f>IF('Flows &amp; Isokinetics'!F22="","",'Flows &amp; Isokinetics'!F22)</f>
        <v/>
      </c>
      <c r="C160" s="794" t="str">
        <f>IF('PM10 &amp; 2.5'!E22="","",'PM10 &amp; 2.5'!E22)</f>
        <v/>
      </c>
      <c r="D160" s="207" t="str">
        <f>IF('PM10 &amp; 2.5'!J22="","",signum('PM10 &amp; 2.5'!J22,SigFig1))</f>
        <v/>
      </c>
      <c r="E160" s="207" t="str">
        <f>IF('PM10 &amp; 2.5'!K22="","",VND&amp;signum2('PM10 &amp; 2.5'!K22,SigFig1,SigFig2,VND))</f>
        <v/>
      </c>
      <c r="F160" s="207" t="str">
        <f>IF('PM10 &amp; 2.5'!S22="","",VND&amp;signum2('PM10 &amp; 2.5'!S22,SigFig1,SigFig2,VND))</f>
        <v/>
      </c>
      <c r="G160" s="207" t="str">
        <f>IF('PM10 &amp; 2.5'!X22="","",VND&amp;signum2('PM10 &amp; 2.5'!X22,SigFig1,SigFig2,VND))</f>
        <v/>
      </c>
      <c r="H160" s="794" t="str">
        <f>IF('PM10 &amp; 2.5'!E88="","",'PM10 &amp; 2.5'!E88)</f>
        <v/>
      </c>
      <c r="I160" s="207" t="str">
        <f>IF('PM10 &amp; 2.5'!J88="","",signum('PM10 &amp; 2.5'!J88,SigFig1))</f>
        <v/>
      </c>
      <c r="J160" s="207" t="str">
        <f>IF('PM10 &amp; 2.5'!K88="","",VND&amp;signum2('PM10 &amp; 2.5'!K88,SigFig1,SigFig2,VND))</f>
        <v/>
      </c>
      <c r="K160" s="207" t="str">
        <f>IF('PM10 &amp; 2.5'!S88="","",VND&amp;signum2('PM10 &amp; 2.5'!S88,SigFig1,SigFig2,VND))</f>
        <v/>
      </c>
      <c r="L160" s="793" t="str">
        <f>IF('PM10 &amp; 2.5'!X88="","",VND&amp;signum2('PM10 &amp; 2.5'!X88,SigFig1,SigFig2,VND))</f>
        <v/>
      </c>
    </row>
    <row r="161" spans="1:12">
      <c r="A161" s="792" t="str">
        <f>IF('Flows &amp; Isokinetics'!E23="","",'Flows &amp; Isokinetics'!E23)</f>
        <v/>
      </c>
      <c r="B161" s="790" t="str">
        <f>IF('Flows &amp; Isokinetics'!F23="","",'Flows &amp; Isokinetics'!F23)</f>
        <v/>
      </c>
      <c r="C161" s="794" t="str">
        <f>IF('PM10 &amp; 2.5'!E23="","",'PM10 &amp; 2.5'!E23)</f>
        <v/>
      </c>
      <c r="D161" s="207" t="str">
        <f>IF('PM10 &amp; 2.5'!J23="","",signum('PM10 &amp; 2.5'!J23,SigFig1))</f>
        <v/>
      </c>
      <c r="E161" s="207" t="str">
        <f>IF('PM10 &amp; 2.5'!K23="","",VND&amp;signum2('PM10 &amp; 2.5'!K23,SigFig1,SigFig2,VND))</f>
        <v/>
      </c>
      <c r="F161" s="207" t="str">
        <f>IF('PM10 &amp; 2.5'!S23="","",VND&amp;signum2('PM10 &amp; 2.5'!S23,SigFig1,SigFig2,VND))</f>
        <v/>
      </c>
      <c r="G161" s="207" t="str">
        <f>IF('PM10 &amp; 2.5'!X23="","",VND&amp;signum2('PM10 &amp; 2.5'!X23,SigFig1,SigFig2,VND))</f>
        <v/>
      </c>
      <c r="H161" s="794" t="str">
        <f>IF('PM10 &amp; 2.5'!E89="","",'PM10 &amp; 2.5'!E89)</f>
        <v/>
      </c>
      <c r="I161" s="207" t="str">
        <f>IF('PM10 &amp; 2.5'!J89="","",signum('PM10 &amp; 2.5'!J89,SigFig1))</f>
        <v/>
      </c>
      <c r="J161" s="207" t="str">
        <f>IF('PM10 &amp; 2.5'!K89="","",VND&amp;signum2('PM10 &amp; 2.5'!K89,SigFig1,SigFig2,VND))</f>
        <v/>
      </c>
      <c r="K161" s="207" t="str">
        <f>IF('PM10 &amp; 2.5'!S89="","",VND&amp;signum2('PM10 &amp; 2.5'!S89,SigFig1,SigFig2,VND))</f>
        <v/>
      </c>
      <c r="L161" s="793" t="str">
        <f>IF('PM10 &amp; 2.5'!X89="","",VND&amp;signum2('PM10 &amp; 2.5'!X89,SigFig1,SigFig2,VND))</f>
        <v/>
      </c>
    </row>
    <row r="162" spans="1:12">
      <c r="A162" s="792" t="str">
        <f>IF('Flows &amp; Isokinetics'!E24="","",'Flows &amp; Isokinetics'!E24)</f>
        <v/>
      </c>
      <c r="B162" s="790" t="str">
        <f>IF('Flows &amp; Isokinetics'!F24="","",'Flows &amp; Isokinetics'!F24)</f>
        <v/>
      </c>
      <c r="C162" s="794" t="str">
        <f>IF('PM10 &amp; 2.5'!E24="","",'PM10 &amp; 2.5'!E24)</f>
        <v/>
      </c>
      <c r="D162" s="207" t="str">
        <f>IF('PM10 &amp; 2.5'!J24="","",signum('PM10 &amp; 2.5'!J24,SigFig1))</f>
        <v/>
      </c>
      <c r="E162" s="207" t="str">
        <f>IF('PM10 &amp; 2.5'!K24="","",VND&amp;signum2('PM10 &amp; 2.5'!K24,SigFig1,SigFig2,VND))</f>
        <v/>
      </c>
      <c r="F162" s="207" t="str">
        <f>IF('PM10 &amp; 2.5'!S24="","",VND&amp;signum2('PM10 &amp; 2.5'!S24,SigFig1,SigFig2,VND))</f>
        <v/>
      </c>
      <c r="G162" s="207" t="str">
        <f>IF('PM10 &amp; 2.5'!X24="","",VND&amp;signum2('PM10 &amp; 2.5'!X24,SigFig1,SigFig2,VND))</f>
        <v/>
      </c>
      <c r="H162" s="794" t="str">
        <f>IF('PM10 &amp; 2.5'!E90="","",'PM10 &amp; 2.5'!E90)</f>
        <v/>
      </c>
      <c r="I162" s="207" t="str">
        <f>IF('PM10 &amp; 2.5'!J90="","",signum('PM10 &amp; 2.5'!J90,SigFig1))</f>
        <v/>
      </c>
      <c r="J162" s="207" t="str">
        <f>IF('PM10 &amp; 2.5'!K90="","",VND&amp;signum2('PM10 &amp; 2.5'!K90,SigFig1,SigFig2,VND))</f>
        <v/>
      </c>
      <c r="K162" s="207" t="str">
        <f>IF('PM10 &amp; 2.5'!S90="","",VND&amp;signum2('PM10 &amp; 2.5'!S90,SigFig1,SigFig2,VND))</f>
        <v/>
      </c>
      <c r="L162" s="793" t="str">
        <f>IF('PM10 &amp; 2.5'!X90="","",VND&amp;signum2('PM10 &amp; 2.5'!X90,SigFig1,SigFig2,VND))</f>
        <v/>
      </c>
    </row>
    <row r="163" spans="1:12">
      <c r="A163" s="792" t="str">
        <f>IF('Flows &amp; Isokinetics'!E25="","",'Flows &amp; Isokinetics'!E25)</f>
        <v/>
      </c>
      <c r="B163" s="790" t="str">
        <f>IF('Flows &amp; Isokinetics'!F25="","",'Flows &amp; Isokinetics'!F25)</f>
        <v/>
      </c>
      <c r="C163" s="794" t="str">
        <f>IF('PM10 &amp; 2.5'!E25="","",'PM10 &amp; 2.5'!E25)</f>
        <v/>
      </c>
      <c r="D163" s="207" t="str">
        <f>IF('PM10 &amp; 2.5'!J25="","",signum('PM10 &amp; 2.5'!J25,SigFig1))</f>
        <v/>
      </c>
      <c r="E163" s="207" t="str">
        <f>IF('PM10 &amp; 2.5'!K25="","",VND&amp;signum2('PM10 &amp; 2.5'!K25,SigFig1,SigFig2,VND))</f>
        <v/>
      </c>
      <c r="F163" s="207" t="str">
        <f>IF('PM10 &amp; 2.5'!S25="","",VND&amp;signum2('PM10 &amp; 2.5'!S25,SigFig1,SigFig2,VND))</f>
        <v/>
      </c>
      <c r="G163" s="207" t="str">
        <f>IF('PM10 &amp; 2.5'!X25="","",VND&amp;signum2('PM10 &amp; 2.5'!X25,SigFig1,SigFig2,VND))</f>
        <v/>
      </c>
      <c r="H163" s="794" t="str">
        <f>IF('PM10 &amp; 2.5'!E91="","",'PM10 &amp; 2.5'!E91)</f>
        <v/>
      </c>
      <c r="I163" s="207" t="str">
        <f>IF('PM10 &amp; 2.5'!J91="","",signum('PM10 &amp; 2.5'!J91,SigFig1))</f>
        <v/>
      </c>
      <c r="J163" s="207" t="str">
        <f>IF('PM10 &amp; 2.5'!K91="","",VND&amp;signum2('PM10 &amp; 2.5'!K91,SigFig1,SigFig2,VND))</f>
        <v/>
      </c>
      <c r="K163" s="207" t="str">
        <f>IF('PM10 &amp; 2.5'!S91="","",VND&amp;signum2('PM10 &amp; 2.5'!S91,SigFig1,SigFig2,VND))</f>
        <v/>
      </c>
      <c r="L163" s="793" t="str">
        <f>IF('PM10 &amp; 2.5'!X91="","",VND&amp;signum2('PM10 &amp; 2.5'!X91,SigFig1,SigFig2,VND))</f>
        <v/>
      </c>
    </row>
    <row r="164" spans="1:12">
      <c r="A164" s="792" t="str">
        <f>IF('Flows &amp; Isokinetics'!E26="","",'Flows &amp; Isokinetics'!E26)</f>
        <v/>
      </c>
      <c r="B164" s="790" t="str">
        <f>IF('Flows &amp; Isokinetics'!F26="","",'Flows &amp; Isokinetics'!F26)</f>
        <v/>
      </c>
      <c r="C164" s="794" t="str">
        <f>IF('PM10 &amp; 2.5'!E26="","",'PM10 &amp; 2.5'!E26)</f>
        <v/>
      </c>
      <c r="D164" s="207" t="str">
        <f>IF('PM10 &amp; 2.5'!J26="","",signum('PM10 &amp; 2.5'!J26,SigFig1))</f>
        <v/>
      </c>
      <c r="E164" s="207" t="str">
        <f>IF('PM10 &amp; 2.5'!K26="","",VND&amp;signum2('PM10 &amp; 2.5'!K26,SigFig1,SigFig2,VND))</f>
        <v/>
      </c>
      <c r="F164" s="207" t="str">
        <f>IF('PM10 &amp; 2.5'!S26="","",VND&amp;signum2('PM10 &amp; 2.5'!S26,SigFig1,SigFig2,VND))</f>
        <v/>
      </c>
      <c r="G164" s="207" t="str">
        <f>IF('PM10 &amp; 2.5'!X26="","",VND&amp;signum2('PM10 &amp; 2.5'!X26,SigFig1,SigFig2,VND))</f>
        <v/>
      </c>
      <c r="H164" s="794" t="str">
        <f>IF('PM10 &amp; 2.5'!E92="","",'PM10 &amp; 2.5'!E92)</f>
        <v/>
      </c>
      <c r="I164" s="207" t="str">
        <f>IF('PM10 &amp; 2.5'!J92="","",signum('PM10 &amp; 2.5'!J92,SigFig1))</f>
        <v/>
      </c>
      <c r="J164" s="207" t="str">
        <f>IF('PM10 &amp; 2.5'!K92="","",VND&amp;signum2('PM10 &amp; 2.5'!K92,SigFig1,SigFig2,VND))</f>
        <v/>
      </c>
      <c r="K164" s="207" t="str">
        <f>IF('PM10 &amp; 2.5'!S92="","",VND&amp;signum2('PM10 &amp; 2.5'!S92,SigFig1,SigFig2,VND))</f>
        <v/>
      </c>
      <c r="L164" s="793" t="str">
        <f>IF('PM10 &amp; 2.5'!X92="","",VND&amp;signum2('PM10 &amp; 2.5'!X92,SigFig1,SigFig2,VND))</f>
        <v/>
      </c>
    </row>
    <row r="165" spans="1:12">
      <c r="A165" s="792" t="str">
        <f>IF('Flows &amp; Isokinetics'!E27="","",'Flows &amp; Isokinetics'!E27)</f>
        <v/>
      </c>
      <c r="B165" s="790" t="str">
        <f>IF('Flows &amp; Isokinetics'!F27="","",'Flows &amp; Isokinetics'!F27)</f>
        <v/>
      </c>
      <c r="C165" s="794" t="str">
        <f>IF('PM10 &amp; 2.5'!E27="","",'PM10 &amp; 2.5'!E27)</f>
        <v/>
      </c>
      <c r="D165" s="207" t="str">
        <f>IF('PM10 &amp; 2.5'!J27="","",signum('PM10 &amp; 2.5'!J27,SigFig1))</f>
        <v/>
      </c>
      <c r="E165" s="207" t="str">
        <f>IF('PM10 &amp; 2.5'!K27="","",VND&amp;signum2('PM10 &amp; 2.5'!K27,SigFig1,SigFig2,VND))</f>
        <v/>
      </c>
      <c r="F165" s="207" t="str">
        <f>IF('PM10 &amp; 2.5'!S27="","",VND&amp;signum2('PM10 &amp; 2.5'!S27,SigFig1,SigFig2,VND))</f>
        <v/>
      </c>
      <c r="G165" s="207" t="str">
        <f>IF('PM10 &amp; 2.5'!X27="","",VND&amp;signum2('PM10 &amp; 2.5'!X27,SigFig1,SigFig2,VND))</f>
        <v/>
      </c>
      <c r="H165" s="794" t="str">
        <f>IF('PM10 &amp; 2.5'!E93="","",'PM10 &amp; 2.5'!E93)</f>
        <v/>
      </c>
      <c r="I165" s="207" t="str">
        <f>IF('PM10 &amp; 2.5'!J93="","",signum('PM10 &amp; 2.5'!J93,SigFig1))</f>
        <v/>
      </c>
      <c r="J165" s="207" t="str">
        <f>IF('PM10 &amp; 2.5'!K93="","",VND&amp;signum2('PM10 &amp; 2.5'!K93,SigFig1,SigFig2,VND))</f>
        <v/>
      </c>
      <c r="K165" s="207" t="str">
        <f>IF('PM10 &amp; 2.5'!S93="","",VND&amp;signum2('PM10 &amp; 2.5'!S93,SigFig1,SigFig2,VND))</f>
        <v/>
      </c>
      <c r="L165" s="793" t="str">
        <f>IF('PM10 &amp; 2.5'!X93="","",VND&amp;signum2('PM10 &amp; 2.5'!X93,SigFig1,SigFig2,VND))</f>
        <v/>
      </c>
    </row>
    <row r="166" spans="1:12">
      <c r="A166" s="792" t="str">
        <f>IF('Flows &amp; Isokinetics'!E28="","",'Flows &amp; Isokinetics'!E28)</f>
        <v/>
      </c>
      <c r="B166" s="790" t="str">
        <f>IF('Flows &amp; Isokinetics'!F28="","",'Flows &amp; Isokinetics'!F28)</f>
        <v/>
      </c>
      <c r="C166" s="794" t="str">
        <f>IF('PM10 &amp; 2.5'!E28="","",'PM10 &amp; 2.5'!E28)</f>
        <v/>
      </c>
      <c r="D166" s="207" t="str">
        <f>IF('PM10 &amp; 2.5'!J28="","",signum('PM10 &amp; 2.5'!J28,SigFig1))</f>
        <v/>
      </c>
      <c r="E166" s="207" t="str">
        <f>IF('PM10 &amp; 2.5'!K28="","",VND&amp;signum2('PM10 &amp; 2.5'!K28,SigFig1,SigFig2,VND))</f>
        <v/>
      </c>
      <c r="F166" s="207" t="str">
        <f>IF('PM10 &amp; 2.5'!S28="","",VND&amp;signum2('PM10 &amp; 2.5'!S28,SigFig1,SigFig2,VND))</f>
        <v/>
      </c>
      <c r="G166" s="207" t="str">
        <f>IF('PM10 &amp; 2.5'!X28="","",VND&amp;signum2('PM10 &amp; 2.5'!X28,SigFig1,SigFig2,VND))</f>
        <v/>
      </c>
      <c r="H166" s="794" t="str">
        <f>IF('PM10 &amp; 2.5'!E94="","",'PM10 &amp; 2.5'!E94)</f>
        <v/>
      </c>
      <c r="I166" s="207" t="str">
        <f>IF('PM10 &amp; 2.5'!J94="","",signum('PM10 &amp; 2.5'!J94,SigFig1))</f>
        <v/>
      </c>
      <c r="J166" s="207" t="str">
        <f>IF('PM10 &amp; 2.5'!K94="","",VND&amp;signum2('PM10 &amp; 2.5'!K94,SigFig1,SigFig2,VND))</f>
        <v/>
      </c>
      <c r="K166" s="207" t="str">
        <f>IF('PM10 &amp; 2.5'!S94="","",VND&amp;signum2('PM10 &amp; 2.5'!S94,SigFig1,SigFig2,VND))</f>
        <v/>
      </c>
      <c r="L166" s="793" t="str">
        <f>IF('PM10 &amp; 2.5'!X94="","",VND&amp;signum2('PM10 &amp; 2.5'!X94,SigFig1,SigFig2,VND))</f>
        <v/>
      </c>
    </row>
    <row r="167" spans="1:12">
      <c r="A167" s="792" t="str">
        <f>IF('Flows &amp; Isokinetics'!E29="","",'Flows &amp; Isokinetics'!E29)</f>
        <v/>
      </c>
      <c r="B167" s="790" t="str">
        <f>IF('Flows &amp; Isokinetics'!F29="","",'Flows &amp; Isokinetics'!F29)</f>
        <v/>
      </c>
      <c r="C167" s="794" t="str">
        <f>IF('PM10 &amp; 2.5'!E29="","",'PM10 &amp; 2.5'!E29)</f>
        <v/>
      </c>
      <c r="D167" s="207" t="str">
        <f>IF('PM10 &amp; 2.5'!J29="","",signum('PM10 &amp; 2.5'!J29,SigFig1))</f>
        <v/>
      </c>
      <c r="E167" s="207" t="str">
        <f>IF('PM10 &amp; 2.5'!K29="","",VND&amp;signum2('PM10 &amp; 2.5'!K29,SigFig1,SigFig2,VND))</f>
        <v/>
      </c>
      <c r="F167" s="207" t="str">
        <f>IF('PM10 &amp; 2.5'!S29="","",VND&amp;signum2('PM10 &amp; 2.5'!S29,SigFig1,SigFig2,VND))</f>
        <v/>
      </c>
      <c r="G167" s="207" t="str">
        <f>IF('PM10 &amp; 2.5'!X29="","",VND&amp;signum2('PM10 &amp; 2.5'!X29,SigFig1,SigFig2,VND))</f>
        <v/>
      </c>
      <c r="H167" s="794" t="str">
        <f>IF('PM10 &amp; 2.5'!E95="","",'PM10 &amp; 2.5'!E95)</f>
        <v/>
      </c>
      <c r="I167" s="207" t="str">
        <f>IF('PM10 &amp; 2.5'!J95="","",signum('PM10 &amp; 2.5'!J95,SigFig1))</f>
        <v/>
      </c>
      <c r="J167" s="207" t="str">
        <f>IF('PM10 &amp; 2.5'!K95="","",VND&amp;signum2('PM10 &amp; 2.5'!K95,SigFig1,SigFig2,VND))</f>
        <v/>
      </c>
      <c r="K167" s="207" t="str">
        <f>IF('PM10 &amp; 2.5'!S95="","",VND&amp;signum2('PM10 &amp; 2.5'!S95,SigFig1,SigFig2,VND))</f>
        <v/>
      </c>
      <c r="L167" s="793" t="str">
        <f>IF('PM10 &amp; 2.5'!X95="","",VND&amp;signum2('PM10 &amp; 2.5'!X95,SigFig1,SigFig2,VND))</f>
        <v/>
      </c>
    </row>
    <row r="168" spans="1:12">
      <c r="A168" s="792" t="str">
        <f>IF('Flows &amp; Isokinetics'!E30="","",'Flows &amp; Isokinetics'!E30)</f>
        <v/>
      </c>
      <c r="B168" s="790" t="str">
        <f>IF('Flows &amp; Isokinetics'!F30="","",'Flows &amp; Isokinetics'!F30)</f>
        <v/>
      </c>
      <c r="C168" s="794" t="str">
        <f>IF('PM10 &amp; 2.5'!E30="","",'PM10 &amp; 2.5'!E30)</f>
        <v/>
      </c>
      <c r="D168" s="207" t="str">
        <f>IF('PM10 &amp; 2.5'!J30="","",signum('PM10 &amp; 2.5'!J30,SigFig1))</f>
        <v/>
      </c>
      <c r="E168" s="207" t="str">
        <f>IF('PM10 &amp; 2.5'!K30="","",VND&amp;signum2('PM10 &amp; 2.5'!K30,SigFig1,SigFig2,VND))</f>
        <v/>
      </c>
      <c r="F168" s="207" t="str">
        <f>IF('PM10 &amp; 2.5'!S30="","",VND&amp;signum2('PM10 &amp; 2.5'!S30,SigFig1,SigFig2,VND))</f>
        <v/>
      </c>
      <c r="G168" s="207" t="str">
        <f>IF('PM10 &amp; 2.5'!X30="","",VND&amp;signum2('PM10 &amp; 2.5'!X30,SigFig1,SigFig2,VND))</f>
        <v/>
      </c>
      <c r="H168" s="794" t="str">
        <f>IF('PM10 &amp; 2.5'!E96="","",'PM10 &amp; 2.5'!E96)</f>
        <v/>
      </c>
      <c r="I168" s="207" t="str">
        <f>IF('PM10 &amp; 2.5'!J96="","",signum('PM10 &amp; 2.5'!J96,SigFig1))</f>
        <v/>
      </c>
      <c r="J168" s="207" t="str">
        <f>IF('PM10 &amp; 2.5'!K96="","",VND&amp;signum2('PM10 &amp; 2.5'!K96,SigFig1,SigFig2,VND))</f>
        <v/>
      </c>
      <c r="K168" s="207" t="str">
        <f>IF('PM10 &amp; 2.5'!S96="","",VND&amp;signum2('PM10 &amp; 2.5'!S96,SigFig1,SigFig2,VND))</f>
        <v/>
      </c>
      <c r="L168" s="793" t="str">
        <f>IF('PM10 &amp; 2.5'!X96="","",VND&amp;signum2('PM10 &amp; 2.5'!X96,SigFig1,SigFig2,VND))</f>
        <v/>
      </c>
    </row>
    <row r="169" spans="1:12">
      <c r="A169" s="792" t="str">
        <f>IF('Flows &amp; Isokinetics'!E31="","",'Flows &amp; Isokinetics'!E31)</f>
        <v/>
      </c>
      <c r="B169" s="790" t="str">
        <f>IF('Flows &amp; Isokinetics'!F31="","",'Flows &amp; Isokinetics'!F31)</f>
        <v/>
      </c>
      <c r="C169" s="794" t="str">
        <f>IF('PM10 &amp; 2.5'!E31="","",'PM10 &amp; 2.5'!E31)</f>
        <v/>
      </c>
      <c r="D169" s="207" t="str">
        <f>IF('PM10 &amp; 2.5'!J31="","",signum('PM10 &amp; 2.5'!J31,SigFig1))</f>
        <v/>
      </c>
      <c r="E169" s="207" t="str">
        <f>IF('PM10 &amp; 2.5'!K31="","",VND&amp;signum2('PM10 &amp; 2.5'!K31,SigFig1,SigFig2,VND))</f>
        <v/>
      </c>
      <c r="F169" s="207" t="str">
        <f>IF('PM10 &amp; 2.5'!S31="","",VND&amp;signum2('PM10 &amp; 2.5'!S31,SigFig1,SigFig2,VND))</f>
        <v/>
      </c>
      <c r="G169" s="207" t="str">
        <f>IF('PM10 &amp; 2.5'!X31="","",VND&amp;signum2('PM10 &amp; 2.5'!X31,SigFig1,SigFig2,VND))</f>
        <v/>
      </c>
      <c r="H169" s="794" t="str">
        <f>IF('PM10 &amp; 2.5'!E97="","",'PM10 &amp; 2.5'!E97)</f>
        <v/>
      </c>
      <c r="I169" s="207" t="str">
        <f>IF('PM10 &amp; 2.5'!J97="","",signum('PM10 &amp; 2.5'!J97,SigFig1))</f>
        <v/>
      </c>
      <c r="J169" s="207" t="str">
        <f>IF('PM10 &amp; 2.5'!K97="","",VND&amp;signum2('PM10 &amp; 2.5'!K97,SigFig1,SigFig2,VND))</f>
        <v/>
      </c>
      <c r="K169" s="207" t="str">
        <f>IF('PM10 &amp; 2.5'!S97="","",VND&amp;signum2('PM10 &amp; 2.5'!S97,SigFig1,SigFig2,VND))</f>
        <v/>
      </c>
      <c r="L169" s="793" t="str">
        <f>IF('PM10 &amp; 2.5'!X97="","",VND&amp;signum2('PM10 &amp; 2.5'!X97,SigFig1,SigFig2,VND))</f>
        <v/>
      </c>
    </row>
    <row r="170" spans="1:12">
      <c r="A170" s="792" t="str">
        <f>IF('Flows &amp; Isokinetics'!E32="","",'Flows &amp; Isokinetics'!E32)</f>
        <v/>
      </c>
      <c r="B170" s="790" t="str">
        <f>IF('Flows &amp; Isokinetics'!F32="","",'Flows &amp; Isokinetics'!F32)</f>
        <v/>
      </c>
      <c r="C170" s="794" t="str">
        <f>IF('PM10 &amp; 2.5'!E32="","",'PM10 &amp; 2.5'!E32)</f>
        <v/>
      </c>
      <c r="D170" s="207" t="str">
        <f>IF('PM10 &amp; 2.5'!J32="","",signum('PM10 &amp; 2.5'!J32,SigFig1))</f>
        <v/>
      </c>
      <c r="E170" s="207" t="str">
        <f>IF('PM10 &amp; 2.5'!K32="","",VND&amp;signum2('PM10 &amp; 2.5'!K32,SigFig1,SigFig2,VND))</f>
        <v/>
      </c>
      <c r="F170" s="207" t="str">
        <f>IF('PM10 &amp; 2.5'!S32="","",VND&amp;signum2('PM10 &amp; 2.5'!S32,SigFig1,SigFig2,VND))</f>
        <v/>
      </c>
      <c r="G170" s="207" t="str">
        <f>IF('PM10 &amp; 2.5'!X32="","",VND&amp;signum2('PM10 &amp; 2.5'!X32,SigFig1,SigFig2,VND))</f>
        <v/>
      </c>
      <c r="H170" s="794" t="str">
        <f>IF('PM10 &amp; 2.5'!E98="","",'PM10 &amp; 2.5'!E98)</f>
        <v/>
      </c>
      <c r="I170" s="207" t="str">
        <f>IF('PM10 &amp; 2.5'!J98="","",signum('PM10 &amp; 2.5'!J98,SigFig1))</f>
        <v/>
      </c>
      <c r="J170" s="207" t="str">
        <f>IF('PM10 &amp; 2.5'!K98="","",VND&amp;signum2('PM10 &amp; 2.5'!K98,SigFig1,SigFig2,VND))</f>
        <v/>
      </c>
      <c r="K170" s="207" t="str">
        <f>IF('PM10 &amp; 2.5'!S98="","",VND&amp;signum2('PM10 &amp; 2.5'!S98,SigFig1,SigFig2,VND))</f>
        <v/>
      </c>
      <c r="L170" s="793" t="str">
        <f>IF('PM10 &amp; 2.5'!X98="","",VND&amp;signum2('PM10 &amp; 2.5'!X98,SigFig1,SigFig2,VND))</f>
        <v/>
      </c>
    </row>
    <row r="171" spans="1:12">
      <c r="A171" s="792" t="str">
        <f>IF('Flows &amp; Isokinetics'!E33="","",'Flows &amp; Isokinetics'!E33)</f>
        <v/>
      </c>
      <c r="B171" s="790" t="str">
        <f>IF('Flows &amp; Isokinetics'!F33="","",'Flows &amp; Isokinetics'!F33)</f>
        <v/>
      </c>
      <c r="C171" s="794" t="str">
        <f>IF('PM10 &amp; 2.5'!E33="","",'PM10 &amp; 2.5'!E33)</f>
        <v/>
      </c>
      <c r="D171" s="207" t="str">
        <f>IF('PM10 &amp; 2.5'!J33="","",signum('PM10 &amp; 2.5'!J33,SigFig1))</f>
        <v/>
      </c>
      <c r="E171" s="207" t="str">
        <f>IF('PM10 &amp; 2.5'!K33="","",VND&amp;signum2('PM10 &amp; 2.5'!K33,SigFig1,SigFig2,VND))</f>
        <v/>
      </c>
      <c r="F171" s="207" t="str">
        <f>IF('PM10 &amp; 2.5'!S33="","",VND&amp;signum2('PM10 &amp; 2.5'!S33,SigFig1,SigFig2,VND))</f>
        <v/>
      </c>
      <c r="G171" s="207" t="str">
        <f>IF('PM10 &amp; 2.5'!X33="","",VND&amp;signum2('PM10 &amp; 2.5'!X33,SigFig1,SigFig2,VND))</f>
        <v/>
      </c>
      <c r="H171" s="794" t="str">
        <f>IF('PM10 &amp; 2.5'!E99="","",'PM10 &amp; 2.5'!E99)</f>
        <v/>
      </c>
      <c r="I171" s="207" t="str">
        <f>IF('PM10 &amp; 2.5'!J99="","",signum('PM10 &amp; 2.5'!J99,SigFig1))</f>
        <v/>
      </c>
      <c r="J171" s="207" t="str">
        <f>IF('PM10 &amp; 2.5'!K99="","",VND&amp;signum2('PM10 &amp; 2.5'!K99,SigFig1,SigFig2,VND))</f>
        <v/>
      </c>
      <c r="K171" s="207" t="str">
        <f>IF('PM10 &amp; 2.5'!S99="","",VND&amp;signum2('PM10 &amp; 2.5'!S99,SigFig1,SigFig2,VND))</f>
        <v/>
      </c>
      <c r="L171" s="793" t="str">
        <f>IF('PM10 &amp; 2.5'!X99="","",VND&amp;signum2('PM10 &amp; 2.5'!X99,SigFig1,SigFig2,VND))</f>
        <v/>
      </c>
    </row>
    <row r="172" spans="1:12">
      <c r="A172" s="792" t="str">
        <f>IF('Flows &amp; Isokinetics'!E34="","",'Flows &amp; Isokinetics'!E34)</f>
        <v/>
      </c>
      <c r="B172" s="790" t="str">
        <f>IF('Flows &amp; Isokinetics'!F34="","",'Flows &amp; Isokinetics'!F34)</f>
        <v/>
      </c>
      <c r="C172" s="794" t="str">
        <f>IF('PM10 &amp; 2.5'!E34="","",'PM10 &amp; 2.5'!E34)</f>
        <v/>
      </c>
      <c r="D172" s="207" t="str">
        <f>IF('PM10 &amp; 2.5'!J34="","",signum('PM10 &amp; 2.5'!J34,SigFig1))</f>
        <v/>
      </c>
      <c r="E172" s="207" t="str">
        <f>IF('PM10 &amp; 2.5'!K34="","",VND&amp;signum2('PM10 &amp; 2.5'!K34,SigFig1,SigFig2,VND))</f>
        <v/>
      </c>
      <c r="F172" s="207" t="str">
        <f>IF('PM10 &amp; 2.5'!S34="","",VND&amp;signum2('PM10 &amp; 2.5'!S34,SigFig1,SigFig2,VND))</f>
        <v/>
      </c>
      <c r="G172" s="207" t="str">
        <f>IF('PM10 &amp; 2.5'!X34="","",VND&amp;signum2('PM10 &amp; 2.5'!X34,SigFig1,SigFig2,VND))</f>
        <v/>
      </c>
      <c r="H172" s="794" t="str">
        <f>IF('PM10 &amp; 2.5'!E100="","",'PM10 &amp; 2.5'!E100)</f>
        <v/>
      </c>
      <c r="I172" s="207" t="str">
        <f>IF('PM10 &amp; 2.5'!J100="","",signum('PM10 &amp; 2.5'!J100,SigFig1))</f>
        <v/>
      </c>
      <c r="J172" s="207" t="str">
        <f>IF('PM10 &amp; 2.5'!K100="","",VND&amp;signum2('PM10 &amp; 2.5'!K100,SigFig1,SigFig2,VND))</f>
        <v/>
      </c>
      <c r="K172" s="207" t="str">
        <f>IF('PM10 &amp; 2.5'!S100="","",VND&amp;signum2('PM10 &amp; 2.5'!S100,SigFig1,SigFig2,VND))</f>
        <v/>
      </c>
      <c r="L172" s="793" t="str">
        <f>IF('PM10 &amp; 2.5'!X100="","",VND&amp;signum2('PM10 &amp; 2.5'!X100,SigFig1,SigFig2,VND))</f>
        <v/>
      </c>
    </row>
    <row r="173" spans="1:12">
      <c r="A173" s="792" t="str">
        <f>IF('Flows &amp; Isokinetics'!E35="","",'Flows &amp; Isokinetics'!E35)</f>
        <v/>
      </c>
      <c r="B173" s="790" t="str">
        <f>IF('Flows &amp; Isokinetics'!F35="","",'Flows &amp; Isokinetics'!F35)</f>
        <v/>
      </c>
      <c r="C173" s="794" t="str">
        <f>IF('PM10 &amp; 2.5'!E35="","",'PM10 &amp; 2.5'!E35)</f>
        <v/>
      </c>
      <c r="D173" s="207" t="str">
        <f>IF('PM10 &amp; 2.5'!J35="","",signum('PM10 &amp; 2.5'!J35,SigFig1))</f>
        <v/>
      </c>
      <c r="E173" s="207" t="str">
        <f>IF('PM10 &amp; 2.5'!K35="","",VND&amp;signum2('PM10 &amp; 2.5'!K35,SigFig1,SigFig2,VND))</f>
        <v/>
      </c>
      <c r="F173" s="207" t="str">
        <f>IF('PM10 &amp; 2.5'!S35="","",VND&amp;signum2('PM10 &amp; 2.5'!S35,SigFig1,SigFig2,VND))</f>
        <v/>
      </c>
      <c r="G173" s="207" t="str">
        <f>IF('PM10 &amp; 2.5'!X35="","",VND&amp;signum2('PM10 &amp; 2.5'!X35,SigFig1,SigFig2,VND))</f>
        <v/>
      </c>
      <c r="H173" s="794" t="str">
        <f>IF('PM10 &amp; 2.5'!E101="","",'PM10 &amp; 2.5'!E101)</f>
        <v/>
      </c>
      <c r="I173" s="207" t="str">
        <f>IF('PM10 &amp; 2.5'!J101="","",signum('PM10 &amp; 2.5'!J101,SigFig1))</f>
        <v/>
      </c>
      <c r="J173" s="207" t="str">
        <f>IF('PM10 &amp; 2.5'!K101="","",VND&amp;signum2('PM10 &amp; 2.5'!K101,SigFig1,SigFig2,VND))</f>
        <v/>
      </c>
      <c r="K173" s="207" t="str">
        <f>IF('PM10 &amp; 2.5'!S101="","",VND&amp;signum2('PM10 &amp; 2.5'!S101,SigFig1,SigFig2,VND))</f>
        <v/>
      </c>
      <c r="L173" s="793" t="str">
        <f>IF('PM10 &amp; 2.5'!X101="","",VND&amp;signum2('PM10 &amp; 2.5'!X101,SigFig1,SigFig2,VND))</f>
        <v/>
      </c>
    </row>
    <row r="174" spans="1:12">
      <c r="A174" s="792" t="str">
        <f>IF('Flows &amp; Isokinetics'!E36="","",'Flows &amp; Isokinetics'!E36)</f>
        <v/>
      </c>
      <c r="B174" s="790" t="str">
        <f>IF('Flows &amp; Isokinetics'!F36="","",'Flows &amp; Isokinetics'!F36)</f>
        <v/>
      </c>
      <c r="C174" s="794" t="str">
        <f>IF('PM10 &amp; 2.5'!E36="","",'PM10 &amp; 2.5'!E36)</f>
        <v/>
      </c>
      <c r="D174" s="207" t="str">
        <f>IF('PM10 &amp; 2.5'!J36="","",signum('PM10 &amp; 2.5'!J36,SigFig1))</f>
        <v/>
      </c>
      <c r="E174" s="207" t="str">
        <f>IF('PM10 &amp; 2.5'!K36="","",VND&amp;signum2('PM10 &amp; 2.5'!K36,SigFig1,SigFig2,VND))</f>
        <v/>
      </c>
      <c r="F174" s="207" t="str">
        <f>IF('PM10 &amp; 2.5'!S36="","",VND&amp;signum2('PM10 &amp; 2.5'!S36,SigFig1,SigFig2,VND))</f>
        <v/>
      </c>
      <c r="G174" s="207" t="str">
        <f>IF('PM10 &amp; 2.5'!X36="","",VND&amp;signum2('PM10 &amp; 2.5'!X36,SigFig1,SigFig2,VND))</f>
        <v/>
      </c>
      <c r="H174" s="794" t="str">
        <f>IF('PM10 &amp; 2.5'!E102="","",'PM10 &amp; 2.5'!E102)</f>
        <v/>
      </c>
      <c r="I174" s="207" t="str">
        <f>IF('PM10 &amp; 2.5'!J102="","",signum('PM10 &amp; 2.5'!J102,SigFig1))</f>
        <v/>
      </c>
      <c r="J174" s="207" t="str">
        <f>IF('PM10 &amp; 2.5'!K102="","",VND&amp;signum2('PM10 &amp; 2.5'!K102,SigFig1,SigFig2,VND))</f>
        <v/>
      </c>
      <c r="K174" s="207" t="str">
        <f>IF('PM10 &amp; 2.5'!S102="","",VND&amp;signum2('PM10 &amp; 2.5'!S102,SigFig1,SigFig2,VND))</f>
        <v/>
      </c>
      <c r="L174" s="793" t="str">
        <f>IF('PM10 &amp; 2.5'!X102="","",VND&amp;signum2('PM10 &amp; 2.5'!X102,SigFig1,SigFig2,VND))</f>
        <v/>
      </c>
    </row>
    <row r="175" spans="1:12">
      <c r="A175" s="792" t="str">
        <f>IF('Flows &amp; Isokinetics'!E37="","",'Flows &amp; Isokinetics'!E37)</f>
        <v/>
      </c>
      <c r="B175" s="790" t="str">
        <f>IF('Flows &amp; Isokinetics'!F37="","",'Flows &amp; Isokinetics'!F37)</f>
        <v/>
      </c>
      <c r="C175" s="794" t="str">
        <f>IF('PM10 &amp; 2.5'!E37="","",'PM10 &amp; 2.5'!E37)</f>
        <v/>
      </c>
      <c r="D175" s="207" t="str">
        <f>IF('PM10 &amp; 2.5'!J37="","",signum('PM10 &amp; 2.5'!J37,SigFig1))</f>
        <v/>
      </c>
      <c r="E175" s="207" t="str">
        <f>IF('PM10 &amp; 2.5'!K37="","",VND&amp;signum2('PM10 &amp; 2.5'!K37,SigFig1,SigFig2,VND))</f>
        <v/>
      </c>
      <c r="F175" s="207" t="str">
        <f>IF('PM10 &amp; 2.5'!S37="","",VND&amp;signum2('PM10 &amp; 2.5'!S37,SigFig1,SigFig2,VND))</f>
        <v/>
      </c>
      <c r="G175" s="207" t="str">
        <f>IF('PM10 &amp; 2.5'!X37="","",VND&amp;signum2('PM10 &amp; 2.5'!X37,SigFig1,SigFig2,VND))</f>
        <v/>
      </c>
      <c r="H175" s="794" t="str">
        <f>IF('PM10 &amp; 2.5'!E103="","",'PM10 &amp; 2.5'!E103)</f>
        <v/>
      </c>
      <c r="I175" s="207" t="str">
        <f>IF('PM10 &amp; 2.5'!J103="","",signum('PM10 &amp; 2.5'!J103,SigFig1))</f>
        <v/>
      </c>
      <c r="J175" s="207" t="str">
        <f>IF('PM10 &amp; 2.5'!K103="","",VND&amp;signum2('PM10 &amp; 2.5'!K103,SigFig1,SigFig2,VND))</f>
        <v/>
      </c>
      <c r="K175" s="207" t="str">
        <f>IF('PM10 &amp; 2.5'!S103="","",VND&amp;signum2('PM10 &amp; 2.5'!S103,SigFig1,SigFig2,VND))</f>
        <v/>
      </c>
      <c r="L175" s="793" t="str">
        <f>IF('PM10 &amp; 2.5'!X103="","",VND&amp;signum2('PM10 &amp; 2.5'!X103,SigFig1,SigFig2,VND))</f>
        <v/>
      </c>
    </row>
    <row r="176" spans="1:12">
      <c r="A176" s="792" t="str">
        <f>IF('Flows &amp; Isokinetics'!E38="","",'Flows &amp; Isokinetics'!E38)</f>
        <v/>
      </c>
      <c r="B176" s="790" t="str">
        <f>IF('Flows &amp; Isokinetics'!F38="","",'Flows &amp; Isokinetics'!F38)</f>
        <v/>
      </c>
      <c r="C176" s="794" t="str">
        <f>IF('PM10 &amp; 2.5'!E38="","",'PM10 &amp; 2.5'!E38)</f>
        <v/>
      </c>
      <c r="D176" s="207" t="str">
        <f>IF('PM10 &amp; 2.5'!J38="","",signum('PM10 &amp; 2.5'!J38,SigFig1))</f>
        <v/>
      </c>
      <c r="E176" s="207" t="str">
        <f>IF('PM10 &amp; 2.5'!K38="","",VND&amp;signum2('PM10 &amp; 2.5'!K38,SigFig1,SigFig2,VND))</f>
        <v/>
      </c>
      <c r="F176" s="207" t="str">
        <f>IF('PM10 &amp; 2.5'!S38="","",VND&amp;signum2('PM10 &amp; 2.5'!S38,SigFig1,SigFig2,VND))</f>
        <v/>
      </c>
      <c r="G176" s="207" t="str">
        <f>IF('PM10 &amp; 2.5'!X38="","",VND&amp;signum2('PM10 &amp; 2.5'!X38,SigFig1,SigFig2,VND))</f>
        <v/>
      </c>
      <c r="H176" s="794" t="str">
        <f>IF('PM10 &amp; 2.5'!E104="","",'PM10 &amp; 2.5'!E104)</f>
        <v/>
      </c>
      <c r="I176" s="207" t="str">
        <f>IF('PM10 &amp; 2.5'!J104="","",signum('PM10 &amp; 2.5'!J104,SigFig1))</f>
        <v/>
      </c>
      <c r="J176" s="207" t="str">
        <f>IF('PM10 &amp; 2.5'!K104="","",VND&amp;signum2('PM10 &amp; 2.5'!K104,SigFig1,SigFig2,VND))</f>
        <v/>
      </c>
      <c r="K176" s="207" t="str">
        <f>IF('PM10 &amp; 2.5'!S104="","",VND&amp;signum2('PM10 &amp; 2.5'!S104,SigFig1,SigFig2,VND))</f>
        <v/>
      </c>
      <c r="L176" s="793" t="str">
        <f>IF('PM10 &amp; 2.5'!X104="","",VND&amp;signum2('PM10 &amp; 2.5'!X104,SigFig1,SigFig2,VND))</f>
        <v/>
      </c>
    </row>
    <row r="177" spans="1:12">
      <c r="A177" s="792" t="str">
        <f>IF('Flows &amp; Isokinetics'!E39="","",'Flows &amp; Isokinetics'!E39)</f>
        <v/>
      </c>
      <c r="B177" s="790" t="str">
        <f>IF('Flows &amp; Isokinetics'!F39="","",'Flows &amp; Isokinetics'!F39)</f>
        <v/>
      </c>
      <c r="C177" s="794" t="str">
        <f>IF('PM10 &amp; 2.5'!E39="","",'PM10 &amp; 2.5'!E39)</f>
        <v/>
      </c>
      <c r="D177" s="207" t="str">
        <f>IF('PM10 &amp; 2.5'!J39="","",signum('PM10 &amp; 2.5'!J39,SigFig1))</f>
        <v/>
      </c>
      <c r="E177" s="207" t="str">
        <f>IF('PM10 &amp; 2.5'!K39="","",VND&amp;signum2('PM10 &amp; 2.5'!K39,SigFig1,SigFig2,VND))</f>
        <v/>
      </c>
      <c r="F177" s="207" t="str">
        <f>IF('PM10 &amp; 2.5'!S39="","",VND&amp;signum2('PM10 &amp; 2.5'!S39,SigFig1,SigFig2,VND))</f>
        <v/>
      </c>
      <c r="G177" s="207" t="str">
        <f>IF('PM10 &amp; 2.5'!X39="","",VND&amp;signum2('PM10 &amp; 2.5'!X39,SigFig1,SigFig2,VND))</f>
        <v/>
      </c>
      <c r="H177" s="794" t="str">
        <f>IF('PM10 &amp; 2.5'!E105="","",'PM10 &amp; 2.5'!E105)</f>
        <v/>
      </c>
      <c r="I177" s="207" t="str">
        <f>IF('PM10 &amp; 2.5'!J105="","",signum('PM10 &amp; 2.5'!J105,SigFig1))</f>
        <v/>
      </c>
      <c r="J177" s="207" t="str">
        <f>IF('PM10 &amp; 2.5'!K105="","",VND&amp;signum2('PM10 &amp; 2.5'!K105,SigFig1,SigFig2,VND))</f>
        <v/>
      </c>
      <c r="K177" s="207" t="str">
        <f>IF('PM10 &amp; 2.5'!S105="","",VND&amp;signum2('PM10 &amp; 2.5'!S105,SigFig1,SigFig2,VND))</f>
        <v/>
      </c>
      <c r="L177" s="793" t="str">
        <f>IF('PM10 &amp; 2.5'!X105="","",VND&amp;signum2('PM10 &amp; 2.5'!X105,SigFig1,SigFig2,VND))</f>
        <v/>
      </c>
    </row>
    <row r="178" spans="1:12">
      <c r="A178" s="792" t="str">
        <f>IF('Flows &amp; Isokinetics'!E40="","",'Flows &amp; Isokinetics'!E40)</f>
        <v/>
      </c>
      <c r="B178" s="790" t="str">
        <f>IF('Flows &amp; Isokinetics'!F40="","",'Flows &amp; Isokinetics'!F40)</f>
        <v/>
      </c>
      <c r="C178" s="794" t="str">
        <f>IF('PM10 &amp; 2.5'!E40="","",'PM10 &amp; 2.5'!E40)</f>
        <v/>
      </c>
      <c r="D178" s="207" t="str">
        <f>IF('PM10 &amp; 2.5'!J40="","",signum('PM10 &amp; 2.5'!J40,SigFig1))</f>
        <v/>
      </c>
      <c r="E178" s="207" t="str">
        <f>IF('PM10 &amp; 2.5'!K40="","",VND&amp;signum2('PM10 &amp; 2.5'!K40,SigFig1,SigFig2,VND))</f>
        <v/>
      </c>
      <c r="F178" s="207" t="str">
        <f>IF('PM10 &amp; 2.5'!S40="","",VND&amp;signum2('PM10 &amp; 2.5'!S40,SigFig1,SigFig2,VND))</f>
        <v/>
      </c>
      <c r="G178" s="207" t="str">
        <f>IF('PM10 &amp; 2.5'!X40="","",VND&amp;signum2('PM10 &amp; 2.5'!X40,SigFig1,SigFig2,VND))</f>
        <v/>
      </c>
      <c r="H178" s="794" t="str">
        <f>IF('PM10 &amp; 2.5'!E106="","",'PM10 &amp; 2.5'!E106)</f>
        <v/>
      </c>
      <c r="I178" s="207" t="str">
        <f>IF('PM10 &amp; 2.5'!J106="","",signum('PM10 &amp; 2.5'!J106,SigFig1))</f>
        <v/>
      </c>
      <c r="J178" s="207" t="str">
        <f>IF('PM10 &amp; 2.5'!K106="","",VND&amp;signum2('PM10 &amp; 2.5'!K106,SigFig1,SigFig2,VND))</f>
        <v/>
      </c>
      <c r="K178" s="207" t="str">
        <f>IF('PM10 &amp; 2.5'!S106="","",VND&amp;signum2('PM10 &amp; 2.5'!S106,SigFig1,SigFig2,VND))</f>
        <v/>
      </c>
      <c r="L178" s="793" t="str">
        <f>IF('PM10 &amp; 2.5'!X106="","",VND&amp;signum2('PM10 &amp; 2.5'!X106,SigFig1,SigFig2,VND))</f>
        <v/>
      </c>
    </row>
    <row r="179" spans="1:12">
      <c r="A179" s="792" t="str">
        <f>IF('Flows &amp; Isokinetics'!E41="","",'Flows &amp; Isokinetics'!E41)</f>
        <v/>
      </c>
      <c r="B179" s="790" t="str">
        <f>IF('Flows &amp; Isokinetics'!F41="","",'Flows &amp; Isokinetics'!F41)</f>
        <v/>
      </c>
      <c r="C179" s="794" t="str">
        <f>IF('PM10 &amp; 2.5'!E41="","",'PM10 &amp; 2.5'!E41)</f>
        <v/>
      </c>
      <c r="D179" s="207" t="str">
        <f>IF('PM10 &amp; 2.5'!J41="","",signum('PM10 &amp; 2.5'!J41,SigFig1))</f>
        <v/>
      </c>
      <c r="E179" s="207" t="str">
        <f>IF('PM10 &amp; 2.5'!K41="","",VND&amp;signum2('PM10 &amp; 2.5'!K41,SigFig1,SigFig2,VND))</f>
        <v/>
      </c>
      <c r="F179" s="207" t="str">
        <f>IF('PM10 &amp; 2.5'!S41="","",VND&amp;signum2('PM10 &amp; 2.5'!S41,SigFig1,SigFig2,VND))</f>
        <v/>
      </c>
      <c r="G179" s="207" t="str">
        <f>IF('PM10 &amp; 2.5'!X41="","",VND&amp;signum2('PM10 &amp; 2.5'!X41,SigFig1,SigFig2,VND))</f>
        <v/>
      </c>
      <c r="H179" s="794" t="str">
        <f>IF('PM10 &amp; 2.5'!E107="","",'PM10 &amp; 2.5'!E107)</f>
        <v/>
      </c>
      <c r="I179" s="207" t="str">
        <f>IF('PM10 &amp; 2.5'!J107="","",signum('PM10 &amp; 2.5'!J107,SigFig1))</f>
        <v/>
      </c>
      <c r="J179" s="207" t="str">
        <f>IF('PM10 &amp; 2.5'!K107="","",VND&amp;signum2('PM10 &amp; 2.5'!K107,SigFig1,SigFig2,VND))</f>
        <v/>
      </c>
      <c r="K179" s="207" t="str">
        <f>IF('PM10 &amp; 2.5'!S107="","",VND&amp;signum2('PM10 &amp; 2.5'!S107,SigFig1,SigFig2,VND))</f>
        <v/>
      </c>
      <c r="L179" s="793" t="str">
        <f>IF('PM10 &amp; 2.5'!X107="","",VND&amp;signum2('PM10 &amp; 2.5'!X107,SigFig1,SigFig2,VND))</f>
        <v/>
      </c>
    </row>
    <row r="180" spans="1:12">
      <c r="A180" s="792" t="str">
        <f>IF('Flows &amp; Isokinetics'!E42="","",'Flows &amp; Isokinetics'!E42)</f>
        <v/>
      </c>
      <c r="B180" s="790" t="str">
        <f>IF('Flows &amp; Isokinetics'!F42="","",'Flows &amp; Isokinetics'!F42)</f>
        <v/>
      </c>
      <c r="C180" s="794" t="str">
        <f>IF('PM10 &amp; 2.5'!E42="","",'PM10 &amp; 2.5'!E42)</f>
        <v/>
      </c>
      <c r="D180" s="207" t="str">
        <f>IF('PM10 &amp; 2.5'!J42="","",signum('PM10 &amp; 2.5'!J42,SigFig1))</f>
        <v/>
      </c>
      <c r="E180" s="207" t="str">
        <f>IF('PM10 &amp; 2.5'!K42="","",VND&amp;signum2('PM10 &amp; 2.5'!K42,SigFig1,SigFig2,VND))</f>
        <v/>
      </c>
      <c r="F180" s="207" t="str">
        <f>IF('PM10 &amp; 2.5'!S42="","",VND&amp;signum2('PM10 &amp; 2.5'!S42,SigFig1,SigFig2,VND))</f>
        <v/>
      </c>
      <c r="G180" s="207" t="str">
        <f>IF('PM10 &amp; 2.5'!X42="","",VND&amp;signum2('PM10 &amp; 2.5'!X42,SigFig1,SigFig2,VND))</f>
        <v/>
      </c>
      <c r="H180" s="794" t="str">
        <f>IF('PM10 &amp; 2.5'!E108="","",'PM10 &amp; 2.5'!E108)</f>
        <v/>
      </c>
      <c r="I180" s="207" t="str">
        <f>IF('PM10 &amp; 2.5'!J108="","",signum('PM10 &amp; 2.5'!J108,SigFig1))</f>
        <v/>
      </c>
      <c r="J180" s="207" t="str">
        <f>IF('PM10 &amp; 2.5'!K108="","",VND&amp;signum2('PM10 &amp; 2.5'!K108,SigFig1,SigFig2,VND))</f>
        <v/>
      </c>
      <c r="K180" s="207" t="str">
        <f>IF('PM10 &amp; 2.5'!S108="","",VND&amp;signum2('PM10 &amp; 2.5'!S108,SigFig1,SigFig2,VND))</f>
        <v/>
      </c>
      <c r="L180" s="793" t="str">
        <f>IF('PM10 &amp; 2.5'!X108="","",VND&amp;signum2('PM10 &amp; 2.5'!X108,SigFig1,SigFig2,VND))</f>
        <v/>
      </c>
    </row>
    <row r="181" spans="1:12">
      <c r="A181" s="792" t="str">
        <f>IF('Flows &amp; Isokinetics'!E43="","",'Flows &amp; Isokinetics'!E43)</f>
        <v/>
      </c>
      <c r="B181" s="790" t="str">
        <f>IF('Flows &amp; Isokinetics'!F43="","",'Flows &amp; Isokinetics'!F43)</f>
        <v/>
      </c>
      <c r="C181" s="794" t="str">
        <f>IF('PM10 &amp; 2.5'!E43="","",'PM10 &amp; 2.5'!E43)</f>
        <v/>
      </c>
      <c r="D181" s="207" t="str">
        <f>IF('PM10 &amp; 2.5'!J43="","",signum('PM10 &amp; 2.5'!J43,SigFig1))</f>
        <v/>
      </c>
      <c r="E181" s="207" t="str">
        <f>IF('PM10 &amp; 2.5'!K43="","",VND&amp;signum2('PM10 &amp; 2.5'!K43,SigFig1,SigFig2,VND))</f>
        <v/>
      </c>
      <c r="F181" s="207" t="str">
        <f>IF('PM10 &amp; 2.5'!S43="","",VND&amp;signum2('PM10 &amp; 2.5'!S43,SigFig1,SigFig2,VND))</f>
        <v/>
      </c>
      <c r="G181" s="207" t="str">
        <f>IF('PM10 &amp; 2.5'!X43="","",VND&amp;signum2('PM10 &amp; 2.5'!X43,SigFig1,SigFig2,VND))</f>
        <v/>
      </c>
      <c r="H181" s="794" t="str">
        <f>IF('PM10 &amp; 2.5'!E109="","",'PM10 &amp; 2.5'!E109)</f>
        <v/>
      </c>
      <c r="I181" s="207" t="str">
        <f>IF('PM10 &amp; 2.5'!J109="","",signum('PM10 &amp; 2.5'!J109,SigFig1))</f>
        <v/>
      </c>
      <c r="J181" s="207" t="str">
        <f>IF('PM10 &amp; 2.5'!K109="","",VND&amp;signum2('PM10 &amp; 2.5'!K109,SigFig1,SigFig2,VND))</f>
        <v/>
      </c>
      <c r="K181" s="207" t="str">
        <f>IF('PM10 &amp; 2.5'!S109="","",VND&amp;signum2('PM10 &amp; 2.5'!S109,SigFig1,SigFig2,VND))</f>
        <v/>
      </c>
      <c r="L181" s="793" t="str">
        <f>IF('PM10 &amp; 2.5'!X109="","",VND&amp;signum2('PM10 &amp; 2.5'!X109,SigFig1,SigFig2,VND))</f>
        <v/>
      </c>
    </row>
    <row r="182" spans="1:12">
      <c r="A182" s="792" t="str">
        <f>IF('Flows &amp; Isokinetics'!E44="","",'Flows &amp; Isokinetics'!E44)</f>
        <v/>
      </c>
      <c r="B182" s="790" t="str">
        <f>IF('Flows &amp; Isokinetics'!F44="","",'Flows &amp; Isokinetics'!F44)</f>
        <v/>
      </c>
      <c r="C182" s="794" t="str">
        <f>IF('PM10 &amp; 2.5'!E44="","",'PM10 &amp; 2.5'!E44)</f>
        <v/>
      </c>
      <c r="D182" s="207" t="str">
        <f>IF('PM10 &amp; 2.5'!J44="","",signum('PM10 &amp; 2.5'!J44,SigFig1))</f>
        <v/>
      </c>
      <c r="E182" s="207" t="str">
        <f>IF('PM10 &amp; 2.5'!K44="","",VND&amp;signum2('PM10 &amp; 2.5'!K44,SigFig1,SigFig2,VND))</f>
        <v/>
      </c>
      <c r="F182" s="207" t="str">
        <f>IF('PM10 &amp; 2.5'!S44="","",VND&amp;signum2('PM10 &amp; 2.5'!S44,SigFig1,SigFig2,VND))</f>
        <v/>
      </c>
      <c r="G182" s="207" t="str">
        <f>IF('PM10 &amp; 2.5'!X44="","",VND&amp;signum2('PM10 &amp; 2.5'!X44,SigFig1,SigFig2,VND))</f>
        <v/>
      </c>
      <c r="H182" s="794" t="str">
        <f>IF('PM10 &amp; 2.5'!E110="","",'PM10 &amp; 2.5'!E110)</f>
        <v/>
      </c>
      <c r="I182" s="207" t="str">
        <f>IF('PM10 &amp; 2.5'!J110="","",signum('PM10 &amp; 2.5'!J110,SigFig1))</f>
        <v/>
      </c>
      <c r="J182" s="207" t="str">
        <f>IF('PM10 &amp; 2.5'!K110="","",VND&amp;signum2('PM10 &amp; 2.5'!K110,SigFig1,SigFig2,VND))</f>
        <v/>
      </c>
      <c r="K182" s="207" t="str">
        <f>IF('PM10 &amp; 2.5'!S110="","",VND&amp;signum2('PM10 &amp; 2.5'!S110,SigFig1,SigFig2,VND))</f>
        <v/>
      </c>
      <c r="L182" s="793" t="str">
        <f>IF('PM10 &amp; 2.5'!X110="","",VND&amp;signum2('PM10 &amp; 2.5'!X110,SigFig1,SigFig2,VND))</f>
        <v/>
      </c>
    </row>
    <row r="183" spans="1:12">
      <c r="A183" s="792" t="str">
        <f>IF('Flows &amp; Isokinetics'!E45="","",'Flows &amp; Isokinetics'!E45)</f>
        <v/>
      </c>
      <c r="B183" s="790" t="str">
        <f>IF('Flows &amp; Isokinetics'!F45="","",'Flows &amp; Isokinetics'!F45)</f>
        <v/>
      </c>
      <c r="C183" s="794" t="str">
        <f>IF('PM10 &amp; 2.5'!E45="","",'PM10 &amp; 2.5'!E45)</f>
        <v/>
      </c>
      <c r="D183" s="207" t="str">
        <f>IF('PM10 &amp; 2.5'!J45="","",signum('PM10 &amp; 2.5'!J45,SigFig1))</f>
        <v/>
      </c>
      <c r="E183" s="207" t="str">
        <f>IF('PM10 &amp; 2.5'!K45="","",VND&amp;signum2('PM10 &amp; 2.5'!K45,SigFig1,SigFig2,VND))</f>
        <v/>
      </c>
      <c r="F183" s="207" t="str">
        <f>IF('PM10 &amp; 2.5'!S45="","",VND&amp;signum2('PM10 &amp; 2.5'!S45,SigFig1,SigFig2,VND))</f>
        <v/>
      </c>
      <c r="G183" s="207" t="str">
        <f>IF('PM10 &amp; 2.5'!X45="","",VND&amp;signum2('PM10 &amp; 2.5'!X45,SigFig1,SigFig2,VND))</f>
        <v/>
      </c>
      <c r="H183" s="794" t="str">
        <f>IF('PM10 &amp; 2.5'!E111="","",'PM10 &amp; 2.5'!E111)</f>
        <v/>
      </c>
      <c r="I183" s="207" t="str">
        <f>IF('PM10 &amp; 2.5'!J111="","",signum('PM10 &amp; 2.5'!J111,SigFig1))</f>
        <v/>
      </c>
      <c r="J183" s="207" t="str">
        <f>IF('PM10 &amp; 2.5'!K111="","",VND&amp;signum2('PM10 &amp; 2.5'!K111,SigFig1,SigFig2,VND))</f>
        <v/>
      </c>
      <c r="K183" s="207" t="str">
        <f>IF('PM10 &amp; 2.5'!S111="","",VND&amp;signum2('PM10 &amp; 2.5'!S111,SigFig1,SigFig2,VND))</f>
        <v/>
      </c>
      <c r="L183" s="793" t="str">
        <f>IF('PM10 &amp; 2.5'!X111="","",VND&amp;signum2('PM10 &amp; 2.5'!X111,SigFig1,SigFig2,VND))</f>
        <v/>
      </c>
    </row>
    <row r="184" spans="1:12">
      <c r="A184" s="792" t="str">
        <f>IF('Flows &amp; Isokinetics'!E46="","",'Flows &amp; Isokinetics'!E46)</f>
        <v/>
      </c>
      <c r="B184" s="790" t="str">
        <f>IF('Flows &amp; Isokinetics'!F46="","",'Flows &amp; Isokinetics'!F46)</f>
        <v/>
      </c>
      <c r="C184" s="794" t="str">
        <f>IF('PM10 &amp; 2.5'!E46="","",'PM10 &amp; 2.5'!E46)</f>
        <v/>
      </c>
      <c r="D184" s="207" t="str">
        <f>IF('PM10 &amp; 2.5'!J46="","",signum('PM10 &amp; 2.5'!J46,SigFig1))</f>
        <v/>
      </c>
      <c r="E184" s="207" t="str">
        <f>IF('PM10 &amp; 2.5'!K46="","",VND&amp;signum2('PM10 &amp; 2.5'!K46,SigFig1,SigFig2,VND))</f>
        <v/>
      </c>
      <c r="F184" s="207" t="str">
        <f>IF('PM10 &amp; 2.5'!S46="","",VND&amp;signum2('PM10 &amp; 2.5'!S46,SigFig1,SigFig2,VND))</f>
        <v/>
      </c>
      <c r="G184" s="207" t="str">
        <f>IF('PM10 &amp; 2.5'!X46="","",VND&amp;signum2('PM10 &amp; 2.5'!X46,SigFig1,SigFig2,VND))</f>
        <v/>
      </c>
      <c r="H184" s="794" t="str">
        <f>IF('PM10 &amp; 2.5'!E112="","",'PM10 &amp; 2.5'!E112)</f>
        <v/>
      </c>
      <c r="I184" s="207" t="str">
        <f>IF('PM10 &amp; 2.5'!J112="","",signum('PM10 &amp; 2.5'!J112,SigFig1))</f>
        <v/>
      </c>
      <c r="J184" s="207" t="str">
        <f>IF('PM10 &amp; 2.5'!K112="","",VND&amp;signum2('PM10 &amp; 2.5'!K112,SigFig1,SigFig2,VND))</f>
        <v/>
      </c>
      <c r="K184" s="207" t="str">
        <f>IF('PM10 &amp; 2.5'!S112="","",VND&amp;signum2('PM10 &amp; 2.5'!S112,SigFig1,SigFig2,VND))</f>
        <v/>
      </c>
      <c r="L184" s="793" t="str">
        <f>IF('PM10 &amp; 2.5'!X112="","",VND&amp;signum2('PM10 &amp; 2.5'!X112,SigFig1,SigFig2,VND))</f>
        <v/>
      </c>
    </row>
    <row r="185" spans="1:12">
      <c r="A185" s="792" t="str">
        <f>IF('Flows &amp; Isokinetics'!E47="","",'Flows &amp; Isokinetics'!E47)</f>
        <v/>
      </c>
      <c r="B185" s="790" t="str">
        <f>IF('Flows &amp; Isokinetics'!F47="","",'Flows &amp; Isokinetics'!F47)</f>
        <v/>
      </c>
      <c r="C185" s="794" t="str">
        <f>IF('PM10 &amp; 2.5'!E47="","",'PM10 &amp; 2.5'!E47)</f>
        <v/>
      </c>
      <c r="D185" s="207" t="str">
        <f>IF('PM10 &amp; 2.5'!J47="","",signum('PM10 &amp; 2.5'!J47,SigFig1))</f>
        <v/>
      </c>
      <c r="E185" s="207" t="str">
        <f>IF('PM10 &amp; 2.5'!K47="","",VND&amp;signum2('PM10 &amp; 2.5'!K47,SigFig1,SigFig2,VND))</f>
        <v/>
      </c>
      <c r="F185" s="207" t="str">
        <f>IF('PM10 &amp; 2.5'!S47="","",VND&amp;signum2('PM10 &amp; 2.5'!S47,SigFig1,SigFig2,VND))</f>
        <v/>
      </c>
      <c r="G185" s="207" t="str">
        <f>IF('PM10 &amp; 2.5'!X47="","",VND&amp;signum2('PM10 &amp; 2.5'!X47,SigFig1,SigFig2,VND))</f>
        <v/>
      </c>
      <c r="H185" s="794" t="str">
        <f>IF('PM10 &amp; 2.5'!E113="","",'PM10 &amp; 2.5'!E113)</f>
        <v/>
      </c>
      <c r="I185" s="207" t="str">
        <f>IF('PM10 &amp; 2.5'!J113="","",signum('PM10 &amp; 2.5'!J113,SigFig1))</f>
        <v/>
      </c>
      <c r="J185" s="207" t="str">
        <f>IF('PM10 &amp; 2.5'!K113="","",VND&amp;signum2('PM10 &amp; 2.5'!K113,SigFig1,SigFig2,VND))</f>
        <v/>
      </c>
      <c r="K185" s="207" t="str">
        <f>IF('PM10 &amp; 2.5'!S113="","",VND&amp;signum2('PM10 &amp; 2.5'!S113,SigFig1,SigFig2,VND))</f>
        <v/>
      </c>
      <c r="L185" s="793" t="str">
        <f>IF('PM10 &amp; 2.5'!X113="","",VND&amp;signum2('PM10 &amp; 2.5'!X113,SigFig1,SigFig2,VND))</f>
        <v/>
      </c>
    </row>
    <row r="186" spans="1:12">
      <c r="A186" s="792" t="str">
        <f>IF('Flows &amp; Isokinetics'!E48="","",'Flows &amp; Isokinetics'!E48)</f>
        <v/>
      </c>
      <c r="B186" s="790" t="str">
        <f>IF('Flows &amp; Isokinetics'!F48="","",'Flows &amp; Isokinetics'!F48)</f>
        <v/>
      </c>
      <c r="C186" s="794" t="str">
        <f>IF('PM10 &amp; 2.5'!E48="","",'PM10 &amp; 2.5'!E48)</f>
        <v/>
      </c>
      <c r="D186" s="207" t="str">
        <f>IF('PM10 &amp; 2.5'!J48="","",signum('PM10 &amp; 2.5'!J48,SigFig1))</f>
        <v/>
      </c>
      <c r="E186" s="207" t="str">
        <f>IF('PM10 &amp; 2.5'!K48="","",VND&amp;signum2('PM10 &amp; 2.5'!K48,SigFig1,SigFig2,VND))</f>
        <v/>
      </c>
      <c r="F186" s="207" t="str">
        <f>IF('PM10 &amp; 2.5'!S48="","",VND&amp;signum2('PM10 &amp; 2.5'!S48,SigFig1,SigFig2,VND))</f>
        <v/>
      </c>
      <c r="G186" s="207" t="str">
        <f>IF('PM10 &amp; 2.5'!X48="","",VND&amp;signum2('PM10 &amp; 2.5'!X48,SigFig1,SigFig2,VND))</f>
        <v/>
      </c>
      <c r="H186" s="794" t="str">
        <f>IF('PM10 &amp; 2.5'!E114="","",'PM10 &amp; 2.5'!E114)</f>
        <v/>
      </c>
      <c r="I186" s="207" t="str">
        <f>IF('PM10 &amp; 2.5'!J114="","",signum('PM10 &amp; 2.5'!J114,SigFig1))</f>
        <v/>
      </c>
      <c r="J186" s="207" t="str">
        <f>IF('PM10 &amp; 2.5'!K114="","",VND&amp;signum2('PM10 &amp; 2.5'!K114,SigFig1,SigFig2,VND))</f>
        <v/>
      </c>
      <c r="K186" s="207" t="str">
        <f>IF('PM10 &amp; 2.5'!S114="","",VND&amp;signum2('PM10 &amp; 2.5'!S114,SigFig1,SigFig2,VND))</f>
        <v/>
      </c>
      <c r="L186" s="793" t="str">
        <f>IF('PM10 &amp; 2.5'!X114="","",VND&amp;signum2('PM10 &amp; 2.5'!X114,SigFig1,SigFig2,VND))</f>
        <v/>
      </c>
    </row>
    <row r="187" spans="1:12">
      <c r="A187" s="792" t="str">
        <f>IF('Flows &amp; Isokinetics'!E49="","",'Flows &amp; Isokinetics'!E49)</f>
        <v/>
      </c>
      <c r="B187" s="790" t="str">
        <f>IF('Flows &amp; Isokinetics'!F49="","",'Flows &amp; Isokinetics'!F49)</f>
        <v/>
      </c>
      <c r="C187" s="794" t="str">
        <f>IF('PM10 &amp; 2.5'!E49="","",'PM10 &amp; 2.5'!E49)</f>
        <v/>
      </c>
      <c r="D187" s="207" t="str">
        <f>IF('PM10 &amp; 2.5'!J49="","",signum('PM10 &amp; 2.5'!J49,SigFig1))</f>
        <v/>
      </c>
      <c r="E187" s="207" t="str">
        <f>IF('PM10 &amp; 2.5'!K49="","",VND&amp;signum2('PM10 &amp; 2.5'!K49,SigFig1,SigFig2,VND))</f>
        <v/>
      </c>
      <c r="F187" s="207" t="str">
        <f>IF('PM10 &amp; 2.5'!S49="","",VND&amp;signum2('PM10 &amp; 2.5'!S49,SigFig1,SigFig2,VND))</f>
        <v/>
      </c>
      <c r="G187" s="207" t="str">
        <f>IF('PM10 &amp; 2.5'!X49="","",VND&amp;signum2('PM10 &amp; 2.5'!X49,SigFig1,SigFig2,VND))</f>
        <v/>
      </c>
      <c r="H187" s="794" t="str">
        <f>IF('PM10 &amp; 2.5'!E115="","",'PM10 &amp; 2.5'!E115)</f>
        <v/>
      </c>
      <c r="I187" s="207" t="str">
        <f>IF('PM10 &amp; 2.5'!J115="","",signum('PM10 &amp; 2.5'!J115,SigFig1))</f>
        <v/>
      </c>
      <c r="J187" s="207" t="str">
        <f>IF('PM10 &amp; 2.5'!K115="","",VND&amp;signum2('PM10 &amp; 2.5'!K115,SigFig1,SigFig2,VND))</f>
        <v/>
      </c>
      <c r="K187" s="207" t="str">
        <f>IF('PM10 &amp; 2.5'!S115="","",VND&amp;signum2('PM10 &amp; 2.5'!S115,SigFig1,SigFig2,VND))</f>
        <v/>
      </c>
      <c r="L187" s="793" t="str">
        <f>IF('PM10 &amp; 2.5'!X115="","",VND&amp;signum2('PM10 &amp; 2.5'!X115,SigFig1,SigFig2,VND))</f>
        <v/>
      </c>
    </row>
    <row r="188" spans="1:12">
      <c r="A188" s="792" t="str">
        <f>IF('Flows &amp; Isokinetics'!E50="","",'Flows &amp; Isokinetics'!E50)</f>
        <v/>
      </c>
      <c r="B188" s="790" t="str">
        <f>IF('Flows &amp; Isokinetics'!F50="","",'Flows &amp; Isokinetics'!F50)</f>
        <v/>
      </c>
      <c r="C188" s="794" t="str">
        <f>IF('PM10 &amp; 2.5'!E50="","",'PM10 &amp; 2.5'!E50)</f>
        <v/>
      </c>
      <c r="D188" s="207" t="str">
        <f>IF('PM10 &amp; 2.5'!J50="","",signum('PM10 &amp; 2.5'!J50,SigFig1))</f>
        <v/>
      </c>
      <c r="E188" s="207" t="str">
        <f>IF('PM10 &amp; 2.5'!K50="","",VND&amp;signum2('PM10 &amp; 2.5'!K50,SigFig1,SigFig2,VND))</f>
        <v/>
      </c>
      <c r="F188" s="207" t="str">
        <f>IF('PM10 &amp; 2.5'!S50="","",VND&amp;signum2('PM10 &amp; 2.5'!S50,SigFig1,SigFig2,VND))</f>
        <v/>
      </c>
      <c r="G188" s="207" t="str">
        <f>IF('PM10 &amp; 2.5'!X50="","",VND&amp;signum2('PM10 &amp; 2.5'!X50,SigFig1,SigFig2,VND))</f>
        <v/>
      </c>
      <c r="H188" s="794" t="str">
        <f>IF('PM10 &amp; 2.5'!E116="","",'PM10 &amp; 2.5'!E116)</f>
        <v/>
      </c>
      <c r="I188" s="207" t="str">
        <f>IF('PM10 &amp; 2.5'!J116="","",signum('PM10 &amp; 2.5'!J116,SigFig1))</f>
        <v/>
      </c>
      <c r="J188" s="207" t="str">
        <f>IF('PM10 &amp; 2.5'!K116="","",VND&amp;signum2('PM10 &amp; 2.5'!K116,SigFig1,SigFig2,VND))</f>
        <v/>
      </c>
      <c r="K188" s="207" t="str">
        <f>IF('PM10 &amp; 2.5'!S116="","",VND&amp;signum2('PM10 &amp; 2.5'!S116,SigFig1,SigFig2,VND))</f>
        <v/>
      </c>
      <c r="L188" s="793" t="str">
        <f>IF('PM10 &amp; 2.5'!X116="","",VND&amp;signum2('PM10 &amp; 2.5'!X116,SigFig1,SigFig2,VND))</f>
        <v/>
      </c>
    </row>
    <row r="189" spans="1:12">
      <c r="A189" s="792" t="str">
        <f>IF('Flows &amp; Isokinetics'!E51="","",'Flows &amp; Isokinetics'!E51)</f>
        <v/>
      </c>
      <c r="B189" s="790" t="str">
        <f>IF('Flows &amp; Isokinetics'!F51="","",'Flows &amp; Isokinetics'!F51)</f>
        <v/>
      </c>
      <c r="C189" s="794" t="str">
        <f>IF('PM10 &amp; 2.5'!E51="","",'PM10 &amp; 2.5'!E51)</f>
        <v/>
      </c>
      <c r="D189" s="207" t="str">
        <f>IF('PM10 &amp; 2.5'!J51="","",signum('PM10 &amp; 2.5'!J51,SigFig1))</f>
        <v/>
      </c>
      <c r="E189" s="207" t="str">
        <f>IF('PM10 &amp; 2.5'!K51="","",VND&amp;signum2('PM10 &amp; 2.5'!K51,SigFig1,SigFig2,VND))</f>
        <v/>
      </c>
      <c r="F189" s="207" t="str">
        <f>IF('PM10 &amp; 2.5'!S51="","",VND&amp;signum2('PM10 &amp; 2.5'!S51,SigFig1,SigFig2,VND))</f>
        <v/>
      </c>
      <c r="G189" s="207" t="str">
        <f>IF('PM10 &amp; 2.5'!X51="","",VND&amp;signum2('PM10 &amp; 2.5'!X51,SigFig1,SigFig2,VND))</f>
        <v/>
      </c>
      <c r="H189" s="794" t="str">
        <f>IF('PM10 &amp; 2.5'!E117="","",'PM10 &amp; 2.5'!E117)</f>
        <v/>
      </c>
      <c r="I189" s="207" t="str">
        <f>IF('PM10 &amp; 2.5'!J117="","",signum('PM10 &amp; 2.5'!J117,SigFig1))</f>
        <v/>
      </c>
      <c r="J189" s="207" t="str">
        <f>IF('PM10 &amp; 2.5'!K117="","",VND&amp;signum2('PM10 &amp; 2.5'!K117,SigFig1,SigFig2,VND))</f>
        <v/>
      </c>
      <c r="K189" s="207" t="str">
        <f>IF('PM10 &amp; 2.5'!S117="","",VND&amp;signum2('PM10 &amp; 2.5'!S117,SigFig1,SigFig2,VND))</f>
        <v/>
      </c>
      <c r="L189" s="793" t="str">
        <f>IF('PM10 &amp; 2.5'!X117="","",VND&amp;signum2('PM10 &amp; 2.5'!X117,SigFig1,SigFig2,VND))</f>
        <v/>
      </c>
    </row>
    <row r="190" spans="1:12">
      <c r="A190" s="792" t="str">
        <f>IF('Flows &amp; Isokinetics'!E52="","",'Flows &amp; Isokinetics'!E52)</f>
        <v/>
      </c>
      <c r="B190" s="790" t="str">
        <f>IF('Flows &amp; Isokinetics'!F52="","",'Flows &amp; Isokinetics'!F52)</f>
        <v/>
      </c>
      <c r="C190" s="794" t="str">
        <f>IF('PM10 &amp; 2.5'!E52="","",'PM10 &amp; 2.5'!E52)</f>
        <v/>
      </c>
      <c r="D190" s="207" t="str">
        <f>IF('PM10 &amp; 2.5'!J52="","",signum('PM10 &amp; 2.5'!J52,SigFig1))</f>
        <v/>
      </c>
      <c r="E190" s="207" t="str">
        <f>IF('PM10 &amp; 2.5'!K52="","",VND&amp;signum2('PM10 &amp; 2.5'!K52,SigFig1,SigFig2,VND))</f>
        <v/>
      </c>
      <c r="F190" s="207" t="str">
        <f>IF('PM10 &amp; 2.5'!S52="","",VND&amp;signum2('PM10 &amp; 2.5'!S52,SigFig1,SigFig2,VND))</f>
        <v/>
      </c>
      <c r="G190" s="207" t="str">
        <f>IF('PM10 &amp; 2.5'!X52="","",VND&amp;signum2('PM10 &amp; 2.5'!X52,SigFig1,SigFig2,VND))</f>
        <v/>
      </c>
      <c r="H190" s="794" t="str">
        <f>IF('PM10 &amp; 2.5'!E118="","",'PM10 &amp; 2.5'!E118)</f>
        <v/>
      </c>
      <c r="I190" s="207" t="str">
        <f>IF('PM10 &amp; 2.5'!J118="","",signum('PM10 &amp; 2.5'!J118,SigFig1))</f>
        <v/>
      </c>
      <c r="J190" s="207" t="str">
        <f>IF('PM10 &amp; 2.5'!K118="","",VND&amp;signum2('PM10 &amp; 2.5'!K118,SigFig1,SigFig2,VND))</f>
        <v/>
      </c>
      <c r="K190" s="207" t="str">
        <f>IF('PM10 &amp; 2.5'!S118="","",VND&amp;signum2('PM10 &amp; 2.5'!S118,SigFig1,SigFig2,VND))</f>
        <v/>
      </c>
      <c r="L190" s="793" t="str">
        <f>IF('PM10 &amp; 2.5'!X118="","",VND&amp;signum2('PM10 &amp; 2.5'!X118,SigFig1,SigFig2,VND))</f>
        <v/>
      </c>
    </row>
    <row r="191" spans="1:12">
      <c r="A191" s="792" t="str">
        <f>IF('Flows &amp; Isokinetics'!E53="","",'Flows &amp; Isokinetics'!E53)</f>
        <v/>
      </c>
      <c r="B191" s="790" t="str">
        <f>IF('Flows &amp; Isokinetics'!F53="","",'Flows &amp; Isokinetics'!F53)</f>
        <v/>
      </c>
      <c r="C191" s="794" t="str">
        <f>IF('PM10 &amp; 2.5'!E53="","",'PM10 &amp; 2.5'!E53)</f>
        <v/>
      </c>
      <c r="D191" s="207" t="str">
        <f>IF('PM10 &amp; 2.5'!J53="","",signum('PM10 &amp; 2.5'!J53,SigFig1))</f>
        <v/>
      </c>
      <c r="E191" s="207" t="str">
        <f>IF('PM10 &amp; 2.5'!K53="","",VND&amp;signum2('PM10 &amp; 2.5'!K53,SigFig1,SigFig2,VND))</f>
        <v/>
      </c>
      <c r="F191" s="207" t="str">
        <f>IF('PM10 &amp; 2.5'!S53="","",VND&amp;signum2('PM10 &amp; 2.5'!S53,SigFig1,SigFig2,VND))</f>
        <v/>
      </c>
      <c r="G191" s="207" t="str">
        <f>IF('PM10 &amp; 2.5'!X53="","",VND&amp;signum2('PM10 &amp; 2.5'!X53,SigFig1,SigFig2,VND))</f>
        <v/>
      </c>
      <c r="H191" s="794" t="str">
        <f>IF('PM10 &amp; 2.5'!E119="","",'PM10 &amp; 2.5'!E119)</f>
        <v/>
      </c>
      <c r="I191" s="207" t="str">
        <f>IF('PM10 &amp; 2.5'!J119="","",signum('PM10 &amp; 2.5'!J119,SigFig1))</f>
        <v/>
      </c>
      <c r="J191" s="207" t="str">
        <f>IF('PM10 &amp; 2.5'!K119="","",VND&amp;signum2('PM10 &amp; 2.5'!K119,SigFig1,SigFig2,VND))</f>
        <v/>
      </c>
      <c r="K191" s="207" t="str">
        <f>IF('PM10 &amp; 2.5'!S119="","",VND&amp;signum2('PM10 &amp; 2.5'!S119,SigFig1,SigFig2,VND))</f>
        <v/>
      </c>
      <c r="L191" s="793" t="str">
        <f>IF('PM10 &amp; 2.5'!X119="","",VND&amp;signum2('PM10 &amp; 2.5'!X119,SigFig1,SigFig2,VND))</f>
        <v/>
      </c>
    </row>
    <row r="192" spans="1:12">
      <c r="A192" s="792" t="str">
        <f>IF('Flows &amp; Isokinetics'!E54="","",'Flows &amp; Isokinetics'!E54)</f>
        <v/>
      </c>
      <c r="B192" s="790" t="str">
        <f>IF('Flows &amp; Isokinetics'!F54="","",'Flows &amp; Isokinetics'!F54)</f>
        <v/>
      </c>
      <c r="C192" s="794" t="str">
        <f>IF('PM10 &amp; 2.5'!E54="","",'PM10 &amp; 2.5'!E54)</f>
        <v/>
      </c>
      <c r="D192" s="207" t="str">
        <f>IF('PM10 &amp; 2.5'!J54="","",signum('PM10 &amp; 2.5'!J54,SigFig1))</f>
        <v/>
      </c>
      <c r="E192" s="207" t="str">
        <f>IF('PM10 &amp; 2.5'!K54="","",VND&amp;signum2('PM10 &amp; 2.5'!K54,SigFig1,SigFig2,VND))</f>
        <v/>
      </c>
      <c r="F192" s="207" t="str">
        <f>IF('PM10 &amp; 2.5'!S54="","",VND&amp;signum2('PM10 &amp; 2.5'!S54,SigFig1,SigFig2,VND))</f>
        <v/>
      </c>
      <c r="G192" s="207" t="str">
        <f>IF('PM10 &amp; 2.5'!X54="","",VND&amp;signum2('PM10 &amp; 2.5'!X54,SigFig1,SigFig2,VND))</f>
        <v/>
      </c>
      <c r="H192" s="794" t="str">
        <f>IF('PM10 &amp; 2.5'!E120="","",'PM10 &amp; 2.5'!E120)</f>
        <v/>
      </c>
      <c r="I192" s="207" t="str">
        <f>IF('PM10 &amp; 2.5'!J120="","",signum('PM10 &amp; 2.5'!J120,SigFig1))</f>
        <v/>
      </c>
      <c r="J192" s="207" t="str">
        <f>IF('PM10 &amp; 2.5'!K120="","",VND&amp;signum2('PM10 &amp; 2.5'!K120,SigFig1,SigFig2,VND))</f>
        <v/>
      </c>
      <c r="K192" s="207" t="str">
        <f>IF('PM10 &amp; 2.5'!S120="","",VND&amp;signum2('PM10 &amp; 2.5'!S120,SigFig1,SigFig2,VND))</f>
        <v/>
      </c>
      <c r="L192" s="793" t="str">
        <f>IF('PM10 &amp; 2.5'!X120="","",VND&amp;signum2('PM10 &amp; 2.5'!X120,SigFig1,SigFig2,VND))</f>
        <v/>
      </c>
    </row>
    <row r="193" spans="1:12">
      <c r="A193" s="792" t="str">
        <f>IF('Flows &amp; Isokinetics'!E55="","",'Flows &amp; Isokinetics'!E55)</f>
        <v/>
      </c>
      <c r="B193" s="790" t="str">
        <f>IF('Flows &amp; Isokinetics'!F55="","",'Flows &amp; Isokinetics'!F55)</f>
        <v/>
      </c>
      <c r="C193" s="794" t="str">
        <f>IF('PM10 &amp; 2.5'!E55="","",'PM10 &amp; 2.5'!E55)</f>
        <v/>
      </c>
      <c r="D193" s="207" t="str">
        <f>IF('PM10 &amp; 2.5'!J55="","",signum('PM10 &amp; 2.5'!J55,SigFig1))</f>
        <v/>
      </c>
      <c r="E193" s="207" t="str">
        <f>IF('PM10 &amp; 2.5'!K55="","",VND&amp;signum2('PM10 &amp; 2.5'!K55,SigFig1,SigFig2,VND))</f>
        <v/>
      </c>
      <c r="F193" s="207" t="str">
        <f>IF('PM10 &amp; 2.5'!S55="","",VND&amp;signum2('PM10 &amp; 2.5'!S55,SigFig1,SigFig2,VND))</f>
        <v/>
      </c>
      <c r="G193" s="207" t="str">
        <f>IF('PM10 &amp; 2.5'!X55="","",VND&amp;signum2('PM10 &amp; 2.5'!X55,SigFig1,SigFig2,VND))</f>
        <v/>
      </c>
      <c r="H193" s="794" t="str">
        <f>IF('PM10 &amp; 2.5'!E121="","",'PM10 &amp; 2.5'!E121)</f>
        <v/>
      </c>
      <c r="I193" s="207" t="str">
        <f>IF('PM10 &amp; 2.5'!J121="","",signum('PM10 &amp; 2.5'!J121,SigFig1))</f>
        <v/>
      </c>
      <c r="J193" s="207" t="str">
        <f>IF('PM10 &amp; 2.5'!K121="","",VND&amp;signum2('PM10 &amp; 2.5'!K121,SigFig1,SigFig2,VND))</f>
        <v/>
      </c>
      <c r="K193" s="207" t="str">
        <f>IF('PM10 &amp; 2.5'!S121="","",VND&amp;signum2('PM10 &amp; 2.5'!S121,SigFig1,SigFig2,VND))</f>
        <v/>
      </c>
      <c r="L193" s="793" t="str">
        <f>IF('PM10 &amp; 2.5'!X121="","",VND&amp;signum2('PM10 &amp; 2.5'!X121,SigFig1,SigFig2,VND))</f>
        <v/>
      </c>
    </row>
    <row r="194" spans="1:12">
      <c r="A194" s="792" t="str">
        <f>IF('Flows &amp; Isokinetics'!E56="","",'Flows &amp; Isokinetics'!E56)</f>
        <v/>
      </c>
      <c r="B194" s="790" t="str">
        <f>IF('Flows &amp; Isokinetics'!F56="","",'Flows &amp; Isokinetics'!F56)</f>
        <v/>
      </c>
      <c r="C194" s="794" t="str">
        <f>IF('PM10 &amp; 2.5'!E56="","",'PM10 &amp; 2.5'!E56)</f>
        <v/>
      </c>
      <c r="D194" s="207" t="str">
        <f>IF('PM10 &amp; 2.5'!J56="","",signum('PM10 &amp; 2.5'!J56,SigFig1))</f>
        <v/>
      </c>
      <c r="E194" s="207" t="str">
        <f>IF('PM10 &amp; 2.5'!K56="","",VND&amp;signum2('PM10 &amp; 2.5'!K56,SigFig1,SigFig2,VND))</f>
        <v/>
      </c>
      <c r="F194" s="207" t="str">
        <f>IF('PM10 &amp; 2.5'!S56="","",VND&amp;signum2('PM10 &amp; 2.5'!S56,SigFig1,SigFig2,VND))</f>
        <v/>
      </c>
      <c r="G194" s="207" t="str">
        <f>IF('PM10 &amp; 2.5'!X56="","",VND&amp;signum2('PM10 &amp; 2.5'!X56,SigFig1,SigFig2,VND))</f>
        <v/>
      </c>
      <c r="H194" s="794" t="str">
        <f>IF('PM10 &amp; 2.5'!E122="","",'PM10 &amp; 2.5'!E122)</f>
        <v/>
      </c>
      <c r="I194" s="207" t="str">
        <f>IF('PM10 &amp; 2.5'!J122="","",signum('PM10 &amp; 2.5'!J122,SigFig1))</f>
        <v/>
      </c>
      <c r="J194" s="207" t="str">
        <f>IF('PM10 &amp; 2.5'!K122="","",VND&amp;signum2('PM10 &amp; 2.5'!K122,SigFig1,SigFig2,VND))</f>
        <v/>
      </c>
      <c r="K194" s="207" t="str">
        <f>IF('PM10 &amp; 2.5'!S122="","",VND&amp;signum2('PM10 &amp; 2.5'!S122,SigFig1,SigFig2,VND))</f>
        <v/>
      </c>
      <c r="L194" s="793" t="str">
        <f>IF('PM10 &amp; 2.5'!X122="","",VND&amp;signum2('PM10 &amp; 2.5'!X122,SigFig1,SigFig2,VND))</f>
        <v/>
      </c>
    </row>
    <row r="195" spans="1:12">
      <c r="A195" s="792" t="str">
        <f>IF('Flows &amp; Isokinetics'!E57="","",'Flows &amp; Isokinetics'!E57)</f>
        <v/>
      </c>
      <c r="B195" s="790" t="str">
        <f>IF('Flows &amp; Isokinetics'!F57="","",'Flows &amp; Isokinetics'!F57)</f>
        <v/>
      </c>
      <c r="C195" s="794" t="str">
        <f>IF('PM10 &amp; 2.5'!E57="","",'PM10 &amp; 2.5'!E57)</f>
        <v/>
      </c>
      <c r="D195" s="207" t="str">
        <f>IF('PM10 &amp; 2.5'!J57="","",signum('PM10 &amp; 2.5'!J57,SigFig1))</f>
        <v/>
      </c>
      <c r="E195" s="207" t="str">
        <f>IF('PM10 &amp; 2.5'!K57="","",VND&amp;signum2('PM10 &amp; 2.5'!K57,SigFig1,SigFig2,VND))</f>
        <v/>
      </c>
      <c r="F195" s="207" t="str">
        <f>IF('PM10 &amp; 2.5'!S57="","",VND&amp;signum2('PM10 &amp; 2.5'!S57,SigFig1,SigFig2,VND))</f>
        <v/>
      </c>
      <c r="G195" s="207" t="str">
        <f>IF('PM10 &amp; 2.5'!X57="","",VND&amp;signum2('PM10 &amp; 2.5'!X57,SigFig1,SigFig2,VND))</f>
        <v/>
      </c>
      <c r="H195" s="794" t="str">
        <f>IF('PM10 &amp; 2.5'!E123="","",'PM10 &amp; 2.5'!E123)</f>
        <v/>
      </c>
      <c r="I195" s="207" t="str">
        <f>IF('PM10 &amp; 2.5'!J123="","",signum('PM10 &amp; 2.5'!J123,SigFig1))</f>
        <v/>
      </c>
      <c r="J195" s="207" t="str">
        <f>IF('PM10 &amp; 2.5'!K123="","",VND&amp;signum2('PM10 &amp; 2.5'!K123,SigFig1,SigFig2,VND))</f>
        <v/>
      </c>
      <c r="K195" s="207" t="str">
        <f>IF('PM10 &amp; 2.5'!S123="","",VND&amp;signum2('PM10 &amp; 2.5'!S123,SigFig1,SigFig2,VND))</f>
        <v/>
      </c>
      <c r="L195" s="793" t="str">
        <f>IF('PM10 &amp; 2.5'!X123="","",VND&amp;signum2('PM10 &amp; 2.5'!X123,SigFig1,SigFig2,VND))</f>
        <v/>
      </c>
    </row>
    <row r="196" spans="1:12">
      <c r="A196" s="792" t="str">
        <f>IF('Flows &amp; Isokinetics'!E58="","",'Flows &amp; Isokinetics'!E58)</f>
        <v/>
      </c>
      <c r="B196" s="790" t="str">
        <f>IF('Flows &amp; Isokinetics'!F58="","",'Flows &amp; Isokinetics'!F58)</f>
        <v/>
      </c>
      <c r="C196" s="794" t="str">
        <f>IF('PM10 &amp; 2.5'!E58="","",'PM10 &amp; 2.5'!E58)</f>
        <v/>
      </c>
      <c r="D196" s="207" t="str">
        <f>IF('PM10 &amp; 2.5'!J58="","",signum('PM10 &amp; 2.5'!J58,SigFig1))</f>
        <v/>
      </c>
      <c r="E196" s="207" t="str">
        <f>IF('PM10 &amp; 2.5'!K58="","",VND&amp;signum2('PM10 &amp; 2.5'!K58,SigFig1,SigFig2,VND))</f>
        <v/>
      </c>
      <c r="F196" s="207" t="str">
        <f>IF('PM10 &amp; 2.5'!S58="","",VND&amp;signum2('PM10 &amp; 2.5'!S58,SigFig1,SigFig2,VND))</f>
        <v/>
      </c>
      <c r="G196" s="207" t="str">
        <f>IF('PM10 &amp; 2.5'!X58="","",VND&amp;signum2('PM10 &amp; 2.5'!X58,SigFig1,SigFig2,VND))</f>
        <v/>
      </c>
      <c r="H196" s="794" t="str">
        <f>IF('PM10 &amp; 2.5'!E124="","",'PM10 &amp; 2.5'!E124)</f>
        <v/>
      </c>
      <c r="I196" s="207" t="str">
        <f>IF('PM10 &amp; 2.5'!J124="","",signum('PM10 &amp; 2.5'!J124,SigFig1))</f>
        <v/>
      </c>
      <c r="J196" s="207" t="str">
        <f>IF('PM10 &amp; 2.5'!K124="","",VND&amp;signum2('PM10 &amp; 2.5'!K124,SigFig1,SigFig2,VND))</f>
        <v/>
      </c>
      <c r="K196" s="207" t="str">
        <f>IF('PM10 &amp; 2.5'!S124="","",VND&amp;signum2('PM10 &amp; 2.5'!S124,SigFig1,SigFig2,VND))</f>
        <v/>
      </c>
      <c r="L196" s="793" t="str">
        <f>IF('PM10 &amp; 2.5'!X124="","",VND&amp;signum2('PM10 &amp; 2.5'!X124,SigFig1,SigFig2,VND))</f>
        <v/>
      </c>
    </row>
    <row r="197" spans="1:12">
      <c r="A197" s="792" t="str">
        <f>IF('Flows &amp; Isokinetics'!E59="","",'Flows &amp; Isokinetics'!E59)</f>
        <v/>
      </c>
      <c r="B197" s="790" t="str">
        <f>IF('Flows &amp; Isokinetics'!F59="","",'Flows &amp; Isokinetics'!F59)</f>
        <v/>
      </c>
      <c r="C197" s="794" t="str">
        <f>IF('PM10 &amp; 2.5'!E59="","",'PM10 &amp; 2.5'!E59)</f>
        <v/>
      </c>
      <c r="D197" s="207" t="str">
        <f>IF('PM10 &amp; 2.5'!J59="","",signum('PM10 &amp; 2.5'!J59,SigFig1))</f>
        <v/>
      </c>
      <c r="E197" s="207" t="str">
        <f>IF('PM10 &amp; 2.5'!K59="","",VND&amp;signum2('PM10 &amp; 2.5'!K59,SigFig1,SigFig2,VND))</f>
        <v/>
      </c>
      <c r="F197" s="207" t="str">
        <f>IF('PM10 &amp; 2.5'!S59="","",VND&amp;signum2('PM10 &amp; 2.5'!S59,SigFig1,SigFig2,VND))</f>
        <v/>
      </c>
      <c r="G197" s="207" t="str">
        <f>IF('PM10 &amp; 2.5'!X59="","",VND&amp;signum2('PM10 &amp; 2.5'!X59,SigFig1,SigFig2,VND))</f>
        <v/>
      </c>
      <c r="H197" s="794" t="str">
        <f>IF('PM10 &amp; 2.5'!E125="","",'PM10 &amp; 2.5'!E125)</f>
        <v/>
      </c>
      <c r="I197" s="207" t="str">
        <f>IF('PM10 &amp; 2.5'!J125="","",signum('PM10 &amp; 2.5'!J125,SigFig1))</f>
        <v/>
      </c>
      <c r="J197" s="207" t="str">
        <f>IF('PM10 &amp; 2.5'!K125="","",VND&amp;signum2('PM10 &amp; 2.5'!K125,SigFig1,SigFig2,VND))</f>
        <v/>
      </c>
      <c r="K197" s="207" t="str">
        <f>IF('PM10 &amp; 2.5'!S125="","",VND&amp;signum2('PM10 &amp; 2.5'!S125,SigFig1,SigFig2,VND))</f>
        <v/>
      </c>
      <c r="L197" s="793" t="str">
        <f>IF('PM10 &amp; 2.5'!X125="","",VND&amp;signum2('PM10 &amp; 2.5'!X125,SigFig1,SigFig2,VND))</f>
        <v/>
      </c>
    </row>
    <row r="198" spans="1:12">
      <c r="A198" s="792" t="str">
        <f>IF('Flows &amp; Isokinetics'!E60="","",'Flows &amp; Isokinetics'!E60)</f>
        <v/>
      </c>
      <c r="B198" s="790" t="str">
        <f>IF('Flows &amp; Isokinetics'!F60="","",'Flows &amp; Isokinetics'!F60)</f>
        <v/>
      </c>
      <c r="C198" s="794" t="str">
        <f>IF('PM10 &amp; 2.5'!E60="","",'PM10 &amp; 2.5'!E60)</f>
        <v/>
      </c>
      <c r="D198" s="207" t="str">
        <f>IF('PM10 &amp; 2.5'!J60="","",signum('PM10 &amp; 2.5'!J60,SigFig1))</f>
        <v/>
      </c>
      <c r="E198" s="207" t="str">
        <f>IF('PM10 &amp; 2.5'!K60="","",VND&amp;signum2('PM10 &amp; 2.5'!K60,SigFig1,SigFig2,VND))</f>
        <v/>
      </c>
      <c r="F198" s="207" t="str">
        <f>IF('PM10 &amp; 2.5'!S60="","",VND&amp;signum2('PM10 &amp; 2.5'!S60,SigFig1,SigFig2,VND))</f>
        <v/>
      </c>
      <c r="G198" s="207" t="str">
        <f>IF('PM10 &amp; 2.5'!X60="","",VND&amp;signum2('PM10 &amp; 2.5'!X60,SigFig1,SigFig2,VND))</f>
        <v/>
      </c>
      <c r="H198" s="794" t="str">
        <f>IF('PM10 &amp; 2.5'!E126="","",'PM10 &amp; 2.5'!E126)</f>
        <v/>
      </c>
      <c r="I198" s="207" t="str">
        <f>IF('PM10 &amp; 2.5'!J126="","",signum('PM10 &amp; 2.5'!J126,SigFig1))</f>
        <v/>
      </c>
      <c r="J198" s="207" t="str">
        <f>IF('PM10 &amp; 2.5'!K126="","",VND&amp;signum2('PM10 &amp; 2.5'!K126,SigFig1,SigFig2,VND))</f>
        <v/>
      </c>
      <c r="K198" s="207" t="str">
        <f>IF('PM10 &amp; 2.5'!S126="","",VND&amp;signum2('PM10 &amp; 2.5'!S126,SigFig1,SigFig2,VND))</f>
        <v/>
      </c>
      <c r="L198" s="793" t="str">
        <f>IF('PM10 &amp; 2.5'!X126="","",VND&amp;signum2('PM10 &amp; 2.5'!X126,SigFig1,SigFig2,VND))</f>
        <v/>
      </c>
    </row>
    <row r="199" spans="1:12">
      <c r="A199" s="792" t="str">
        <f>IF('Flows &amp; Isokinetics'!E61="","",'Flows &amp; Isokinetics'!E61)</f>
        <v/>
      </c>
      <c r="B199" s="790" t="str">
        <f>IF('Flows &amp; Isokinetics'!F61="","",'Flows &amp; Isokinetics'!F61)</f>
        <v/>
      </c>
      <c r="C199" s="794" t="str">
        <f>IF('PM10 &amp; 2.5'!E61="","",'PM10 &amp; 2.5'!E61)</f>
        <v/>
      </c>
      <c r="D199" s="207" t="str">
        <f>IF('PM10 &amp; 2.5'!J61="","",signum('PM10 &amp; 2.5'!J61,SigFig1))</f>
        <v/>
      </c>
      <c r="E199" s="207" t="str">
        <f>IF('PM10 &amp; 2.5'!K61="","",VND&amp;signum2('PM10 &amp; 2.5'!K61,SigFig1,SigFig2,VND))</f>
        <v/>
      </c>
      <c r="F199" s="207" t="str">
        <f>IF('PM10 &amp; 2.5'!S61="","",VND&amp;signum2('PM10 &amp; 2.5'!S61,SigFig1,SigFig2,VND))</f>
        <v/>
      </c>
      <c r="G199" s="207" t="str">
        <f>IF('PM10 &amp; 2.5'!X61="","",VND&amp;signum2('PM10 &amp; 2.5'!X61,SigFig1,SigFig2,VND))</f>
        <v/>
      </c>
      <c r="H199" s="794" t="str">
        <f>IF('PM10 &amp; 2.5'!E127="","",'PM10 &amp; 2.5'!E127)</f>
        <v/>
      </c>
      <c r="I199" s="207" t="str">
        <f>IF('PM10 &amp; 2.5'!J127="","",signum('PM10 &amp; 2.5'!J127,SigFig1))</f>
        <v/>
      </c>
      <c r="J199" s="207" t="str">
        <f>IF('PM10 &amp; 2.5'!K127="","",VND&amp;signum2('PM10 &amp; 2.5'!K127,SigFig1,SigFig2,VND))</f>
        <v/>
      </c>
      <c r="K199" s="207" t="str">
        <f>IF('PM10 &amp; 2.5'!S127="","",VND&amp;signum2('PM10 &amp; 2.5'!S127,SigFig1,SigFig2,VND))</f>
        <v/>
      </c>
      <c r="L199" s="793" t="str">
        <f>IF('PM10 &amp; 2.5'!X127="","",VND&amp;signum2('PM10 &amp; 2.5'!X127,SigFig1,SigFig2,VND))</f>
        <v/>
      </c>
    </row>
    <row r="200" spans="1:12">
      <c r="A200" s="792" t="str">
        <f>IF('Flows &amp; Isokinetics'!E62="","",'Flows &amp; Isokinetics'!E62)</f>
        <v/>
      </c>
      <c r="B200" s="790" t="str">
        <f>IF('Flows &amp; Isokinetics'!F62="","",'Flows &amp; Isokinetics'!F62)</f>
        <v/>
      </c>
      <c r="C200" s="794" t="str">
        <f>IF('PM10 &amp; 2.5'!E62="","",'PM10 &amp; 2.5'!E62)</f>
        <v/>
      </c>
      <c r="D200" s="207" t="str">
        <f>IF('PM10 &amp; 2.5'!J62="","",signum('PM10 &amp; 2.5'!J62,SigFig1))</f>
        <v/>
      </c>
      <c r="E200" s="207" t="str">
        <f>IF('PM10 &amp; 2.5'!K62="","",VND&amp;signum2('PM10 &amp; 2.5'!K62,SigFig1,SigFig2,VND))</f>
        <v/>
      </c>
      <c r="F200" s="207" t="str">
        <f>IF('PM10 &amp; 2.5'!S62="","",VND&amp;signum2('PM10 &amp; 2.5'!S62,SigFig1,SigFig2,VND))</f>
        <v/>
      </c>
      <c r="G200" s="207" t="str">
        <f>IF('PM10 &amp; 2.5'!X62="","",VND&amp;signum2('PM10 &amp; 2.5'!X62,SigFig1,SigFig2,VND))</f>
        <v/>
      </c>
      <c r="H200" s="794" t="str">
        <f>IF('PM10 &amp; 2.5'!E128="","",'PM10 &amp; 2.5'!E128)</f>
        <v/>
      </c>
      <c r="I200" s="207" t="str">
        <f>IF('PM10 &amp; 2.5'!J128="","",signum('PM10 &amp; 2.5'!J128,SigFig1))</f>
        <v/>
      </c>
      <c r="J200" s="207" t="str">
        <f>IF('PM10 &amp; 2.5'!K128="","",VND&amp;signum2('PM10 &amp; 2.5'!K128,SigFig1,SigFig2,VND))</f>
        <v/>
      </c>
      <c r="K200" s="207" t="str">
        <f>IF('PM10 &amp; 2.5'!S128="","",VND&amp;signum2('PM10 &amp; 2.5'!S128,SigFig1,SigFig2,VND))</f>
        <v/>
      </c>
      <c r="L200" s="793" t="str">
        <f>IF('PM10 &amp; 2.5'!X128="","",VND&amp;signum2('PM10 &amp; 2.5'!X128,SigFig1,SigFig2,VND))</f>
        <v/>
      </c>
    </row>
    <row r="201" spans="1:12">
      <c r="A201" s="792" t="str">
        <f>IF('Flows &amp; Isokinetics'!E63="","",'Flows &amp; Isokinetics'!E63)</f>
        <v/>
      </c>
      <c r="B201" s="790" t="str">
        <f>IF('Flows &amp; Isokinetics'!F63="","",'Flows &amp; Isokinetics'!F63)</f>
        <v/>
      </c>
      <c r="C201" s="794" t="str">
        <f>IF('PM10 &amp; 2.5'!E63="","",'PM10 &amp; 2.5'!E63)</f>
        <v/>
      </c>
      <c r="D201" s="207" t="str">
        <f>IF('PM10 &amp; 2.5'!J63="","",signum('PM10 &amp; 2.5'!J63,SigFig1))</f>
        <v/>
      </c>
      <c r="E201" s="207" t="str">
        <f>IF('PM10 &amp; 2.5'!K63="","",VND&amp;signum2('PM10 &amp; 2.5'!K63,SigFig1,SigFig2,VND))</f>
        <v/>
      </c>
      <c r="F201" s="207" t="str">
        <f>IF('PM10 &amp; 2.5'!S63="","",VND&amp;signum2('PM10 &amp; 2.5'!S63,SigFig1,SigFig2,VND))</f>
        <v/>
      </c>
      <c r="G201" s="207" t="str">
        <f>IF('PM10 &amp; 2.5'!X63="","",VND&amp;signum2('PM10 &amp; 2.5'!X63,SigFig1,SigFig2,VND))</f>
        <v/>
      </c>
      <c r="H201" s="794" t="str">
        <f>IF('PM10 &amp; 2.5'!E129="","",'PM10 &amp; 2.5'!E129)</f>
        <v/>
      </c>
      <c r="I201" s="207" t="str">
        <f>IF('PM10 &amp; 2.5'!J129="","",signum('PM10 &amp; 2.5'!J129,SigFig1))</f>
        <v/>
      </c>
      <c r="J201" s="207" t="str">
        <f>IF('PM10 &amp; 2.5'!K129="","",VND&amp;signum2('PM10 &amp; 2.5'!K129,SigFig1,SigFig2,VND))</f>
        <v/>
      </c>
      <c r="K201" s="207" t="str">
        <f>IF('PM10 &amp; 2.5'!S129="","",VND&amp;signum2('PM10 &amp; 2.5'!S129,SigFig1,SigFig2,VND))</f>
        <v/>
      </c>
      <c r="L201" s="793" t="str">
        <f>IF('PM10 &amp; 2.5'!X129="","",VND&amp;signum2('PM10 &amp; 2.5'!X129,SigFig1,SigFig2,VND))</f>
        <v/>
      </c>
    </row>
    <row r="202" spans="1:12">
      <c r="A202" s="792" t="str">
        <f>IF('Flows &amp; Isokinetics'!E64="","",'Flows &amp; Isokinetics'!E64)</f>
        <v/>
      </c>
      <c r="B202" s="790" t="str">
        <f>IF('Flows &amp; Isokinetics'!F64="","",'Flows &amp; Isokinetics'!F64)</f>
        <v/>
      </c>
      <c r="C202" s="794" t="str">
        <f>IF('PM10 &amp; 2.5'!E64="","",'PM10 &amp; 2.5'!E64)</f>
        <v/>
      </c>
      <c r="D202" s="207" t="str">
        <f>IF('PM10 &amp; 2.5'!J64="","",signum('PM10 &amp; 2.5'!J64,SigFig1))</f>
        <v/>
      </c>
      <c r="E202" s="207" t="str">
        <f>IF('PM10 &amp; 2.5'!K64="","",VND&amp;signum2('PM10 &amp; 2.5'!K64,SigFig1,SigFig2,VND))</f>
        <v/>
      </c>
      <c r="F202" s="207" t="str">
        <f>IF('PM10 &amp; 2.5'!S64="","",VND&amp;signum2('PM10 &amp; 2.5'!S64,SigFig1,SigFig2,VND))</f>
        <v/>
      </c>
      <c r="G202" s="207" t="str">
        <f>IF('PM10 &amp; 2.5'!X64="","",VND&amp;signum2('PM10 &amp; 2.5'!X64,SigFig1,SigFig2,VND))</f>
        <v/>
      </c>
      <c r="H202" s="794" t="str">
        <f>IF('PM10 &amp; 2.5'!E130="","",'PM10 &amp; 2.5'!E130)</f>
        <v/>
      </c>
      <c r="I202" s="207" t="str">
        <f>IF('PM10 &amp; 2.5'!J130="","",signum('PM10 &amp; 2.5'!J130,SigFig1))</f>
        <v/>
      </c>
      <c r="J202" s="207" t="str">
        <f>IF('PM10 &amp; 2.5'!K130="","",VND&amp;signum2('PM10 &amp; 2.5'!K130,SigFig1,SigFig2,VND))</f>
        <v/>
      </c>
      <c r="K202" s="207" t="str">
        <f>IF('PM10 &amp; 2.5'!S130="","",VND&amp;signum2('PM10 &amp; 2.5'!S130,SigFig1,SigFig2,VND))</f>
        <v/>
      </c>
      <c r="L202" s="793" t="str">
        <f>IF('PM10 &amp; 2.5'!X130="","",VND&amp;signum2('PM10 &amp; 2.5'!X130,SigFig1,SigFig2,VND))</f>
        <v/>
      </c>
    </row>
    <row r="203" spans="1:12">
      <c r="A203" s="792" t="str">
        <f>IF('Flows &amp; Isokinetics'!E65="","",'Flows &amp; Isokinetics'!E65)</f>
        <v/>
      </c>
      <c r="B203" s="790" t="str">
        <f>IF('Flows &amp; Isokinetics'!F65="","",'Flows &amp; Isokinetics'!F65)</f>
        <v/>
      </c>
      <c r="C203" s="794" t="str">
        <f>IF('PM10 &amp; 2.5'!E65="","",'PM10 &amp; 2.5'!E65)</f>
        <v/>
      </c>
      <c r="D203" s="207" t="str">
        <f>IF('PM10 &amp; 2.5'!J65="","",signum('PM10 &amp; 2.5'!J65,SigFig1))</f>
        <v/>
      </c>
      <c r="E203" s="207" t="str">
        <f>IF('PM10 &amp; 2.5'!K65="","",VND&amp;signum2('PM10 &amp; 2.5'!K65,SigFig1,SigFig2,VND))</f>
        <v/>
      </c>
      <c r="F203" s="207" t="str">
        <f>IF('PM10 &amp; 2.5'!S65="","",VND&amp;signum2('PM10 &amp; 2.5'!S65,SigFig1,SigFig2,VND))</f>
        <v/>
      </c>
      <c r="G203" s="207" t="str">
        <f>IF('PM10 &amp; 2.5'!X65="","",VND&amp;signum2('PM10 &amp; 2.5'!X65,SigFig1,SigFig2,VND))</f>
        <v/>
      </c>
      <c r="H203" s="794" t="str">
        <f>IF('PM10 &amp; 2.5'!E131="","",'PM10 &amp; 2.5'!E131)</f>
        <v/>
      </c>
      <c r="I203" s="207" t="str">
        <f>IF('PM10 &amp; 2.5'!J131="","",signum('PM10 &amp; 2.5'!J131,SigFig1))</f>
        <v/>
      </c>
      <c r="J203" s="207" t="str">
        <f>IF('PM10 &amp; 2.5'!K131="","",VND&amp;signum2('PM10 &amp; 2.5'!K131,SigFig1,SigFig2,VND))</f>
        <v/>
      </c>
      <c r="K203" s="207" t="str">
        <f>IF('PM10 &amp; 2.5'!S131="","",VND&amp;signum2('PM10 &amp; 2.5'!S131,SigFig1,SigFig2,VND))</f>
        <v/>
      </c>
      <c r="L203" s="793" t="str">
        <f>IF('PM10 &amp; 2.5'!X131="","",VND&amp;signum2('PM10 &amp; 2.5'!X131,SigFig1,SigFig2,VND))</f>
        <v/>
      </c>
    </row>
    <row r="204" spans="1:12">
      <c r="A204" s="792" t="str">
        <f>IF('Flows &amp; Isokinetics'!E66="","",'Flows &amp; Isokinetics'!E66)</f>
        <v/>
      </c>
      <c r="B204" s="790" t="str">
        <f>IF('Flows &amp; Isokinetics'!F66="","",'Flows &amp; Isokinetics'!F66)</f>
        <v/>
      </c>
      <c r="C204" s="794" t="str">
        <f>IF('PM10 &amp; 2.5'!E66="","",'PM10 &amp; 2.5'!E66)</f>
        <v/>
      </c>
      <c r="D204" s="207" t="str">
        <f>IF('PM10 &amp; 2.5'!J66="","",signum('PM10 &amp; 2.5'!J66,SigFig1))</f>
        <v/>
      </c>
      <c r="E204" s="207" t="str">
        <f>IF('PM10 &amp; 2.5'!K66="","",VND&amp;signum2('PM10 &amp; 2.5'!K66,SigFig1,SigFig2,VND))</f>
        <v/>
      </c>
      <c r="F204" s="207" t="str">
        <f>IF('PM10 &amp; 2.5'!S66="","",VND&amp;signum2('PM10 &amp; 2.5'!S66,SigFig1,SigFig2,VND))</f>
        <v/>
      </c>
      <c r="G204" s="207" t="str">
        <f>IF('PM10 &amp; 2.5'!X66="","",VND&amp;signum2('PM10 &amp; 2.5'!X66,SigFig1,SigFig2,VND))</f>
        <v/>
      </c>
      <c r="H204" s="794" t="str">
        <f>IF('PM10 &amp; 2.5'!E132="","",'PM10 &amp; 2.5'!E132)</f>
        <v/>
      </c>
      <c r="I204" s="207" t="str">
        <f>IF('PM10 &amp; 2.5'!J132="","",signum('PM10 &amp; 2.5'!J132,SigFig1))</f>
        <v/>
      </c>
      <c r="J204" s="207" t="str">
        <f>IF('PM10 &amp; 2.5'!K132="","",VND&amp;signum2('PM10 &amp; 2.5'!K132,SigFig1,SigFig2,VND))</f>
        <v/>
      </c>
      <c r="K204" s="207" t="str">
        <f>IF('PM10 &amp; 2.5'!S132="","",VND&amp;signum2('PM10 &amp; 2.5'!S132,SigFig1,SigFig2,VND))</f>
        <v/>
      </c>
      <c r="L204" s="793" t="str">
        <f>IF('PM10 &amp; 2.5'!X132="","",VND&amp;signum2('PM10 &amp; 2.5'!X132,SigFig1,SigFig2,VND))</f>
        <v/>
      </c>
    </row>
    <row r="205" spans="1:12">
      <c r="A205" s="792" t="str">
        <f>IF('Flows &amp; Isokinetics'!E67="","",'Flows &amp; Isokinetics'!E67)</f>
        <v/>
      </c>
      <c r="B205" s="790" t="str">
        <f>IF('Flows &amp; Isokinetics'!F67="","",'Flows &amp; Isokinetics'!F67)</f>
        <v/>
      </c>
      <c r="C205" s="794" t="str">
        <f>IF('PM10 &amp; 2.5'!E67="","",'PM10 &amp; 2.5'!E67)</f>
        <v/>
      </c>
      <c r="D205" s="207" t="str">
        <f>IF('PM10 &amp; 2.5'!J67="","",signum('PM10 &amp; 2.5'!J67,SigFig1))</f>
        <v/>
      </c>
      <c r="E205" s="207" t="str">
        <f>IF('PM10 &amp; 2.5'!K67="","",VND&amp;signum2('PM10 &amp; 2.5'!K67,SigFig1,SigFig2,VND))</f>
        <v/>
      </c>
      <c r="F205" s="207" t="str">
        <f>IF('PM10 &amp; 2.5'!S67="","",VND&amp;signum2('PM10 &amp; 2.5'!S67,SigFig1,SigFig2,VND))</f>
        <v/>
      </c>
      <c r="G205" s="207" t="str">
        <f>IF('PM10 &amp; 2.5'!X67="","",VND&amp;signum2('PM10 &amp; 2.5'!X67,SigFig1,SigFig2,VND))</f>
        <v/>
      </c>
      <c r="H205" s="794" t="str">
        <f>IF('PM10 &amp; 2.5'!E133="","",'PM10 &amp; 2.5'!E133)</f>
        <v/>
      </c>
      <c r="I205" s="207" t="str">
        <f>IF('PM10 &amp; 2.5'!J133="","",signum('PM10 &amp; 2.5'!J133,SigFig1))</f>
        <v/>
      </c>
      <c r="J205" s="207" t="str">
        <f>IF('PM10 &amp; 2.5'!K133="","",VND&amp;signum2('PM10 &amp; 2.5'!K133,SigFig1,SigFig2,VND))</f>
        <v/>
      </c>
      <c r="K205" s="207" t="str">
        <f>IF('PM10 &amp; 2.5'!S133="","",VND&amp;signum2('PM10 &amp; 2.5'!S133,SigFig1,SigFig2,VND))</f>
        <v/>
      </c>
      <c r="L205" s="793" t="str">
        <f>IF('PM10 &amp; 2.5'!X133="","",VND&amp;signum2('PM10 &amp; 2.5'!X133,SigFig1,SigFig2,VND))</f>
        <v/>
      </c>
    </row>
    <row r="206" spans="1:12">
      <c r="A206" s="792" t="str">
        <f>IF('Flows &amp; Isokinetics'!E68="","",'Flows &amp; Isokinetics'!E68)</f>
        <v/>
      </c>
      <c r="B206" s="790" t="str">
        <f>IF('Flows &amp; Isokinetics'!F68="","",'Flows &amp; Isokinetics'!F68)</f>
        <v/>
      </c>
      <c r="C206" s="794" t="str">
        <f>IF('PM10 &amp; 2.5'!E68="","",'PM10 &amp; 2.5'!E68)</f>
        <v/>
      </c>
      <c r="D206" s="207" t="str">
        <f>IF('PM10 &amp; 2.5'!J68="","",signum('PM10 &amp; 2.5'!J68,SigFig1))</f>
        <v/>
      </c>
      <c r="E206" s="207" t="str">
        <f>IF('PM10 &amp; 2.5'!K68="","",VND&amp;signum2('PM10 &amp; 2.5'!K68,SigFig1,SigFig2,VND))</f>
        <v/>
      </c>
      <c r="F206" s="207" t="str">
        <f>IF('PM10 &amp; 2.5'!S68="","",VND&amp;signum2('PM10 &amp; 2.5'!S68,SigFig1,SigFig2,VND))</f>
        <v/>
      </c>
      <c r="G206" s="207" t="str">
        <f>IF('PM10 &amp; 2.5'!X68="","",VND&amp;signum2('PM10 &amp; 2.5'!X68,SigFig1,SigFig2,VND))</f>
        <v/>
      </c>
      <c r="H206" s="794" t="str">
        <f>IF('PM10 &amp; 2.5'!E134="","",'PM10 &amp; 2.5'!E134)</f>
        <v/>
      </c>
      <c r="I206" s="207" t="str">
        <f>IF('PM10 &amp; 2.5'!J134="","",signum('PM10 &amp; 2.5'!J134,SigFig1))</f>
        <v/>
      </c>
      <c r="J206" s="207" t="str">
        <f>IF('PM10 &amp; 2.5'!K134="","",VND&amp;signum2('PM10 &amp; 2.5'!K134,SigFig1,SigFig2,VND))</f>
        <v/>
      </c>
      <c r="K206" s="207" t="str">
        <f>IF('PM10 &amp; 2.5'!S134="","",VND&amp;signum2('PM10 &amp; 2.5'!S134,SigFig1,SigFig2,VND))</f>
        <v/>
      </c>
      <c r="L206" s="793" t="str">
        <f>IF('PM10 &amp; 2.5'!X134="","",VND&amp;signum2('PM10 &amp; 2.5'!X134,SigFig1,SigFig2,VND))</f>
        <v/>
      </c>
    </row>
    <row r="207" spans="1:12">
      <c r="A207" s="792" t="str">
        <f>IF('Flows &amp; Isokinetics'!E69="","",'Flows &amp; Isokinetics'!E69)</f>
        <v/>
      </c>
      <c r="B207" s="790" t="str">
        <f>IF('Flows &amp; Isokinetics'!F69="","",'Flows &amp; Isokinetics'!F69)</f>
        <v/>
      </c>
      <c r="C207" s="794" t="str">
        <f>IF('PM10 &amp; 2.5'!E69="","",'PM10 &amp; 2.5'!E69)</f>
        <v/>
      </c>
      <c r="D207" s="207" t="str">
        <f>IF('PM10 &amp; 2.5'!J69="","",signum('PM10 &amp; 2.5'!J69,SigFig1))</f>
        <v/>
      </c>
      <c r="E207" s="207" t="str">
        <f>IF('PM10 &amp; 2.5'!K69="","",VND&amp;signum2('PM10 &amp; 2.5'!K69,SigFig1,SigFig2,VND))</f>
        <v/>
      </c>
      <c r="F207" s="207" t="str">
        <f>IF('PM10 &amp; 2.5'!S69="","",VND&amp;signum2('PM10 &amp; 2.5'!S69,SigFig1,SigFig2,VND))</f>
        <v/>
      </c>
      <c r="G207" s="207" t="str">
        <f>IF('PM10 &amp; 2.5'!X69="","",VND&amp;signum2('PM10 &amp; 2.5'!X69,SigFig1,SigFig2,VND))</f>
        <v/>
      </c>
      <c r="H207" s="794" t="str">
        <f>IF('PM10 &amp; 2.5'!E135="","",'PM10 &amp; 2.5'!E135)</f>
        <v/>
      </c>
      <c r="I207" s="207" t="str">
        <f>IF('PM10 &amp; 2.5'!J135="","",signum('PM10 &amp; 2.5'!J135,SigFig1))</f>
        <v/>
      </c>
      <c r="J207" s="207" t="str">
        <f>IF('PM10 &amp; 2.5'!K135="","",VND&amp;signum2('PM10 &amp; 2.5'!K135,SigFig1,SigFig2,VND))</f>
        <v/>
      </c>
      <c r="K207" s="207" t="str">
        <f>IF('PM10 &amp; 2.5'!S135="","",VND&amp;signum2('PM10 &amp; 2.5'!S135,SigFig1,SigFig2,VND))</f>
        <v/>
      </c>
      <c r="L207" s="793" t="str">
        <f>IF('PM10 &amp; 2.5'!X135="","",VND&amp;signum2('PM10 &amp; 2.5'!X135,SigFig1,SigFig2,VND))</f>
        <v/>
      </c>
    </row>
    <row r="208" spans="1:12">
      <c r="A208" s="792" t="str">
        <f>IF('Flows &amp; Isokinetics'!E70="","",'Flows &amp; Isokinetics'!E70)</f>
        <v/>
      </c>
      <c r="B208" s="790" t="str">
        <f>IF('Flows &amp; Isokinetics'!F70="","",'Flows &amp; Isokinetics'!F70)</f>
        <v/>
      </c>
      <c r="C208" s="794" t="str">
        <f>IF('PM10 &amp; 2.5'!E70="","",'PM10 &amp; 2.5'!E70)</f>
        <v/>
      </c>
      <c r="D208" s="207" t="str">
        <f>IF('PM10 &amp; 2.5'!J70="","",signum('PM10 &amp; 2.5'!J70,SigFig1))</f>
        <v/>
      </c>
      <c r="E208" s="207" t="str">
        <f>IF('PM10 &amp; 2.5'!K70="","",VND&amp;signum2('PM10 &amp; 2.5'!K70,SigFig1,SigFig2,VND))</f>
        <v/>
      </c>
      <c r="F208" s="207" t="str">
        <f>IF('PM10 &amp; 2.5'!S70="","",VND&amp;signum2('PM10 &amp; 2.5'!S70,SigFig1,SigFig2,VND))</f>
        <v/>
      </c>
      <c r="G208" s="207" t="str">
        <f>IF('PM10 &amp; 2.5'!X70="","",VND&amp;signum2('PM10 &amp; 2.5'!X70,SigFig1,SigFig2,VND))</f>
        <v/>
      </c>
      <c r="H208" s="794" t="str">
        <f>IF('PM10 &amp; 2.5'!E136="","",'PM10 &amp; 2.5'!E136)</f>
        <v/>
      </c>
      <c r="I208" s="207" t="str">
        <f>IF('PM10 &amp; 2.5'!J136="","",signum('PM10 &amp; 2.5'!J136,SigFig1))</f>
        <v/>
      </c>
      <c r="J208" s="207" t="str">
        <f>IF('PM10 &amp; 2.5'!K136="","",VND&amp;signum2('PM10 &amp; 2.5'!K136,SigFig1,SigFig2,VND))</f>
        <v/>
      </c>
      <c r="K208" s="207" t="str">
        <f>IF('PM10 &amp; 2.5'!S136="","",VND&amp;signum2('PM10 &amp; 2.5'!S136,SigFig1,SigFig2,VND))</f>
        <v/>
      </c>
      <c r="L208" s="793" t="str">
        <f>IF('PM10 &amp; 2.5'!X136="","",VND&amp;signum2('PM10 &amp; 2.5'!X136,SigFig1,SigFig2,VND))</f>
        <v/>
      </c>
    </row>
    <row r="209" spans="1:12">
      <c r="A209" s="792" t="str">
        <f>IF('Flows &amp; Isokinetics'!E71="","",'Flows &amp; Isokinetics'!E71)</f>
        <v/>
      </c>
      <c r="B209" s="790" t="str">
        <f>IF('Flows &amp; Isokinetics'!F71="","",'Flows &amp; Isokinetics'!F71)</f>
        <v/>
      </c>
      <c r="C209" s="794" t="str">
        <f>IF('PM10 &amp; 2.5'!E71="","",'PM10 &amp; 2.5'!E71)</f>
        <v/>
      </c>
      <c r="D209" s="207" t="str">
        <f>IF('PM10 &amp; 2.5'!J71="","",signum('PM10 &amp; 2.5'!J71,SigFig1))</f>
        <v/>
      </c>
      <c r="E209" s="207" t="str">
        <f>IF('PM10 &amp; 2.5'!K71="","",VND&amp;signum2('PM10 &amp; 2.5'!K71,SigFig1,SigFig2,VND))</f>
        <v/>
      </c>
      <c r="F209" s="207" t="str">
        <f>IF('PM10 &amp; 2.5'!S71="","",VND&amp;signum2('PM10 &amp; 2.5'!S71,SigFig1,SigFig2,VND))</f>
        <v/>
      </c>
      <c r="G209" s="207" t="str">
        <f>IF('PM10 &amp; 2.5'!X71="","",VND&amp;signum2('PM10 &amp; 2.5'!X71,SigFig1,SigFig2,VND))</f>
        <v/>
      </c>
      <c r="H209" s="794" t="str">
        <f>IF('PM10 &amp; 2.5'!E137="","",'PM10 &amp; 2.5'!E137)</f>
        <v/>
      </c>
      <c r="I209" s="207" t="str">
        <f>IF('PM10 &amp; 2.5'!J137="","",signum('PM10 &amp; 2.5'!J137,SigFig1))</f>
        <v/>
      </c>
      <c r="J209" s="207" t="str">
        <f>IF('PM10 &amp; 2.5'!K137="","",VND&amp;signum2('PM10 &amp; 2.5'!K137,SigFig1,SigFig2,VND))</f>
        <v/>
      </c>
      <c r="K209" s="207" t="str">
        <f>IF('PM10 &amp; 2.5'!S137="","",VND&amp;signum2('PM10 &amp; 2.5'!S137,SigFig1,SigFig2,VND))</f>
        <v/>
      </c>
      <c r="L209" s="793" t="str">
        <f>IF('PM10 &amp; 2.5'!X137="","",VND&amp;signum2('PM10 &amp; 2.5'!X137,SigFig1,SigFig2,VND))</f>
        <v/>
      </c>
    </row>
    <row r="210" spans="1:12">
      <c r="A210" s="792" t="str">
        <f>IF('Flows &amp; Isokinetics'!E72="","",'Flows &amp; Isokinetics'!E72)</f>
        <v/>
      </c>
      <c r="B210" s="790" t="str">
        <f>IF('Flows &amp; Isokinetics'!F72="","",'Flows &amp; Isokinetics'!F72)</f>
        <v/>
      </c>
      <c r="C210" s="794" t="str">
        <f>IF('PM10 &amp; 2.5'!E72="","",'PM10 &amp; 2.5'!E72)</f>
        <v/>
      </c>
      <c r="D210" s="207" t="str">
        <f>IF('PM10 &amp; 2.5'!J72="","",signum('PM10 &amp; 2.5'!J72,SigFig1))</f>
        <v/>
      </c>
      <c r="E210" s="207" t="str">
        <f>IF('PM10 &amp; 2.5'!K72="","",VND&amp;signum2('PM10 &amp; 2.5'!K72,SigFig1,SigFig2,VND))</f>
        <v/>
      </c>
      <c r="F210" s="207" t="str">
        <f>IF('PM10 &amp; 2.5'!S72="","",VND&amp;signum2('PM10 &amp; 2.5'!S72,SigFig1,SigFig2,VND))</f>
        <v/>
      </c>
      <c r="G210" s="207" t="str">
        <f>IF('PM10 &amp; 2.5'!X72="","",VND&amp;signum2('PM10 &amp; 2.5'!X72,SigFig1,SigFig2,VND))</f>
        <v/>
      </c>
      <c r="H210" s="794" t="str">
        <f>IF('PM10 &amp; 2.5'!E138="","",'PM10 &amp; 2.5'!E138)</f>
        <v/>
      </c>
      <c r="I210" s="207" t="str">
        <f>IF('PM10 &amp; 2.5'!J138="","",signum('PM10 &amp; 2.5'!J138,SigFig1))</f>
        <v/>
      </c>
      <c r="J210" s="207" t="str">
        <f>IF('PM10 &amp; 2.5'!K138="","",VND&amp;signum2('PM10 &amp; 2.5'!K138,SigFig1,SigFig2,VND))</f>
        <v/>
      </c>
      <c r="K210" s="207" t="str">
        <f>IF('PM10 &amp; 2.5'!S138="","",VND&amp;signum2('PM10 &amp; 2.5'!S138,SigFig1,SigFig2,VND))</f>
        <v/>
      </c>
      <c r="L210" s="793" t="str">
        <f>IF('PM10 &amp; 2.5'!X138="","",VND&amp;signum2('PM10 &amp; 2.5'!X138,SigFig1,SigFig2,VND))</f>
        <v/>
      </c>
    </row>
    <row r="211" spans="1:12">
      <c r="A211" s="792" t="str">
        <f>IF('Flows &amp; Isokinetics'!E73="","",'Flows &amp; Isokinetics'!E73)</f>
        <v/>
      </c>
      <c r="B211" s="790" t="str">
        <f>IF('Flows &amp; Isokinetics'!F73="","",'Flows &amp; Isokinetics'!F73)</f>
        <v/>
      </c>
      <c r="C211" s="794" t="str">
        <f>IF('PM10 &amp; 2.5'!E73="","",'PM10 &amp; 2.5'!E73)</f>
        <v/>
      </c>
      <c r="D211" s="207" t="str">
        <f>IF('PM10 &amp; 2.5'!J73="","",signum('PM10 &amp; 2.5'!J73,SigFig1))</f>
        <v/>
      </c>
      <c r="E211" s="207" t="str">
        <f>IF('PM10 &amp; 2.5'!K73="","",VND&amp;signum2('PM10 &amp; 2.5'!K73,SigFig1,SigFig2,VND))</f>
        <v/>
      </c>
      <c r="F211" s="207" t="str">
        <f>IF('PM10 &amp; 2.5'!S73="","",VND&amp;signum2('PM10 &amp; 2.5'!S73,SigFig1,SigFig2,VND))</f>
        <v/>
      </c>
      <c r="G211" s="207" t="str">
        <f>IF('PM10 &amp; 2.5'!X73="","",VND&amp;signum2('PM10 &amp; 2.5'!X73,SigFig1,SigFig2,VND))</f>
        <v/>
      </c>
      <c r="H211" s="794" t="str">
        <f>IF('PM10 &amp; 2.5'!E139="","",'PM10 &amp; 2.5'!E139)</f>
        <v/>
      </c>
      <c r="I211" s="207" t="str">
        <f>IF('PM10 &amp; 2.5'!J139="","",signum('PM10 &amp; 2.5'!J139,SigFig1))</f>
        <v/>
      </c>
      <c r="J211" s="207" t="str">
        <f>IF('PM10 &amp; 2.5'!K139="","",VND&amp;signum2('PM10 &amp; 2.5'!K139,SigFig1,SigFig2,VND))</f>
        <v/>
      </c>
      <c r="K211" s="207" t="str">
        <f>IF('PM10 &amp; 2.5'!S139="","",VND&amp;signum2('PM10 &amp; 2.5'!S139,SigFig1,SigFig2,VND))</f>
        <v/>
      </c>
      <c r="L211" s="793" t="str">
        <f>IF('PM10 &amp; 2.5'!X139="","",VND&amp;signum2('PM10 &amp; 2.5'!X139,SigFig1,SigFig2,VND))</f>
        <v/>
      </c>
    </row>
    <row r="212" spans="1:12">
      <c r="A212" s="792" t="str">
        <f>IF('Flows &amp; Isokinetics'!E74="","",'Flows &amp; Isokinetics'!E74)</f>
        <v/>
      </c>
      <c r="B212" s="790" t="str">
        <f>IF('Flows &amp; Isokinetics'!F74="","",'Flows &amp; Isokinetics'!F74)</f>
        <v/>
      </c>
      <c r="C212" s="794" t="str">
        <f>IF('PM10 &amp; 2.5'!E74="","",'PM10 &amp; 2.5'!E74)</f>
        <v/>
      </c>
      <c r="D212" s="207" t="str">
        <f>IF('PM10 &amp; 2.5'!J74="","",signum('PM10 &amp; 2.5'!J74,SigFig1))</f>
        <v/>
      </c>
      <c r="E212" s="207" t="str">
        <f>IF('PM10 &amp; 2.5'!K74="","",VND&amp;signum2('PM10 &amp; 2.5'!K74,SigFig1,SigFig2,VND))</f>
        <v/>
      </c>
      <c r="F212" s="207" t="str">
        <f>IF('PM10 &amp; 2.5'!S74="","",VND&amp;signum2('PM10 &amp; 2.5'!S74,SigFig1,SigFig2,VND))</f>
        <v/>
      </c>
      <c r="G212" s="207" t="str">
        <f>IF('PM10 &amp; 2.5'!X74="","",VND&amp;signum2('PM10 &amp; 2.5'!X74,SigFig1,SigFig2,VND))</f>
        <v/>
      </c>
      <c r="H212" s="794" t="str">
        <f>IF('PM10 &amp; 2.5'!E140="","",'PM10 &amp; 2.5'!E140)</f>
        <v/>
      </c>
      <c r="I212" s="207" t="str">
        <f>IF('PM10 &amp; 2.5'!J140="","",signum('PM10 &amp; 2.5'!J140,SigFig1))</f>
        <v/>
      </c>
      <c r="J212" s="207" t="str">
        <f>IF('PM10 &amp; 2.5'!K140="","",VND&amp;signum2('PM10 &amp; 2.5'!K140,SigFig1,SigFig2,VND))</f>
        <v/>
      </c>
      <c r="K212" s="207" t="str">
        <f>IF('PM10 &amp; 2.5'!S140="","",VND&amp;signum2('PM10 &amp; 2.5'!S140,SigFig1,SigFig2,VND))</f>
        <v/>
      </c>
      <c r="L212" s="793" t="str">
        <f>IF('PM10 &amp; 2.5'!X140="","",VND&amp;signum2('PM10 &amp; 2.5'!X140,SigFig1,SigFig2,VND))</f>
        <v/>
      </c>
    </row>
    <row r="213" spans="1:12">
      <c r="A213" s="791"/>
      <c r="B213" s="812" t="str">
        <f>IF('Flows &amp; Isokinetics'!F76="","",'Flows &amp; Isokinetics'!F76)</f>
        <v>Averages</v>
      </c>
      <c r="C213" s="803" t="e">
        <f>IF('PM10 &amp; 2.5'!E76="","",'PM10 &amp; 2.5'!E76)</f>
        <v>#DIV/0!</v>
      </c>
      <c r="D213" s="804" t="e">
        <f>IF('PM10 &amp; 2.5'!J76="","",signum('PM10 &amp; 2.5'!J76,SigFig1))</f>
        <v>#DIV/0!</v>
      </c>
      <c r="E213" s="804" t="e">
        <f>IF('PM10 &amp; 2.5'!K76="","",VND&amp;signum2('PM10 &amp; 2.5'!K76,SigFig1,SigFig2,VND))</f>
        <v>#DIV/0!</v>
      </c>
      <c r="F213" s="804" t="e">
        <f>IF('PM10 &amp; 2.5'!S76="","",VND&amp;signum2('PM10 &amp; 2.5'!S76,SigFig1,SigFig2,VND))</f>
        <v>#DIV/0!</v>
      </c>
      <c r="G213" s="804" t="e">
        <f>IF('PM10 &amp; 2.5'!X76="","",VND&amp;signum2('PM10 &amp; 2.5'!X76,SigFig1,SigFig2,VND))</f>
        <v>#DIV/0!</v>
      </c>
      <c r="H213" s="803" t="e">
        <f>IF('PM10 &amp; 2.5'!E142="","",'PM10 &amp; 2.5'!E142)</f>
        <v>#DIV/0!</v>
      </c>
      <c r="I213" s="804" t="e">
        <f>IF('PM10 &amp; 2.5'!J142="","",signum('PM10 &amp; 2.5'!J142,SigFig1))</f>
        <v>#DIV/0!</v>
      </c>
      <c r="J213" s="804" t="e">
        <f>IF('PM10 &amp; 2.5'!K142="","",VND&amp;signum2('PM10 &amp; 2.5'!K142,SigFig1,SigFig2,VND))</f>
        <v>#DIV/0!</v>
      </c>
      <c r="K213" s="804" t="e">
        <f>IF('PM10 &amp; 2.5'!S142="","",VND&amp;signum2('PM10 &amp; 2.5'!S142,SigFig1,SigFig2,VND))</f>
        <v>#DIV/0!</v>
      </c>
      <c r="L213" s="805" t="e">
        <f>IF('PM10 &amp; 2.5'!X142="","",VND&amp;signum2('PM10 &amp; 2.5'!X142,SigFig1,SigFig2,VND))</f>
        <v>#DIV/0!</v>
      </c>
    </row>
    <row r="214" spans="1:12">
      <c r="A214" s="280" t="s">
        <v>41</v>
      </c>
      <c r="B214" s="280" t="s">
        <v>41</v>
      </c>
      <c r="C214" s="280" t="s">
        <v>41</v>
      </c>
      <c r="D214" s="280" t="s">
        <v>41</v>
      </c>
      <c r="E214" s="280" t="s">
        <v>41</v>
      </c>
      <c r="F214" s="280" t="s">
        <v>41</v>
      </c>
      <c r="G214" s="280" t="s">
        <v>41</v>
      </c>
      <c r="H214" s="280" t="s">
        <v>41</v>
      </c>
      <c r="I214" s="280" t="s">
        <v>41</v>
      </c>
      <c r="J214" s="280" t="s">
        <v>41</v>
      </c>
      <c r="K214" s="280" t="s">
        <v>41</v>
      </c>
      <c r="L214" s="280" t="s">
        <v>41</v>
      </c>
    </row>
  </sheetData>
  <mergeCells count="7">
    <mergeCell ref="C2:D2"/>
    <mergeCell ref="C150:G150"/>
    <mergeCell ref="H150:L150"/>
    <mergeCell ref="C20:G20"/>
    <mergeCell ref="H20:L20"/>
    <mergeCell ref="C85:G85"/>
    <mergeCell ref="H85:L85"/>
  </mergeCells>
  <phoneticPr fontId="25" type="noConversion"/>
  <printOptions horizontalCentered="1"/>
  <pageMargins left="0.19685039370078741" right="0.19685039370078741" top="1.1811023622047245" bottom="0.39370078740157483" header="0.59055118110236227" footer="0.19685039370078741"/>
  <pageSetup paperSize="9" orientation="portrait" horizontalDpi="300" verticalDpi="300"/>
  <headerFooter alignWithMargins="0">
    <oddHeader>&amp;C&amp;"MS Sans Serif,Bold"&amp;16&amp;A</oddHeader>
    <oddFooter>&amp;C&amp;8&amp;Z&amp;F&amp;R&amp;8&amp;D  &amp;T</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HideRowsUnused2">
                <anchor moveWithCells="1" sizeWithCells="1">
                  <from>
                    <xdr:col>12</xdr:col>
                    <xdr:colOff>76200</xdr:colOff>
                    <xdr:row>0</xdr:row>
                    <xdr:rowOff>152400</xdr:rowOff>
                  </from>
                  <to>
                    <xdr:col>13</xdr:col>
                    <xdr:colOff>406400</xdr:colOff>
                    <xdr:row>3</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indexed="31"/>
  </sheetPr>
  <dimension ref="A1:AB589"/>
  <sheetViews>
    <sheetView showGridLines="0" tabSelected="1" workbookViewId="0">
      <selection activeCell="F241" sqref="F241"/>
    </sheetView>
  </sheetViews>
  <sheetFormatPr baseColWidth="10" defaultColWidth="8.7109375" defaultRowHeight="12" x14ac:dyDescent="0"/>
  <cols>
    <col min="1" max="1" width="15" style="1312" customWidth="1"/>
    <col min="2" max="2" width="10.5703125" style="1255" customWidth="1"/>
    <col min="3" max="3" width="10.7109375" style="1255" customWidth="1"/>
    <col min="4" max="4" width="10.7109375" style="1255" hidden="1" customWidth="1"/>
    <col min="5" max="6" width="11.7109375" style="1255" customWidth="1"/>
    <col min="7" max="7" width="10.7109375" style="1255" hidden="1" customWidth="1"/>
    <col min="8" max="9" width="10.7109375" style="1255" customWidth="1"/>
    <col min="10" max="10" width="10.7109375" style="1255" hidden="1" customWidth="1"/>
    <col min="11" max="11" width="10.7109375" style="1255" customWidth="1"/>
    <col min="12" max="13" width="6.5703125" style="1255" hidden="1" customWidth="1"/>
    <col min="14" max="17" width="8.7109375" style="1255"/>
    <col min="18" max="18" width="30" style="1255" customWidth="1"/>
    <col min="19" max="19" width="15.42578125" style="1255" customWidth="1"/>
    <col min="20" max="16384" width="8.7109375" style="1255"/>
  </cols>
  <sheetData>
    <row r="1" spans="1:14">
      <c r="A1" s="1254" t="s">
        <v>71</v>
      </c>
      <c r="B1" s="1364" t="s">
        <v>41</v>
      </c>
      <c r="C1" s="1364" t="s">
        <v>41</v>
      </c>
      <c r="D1" s="1364" t="s">
        <v>41</v>
      </c>
      <c r="E1" s="1364" t="s">
        <v>41</v>
      </c>
      <c r="F1" s="1364" t="s">
        <v>41</v>
      </c>
      <c r="G1" s="1364" t="s">
        <v>41</v>
      </c>
      <c r="H1" s="1364" t="s">
        <v>41</v>
      </c>
      <c r="I1" s="1364" t="s">
        <v>41</v>
      </c>
      <c r="J1" s="1364" t="s">
        <v>41</v>
      </c>
      <c r="K1" s="1364" t="s">
        <v>41</v>
      </c>
      <c r="L1" s="1255" t="s">
        <v>41</v>
      </c>
      <c r="M1" s="1255" t="s">
        <v>41</v>
      </c>
    </row>
    <row r="2" spans="1:14">
      <c r="A2" s="1379" t="s">
        <v>1196</v>
      </c>
      <c r="B2" s="2546">
        <f>Date</f>
        <v>0</v>
      </c>
      <c r="C2" s="2546"/>
      <c r="D2" s="2162"/>
      <c r="E2" s="2163" t="s">
        <v>1343</v>
      </c>
      <c r="F2" s="2164">
        <f>Client</f>
        <v>0</v>
      </c>
      <c r="G2" s="2165"/>
      <c r="H2" s="2162"/>
      <c r="I2" s="2162"/>
      <c r="J2" s="2162"/>
      <c r="K2" s="1380"/>
      <c r="L2" s="1266"/>
      <c r="M2" s="1265"/>
      <c r="N2" s="1257"/>
    </row>
    <row r="3" spans="1:14">
      <c r="A3" s="2166" t="s">
        <v>36</v>
      </c>
      <c r="B3" s="2547">
        <f>Job</f>
        <v>0</v>
      </c>
      <c r="C3" s="2547"/>
      <c r="D3" s="1381"/>
      <c r="E3" s="1382" t="s">
        <v>1204</v>
      </c>
      <c r="F3" s="2155">
        <f>StackID</f>
        <v>0</v>
      </c>
      <c r="G3" s="1383"/>
      <c r="H3" s="1381"/>
      <c r="I3" s="1381"/>
      <c r="J3" s="1381"/>
      <c r="K3" s="2167"/>
      <c r="L3" s="1270"/>
      <c r="M3" s="1269"/>
      <c r="N3" s="1257"/>
    </row>
    <row r="4" spans="1:14">
      <c r="A4" s="2166" t="s">
        <v>83</v>
      </c>
      <c r="B4" s="2548" t="str">
        <f>IF(LicenceNo=0,"-",LicenceNo)</f>
        <v>-</v>
      </c>
      <c r="C4" s="2548"/>
      <c r="D4" s="1381"/>
      <c r="E4" s="1382" t="s">
        <v>1442</v>
      </c>
      <c r="F4" s="2155">
        <f>Location</f>
        <v>0</v>
      </c>
      <c r="G4" s="1383"/>
      <c r="H4" s="1381"/>
      <c r="I4" s="1384" t="s">
        <v>1443</v>
      </c>
      <c r="J4" s="1385"/>
      <c r="K4" s="2168" t="str">
        <f>State</f>
        <v>VIC</v>
      </c>
      <c r="L4" s="1260"/>
      <c r="M4" s="1327"/>
      <c r="N4" s="1257"/>
    </row>
    <row r="5" spans="1:14">
      <c r="A5" s="2166" t="s">
        <v>1592</v>
      </c>
      <c r="B5" s="2156">
        <f>Operators</f>
        <v>0</v>
      </c>
      <c r="C5" s="1386"/>
      <c r="D5" s="1381"/>
      <c r="E5" s="1382"/>
      <c r="F5" s="2155"/>
      <c r="G5" s="1383"/>
      <c r="H5" s="1381"/>
      <c r="I5" s="1384"/>
      <c r="J5" s="1385"/>
      <c r="K5" s="2168"/>
      <c r="L5" s="1260"/>
      <c r="M5" s="1327"/>
      <c r="N5" s="1257"/>
    </row>
    <row r="6" spans="1:14">
      <c r="A6" s="1387" t="s">
        <v>1444</v>
      </c>
      <c r="B6" s="2169"/>
      <c r="C6" s="2170" t="str">
        <f>IF(Details!C4="","",Details!C4)</f>
        <v>Please refer to client records.</v>
      </c>
      <c r="D6" s="2171"/>
      <c r="E6" s="2172"/>
      <c r="F6" s="2173"/>
      <c r="G6" s="2174"/>
      <c r="H6" s="2171"/>
      <c r="I6" s="2175"/>
      <c r="J6" s="2176"/>
      <c r="K6" s="2177"/>
      <c r="L6" s="1260"/>
      <c r="M6" s="1327"/>
      <c r="N6" s="1257"/>
    </row>
    <row r="7" spans="1:14">
      <c r="A7" s="1364" t="s">
        <v>41</v>
      </c>
      <c r="B7" s="1364" t="s">
        <v>41</v>
      </c>
      <c r="C7" s="1364" t="s">
        <v>41</v>
      </c>
      <c r="D7" s="1364" t="s">
        <v>41</v>
      </c>
      <c r="E7" s="1364" t="s">
        <v>41</v>
      </c>
      <c r="F7" s="1364" t="s">
        <v>41</v>
      </c>
      <c r="G7" s="1364" t="s">
        <v>41</v>
      </c>
      <c r="H7" s="1364" t="s">
        <v>41</v>
      </c>
      <c r="I7" s="1364" t="s">
        <v>41</v>
      </c>
      <c r="J7" s="1364" t="s">
        <v>41</v>
      </c>
      <c r="K7" s="1364" t="s">
        <v>41</v>
      </c>
      <c r="L7" s="1328" t="s">
        <v>41</v>
      </c>
      <c r="M7" s="1328" t="s">
        <v>41</v>
      </c>
    </row>
    <row r="8" spans="1:14">
      <c r="A8" s="1262" t="s">
        <v>38</v>
      </c>
      <c r="B8" s="1263"/>
      <c r="C8" s="2065"/>
      <c r="D8" s="1256"/>
      <c r="E8" s="1256"/>
      <c r="F8" s="2065"/>
      <c r="G8" s="2065"/>
      <c r="H8" s="1256"/>
      <c r="I8" s="2065"/>
      <c r="J8" s="1264"/>
      <c r="K8" s="1265"/>
      <c r="L8" s="1264"/>
      <c r="M8" s="1265"/>
      <c r="N8" s="1257"/>
    </row>
    <row r="9" spans="1:14">
      <c r="A9" s="2036" t="s">
        <v>1659</v>
      </c>
      <c r="B9" s="1259"/>
      <c r="C9" s="1259"/>
      <c r="D9" s="1259"/>
      <c r="E9" s="2537" t="str">
        <f>IF(StackDimA="","",MROUND(StackDimA,5)&amp;IF(StackDimB="",""," x "&amp;MROUND(StackDimB,5))&amp;" mm")</f>
        <v/>
      </c>
      <c r="F9" s="2537"/>
      <c r="G9" s="1259"/>
      <c r="H9" s="1272"/>
      <c r="I9" s="1272"/>
      <c r="J9" s="1268"/>
      <c r="K9" s="2072"/>
      <c r="L9" s="1268"/>
      <c r="M9" s="1269"/>
      <c r="N9" s="1257"/>
    </row>
    <row r="10" spans="1:14">
      <c r="A10" s="2036" t="s">
        <v>1660</v>
      </c>
      <c r="B10" s="1259"/>
      <c r="C10" s="1259"/>
      <c r="D10" s="1259"/>
      <c r="E10" s="2553" t="str">
        <f>IF(AreaSP="","",AreaSP)</f>
        <v/>
      </c>
      <c r="F10" s="2553"/>
      <c r="G10" s="1259"/>
      <c r="H10" s="1272"/>
      <c r="I10" s="1272"/>
      <c r="J10" s="1268"/>
      <c r="K10" s="2072"/>
      <c r="L10" s="1268"/>
      <c r="M10" s="1269"/>
      <c r="N10" s="1257"/>
    </row>
    <row r="11" spans="1:14" ht="12.75" hidden="1" customHeight="1">
      <c r="A11" s="2036" t="s">
        <v>1662</v>
      </c>
      <c r="B11" s="1259"/>
      <c r="C11" s="1259"/>
      <c r="D11" s="1259"/>
      <c r="E11" s="2537" t="str">
        <f>IF(StackExitDimA="","As above",MROUND(StackExitDimA,5))&amp;IF(StackExitDimB="",""," x "&amp;MROUND(StackExitDimB,5)&amp;" mm")</f>
        <v>As above</v>
      </c>
      <c r="F11" s="2537"/>
      <c r="G11" s="1259"/>
      <c r="H11" s="1272"/>
      <c r="I11" s="1272"/>
      <c r="J11" s="1268"/>
      <c r="K11" s="2072"/>
      <c r="L11" s="1268"/>
      <c r="M11" s="1269"/>
      <c r="N11" s="1257"/>
    </row>
    <row r="12" spans="1:14" ht="12.75" hidden="1" customHeight="1">
      <c r="A12" s="2036" t="s">
        <v>1661</v>
      </c>
      <c r="B12" s="1259"/>
      <c r="C12" s="1259"/>
      <c r="D12" s="1259"/>
      <c r="E12" s="2553" t="str">
        <f>IF(AreaEP="","As above",AreaEP)</f>
        <v>As above</v>
      </c>
      <c r="F12" s="2553"/>
      <c r="G12" s="1259"/>
      <c r="H12" s="1272"/>
      <c r="I12" s="1272"/>
      <c r="J12" s="1268"/>
      <c r="K12" s="2072"/>
      <c r="L12" s="1268"/>
      <c r="M12" s="1269"/>
      <c r="N12" s="1257"/>
    </row>
    <row r="13" spans="1:14">
      <c r="A13" s="2073" t="str">
        <f>"Sampling port size, number"&amp;IF(PortDepth="",""," &amp; depth")</f>
        <v>Sampling port size, number</v>
      </c>
      <c r="B13" s="1259"/>
      <c r="C13" s="1259"/>
      <c r="D13" s="1259"/>
      <c r="E13" s="2537" t="str">
        <f>IF(PortSize="","",PortSize)&amp;IF(PortDepth="","",", "&amp;PortDepth&amp;" mm")</f>
        <v/>
      </c>
      <c r="F13" s="2537"/>
      <c r="G13" s="1259"/>
      <c r="H13" s="1272"/>
      <c r="I13" s="1272"/>
      <c r="J13" s="1268"/>
      <c r="K13" s="2072"/>
      <c r="L13" s="1268"/>
      <c r="M13" s="1269"/>
      <c r="N13" s="1257"/>
    </row>
    <row r="14" spans="1:14">
      <c r="A14" s="2036" t="s">
        <v>1038</v>
      </c>
      <c r="B14" s="1272"/>
      <c r="C14" s="1259"/>
      <c r="D14" s="1259"/>
      <c r="E14" s="1329" t="str">
        <f>IF(SPaccess="","",SPaccess)</f>
        <v/>
      </c>
      <c r="F14" s="1330" t="str">
        <f>IF(SPheight="","",SPheight)</f>
        <v/>
      </c>
      <c r="G14" s="1259"/>
      <c r="H14" s="1272"/>
      <c r="I14" s="1272"/>
      <c r="J14" s="1268"/>
      <c r="K14" s="2072"/>
      <c r="L14" s="1268"/>
      <c r="M14" s="1269"/>
      <c r="N14" s="1257"/>
    </row>
    <row r="15" spans="1:14">
      <c r="A15" s="2036" t="s">
        <v>1041</v>
      </c>
      <c r="B15" s="1272"/>
      <c r="C15" s="1259"/>
      <c r="D15" s="1259"/>
      <c r="E15" s="1329" t="str">
        <f>IF(StackOrientation="","",StackOrientation)</f>
        <v/>
      </c>
      <c r="F15" s="1326" t="str">
        <f>IF(StackShape="","",StackShape)</f>
        <v/>
      </c>
      <c r="G15" s="1259"/>
      <c r="H15" s="1272"/>
      <c r="I15" s="1272"/>
      <c r="J15" s="1268"/>
      <c r="K15" s="2072"/>
      <c r="L15" s="1268"/>
      <c r="M15" s="1269"/>
      <c r="N15" s="1257"/>
    </row>
    <row r="16" spans="1:14">
      <c r="A16" s="2036" t="s">
        <v>1210</v>
      </c>
      <c r="B16" s="1272"/>
      <c r="C16" s="2063"/>
      <c r="D16" s="1259"/>
      <c r="E16" s="1329" t="str">
        <f>IF(DisturbTypeDown="","",DisturbTypeDown)</f>
        <v/>
      </c>
      <c r="F16" s="1331" t="str">
        <f>IF(DisturbDistDown="","",DisturbDistDown&amp;" D")</f>
        <v/>
      </c>
      <c r="G16" s="1259"/>
      <c r="H16" s="2062"/>
      <c r="I16" s="2062"/>
      <c r="J16" s="2063"/>
      <c r="K16" s="2038"/>
      <c r="L16" s="1268"/>
      <c r="M16" s="1269"/>
      <c r="N16" s="1257"/>
    </row>
    <row r="17" spans="1:18">
      <c r="A17" s="2036" t="s">
        <v>1211</v>
      </c>
      <c r="B17" s="1272"/>
      <c r="C17" s="2063"/>
      <c r="D17" s="1259"/>
      <c r="E17" s="1329" t="str">
        <f>IF(DisturbTypeUp="","",DisturbTypeUp)</f>
        <v/>
      </c>
      <c r="F17" s="1331" t="str">
        <f>IF(DisturbDistUp="","",DisturbDistUp&amp;" D")</f>
        <v/>
      </c>
      <c r="G17" s="1268"/>
      <c r="H17" s="1272"/>
      <c r="I17" s="1272"/>
      <c r="J17" s="1268"/>
      <c r="K17" s="2072"/>
      <c r="L17" s="1268"/>
      <c r="M17" s="1269"/>
      <c r="N17" s="1257"/>
    </row>
    <row r="18" spans="1:18">
      <c r="A18" s="2036" t="s">
        <v>940</v>
      </c>
      <c r="B18" s="1259"/>
      <c r="C18" s="1259"/>
      <c r="D18" s="1259"/>
      <c r="E18" s="1329" t="str">
        <f>IF(TraversesSampled="","",TraversesSampled)</f>
        <v/>
      </c>
      <c r="F18" s="1326" t="str">
        <f>IF(OR(TraversesSampled="",PointsTraverse=""),"",PointsTraverse*TraversesSampled)</f>
        <v/>
      </c>
      <c r="G18" s="1259"/>
      <c r="H18" s="1272"/>
      <c r="I18" s="1272"/>
      <c r="J18" s="1268"/>
      <c r="K18" s="2072"/>
      <c r="L18" s="1268"/>
      <c r="M18" s="1269"/>
      <c r="N18" s="1257"/>
    </row>
    <row r="19" spans="1:18">
      <c r="A19" s="1423" t="str">
        <f>"Compliance to "&amp;TravMethod</f>
        <v>Compliance to AS4323.1</v>
      </c>
      <c r="B19" s="1424"/>
      <c r="C19" s="2064"/>
      <c r="D19" s="1425"/>
      <c r="E19" s="2552" t="str">
        <f ca="1">Details!F27</f>
        <v>Satisfactory</v>
      </c>
      <c r="F19" s="2552"/>
      <c r="G19" s="1275"/>
      <c r="H19" s="1274"/>
      <c r="I19" s="1274"/>
      <c r="J19" s="1276"/>
      <c r="K19" s="1277"/>
      <c r="L19" s="1276"/>
      <c r="M19" s="1277"/>
      <c r="N19" s="1257"/>
    </row>
    <row r="20" spans="1:18">
      <c r="A20" s="1364" t="s">
        <v>41</v>
      </c>
      <c r="B20" s="1364" t="s">
        <v>41</v>
      </c>
      <c r="C20" s="1364" t="s">
        <v>41</v>
      </c>
      <c r="D20" s="1364" t="s">
        <v>41</v>
      </c>
      <c r="E20" s="1364" t="s">
        <v>41</v>
      </c>
      <c r="F20" s="1364" t="s">
        <v>41</v>
      </c>
      <c r="G20" s="1364" t="s">
        <v>41</v>
      </c>
      <c r="H20" s="1364" t="s">
        <v>41</v>
      </c>
      <c r="I20" s="1364" t="s">
        <v>41</v>
      </c>
      <c r="J20" s="1364" t="s">
        <v>41</v>
      </c>
      <c r="K20" s="1364" t="s">
        <v>41</v>
      </c>
      <c r="L20" s="1328" t="s">
        <v>41</v>
      </c>
      <c r="M20" s="1328" t="s">
        <v>41</v>
      </c>
    </row>
    <row r="21" spans="1:18">
      <c r="A21" s="1262" t="s">
        <v>614</v>
      </c>
      <c r="B21" s="1278"/>
      <c r="C21" s="1278"/>
      <c r="D21" s="1278"/>
      <c r="E21" s="1278"/>
      <c r="F21" s="1278"/>
      <c r="G21" s="1278"/>
      <c r="H21" s="1278"/>
      <c r="I21" s="1278"/>
      <c r="J21" s="1278"/>
      <c r="K21" s="1279"/>
      <c r="L21" s="1280"/>
      <c r="M21" s="1279"/>
      <c r="N21" s="1257"/>
    </row>
    <row r="22" spans="1:18">
      <c r="A22" s="2571" t="str">
        <f>IF(Details!C5="","",Details!C5)</f>
        <v/>
      </c>
      <c r="B22" s="2572"/>
      <c r="C22" s="2572"/>
      <c r="D22" s="2572"/>
      <c r="E22" s="2572"/>
      <c r="F22" s="2572"/>
      <c r="G22" s="2572"/>
      <c r="H22" s="2572"/>
      <c r="I22" s="2572"/>
      <c r="J22" s="2572"/>
      <c r="K22" s="2573"/>
      <c r="L22" s="1332"/>
      <c r="M22" s="1333"/>
      <c r="N22" s="1257"/>
    </row>
    <row r="23" spans="1:18">
      <c r="A23" s="2571" t="str">
        <f>IF(Details!C6="","",Details!C6)</f>
        <v/>
      </c>
      <c r="B23" s="2572"/>
      <c r="C23" s="2572"/>
      <c r="D23" s="2572"/>
      <c r="E23" s="2572"/>
      <c r="F23" s="2572"/>
      <c r="G23" s="2572"/>
      <c r="H23" s="2572"/>
      <c r="I23" s="2572"/>
      <c r="J23" s="2572"/>
      <c r="K23" s="2573"/>
      <c r="L23" s="1332"/>
      <c r="M23" s="1333"/>
      <c r="N23" s="1257"/>
    </row>
    <row r="24" spans="1:18">
      <c r="A24" s="2571" t="str">
        <f>IF(Details!C7="","",Details!C7)</f>
        <v/>
      </c>
      <c r="B24" s="2572"/>
      <c r="C24" s="2572"/>
      <c r="D24" s="2572"/>
      <c r="E24" s="2572"/>
      <c r="F24" s="2572"/>
      <c r="G24" s="2572"/>
      <c r="H24" s="2572"/>
      <c r="I24" s="2572"/>
      <c r="J24" s="2572"/>
      <c r="K24" s="2573"/>
      <c r="L24" s="1332"/>
      <c r="M24" s="1333"/>
      <c r="N24" s="1257"/>
    </row>
    <row r="25" spans="1:18">
      <c r="A25" s="2571" t="str">
        <f>IF(Details!C8="","",Details!C8)</f>
        <v/>
      </c>
      <c r="B25" s="2572"/>
      <c r="C25" s="2572"/>
      <c r="D25" s="2572"/>
      <c r="E25" s="2572"/>
      <c r="F25" s="2572"/>
      <c r="G25" s="2572"/>
      <c r="H25" s="2572"/>
      <c r="I25" s="2572"/>
      <c r="J25" s="2572"/>
      <c r="K25" s="2573"/>
      <c r="L25" s="1332"/>
      <c r="M25" s="1333"/>
      <c r="N25" s="1257"/>
    </row>
    <row r="26" spans="1:18">
      <c r="A26" s="2571" t="str">
        <f>IF(Details!C9="","",Details!C9)</f>
        <v/>
      </c>
      <c r="B26" s="2572"/>
      <c r="C26" s="2572"/>
      <c r="D26" s="2572"/>
      <c r="E26" s="2572"/>
      <c r="F26" s="2572"/>
      <c r="G26" s="2572"/>
      <c r="H26" s="2572"/>
      <c r="I26" s="2572"/>
      <c r="J26" s="2572"/>
      <c r="K26" s="2573"/>
      <c r="L26" s="1332"/>
      <c r="M26" s="1333"/>
      <c r="N26" s="1257"/>
      <c r="R26" s="1255" t="str">
        <f>IF(Q26="","",10*Q26)</f>
        <v/>
      </c>
    </row>
    <row r="27" spans="1:18">
      <c r="A27" s="1267" t="str">
        <f ca="1">IF(Details!F27="Non-compliant","Non-compliant sampling plane; the testing precision will be reduced","")</f>
        <v/>
      </c>
      <c r="B27" s="1334"/>
      <c r="C27" s="1334"/>
      <c r="D27" s="1334"/>
      <c r="E27" s="1334"/>
      <c r="F27" s="1395"/>
      <c r="G27" s="1395"/>
      <c r="H27" s="1395"/>
      <c r="I27" s="1395"/>
      <c r="J27" s="1395"/>
      <c r="K27" s="1396"/>
      <c r="L27" s="1281"/>
      <c r="M27" s="1282"/>
      <c r="N27" s="1257"/>
      <c r="R27" s="1255" t="str">
        <f>IF(Q27="","",10*Q27)</f>
        <v/>
      </c>
    </row>
    <row r="28" spans="1:18">
      <c r="A28" s="1267" t="str">
        <f>IF(Details!H25="","","The gas velocity is not in the same direction at all points along each sampling traverse")</f>
        <v/>
      </c>
      <c r="B28" s="1272"/>
      <c r="C28" s="1272"/>
      <c r="D28" s="1272"/>
      <c r="E28" s="1272"/>
      <c r="F28" s="1272"/>
      <c r="G28" s="1272"/>
      <c r="H28" s="1272"/>
      <c r="I28" s="1272"/>
      <c r="J28" s="1272"/>
      <c r="K28" s="1307"/>
      <c r="L28" s="1257"/>
      <c r="M28" s="1307"/>
      <c r="N28" s="1257"/>
      <c r="R28" s="1255" t="str">
        <f>IF(Q28="","",10*Q28)</f>
        <v/>
      </c>
    </row>
    <row r="29" spans="1:18">
      <c r="A29" s="1267" t="str">
        <f>IF(Details!H26="","","The gas velocity at some or all sampling points is less than 3 m/s")</f>
        <v/>
      </c>
      <c r="B29" s="1272"/>
      <c r="C29" s="1272"/>
      <c r="D29" s="1272"/>
      <c r="E29" s="1272"/>
      <c r="F29" s="1272"/>
      <c r="G29" s="1272"/>
      <c r="H29" s="1272"/>
      <c r="I29" s="1272"/>
      <c r="J29" s="1272"/>
      <c r="K29" s="1307"/>
      <c r="L29" s="1257"/>
      <c r="M29" s="1307"/>
      <c r="N29" s="1257"/>
    </row>
    <row r="30" spans="1:18">
      <c r="A30" s="1267" t="str">
        <f>IF(Details!H27="","","The gas profile has a cyclonic component which exceeds 15°")</f>
        <v/>
      </c>
      <c r="B30" s="1272"/>
      <c r="C30" s="1272"/>
      <c r="D30" s="1272"/>
      <c r="E30" s="1272"/>
      <c r="F30" s="1272"/>
      <c r="G30" s="1272"/>
      <c r="H30" s="1272"/>
      <c r="I30" s="1272"/>
      <c r="J30" s="1272"/>
      <c r="K30" s="1307"/>
      <c r="L30" s="1257"/>
      <c r="M30" s="1307"/>
      <c r="N30" s="1257"/>
    </row>
    <row r="31" spans="1:18">
      <c r="A31" s="1267" t="str">
        <f>IF(Details!H28="","","The temperature difference across the sampling plane is greater than 10%")</f>
        <v/>
      </c>
      <c r="B31" s="1272"/>
      <c r="C31" s="1272"/>
      <c r="D31" s="1272"/>
      <c r="E31" s="1272"/>
      <c r="F31" s="1272"/>
      <c r="G31" s="1272"/>
      <c r="H31" s="1272"/>
      <c r="I31" s="1272"/>
      <c r="J31" s="1272"/>
      <c r="K31" s="1307"/>
      <c r="L31" s="1257"/>
      <c r="M31" s="1307"/>
      <c r="N31" s="1257"/>
    </row>
    <row r="32" spans="1:18">
      <c r="A32" s="1267" t="str">
        <f>IF(Details!H29="","","The highest to lowest differential pressure ratio exceeds 9:1")</f>
        <v/>
      </c>
      <c r="B32" s="1272"/>
      <c r="C32" s="1272"/>
      <c r="D32" s="1272"/>
      <c r="E32" s="1272"/>
      <c r="F32" s="1272"/>
      <c r="G32" s="1272"/>
      <c r="H32" s="1272"/>
      <c r="I32" s="1272"/>
      <c r="J32" s="1272"/>
      <c r="K32" s="1307"/>
      <c r="L32" s="1257"/>
      <c r="M32" s="1307"/>
      <c r="N32" s="1257"/>
    </row>
    <row r="33" spans="1:16">
      <c r="A33" s="1267" t="str">
        <f ca="1">IF(Details!H30="","","The highest to lowest gas velocity ratio exceeds 1.6:1")</f>
        <v/>
      </c>
      <c r="B33" s="1272"/>
      <c r="C33" s="1272"/>
      <c r="D33" s="1272"/>
      <c r="E33" s="1272"/>
      <c r="F33" s="1272"/>
      <c r="G33" s="1272"/>
      <c r="H33" s="1272"/>
      <c r="I33" s="1272"/>
      <c r="J33" s="1272"/>
      <c r="K33" s="1307"/>
      <c r="L33" s="1257"/>
      <c r="M33" s="1307"/>
      <c r="N33" s="1257"/>
    </row>
    <row r="34" spans="1:16">
      <c r="A34" s="1267" t="str">
        <f>IF(Details!I25="","","The gas temperature of the sampling plane is below the dew point")</f>
        <v/>
      </c>
      <c r="B34" s="1272"/>
      <c r="C34" s="1272"/>
      <c r="D34" s="1272"/>
      <c r="E34" s="1272"/>
      <c r="F34" s="1272"/>
      <c r="G34" s="1272"/>
      <c r="H34" s="1272"/>
      <c r="I34" s="1272"/>
      <c r="J34" s="1272"/>
      <c r="K34" s="1307"/>
      <c r="L34" s="1257"/>
      <c r="M34" s="1307"/>
      <c r="N34" s="1257"/>
    </row>
    <row r="35" spans="1:16">
      <c r="A35" s="1267" t="str">
        <f>IF(Details!I26="","","The downstream disturbance is &lt;1D from the sampling plane")</f>
        <v/>
      </c>
      <c r="B35" s="1272"/>
      <c r="C35" s="1272"/>
      <c r="D35" s="1272"/>
      <c r="E35" s="1272"/>
      <c r="F35" s="1272"/>
      <c r="G35" s="1272"/>
      <c r="H35" s="1272"/>
      <c r="I35" s="1272"/>
      <c r="J35" s="1272"/>
      <c r="K35" s="1307"/>
      <c r="L35" s="1257"/>
      <c r="M35" s="1307"/>
      <c r="N35" s="1257"/>
    </row>
    <row r="36" spans="1:16">
      <c r="A36" s="1267" t="str">
        <f>IF(Details!I27="","","The upstream disturbance is &lt;2D from the sampling plane")</f>
        <v/>
      </c>
      <c r="B36" s="1272"/>
      <c r="C36" s="1272"/>
      <c r="D36" s="1272"/>
      <c r="E36" s="1272"/>
      <c r="F36" s="1272"/>
      <c r="G36" s="1272"/>
      <c r="H36" s="1272"/>
      <c r="I36" s="1272"/>
      <c r="J36" s="1272"/>
      <c r="K36" s="1307"/>
      <c r="L36" s="1257"/>
      <c r="M36" s="1307"/>
      <c r="N36" s="1257"/>
    </row>
    <row r="37" spans="1:16">
      <c r="A37" s="1267" t="str">
        <f>IF(Details!I28="","","The stack or duct does not have the required number of access holes (ports)")</f>
        <v/>
      </c>
      <c r="B37" s="1272"/>
      <c r="C37" s="1272"/>
      <c r="D37" s="1272"/>
      <c r="E37" s="1272"/>
      <c r="F37" s="1272"/>
      <c r="G37" s="1272"/>
      <c r="H37" s="1285"/>
      <c r="I37" s="1335"/>
      <c r="J37" s="1272"/>
      <c r="K37" s="1307"/>
      <c r="L37" s="1257"/>
      <c r="M37" s="1307"/>
      <c r="N37" s="1257"/>
    </row>
    <row r="38" spans="1:16">
      <c r="A38" s="1267" t="str">
        <f>IF(Details!I29="","","The sampling plane is too near to the downstream disturbance but is greater than or equal to 1D")</f>
        <v/>
      </c>
      <c r="B38" s="1272"/>
      <c r="C38" s="1272"/>
      <c r="D38" s="1272"/>
      <c r="E38" s="1272"/>
      <c r="F38" s="1272"/>
      <c r="G38" s="1272"/>
      <c r="H38" s="1272"/>
      <c r="I38" s="1272"/>
      <c r="J38" s="1272"/>
      <c r="K38" s="1307"/>
      <c r="L38" s="1257"/>
      <c r="M38" s="1307"/>
      <c r="N38" s="1257"/>
    </row>
    <row r="39" spans="1:16">
      <c r="A39" s="1267" t="str">
        <f>IF(Details!I30="","","The sampling plane is too near to the upstream disturbance but is greater than or equal to 2D")</f>
        <v/>
      </c>
      <c r="B39" s="1272"/>
      <c r="C39" s="1272"/>
      <c r="D39" s="1272"/>
      <c r="E39" s="1272"/>
      <c r="F39" s="1272"/>
      <c r="G39" s="1272"/>
      <c r="H39" s="1272"/>
      <c r="I39" s="1272"/>
      <c r="J39" s="1272"/>
      <c r="K39" s="1307"/>
      <c r="L39" s="1257"/>
      <c r="M39" s="1307"/>
      <c r="N39" s="1257"/>
    </row>
    <row r="40" spans="1:16">
      <c r="A40" s="1267" t="str">
        <f>IF(Details!J25="","","The number of traverses sampled is less than the requirement")</f>
        <v/>
      </c>
      <c r="B40" s="1272"/>
      <c r="C40" s="1272"/>
      <c r="D40" s="1272"/>
      <c r="E40" s="1272"/>
      <c r="F40" s="1272"/>
      <c r="G40" s="1272"/>
      <c r="H40" s="1272"/>
      <c r="I40" s="1272"/>
      <c r="J40" s="1272"/>
      <c r="K40" s="1307"/>
      <c r="L40" s="1257"/>
      <c r="M40" s="1307"/>
      <c r="N40" s="1257"/>
    </row>
    <row r="41" spans="1:16">
      <c r="A41" s="1267" t="str">
        <f>IF(Details!J26="","","The number of points sampled is less than the requirement")</f>
        <v/>
      </c>
      <c r="B41" s="1272"/>
      <c r="C41" s="1272"/>
      <c r="D41" s="1272"/>
      <c r="E41" s="1272"/>
      <c r="F41" s="1272"/>
      <c r="G41" s="1272"/>
      <c r="H41" s="1272"/>
      <c r="I41" s="1272"/>
      <c r="J41" s="1272"/>
      <c r="K41" s="1307"/>
      <c r="L41" s="1257"/>
      <c r="M41" s="1307"/>
      <c r="N41" s="1336"/>
    </row>
    <row r="42" spans="1:16">
      <c r="A42" s="1267" t="str">
        <f>IF(Details!J27="","","The isokinetic rate is outside the criteria (90-110%)")</f>
        <v/>
      </c>
      <c r="B42" s="1272"/>
      <c r="C42" s="1272"/>
      <c r="D42" s="1272"/>
      <c r="E42" s="1272"/>
      <c r="F42" s="1272"/>
      <c r="G42" s="1272"/>
      <c r="H42" s="1272"/>
      <c r="I42" s="1272"/>
      <c r="J42" s="1272"/>
      <c r="K42" s="1307"/>
      <c r="L42" s="1257"/>
      <c r="M42" s="1307"/>
      <c r="N42" s="1336"/>
    </row>
    <row r="43" spans="1:16">
      <c r="A43" s="1267" t="str">
        <f>IF(Details!J28="","","The isokinetic rate for PM10 or PM2.5 is outside the criteria (80-120%)")</f>
        <v/>
      </c>
      <c r="B43" s="1272"/>
      <c r="C43" s="1272"/>
      <c r="D43" s="1272"/>
      <c r="E43" s="1272"/>
      <c r="F43" s="1272"/>
      <c r="G43" s="1272"/>
      <c r="H43" s="1272"/>
      <c r="I43" s="1272"/>
      <c r="J43" s="1272"/>
      <c r="K43" s="1307"/>
      <c r="L43" s="1257"/>
      <c r="M43" s="1307"/>
      <c r="N43" s="1336"/>
    </row>
    <row r="44" spans="1:16">
      <c r="A44" s="1267" t="str">
        <f>IF(Details!J29="","","The velocity difference for TPM is outside the criteria (10%)")</f>
        <v/>
      </c>
      <c r="B44" s="1272"/>
      <c r="C44" s="1272"/>
      <c r="D44" s="1272"/>
      <c r="E44" s="1272"/>
      <c r="F44" s="1272"/>
      <c r="G44" s="1272"/>
      <c r="H44" s="1272"/>
      <c r="I44" s="1272"/>
      <c r="J44" s="1272"/>
      <c r="K44" s="1307"/>
      <c r="L44" s="1257"/>
      <c r="M44" s="1307"/>
      <c r="N44" s="1336"/>
    </row>
    <row r="45" spans="1:16">
      <c r="A45" s="1267" t="str">
        <f>IF(Details!J30="","","The velocity difference for PM10 or PM2.5 is outside the criteria (20%)")</f>
        <v/>
      </c>
      <c r="B45" s="1272"/>
      <c r="C45" s="1272"/>
      <c r="D45" s="1272"/>
      <c r="E45" s="1272"/>
      <c r="F45" s="1272"/>
      <c r="G45" s="1272"/>
      <c r="H45" s="1272"/>
      <c r="I45" s="1272"/>
      <c r="J45" s="1272"/>
      <c r="K45" s="1307"/>
      <c r="L45" s="1257"/>
      <c r="M45" s="1307"/>
      <c r="N45" s="1336"/>
    </row>
    <row r="46" spans="1:16">
      <c r="A46" s="1267" t="str">
        <f>IF(Details!K25="","","The discharge is assumed to be composed of dry air and moisture")</f>
        <v>The discharge is assumed to be composed of dry air and moisture</v>
      </c>
      <c r="B46" s="1272"/>
      <c r="C46" s="1272"/>
      <c r="D46" s="1272"/>
      <c r="E46" s="1272"/>
      <c r="F46" s="1272"/>
      <c r="G46" s="1272"/>
      <c r="H46" s="1272"/>
      <c r="I46" s="1272"/>
      <c r="J46" s="1272"/>
      <c r="K46" s="1394"/>
      <c r="L46" s="1257"/>
      <c r="M46" s="1307"/>
      <c r="N46" s="1336"/>
      <c r="P46" s="1283"/>
    </row>
    <row r="47" spans="1:16">
      <c r="A47" s="1267" t="str">
        <f>IF(Details!K26="","","Saturated stack; negligible dry flow rate &amp; component mass rates")</f>
        <v/>
      </c>
      <c r="B47" s="1272"/>
      <c r="C47" s="1272"/>
      <c r="D47" s="1272"/>
      <c r="E47" s="1272"/>
      <c r="F47" s="1272"/>
      <c r="G47" s="1272"/>
      <c r="H47" s="1272"/>
      <c r="I47" s="1272"/>
      <c r="J47" s="1272"/>
      <c r="K47" s="1394"/>
      <c r="L47" s="1257"/>
      <c r="M47" s="1307"/>
      <c r="N47" s="1336"/>
    </row>
    <row r="48" spans="1:16">
      <c r="A48" s="1309" t="str">
        <f>IF(Details!K27="","","The licence limit has been exceeded for one or more discharge points and/or test parameters")</f>
        <v/>
      </c>
      <c r="B48" s="1274"/>
      <c r="C48" s="1274"/>
      <c r="D48" s="1274"/>
      <c r="E48" s="1274"/>
      <c r="F48" s="1274"/>
      <c r="G48" s="1274"/>
      <c r="H48" s="1274"/>
      <c r="I48" s="1274"/>
      <c r="J48" s="1274"/>
      <c r="K48" s="1337"/>
      <c r="L48" s="1257"/>
      <c r="M48" s="1307"/>
      <c r="N48" s="1336"/>
    </row>
    <row r="49" spans="1:14">
      <c r="A49" s="1364" t="s">
        <v>41</v>
      </c>
      <c r="B49" s="1364" t="s">
        <v>41</v>
      </c>
      <c r="C49" s="1364" t="s">
        <v>41</v>
      </c>
      <c r="D49" s="1364" t="s">
        <v>41</v>
      </c>
      <c r="E49" s="1364" t="s">
        <v>41</v>
      </c>
      <c r="F49" s="1364" t="s">
        <v>41</v>
      </c>
      <c r="G49" s="1364" t="s">
        <v>41</v>
      </c>
      <c r="H49" s="1364" t="s">
        <v>41</v>
      </c>
      <c r="I49" s="1364" t="s">
        <v>41</v>
      </c>
      <c r="J49" s="1364" t="s">
        <v>41</v>
      </c>
      <c r="K49" s="1364" t="s">
        <v>41</v>
      </c>
      <c r="L49" s="1328" t="s">
        <v>41</v>
      </c>
      <c r="M49" s="1328" t="s">
        <v>41</v>
      </c>
      <c r="N49" s="1338"/>
    </row>
    <row r="50" spans="1:14">
      <c r="A50" s="1262" t="s">
        <v>42</v>
      </c>
      <c r="B50" s="1263"/>
      <c r="C50" s="1263"/>
      <c r="D50" s="1263"/>
      <c r="E50" s="1263"/>
      <c r="F50" s="1263"/>
      <c r="G50" s="1263"/>
      <c r="H50" s="1320"/>
      <c r="I50" s="1320"/>
      <c r="J50" s="1263"/>
      <c r="K50" s="1284"/>
      <c r="L50" s="2519" t="s">
        <v>62</v>
      </c>
      <c r="M50" s="2520"/>
      <c r="N50" s="1338"/>
    </row>
    <row r="51" spans="1:14">
      <c r="A51" s="1267" t="s">
        <v>1439</v>
      </c>
      <c r="B51" s="1259"/>
      <c r="C51" s="1259"/>
      <c r="D51" s="1259"/>
      <c r="E51" s="1339" t="str">
        <f>Details!J59&amp;signum2(Details!D59,2,1,Details!J59)&amp;IF(ISTEXT(AvMoisture)," "&amp;AvMoisture,IF(ISTEXT(Details!I56)," "&amp;Details!I56,""))</f>
        <v xml:space="preserve">1 </v>
      </c>
      <c r="F51" s="1319"/>
      <c r="G51" s="1259"/>
      <c r="I51" s="1339"/>
      <c r="J51" s="1259"/>
      <c r="K51" s="1322"/>
      <c r="L51" s="2539" t="s">
        <v>557</v>
      </c>
      <c r="M51" s="2538"/>
      <c r="N51" s="1338"/>
    </row>
    <row r="52" spans="1:14">
      <c r="A52" s="1271" t="s">
        <v>30</v>
      </c>
      <c r="B52" s="1259"/>
      <c r="C52" s="1259"/>
      <c r="D52" s="1259"/>
      <c r="E52" s="1340">
        <f>MolecularWt</f>
        <v>28.845074441969999</v>
      </c>
      <c r="F52" s="1259"/>
      <c r="G52" s="1259"/>
      <c r="H52" s="1341">
        <f>MolecularWtDry</f>
        <v>28.954466102999998</v>
      </c>
      <c r="J52" s="1259"/>
      <c r="K52" s="1322"/>
      <c r="L52" s="1321"/>
      <c r="M52" s="1322"/>
      <c r="N52" s="1338"/>
    </row>
    <row r="53" spans="1:14">
      <c r="A53" s="1271" t="str">
        <f>"Gas density at "&amp;NTPSTP&amp;", kg/m³"</f>
        <v>Gas density at STP, kg/m³</v>
      </c>
      <c r="B53" s="1259"/>
      <c r="C53" s="1259"/>
      <c r="D53" s="1259"/>
      <c r="E53" s="1342">
        <f>StackGasDensity</f>
        <v>1.2869955684701349</v>
      </c>
      <c r="F53" s="1259"/>
      <c r="G53" s="1259"/>
      <c r="H53" s="1343">
        <f>StackGasDensityDry</f>
        <v>1.291876352648953</v>
      </c>
      <c r="J53" s="1273"/>
      <c r="K53" s="1322"/>
      <c r="L53" s="1321"/>
      <c r="M53" s="1322"/>
      <c r="N53" s="1338"/>
    </row>
    <row r="54" spans="1:14" hidden="1">
      <c r="A54" s="1271" t="str">
        <f>IF(AND(E54="",H54=""),"","% Oxygen correction &amp; Factor")</f>
        <v/>
      </c>
      <c r="B54" s="1259"/>
      <c r="C54" s="1259"/>
      <c r="D54" s="1259"/>
      <c r="E54" s="1344" t="str">
        <f>IF(Gases!H1="","",Gases!H1)</f>
        <v/>
      </c>
      <c r="F54" s="1259"/>
      <c r="G54" s="1259"/>
      <c r="H54" s="1345" t="str">
        <f>IF(Gases!H1="","",Gases!H2)</f>
        <v/>
      </c>
      <c r="J54" s="1273"/>
      <c r="K54" s="1322"/>
      <c r="L54" s="1321"/>
      <c r="M54" s="1322"/>
      <c r="N54" s="1338"/>
    </row>
    <row r="55" spans="1:14" hidden="1">
      <c r="A55" s="1271" t="str">
        <f>IF(AND(E55="",H55=""),"","% Carbon dioxide correction &amp; Factor")</f>
        <v/>
      </c>
      <c r="B55" s="1259"/>
      <c r="C55" s="1259"/>
      <c r="D55" s="1259"/>
      <c r="E55" s="1344" t="str">
        <f>IF(Gases!H3="","",Gases!H3)</f>
        <v/>
      </c>
      <c r="F55" s="1259"/>
      <c r="G55" s="1259"/>
      <c r="H55" s="1345" t="str">
        <f>IF(Gases!H3="","",Gases!H4)</f>
        <v/>
      </c>
      <c r="J55" s="1273"/>
      <c r="K55" s="1322"/>
      <c r="L55" s="1321"/>
      <c r="M55" s="1322"/>
      <c r="N55" s="1338"/>
    </row>
    <row r="56" spans="1:14">
      <c r="A56" s="1365" t="s">
        <v>41</v>
      </c>
      <c r="B56" s="1366" t="s">
        <v>41</v>
      </c>
      <c r="C56" s="1366" t="s">
        <v>41</v>
      </c>
      <c r="D56" s="1366" t="s">
        <v>41</v>
      </c>
      <c r="E56" s="1366" t="s">
        <v>41</v>
      </c>
      <c r="F56" s="1366" t="s">
        <v>41</v>
      </c>
      <c r="G56" s="1366" t="s">
        <v>41</v>
      </c>
      <c r="H56" s="1367" t="s">
        <v>41</v>
      </c>
      <c r="I56" s="1368" t="s">
        <v>41</v>
      </c>
      <c r="J56" s="1369" t="s">
        <v>41</v>
      </c>
      <c r="K56" s="1370" t="s">
        <v>41</v>
      </c>
      <c r="L56" s="1321" t="s">
        <v>41</v>
      </c>
      <c r="M56" s="1322" t="s">
        <v>41</v>
      </c>
      <c r="N56" s="1338"/>
    </row>
    <row r="57" spans="1:14">
      <c r="A57" s="1365" t="s">
        <v>41</v>
      </c>
      <c r="B57" s="1366" t="s">
        <v>41</v>
      </c>
      <c r="C57" s="1366" t="s">
        <v>41</v>
      </c>
      <c r="D57" s="1366" t="s">
        <v>41</v>
      </c>
      <c r="E57" s="1285" t="str">
        <f>IF(OR(TestReport="Test 2 only",COUNT('Flows &amp; Isokinetics'!G$15:G$38)=0),"",IF(OR(TestReport="Test 1 only",FlowsReport="Average only"),"Results","Test 1"))</f>
        <v/>
      </c>
      <c r="F57" s="1285" t="str">
        <f>IF(OR(TestReport="Test 2 only",F58=""),"",IF(TestReport="Test 1 only","Results","Test 1"))</f>
        <v/>
      </c>
      <c r="G57" s="1369" t="s">
        <v>41</v>
      </c>
      <c r="H57" s="1285" t="str">
        <f>IF(OR(TestReport="Test 1 only",COUNT('Flows &amp; Isokinetics'!G$81:G$104)=0),"",IF(TestReport="Test 2 only","Results","Test 2"))</f>
        <v/>
      </c>
      <c r="I57" s="1285" t="str">
        <f>IF(OR(TestReport="Test 1 only",I58=""),"","Test 2")</f>
        <v/>
      </c>
      <c r="J57" s="1369" t="s">
        <v>41</v>
      </c>
      <c r="K57" s="1370" t="s">
        <v>41</v>
      </c>
      <c r="L57" s="1321" t="s">
        <v>41</v>
      </c>
      <c r="M57" s="1322" t="s">
        <v>41</v>
      </c>
      <c r="N57" s="1338"/>
    </row>
    <row r="58" spans="1:14">
      <c r="A58" s="1286" t="s">
        <v>121</v>
      </c>
      <c r="B58" s="1259"/>
      <c r="C58" s="1259"/>
      <c r="D58" s="1287"/>
      <c r="E58" s="1317" t="str">
        <f>IF(OR(F58="",FlowsReport="Average only"),"","Isokinetic")</f>
        <v/>
      </c>
      <c r="F58" s="1317" t="str">
        <f>IF(COUNT('PM10 &amp; 2.5'!C$15:C$38)&gt;0,PMtest3,"")</f>
        <v/>
      </c>
      <c r="G58" s="1287"/>
      <c r="H58" s="1408" t="str">
        <f>IF(I58="","","Isokinetic")</f>
        <v/>
      </c>
      <c r="I58" s="1317" t="str">
        <f>IF(COUNT('PM10 &amp; 2.5'!C$81:C$104)&gt;0,PMtest4,"")</f>
        <v/>
      </c>
      <c r="J58" s="1346"/>
      <c r="K58" s="1347"/>
      <c r="L58" s="1321"/>
      <c r="M58" s="1322"/>
      <c r="N58" s="1338"/>
    </row>
    <row r="59" spans="1:14">
      <c r="A59" s="1267" t="str">
        <f>"Temperature, "&amp;TU</f>
        <v>Temperature, °C</v>
      </c>
      <c r="B59" s="1259"/>
      <c r="C59" s="1259"/>
      <c r="D59" s="1259"/>
      <c r="E59" s="1348" t="str">
        <f>IF(E$57="","",IF(FlowsReport="Average only",AverageStackTemp,AverageStackTemp1))</f>
        <v/>
      </c>
      <c r="F59" s="1348" t="str">
        <f>IF(F$57="","",Details!G60)</f>
        <v/>
      </c>
      <c r="G59" s="1273"/>
      <c r="H59" s="1348" t="str">
        <f>IF(H$57="","",Details!F60)</f>
        <v/>
      </c>
      <c r="I59" s="1348" t="str">
        <f>IF(I$57="","",Details!H60)</f>
        <v/>
      </c>
      <c r="J59" s="1259"/>
      <c r="K59" s="1322"/>
      <c r="L59" s="1321"/>
      <c r="M59" s="1322"/>
      <c r="N59" s="1338"/>
    </row>
    <row r="60" spans="1:14">
      <c r="A60" s="1267" t="str">
        <f>"Velocity at sampling plane, "&amp;VU</f>
        <v>Velocity at sampling plane, m/s</v>
      </c>
      <c r="B60" s="1259"/>
      <c r="C60" s="1259"/>
      <c r="D60" s="1259"/>
      <c r="E60" s="1273" t="str">
        <f>IF(E$57="","",VND&amp;signum2(IF(FlowsReport="All",Details!E62,AverageVelocity),SigFig1,SigFig2,VND))</f>
        <v/>
      </c>
      <c r="F60" s="1273" t="str">
        <f>IF(F$57="","",VND&amp;signum2(Details!G62,SigFig1,SigFig2,VND))</f>
        <v/>
      </c>
      <c r="G60" s="1273"/>
      <c r="H60" s="1273" t="str">
        <f>IF(H$57="","",VND&amp;signum2(Details!F62,2,1,VND))</f>
        <v/>
      </c>
      <c r="I60" s="1273" t="str">
        <f>IF(I$57="","",VND&amp;signum2(Details!H62,2,1,VND))</f>
        <v/>
      </c>
      <c r="J60" s="1259"/>
      <c r="K60" s="1322"/>
      <c r="L60" s="2565"/>
      <c r="M60" s="2566"/>
      <c r="N60" s="1338"/>
    </row>
    <row r="61" spans="1:14" hidden="1">
      <c r="A61" s="1267" t="str">
        <f>"Velocity at exit plane, "&amp;VU</f>
        <v>Velocity at exit plane, m/s</v>
      </c>
      <c r="B61" s="1259"/>
      <c r="C61" s="1259"/>
      <c r="D61" s="1259"/>
      <c r="E61" s="1273" t="str">
        <f>IF(E$57="","",VND&amp;signum2(IF(StackExitDimA="",E60,E60*AreaSP/AreaEP),2,1,VND))</f>
        <v/>
      </c>
      <c r="F61" s="1273" t="str">
        <f>IF(F$57="","",VND&amp;signum2(IF(StackExitDimA="",Details!G62,Details!G62*AreaSP/AreaEP),2,1,VND))</f>
        <v/>
      </c>
      <c r="G61" s="1273"/>
      <c r="H61" s="1273" t="str">
        <f>IF(H$57="","",VND&amp;signum2(IF(StackExitDimA="",Details!F62,Details!F62*AreaSP/AreaEP),2,1,VND))</f>
        <v/>
      </c>
      <c r="I61" s="1273" t="str">
        <f>IF(I$57="","",VND&amp;signum2(IF(StackExitDimA="",Details!H62,Details!H62*AreaSP/AreaEP),2,1,VND))</f>
        <v/>
      </c>
      <c r="J61" s="1259"/>
      <c r="K61" s="1322"/>
      <c r="L61" s="1321"/>
      <c r="M61" s="1322"/>
      <c r="N61" s="1272"/>
    </row>
    <row r="62" spans="1:14">
      <c r="A62" s="1267" t="str">
        <f>"Volumetric flow rate, discharge, "&amp;FU</f>
        <v>Volumetric flow rate, discharge, m³/min</v>
      </c>
      <c r="B62" s="1259"/>
      <c r="C62" s="1259"/>
      <c r="D62" s="1259"/>
      <c r="E62" s="1273" t="str">
        <f>IF(E$57="","",VND&amp;signum2(IF(FlowsReport="All",Details!E63,AverageFlowDis),SigFig1,SigFig2,VND))</f>
        <v/>
      </c>
      <c r="F62" s="1273" t="str">
        <f>IF(F$57="","",VND&amp;signum2(Details!G63,SigFig1,SigFig2,VND))</f>
        <v/>
      </c>
      <c r="G62" s="1273"/>
      <c r="H62" s="1273" t="str">
        <f>IF(H$57="","",VND&amp;signum2(Details!F63,2,1,VND))</f>
        <v/>
      </c>
      <c r="I62" s="1273" t="str">
        <f>IF(I$57="","",VND&amp;signum2(Details!H63,2,1,VND))</f>
        <v/>
      </c>
      <c r="J62" s="1259"/>
      <c r="K62" s="1322"/>
      <c r="L62" s="1321"/>
      <c r="M62" s="1322"/>
      <c r="N62" s="1272"/>
    </row>
    <row r="63" spans="1:14">
      <c r="A63" s="1267" t="str">
        <f>"Volumetric flow rate (wet "&amp;NTPSTP&amp;"), "&amp;FU</f>
        <v>Volumetric flow rate (wet STP), m³/min</v>
      </c>
      <c r="B63" s="1259"/>
      <c r="C63" s="1259"/>
      <c r="D63" s="1259"/>
      <c r="E63" s="2161" t="str">
        <f>IF(E$57="","",VND&amp;signum2(IF(FlowsReport="All",Details!E64,AverageFlowWet),SigFig1,SigFig2,VND))</f>
        <v/>
      </c>
      <c r="F63" s="1273" t="str">
        <f>IF(F$57="","",VND&amp;signum2(Details!G64,SigFig1,SigFig2,VND))</f>
        <v/>
      </c>
      <c r="G63" s="1259"/>
      <c r="H63" s="1273" t="str">
        <f>IF(H$57="","",VND&amp;signum2(Details!F64,2,1,VND))</f>
        <v/>
      </c>
      <c r="I63" s="1273" t="str">
        <f>IF(I$57="","",VND&amp;signum2(Details!H64,2,1,VND))</f>
        <v/>
      </c>
      <c r="J63" s="1259"/>
      <c r="K63" s="1322"/>
      <c r="L63" s="1321"/>
      <c r="M63" s="1322"/>
      <c r="N63" s="1272"/>
    </row>
    <row r="64" spans="1:14">
      <c r="A64" s="1267" t="str">
        <f>"Volumetric flow rate (dry "&amp;NTPSTP&amp;"), "&amp;FU</f>
        <v>Volumetric flow rate (dry STP), m³/min</v>
      </c>
      <c r="B64" s="1259"/>
      <c r="C64" s="1259"/>
      <c r="D64" s="1259"/>
      <c r="E64" s="2161" t="str">
        <f>IF(E$57="","",VND&amp;signum2(IF(FlowsReport="All",Details!E65,AverageFlowDry),SigFig1,SigFig2,VND))</f>
        <v/>
      </c>
      <c r="F64" s="1273" t="str">
        <f>IF(F$57="","",VND&amp;signum2(Details!G65,SigFig1,SigFig2,VND))</f>
        <v/>
      </c>
      <c r="G64" s="1259"/>
      <c r="H64" s="1273" t="str">
        <f>IF(H$57="","",VND&amp;signum2(Details!F65,2,1,VND))</f>
        <v/>
      </c>
      <c r="I64" s="1273" t="str">
        <f>IF(I$57="","",VND&amp;signum2(Details!H65,2,1,VND))</f>
        <v/>
      </c>
      <c r="J64" s="1259"/>
      <c r="K64" s="1322"/>
      <c r="L64" s="1321"/>
      <c r="M64" s="1322"/>
      <c r="N64" s="1272"/>
    </row>
    <row r="65" spans="1:14">
      <c r="A65" s="1271" t="str">
        <f>"Mass flow rate (wet basis), "&amp;MFRU</f>
        <v>Mass flow rate (wet basis), kg/hour</v>
      </c>
      <c r="B65" s="1259"/>
      <c r="C65" s="1259"/>
      <c r="D65" s="1259"/>
      <c r="E65" s="1348" t="str">
        <f>IF(E$57="","",signum2(IF(FlowsReport="All",AverageFlowWet1,AverageFlowWet)*StackGasDensity/FF*MFRF*1000,2,1,VND))</f>
        <v/>
      </c>
      <c r="F65" s="1348" t="str">
        <f>IF(F$57="","",signum2(AverageFlowWet3*StackGasDensity/FF*MFRF*1000,2,1,VND))</f>
        <v/>
      </c>
      <c r="G65" s="1348"/>
      <c r="H65" s="1348" t="str">
        <f>IF(H$57="","",signum2(AverageFlowWet2*StackGasDensity/FF*MFRF*1000,2,1,VND))</f>
        <v/>
      </c>
      <c r="I65" s="1348" t="str">
        <f>IF(I$57="","",signum2(AverageFlowWet4*StackGasDensity/FF*MFRF*1000,2,1,VND))</f>
        <v/>
      </c>
      <c r="J65" s="1259"/>
      <c r="K65" s="1322"/>
      <c r="L65" s="1321"/>
      <c r="M65" s="1322"/>
      <c r="N65" s="1272"/>
    </row>
    <row r="66" spans="1:14" hidden="1">
      <c r="A66" s="2073"/>
      <c r="B66" s="1259"/>
      <c r="C66" s="1259"/>
      <c r="D66" s="1259"/>
      <c r="E66" s="1348"/>
      <c r="F66" s="1348"/>
      <c r="G66" s="1348"/>
      <c r="H66" s="1348"/>
      <c r="I66" s="1348"/>
      <c r="J66" s="1259"/>
      <c r="K66" s="2038"/>
      <c r="L66" s="2037"/>
      <c r="M66" s="2038"/>
      <c r="N66" s="1272"/>
    </row>
    <row r="67" spans="1:14" hidden="1">
      <c r="A67" s="2073"/>
      <c r="B67" s="1259"/>
      <c r="C67" s="1259"/>
      <c r="D67" s="1259"/>
      <c r="E67" s="1348" t="str">
        <f>IF(OR(TestReport="Test 2 only",COUNT('Flows &amp; Isokinetics'!G$15:G$38)=0),"",IF(TestReport="Test 1 only","Results","Test 1"))</f>
        <v/>
      </c>
      <c r="F67" s="2159" t="str">
        <f>IF(OR(TestReport="Test 2 only",F68=""),"",IF(TestReport="Test 1 only","Results","Test 1"))</f>
        <v/>
      </c>
      <c r="G67" s="1369" t="s">
        <v>41</v>
      </c>
      <c r="H67" s="2159" t="str">
        <f>IF(OR(TestReport="Test 1 only",COUNT('Flows &amp; Isokinetics'!G$81:G$104)=0),"",IF(TestReport="Test 2 only","Results","Test 2"))</f>
        <v/>
      </c>
      <c r="I67" s="2159" t="str">
        <f>IF(OR(TestReport="Test 1 only",I68=""),"","Test 2")</f>
        <v/>
      </c>
      <c r="J67" s="1259"/>
      <c r="K67" s="2038"/>
      <c r="L67" s="2037"/>
      <c r="M67" s="2038"/>
      <c r="N67" s="1272"/>
    </row>
    <row r="68" spans="1:14" hidden="1">
      <c r="A68" s="1286" t="s">
        <v>2018</v>
      </c>
      <c r="B68" s="1259"/>
      <c r="C68" s="1259"/>
      <c r="D68" s="1259"/>
      <c r="E68" s="1255" t="str">
        <f>IF(OR(E67="",F68=""),"","Isokinetic")</f>
        <v/>
      </c>
      <c r="F68" s="2160" t="str">
        <f>IF(COUNT('PM10 &amp; 2.5'!C$15:C$38)&gt;0,PMtest3,"")</f>
        <v/>
      </c>
      <c r="G68" s="1287"/>
      <c r="H68" s="2160" t="str">
        <f>IF(I68="","","Isokinetic")</f>
        <v/>
      </c>
      <c r="I68" s="2160" t="str">
        <f>IF(COUNT('PM10 &amp; 2.5'!C$81:C$104)&gt;0,PMtest4,"")</f>
        <v/>
      </c>
      <c r="J68" s="1259"/>
      <c r="K68" s="2038"/>
      <c r="L68" s="2037"/>
      <c r="M68" s="2038"/>
      <c r="N68" s="1272"/>
    </row>
    <row r="69" spans="1:14" hidden="1">
      <c r="A69" s="1271" t="s">
        <v>95</v>
      </c>
      <c r="B69" s="1259"/>
      <c r="C69" s="1259"/>
      <c r="D69" s="1259"/>
      <c r="E69" s="1348" t="str">
        <f>IF(E$57="","",IF(ISNUMBER(TotalTime1),TotalTime1,"NA"))</f>
        <v/>
      </c>
      <c r="F69" s="1348" t="str">
        <f>IF(F$57="","",IF(ISNUMBER(TotalTime3),TotalTime3,"NA"))</f>
        <v/>
      </c>
      <c r="G69" s="1348"/>
      <c r="H69" s="1348" t="str">
        <f>IF(H$57="","",IF(ISNUMBER(TotalTime2),TotalTime2,"NA"))</f>
        <v/>
      </c>
      <c r="I69" s="1348" t="str">
        <f>IF(I$57="","",IF(ISNUMBER(TotalTime4),TotalTime4,"NA"))</f>
        <v/>
      </c>
      <c r="J69" s="1259"/>
      <c r="K69" s="1322"/>
      <c r="L69" s="1321"/>
      <c r="M69" s="1322"/>
      <c r="N69" s="1272"/>
    </row>
    <row r="70" spans="1:14" hidden="1">
      <c r="A70" s="1271" t="s">
        <v>1441</v>
      </c>
      <c r="B70" s="1259"/>
      <c r="C70" s="1259"/>
      <c r="D70" s="1259"/>
      <c r="E70" s="1348" t="str">
        <f>IF(E$57="","",IF(ISNUMBER(Details!E73),Details!E73,"NA"))</f>
        <v/>
      </c>
      <c r="F70" s="1348" t="str">
        <f>IF(F$57="","",IF(ISNUMBER(Details!G73),Details!G73,"NA"))</f>
        <v/>
      </c>
      <c r="G70" s="1339"/>
      <c r="H70" s="1348" t="str">
        <f>IF(H$57="","",IF(ISNUMBER(Details!F73),Details!F73,"NA"))</f>
        <v/>
      </c>
      <c r="I70" s="1348" t="str">
        <f>IF(I$57="","",IF(ISNUMBER(Details!H73),Details!H73,"NA"))</f>
        <v/>
      </c>
      <c r="J70" s="1259"/>
      <c r="K70" s="1322"/>
      <c r="L70" s="1321"/>
      <c r="M70" s="1322"/>
      <c r="N70" s="1272"/>
    </row>
    <row r="71" spans="1:14">
      <c r="A71" s="1271" t="s">
        <v>31</v>
      </c>
      <c r="B71" s="1259"/>
      <c r="C71" s="1259"/>
      <c r="D71" s="1259"/>
      <c r="E71" s="1348" t="str">
        <f>IF(E$57="","",IF(ISNUMBER(Details!E74),IF(AND(Details!E74&lt;1,Details!E74&gt;-1),"&lt;1",Details!E74),"NA"))</f>
        <v/>
      </c>
      <c r="F71" s="1348" t="str">
        <f>IF(F$57="","",IF(ISNUMBER(Details!G74),IF(AND(Details!G74&lt;1,Details!G74&gt;-1),"&lt;1",Details!G74),"NA"))</f>
        <v/>
      </c>
      <c r="G71" s="1339"/>
      <c r="H71" s="1348" t="str">
        <f>IF(H$57="","",IF(ISNUMBER(Details!F74),IF(AND(Details!F74&lt;1,Details!F74&gt;-1),"&lt;1",Details!F74),"NA"))</f>
        <v/>
      </c>
      <c r="I71" s="1348" t="str">
        <f>IF(I$57="","",IF(ISNUMBER(Details!H74),IF(AND(Details!H74&lt;1,Details!H74&gt;-1),"&lt;1",Details!H74),"NA"))</f>
        <v/>
      </c>
      <c r="J71" s="1259"/>
      <c r="K71" s="1322"/>
      <c r="L71" s="1321"/>
      <c r="M71" s="1322"/>
      <c r="N71" s="1272"/>
    </row>
    <row r="72" spans="1:14" hidden="1">
      <c r="A72" s="1271"/>
      <c r="B72" s="1259"/>
      <c r="C72" s="1259"/>
      <c r="D72" s="1259"/>
      <c r="E72" s="1339"/>
      <c r="F72" s="1339"/>
      <c r="G72" s="1339"/>
      <c r="H72" s="1339"/>
      <c r="I72" s="1339"/>
      <c r="J72" s="1259"/>
      <c r="K72" s="1322"/>
      <c r="L72" s="1321"/>
      <c r="M72" s="1322"/>
      <c r="N72" s="1272"/>
    </row>
    <row r="73" spans="1:14" hidden="1">
      <c r="A73" s="1365" t="s">
        <v>41</v>
      </c>
      <c r="B73" s="1366" t="s">
        <v>41</v>
      </c>
      <c r="C73" s="1366" t="s">
        <v>41</v>
      </c>
      <c r="D73" s="1259" t="s">
        <v>41</v>
      </c>
      <c r="E73" s="1285" t="str">
        <f>IF(OR(TestReport="Test 2 only",COUNT('Flows &amp; Isokinetics'!G$15:G$38)=0),"",IF(TestReport="Test 1 only","Results","Test 1"))</f>
        <v/>
      </c>
      <c r="F73" s="1285"/>
      <c r="G73" s="1273"/>
      <c r="H73" s="1285" t="str">
        <f>IF(OR(TestReport="Test 1 only",COUNT('Flows &amp; Isokinetics'!G$81:G$104)=0),"",IF(TestReport="Test 2 only","Results","Test 2"))</f>
        <v/>
      </c>
      <c r="I73" s="1285"/>
      <c r="J73" s="1273" t="s">
        <v>41</v>
      </c>
      <c r="K73" s="1370" t="s">
        <v>41</v>
      </c>
      <c r="L73" s="1321"/>
      <c r="M73" s="1322"/>
      <c r="N73" s="1272"/>
    </row>
    <row r="74" spans="1:14" hidden="1">
      <c r="A74" s="1286" t="s">
        <v>129</v>
      </c>
      <c r="B74" s="1259"/>
      <c r="C74" s="1259"/>
      <c r="D74" s="1287"/>
      <c r="E74" s="1317"/>
      <c r="F74" s="1317"/>
      <c r="G74" s="1287"/>
      <c r="H74" s="1317"/>
      <c r="I74" s="1317"/>
      <c r="J74" s="1346"/>
      <c r="K74" s="1347"/>
      <c r="L74" s="1321"/>
      <c r="M74" s="1322"/>
      <c r="N74" s="1272"/>
    </row>
    <row r="75" spans="1:14" hidden="1">
      <c r="A75" s="1271" t="s">
        <v>122</v>
      </c>
      <c r="B75" s="1259"/>
      <c r="C75" s="1259"/>
      <c r="D75" s="1259"/>
      <c r="E75" s="1348" t="str">
        <f>IF(E$73="","",'Drift Test'!C30)</f>
        <v/>
      </c>
      <c r="F75" s="1339"/>
      <c r="G75" s="1339"/>
      <c r="H75" s="1348" t="str">
        <f>IF(H$73="","",'Drift Test'!C30)</f>
        <v/>
      </c>
      <c r="I75" s="1339"/>
      <c r="J75" s="1259"/>
      <c r="K75" s="1322"/>
      <c r="L75" s="1321"/>
      <c r="M75" s="1322"/>
      <c r="N75" s="1272"/>
    </row>
    <row r="76" spans="1:14" hidden="1">
      <c r="A76" s="1271" t="s">
        <v>123</v>
      </c>
      <c r="B76" s="1259"/>
      <c r="C76" s="1259"/>
      <c r="D76" s="1259"/>
      <c r="E76" s="1339" t="str">
        <f>IF(E$73="","",'Drift Test'!G8)</f>
        <v/>
      </c>
      <c r="F76" s="1339"/>
      <c r="G76" s="1339"/>
      <c r="H76" s="1339" t="str">
        <f>IF(H$73="","",'Drift Test'!H8)</f>
        <v/>
      </c>
      <c r="I76" s="1339"/>
      <c r="J76" s="1259"/>
      <c r="K76" s="1322"/>
      <c r="L76" s="1321"/>
      <c r="M76" s="1322"/>
      <c r="N76" s="1272"/>
    </row>
    <row r="77" spans="1:14" hidden="1">
      <c r="A77" s="1271" t="s">
        <v>124</v>
      </c>
      <c r="B77" s="1259"/>
      <c r="C77" s="1259"/>
      <c r="D77" s="1259"/>
      <c r="E77" s="1348" t="str">
        <f>IF(E$73="","",'Drift Test'!G9)</f>
        <v/>
      </c>
      <c r="F77" s="1339"/>
      <c r="G77" s="1339"/>
      <c r="H77" s="1348" t="str">
        <f>IF(H$73="","",'Drift Test'!H9)</f>
        <v/>
      </c>
      <c r="I77" s="1339"/>
      <c r="J77" s="1259"/>
      <c r="K77" s="1322"/>
      <c r="L77" s="1321"/>
      <c r="M77" s="1322"/>
      <c r="N77" s="1272"/>
    </row>
    <row r="78" spans="1:14" hidden="1">
      <c r="A78" s="1271" t="s">
        <v>125</v>
      </c>
      <c r="B78" s="1259"/>
      <c r="C78" s="1259"/>
      <c r="D78" s="1259"/>
      <c r="E78" s="1348" t="str">
        <f>IF(E$73="","",'Drift Test'!G10)</f>
        <v/>
      </c>
      <c r="F78" s="1339"/>
      <c r="G78" s="1339"/>
      <c r="H78" s="1348" t="str">
        <f>IF(H$73="","",'Drift Test'!H10)</f>
        <v/>
      </c>
      <c r="I78" s="1339"/>
      <c r="J78" s="1259"/>
      <c r="K78" s="1322"/>
      <c r="L78" s="1321"/>
      <c r="M78" s="1322"/>
      <c r="N78" s="1272"/>
    </row>
    <row r="79" spans="1:14" hidden="1">
      <c r="A79" s="1271" t="s">
        <v>126</v>
      </c>
      <c r="B79" s="1259"/>
      <c r="C79" s="1259"/>
      <c r="D79" s="1259"/>
      <c r="E79" s="1339" t="str">
        <f>IF(E$73="","",'Drift Test'!G11)</f>
        <v/>
      </c>
      <c r="F79" s="1339"/>
      <c r="G79" s="1339"/>
      <c r="H79" s="1339" t="str">
        <f>IF(H$73="","",'Drift Test'!H11)</f>
        <v/>
      </c>
      <c r="I79" s="1339"/>
      <c r="J79" s="1259"/>
      <c r="K79" s="1322"/>
      <c r="L79" s="1321"/>
      <c r="M79" s="1322"/>
      <c r="N79" s="1272"/>
    </row>
    <row r="80" spans="1:14" hidden="1">
      <c r="A80" s="1271" t="s">
        <v>127</v>
      </c>
      <c r="B80" s="1259"/>
      <c r="C80" s="1259"/>
      <c r="D80" s="1259"/>
      <c r="E80" s="1339" t="str">
        <f>IF(E$73="","",'Drift Test'!G12)</f>
        <v/>
      </c>
      <c r="F80" s="1339"/>
      <c r="G80" s="1339"/>
      <c r="H80" s="1339" t="str">
        <f>IF(H$73="","",'Drift Test'!H12)</f>
        <v/>
      </c>
      <c r="I80" s="1339"/>
      <c r="J80" s="1259"/>
      <c r="K80" s="1322"/>
      <c r="L80" s="1321"/>
      <c r="M80" s="1322"/>
      <c r="N80" s="1272"/>
    </row>
    <row r="81" spans="1:16" hidden="1">
      <c r="A81" s="1271" t="s">
        <v>130</v>
      </c>
      <c r="B81" s="1259"/>
      <c r="C81" s="1259"/>
      <c r="D81" s="1259"/>
      <c r="E81" s="1339" t="str">
        <f>IF(E$73="","",'Drift Test'!G14)</f>
        <v/>
      </c>
      <c r="F81" s="1339"/>
      <c r="G81" s="1339"/>
      <c r="H81" s="1339" t="str">
        <f>IF(H$73="","",'Drift Test'!H14)</f>
        <v/>
      </c>
      <c r="I81" s="1339"/>
      <c r="J81" s="1259"/>
      <c r="K81" s="1322"/>
      <c r="L81" s="1321"/>
      <c r="M81" s="1322"/>
      <c r="N81" s="1272"/>
    </row>
    <row r="82" spans="1:16" hidden="1">
      <c r="A82" s="1271" t="s">
        <v>128</v>
      </c>
      <c r="B82" s="1259"/>
      <c r="C82" s="1259"/>
      <c r="D82" s="1259"/>
      <c r="E82" s="1348" t="str">
        <f>IF(E$73="","",'Drift Test'!G15)</f>
        <v/>
      </c>
      <c r="F82" s="1339"/>
      <c r="G82" s="1339"/>
      <c r="H82" s="1348" t="str">
        <f>IF(H$73="","",'Drift Test'!H15)</f>
        <v/>
      </c>
      <c r="I82" s="1339"/>
      <c r="J82" s="1259"/>
      <c r="K82" s="1322"/>
      <c r="L82" s="1321"/>
      <c r="M82" s="1322"/>
      <c r="N82" s="1272"/>
    </row>
    <row r="83" spans="1:16" hidden="1">
      <c r="A83" s="1271" t="s">
        <v>131</v>
      </c>
      <c r="B83" s="1259"/>
      <c r="C83" s="1259"/>
      <c r="D83" s="1259"/>
      <c r="E83" s="1348" t="str">
        <f>IF(E$73="","",'Drift Test'!G16)</f>
        <v/>
      </c>
      <c r="F83" s="1348"/>
      <c r="G83" s="1348"/>
      <c r="H83" s="1348" t="str">
        <f>IF(H$73="","",'Drift Test'!H16)</f>
        <v/>
      </c>
      <c r="I83" s="1348"/>
      <c r="J83" s="1345"/>
      <c r="K83" s="1322"/>
      <c r="L83" s="1349"/>
      <c r="M83" s="1322"/>
      <c r="N83" s="1272"/>
    </row>
    <row r="84" spans="1:16">
      <c r="A84" s="1371" t="s">
        <v>41</v>
      </c>
      <c r="B84" s="1371" t="s">
        <v>41</v>
      </c>
      <c r="C84" s="1371" t="s">
        <v>41</v>
      </c>
      <c r="D84" s="1371" t="s">
        <v>41</v>
      </c>
      <c r="E84" s="1371" t="s">
        <v>41</v>
      </c>
      <c r="F84" s="1371" t="s">
        <v>41</v>
      </c>
      <c r="G84" s="1371" t="s">
        <v>41</v>
      </c>
      <c r="H84" s="1371" t="s">
        <v>41</v>
      </c>
      <c r="I84" s="1371" t="s">
        <v>41</v>
      </c>
      <c r="J84" s="1371" t="s">
        <v>41</v>
      </c>
      <c r="K84" s="1371" t="s">
        <v>41</v>
      </c>
      <c r="L84" s="1325" t="s">
        <v>41</v>
      </c>
      <c r="M84" s="1325" t="s">
        <v>41</v>
      </c>
    </row>
    <row r="85" spans="1:16" ht="12.75" hidden="1" customHeight="1">
      <c r="A85" s="1262" t="s">
        <v>35</v>
      </c>
      <c r="B85" s="1263"/>
      <c r="C85" s="2522" t="str">
        <f>IF(OR(TestReport="All",TestReport="Average only"),"Average","")</f>
        <v>Average</v>
      </c>
      <c r="D85" s="2523" t="str">
        <f>IF(OR(TestReport="Test 2 only",TestReport="Tests 1 &amp; 2"),"Test 2","")</f>
        <v/>
      </c>
      <c r="E85" s="2524" t="str">
        <f>IF(OR(TestReport="Test 2 only",TestReport="Tests 1 &amp; 2"),"Test 2","")</f>
        <v/>
      </c>
      <c r="F85" s="2522" t="str">
        <f>IF(OR(TestReport="Test 2 only",TestReport="Average only"),"",IF(TestReport="Test 1 only","Results","Test 1"))</f>
        <v>Test 1</v>
      </c>
      <c r="G85" s="2523" t="str">
        <f>IF(OR(TestReport="Test 1 only",TestReport="Tests 1 &amp; 2"),"Test 1","")</f>
        <v/>
      </c>
      <c r="H85" s="2524" t="str">
        <f>IF(OR(TestReport="Test 1 only",TestReport="Tests 1 &amp; 2"),"Test 1","")</f>
        <v/>
      </c>
      <c r="I85" s="2522" t="str">
        <f>IF(OR(TestReport="Test 1 only",TestReport="Average only"),"",IF(TestReport="Test 2 only","Results","Test 2"))</f>
        <v>Test 2</v>
      </c>
      <c r="J85" s="2523" t="str">
        <f>IF(OR(TestReport="Test 1 only",TestReport="Tests 1 &amp; 2"),"Test 1","")</f>
        <v/>
      </c>
      <c r="K85" s="2524" t="str">
        <f>IF(OR(TestReport="Test 1 only",TestReport="Tests 1 &amp; 2"),"Test 1","")</f>
        <v/>
      </c>
      <c r="L85" s="2519" t="s">
        <v>62</v>
      </c>
      <c r="M85" s="2520"/>
      <c r="N85" s="1272"/>
      <c r="O85" s="2521" t="s">
        <v>369</v>
      </c>
      <c r="P85" s="2521"/>
    </row>
    <row r="86" spans="1:16" s="1416" customFormat="1" ht="18.75" hidden="1" customHeight="1">
      <c r="A86" s="1412"/>
      <c r="B86" s="1418" t="s">
        <v>98</v>
      </c>
      <c r="C86" s="1414"/>
      <c r="D86" s="1419"/>
      <c r="E86" s="1415"/>
      <c r="F86" s="2514" t="str">
        <f>IF(F$85="","",(IF(COUNT('PM &amp; Metals'!C$13:E$13,'PM &amp; Metals'!C$22:H$57)&gt;0,'Flows &amp; Isokinetics'!J$9&amp;"-"&amp;'Flows &amp; Isokinetics'!J$10,"")&amp;IF(COUNT('PM &amp; Metals'!C$15:E$15)&gt;0,"   "&amp;'PM10 &amp; 2.5'!G$7&amp;"-"&amp;'PM10 &amp; 2.5'!G$8&amp;" ("&amp;PMtest3&amp;")","")))</f>
        <v/>
      </c>
      <c r="G86" s="2515"/>
      <c r="H86" s="2516"/>
      <c r="I86" s="2514" t="str">
        <f>IF(I$85="","",(IF(COUNT('PM &amp; Metals'!C$66:E$66,'PM &amp; Metals'!C$75:H$110)&gt;0,'Flows &amp; Isokinetics'!K$9&amp;"-"&amp;'Flows &amp; Isokinetics'!K$10,"")&amp;IF(COUNT('PM &amp; Metals'!C$68:E$68)&gt;0,"   "&amp;'PM10 &amp; 2.5'!H$7&amp;"-"&amp;'PM10 &amp; 2.5'!H$8&amp;" ("&amp;PMtest4&amp;")","")))</f>
        <v/>
      </c>
      <c r="J86" s="2515"/>
      <c r="K86" s="2516"/>
      <c r="L86" s="1414"/>
      <c r="M86" s="1415"/>
      <c r="N86" s="1420"/>
    </row>
    <row r="87" spans="1:16" ht="21" hidden="1" customHeight="1">
      <c r="A87" s="1290"/>
      <c r="B87" s="1317"/>
      <c r="C87" s="1316" t="str">
        <f>IF(C85="","","Concentration")</f>
        <v>Concentration</v>
      </c>
      <c r="D87" s="1411" t="str">
        <f>IF(C85="","",O2CO2)</f>
        <v/>
      </c>
      <c r="E87" s="1318" t="str">
        <f>IF(C85="","","Mass Rate")</f>
        <v>Mass Rate</v>
      </c>
      <c r="F87" s="1316" t="str">
        <f>IF(F85="","","Concentration")</f>
        <v>Concentration</v>
      </c>
      <c r="G87" s="1411" t="str">
        <f>IF(F85="","",O2CO2)</f>
        <v/>
      </c>
      <c r="H87" s="1318" t="str">
        <f>IF(F85="","","Mass Rate")</f>
        <v>Mass Rate</v>
      </c>
      <c r="I87" s="1316" t="str">
        <f>IF(I85="","","Concentration")</f>
        <v>Concentration</v>
      </c>
      <c r="J87" s="1411" t="str">
        <f>IF(I85="","",O2CO2)</f>
        <v/>
      </c>
      <c r="K87" s="1318" t="str">
        <f>IF(I85="","","Mass Rate")</f>
        <v>Mass Rate</v>
      </c>
      <c r="L87" s="1316"/>
      <c r="M87" s="1318"/>
      <c r="N87" s="1272"/>
      <c r="O87" s="1291" t="s">
        <v>367</v>
      </c>
      <c r="P87" s="1291" t="s">
        <v>368</v>
      </c>
    </row>
    <row r="88" spans="1:16" hidden="1">
      <c r="A88" s="1292"/>
      <c r="B88" s="1293"/>
      <c r="C88" s="1313" t="str">
        <f>IF(C85="","",CU)</f>
        <v>mg/m³</v>
      </c>
      <c r="D88" s="1314" t="str">
        <f>IF(C85="","",CU)</f>
        <v>mg/m³</v>
      </c>
      <c r="E88" s="1315" t="str">
        <f>IF(C85="","",MRU)</f>
        <v>g/min</v>
      </c>
      <c r="F88" s="1313" t="str">
        <f>IF(F85="","",CU)</f>
        <v>mg/m³</v>
      </c>
      <c r="G88" s="1314" t="str">
        <f>IF(F85="","",CU)</f>
        <v>mg/m³</v>
      </c>
      <c r="H88" s="1315" t="str">
        <f>IF(F85="","",MRU)</f>
        <v>g/min</v>
      </c>
      <c r="I88" s="1313" t="str">
        <f>IF(I85="","",CU)</f>
        <v>mg/m³</v>
      </c>
      <c r="J88" s="1314" t="str">
        <f>IF(I85="","",CU)</f>
        <v>mg/m³</v>
      </c>
      <c r="K88" s="1315" t="str">
        <f>IF(I85="","",MRU)</f>
        <v>g/min</v>
      </c>
      <c r="L88" s="1313" t="str">
        <f>CU</f>
        <v>mg/m³</v>
      </c>
      <c r="M88" s="1315" t="str">
        <f>MRU</f>
        <v>g/min</v>
      </c>
      <c r="N88" s="1272"/>
      <c r="O88" s="1291" t="str">
        <f>CU</f>
        <v>mg/m³</v>
      </c>
      <c r="P88" s="1291" t="str">
        <f>MRU</f>
        <v>g/min</v>
      </c>
    </row>
    <row r="89" spans="1:16" hidden="1">
      <c r="A89" s="1267" t="str">
        <f>IF('Results Entry'!F124="","","Total particulate matter")</f>
        <v/>
      </c>
      <c r="B89" s="1259"/>
      <c r="C89" s="1321" t="str">
        <f>IF($C$85="","",('Results Entry'!$AA126&amp;signum2('Results Entry'!AB126,SigFig1,SigFig2,'Results Entry'!$AA126)))</f>
        <v/>
      </c>
      <c r="D89" s="1273" t="str">
        <f>IF($C$85="","",('Results Entry'!$AA126&amp;signum2('Results Entry'!AC126,SigFig1,SigFig2,'Results Entry'!$AA126)))</f>
        <v/>
      </c>
      <c r="E89" s="1322" t="str">
        <f>IF($C$85="","",('Results Entry'!$AH126&amp;signum2('Results Entry'!AI126,SigFig1,SigFig2,'Results Entry'!$AH126)))</f>
        <v/>
      </c>
      <c r="F89" s="1321" t="str">
        <f>IF($F$85="","",('Results Entry'!$U126&amp;signum2('Results Entry'!V126,SigFig1,SigFig2,'Results Entry'!$U126)))</f>
        <v/>
      </c>
      <c r="G89" s="1273" t="str">
        <f>IF($F$85="","",('Results Entry'!$U126&amp;signum2('Results Entry'!W126,SigFig1,SigFig2,'Results Entry'!$U126)))</f>
        <v/>
      </c>
      <c r="H89" s="1322" t="str">
        <f>IF($C$85="","",('Results Entry'!AD126&amp;signum2('Results Entry'!AE126,SigFig1,SigFig2,'Results Entry'!AD126)))</f>
        <v/>
      </c>
      <c r="I89" s="1321" t="str">
        <f>IF($I$85="","",('Results Entry'!$X126&amp;signum2('Results Entry'!Y126,SigFig1,SigFig2,'Results Entry'!$X126)))</f>
        <v/>
      </c>
      <c r="J89" s="1273" t="str">
        <f>IF($I$85="","",('Results Entry'!$X126&amp;signum2('Results Entry'!Z126,SigFig1,SigFig2,'Results Entry'!$X126)))</f>
        <v/>
      </c>
      <c r="K89" s="1322" t="str">
        <f>IF($C$85="","",('Results Entry'!AF126&amp;signum2('Results Entry'!AG126,SigFig1,SigFig2,'Results Entry'!$AF126)))</f>
        <v/>
      </c>
      <c r="L89" s="1321"/>
      <c r="M89" s="1322"/>
      <c r="N89" s="1272"/>
      <c r="O89" s="1319">
        <f>MAX(IF(ISERROR(VALUE($C89)),0,VALUE($C89)),IF(ISERROR(VALUE($F89)),0,VALUE($F89)),IF(ISERROR(VALUE($I89)),0,VALUE($I89)))</f>
        <v>0</v>
      </c>
      <c r="P89" s="1319">
        <f>MAX(IF(ISERROR(VALUE($E89)),0,VALUE($E89)),IF(ISERROR(VALUE($H89)),0,VALUE($H89)),IF(ISERROR(VALUE($K89)),0,VALUE($K89)))</f>
        <v>0</v>
      </c>
    </row>
    <row r="90" spans="1:16" hidden="1">
      <c r="A90" s="1267" t="str">
        <f>IF('Results Entry'!G127="","","Total particulate matter")</f>
        <v/>
      </c>
      <c r="B90" s="1259"/>
      <c r="C90" s="2330" t="str">
        <f>IF($C$85="","",('Results Entry'!$AA127&amp;signum2('Results Entry'!AB127,SigFig1,SigFig2,'Results Entry'!$AA127)))</f>
        <v/>
      </c>
      <c r="D90" s="2328" t="str">
        <f>IF($C$85="","",('Results Entry'!$AA127&amp;signum2('Results Entry'!AC127,SigFig1,SigFig2,'Results Entry'!$AA127)))</f>
        <v/>
      </c>
      <c r="E90" s="2329" t="str">
        <f>IF($C$85="","",('Results Entry'!$AH127&amp;signum2('Results Entry'!AI127,SigFig1,SigFig2,'Results Entry'!$AH127)))</f>
        <v/>
      </c>
      <c r="F90" s="2330" t="str">
        <f>IF($F$85="","",('Results Entry'!$U127&amp;signum2('Results Entry'!$V127,SigFig1,SigFig2,'Results Entry'!$U127)))</f>
        <v/>
      </c>
      <c r="G90" s="2328" t="str">
        <f>IF($F$85="","",('Results Entry'!$U127&amp;signum2('Results Entry'!W127,SigFig1,SigFig2,'Results Entry'!$U127)))</f>
        <v/>
      </c>
      <c r="H90" s="2329" t="str">
        <f>IF($C$85="","",('Results Entry'!AD127&amp;signum2('Results Entry'!AE127,SigFig1,SigFig2,'Results Entry'!AD127)))</f>
        <v/>
      </c>
      <c r="I90" s="1321" t="str">
        <f>IF($I$85="","",('Results Entry'!$X127&amp;signum2('Results Entry'!Y127,SigFig1,SigFig2,'Results Entry'!$X127)))</f>
        <v/>
      </c>
      <c r="J90" s="1273" t="str">
        <f>IF($I$85="","",('Results Entry'!$X127&amp;signum2('Results Entry'!Z127,SigFig1,SigFig2,'Results Entry'!$X127)))</f>
        <v/>
      </c>
      <c r="K90" s="2329" t="str">
        <f>IF($C$85="","",('Results Entry'!AF127&amp;signum2('Results Entry'!AG127,SigFig1,SigFig2,'Results Entry'!$AF127)))</f>
        <v/>
      </c>
      <c r="L90" s="1321"/>
      <c r="M90" s="1322"/>
      <c r="N90" s="1272"/>
      <c r="O90" s="1319">
        <f>MAX(IF(ISERROR(VALUE($C90)),0,VALUE($C90)),IF(ISERROR(VALUE($F90)),0,VALUE($F90)),IF(ISERROR(VALUE($I90)),0,VALUE($I90)))</f>
        <v>0</v>
      </c>
      <c r="P90" s="1319">
        <f>MAX(IF(ISERROR(VALUE($E90)),0,VALUE($E90)),IF(ISERROR(VALUE($H90)),0,VALUE($H90)),IF(ISERROR(VALUE($K90)),0,VALUE($K90)))</f>
        <v>0</v>
      </c>
    </row>
    <row r="91" spans="1:16" hidden="1">
      <c r="A91" s="1267" t="str">
        <f>IF('Results Entry'!G128="","","PM10")</f>
        <v/>
      </c>
      <c r="B91" s="1833" t="str">
        <f>IF(A91="","",IF(PSACheck=TRUE,"(PSA)*",""))</f>
        <v/>
      </c>
      <c r="C91" s="2330" t="str">
        <f>IF($C$85="","",('Results Entry'!$AA128&amp;signum2('Results Entry'!AB128,SigFig1,SigFig2,'Results Entry'!$AA128)))</f>
        <v/>
      </c>
      <c r="D91" s="2328" t="str">
        <f>IF($C$85="","",('Results Entry'!$AA128&amp;signum2('Results Entry'!AC128,SigFig1,SigFig2,'Results Entry'!$AA128)))</f>
        <v/>
      </c>
      <c r="E91" s="2329" t="str">
        <f>IF($C$85="","",('Results Entry'!$AH128&amp;signum2('Results Entry'!AI128,SigFig1,SigFig2,'Results Entry'!$AH128)))</f>
        <v/>
      </c>
      <c r="F91" s="2330" t="str">
        <f>IF($F$85="","",('Results Entry'!$U128&amp;signum2('Results Entry'!$V128,SigFig1,SigFig2,'Results Entry'!$U128)))</f>
        <v/>
      </c>
      <c r="G91" s="2328" t="str">
        <f>IF($F$85="","",('Results Entry'!$U128&amp;signum2('Results Entry'!W128,SigFig1,SigFig2,'Results Entry'!$U128)))</f>
        <v/>
      </c>
      <c r="H91" s="2329" t="str">
        <f>IF($C$85="","",('Results Entry'!AD128&amp;signum2('Results Entry'!AE128,SigFig1,SigFig2,'Results Entry'!AD128)))</f>
        <v/>
      </c>
      <c r="I91" s="1321" t="str">
        <f>IF($I$85="","",('Results Entry'!$X128&amp;signum2('Results Entry'!Y128,SigFig1,SigFig2,'Results Entry'!$X128)))</f>
        <v/>
      </c>
      <c r="J91" s="1273" t="str">
        <f>IF($I$85="","",('Results Entry'!$X128&amp;signum2('Results Entry'!Z128,SigFig1,SigFig2,'Results Entry'!$X128)))</f>
        <v/>
      </c>
      <c r="K91" s="2329" t="str">
        <f>IF($C$85="","",('Results Entry'!AF128&amp;signum2('Results Entry'!AG128,SigFig1,SigFig2,'Results Entry'!$AF128)))</f>
        <v/>
      </c>
      <c r="L91" s="1321"/>
      <c r="M91" s="1322"/>
      <c r="N91" s="1272"/>
      <c r="O91" s="1319">
        <f>MAX(IF(ISERROR(VALUE($C91)),0,VALUE($C91)),IF(ISERROR(VALUE($F91)),0,VALUE($F91)),IF(ISERROR(VALUE($I91)),0,VALUE($I91)))</f>
        <v>0</v>
      </c>
      <c r="P91" s="1319">
        <f>MAX(IF(ISERROR(VALUE($E91)),0,VALUE($E91)),IF(ISERROR(VALUE($H91)),0,VALUE($H91)),IF(ISERROR(VALUE($K91)),0,VALUE($K91)))</f>
        <v>0</v>
      </c>
    </row>
    <row r="92" spans="1:16" hidden="1">
      <c r="A92" s="1267" t="str">
        <f>IF('Results Entry'!G129="","","PM2.5")</f>
        <v/>
      </c>
      <c r="B92" s="1833" t="str">
        <f>IF(A92="","",IF(PSACheck=TRUE,"(PSA)*",""))</f>
        <v/>
      </c>
      <c r="C92" s="2330" t="str">
        <f>IF($C$85="","",('Results Entry'!$AA129&amp;signum2('Results Entry'!AB129,SigFig1,SigFig2,'Results Entry'!$AA129)))</f>
        <v/>
      </c>
      <c r="D92" s="2328" t="str">
        <f>IF($C$85="","",('Results Entry'!$AA129&amp;signum2('Results Entry'!AC129,SigFig1,SigFig2,'Results Entry'!$AA129)))</f>
        <v/>
      </c>
      <c r="E92" s="2329" t="str">
        <f>IF($C$85="","",('Results Entry'!$AH129&amp;signum2('Results Entry'!AI129,SigFig1,SigFig2,'Results Entry'!$AH129)))</f>
        <v/>
      </c>
      <c r="F92" s="2330" t="str">
        <f>IF($F$85="","",('Results Entry'!$U129&amp;signum2('Results Entry'!$V129,SigFig1,SigFig2,'Results Entry'!$U129)))</f>
        <v/>
      </c>
      <c r="G92" s="2328" t="str">
        <f>IF($F$85="","",('Results Entry'!$U129&amp;signum2('Results Entry'!W129,SigFig1,SigFig2,'Results Entry'!$U129)))</f>
        <v/>
      </c>
      <c r="H92" s="2329" t="str">
        <f>IF($C$85="","",('Results Entry'!AD129&amp;signum2('Results Entry'!AE129,SigFig1,SigFig2,'Results Entry'!AD129)))</f>
        <v/>
      </c>
      <c r="I92" s="1321" t="str">
        <f>IF($I$85="","",('Results Entry'!$X129&amp;signum2('Results Entry'!Y129,SigFig1,SigFig2,'Results Entry'!$X129)))</f>
        <v/>
      </c>
      <c r="J92" s="1273" t="str">
        <f>IF($I$85="","",('Results Entry'!$X129&amp;signum2('Results Entry'!Z129,SigFig1,SigFig2,'Results Entry'!$X129)))</f>
        <v/>
      </c>
      <c r="K92" s="2329" t="str">
        <f>IF($C$85="","",('Results Entry'!AF129&amp;signum2('Results Entry'!AG129,SigFig1,SigFig2,'Results Entry'!$AF129)))</f>
        <v/>
      </c>
      <c r="L92" s="1321"/>
      <c r="M92" s="1322"/>
      <c r="N92" s="1272"/>
      <c r="O92" s="1319">
        <f t="shared" ref="O92:O129" si="0">MAX(IF(ISERROR(VALUE($C92)),0,VALUE($C92)),IF(ISERROR(VALUE($F92)),0,VALUE($F92)),IF(ISERROR(VALUE($I92)),0,VALUE($I92)))</f>
        <v>0</v>
      </c>
      <c r="P92" s="1319">
        <f t="shared" ref="P92:P129" si="1">MAX(IF(ISERROR(VALUE($E92)),0,VALUE($E92)),IF(ISERROR(VALUE($H92)),0,VALUE($H92)),IF(ISERROR(VALUE($K92)),0,VALUE($K92)))</f>
        <v>0</v>
      </c>
    </row>
    <row r="93" spans="1:16" hidden="1">
      <c r="A93" s="1267" t="str">
        <f>IF(COUNT('Results Entry'!G128,'Results Entry'!I128)&gt;0,"D50 cut size, 10µm","")</f>
        <v/>
      </c>
      <c r="B93" s="1273"/>
      <c r="C93" s="1321"/>
      <c r="D93" s="1273"/>
      <c r="E93" s="1322"/>
      <c r="F93" s="2549" t="str">
        <f>IF(OR(A93="",F85=""),"",'PM10 &amp; 2.5'!N32)</f>
        <v/>
      </c>
      <c r="G93" s="2550"/>
      <c r="H93" s="2551"/>
      <c r="I93" s="2549" t="str">
        <f>IF(OR(A93="",I85=""),"",'PM10 &amp; 2.5'!N98)</f>
        <v/>
      </c>
      <c r="J93" s="2550"/>
      <c r="K93" s="2551"/>
      <c r="L93" s="1321"/>
      <c r="M93" s="1322"/>
      <c r="N93" s="1272"/>
      <c r="O93" s="1319">
        <f t="shared" si="0"/>
        <v>0</v>
      </c>
      <c r="P93" s="1319">
        <f t="shared" si="1"/>
        <v>0</v>
      </c>
    </row>
    <row r="94" spans="1:16" hidden="1">
      <c r="A94" s="1267" t="str">
        <f>IF(COUNT('Results Entry'!G129,'Results Entry'!I129)&gt;0,"D50 cut size, 2.5µm","")</f>
        <v/>
      </c>
      <c r="B94" s="1273"/>
      <c r="C94" s="1321"/>
      <c r="D94" s="1273"/>
      <c r="E94" s="1322"/>
      <c r="F94" s="2567" t="str">
        <f>IF(OR(A94="",F87=""),"",'PM10 &amp; 2.5'!N33)</f>
        <v/>
      </c>
      <c r="G94" s="2568"/>
      <c r="H94" s="2569"/>
      <c r="I94" s="2567" t="str">
        <f>IF(OR(A94="",I87=""),"",'PM10 &amp; 2.5'!N99)</f>
        <v/>
      </c>
      <c r="J94" s="2568"/>
      <c r="K94" s="2569"/>
      <c r="L94" s="1321"/>
      <c r="M94" s="1322"/>
      <c r="N94" s="1272"/>
      <c r="O94" s="1319">
        <f t="shared" si="0"/>
        <v>0</v>
      </c>
      <c r="P94" s="1319">
        <f t="shared" si="1"/>
        <v>0</v>
      </c>
    </row>
    <row r="95" spans="1:16" hidden="1">
      <c r="A95" s="1267" t="str">
        <f>IF('Results Entry'!B138=0,"",'Results Entry'!B138)</f>
        <v/>
      </c>
      <c r="B95" s="1273"/>
      <c r="C95" s="1321" t="str">
        <f>IF($C$85="","",('Results Entry'!$Z138&amp;signum2('Results Entry'!AA138,SigFig1,SigFig2,'Results Entry'!$Z138)))</f>
        <v/>
      </c>
      <c r="D95" s="1273" t="str">
        <f>IF($C$85="","",('Results Entry'!$Z138&amp;signum2('Results Entry'!AB138,SigFig1,SigFig2,'Results Entry'!$Z138)))</f>
        <v/>
      </c>
      <c r="E95" s="1322" t="str">
        <f>IF($C$85="","",('Results Entry'!AC138&amp;signum2('Results Entry'!AD138,SigFig1,SigFig2,'Results Entry'!AC138)))</f>
        <v/>
      </c>
      <c r="F95" s="1321" t="str">
        <f>IF(F$85="","",('Results Entry'!$U138&amp;signum2('Results Entry'!$V138,SigFig1,SigFig2,'Results Entry'!$U138)))</f>
        <v/>
      </c>
      <c r="G95" s="1273" t="str">
        <f>IF(F$85="","",('Results Entry'!$U138&amp;signum2('Results Entry'!$W138,SigFig1,SigFig2,'Results Entry'!$U138)))</f>
        <v/>
      </c>
      <c r="H95" s="1322" t="str">
        <f>IF(F$85="","",('Results Entry'!$X138&amp;signum2('Results Entry'!$Y138,SigFig1,SigFig2,'Results Entry'!$X138)))</f>
        <v/>
      </c>
      <c r="I95" s="2330" t="str">
        <f>IF(I$85="","",('Results Entry'!$U185&amp;signum2('Results Entry'!$V185,SigFig1,SigFig2,'Results Entry'!$U185)))</f>
        <v/>
      </c>
      <c r="J95" s="2328" t="str">
        <f>IF(I$85="","",('Results Entry'!$U185&amp;signum2('Results Entry'!$W185,SigFig1,SigFig2,'Results Entry'!$U185)))</f>
        <v/>
      </c>
      <c r="K95" s="2329" t="str">
        <f>IF(I$85="","",('Results Entry'!$X185&amp;signum2('Results Entry'!$Y185,SigFig1,SigFig2,'Results Entry'!$X185)))</f>
        <v/>
      </c>
      <c r="L95" s="1321"/>
      <c r="M95" s="1322"/>
      <c r="N95" s="1272"/>
      <c r="O95" s="1319">
        <f t="shared" si="0"/>
        <v>0</v>
      </c>
      <c r="P95" s="1319">
        <f t="shared" si="1"/>
        <v>0</v>
      </c>
    </row>
    <row r="96" spans="1:16" hidden="1">
      <c r="A96" s="1267" t="str">
        <f>IF('Results Entry'!B139=0,"",'Results Entry'!B139)</f>
        <v/>
      </c>
      <c r="B96" s="1273"/>
      <c r="C96" s="1321" t="str">
        <f>IF($C$85="","",('Results Entry'!$Z139&amp;signum2('Results Entry'!AA139,SigFig1,SigFig2,'Results Entry'!$Z139)))</f>
        <v/>
      </c>
      <c r="D96" s="1273" t="str">
        <f>IF($C$85="","",('Results Entry'!$Z139&amp;signum2('Results Entry'!AB139,SigFig1,SigFig2,'Results Entry'!$Z139)))</f>
        <v/>
      </c>
      <c r="E96" s="1322" t="str">
        <f>IF($C$85="","",('Results Entry'!AC139&amp;signum2('Results Entry'!AD139,SigFig1,SigFig2,'Results Entry'!AC139)))</f>
        <v/>
      </c>
      <c r="F96" s="2330" t="str">
        <f>IF(F$85="","",('Results Entry'!$U139&amp;signum2('Results Entry'!V139,SigFig1,SigFig2,'Results Entry'!$U139)))</f>
        <v/>
      </c>
      <c r="G96" s="2328" t="str">
        <f>IF(F$85="","",('Results Entry'!$U139&amp;signum2('Results Entry'!W139,SigFig1,SigFig2,'Results Entry'!$U139)))</f>
        <v/>
      </c>
      <c r="H96" s="1322" t="str">
        <f>IF(F$85="","",('Results Entry'!X139&amp;signum2('Results Entry'!Y139,SigFig1,SigFig2,'Results Entry'!X139)))</f>
        <v/>
      </c>
      <c r="I96" s="1321" t="str">
        <f>IF(I$85="","",('Results Entry'!$U186&amp;signum2('Results Entry'!$V186,SigFig1,SigFig2,'Results Entry'!$U186)))</f>
        <v/>
      </c>
      <c r="J96" s="1273" t="str">
        <f>IF(I$85="","",('Results Entry'!$U186&amp;signum2('Results Entry'!$W186,SigFig1,SigFig2,'Results Entry'!$U186)))</f>
        <v/>
      </c>
      <c r="K96" s="1322" t="str">
        <f>IF(I$85="","",('Results Entry'!$X186&amp;signum2('Results Entry'!$Y186,SigFig1,SigFig2,'Results Entry'!$X186)))</f>
        <v/>
      </c>
      <c r="L96" s="1321"/>
      <c r="M96" s="1322"/>
      <c r="N96" s="1272"/>
      <c r="O96" s="1319">
        <f t="shared" si="0"/>
        <v>0</v>
      </c>
      <c r="P96" s="1319">
        <f t="shared" si="1"/>
        <v>0</v>
      </c>
    </row>
    <row r="97" spans="1:16" hidden="1">
      <c r="A97" s="1267" t="str">
        <f>IF('Results Entry'!B140=0,"",'Results Entry'!B140)</f>
        <v/>
      </c>
      <c r="B97" s="1273"/>
      <c r="C97" s="1321" t="str">
        <f>IF($C$85="","",('Results Entry'!$Z140&amp;signum2('Results Entry'!AA140,SigFig1,SigFig2,'Results Entry'!$Z140)))</f>
        <v/>
      </c>
      <c r="D97" s="1273" t="str">
        <f>IF($C$85="","",('Results Entry'!$Z140&amp;signum2('Results Entry'!AB140,SigFig1,SigFig2,'Results Entry'!$Z140)))</f>
        <v/>
      </c>
      <c r="E97" s="1322" t="str">
        <f>IF($C$85="","",('Results Entry'!AC140&amp;signum2('Results Entry'!AD140,SigFig1,SigFig2,'Results Entry'!AC140)))</f>
        <v/>
      </c>
      <c r="F97" s="2330" t="str">
        <f>IF(F$85="","",('Results Entry'!$U140&amp;signum2('Results Entry'!V140,SigFig1,SigFig2,'Results Entry'!$U140)))</f>
        <v/>
      </c>
      <c r="G97" s="2328" t="str">
        <f>IF(F$85="","",('Results Entry'!$U140&amp;signum2('Results Entry'!W140,SigFig1,SigFig2,'Results Entry'!$U140)))</f>
        <v/>
      </c>
      <c r="H97" s="1322" t="str">
        <f>IF(F$85="","",('Results Entry'!X140&amp;signum2('Results Entry'!Y140,SigFig1,SigFig2,'Results Entry'!X140)))</f>
        <v/>
      </c>
      <c r="I97" s="1321" t="str">
        <f>IF(I$85="","",('Results Entry'!$U187&amp;signum2('Results Entry'!$V187,SigFig1,SigFig2,'Results Entry'!$U187)))</f>
        <v/>
      </c>
      <c r="J97" s="1273" t="str">
        <f>IF(I$85="","",('Results Entry'!$U187&amp;signum2('Results Entry'!$W187,SigFig1,SigFig2,'Results Entry'!$U187)))</f>
        <v/>
      </c>
      <c r="K97" s="1322" t="str">
        <f>IF(I$85="","",('Results Entry'!$X187&amp;signum2('Results Entry'!$Y187,SigFig1,SigFig2,'Results Entry'!$X187)))</f>
        <v/>
      </c>
      <c r="L97" s="1321"/>
      <c r="M97" s="1322"/>
      <c r="N97" s="1272"/>
      <c r="O97" s="1319">
        <f t="shared" si="0"/>
        <v>0</v>
      </c>
      <c r="P97" s="1319">
        <f t="shared" si="1"/>
        <v>0</v>
      </c>
    </row>
    <row r="98" spans="1:16" hidden="1">
      <c r="A98" s="1267" t="str">
        <f>IF('Results Entry'!B141=0,"",'Results Entry'!B141)</f>
        <v/>
      </c>
      <c r="B98" s="1273"/>
      <c r="C98" s="1321" t="str">
        <f>IF($C$85="","",('Results Entry'!$Z141&amp;signum2('Results Entry'!AA141,SigFig1,SigFig2,'Results Entry'!$Z141)))</f>
        <v/>
      </c>
      <c r="D98" s="1273" t="str">
        <f>IF($C$85="","",('Results Entry'!$Z141&amp;signum2('Results Entry'!AB141,SigFig1,SigFig2,'Results Entry'!$Z141)))</f>
        <v/>
      </c>
      <c r="E98" s="1322" t="str">
        <f>IF($C$85="","",('Results Entry'!AC141&amp;signum2('Results Entry'!AD141,SigFig1,SigFig2,'Results Entry'!AC141)))</f>
        <v/>
      </c>
      <c r="F98" s="2330" t="str">
        <f>IF(F$85="","",('Results Entry'!$U141&amp;signum2('Results Entry'!V141,SigFig1,SigFig2,'Results Entry'!$U141)))</f>
        <v/>
      </c>
      <c r="G98" s="2328" t="str">
        <f>IF(F$85="","",('Results Entry'!$U141&amp;signum2('Results Entry'!W141,SigFig1,SigFig2,'Results Entry'!$U141)))</f>
        <v/>
      </c>
      <c r="H98" s="1322" t="str">
        <f>IF(F$85="","",('Results Entry'!X141&amp;signum2('Results Entry'!Y141,SigFig1,SigFig2,'Results Entry'!X141)))</f>
        <v/>
      </c>
      <c r="I98" s="1321" t="str">
        <f>IF(I$85="","",('Results Entry'!$U188&amp;signum2('Results Entry'!$V188,SigFig1,SigFig2,'Results Entry'!$U188)))</f>
        <v/>
      </c>
      <c r="J98" s="1273" t="str">
        <f>IF(I$85="","",('Results Entry'!$U188&amp;signum2('Results Entry'!$W188,SigFig1,SigFig2,'Results Entry'!$U188)))</f>
        <v/>
      </c>
      <c r="K98" s="1322" t="str">
        <f>IF(I$85="","",('Results Entry'!$X188&amp;signum2('Results Entry'!$Y188,SigFig1,SigFig2,'Results Entry'!$X188)))</f>
        <v/>
      </c>
      <c r="L98" s="1321"/>
      <c r="M98" s="1322"/>
      <c r="N98" s="1272"/>
      <c r="O98" s="1319">
        <f t="shared" si="0"/>
        <v>0</v>
      </c>
      <c r="P98" s="1319">
        <f t="shared" si="1"/>
        <v>0</v>
      </c>
    </row>
    <row r="99" spans="1:16" hidden="1">
      <c r="A99" s="1267" t="str">
        <f>IF('Results Entry'!B142=0,"",'Results Entry'!B142)</f>
        <v/>
      </c>
      <c r="B99" s="1273"/>
      <c r="C99" s="1321" t="str">
        <f>IF($C$85="","",('Results Entry'!$Z142&amp;signum2('Results Entry'!AA142,SigFig1,SigFig2,'Results Entry'!$Z142)))</f>
        <v/>
      </c>
      <c r="D99" s="1273" t="str">
        <f>IF($C$85="","",('Results Entry'!$Z142&amp;signum2('Results Entry'!AB142,SigFig1,SigFig2,'Results Entry'!$Z142)))</f>
        <v/>
      </c>
      <c r="E99" s="1322" t="str">
        <f>IF($C$85="","",('Results Entry'!AC142&amp;signum2('Results Entry'!AD142,SigFig1,SigFig2,'Results Entry'!AC142)))</f>
        <v/>
      </c>
      <c r="F99" s="2330" t="str">
        <f>IF(F$85="","",('Results Entry'!$U142&amp;signum2('Results Entry'!V142,SigFig1,SigFig2,'Results Entry'!$U142)))</f>
        <v/>
      </c>
      <c r="G99" s="2328" t="str">
        <f>IF(F$85="","",('Results Entry'!$U142&amp;signum2('Results Entry'!W142,SigFig1,SigFig2,'Results Entry'!$U142)))</f>
        <v/>
      </c>
      <c r="H99" s="1322" t="str">
        <f>IF(F$85="","",('Results Entry'!X142&amp;signum2('Results Entry'!Y142,SigFig1,SigFig2,'Results Entry'!X142)))</f>
        <v/>
      </c>
      <c r="I99" s="1321" t="str">
        <f>IF(I$85="","",('Results Entry'!$U189&amp;signum2('Results Entry'!$V189,SigFig1,SigFig2,'Results Entry'!$U189)))</f>
        <v/>
      </c>
      <c r="J99" s="1273" t="str">
        <f>IF(I$85="","",('Results Entry'!$U189&amp;signum2('Results Entry'!$W189,SigFig1,SigFig2,'Results Entry'!$U189)))</f>
        <v/>
      </c>
      <c r="K99" s="1322" t="str">
        <f>IF(I$85="","",('Results Entry'!$X189&amp;signum2('Results Entry'!$Y189,SigFig1,SigFig2,'Results Entry'!$X189)))</f>
        <v/>
      </c>
      <c r="L99" s="1321"/>
      <c r="M99" s="1322"/>
      <c r="N99" s="1272"/>
      <c r="O99" s="1319">
        <f t="shared" si="0"/>
        <v>0</v>
      </c>
      <c r="P99" s="1319">
        <f t="shared" si="1"/>
        <v>0</v>
      </c>
    </row>
    <row r="100" spans="1:16" hidden="1">
      <c r="A100" s="1267" t="str">
        <f>IF('Results Entry'!B143=0,"",'Results Entry'!B143)</f>
        <v/>
      </c>
      <c r="B100" s="1273"/>
      <c r="C100" s="1321" t="str">
        <f>IF($C$85="","",('Results Entry'!$Z143&amp;signum2('Results Entry'!AA143,SigFig1,SigFig2,'Results Entry'!$Z143)))</f>
        <v/>
      </c>
      <c r="D100" s="1273" t="str">
        <f>IF($C$85="","",('Results Entry'!$Z143&amp;signum2('Results Entry'!AB143,SigFig1,SigFig2,'Results Entry'!$Z143)))</f>
        <v/>
      </c>
      <c r="E100" s="1322" t="str">
        <f>IF($C$85="","",('Results Entry'!AC143&amp;signum2('Results Entry'!AD143,SigFig1,SigFig2,'Results Entry'!AC143)))</f>
        <v/>
      </c>
      <c r="F100" s="2330" t="str">
        <f>IF(F$85="","",('Results Entry'!$U143&amp;signum2('Results Entry'!V143,SigFig1,SigFig2,'Results Entry'!$U143)))</f>
        <v/>
      </c>
      <c r="G100" s="2328" t="str">
        <f>IF(F$85="","",('Results Entry'!$U143&amp;signum2('Results Entry'!W143,SigFig1,SigFig2,'Results Entry'!$U143)))</f>
        <v/>
      </c>
      <c r="H100" s="1322" t="str">
        <f>IF(F$85="","",('Results Entry'!X143&amp;signum2('Results Entry'!Y143,SigFig1,SigFig2,'Results Entry'!X143)))</f>
        <v/>
      </c>
      <c r="I100" s="1321" t="str">
        <f>IF(I$85="","",('Results Entry'!$U190&amp;signum2('Results Entry'!$V190,SigFig1,SigFig2,'Results Entry'!$U190)))</f>
        <v/>
      </c>
      <c r="J100" s="1273" t="str">
        <f>IF(I$85="","",('Results Entry'!$U190&amp;signum2('Results Entry'!$W190,SigFig1,SigFig2,'Results Entry'!$U190)))</f>
        <v/>
      </c>
      <c r="K100" s="1322" t="str">
        <f>IF(I$85="","",('Results Entry'!$X190&amp;signum2('Results Entry'!$Y190,SigFig1,SigFig2,'Results Entry'!$X190)))</f>
        <v/>
      </c>
      <c r="L100" s="1321"/>
      <c r="M100" s="1322"/>
      <c r="N100" s="1272"/>
      <c r="O100" s="1319">
        <f t="shared" si="0"/>
        <v>0</v>
      </c>
      <c r="P100" s="1319">
        <f t="shared" si="1"/>
        <v>0</v>
      </c>
    </row>
    <row r="101" spans="1:16" hidden="1">
      <c r="A101" s="1267" t="str">
        <f>IF('Results Entry'!B144=0,"",'Results Entry'!B144)</f>
        <v/>
      </c>
      <c r="B101" s="1273"/>
      <c r="C101" s="1321" t="str">
        <f>IF($C$85="","",('Results Entry'!$Z144&amp;signum2('Results Entry'!AA144,SigFig1,SigFig2,'Results Entry'!$Z144)))</f>
        <v/>
      </c>
      <c r="D101" s="1273" t="str">
        <f>IF($C$85="","",('Results Entry'!$Z144&amp;signum2('Results Entry'!AB144,SigFig1,SigFig2,'Results Entry'!$Z144)))</f>
        <v/>
      </c>
      <c r="E101" s="1322" t="str">
        <f>IF($C$85="","",('Results Entry'!AC144&amp;signum2('Results Entry'!AD144,SigFig1,SigFig2,'Results Entry'!AC144)))</f>
        <v/>
      </c>
      <c r="F101" s="2330" t="str">
        <f>IF(F$85="","",('Results Entry'!$U144&amp;signum2('Results Entry'!V144,SigFig1,SigFig2,'Results Entry'!$U144)))</f>
        <v/>
      </c>
      <c r="G101" s="2328" t="str">
        <f>IF(F$85="","",('Results Entry'!$U144&amp;signum2('Results Entry'!W144,SigFig1,SigFig2,'Results Entry'!$U144)))</f>
        <v/>
      </c>
      <c r="H101" s="1322" t="str">
        <f>IF(F$85="","",('Results Entry'!X144&amp;signum2('Results Entry'!Y144,SigFig1,SigFig2,'Results Entry'!X144)))</f>
        <v/>
      </c>
      <c r="I101" s="1321" t="str">
        <f>IF(I$85="","",('Results Entry'!$U191&amp;signum2('Results Entry'!$V191,SigFig1,SigFig2,'Results Entry'!$U191)))</f>
        <v/>
      </c>
      <c r="J101" s="1273" t="str">
        <f>IF(I$85="","",('Results Entry'!$U191&amp;signum2('Results Entry'!$W191,SigFig1,SigFig2,'Results Entry'!$U191)))</f>
        <v/>
      </c>
      <c r="K101" s="1322" t="str">
        <f>IF(I$85="","",('Results Entry'!$X191&amp;signum2('Results Entry'!$Y191,SigFig1,SigFig2,'Results Entry'!$X191)))</f>
        <v/>
      </c>
      <c r="L101" s="1321"/>
      <c r="M101" s="1322"/>
      <c r="N101" s="1272"/>
      <c r="O101" s="1319">
        <f t="shared" si="0"/>
        <v>0</v>
      </c>
      <c r="P101" s="1319">
        <f t="shared" si="1"/>
        <v>0</v>
      </c>
    </row>
    <row r="102" spans="1:16" hidden="1">
      <c r="A102" s="1267" t="str">
        <f>IF('Results Entry'!B145=0,"",'Results Entry'!B145)</f>
        <v/>
      </c>
      <c r="B102" s="1273"/>
      <c r="C102" s="1321" t="str">
        <f>IF($C$85="","",('Results Entry'!$Z145&amp;signum2('Results Entry'!AA145,SigFig1,SigFig2,'Results Entry'!$Z145)))</f>
        <v/>
      </c>
      <c r="D102" s="1273" t="str">
        <f>IF($C$85="","",('Results Entry'!$Z145&amp;signum2('Results Entry'!AB145,SigFig1,SigFig2,'Results Entry'!$Z145)))</f>
        <v/>
      </c>
      <c r="E102" s="1322" t="str">
        <f>IF($C$85="","",('Results Entry'!AC145&amp;signum2('Results Entry'!AD145,SigFig1,SigFig2,'Results Entry'!AC145)))</f>
        <v/>
      </c>
      <c r="F102" s="2330" t="str">
        <f>IF(F$85="","",('Results Entry'!$U145&amp;signum2('Results Entry'!V145,SigFig1,SigFig2,'Results Entry'!$U145)))</f>
        <v/>
      </c>
      <c r="G102" s="2328" t="str">
        <f>IF(F$85="","",('Results Entry'!$U145&amp;signum2('Results Entry'!W145,SigFig1,SigFig2,'Results Entry'!$U145)))</f>
        <v/>
      </c>
      <c r="H102" s="1322" t="str">
        <f>IF(F$85="","",('Results Entry'!X145&amp;signum2('Results Entry'!Y145,SigFig1,SigFig2,'Results Entry'!X145)))</f>
        <v/>
      </c>
      <c r="I102" s="1321" t="str">
        <f>IF(I$85="","",('Results Entry'!$U192&amp;signum2('Results Entry'!$V192,SigFig1,SigFig2,'Results Entry'!$U192)))</f>
        <v/>
      </c>
      <c r="J102" s="1273" t="str">
        <f>IF(I$85="","",('Results Entry'!$U192&amp;signum2('Results Entry'!$W192,SigFig1,SigFig2,'Results Entry'!$U192)))</f>
        <v/>
      </c>
      <c r="K102" s="1322" t="str">
        <f>IF(I$85="","",('Results Entry'!$X192&amp;signum2('Results Entry'!$Y192,SigFig1,SigFig2,'Results Entry'!$X192)))</f>
        <v/>
      </c>
      <c r="L102" s="1321"/>
      <c r="M102" s="1322"/>
      <c r="N102" s="1272"/>
      <c r="O102" s="1319">
        <f t="shared" si="0"/>
        <v>0</v>
      </c>
      <c r="P102" s="1319">
        <f t="shared" si="1"/>
        <v>0</v>
      </c>
    </row>
    <row r="103" spans="1:16" hidden="1">
      <c r="A103" s="1267" t="str">
        <f>IF('Results Entry'!B146=0,"",'Results Entry'!B146)</f>
        <v/>
      </c>
      <c r="B103" s="1273"/>
      <c r="C103" s="1321" t="str">
        <f>IF($C$85="","",('Results Entry'!$Z146&amp;signum2('Results Entry'!AA146,SigFig1,SigFig2,'Results Entry'!$Z146)))</f>
        <v/>
      </c>
      <c r="D103" s="1273" t="str">
        <f>IF($C$85="","",('Results Entry'!$Z146&amp;signum2('Results Entry'!AB146,SigFig1,SigFig2,'Results Entry'!$Z146)))</f>
        <v/>
      </c>
      <c r="E103" s="1322" t="str">
        <f>IF($C$85="","",('Results Entry'!AC146&amp;signum2('Results Entry'!AD146,SigFig1,SigFig2,'Results Entry'!AC146)))</f>
        <v/>
      </c>
      <c r="F103" s="2330" t="str">
        <f>IF(F$85="","",('Results Entry'!$U146&amp;signum2('Results Entry'!V146,SigFig1,SigFig2,'Results Entry'!$U146)))</f>
        <v/>
      </c>
      <c r="G103" s="2328" t="str">
        <f>IF(F$85="","",('Results Entry'!$U146&amp;signum2('Results Entry'!W146,SigFig1,SigFig2,'Results Entry'!$U146)))</f>
        <v/>
      </c>
      <c r="H103" s="1322" t="str">
        <f>IF(F$85="","",('Results Entry'!X146&amp;signum2('Results Entry'!Y146,SigFig1,SigFig2,'Results Entry'!X146)))</f>
        <v/>
      </c>
      <c r="I103" s="1321" t="str">
        <f>IF(I$85="","",('Results Entry'!$U193&amp;signum2('Results Entry'!$V193,SigFig1,SigFig2,'Results Entry'!$U193)))</f>
        <v/>
      </c>
      <c r="J103" s="1273" t="str">
        <f>IF(I$85="","",('Results Entry'!$U193&amp;signum2('Results Entry'!$W193,SigFig1,SigFig2,'Results Entry'!$U193)))</f>
        <v/>
      </c>
      <c r="K103" s="1322" t="str">
        <f>IF(I$85="","",('Results Entry'!$X193&amp;signum2('Results Entry'!$Y193,SigFig1,SigFig2,'Results Entry'!$X193)))</f>
        <v/>
      </c>
      <c r="L103" s="1321"/>
      <c r="M103" s="1322"/>
      <c r="N103" s="1272"/>
      <c r="O103" s="1319">
        <f t="shared" si="0"/>
        <v>0</v>
      </c>
      <c r="P103" s="1319">
        <f t="shared" si="1"/>
        <v>0</v>
      </c>
    </row>
    <row r="104" spans="1:16" hidden="1">
      <c r="A104" s="1267" t="str">
        <f>IF('Results Entry'!B147=0,"",'Results Entry'!B147)</f>
        <v/>
      </c>
      <c r="B104" s="1273"/>
      <c r="C104" s="1321" t="str">
        <f>IF($C$85="","",('Results Entry'!$Z147&amp;signum2('Results Entry'!AA147,SigFig1,SigFig2,'Results Entry'!$Z147)))</f>
        <v/>
      </c>
      <c r="D104" s="1273" t="str">
        <f>IF($C$85="","",('Results Entry'!$Z147&amp;signum2('Results Entry'!AB147,SigFig1,SigFig2,'Results Entry'!$Z147)))</f>
        <v/>
      </c>
      <c r="E104" s="1322" t="str">
        <f>IF($C$85="","",('Results Entry'!AC147&amp;signum2('Results Entry'!AD147,SigFig1,SigFig2,'Results Entry'!AC147)))</f>
        <v/>
      </c>
      <c r="F104" s="2330" t="str">
        <f>IF(F$85="","",('Results Entry'!$U147&amp;signum2('Results Entry'!V147,SigFig1,SigFig2,'Results Entry'!$U147)))</f>
        <v/>
      </c>
      <c r="G104" s="2328" t="str">
        <f>IF(F$85="","",('Results Entry'!$U147&amp;signum2('Results Entry'!W147,SigFig1,SigFig2,'Results Entry'!$U147)))</f>
        <v/>
      </c>
      <c r="H104" s="1322" t="str">
        <f>IF(F$85="","",('Results Entry'!X147&amp;signum2('Results Entry'!Y147,SigFig1,SigFig2,'Results Entry'!X147)))</f>
        <v/>
      </c>
      <c r="I104" s="1321" t="str">
        <f>IF(I$85="","",('Results Entry'!$U194&amp;signum2('Results Entry'!$V194,SigFig1,SigFig2,'Results Entry'!$U194)))</f>
        <v/>
      </c>
      <c r="J104" s="1273" t="str">
        <f>IF(I$85="","",('Results Entry'!$U194&amp;signum2('Results Entry'!$W194,SigFig1,SigFig2,'Results Entry'!$U194)))</f>
        <v/>
      </c>
      <c r="K104" s="1322" t="str">
        <f>IF(I$85="","",('Results Entry'!$X194&amp;signum2('Results Entry'!$Y194,SigFig1,SigFig2,'Results Entry'!$X194)))</f>
        <v/>
      </c>
      <c r="L104" s="1321"/>
      <c r="M104" s="1322"/>
      <c r="N104" s="1272"/>
      <c r="O104" s="1319">
        <f t="shared" si="0"/>
        <v>0</v>
      </c>
      <c r="P104" s="1319">
        <f t="shared" si="1"/>
        <v>0</v>
      </c>
    </row>
    <row r="105" spans="1:16" hidden="1">
      <c r="A105" s="1267" t="str">
        <f>IF('Results Entry'!B148=0,"",'Results Entry'!B148)</f>
        <v/>
      </c>
      <c r="B105" s="1273"/>
      <c r="C105" s="1321" t="str">
        <f>IF($C$85="","",('Results Entry'!$Z148&amp;signum2('Results Entry'!AA148,SigFig1,SigFig2,'Results Entry'!$Z148)))</f>
        <v/>
      </c>
      <c r="D105" s="1273" t="str">
        <f>IF($C$85="","",('Results Entry'!$Z148&amp;signum2('Results Entry'!AB148,SigFig1,SigFig2,'Results Entry'!$Z148)))</f>
        <v/>
      </c>
      <c r="E105" s="1322" t="str">
        <f>IF($C$85="","",('Results Entry'!AC148&amp;signum2('Results Entry'!AD148,SigFig1,SigFig2,'Results Entry'!AC148)))</f>
        <v/>
      </c>
      <c r="F105" s="2330" t="str">
        <f>IF(F$85="","",('Results Entry'!$U148&amp;signum2('Results Entry'!V148,SigFig1,SigFig2,'Results Entry'!$U148)))</f>
        <v/>
      </c>
      <c r="G105" s="2328" t="str">
        <f>IF(F$85="","",('Results Entry'!$U148&amp;signum2('Results Entry'!W148,SigFig1,SigFig2,'Results Entry'!$U148)))</f>
        <v/>
      </c>
      <c r="H105" s="1322" t="str">
        <f>IF(F$85="","",('Results Entry'!X148&amp;signum2('Results Entry'!Y148,SigFig1,SigFig2,'Results Entry'!X148)))</f>
        <v/>
      </c>
      <c r="I105" s="1321" t="str">
        <f>IF(I$85="","",('Results Entry'!$U195&amp;signum2('Results Entry'!$V195,SigFig1,SigFig2,'Results Entry'!$U195)))</f>
        <v/>
      </c>
      <c r="J105" s="1273" t="str">
        <f>IF(I$85="","",('Results Entry'!$U195&amp;signum2('Results Entry'!$W195,SigFig1,SigFig2,'Results Entry'!$U195)))</f>
        <v/>
      </c>
      <c r="K105" s="1322" t="str">
        <f>IF(I$85="","",('Results Entry'!$X195&amp;signum2('Results Entry'!$Y195,SigFig1,SigFig2,'Results Entry'!$X195)))</f>
        <v/>
      </c>
      <c r="L105" s="1321"/>
      <c r="M105" s="1322"/>
      <c r="N105" s="1272"/>
      <c r="O105" s="1319">
        <f t="shared" si="0"/>
        <v>0</v>
      </c>
      <c r="P105" s="1319">
        <f t="shared" si="1"/>
        <v>0</v>
      </c>
    </row>
    <row r="106" spans="1:16" hidden="1">
      <c r="A106" s="1267" t="str">
        <f>IF('Results Entry'!B149=0,"",'Results Entry'!B149)</f>
        <v/>
      </c>
      <c r="B106" s="1273"/>
      <c r="C106" s="1321" t="str">
        <f>IF($C$85="","",('Results Entry'!$Z149&amp;signum2('Results Entry'!AA149,SigFig1,SigFig2,'Results Entry'!$Z149)))</f>
        <v/>
      </c>
      <c r="D106" s="1273" t="str">
        <f>IF($C$85="","",('Results Entry'!$Z149&amp;signum2('Results Entry'!AB149,SigFig1,SigFig2,'Results Entry'!$Z149)))</f>
        <v/>
      </c>
      <c r="E106" s="1322" t="str">
        <f>IF($C$85="","",('Results Entry'!AC149&amp;signum2('Results Entry'!AD149,SigFig1,SigFig2,'Results Entry'!AC149)))</f>
        <v/>
      </c>
      <c r="F106" s="2330" t="str">
        <f>IF(F$85="","",('Results Entry'!$U149&amp;signum2('Results Entry'!V149,SigFig1,SigFig2,'Results Entry'!$U149)))</f>
        <v/>
      </c>
      <c r="G106" s="2328" t="str">
        <f>IF(F$85="","",('Results Entry'!$U149&amp;signum2('Results Entry'!W149,SigFig1,SigFig2,'Results Entry'!$U149)))</f>
        <v/>
      </c>
      <c r="H106" s="1322" t="str">
        <f>IF(F$85="","",('Results Entry'!X149&amp;signum2('Results Entry'!Y149,SigFig1,SigFig2,'Results Entry'!X149)))</f>
        <v/>
      </c>
      <c r="I106" s="1321" t="str">
        <f>IF(I$85="","",('Results Entry'!$U196&amp;signum2('Results Entry'!$V196,SigFig1,SigFig2,'Results Entry'!$U196)))</f>
        <v/>
      </c>
      <c r="J106" s="1273" t="str">
        <f>IF(I$85="","",('Results Entry'!$U196&amp;signum2('Results Entry'!$W196,SigFig1,SigFig2,'Results Entry'!$U196)))</f>
        <v/>
      </c>
      <c r="K106" s="1322" t="str">
        <f>IF(I$85="","",('Results Entry'!$X196&amp;signum2('Results Entry'!$Y196,SigFig1,SigFig2,'Results Entry'!$X196)))</f>
        <v/>
      </c>
      <c r="L106" s="1321"/>
      <c r="M106" s="1322"/>
      <c r="N106" s="1272"/>
      <c r="O106" s="1319">
        <f t="shared" si="0"/>
        <v>0</v>
      </c>
      <c r="P106" s="1319">
        <f t="shared" si="1"/>
        <v>0</v>
      </c>
    </row>
    <row r="107" spans="1:16" hidden="1">
      <c r="A107" s="1267" t="str">
        <f>IF('Results Entry'!B150=0,"",'Results Entry'!B150)</f>
        <v/>
      </c>
      <c r="B107" s="1273"/>
      <c r="C107" s="1321" t="str">
        <f>IF($C$85="","",('Results Entry'!$Z150&amp;signum2('Results Entry'!AA150,SigFig1,SigFig2,'Results Entry'!$Z150)))</f>
        <v/>
      </c>
      <c r="D107" s="1273" t="str">
        <f>IF($C$85="","",('Results Entry'!$Z150&amp;signum2('Results Entry'!AB150,SigFig1,SigFig2,'Results Entry'!$Z150)))</f>
        <v/>
      </c>
      <c r="E107" s="1322" t="str">
        <f>IF($C$85="","",('Results Entry'!AC150&amp;signum2('Results Entry'!AD150,SigFig1,SigFig2,'Results Entry'!AC150)))</f>
        <v/>
      </c>
      <c r="F107" s="2330" t="str">
        <f>IF(F$85="","",('Results Entry'!$U150&amp;signum2('Results Entry'!V150,SigFig1,SigFig2,'Results Entry'!$U150)))</f>
        <v/>
      </c>
      <c r="G107" s="2328" t="str">
        <f>IF(F$85="","",('Results Entry'!$U150&amp;signum2('Results Entry'!W150,SigFig1,SigFig2,'Results Entry'!$U150)))</f>
        <v/>
      </c>
      <c r="H107" s="1322" t="str">
        <f>IF(F$85="","",('Results Entry'!X150&amp;signum2('Results Entry'!Y150,SigFig1,SigFig2,'Results Entry'!X150)))</f>
        <v/>
      </c>
      <c r="I107" s="1321" t="str">
        <f>IF(I$85="","",('Results Entry'!$U197&amp;signum2('Results Entry'!$V197,SigFig1,SigFig2,'Results Entry'!$U197)))</f>
        <v/>
      </c>
      <c r="J107" s="1273" t="str">
        <f>IF(I$85="","",('Results Entry'!$U197&amp;signum2('Results Entry'!$W197,SigFig1,SigFig2,'Results Entry'!$U197)))</f>
        <v/>
      </c>
      <c r="K107" s="1322" t="str">
        <f>IF(I$85="","",('Results Entry'!$X197&amp;signum2('Results Entry'!$Y197,SigFig1,SigFig2,'Results Entry'!$X197)))</f>
        <v/>
      </c>
      <c r="L107" s="1321"/>
      <c r="M107" s="1322"/>
      <c r="N107" s="1272"/>
      <c r="O107" s="1319">
        <f t="shared" si="0"/>
        <v>0</v>
      </c>
      <c r="P107" s="1319">
        <f t="shared" si="1"/>
        <v>0</v>
      </c>
    </row>
    <row r="108" spans="1:16" hidden="1">
      <c r="A108" s="1267" t="str">
        <f>IF('Results Entry'!B151=0,"",'Results Entry'!B151)</f>
        <v/>
      </c>
      <c r="B108" s="1273"/>
      <c r="C108" s="1321" t="str">
        <f>IF($C$85="","",('Results Entry'!$Z151&amp;signum2('Results Entry'!AA151,SigFig1,SigFig2,'Results Entry'!$Z151)))</f>
        <v/>
      </c>
      <c r="D108" s="1273" t="str">
        <f>IF($C$85="","",('Results Entry'!$Z151&amp;signum2('Results Entry'!AB151,SigFig1,SigFig2,'Results Entry'!$Z151)))</f>
        <v/>
      </c>
      <c r="E108" s="1322" t="str">
        <f>IF($C$85="","",('Results Entry'!AC151&amp;signum2('Results Entry'!AD151,SigFig1,SigFig2,'Results Entry'!AC151)))</f>
        <v/>
      </c>
      <c r="F108" s="2330" t="str">
        <f>IF(F$85="","",('Results Entry'!$U151&amp;signum2('Results Entry'!V151,SigFig1,SigFig2,'Results Entry'!$U151)))</f>
        <v/>
      </c>
      <c r="G108" s="2328" t="str">
        <f>IF(F$85="","",('Results Entry'!$U151&amp;signum2('Results Entry'!W151,SigFig1,SigFig2,'Results Entry'!$U151)))</f>
        <v/>
      </c>
      <c r="H108" s="1322" t="str">
        <f>IF(F$85="","",('Results Entry'!X151&amp;signum2('Results Entry'!Y151,SigFig1,SigFig2,'Results Entry'!X151)))</f>
        <v/>
      </c>
      <c r="I108" s="1321" t="str">
        <f>IF(I$85="","",('Results Entry'!$U198&amp;signum2('Results Entry'!$V198,SigFig1,SigFig2,'Results Entry'!$U198)))</f>
        <v/>
      </c>
      <c r="J108" s="1273" t="str">
        <f>IF(I$85="","",('Results Entry'!$U198&amp;signum2('Results Entry'!$W198,SigFig1,SigFig2,'Results Entry'!$U198)))</f>
        <v/>
      </c>
      <c r="K108" s="1322" t="str">
        <f>IF(I$85="","",('Results Entry'!$X198&amp;signum2('Results Entry'!$Y198,SigFig1,SigFig2,'Results Entry'!$X198)))</f>
        <v/>
      </c>
      <c r="L108" s="1321"/>
      <c r="M108" s="1322"/>
      <c r="N108" s="1272"/>
      <c r="O108" s="1319">
        <f t="shared" si="0"/>
        <v>0</v>
      </c>
      <c r="P108" s="1319">
        <f t="shared" si="1"/>
        <v>0</v>
      </c>
    </row>
    <row r="109" spans="1:16" hidden="1">
      <c r="A109" s="1267" t="str">
        <f>IF('Results Entry'!B152=0,"",'Results Entry'!B152)</f>
        <v/>
      </c>
      <c r="B109" s="1273"/>
      <c r="C109" s="1321" t="str">
        <f>IF($C$85="","",('Results Entry'!$Z152&amp;signum2('Results Entry'!AA152,SigFig1,SigFig2,'Results Entry'!$Z152)))</f>
        <v/>
      </c>
      <c r="D109" s="1273" t="str">
        <f>IF($C$85="","",('Results Entry'!$Z152&amp;signum2('Results Entry'!AB152,SigFig1,SigFig2,'Results Entry'!$Z152)))</f>
        <v/>
      </c>
      <c r="E109" s="1322" t="str">
        <f>IF($C$85="","",('Results Entry'!AC152&amp;signum2('Results Entry'!AD152,SigFig1,SigFig2,'Results Entry'!AC152)))</f>
        <v/>
      </c>
      <c r="F109" s="2330" t="str">
        <f>IF(F$85="","",('Results Entry'!$U152&amp;signum2('Results Entry'!V152,SigFig1,SigFig2,'Results Entry'!$U152)))</f>
        <v/>
      </c>
      <c r="G109" s="2328" t="str">
        <f>IF(F$85="","",('Results Entry'!$U152&amp;signum2('Results Entry'!W152,SigFig1,SigFig2,'Results Entry'!$U152)))</f>
        <v/>
      </c>
      <c r="H109" s="1322" t="str">
        <f>IF(F$85="","",('Results Entry'!X152&amp;signum2('Results Entry'!Y152,SigFig1,SigFig2,'Results Entry'!X152)))</f>
        <v/>
      </c>
      <c r="I109" s="1321" t="str">
        <f>IF(I$85="","",('Results Entry'!$U199&amp;signum2('Results Entry'!$V199,SigFig1,SigFig2,'Results Entry'!$U199)))</f>
        <v/>
      </c>
      <c r="J109" s="1273" t="str">
        <f>IF(I$85="","",('Results Entry'!$U199&amp;signum2('Results Entry'!$W199,SigFig1,SigFig2,'Results Entry'!$U199)))</f>
        <v/>
      </c>
      <c r="K109" s="1322" t="str">
        <f>IF(I$85="","",('Results Entry'!$X199&amp;signum2('Results Entry'!$Y199,SigFig1,SigFig2,'Results Entry'!$X199)))</f>
        <v/>
      </c>
      <c r="L109" s="1321"/>
      <c r="M109" s="1322"/>
      <c r="N109" s="1272"/>
      <c r="O109" s="1319">
        <f t="shared" si="0"/>
        <v>0</v>
      </c>
      <c r="P109" s="1319">
        <f t="shared" si="1"/>
        <v>0</v>
      </c>
    </row>
    <row r="110" spans="1:16" hidden="1">
      <c r="A110" s="1267" t="str">
        <f>IF('Results Entry'!B153=0,"",'Results Entry'!B153)</f>
        <v/>
      </c>
      <c r="B110" s="1273"/>
      <c r="C110" s="1321" t="str">
        <f>IF($C$85="","",('Results Entry'!$Z153&amp;signum2('Results Entry'!AA153,SigFig1,SigFig2,'Results Entry'!$Z153)))</f>
        <v/>
      </c>
      <c r="D110" s="1273" t="str">
        <f>IF($C$85="","",('Results Entry'!$Z153&amp;signum2('Results Entry'!AB153,SigFig1,SigFig2,'Results Entry'!$Z153)))</f>
        <v/>
      </c>
      <c r="E110" s="1322" t="str">
        <f>IF($C$85="","",('Results Entry'!AC153&amp;signum2('Results Entry'!AD153,SigFig1,SigFig2,'Results Entry'!AC153)))</f>
        <v/>
      </c>
      <c r="F110" s="2330" t="str">
        <f>IF(F$85="","",('Results Entry'!$U153&amp;signum2('Results Entry'!V153,SigFig1,SigFig2,'Results Entry'!$U153)))</f>
        <v/>
      </c>
      <c r="G110" s="2328" t="str">
        <f>IF(F$85="","",('Results Entry'!$U153&amp;signum2('Results Entry'!W153,SigFig1,SigFig2,'Results Entry'!$U153)))</f>
        <v/>
      </c>
      <c r="H110" s="1322" t="str">
        <f>IF(F$85="","",('Results Entry'!X153&amp;signum2('Results Entry'!Y153,SigFig1,SigFig2,'Results Entry'!X153)))</f>
        <v/>
      </c>
      <c r="I110" s="1321" t="str">
        <f>IF(I$85="","",('Results Entry'!$U200&amp;signum2('Results Entry'!$V200,SigFig1,SigFig2,'Results Entry'!$U200)))</f>
        <v/>
      </c>
      <c r="J110" s="1273" t="str">
        <f>IF(I$85="","",('Results Entry'!$U200&amp;signum2('Results Entry'!$W200,SigFig1,SigFig2,'Results Entry'!$U200)))</f>
        <v/>
      </c>
      <c r="K110" s="1322" t="str">
        <f>IF(I$85="","",('Results Entry'!$X200&amp;signum2('Results Entry'!$Y200,SigFig1,SigFig2,'Results Entry'!$X200)))</f>
        <v/>
      </c>
      <c r="L110" s="1321"/>
      <c r="M110" s="1322"/>
      <c r="N110" s="1272"/>
      <c r="O110" s="1319">
        <f t="shared" si="0"/>
        <v>0</v>
      </c>
      <c r="P110" s="1319">
        <f t="shared" si="1"/>
        <v>0</v>
      </c>
    </row>
    <row r="111" spans="1:16" hidden="1">
      <c r="A111" s="1267" t="str">
        <f>IF('Results Entry'!B154=0,"",'Results Entry'!B154)</f>
        <v/>
      </c>
      <c r="B111" s="1273"/>
      <c r="C111" s="1321" t="str">
        <f>IF($C$85="","",('Results Entry'!$Z154&amp;signum2('Results Entry'!AA154,SigFig1,SigFig2,'Results Entry'!$Z154)))</f>
        <v/>
      </c>
      <c r="D111" s="1273" t="str">
        <f>IF($C$85="","",('Results Entry'!$Z154&amp;signum2('Results Entry'!AB154,SigFig1,SigFig2,'Results Entry'!$Z154)))</f>
        <v/>
      </c>
      <c r="E111" s="1322" t="str">
        <f>IF($C$85="","",('Results Entry'!AC154&amp;signum2('Results Entry'!AD154,SigFig1,SigFig2,'Results Entry'!AC154)))</f>
        <v/>
      </c>
      <c r="F111" s="2330" t="str">
        <f>IF(F$85="","",('Results Entry'!$U154&amp;signum2('Results Entry'!V154,SigFig1,SigFig2,'Results Entry'!$U154)))</f>
        <v/>
      </c>
      <c r="G111" s="2328" t="str">
        <f>IF(F$85="","",('Results Entry'!$U154&amp;signum2('Results Entry'!W154,SigFig1,SigFig2,'Results Entry'!$U154)))</f>
        <v/>
      </c>
      <c r="H111" s="1322" t="str">
        <f>IF(F$85="","",('Results Entry'!X154&amp;signum2('Results Entry'!Y154,SigFig1,SigFig2,'Results Entry'!X154)))</f>
        <v/>
      </c>
      <c r="I111" s="1321" t="str">
        <f>IF(I$85="","",('Results Entry'!$U201&amp;signum2('Results Entry'!$V201,SigFig1,SigFig2,'Results Entry'!$U201)))</f>
        <v/>
      </c>
      <c r="J111" s="1273" t="str">
        <f>IF(I$85="","",('Results Entry'!$U201&amp;signum2('Results Entry'!$W201,SigFig1,SigFig2,'Results Entry'!$U201)))</f>
        <v/>
      </c>
      <c r="K111" s="1322" t="str">
        <f>IF(I$85="","",('Results Entry'!$X201&amp;signum2('Results Entry'!$Y201,SigFig1,SigFig2,'Results Entry'!$X201)))</f>
        <v/>
      </c>
      <c r="L111" s="1321"/>
      <c r="M111" s="1322"/>
      <c r="N111" s="1272"/>
      <c r="O111" s="1319">
        <f t="shared" si="0"/>
        <v>0</v>
      </c>
      <c r="P111" s="1319">
        <f t="shared" si="1"/>
        <v>0</v>
      </c>
    </row>
    <row r="112" spans="1:16" hidden="1">
      <c r="A112" s="1267" t="str">
        <f>IF('Results Entry'!B155=0,"",'Results Entry'!B155)</f>
        <v/>
      </c>
      <c r="B112" s="1273"/>
      <c r="C112" s="1321" t="str">
        <f>IF($C$85="","",('Results Entry'!$Z155&amp;signum2('Results Entry'!AA155,SigFig1,SigFig2,'Results Entry'!$Z155)))</f>
        <v/>
      </c>
      <c r="D112" s="1273" t="str">
        <f>IF($C$85="","",('Results Entry'!$Z155&amp;signum2('Results Entry'!AB155,SigFig1,SigFig2,'Results Entry'!$Z155)))</f>
        <v/>
      </c>
      <c r="E112" s="1322" t="str">
        <f>IF($C$85="","",('Results Entry'!AC155&amp;signum2('Results Entry'!AD155,SigFig1,SigFig2,'Results Entry'!AC155)))</f>
        <v/>
      </c>
      <c r="F112" s="2330" t="str">
        <f>IF(F$85="","",('Results Entry'!$U155&amp;signum2('Results Entry'!V155,SigFig1,SigFig2,'Results Entry'!$U155)))</f>
        <v/>
      </c>
      <c r="G112" s="2328" t="str">
        <f>IF(F$85="","",('Results Entry'!$U155&amp;signum2('Results Entry'!W155,SigFig1,SigFig2,'Results Entry'!$U155)))</f>
        <v/>
      </c>
      <c r="H112" s="1322" t="str">
        <f>IF(F$85="","",('Results Entry'!X155&amp;signum2('Results Entry'!Y155,SigFig1,SigFig2,'Results Entry'!X155)))</f>
        <v/>
      </c>
      <c r="I112" s="1321" t="str">
        <f>IF(I$85="","",('Results Entry'!$U202&amp;signum2('Results Entry'!$V202,SigFig1,SigFig2,'Results Entry'!$U202)))</f>
        <v/>
      </c>
      <c r="J112" s="1273" t="str">
        <f>IF(I$85="","",('Results Entry'!$U202&amp;signum2('Results Entry'!$W202,SigFig1,SigFig2,'Results Entry'!$U202)))</f>
        <v/>
      </c>
      <c r="K112" s="1322" t="str">
        <f>IF(I$85="","",('Results Entry'!$X202&amp;signum2('Results Entry'!$Y202,SigFig1,SigFig2,'Results Entry'!$X202)))</f>
        <v/>
      </c>
      <c r="L112" s="1321"/>
      <c r="M112" s="1322"/>
      <c r="N112" s="1272"/>
      <c r="O112" s="1319">
        <f t="shared" si="0"/>
        <v>0</v>
      </c>
      <c r="P112" s="1319">
        <f t="shared" si="1"/>
        <v>0</v>
      </c>
    </row>
    <row r="113" spans="1:16" hidden="1">
      <c r="A113" s="1267" t="str">
        <f>IF('Results Entry'!B156=0,"",'Results Entry'!B156)</f>
        <v/>
      </c>
      <c r="B113" s="1273"/>
      <c r="C113" s="1321" t="str">
        <f>IF($C$85="","",('Results Entry'!$Z156&amp;signum2('Results Entry'!AA156,SigFig1,SigFig2,'Results Entry'!$Z156)))</f>
        <v/>
      </c>
      <c r="D113" s="1273" t="str">
        <f>IF($C$85="","",('Results Entry'!$Z156&amp;signum2('Results Entry'!AB156,SigFig1,SigFig2,'Results Entry'!$Z156)))</f>
        <v/>
      </c>
      <c r="E113" s="1322" t="str">
        <f>IF($C$85="","",('Results Entry'!AC156&amp;signum2('Results Entry'!AD156,SigFig1,SigFig2,'Results Entry'!AC156)))</f>
        <v/>
      </c>
      <c r="F113" s="2330" t="str">
        <f>IF(F$85="","",('Results Entry'!$U156&amp;signum2('Results Entry'!V156,SigFig1,SigFig2,'Results Entry'!$U156)))</f>
        <v/>
      </c>
      <c r="G113" s="2328" t="str">
        <f>IF(F$85="","",('Results Entry'!$U156&amp;signum2('Results Entry'!W156,SigFig1,SigFig2,'Results Entry'!$U156)))</f>
        <v/>
      </c>
      <c r="H113" s="1322" t="str">
        <f>IF(F$85="","",('Results Entry'!X156&amp;signum2('Results Entry'!Y156,SigFig1,SigFig2,'Results Entry'!X156)))</f>
        <v/>
      </c>
      <c r="I113" s="1321" t="str">
        <f>IF(I$85="","",('Results Entry'!$U203&amp;signum2('Results Entry'!$V203,SigFig1,SigFig2,'Results Entry'!$U203)))</f>
        <v/>
      </c>
      <c r="J113" s="1273" t="str">
        <f>IF(I$85="","",('Results Entry'!$U203&amp;signum2('Results Entry'!$W203,SigFig1,SigFig2,'Results Entry'!$U203)))</f>
        <v/>
      </c>
      <c r="K113" s="1322" t="str">
        <f>IF(I$85="","",('Results Entry'!$X203&amp;signum2('Results Entry'!$Y203,SigFig1,SigFig2,'Results Entry'!$X203)))</f>
        <v/>
      </c>
      <c r="L113" s="1321"/>
      <c r="M113" s="1322"/>
      <c r="N113" s="1272"/>
      <c r="O113" s="1319">
        <f t="shared" si="0"/>
        <v>0</v>
      </c>
      <c r="P113" s="1319">
        <f t="shared" si="1"/>
        <v>0</v>
      </c>
    </row>
    <row r="114" spans="1:16" hidden="1">
      <c r="A114" s="1267" t="str">
        <f>IF('Results Entry'!B157=0,"",'Results Entry'!B157)</f>
        <v/>
      </c>
      <c r="B114" s="1273"/>
      <c r="C114" s="1321" t="str">
        <f>IF($C$85="","",('Results Entry'!$Z157&amp;signum2('Results Entry'!AA157,SigFig1,SigFig2,'Results Entry'!$Z157)))</f>
        <v/>
      </c>
      <c r="D114" s="1273" t="str">
        <f>IF($C$85="","",('Results Entry'!$Z157&amp;signum2('Results Entry'!AB157,SigFig1,SigFig2,'Results Entry'!$Z157)))</f>
        <v/>
      </c>
      <c r="E114" s="1322" t="str">
        <f>IF($C$85="","",('Results Entry'!AC157&amp;signum2('Results Entry'!AD157,SigFig1,SigFig2,'Results Entry'!AC157)))</f>
        <v/>
      </c>
      <c r="F114" s="2330" t="str">
        <f>IF(F$85="","",('Results Entry'!$U157&amp;signum2('Results Entry'!V157,SigFig1,SigFig2,'Results Entry'!$U157)))</f>
        <v/>
      </c>
      <c r="G114" s="2328" t="str">
        <f>IF(F$85="","",('Results Entry'!$U157&amp;signum2('Results Entry'!W157,SigFig1,SigFig2,'Results Entry'!$U157)))</f>
        <v/>
      </c>
      <c r="H114" s="1322" t="str">
        <f>IF(F$85="","",('Results Entry'!X157&amp;signum2('Results Entry'!Y157,SigFig1,SigFig2,'Results Entry'!X157)))</f>
        <v/>
      </c>
      <c r="I114" s="1321" t="str">
        <f>IF(I$85="","",('Results Entry'!$U204&amp;signum2('Results Entry'!$V204,SigFig1,SigFig2,'Results Entry'!$U204)))</f>
        <v/>
      </c>
      <c r="J114" s="1273" t="str">
        <f>IF(I$85="","",('Results Entry'!$U204&amp;signum2('Results Entry'!$W204,SigFig1,SigFig2,'Results Entry'!$U204)))</f>
        <v/>
      </c>
      <c r="K114" s="1322" t="str">
        <f>IF(I$85="","",('Results Entry'!$X204&amp;signum2('Results Entry'!$Y204,SigFig1,SigFig2,'Results Entry'!$X204)))</f>
        <v/>
      </c>
      <c r="L114" s="1321"/>
      <c r="M114" s="1322"/>
      <c r="N114" s="1272"/>
      <c r="O114" s="1319">
        <f t="shared" si="0"/>
        <v>0</v>
      </c>
      <c r="P114" s="1319">
        <f t="shared" si="1"/>
        <v>0</v>
      </c>
    </row>
    <row r="115" spans="1:16" hidden="1">
      <c r="A115" s="1267" t="str">
        <f>IF('Results Entry'!B158=0,"",'Results Entry'!B158)</f>
        <v/>
      </c>
      <c r="B115" s="1273"/>
      <c r="C115" s="1321" t="str">
        <f>IF($C$85="","",('Results Entry'!$Z158&amp;signum2('Results Entry'!AA158,SigFig1,SigFig2,'Results Entry'!$Z158)))</f>
        <v/>
      </c>
      <c r="D115" s="1273" t="str">
        <f>IF($C$85="","",('Results Entry'!$Z158&amp;signum2('Results Entry'!AB158,SigFig1,SigFig2,'Results Entry'!$Z158)))</f>
        <v/>
      </c>
      <c r="E115" s="1322" t="str">
        <f>IF($C$85="","",('Results Entry'!AC158&amp;signum2('Results Entry'!AD158,SigFig1,SigFig2,'Results Entry'!AC158)))</f>
        <v/>
      </c>
      <c r="F115" s="2330" t="str">
        <f>IF(F$85="","",('Results Entry'!$U158&amp;signum2('Results Entry'!V158,SigFig1,SigFig2,'Results Entry'!$U158)))</f>
        <v/>
      </c>
      <c r="G115" s="2328" t="str">
        <f>IF(F$85="","",('Results Entry'!$U158&amp;signum2('Results Entry'!W158,SigFig1,SigFig2,'Results Entry'!$U158)))</f>
        <v/>
      </c>
      <c r="H115" s="1322" t="str">
        <f>IF(F$85="","",('Results Entry'!X158&amp;signum2('Results Entry'!Y158,SigFig1,SigFig2,'Results Entry'!X158)))</f>
        <v/>
      </c>
      <c r="I115" s="1321" t="str">
        <f>IF(I$85="","",('Results Entry'!$U205&amp;signum2('Results Entry'!$V205,SigFig1,SigFig2,'Results Entry'!$U205)))</f>
        <v/>
      </c>
      <c r="J115" s="1273" t="str">
        <f>IF(I$85="","",('Results Entry'!$U205&amp;signum2('Results Entry'!$W205,SigFig1,SigFig2,'Results Entry'!$U205)))</f>
        <v/>
      </c>
      <c r="K115" s="1322" t="str">
        <f>IF(I$85="","",('Results Entry'!$X205&amp;signum2('Results Entry'!$Y205,SigFig1,SigFig2,'Results Entry'!$X205)))</f>
        <v/>
      </c>
      <c r="L115" s="1321"/>
      <c r="M115" s="1322"/>
      <c r="N115" s="1272"/>
      <c r="O115" s="1319">
        <f t="shared" si="0"/>
        <v>0</v>
      </c>
      <c r="P115" s="1319">
        <f t="shared" si="1"/>
        <v>0</v>
      </c>
    </row>
    <row r="116" spans="1:16" hidden="1">
      <c r="A116" s="1267" t="str">
        <f>IF('Results Entry'!B159=0,"",'Results Entry'!B159)</f>
        <v/>
      </c>
      <c r="B116" s="1273"/>
      <c r="C116" s="1321" t="str">
        <f>IF($C$85="","",('Results Entry'!$Z159&amp;signum2('Results Entry'!AA159,SigFig1,SigFig2,'Results Entry'!$Z159)))</f>
        <v/>
      </c>
      <c r="D116" s="1273" t="str">
        <f>IF($C$85="","",('Results Entry'!$Z159&amp;signum2('Results Entry'!AB159,SigFig1,SigFig2,'Results Entry'!$Z159)))</f>
        <v/>
      </c>
      <c r="E116" s="1322" t="str">
        <f>IF($C$85="","",('Results Entry'!AC159&amp;signum2('Results Entry'!AD159,SigFig1,SigFig2,'Results Entry'!AC159)))</f>
        <v/>
      </c>
      <c r="F116" s="2330" t="str">
        <f>IF(F$85="","",('Results Entry'!$U159&amp;signum2('Results Entry'!V159,SigFig1,SigFig2,'Results Entry'!$U159)))</f>
        <v/>
      </c>
      <c r="G116" s="2328" t="str">
        <f>IF(F$85="","",('Results Entry'!$U159&amp;signum2('Results Entry'!W159,SigFig1,SigFig2,'Results Entry'!$U159)))</f>
        <v/>
      </c>
      <c r="H116" s="1322" t="str">
        <f>IF(F$85="","",('Results Entry'!X159&amp;signum2('Results Entry'!Y159,SigFig1,SigFig2,'Results Entry'!X159)))</f>
        <v/>
      </c>
      <c r="I116" s="1321" t="str">
        <f>IF(I$85="","",('Results Entry'!$U206&amp;signum2('Results Entry'!$V206,SigFig1,SigFig2,'Results Entry'!$U206)))</f>
        <v/>
      </c>
      <c r="J116" s="1273" t="str">
        <f>IF(I$85="","",('Results Entry'!$U206&amp;signum2('Results Entry'!$W206,SigFig1,SigFig2,'Results Entry'!$U206)))</f>
        <v/>
      </c>
      <c r="K116" s="1322" t="str">
        <f>IF(I$85="","",('Results Entry'!$X206&amp;signum2('Results Entry'!$Y206,SigFig1,SigFig2,'Results Entry'!$X206)))</f>
        <v/>
      </c>
      <c r="L116" s="1321"/>
      <c r="M116" s="1322"/>
      <c r="N116" s="1272"/>
      <c r="O116" s="1319">
        <f t="shared" si="0"/>
        <v>0</v>
      </c>
      <c r="P116" s="1319">
        <f t="shared" si="1"/>
        <v>0</v>
      </c>
    </row>
    <row r="117" spans="1:16" hidden="1">
      <c r="A117" s="1267" t="str">
        <f>IF('Results Entry'!B160=0,"",'Results Entry'!B160)</f>
        <v/>
      </c>
      <c r="B117" s="1273"/>
      <c r="C117" s="1321" t="str">
        <f>IF($C$85="","",('Results Entry'!$Z160&amp;signum2('Results Entry'!AA160,SigFig1,SigFig2,'Results Entry'!$Z160)))</f>
        <v/>
      </c>
      <c r="D117" s="1273" t="str">
        <f>IF($C$85="","",('Results Entry'!$Z160&amp;signum2('Results Entry'!AB160,SigFig1,SigFig2,'Results Entry'!$Z160)))</f>
        <v/>
      </c>
      <c r="E117" s="1322" t="str">
        <f>IF($C$85="","",('Results Entry'!AC160&amp;signum2('Results Entry'!AD160,SigFig1,SigFig2,'Results Entry'!AC160)))</f>
        <v/>
      </c>
      <c r="F117" s="2330" t="str">
        <f>IF(F$85="","",('Results Entry'!$U160&amp;signum2('Results Entry'!V160,SigFig1,SigFig2,'Results Entry'!$U160)))</f>
        <v/>
      </c>
      <c r="G117" s="2328" t="str">
        <f>IF(F$85="","",('Results Entry'!$U160&amp;signum2('Results Entry'!W160,SigFig1,SigFig2,'Results Entry'!$U160)))</f>
        <v/>
      </c>
      <c r="H117" s="1322" t="str">
        <f>IF(F$85="","",('Results Entry'!X160&amp;signum2('Results Entry'!Y160,SigFig1,SigFig2,'Results Entry'!X160)))</f>
        <v/>
      </c>
      <c r="I117" s="1321" t="str">
        <f>IF(I$85="","",('Results Entry'!$U207&amp;signum2('Results Entry'!$V207,SigFig1,SigFig2,'Results Entry'!$U207)))</f>
        <v/>
      </c>
      <c r="J117" s="1273" t="str">
        <f>IF(I$85="","",('Results Entry'!$U207&amp;signum2('Results Entry'!$W207,SigFig1,SigFig2,'Results Entry'!$U207)))</f>
        <v/>
      </c>
      <c r="K117" s="1322" t="str">
        <f>IF(I$85="","",('Results Entry'!$X207&amp;signum2('Results Entry'!$Y207,SigFig1,SigFig2,'Results Entry'!$X207)))</f>
        <v/>
      </c>
      <c r="L117" s="1321"/>
      <c r="M117" s="1322"/>
      <c r="N117" s="1272"/>
      <c r="O117" s="1319">
        <f t="shared" si="0"/>
        <v>0</v>
      </c>
      <c r="P117" s="1319">
        <f t="shared" si="1"/>
        <v>0</v>
      </c>
    </row>
    <row r="118" spans="1:16" hidden="1">
      <c r="A118" s="1267" t="str">
        <f>IF('Results Entry'!B161=0,"",'Results Entry'!B161)</f>
        <v/>
      </c>
      <c r="B118" s="1273"/>
      <c r="C118" s="1321" t="str">
        <f>IF($C$85="","",('Results Entry'!$Z161&amp;signum2('Results Entry'!AA161,SigFig1,SigFig2,'Results Entry'!$Z161)))</f>
        <v/>
      </c>
      <c r="D118" s="1273" t="str">
        <f>IF($C$85="","",('Results Entry'!$Z161&amp;signum2('Results Entry'!AB161,SigFig1,SigFig2,'Results Entry'!$Z161)))</f>
        <v/>
      </c>
      <c r="E118" s="1322" t="str">
        <f>IF($C$85="","",('Results Entry'!AC161&amp;signum2('Results Entry'!AD161,SigFig1,SigFig2,'Results Entry'!AC161)))</f>
        <v/>
      </c>
      <c r="F118" s="2330" t="str">
        <f>IF(F$85="","",('Results Entry'!$U161&amp;signum2('Results Entry'!V161,SigFig1,SigFig2,'Results Entry'!$U161)))</f>
        <v/>
      </c>
      <c r="G118" s="2328" t="str">
        <f>IF(F$85="","",('Results Entry'!$U161&amp;signum2('Results Entry'!W161,SigFig1,SigFig2,'Results Entry'!$U161)))</f>
        <v/>
      </c>
      <c r="H118" s="1322" t="str">
        <f>IF(F$85="","",('Results Entry'!X161&amp;signum2('Results Entry'!Y161,SigFig1,SigFig2,'Results Entry'!X161)))</f>
        <v/>
      </c>
      <c r="I118" s="1321" t="str">
        <f>IF(I$85="","",('Results Entry'!$U208&amp;signum2('Results Entry'!$V208,SigFig1,SigFig2,'Results Entry'!$U208)))</f>
        <v/>
      </c>
      <c r="J118" s="1273" t="str">
        <f>IF(I$85="","",('Results Entry'!$U208&amp;signum2('Results Entry'!$W208,SigFig1,SigFig2,'Results Entry'!$U208)))</f>
        <v/>
      </c>
      <c r="K118" s="1322" t="str">
        <f>IF(I$85="","",('Results Entry'!$X208&amp;signum2('Results Entry'!$Y208,SigFig1,SigFig2,'Results Entry'!$X208)))</f>
        <v/>
      </c>
      <c r="L118" s="1321"/>
      <c r="M118" s="1322"/>
      <c r="N118" s="1272"/>
      <c r="O118" s="1319">
        <f t="shared" si="0"/>
        <v>0</v>
      </c>
      <c r="P118" s="1319">
        <f t="shared" si="1"/>
        <v>0</v>
      </c>
    </row>
    <row r="119" spans="1:16" hidden="1">
      <c r="A119" s="1267" t="str">
        <f>IF('Results Entry'!B162=0,"",'Results Entry'!B162)</f>
        <v/>
      </c>
      <c r="B119" s="1273"/>
      <c r="C119" s="1321" t="str">
        <f>IF($C$85="","",('Results Entry'!$Z162&amp;signum2('Results Entry'!AA162,SigFig1,SigFig2,'Results Entry'!$Z162)))</f>
        <v/>
      </c>
      <c r="D119" s="1273" t="str">
        <f>IF($C$85="","",('Results Entry'!$Z162&amp;signum2('Results Entry'!AB162,SigFig1,SigFig2,'Results Entry'!$Z162)))</f>
        <v/>
      </c>
      <c r="E119" s="1322" t="str">
        <f>IF($C$85="","",('Results Entry'!AC162&amp;signum2('Results Entry'!AD162,SigFig1,SigFig2,'Results Entry'!AC162)))</f>
        <v/>
      </c>
      <c r="F119" s="2330" t="str">
        <f>IF(F$85="","",('Results Entry'!$U162&amp;signum2('Results Entry'!V162,SigFig1,SigFig2,'Results Entry'!$U162)))</f>
        <v/>
      </c>
      <c r="G119" s="2328" t="str">
        <f>IF(F$85="","",('Results Entry'!$U162&amp;signum2('Results Entry'!W162,SigFig1,SigFig2,'Results Entry'!$U162)))</f>
        <v/>
      </c>
      <c r="H119" s="1322" t="str">
        <f>IF(F$85="","",('Results Entry'!X162&amp;signum2('Results Entry'!Y162,SigFig1,SigFig2,'Results Entry'!X162)))</f>
        <v/>
      </c>
      <c r="I119" s="1321" t="str">
        <f>IF(I$85="","",('Results Entry'!$U209&amp;signum2('Results Entry'!$V209,SigFig1,SigFig2,'Results Entry'!$U209)))</f>
        <v/>
      </c>
      <c r="J119" s="1273" t="str">
        <f>IF(I$85="","",('Results Entry'!$U209&amp;signum2('Results Entry'!$W209,SigFig1,SigFig2,'Results Entry'!$U209)))</f>
        <v/>
      </c>
      <c r="K119" s="1322" t="str">
        <f>IF(I$85="","",('Results Entry'!$X209&amp;signum2('Results Entry'!$Y209,SigFig1,SigFig2,'Results Entry'!$X209)))</f>
        <v/>
      </c>
      <c r="L119" s="1321"/>
      <c r="M119" s="1322"/>
      <c r="N119" s="1272"/>
      <c r="O119" s="1319">
        <f t="shared" si="0"/>
        <v>0</v>
      </c>
      <c r="P119" s="1319">
        <f t="shared" si="1"/>
        <v>0</v>
      </c>
    </row>
    <row r="120" spans="1:16" hidden="1">
      <c r="A120" s="1267" t="str">
        <f>IF('Results Entry'!B163=0,"",'Results Entry'!B163)</f>
        <v/>
      </c>
      <c r="B120" s="1273"/>
      <c r="C120" s="1321" t="str">
        <f>IF($C$85="","",('Results Entry'!$Z163&amp;signum2('Results Entry'!AA163,SigFig1,SigFig2,'Results Entry'!$Z163)))</f>
        <v/>
      </c>
      <c r="D120" s="1273" t="str">
        <f>IF($C$85="","",('Results Entry'!$Z163&amp;signum2('Results Entry'!AB163,SigFig1,SigFig2,'Results Entry'!$Z163)))</f>
        <v/>
      </c>
      <c r="E120" s="1322" t="str">
        <f>IF($C$85="","",('Results Entry'!AC163&amp;signum2('Results Entry'!AD163,SigFig1,SigFig2,'Results Entry'!AC163)))</f>
        <v/>
      </c>
      <c r="F120" s="2330" t="str">
        <f>IF(F$85="","",('Results Entry'!$U163&amp;signum2('Results Entry'!V163,SigFig1,SigFig2,'Results Entry'!$U163)))</f>
        <v/>
      </c>
      <c r="G120" s="2328" t="str">
        <f>IF(F$85="","",('Results Entry'!$U163&amp;signum2('Results Entry'!W163,SigFig1,SigFig2,'Results Entry'!$U163)))</f>
        <v/>
      </c>
      <c r="H120" s="1322" t="str">
        <f>IF(F$85="","",('Results Entry'!X163&amp;signum2('Results Entry'!Y163,SigFig1,SigFig2,'Results Entry'!X163)))</f>
        <v/>
      </c>
      <c r="I120" s="1321" t="str">
        <f>IF(I$85="","",('Results Entry'!$U210&amp;signum2('Results Entry'!$V210,SigFig1,SigFig2,'Results Entry'!$U210)))</f>
        <v/>
      </c>
      <c r="J120" s="1273" t="str">
        <f>IF(I$85="","",('Results Entry'!$U210&amp;signum2('Results Entry'!$W210,SigFig1,SigFig2,'Results Entry'!$U210)))</f>
        <v/>
      </c>
      <c r="K120" s="1322" t="str">
        <f>IF(I$85="","",('Results Entry'!$X210&amp;signum2('Results Entry'!$Y210,SigFig1,SigFig2,'Results Entry'!$X210)))</f>
        <v/>
      </c>
      <c r="L120" s="1321"/>
      <c r="M120" s="1322"/>
      <c r="N120" s="1272"/>
      <c r="O120" s="1319">
        <f t="shared" si="0"/>
        <v>0</v>
      </c>
      <c r="P120" s="1319">
        <f t="shared" si="1"/>
        <v>0</v>
      </c>
    </row>
    <row r="121" spans="1:16" hidden="1">
      <c r="A121" s="1267" t="str">
        <f>IF('Results Entry'!B164=0,"",'Results Entry'!B164)</f>
        <v/>
      </c>
      <c r="B121" s="1273"/>
      <c r="C121" s="1321" t="str">
        <f>IF($C$85="","",('Results Entry'!$Z164&amp;signum2('Results Entry'!AA164,SigFig1,SigFig2,'Results Entry'!$Z164)))</f>
        <v/>
      </c>
      <c r="D121" s="1273" t="str">
        <f>IF($C$85="","",('Results Entry'!$Z164&amp;signum2('Results Entry'!AB164,SigFig1,SigFig2,'Results Entry'!$Z164)))</f>
        <v/>
      </c>
      <c r="E121" s="1322" t="str">
        <f>IF($C$85="","",('Results Entry'!AC164&amp;signum2('Results Entry'!AD164,SigFig1,SigFig2,'Results Entry'!AC164)))</f>
        <v/>
      </c>
      <c r="F121" s="2330" t="str">
        <f>IF(F$85="","",('Results Entry'!$U164&amp;signum2('Results Entry'!V164,SigFig1,SigFig2,'Results Entry'!$U164)))</f>
        <v/>
      </c>
      <c r="G121" s="2328" t="str">
        <f>IF(F$85="","",('Results Entry'!$U164&amp;signum2('Results Entry'!W164,SigFig1,SigFig2,'Results Entry'!$U164)))</f>
        <v/>
      </c>
      <c r="H121" s="1322" t="str">
        <f>IF(F$85="","",('Results Entry'!X164&amp;signum2('Results Entry'!Y164,SigFig1,SigFig2,'Results Entry'!X164)))</f>
        <v/>
      </c>
      <c r="I121" s="1321" t="str">
        <f>IF(I$85="","",('Results Entry'!$U211&amp;signum2('Results Entry'!$V211,SigFig1,SigFig2,'Results Entry'!$U211)))</f>
        <v/>
      </c>
      <c r="J121" s="1273" t="str">
        <f>IF(I$85="","",('Results Entry'!$U211&amp;signum2('Results Entry'!$W211,SigFig1,SigFig2,'Results Entry'!$U211)))</f>
        <v/>
      </c>
      <c r="K121" s="1322" t="str">
        <f>IF(I$85="","",('Results Entry'!$X211&amp;signum2('Results Entry'!$Y211,SigFig1,SigFig2,'Results Entry'!$X211)))</f>
        <v/>
      </c>
      <c r="L121" s="1321"/>
      <c r="M121" s="1322"/>
      <c r="N121" s="1272"/>
      <c r="O121" s="1319">
        <f t="shared" si="0"/>
        <v>0</v>
      </c>
      <c r="P121" s="1319">
        <f t="shared" si="1"/>
        <v>0</v>
      </c>
    </row>
    <row r="122" spans="1:16" hidden="1">
      <c r="A122" s="1267" t="str">
        <f>IF('Results Entry'!B165=0,"",'Results Entry'!B165)</f>
        <v/>
      </c>
      <c r="B122" s="1273"/>
      <c r="C122" s="1321" t="str">
        <f>IF($C$85="","",('Results Entry'!$Z165&amp;signum2('Results Entry'!AA165,SigFig1,SigFig2,'Results Entry'!$Z165)))</f>
        <v/>
      </c>
      <c r="D122" s="1273" t="str">
        <f>IF($C$85="","",('Results Entry'!$Z165&amp;signum2('Results Entry'!AB165,SigFig1,SigFig2,'Results Entry'!$Z165)))</f>
        <v/>
      </c>
      <c r="E122" s="1322" t="str">
        <f>IF($C$85="","",('Results Entry'!AC165&amp;signum2('Results Entry'!AD165,SigFig1,SigFig2,'Results Entry'!AC165)))</f>
        <v/>
      </c>
      <c r="F122" s="2330" t="str">
        <f>IF(F$85="","",('Results Entry'!$U165&amp;signum2('Results Entry'!V165,SigFig1,SigFig2,'Results Entry'!$U165)))</f>
        <v/>
      </c>
      <c r="G122" s="2328" t="str">
        <f>IF(F$85="","",('Results Entry'!$U165&amp;signum2('Results Entry'!W165,SigFig1,SigFig2,'Results Entry'!$U165)))</f>
        <v/>
      </c>
      <c r="H122" s="1322" t="str">
        <f>IF(F$85="","",('Results Entry'!X165&amp;signum2('Results Entry'!Y165,SigFig1,SigFig2,'Results Entry'!X165)))</f>
        <v/>
      </c>
      <c r="I122" s="1321" t="str">
        <f>IF(I$85="","",('Results Entry'!$U212&amp;signum2('Results Entry'!$V212,SigFig1,SigFig2,'Results Entry'!$U212)))</f>
        <v/>
      </c>
      <c r="J122" s="1273" t="str">
        <f>IF(I$85="","",('Results Entry'!$U212&amp;signum2('Results Entry'!$W212,SigFig1,SigFig2,'Results Entry'!$U212)))</f>
        <v/>
      </c>
      <c r="K122" s="1322" t="str">
        <f>IF(I$85="","",('Results Entry'!$X212&amp;signum2('Results Entry'!$Y212,SigFig1,SigFig2,'Results Entry'!$X212)))</f>
        <v/>
      </c>
      <c r="L122" s="1321"/>
      <c r="M122" s="1322"/>
      <c r="N122" s="1272"/>
      <c r="O122" s="1319">
        <f t="shared" si="0"/>
        <v>0</v>
      </c>
      <c r="P122" s="1319">
        <f t="shared" si="1"/>
        <v>0</v>
      </c>
    </row>
    <row r="123" spans="1:16" hidden="1">
      <c r="A123" s="1267" t="str">
        <f>IF('Results Entry'!B166=0,"",'Results Entry'!B166)</f>
        <v/>
      </c>
      <c r="B123" s="1273"/>
      <c r="C123" s="1321" t="str">
        <f>IF($C$85="","",('Results Entry'!$Z166&amp;signum2('Results Entry'!AA166,SigFig1,SigFig2,'Results Entry'!$Z166)))</f>
        <v/>
      </c>
      <c r="D123" s="1273" t="str">
        <f>IF($C$85="","",('Results Entry'!$Z166&amp;signum2('Results Entry'!AB166,SigFig1,SigFig2,'Results Entry'!$Z166)))</f>
        <v/>
      </c>
      <c r="E123" s="1322" t="str">
        <f>IF($C$85="","",('Results Entry'!AC166&amp;signum2('Results Entry'!AD166,SigFig1,SigFig2,'Results Entry'!AC166)))</f>
        <v/>
      </c>
      <c r="F123" s="2330" t="str">
        <f>IF(F$85="","",('Results Entry'!$U166&amp;signum2('Results Entry'!V166,SigFig1,SigFig2,'Results Entry'!$U166)))</f>
        <v/>
      </c>
      <c r="G123" s="2328" t="str">
        <f>IF(F$85="","",('Results Entry'!$U166&amp;signum2('Results Entry'!W166,SigFig1,SigFig2,'Results Entry'!$U166)))</f>
        <v/>
      </c>
      <c r="H123" s="1322" t="str">
        <f>IF(F$85="","",('Results Entry'!X166&amp;signum2('Results Entry'!Y166,SigFig1,SigFig2,'Results Entry'!X166)))</f>
        <v/>
      </c>
      <c r="I123" s="1321" t="str">
        <f>IF(I$85="","",('Results Entry'!$U213&amp;signum2('Results Entry'!$V213,SigFig1,SigFig2,'Results Entry'!$U213)))</f>
        <v/>
      </c>
      <c r="J123" s="1273" t="str">
        <f>IF(I$85="","",('Results Entry'!$U213&amp;signum2('Results Entry'!$W213,SigFig1,SigFig2,'Results Entry'!$U213)))</f>
        <v/>
      </c>
      <c r="K123" s="1322" t="str">
        <f>IF(I$85="","",('Results Entry'!$X213&amp;signum2('Results Entry'!$Y213,SigFig1,SigFig2,'Results Entry'!$X213)))</f>
        <v/>
      </c>
      <c r="L123" s="1321"/>
      <c r="M123" s="1322"/>
      <c r="N123" s="1272"/>
      <c r="O123" s="1319">
        <f t="shared" si="0"/>
        <v>0</v>
      </c>
      <c r="P123" s="1319">
        <f t="shared" si="1"/>
        <v>0</v>
      </c>
    </row>
    <row r="124" spans="1:16" hidden="1">
      <c r="A124" s="1267" t="str">
        <f>IF('Results Entry'!B167=0,"",'Results Entry'!B167)</f>
        <v/>
      </c>
      <c r="B124" s="1273"/>
      <c r="C124" s="1321" t="str">
        <f>IF($C$85="","",('Results Entry'!$Z167&amp;signum2('Results Entry'!AA167,SigFig1,SigFig2,'Results Entry'!$Z167)))</f>
        <v/>
      </c>
      <c r="D124" s="1273" t="str">
        <f>IF($C$85="","",('Results Entry'!$Z167&amp;signum2('Results Entry'!AB167,SigFig1,SigFig2,'Results Entry'!$Z167)))</f>
        <v/>
      </c>
      <c r="E124" s="1322" t="str">
        <f>IF($C$85="","",('Results Entry'!AC167&amp;signum2('Results Entry'!AD167,SigFig1,SigFig2,'Results Entry'!AC167)))</f>
        <v/>
      </c>
      <c r="F124" s="2330" t="str">
        <f>IF(F$85="","",('Results Entry'!$U167&amp;signum2('Results Entry'!V167,SigFig1,SigFig2,'Results Entry'!$U167)))</f>
        <v/>
      </c>
      <c r="G124" s="2328" t="str">
        <f>IF(F$85="","",('Results Entry'!$U167&amp;signum2('Results Entry'!W167,SigFig1,SigFig2,'Results Entry'!$U167)))</f>
        <v/>
      </c>
      <c r="H124" s="1322" t="str">
        <f>IF(F$85="","",('Results Entry'!X167&amp;signum2('Results Entry'!Y167,SigFig1,SigFig2,'Results Entry'!X167)))</f>
        <v/>
      </c>
      <c r="I124" s="1321" t="str">
        <f>IF(I$85="","",('Results Entry'!$U214&amp;signum2('Results Entry'!$V214,SigFig1,SigFig2,'Results Entry'!$U214)))</f>
        <v/>
      </c>
      <c r="J124" s="1273" t="str">
        <f>IF(I$85="","",('Results Entry'!$U214&amp;signum2('Results Entry'!$W214,SigFig1,SigFig2,'Results Entry'!$U214)))</f>
        <v/>
      </c>
      <c r="K124" s="1322" t="str">
        <f>IF(I$85="","",('Results Entry'!$X214&amp;signum2('Results Entry'!$Y214,SigFig1,SigFig2,'Results Entry'!$X214)))</f>
        <v/>
      </c>
      <c r="L124" s="1321"/>
      <c r="M124" s="1322"/>
      <c r="N124" s="1272"/>
      <c r="O124" s="1319">
        <f t="shared" si="0"/>
        <v>0</v>
      </c>
      <c r="P124" s="1319">
        <f t="shared" si="1"/>
        <v>0</v>
      </c>
    </row>
    <row r="125" spans="1:16" hidden="1">
      <c r="A125" s="1267" t="str">
        <f>IF('Results Entry'!B168=0,"",'Results Entry'!B168)</f>
        <v/>
      </c>
      <c r="B125" s="1273"/>
      <c r="C125" s="1321" t="str">
        <f>IF($C$85="","",('Results Entry'!$Z168&amp;signum2('Results Entry'!AA168,SigFig1,SigFig2,'Results Entry'!$Z168)))</f>
        <v/>
      </c>
      <c r="D125" s="1273" t="str">
        <f>IF($C$85="","",('Results Entry'!$Z168&amp;signum2('Results Entry'!AB168,SigFig1,SigFig2,'Results Entry'!$Z168)))</f>
        <v/>
      </c>
      <c r="E125" s="1322" t="str">
        <f>IF($C$85="","",('Results Entry'!AC168&amp;signum2('Results Entry'!AD168,SigFig1,SigFig2,'Results Entry'!AC168)))</f>
        <v/>
      </c>
      <c r="F125" s="2330" t="str">
        <f>IF(F$85="","",('Results Entry'!$U168&amp;signum2('Results Entry'!V168,SigFig1,SigFig2,'Results Entry'!$U168)))</f>
        <v/>
      </c>
      <c r="G125" s="2328" t="str">
        <f>IF(F$85="","",('Results Entry'!$U168&amp;signum2('Results Entry'!W168,SigFig1,SigFig2,'Results Entry'!$U168)))</f>
        <v/>
      </c>
      <c r="H125" s="1322" t="str">
        <f>IF(F$85="","",('Results Entry'!X168&amp;signum2('Results Entry'!Y168,SigFig1,SigFig2,'Results Entry'!X168)))</f>
        <v/>
      </c>
      <c r="I125" s="1321" t="str">
        <f>IF(I$85="","",('Results Entry'!$U215&amp;signum2('Results Entry'!$V215,SigFig1,SigFig2,'Results Entry'!$U215)))</f>
        <v/>
      </c>
      <c r="J125" s="1273" t="str">
        <f>IF(I$85="","",('Results Entry'!$U215&amp;signum2('Results Entry'!$W215,SigFig1,SigFig2,'Results Entry'!$U215)))</f>
        <v/>
      </c>
      <c r="K125" s="1322" t="str">
        <f>IF(I$85="","",('Results Entry'!$X215&amp;signum2('Results Entry'!$Y215,SigFig1,SigFig2,'Results Entry'!$X215)))</f>
        <v/>
      </c>
      <c r="L125" s="1321"/>
      <c r="M125" s="1322"/>
      <c r="N125" s="1272"/>
      <c r="O125" s="1319">
        <f t="shared" si="0"/>
        <v>0</v>
      </c>
      <c r="P125" s="1319">
        <f t="shared" si="1"/>
        <v>0</v>
      </c>
    </row>
    <row r="126" spans="1:16" hidden="1">
      <c r="A126" s="1267" t="str">
        <f>IF('Results Entry'!B169=0,"",'Results Entry'!B169)</f>
        <v/>
      </c>
      <c r="B126" s="1273"/>
      <c r="C126" s="1321" t="str">
        <f>IF($C$85="","",('Results Entry'!$Z169&amp;signum2('Results Entry'!AA169,SigFig1,SigFig2,'Results Entry'!$Z169)))</f>
        <v/>
      </c>
      <c r="D126" s="1273" t="str">
        <f>IF($C$85="","",('Results Entry'!$Z169&amp;signum2('Results Entry'!AB169,SigFig1,SigFig2,'Results Entry'!$Z169)))</f>
        <v/>
      </c>
      <c r="E126" s="1322" t="str">
        <f>IF($C$85="","",('Results Entry'!AC169&amp;signum2('Results Entry'!AD169,SigFig1,SigFig2,'Results Entry'!AC169)))</f>
        <v/>
      </c>
      <c r="F126" s="2330" t="str">
        <f>IF(F$85="","",('Results Entry'!$U169&amp;signum2('Results Entry'!V169,SigFig1,SigFig2,'Results Entry'!$U169)))</f>
        <v/>
      </c>
      <c r="G126" s="2328" t="str">
        <f>IF(F$85="","",('Results Entry'!$U169&amp;signum2('Results Entry'!W169,SigFig1,SigFig2,'Results Entry'!$U169)))</f>
        <v/>
      </c>
      <c r="H126" s="1322" t="str">
        <f>IF(F$85="","",('Results Entry'!X169&amp;signum2('Results Entry'!Y169,SigFig1,SigFig2,'Results Entry'!X169)))</f>
        <v/>
      </c>
      <c r="I126" s="1321" t="str">
        <f>IF(I$85="","",('Results Entry'!$U216&amp;signum2('Results Entry'!$V216,SigFig1,SigFig2,'Results Entry'!$U216)))</f>
        <v/>
      </c>
      <c r="J126" s="1273" t="str">
        <f>IF(I$85="","",('Results Entry'!$U216&amp;signum2('Results Entry'!$W216,SigFig1,SigFig2,'Results Entry'!$U216)))</f>
        <v/>
      </c>
      <c r="K126" s="1322" t="str">
        <f>IF(I$85="","",('Results Entry'!$X216&amp;signum2('Results Entry'!$Y216,SigFig1,SigFig2,'Results Entry'!$X216)))</f>
        <v/>
      </c>
      <c r="L126" s="1321"/>
      <c r="M126" s="1322"/>
      <c r="N126" s="1272"/>
      <c r="O126" s="1319">
        <f t="shared" si="0"/>
        <v>0</v>
      </c>
      <c r="P126" s="1319">
        <f t="shared" si="1"/>
        <v>0</v>
      </c>
    </row>
    <row r="127" spans="1:16" hidden="1">
      <c r="A127" s="1267" t="str">
        <f>IF('Results Entry'!B170=0,"",'Results Entry'!B170)</f>
        <v/>
      </c>
      <c r="B127" s="1273"/>
      <c r="C127" s="1321" t="str">
        <f>IF($C$85="","",('Results Entry'!$Z170&amp;signum2('Results Entry'!AA170,SigFig1,SigFig2,'Results Entry'!$Z170)))</f>
        <v/>
      </c>
      <c r="D127" s="1273" t="str">
        <f>IF($C$85="","",('Results Entry'!$Z170&amp;signum2('Results Entry'!AB170,SigFig1,SigFig2,'Results Entry'!$Z170)))</f>
        <v/>
      </c>
      <c r="E127" s="1322" t="str">
        <f>IF($C$85="","",('Results Entry'!AC170&amp;signum2('Results Entry'!AD170,SigFig1,SigFig2,'Results Entry'!AC170)))</f>
        <v/>
      </c>
      <c r="F127" s="2330" t="str">
        <f>IF(F$85="","",('Results Entry'!$U170&amp;signum2('Results Entry'!V170,SigFig1,SigFig2,'Results Entry'!$U170)))</f>
        <v/>
      </c>
      <c r="G127" s="2328" t="str">
        <f>IF(F$85="","",('Results Entry'!$U170&amp;signum2('Results Entry'!W170,SigFig1,SigFig2,'Results Entry'!$U170)))</f>
        <v/>
      </c>
      <c r="H127" s="1322" t="str">
        <f>IF(F$85="","",('Results Entry'!X170&amp;signum2('Results Entry'!Y170,SigFig1,SigFig2,'Results Entry'!X170)))</f>
        <v/>
      </c>
      <c r="I127" s="1321" t="str">
        <f>IF(I$85="","",('Results Entry'!$U217&amp;signum2('Results Entry'!$V217,SigFig1,SigFig2,'Results Entry'!$U217)))</f>
        <v/>
      </c>
      <c r="J127" s="1273" t="str">
        <f>IF(I$85="","",('Results Entry'!$U217&amp;signum2('Results Entry'!$W217,SigFig1,SigFig2,'Results Entry'!$U217)))</f>
        <v/>
      </c>
      <c r="K127" s="1322" t="str">
        <f>IF(I$85="","",('Results Entry'!$X217&amp;signum2('Results Entry'!$Y217,SigFig1,SigFig2,'Results Entry'!$X217)))</f>
        <v/>
      </c>
      <c r="L127" s="1321"/>
      <c r="M127" s="1322"/>
      <c r="N127" s="1272"/>
      <c r="O127" s="1319">
        <f t="shared" si="0"/>
        <v>0</v>
      </c>
      <c r="P127" s="1319">
        <f t="shared" si="1"/>
        <v>0</v>
      </c>
    </row>
    <row r="128" spans="1:16" hidden="1">
      <c r="A128" s="1267" t="str">
        <f>IF('Results Entry'!B171=0,"",'Results Entry'!B171)</f>
        <v/>
      </c>
      <c r="B128" s="1273"/>
      <c r="C128" s="1321" t="str">
        <f>IF($C$85="","",('Results Entry'!$Z171&amp;signum2('Results Entry'!AA171,SigFig1,SigFig2,'Results Entry'!$Z171)))</f>
        <v/>
      </c>
      <c r="D128" s="1273" t="str">
        <f>IF($C$85="","",('Results Entry'!$Z171&amp;signum2('Results Entry'!AB171,SigFig1,SigFig2,'Results Entry'!$Z171)))</f>
        <v/>
      </c>
      <c r="E128" s="1322" t="str">
        <f>IF($C$85="","",('Results Entry'!AC171&amp;signum2('Results Entry'!AD171,SigFig1,SigFig2,'Results Entry'!AC171)))</f>
        <v/>
      </c>
      <c r="F128" s="2330" t="str">
        <f>IF(F$85="","",('Results Entry'!$U171&amp;signum2('Results Entry'!V171,SigFig1,SigFig2,'Results Entry'!$U171)))</f>
        <v/>
      </c>
      <c r="G128" s="2328" t="str">
        <f>IF(F$85="","",('Results Entry'!$U171&amp;signum2('Results Entry'!W171,SigFig1,SigFig2,'Results Entry'!$U171)))</f>
        <v/>
      </c>
      <c r="H128" s="1322" t="str">
        <f>IF(F$85="","",('Results Entry'!X171&amp;signum2('Results Entry'!Y171,SigFig1,SigFig2,'Results Entry'!X171)))</f>
        <v/>
      </c>
      <c r="I128" s="1321" t="str">
        <f>IF(I$85="","",('Results Entry'!$U218&amp;signum2('Results Entry'!$V218,SigFig1,SigFig2,'Results Entry'!$U218)))</f>
        <v/>
      </c>
      <c r="J128" s="1273" t="str">
        <f>IF(I$85="","",('Results Entry'!$U218&amp;signum2('Results Entry'!$W218,SigFig1,SigFig2,'Results Entry'!$U218)))</f>
        <v/>
      </c>
      <c r="K128" s="1322" t="str">
        <f>IF(I$85="","",('Results Entry'!$X218&amp;signum2('Results Entry'!$Y218,SigFig1,SigFig2,'Results Entry'!$X218)))</f>
        <v/>
      </c>
      <c r="L128" s="1321"/>
      <c r="M128" s="1322"/>
      <c r="N128" s="1272"/>
      <c r="O128" s="1319">
        <f t="shared" si="0"/>
        <v>0</v>
      </c>
      <c r="P128" s="1319">
        <f t="shared" si="1"/>
        <v>0</v>
      </c>
    </row>
    <row r="129" spans="1:16" hidden="1">
      <c r="A129" s="1267" t="str">
        <f>IF('Results Entry'!B172=0,"",'Results Entry'!B172)</f>
        <v/>
      </c>
      <c r="B129" s="1273"/>
      <c r="C129" s="1321" t="str">
        <f>IF($C$85="","",('Results Entry'!$Z172&amp;signum2('Results Entry'!AA172,SigFig1,SigFig2,'Results Entry'!$Z172)))</f>
        <v/>
      </c>
      <c r="D129" s="1273" t="str">
        <f>IF($C$85="","",('Results Entry'!$Z172&amp;signum2('Results Entry'!AB172,SigFig1,SigFig2,'Results Entry'!$Z172)))</f>
        <v/>
      </c>
      <c r="E129" s="1322" t="str">
        <f>IF($C$85="","",('Results Entry'!AC172&amp;signum2('Results Entry'!AD172,SigFig1,SigFig2,'Results Entry'!AC172)))</f>
        <v/>
      </c>
      <c r="F129" s="2330" t="str">
        <f>IF(F$85="","",('Results Entry'!$U172&amp;signum2('Results Entry'!V172,SigFig1,SigFig2,'Results Entry'!$U172)))</f>
        <v/>
      </c>
      <c r="G129" s="2328" t="str">
        <f>IF(F$85="","",('Results Entry'!$U172&amp;signum2('Results Entry'!W172,SigFig1,SigFig2,'Results Entry'!$U172)))</f>
        <v/>
      </c>
      <c r="H129" s="1322" t="str">
        <f>IF(F$85="","",('Results Entry'!X172&amp;signum2('Results Entry'!Y172,SigFig1,SigFig2,'Results Entry'!X172)))</f>
        <v/>
      </c>
      <c r="I129" s="1321" t="str">
        <f>IF(I$85="","",('Results Entry'!$U219&amp;signum2('Results Entry'!$V219,SigFig1,SigFig2,'Results Entry'!$U219)))</f>
        <v/>
      </c>
      <c r="J129" s="1273" t="str">
        <f>IF(I$85="","",('Results Entry'!$U219&amp;signum2('Results Entry'!$W219,SigFig1,SigFig2,'Results Entry'!$U219)))</f>
        <v/>
      </c>
      <c r="K129" s="1322" t="str">
        <f>IF(I$85="","",('Results Entry'!$X219&amp;signum2('Results Entry'!$Y219,SigFig1,SigFig2,'Results Entry'!$X219)))</f>
        <v/>
      </c>
      <c r="L129" s="1321"/>
      <c r="M129" s="1322"/>
      <c r="N129" s="1272"/>
      <c r="O129" s="1319">
        <f t="shared" si="0"/>
        <v>0</v>
      </c>
      <c r="P129" s="1319">
        <f t="shared" si="1"/>
        <v>0</v>
      </c>
    </row>
    <row r="130" spans="1:16" hidden="1">
      <c r="A130" s="2036" t="str">
        <f>IF('Results Entry'!B173=0,"",'Results Entry'!B173)</f>
        <v/>
      </c>
      <c r="B130" s="1273"/>
      <c r="C130" s="2037" t="str">
        <f>IF($C$85="","",('Results Entry'!$Z173&amp;signum2('Results Entry'!AA173,SigFig1,SigFig2,'Results Entry'!$Z173)))</f>
        <v/>
      </c>
      <c r="D130" s="1996" t="str">
        <f>IF($C$85="","",('Results Entry'!$Z173&amp;signum2('Results Entry'!AB173,SigFig1,SigFig2,'Results Entry'!$Z173)))</f>
        <v/>
      </c>
      <c r="E130" s="2038" t="str">
        <f>IF($C$85="","",('Results Entry'!AC173&amp;signum2('Results Entry'!AD173,SigFig1,SigFig2,'Results Entry'!AC173)))</f>
        <v/>
      </c>
      <c r="F130" s="2037" t="str">
        <f>IF(F$85="","",('Results Entry'!$U173&amp;signum2('Results Entry'!V173,SigFig1,SigFig2,'Results Entry'!$U173)))</f>
        <v/>
      </c>
      <c r="G130" s="1273" t="str">
        <f>IF(F$85="","",('Results Entry'!$U173&amp;signum2('Results Entry'!W173,SigFig1,SigFig2,'Results Entry'!$U173)))</f>
        <v/>
      </c>
      <c r="H130" s="2038" t="str">
        <f>IF(F$85="","",('Results Entry'!X173&amp;signum2('Results Entry'!Y173,SigFig1,SigFig2,'Results Entry'!X173)))</f>
        <v/>
      </c>
      <c r="I130" s="2037" t="str">
        <f>IF(I$85="","",('Results Entry'!$U220&amp;signum2('Results Entry'!$V220,SigFig1,SigFig2,'Results Entry'!$U220)))</f>
        <v/>
      </c>
      <c r="J130" s="1273" t="str">
        <f>IF(I$85="","",('Results Entry'!$U220&amp;signum2('Results Entry'!$W220,SigFig1,SigFig2,'Results Entry'!$U220)))</f>
        <v/>
      </c>
      <c r="K130" s="2038" t="str">
        <f>IF(I$85="","",('Results Entry'!$X220&amp;signum2('Results Entry'!$Y220,SigFig1,SigFig2,'Results Entry'!$X220)))</f>
        <v/>
      </c>
      <c r="L130" s="1321"/>
      <c r="M130" s="1322"/>
      <c r="N130" s="1272"/>
      <c r="O130" s="1319">
        <f>MAX(IF(ISERROR(VALUE($C130)),0,VALUE($C130)),IF(ISERROR(VALUE($F130)),0,VALUE($F130)),IF(ISERROR(VALUE($I130)),0,VALUE($I130)))</f>
        <v>0</v>
      </c>
      <c r="P130" s="1319">
        <f>MAX(IF(ISERROR(VALUE($E130)),0,VALUE($E130)),IF(ISERROR(VALUE($H130)),0,VALUE($H130)),IF(ISERROR(VALUE($K130)),0,VALUE($K130)))</f>
        <v>0</v>
      </c>
    </row>
    <row r="131" spans="1:16" hidden="1">
      <c r="A131" s="2039" t="str">
        <f>IF('PM &amp; Metals'!A58="","",'PM &amp; Metals'!A58)</f>
        <v>Total Type 1 Substances</v>
      </c>
      <c r="B131" s="1999"/>
      <c r="C131" s="1997" t="str">
        <f>IF($C$85="","",('Results Entry'!$Z174&amp;signum2('Results Entry'!AA174,SigFig1,SigFig2,'Results Entry'!$Z174)))</f>
        <v/>
      </c>
      <c r="D131" s="1999" t="str">
        <f>IF($C$85="","",('Results Entry'!$Z174&amp;signum2('Results Entry'!AB174,SigFig1,SigFig2,'Results Entry'!$Z174)))</f>
        <v/>
      </c>
      <c r="E131" s="1998" t="str">
        <f>IF($C$85="","",('Results Entry'!AC174&amp;signum2('Results Entry'!AD174,SigFig1,SigFig2,'Results Entry'!AC174)))</f>
        <v/>
      </c>
      <c r="F131" s="1999" t="str">
        <f>IF(F$85="","",('Results Entry'!$U174&amp;signum2('Results Entry'!V174,SigFig1,SigFig2,'Results Entry'!$U174)))</f>
        <v/>
      </c>
      <c r="G131" s="1999" t="str">
        <f>IF(F$85="","",('Results Entry'!$U174&amp;signum2('Results Entry'!W174,SigFig1,SigFig2,'Results Entry'!$U174)))</f>
        <v/>
      </c>
      <c r="H131" s="1998" t="str">
        <f>IF(F$85="","",('Results Entry'!X174&amp;signum2('Results Entry'!Y174,SigFig1,SigFig2,'Results Entry'!X174)))</f>
        <v/>
      </c>
      <c r="I131" s="1997" t="str">
        <f>IF(I$85="","",('Results Entry'!$U221&amp;signum2('Results Entry'!$V221,SigFig1,SigFig2,'Results Entry'!$U221)))</f>
        <v/>
      </c>
      <c r="J131" s="1999" t="str">
        <f>IF(I$85="","",('Results Entry'!$U221&amp;signum2('Results Entry'!$W221,SigFig1,SigFig2,'Results Entry'!$U221)))</f>
        <v/>
      </c>
      <c r="K131" s="1998" t="str">
        <f>IF(I$85="","",('Results Entry'!$X221&amp;signum2('Results Entry'!$Y221,SigFig1,SigFig2,'Results Entry'!$X221)))</f>
        <v/>
      </c>
      <c r="L131" s="1996"/>
      <c r="M131" s="1996"/>
      <c r="N131" s="1272"/>
      <c r="O131" s="2000"/>
      <c r="P131" s="2000"/>
    </row>
    <row r="132" spans="1:16" hidden="1">
      <c r="A132" s="2036" t="str">
        <f>IF('PM &amp; Metals'!A59="","",'PM &amp; Metals'!A59)</f>
        <v>Total Type 2 Substances</v>
      </c>
      <c r="B132" s="1996"/>
      <c r="C132" s="2037" t="str">
        <f>IF($C$85="","",('Results Entry'!$Z175&amp;signum2('Results Entry'!AA175,SigFig1,SigFig2,'Results Entry'!$Z175)))</f>
        <v/>
      </c>
      <c r="D132" s="1996" t="str">
        <f>IF($C$85="","",('Results Entry'!$Z175&amp;signum2('Results Entry'!AB175,SigFig1,SigFig2,'Results Entry'!$Z175)))</f>
        <v/>
      </c>
      <c r="E132" s="2038" t="str">
        <f>IF($C$85="","",('Results Entry'!AC175&amp;signum2('Results Entry'!AD175,SigFig1,SigFig2,'Results Entry'!AC175)))</f>
        <v/>
      </c>
      <c r="F132" s="1996" t="str">
        <f>IF(F$85="","",('Results Entry'!$U175&amp;signum2('Results Entry'!V175,SigFig1,SigFig2,'Results Entry'!$U175)))</f>
        <v/>
      </c>
      <c r="G132" s="1996" t="str">
        <f>IF(F$85="","",('Results Entry'!$U175&amp;signum2('Results Entry'!W175,SigFig1,SigFig2,'Results Entry'!$U175)))</f>
        <v/>
      </c>
      <c r="H132" s="2038" t="str">
        <f>IF(F$85="","",('Results Entry'!X175&amp;signum2('Results Entry'!Y175,SigFig1,SigFig2,'Results Entry'!X175)))</f>
        <v/>
      </c>
      <c r="I132" s="2037" t="str">
        <f>IF(I$85="","",('Results Entry'!$U222&amp;signum2('Results Entry'!$V222,SigFig1,SigFig2,'Results Entry'!$U222)))</f>
        <v/>
      </c>
      <c r="J132" s="1996" t="str">
        <f>IF(I$85="","",('Results Entry'!$U222&amp;signum2('Results Entry'!$W222,SigFig1,SigFig2,'Results Entry'!$U222)))</f>
        <v/>
      </c>
      <c r="K132" s="2038" t="str">
        <f>IF(I$85="","",('Results Entry'!$X222&amp;signum2('Results Entry'!$Y222,SigFig1,SigFig2,'Results Entry'!$X222)))</f>
        <v/>
      </c>
      <c r="L132" s="1996"/>
      <c r="M132" s="1996"/>
      <c r="N132" s="1272"/>
      <c r="O132" s="2000"/>
      <c r="P132" s="2000"/>
    </row>
    <row r="133" spans="1:16" hidden="1">
      <c r="A133" s="1309" t="str">
        <f>IF('PM &amp; Metals'!A60="","",'PM &amp; Metals'!A60)</f>
        <v>Total Type 1 &amp; 2 Substances</v>
      </c>
      <c r="B133" s="1275"/>
      <c r="C133" s="1350" t="str">
        <f>IF($C$85="","",('Results Entry'!$Z176&amp;signum2('Results Entry'!AA176,SigFig1,SigFig2,'Results Entry'!$Z176)))</f>
        <v/>
      </c>
      <c r="D133" s="1275" t="str">
        <f>IF($C$85="","",('Results Entry'!$Z176&amp;signum2('Results Entry'!AB176,SigFig1,SigFig2,'Results Entry'!$Z176)))</f>
        <v/>
      </c>
      <c r="E133" s="1337" t="str">
        <f>IF($C$85="","",('Results Entry'!AC176&amp;signum2('Results Entry'!AD176,SigFig1,SigFig2,'Results Entry'!AC176)))</f>
        <v/>
      </c>
      <c r="F133" s="1275" t="str">
        <f>IF(F$85="","",('Results Entry'!$U176&amp;signum2('Results Entry'!V176,SigFig1,SigFig2,'Results Entry'!$U176)))</f>
        <v/>
      </c>
      <c r="G133" s="1275" t="str">
        <f>IF(F$85="","",('Results Entry'!$U176&amp;signum2('Results Entry'!W176,SigFig1,SigFig2,'Results Entry'!$U176)))</f>
        <v/>
      </c>
      <c r="H133" s="1337" t="str">
        <f>IF(F$85="","",('Results Entry'!X176&amp;signum2('Results Entry'!Y176,SigFig1,SigFig2,'Results Entry'!X176)))</f>
        <v/>
      </c>
      <c r="I133" s="1350" t="str">
        <f>IF(I$85="","",('Results Entry'!$U223&amp;signum2('Results Entry'!$V223,SigFig1,SigFig2,'Results Entry'!$U223)))</f>
        <v/>
      </c>
      <c r="J133" s="1275" t="str">
        <f>IF(I$85="","",('Results Entry'!$U223&amp;signum2('Results Entry'!$W223,SigFig1,SigFig2,'Results Entry'!$U223)))</f>
        <v/>
      </c>
      <c r="K133" s="1337" t="str">
        <f>IF(I$85="","",('Results Entry'!$X223&amp;signum2('Results Entry'!$Y223,SigFig1,SigFig2,'Results Entry'!$X223)))</f>
        <v/>
      </c>
      <c r="L133" s="1996"/>
      <c r="M133" s="1996"/>
      <c r="N133" s="1272"/>
      <c r="O133" s="2000"/>
      <c r="P133" s="2000"/>
    </row>
    <row r="134" spans="1:16" hidden="1">
      <c r="A134" s="1371" t="s">
        <v>41</v>
      </c>
      <c r="B134" s="1371" t="s">
        <v>41</v>
      </c>
      <c r="C134" s="1371" t="s">
        <v>41</v>
      </c>
      <c r="D134" s="1371" t="s">
        <v>41</v>
      </c>
      <c r="E134" s="1371" t="s">
        <v>41</v>
      </c>
      <c r="F134" s="1371" t="s">
        <v>41</v>
      </c>
      <c r="G134" s="1371" t="s">
        <v>41</v>
      </c>
      <c r="H134" s="1371" t="s">
        <v>41</v>
      </c>
      <c r="I134" s="1371" t="s">
        <v>41</v>
      </c>
      <c r="J134" s="1371" t="s">
        <v>41</v>
      </c>
      <c r="K134" s="1371" t="s">
        <v>41</v>
      </c>
      <c r="L134" s="1325" t="s">
        <v>41</v>
      </c>
      <c r="M134" s="1325" t="s">
        <v>41</v>
      </c>
    </row>
    <row r="135" spans="1:16" ht="12.75" hidden="1" customHeight="1">
      <c r="A135" s="1262" t="s">
        <v>459</v>
      </c>
      <c r="B135" s="1263"/>
      <c r="C135" s="2522" t="str">
        <f>IF(OR(TestReport="All",TestReport="Average only"),"Average","")</f>
        <v>Average</v>
      </c>
      <c r="D135" s="2523" t="str">
        <f>IF(OR(TestReport="Test 2 only",TestReport="Tests 1 &amp; 2"),"Test 2","")</f>
        <v/>
      </c>
      <c r="E135" s="2524" t="str">
        <f>IF(OR(TestReport="Test 2 only",TestReport="Tests 1 &amp; 2"),"Test 2","")</f>
        <v/>
      </c>
      <c r="F135" s="2522" t="str">
        <f>IF(OR(TestReport="Test 2 only",TestReport="Average only"),"",IF(TestReport="Test 1 only","Results","Test 1"))</f>
        <v>Test 1</v>
      </c>
      <c r="G135" s="2523" t="str">
        <f>IF(OR(TestReport="Test 1 only",TestReport="Tests 1 &amp; 2"),"Test 1","")</f>
        <v/>
      </c>
      <c r="H135" s="2524" t="str">
        <f>IF(OR(TestReport="Test 1 only",TestReport="Tests 1 &amp; 2"),"Test 1","")</f>
        <v/>
      </c>
      <c r="I135" s="2522" t="str">
        <f>IF(OR(TestReport="Test 1 only",TestReport="Average only"),"",IF(TestReport="Test 2 only","Results","Test 2"))</f>
        <v>Test 2</v>
      </c>
      <c r="J135" s="2523" t="str">
        <f>IF(OR(TestReport="Test 1 only",TestReport="Tests 1 &amp; 2"),"Test 1","")</f>
        <v/>
      </c>
      <c r="K135" s="2524" t="str">
        <f>IF(OR(TestReport="Test 1 only",TestReport="Tests 1 &amp; 2"),"Test 1","")</f>
        <v/>
      </c>
      <c r="L135" s="2519" t="s">
        <v>62</v>
      </c>
      <c r="M135" s="2520"/>
      <c r="N135" s="1272"/>
      <c r="O135" s="2521" t="s">
        <v>369</v>
      </c>
      <c r="P135" s="2521"/>
    </row>
    <row r="136" spans="1:16" s="1416" customFormat="1" ht="18.75" hidden="1" customHeight="1">
      <c r="A136" s="1422"/>
      <c r="B136" s="1418" t="s">
        <v>98</v>
      </c>
      <c r="C136" s="1414"/>
      <c r="D136" s="1419"/>
      <c r="E136" s="1415"/>
      <c r="F136" s="2514" t="str">
        <f>IF(F$85="","",'Flows &amp; Isokinetics'!J$9&amp;"-"&amp;'Flows &amp; Isokinetics'!J$10)</f>
        <v>-</v>
      </c>
      <c r="G136" s="2515"/>
      <c r="H136" s="2516"/>
      <c r="I136" s="2514" t="str">
        <f>IF(I$85="","",'Flows &amp; Isokinetics'!K$9&amp;"-"&amp;'Flows &amp; Isokinetics'!K$10)</f>
        <v>-</v>
      </c>
      <c r="J136" s="2515"/>
      <c r="K136" s="2516"/>
      <c r="L136" s="1414"/>
      <c r="M136" s="1415"/>
      <c r="N136" s="1420"/>
    </row>
    <row r="137" spans="1:16" hidden="1">
      <c r="A137" s="1294"/>
      <c r="B137" s="1317"/>
      <c r="C137" s="1316" t="str">
        <f>IF(C135="","","Concentration")</f>
        <v>Concentration</v>
      </c>
      <c r="D137" s="1411" t="str">
        <f>IF(C135="","",O2CO2)</f>
        <v/>
      </c>
      <c r="E137" s="1318" t="str">
        <f>IF(C135="","","Mass Rate")</f>
        <v>Mass Rate</v>
      </c>
      <c r="F137" s="1316" t="str">
        <f>IF(F135="","","Concentration")</f>
        <v>Concentration</v>
      </c>
      <c r="G137" s="1411" t="str">
        <f>IF(F135="","",O2CO2)</f>
        <v/>
      </c>
      <c r="H137" s="1318" t="str">
        <f>IF(F135="","","Mass Rate")</f>
        <v>Mass Rate</v>
      </c>
      <c r="I137" s="1316" t="str">
        <f>IF(I135="","","Concentration")</f>
        <v>Concentration</v>
      </c>
      <c r="J137" s="1411" t="str">
        <f>IF(I135="","",O2CO2)</f>
        <v/>
      </c>
      <c r="K137" s="1318" t="str">
        <f>IF(I135="","","Mass Rate")</f>
        <v>Mass Rate</v>
      </c>
      <c r="L137" s="1316"/>
      <c r="M137" s="1318"/>
      <c r="N137" s="1272"/>
      <c r="O137" s="1291" t="s">
        <v>367</v>
      </c>
      <c r="P137" s="1291" t="s">
        <v>368</v>
      </c>
    </row>
    <row r="138" spans="1:16" hidden="1">
      <c r="A138" s="1290"/>
      <c r="B138" s="1293"/>
      <c r="C138" s="1313" t="str">
        <f>IF(C135="","",Dioxins!$E10)</f>
        <v>ng/m³</v>
      </c>
      <c r="D138" s="1314" t="str">
        <f>IF(C135="","",Dioxins!$E10)</f>
        <v>ng/m³</v>
      </c>
      <c r="E138" s="1315" t="str">
        <f>IF(C135="","",Dioxins!$G10)</f>
        <v>ng/min</v>
      </c>
      <c r="F138" s="1313" t="str">
        <f>IF(F135="","",Dioxins!$E10)</f>
        <v>ng/m³</v>
      </c>
      <c r="G138" s="1314" t="str">
        <f>IF(F135="","",Dioxins!$E10)</f>
        <v>ng/m³</v>
      </c>
      <c r="H138" s="1315" t="str">
        <f>IF(F135="","",Dioxins!$G10)</f>
        <v>ng/min</v>
      </c>
      <c r="I138" s="1313" t="str">
        <f>IF(I135="","",Dioxins!$E10)</f>
        <v>ng/m³</v>
      </c>
      <c r="J138" s="1314" t="str">
        <f>IF(I135="","",Dioxins!$E10)</f>
        <v>ng/m³</v>
      </c>
      <c r="K138" s="1315" t="str">
        <f>IF(I135="","",Dioxins!$G10)</f>
        <v>ng/min</v>
      </c>
      <c r="L138" s="1313" t="str">
        <f>IF(L135="","",Dioxins!$E10)</f>
        <v>ng/m³</v>
      </c>
      <c r="M138" s="1315" t="str">
        <f>IF(L135="","",Dioxins!$G10)</f>
        <v>ng/min</v>
      </c>
      <c r="N138" s="1272"/>
      <c r="O138" s="1291" t="str">
        <f>Dioxins!E10</f>
        <v>ng/m³</v>
      </c>
      <c r="P138" s="1291" t="str">
        <f>Dioxins!G10</f>
        <v>ng/min</v>
      </c>
    </row>
    <row r="139" spans="1:16" hidden="1">
      <c r="A139" s="1267" t="str">
        <f>Dioxins!A12</f>
        <v>2,3,7,8-TCDF</v>
      </c>
      <c r="B139" s="1273"/>
      <c r="C139" s="1321" t="str">
        <f>IF(C$135="","",(Dioxins!O12&amp;signum2(Dioxins!R12,SigFig1,SigFig2,Dioxins!O12)))</f>
        <v/>
      </c>
      <c r="D139" s="1351" t="str">
        <f>IF(C$135="","",(Dioxins!O12&amp;signum2(Dioxins!S12,SigFig1,SigFig2,Dioxins!O12)))</f>
        <v/>
      </c>
      <c r="E139" s="1352" t="str">
        <f>IF(C$135="","",(Dioxins!O12&amp;signum2(Dioxins!T12,SigFig1,SigFig2,Dioxins!O12)))</f>
        <v/>
      </c>
      <c r="F139" s="1321" t="str">
        <f>IF(F$135="","",(Dioxins!B12&amp;signum2(Dioxins!E12,SigFig1,SigFig2,Dioxins!B12)))</f>
        <v/>
      </c>
      <c r="G139" s="1351" t="str">
        <f>IF(F$135="","",(Dioxins!B12&amp;signum2(Dioxins!F12,SigFig1,SigFig2,Dioxins!B12)))</f>
        <v/>
      </c>
      <c r="H139" s="1352" t="str">
        <f>IF(F$135="","",(Dioxins!B12&amp;signum2(Dioxins!G12,SigFig1,SigFig2,Dioxins!B12)))</f>
        <v/>
      </c>
      <c r="I139" s="1321" t="str">
        <f>IF(I$135="","",(Dioxins!H12&amp;signum2(Dioxins!K12,SigFig1,SigFig2,Dioxins!H12)))</f>
        <v/>
      </c>
      <c r="J139" s="1351" t="str">
        <f>IF(I$135="","",(Dioxins!H12&amp;signum2(Dioxins!L12,SigFig1,SigFig2,Dioxins!H12)))</f>
        <v/>
      </c>
      <c r="K139" s="1352" t="str">
        <f>IF(I$135="","",(Dioxins!H12&amp;signum2(Dioxins!M12,SigFig1,SigFig2,Dioxins!H12)))</f>
        <v/>
      </c>
      <c r="L139" s="1321"/>
      <c r="M139" s="1322"/>
      <c r="N139" s="1272"/>
      <c r="O139" s="1319">
        <f t="shared" ref="O139:O163" si="2">MAX(IF(ISERROR(VALUE($C139)),0,VALUE($C139)),IF(ISERROR(VALUE($F139)),0,VALUE($F139)),IF(ISERROR(VALUE($I139)),0,VALUE($I139)))</f>
        <v>0</v>
      </c>
      <c r="P139" s="1319">
        <f t="shared" ref="P139:P163" si="3">MAX(IF(ISERROR(VALUE($E139)),0,VALUE($E139)),IF(ISERROR(VALUE($H139)),0,VALUE($H139)),IF(ISERROR(VALUE($K139)),0,VALUE($K139)))</f>
        <v>0</v>
      </c>
    </row>
    <row r="140" spans="1:16" hidden="1">
      <c r="A140" s="1267" t="str">
        <f>Dioxins!A13</f>
        <v>2,3,7,8-TCDD</v>
      </c>
      <c r="B140" s="1273"/>
      <c r="C140" s="1321" t="str">
        <f>IF(C$135="","",(Dioxins!O13&amp;signum2(Dioxins!R13,SigFig1,SigFig2,Dioxins!O13)))</f>
        <v/>
      </c>
      <c r="D140" s="1351" t="str">
        <f>IF(C$135="","",(Dioxins!O13&amp;signum2(Dioxins!S13,SigFig1,SigFig2,Dioxins!O13)))</f>
        <v/>
      </c>
      <c r="E140" s="1352" t="str">
        <f>IF(C$135="","",(Dioxins!O13&amp;signum2(Dioxins!T13,SigFig1,SigFig2,Dioxins!O13)))</f>
        <v/>
      </c>
      <c r="F140" s="1321" t="str">
        <f>IF(F$135="","",(Dioxins!B13&amp;signum2(Dioxins!E13,SigFig1,SigFig2,Dioxins!B13)))</f>
        <v/>
      </c>
      <c r="G140" s="1351" t="str">
        <f>IF(F$135="","",(Dioxins!B13&amp;signum2(Dioxins!F13,SigFig1,SigFig2,Dioxins!B13)))</f>
        <v/>
      </c>
      <c r="H140" s="1352" t="str">
        <f>IF(F$135="","",(Dioxins!B13&amp;signum2(Dioxins!G13,SigFig1,SigFig2,Dioxins!B13)))</f>
        <v/>
      </c>
      <c r="I140" s="1321" t="str">
        <f>IF(I$135="","",(Dioxins!H13&amp;signum2(Dioxins!K13,SigFig1,SigFig2,Dioxins!H13)))</f>
        <v/>
      </c>
      <c r="J140" s="1351" t="str">
        <f>IF(I$135="","",(Dioxins!H13&amp;signum2(Dioxins!L13,SigFig1,SigFig2,Dioxins!H13)))</f>
        <v/>
      </c>
      <c r="K140" s="1352" t="str">
        <f>IF(I$135="","",(Dioxins!H13&amp;signum2(Dioxins!M13,SigFig1,SigFig2,Dioxins!H13)))</f>
        <v/>
      </c>
      <c r="L140" s="1321"/>
      <c r="M140" s="1322"/>
      <c r="N140" s="1272"/>
      <c r="O140" s="1319">
        <f t="shared" si="2"/>
        <v>0</v>
      </c>
      <c r="P140" s="1319">
        <f t="shared" si="3"/>
        <v>0</v>
      </c>
    </row>
    <row r="141" spans="1:16" hidden="1">
      <c r="A141" s="1267" t="str">
        <f>Dioxins!A14</f>
        <v>1,2,3,7,8-PeCDF</v>
      </c>
      <c r="B141" s="1273"/>
      <c r="C141" s="1321" t="str">
        <f>IF(C$135="","",(Dioxins!O14&amp;signum2(Dioxins!R14,SigFig1,SigFig2,Dioxins!O14)))</f>
        <v/>
      </c>
      <c r="D141" s="1351" t="str">
        <f>IF(C$135="","",(Dioxins!O14&amp;signum2(Dioxins!S14,SigFig1,SigFig2,Dioxins!O14)))</f>
        <v/>
      </c>
      <c r="E141" s="1352" t="str">
        <f>IF(C$135="","",(Dioxins!O14&amp;signum2(Dioxins!T14,SigFig1,SigFig2,Dioxins!O14)))</f>
        <v/>
      </c>
      <c r="F141" s="1321" t="str">
        <f>IF(F$135="","",(Dioxins!B14&amp;signum2(Dioxins!E14,SigFig1,SigFig2,Dioxins!B14)))</f>
        <v/>
      </c>
      <c r="G141" s="1351" t="str">
        <f>IF(F$135="","",(Dioxins!B14&amp;signum2(Dioxins!F14,SigFig1,SigFig2,Dioxins!B14)))</f>
        <v/>
      </c>
      <c r="H141" s="1352" t="str">
        <f>IF(F$135="","",(Dioxins!B14&amp;signum2(Dioxins!G14,SigFig1,SigFig2,Dioxins!B14)))</f>
        <v/>
      </c>
      <c r="I141" s="1321" t="str">
        <f>IF(I$135="","",(Dioxins!H14&amp;signum2(Dioxins!K14,SigFig1,SigFig2,Dioxins!H14)))</f>
        <v/>
      </c>
      <c r="J141" s="1351" t="str">
        <f>IF(I$135="","",(Dioxins!H14&amp;signum2(Dioxins!L14,SigFig1,SigFig2,Dioxins!H14)))</f>
        <v/>
      </c>
      <c r="K141" s="1352" t="str">
        <f>IF(I$135="","",(Dioxins!H14&amp;signum2(Dioxins!M14,SigFig1,SigFig2,Dioxins!H14)))</f>
        <v/>
      </c>
      <c r="L141" s="1321"/>
      <c r="M141" s="1322"/>
      <c r="N141" s="1272"/>
      <c r="O141" s="1319">
        <f t="shared" si="2"/>
        <v>0</v>
      </c>
      <c r="P141" s="1319">
        <f t="shared" si="3"/>
        <v>0</v>
      </c>
    </row>
    <row r="142" spans="1:16" hidden="1">
      <c r="A142" s="1267" t="str">
        <f>Dioxins!A15</f>
        <v>2,3,4,7,8-PeCDF</v>
      </c>
      <c r="B142" s="1273"/>
      <c r="C142" s="1321" t="str">
        <f>IF(C$135="","",(Dioxins!O15&amp;signum2(Dioxins!R15,SigFig1,SigFig2,Dioxins!O15)))</f>
        <v/>
      </c>
      <c r="D142" s="1351" t="str">
        <f>IF(C$135="","",(Dioxins!O15&amp;signum2(Dioxins!S15,SigFig1,SigFig2,Dioxins!O15)))</f>
        <v/>
      </c>
      <c r="E142" s="1352" t="str">
        <f>IF(C$135="","",(Dioxins!O15&amp;signum2(Dioxins!T15,SigFig1,SigFig2,Dioxins!O15)))</f>
        <v/>
      </c>
      <c r="F142" s="1321" t="str">
        <f>IF(F$135="","",(Dioxins!B15&amp;signum2(Dioxins!E15,SigFig1,SigFig2,Dioxins!B15)))</f>
        <v/>
      </c>
      <c r="G142" s="1351" t="str">
        <f>IF(F$135="","",(Dioxins!B15&amp;signum2(Dioxins!F15,SigFig1,SigFig2,Dioxins!B15)))</f>
        <v/>
      </c>
      <c r="H142" s="1352" t="str">
        <f>IF(F$135="","",(Dioxins!B15&amp;signum2(Dioxins!G15,SigFig1,SigFig2,Dioxins!B15)))</f>
        <v/>
      </c>
      <c r="I142" s="1321" t="str">
        <f>IF(I$135="","",(Dioxins!H15&amp;signum2(Dioxins!K15,SigFig1,SigFig2,Dioxins!H15)))</f>
        <v/>
      </c>
      <c r="J142" s="1351" t="str">
        <f>IF(I$135="","",(Dioxins!H15&amp;signum2(Dioxins!L15,SigFig1,SigFig2,Dioxins!H15)))</f>
        <v/>
      </c>
      <c r="K142" s="1352" t="str">
        <f>IF(I$135="","",(Dioxins!H15&amp;signum2(Dioxins!M15,SigFig1,SigFig2,Dioxins!H15)))</f>
        <v/>
      </c>
      <c r="L142" s="1321"/>
      <c r="M142" s="1322"/>
      <c r="N142" s="1272"/>
      <c r="O142" s="1319">
        <f t="shared" si="2"/>
        <v>0</v>
      </c>
      <c r="P142" s="1319">
        <f t="shared" si="3"/>
        <v>0</v>
      </c>
    </row>
    <row r="143" spans="1:16" hidden="1">
      <c r="A143" s="1267" t="str">
        <f>Dioxins!A16</f>
        <v>1,2,3,7,8-PeCDD</v>
      </c>
      <c r="B143" s="1273"/>
      <c r="C143" s="1321" t="str">
        <f>IF(C$135="","",(Dioxins!O16&amp;signum2(Dioxins!R16,SigFig1,SigFig2,Dioxins!O16)))</f>
        <v/>
      </c>
      <c r="D143" s="1351" t="str">
        <f>IF(C$135="","",(Dioxins!O16&amp;signum2(Dioxins!S16,SigFig1,SigFig2,Dioxins!O16)))</f>
        <v/>
      </c>
      <c r="E143" s="1352" t="str">
        <f>IF(C$135="","",(Dioxins!O16&amp;signum2(Dioxins!T16,SigFig1,SigFig2,Dioxins!O16)))</f>
        <v/>
      </c>
      <c r="F143" s="1321" t="str">
        <f>IF(F$135="","",(Dioxins!B16&amp;signum2(Dioxins!E16,SigFig1,SigFig2,Dioxins!B16)))</f>
        <v/>
      </c>
      <c r="G143" s="1351" t="str">
        <f>IF(F$135="","",(Dioxins!B16&amp;signum2(Dioxins!F16,SigFig1,SigFig2,Dioxins!B16)))</f>
        <v/>
      </c>
      <c r="H143" s="1352" t="str">
        <f>IF(F$135="","",(Dioxins!B16&amp;signum2(Dioxins!G16,SigFig1,SigFig2,Dioxins!B16)))</f>
        <v/>
      </c>
      <c r="I143" s="1321" t="str">
        <f>IF(I$135="","",(Dioxins!H16&amp;signum2(Dioxins!K16,SigFig1,SigFig2,Dioxins!H16)))</f>
        <v/>
      </c>
      <c r="J143" s="1351" t="str">
        <f>IF(I$135="","",(Dioxins!H16&amp;signum2(Dioxins!L16,SigFig1,SigFig2,Dioxins!H16)))</f>
        <v/>
      </c>
      <c r="K143" s="1352" t="str">
        <f>IF(I$135="","",(Dioxins!H16&amp;signum2(Dioxins!M16,SigFig1,SigFig2,Dioxins!H16)))</f>
        <v/>
      </c>
      <c r="L143" s="1321"/>
      <c r="M143" s="1322"/>
      <c r="N143" s="1272"/>
      <c r="O143" s="1319">
        <f t="shared" si="2"/>
        <v>0</v>
      </c>
      <c r="P143" s="1319">
        <f t="shared" si="3"/>
        <v>0</v>
      </c>
    </row>
    <row r="144" spans="1:16" hidden="1">
      <c r="A144" s="1267" t="str">
        <f>Dioxins!A17</f>
        <v>1,2,3,4,7,8-HxCDF</v>
      </c>
      <c r="B144" s="1273"/>
      <c r="C144" s="1321" t="str">
        <f>IF(C$135="","",(Dioxins!O17&amp;signum2(Dioxins!R17,SigFig1,SigFig2,Dioxins!O17)))</f>
        <v/>
      </c>
      <c r="D144" s="1351" t="str">
        <f>IF(C$135="","",(Dioxins!O17&amp;signum2(Dioxins!S17,SigFig1,SigFig2,Dioxins!O17)))</f>
        <v/>
      </c>
      <c r="E144" s="1352" t="str">
        <f>IF(C$135="","",(Dioxins!O17&amp;signum2(Dioxins!T17,SigFig1,SigFig2,Dioxins!O17)))</f>
        <v/>
      </c>
      <c r="F144" s="1321" t="str">
        <f>IF(F$135="","",(Dioxins!B17&amp;signum2(Dioxins!E17,SigFig1,SigFig2,Dioxins!B17)))</f>
        <v/>
      </c>
      <c r="G144" s="1351" t="str">
        <f>IF(F$135="","",(Dioxins!B17&amp;signum2(Dioxins!F17,SigFig1,SigFig2,Dioxins!B17)))</f>
        <v/>
      </c>
      <c r="H144" s="1352" t="str">
        <f>IF(F$135="","",(Dioxins!B17&amp;signum2(Dioxins!G17,SigFig1,SigFig2,Dioxins!B17)))</f>
        <v/>
      </c>
      <c r="I144" s="1321" t="str">
        <f>IF(I$135="","",(Dioxins!H17&amp;signum2(Dioxins!K17,SigFig1,SigFig2,Dioxins!H17)))</f>
        <v/>
      </c>
      <c r="J144" s="1351" t="str">
        <f>IF(I$135="","",(Dioxins!H17&amp;signum2(Dioxins!L17,SigFig1,SigFig2,Dioxins!H17)))</f>
        <v/>
      </c>
      <c r="K144" s="1352" t="str">
        <f>IF(I$135="","",(Dioxins!H17&amp;signum2(Dioxins!M17,SigFig1,SigFig2,Dioxins!H17)))</f>
        <v/>
      </c>
      <c r="L144" s="1321"/>
      <c r="M144" s="1322"/>
      <c r="N144" s="1272"/>
      <c r="O144" s="1319">
        <f t="shared" si="2"/>
        <v>0</v>
      </c>
      <c r="P144" s="1319">
        <f t="shared" si="3"/>
        <v>0</v>
      </c>
    </row>
    <row r="145" spans="1:16" hidden="1">
      <c r="A145" s="1267" t="str">
        <f>Dioxins!A18</f>
        <v>1,2,3,6,7,8-HxCDF</v>
      </c>
      <c r="B145" s="1273"/>
      <c r="C145" s="1321" t="str">
        <f>IF(C$135="","",(Dioxins!O18&amp;signum2(Dioxins!R18,SigFig1,SigFig2,Dioxins!O18)))</f>
        <v/>
      </c>
      <c r="D145" s="1351" t="str">
        <f>IF(C$135="","",(Dioxins!O18&amp;signum2(Dioxins!S18,SigFig1,SigFig2,Dioxins!O18)))</f>
        <v/>
      </c>
      <c r="E145" s="1352" t="str">
        <f>IF(C$135="","",(Dioxins!O18&amp;signum2(Dioxins!T18,SigFig1,SigFig2,Dioxins!O18)))</f>
        <v/>
      </c>
      <c r="F145" s="1321" t="str">
        <f>IF(F$135="","",(Dioxins!B18&amp;signum2(Dioxins!E18,SigFig1,SigFig2,Dioxins!B18)))</f>
        <v/>
      </c>
      <c r="G145" s="1351" t="str">
        <f>IF(F$135="","",(Dioxins!B18&amp;signum2(Dioxins!F18,SigFig1,SigFig2,Dioxins!B18)))</f>
        <v/>
      </c>
      <c r="H145" s="1352" t="str">
        <f>IF(F$135="","",(Dioxins!B18&amp;signum2(Dioxins!G18,SigFig1,SigFig2,Dioxins!B18)))</f>
        <v/>
      </c>
      <c r="I145" s="1321" t="str">
        <f>IF(I$135="","",(Dioxins!H18&amp;signum2(Dioxins!K18,SigFig1,SigFig2,Dioxins!H18)))</f>
        <v/>
      </c>
      <c r="J145" s="1351" t="str">
        <f>IF(I$135="","",(Dioxins!H18&amp;signum2(Dioxins!L18,SigFig1,SigFig2,Dioxins!H18)))</f>
        <v/>
      </c>
      <c r="K145" s="1352" t="str">
        <f>IF(I$135="","",(Dioxins!H18&amp;signum2(Dioxins!M18,SigFig1,SigFig2,Dioxins!H18)))</f>
        <v/>
      </c>
      <c r="L145" s="1321"/>
      <c r="M145" s="1322"/>
      <c r="N145" s="1272"/>
      <c r="O145" s="1319">
        <f t="shared" si="2"/>
        <v>0</v>
      </c>
      <c r="P145" s="1319">
        <f t="shared" si="3"/>
        <v>0</v>
      </c>
    </row>
    <row r="146" spans="1:16" hidden="1">
      <c r="A146" s="1267" t="str">
        <f>Dioxins!A19</f>
        <v>2,3,4,6,7,8-HxCDF</v>
      </c>
      <c r="B146" s="1273"/>
      <c r="C146" s="1321" t="str">
        <f>IF(C$135="","",(Dioxins!O19&amp;signum2(Dioxins!R19,SigFig1,SigFig2,Dioxins!O19)))</f>
        <v/>
      </c>
      <c r="D146" s="1351" t="str">
        <f>IF(C$135="","",(Dioxins!O19&amp;signum2(Dioxins!S19,SigFig1,SigFig2,Dioxins!O19)))</f>
        <v/>
      </c>
      <c r="E146" s="1352" t="str">
        <f>IF(C$135="","",(Dioxins!O19&amp;signum2(Dioxins!T19,SigFig1,SigFig2,Dioxins!O19)))</f>
        <v/>
      </c>
      <c r="F146" s="1321" t="str">
        <f>IF(F$135="","",(Dioxins!B19&amp;signum2(Dioxins!E19,SigFig1,SigFig2,Dioxins!B19)))</f>
        <v/>
      </c>
      <c r="G146" s="1351" t="str">
        <f>IF(F$135="","",(Dioxins!B19&amp;signum2(Dioxins!F19,SigFig1,SigFig2,Dioxins!B19)))</f>
        <v/>
      </c>
      <c r="H146" s="1352" t="str">
        <f>IF(F$135="","",(Dioxins!B19&amp;signum2(Dioxins!G19,SigFig1,SigFig2,Dioxins!B19)))</f>
        <v/>
      </c>
      <c r="I146" s="1321" t="str">
        <f>IF(I$135="","",(Dioxins!H19&amp;signum2(Dioxins!K19,SigFig1,SigFig2,Dioxins!H19)))</f>
        <v/>
      </c>
      <c r="J146" s="1351" t="str">
        <f>IF(I$135="","",(Dioxins!H19&amp;signum2(Dioxins!L19,SigFig1,SigFig2,Dioxins!H19)))</f>
        <v/>
      </c>
      <c r="K146" s="1352" t="str">
        <f>IF(I$135="","",(Dioxins!H19&amp;signum2(Dioxins!M19,SigFig1,SigFig2,Dioxins!H19)))</f>
        <v/>
      </c>
      <c r="L146" s="1321"/>
      <c r="M146" s="1322"/>
      <c r="N146" s="1272"/>
      <c r="O146" s="1319">
        <f t="shared" si="2"/>
        <v>0</v>
      </c>
      <c r="P146" s="1319">
        <f t="shared" si="3"/>
        <v>0</v>
      </c>
    </row>
    <row r="147" spans="1:16" hidden="1">
      <c r="A147" s="1267" t="str">
        <f>Dioxins!A20</f>
        <v>1,2,3,7,8,9-HxCDF</v>
      </c>
      <c r="B147" s="1273"/>
      <c r="C147" s="1321" t="str">
        <f>IF(C$135="","",(Dioxins!O20&amp;signum2(Dioxins!R20,SigFig1,SigFig2,Dioxins!O20)))</f>
        <v/>
      </c>
      <c r="D147" s="1351" t="str">
        <f>IF(C$135="","",(Dioxins!O20&amp;signum2(Dioxins!S20,SigFig1,SigFig2,Dioxins!O20)))</f>
        <v/>
      </c>
      <c r="E147" s="1352" t="str">
        <f>IF(C$135="","",(Dioxins!O20&amp;signum2(Dioxins!T20,SigFig1,SigFig2,Dioxins!O20)))</f>
        <v/>
      </c>
      <c r="F147" s="1321" t="str">
        <f>IF(F$135="","",(Dioxins!B20&amp;signum2(Dioxins!E20,SigFig1,SigFig2,Dioxins!B20)))</f>
        <v/>
      </c>
      <c r="G147" s="1351" t="str">
        <f>IF(F$135="","",(Dioxins!B20&amp;signum2(Dioxins!F20,SigFig1,SigFig2,Dioxins!B20)))</f>
        <v/>
      </c>
      <c r="H147" s="1352" t="str">
        <f>IF(F$135="","",(Dioxins!B20&amp;signum2(Dioxins!G20,SigFig1,SigFig2,Dioxins!B20)))</f>
        <v/>
      </c>
      <c r="I147" s="1321" t="str">
        <f>IF(I$135="","",(Dioxins!H20&amp;signum2(Dioxins!K20,SigFig1,SigFig2,Dioxins!H20)))</f>
        <v/>
      </c>
      <c r="J147" s="1351" t="str">
        <f>IF(I$135="","",(Dioxins!H20&amp;signum2(Dioxins!L20,SigFig1,SigFig2,Dioxins!H20)))</f>
        <v/>
      </c>
      <c r="K147" s="1352" t="str">
        <f>IF(I$135="","",(Dioxins!H20&amp;signum2(Dioxins!M20,SigFig1,SigFig2,Dioxins!H20)))</f>
        <v/>
      </c>
      <c r="L147" s="1321"/>
      <c r="M147" s="1322"/>
      <c r="N147" s="1272"/>
      <c r="O147" s="1319">
        <f t="shared" si="2"/>
        <v>0</v>
      </c>
      <c r="P147" s="1319">
        <f t="shared" si="3"/>
        <v>0</v>
      </c>
    </row>
    <row r="148" spans="1:16" hidden="1">
      <c r="A148" s="1267" t="str">
        <f>Dioxins!A21</f>
        <v>1,2,3,4,7,8-HxCDD</v>
      </c>
      <c r="B148" s="1273"/>
      <c r="C148" s="1321" t="str">
        <f>IF(C$135="","",(Dioxins!O21&amp;signum2(Dioxins!R21,SigFig1,SigFig2,Dioxins!O21)))</f>
        <v/>
      </c>
      <c r="D148" s="1351" t="str">
        <f>IF(C$135="","",(Dioxins!O21&amp;signum2(Dioxins!S21,SigFig1,SigFig2,Dioxins!O21)))</f>
        <v/>
      </c>
      <c r="E148" s="1352" t="str">
        <f>IF(C$135="","",(Dioxins!O21&amp;signum2(Dioxins!T21,SigFig1,SigFig2,Dioxins!O21)))</f>
        <v/>
      </c>
      <c r="F148" s="1321" t="str">
        <f>IF(F$135="","",(Dioxins!B21&amp;signum2(Dioxins!E21,SigFig1,SigFig2,Dioxins!B21)))</f>
        <v/>
      </c>
      <c r="G148" s="1351" t="str">
        <f>IF(F$135="","",(Dioxins!B21&amp;signum2(Dioxins!F21,SigFig1,SigFig2,Dioxins!B21)))</f>
        <v/>
      </c>
      <c r="H148" s="1352" t="str">
        <f>IF(F$135="","",(Dioxins!B21&amp;signum2(Dioxins!G21,SigFig1,SigFig2,Dioxins!B21)))</f>
        <v/>
      </c>
      <c r="I148" s="1321" t="str">
        <f>IF(I$135="","",(Dioxins!H21&amp;signum2(Dioxins!K21,SigFig1,SigFig2,Dioxins!H21)))</f>
        <v/>
      </c>
      <c r="J148" s="1351" t="str">
        <f>IF(I$135="","",(Dioxins!H21&amp;signum2(Dioxins!L21,SigFig1,SigFig2,Dioxins!H21)))</f>
        <v/>
      </c>
      <c r="K148" s="1352" t="str">
        <f>IF(I$135="","",(Dioxins!H21&amp;signum2(Dioxins!M21,SigFig1,SigFig2,Dioxins!H21)))</f>
        <v/>
      </c>
      <c r="L148" s="1321"/>
      <c r="M148" s="1322"/>
      <c r="N148" s="1272"/>
      <c r="O148" s="1319">
        <f t="shared" si="2"/>
        <v>0</v>
      </c>
      <c r="P148" s="1319">
        <f t="shared" si="3"/>
        <v>0</v>
      </c>
    </row>
    <row r="149" spans="1:16" hidden="1">
      <c r="A149" s="1267" t="str">
        <f>Dioxins!A22</f>
        <v>1,2,3,6,7,8-HxCDD</v>
      </c>
      <c r="B149" s="1273"/>
      <c r="C149" s="1321" t="str">
        <f>IF(C$135="","",(Dioxins!O22&amp;signum2(Dioxins!R22,SigFig1,SigFig2,Dioxins!O22)))</f>
        <v/>
      </c>
      <c r="D149" s="1351" t="str">
        <f>IF(C$135="","",(Dioxins!O22&amp;signum2(Dioxins!S22,SigFig1,SigFig2,Dioxins!O22)))</f>
        <v/>
      </c>
      <c r="E149" s="1352" t="str">
        <f>IF(C$135="","",(Dioxins!O22&amp;signum2(Dioxins!T22,SigFig1,SigFig2,Dioxins!O22)))</f>
        <v/>
      </c>
      <c r="F149" s="1321" t="str">
        <f>IF(F$135="","",(Dioxins!B22&amp;signum2(Dioxins!E22,SigFig1,SigFig2,Dioxins!B22)))</f>
        <v/>
      </c>
      <c r="G149" s="1351" t="str">
        <f>IF(F$135="","",(Dioxins!B22&amp;signum2(Dioxins!F22,SigFig1,SigFig2,Dioxins!B22)))</f>
        <v/>
      </c>
      <c r="H149" s="1352" t="str">
        <f>IF(F$135="","",(Dioxins!B22&amp;signum2(Dioxins!G22,SigFig1,SigFig2,Dioxins!B22)))</f>
        <v/>
      </c>
      <c r="I149" s="1321" t="str">
        <f>IF(I$135="","",(Dioxins!H22&amp;signum2(Dioxins!K22,SigFig1,SigFig2,Dioxins!H22)))</f>
        <v/>
      </c>
      <c r="J149" s="1351" t="str">
        <f>IF(I$135="","",(Dioxins!H22&amp;signum2(Dioxins!L22,SigFig1,SigFig2,Dioxins!H22)))</f>
        <v/>
      </c>
      <c r="K149" s="1352" t="str">
        <f>IF(I$135="","",(Dioxins!H22&amp;signum2(Dioxins!M22,SigFig1,SigFig2,Dioxins!H22)))</f>
        <v/>
      </c>
      <c r="L149" s="1321"/>
      <c r="M149" s="1322"/>
      <c r="N149" s="1272"/>
      <c r="O149" s="1319">
        <f t="shared" si="2"/>
        <v>0</v>
      </c>
      <c r="P149" s="1319">
        <f t="shared" si="3"/>
        <v>0</v>
      </c>
    </row>
    <row r="150" spans="1:16" hidden="1">
      <c r="A150" s="1267" t="str">
        <f>Dioxins!A23</f>
        <v>1,2,3,7,8,9-HxCDD</v>
      </c>
      <c r="B150" s="1273"/>
      <c r="C150" s="1321" t="str">
        <f>IF(C$135="","",(Dioxins!O23&amp;signum2(Dioxins!R23,SigFig1,SigFig2,Dioxins!O23)))</f>
        <v/>
      </c>
      <c r="D150" s="1351" t="str">
        <f>IF(C$135="","",(Dioxins!O23&amp;signum2(Dioxins!S23,SigFig1,SigFig2,Dioxins!O23)))</f>
        <v/>
      </c>
      <c r="E150" s="1352" t="str">
        <f>IF(C$135="","",(Dioxins!O23&amp;signum2(Dioxins!T23,SigFig1,SigFig2,Dioxins!O23)))</f>
        <v/>
      </c>
      <c r="F150" s="1321" t="str">
        <f>IF(F$135="","",(Dioxins!B23&amp;signum2(Dioxins!E23,SigFig1,SigFig2,Dioxins!B23)))</f>
        <v/>
      </c>
      <c r="G150" s="1351" t="str">
        <f>IF(F$135="","",(Dioxins!B23&amp;signum2(Dioxins!F23,SigFig1,SigFig2,Dioxins!B23)))</f>
        <v/>
      </c>
      <c r="H150" s="1352" t="str">
        <f>IF(F$135="","",(Dioxins!B23&amp;signum2(Dioxins!G23,SigFig1,SigFig2,Dioxins!B23)))</f>
        <v/>
      </c>
      <c r="I150" s="1321" t="str">
        <f>IF(I$135="","",(Dioxins!H23&amp;signum2(Dioxins!K23,SigFig1,SigFig2,Dioxins!H23)))</f>
        <v/>
      </c>
      <c r="J150" s="1351" t="str">
        <f>IF(I$135="","",(Dioxins!H23&amp;signum2(Dioxins!L23,SigFig1,SigFig2,Dioxins!H23)))</f>
        <v/>
      </c>
      <c r="K150" s="1352" t="str">
        <f>IF(I$135="","",(Dioxins!H23&amp;signum2(Dioxins!M23,SigFig1,SigFig2,Dioxins!H23)))</f>
        <v/>
      </c>
      <c r="L150" s="1321"/>
      <c r="M150" s="1322"/>
      <c r="N150" s="1272"/>
      <c r="O150" s="1319">
        <f t="shared" si="2"/>
        <v>0</v>
      </c>
      <c r="P150" s="1319">
        <f t="shared" si="3"/>
        <v>0</v>
      </c>
    </row>
    <row r="151" spans="1:16" hidden="1">
      <c r="A151" s="1267" t="str">
        <f>Dioxins!A24</f>
        <v>1,2,3,4,6,7,8-HpCDF</v>
      </c>
      <c r="B151" s="1273"/>
      <c r="C151" s="1321" t="str">
        <f>IF(C$135="","",(Dioxins!O24&amp;signum2(Dioxins!R24,SigFig1,SigFig2,Dioxins!O24)))</f>
        <v/>
      </c>
      <c r="D151" s="1351" t="str">
        <f>IF(C$135="","",(Dioxins!O24&amp;signum2(Dioxins!S24,SigFig1,SigFig2,Dioxins!O24)))</f>
        <v/>
      </c>
      <c r="E151" s="1352" t="str">
        <f>IF(C$135="","",(Dioxins!O24&amp;signum2(Dioxins!T24,SigFig1,SigFig2,Dioxins!O24)))</f>
        <v/>
      </c>
      <c r="F151" s="1321" t="str">
        <f>IF(F$135="","",(Dioxins!B24&amp;signum2(Dioxins!E24,SigFig1,SigFig2,Dioxins!B24)))</f>
        <v/>
      </c>
      <c r="G151" s="1351" t="str">
        <f>IF(F$135="","",(Dioxins!B24&amp;signum2(Dioxins!F24,SigFig1,SigFig2,Dioxins!B24)))</f>
        <v/>
      </c>
      <c r="H151" s="1352" t="str">
        <f>IF(F$135="","",(Dioxins!B24&amp;signum2(Dioxins!G24,SigFig1,SigFig2,Dioxins!B24)))</f>
        <v/>
      </c>
      <c r="I151" s="1321" t="str">
        <f>IF(I$135="","",(Dioxins!H24&amp;signum2(Dioxins!K24,SigFig1,SigFig2,Dioxins!H24)))</f>
        <v/>
      </c>
      <c r="J151" s="1351" t="str">
        <f>IF(I$135="","",(Dioxins!H24&amp;signum2(Dioxins!L24,SigFig1,SigFig2,Dioxins!H24)))</f>
        <v/>
      </c>
      <c r="K151" s="1352" t="str">
        <f>IF(I$135="","",(Dioxins!H24&amp;signum2(Dioxins!M24,SigFig1,SigFig2,Dioxins!H24)))</f>
        <v/>
      </c>
      <c r="L151" s="1321"/>
      <c r="M151" s="1322"/>
      <c r="N151" s="1272"/>
      <c r="O151" s="1319">
        <f t="shared" si="2"/>
        <v>0</v>
      </c>
      <c r="P151" s="1319">
        <f t="shared" si="3"/>
        <v>0</v>
      </c>
    </row>
    <row r="152" spans="1:16" hidden="1">
      <c r="A152" s="1267" t="str">
        <f>Dioxins!A25</f>
        <v>1,2,3,4,7,8,9-HpCDF</v>
      </c>
      <c r="B152" s="1273"/>
      <c r="C152" s="1321" t="str">
        <f>IF(C$135="","",(Dioxins!O25&amp;signum2(Dioxins!R25,SigFig1,SigFig2,Dioxins!O25)))</f>
        <v/>
      </c>
      <c r="D152" s="1351" t="str">
        <f>IF(C$135="","",(Dioxins!O25&amp;signum2(Dioxins!S25,SigFig1,SigFig2,Dioxins!O25)))</f>
        <v/>
      </c>
      <c r="E152" s="1352" t="str">
        <f>IF(C$135="","",(Dioxins!O25&amp;signum2(Dioxins!T25,SigFig1,SigFig2,Dioxins!O25)))</f>
        <v/>
      </c>
      <c r="F152" s="1321" t="str">
        <f>IF(F$135="","",(Dioxins!B25&amp;signum2(Dioxins!E25,SigFig1,SigFig2,Dioxins!B25)))</f>
        <v/>
      </c>
      <c r="G152" s="1351" t="str">
        <f>IF(F$135="","",(Dioxins!B25&amp;signum2(Dioxins!F25,SigFig1,SigFig2,Dioxins!B25)))</f>
        <v/>
      </c>
      <c r="H152" s="1352" t="str">
        <f>IF(F$135="","",(Dioxins!B25&amp;signum2(Dioxins!G25,SigFig1,SigFig2,Dioxins!B25)))</f>
        <v/>
      </c>
      <c r="I152" s="1321" t="str">
        <f>IF(I$135="","",(Dioxins!H25&amp;signum2(Dioxins!K25,SigFig1,SigFig2,Dioxins!H25)))</f>
        <v/>
      </c>
      <c r="J152" s="1351" t="str">
        <f>IF(I$135="","",(Dioxins!H25&amp;signum2(Dioxins!L25,SigFig1,SigFig2,Dioxins!H25)))</f>
        <v/>
      </c>
      <c r="K152" s="1352" t="str">
        <f>IF(I$135="","",(Dioxins!H25&amp;signum2(Dioxins!M25,SigFig1,SigFig2,Dioxins!H25)))</f>
        <v/>
      </c>
      <c r="L152" s="1321"/>
      <c r="M152" s="1322"/>
      <c r="N152" s="1272"/>
      <c r="O152" s="1319">
        <f t="shared" si="2"/>
        <v>0</v>
      </c>
      <c r="P152" s="1319">
        <f t="shared" si="3"/>
        <v>0</v>
      </c>
    </row>
    <row r="153" spans="1:16" hidden="1">
      <c r="A153" s="1267" t="str">
        <f>Dioxins!A26</f>
        <v>1,2,3,4,6,7,8-HpCDD</v>
      </c>
      <c r="B153" s="1273"/>
      <c r="C153" s="1321" t="str">
        <f>IF(C$135="","",(Dioxins!O26&amp;signum2(Dioxins!R26,SigFig1,SigFig2,Dioxins!O26)))</f>
        <v/>
      </c>
      <c r="D153" s="1351" t="str">
        <f>IF(C$135="","",(Dioxins!O26&amp;signum2(Dioxins!S26,SigFig1,SigFig2,Dioxins!O26)))</f>
        <v/>
      </c>
      <c r="E153" s="1352" t="str">
        <f>IF(C$135="","",(Dioxins!O26&amp;signum2(Dioxins!T26,SigFig1,SigFig2,Dioxins!O26)))</f>
        <v/>
      </c>
      <c r="F153" s="1321" t="str">
        <f>IF(F$135="","",(Dioxins!B26&amp;signum2(Dioxins!E26,SigFig1,SigFig2,Dioxins!B26)))</f>
        <v/>
      </c>
      <c r="G153" s="1351" t="str">
        <f>IF(F$135="","",(Dioxins!B26&amp;signum2(Dioxins!F26,SigFig1,SigFig2,Dioxins!B26)))</f>
        <v/>
      </c>
      <c r="H153" s="1352" t="str">
        <f>IF(F$135="","",(Dioxins!B26&amp;signum2(Dioxins!G26,SigFig1,SigFig2,Dioxins!B26)))</f>
        <v/>
      </c>
      <c r="I153" s="1321" t="str">
        <f>IF(I$135="","",(Dioxins!H26&amp;signum2(Dioxins!K26,SigFig1,SigFig2,Dioxins!H26)))</f>
        <v/>
      </c>
      <c r="J153" s="1351" t="str">
        <f>IF(I$135="","",(Dioxins!H26&amp;signum2(Dioxins!L26,SigFig1,SigFig2,Dioxins!H26)))</f>
        <v/>
      </c>
      <c r="K153" s="1352" t="str">
        <f>IF(I$135="","",(Dioxins!H26&amp;signum2(Dioxins!M26,SigFig1,SigFig2,Dioxins!H26)))</f>
        <v/>
      </c>
      <c r="L153" s="1321"/>
      <c r="M153" s="1322"/>
      <c r="N153" s="1272"/>
      <c r="O153" s="1319">
        <f t="shared" si="2"/>
        <v>0</v>
      </c>
      <c r="P153" s="1319">
        <f t="shared" si="3"/>
        <v>0</v>
      </c>
    </row>
    <row r="154" spans="1:16" hidden="1">
      <c r="A154" s="1267" t="str">
        <f>Dioxins!A27</f>
        <v>OCDF</v>
      </c>
      <c r="B154" s="1273"/>
      <c r="C154" s="1321" t="str">
        <f>IF(C$135="","",(Dioxins!O27&amp;signum2(Dioxins!R27,SigFig1,SigFig2,Dioxins!O27)))</f>
        <v/>
      </c>
      <c r="D154" s="1351" t="str">
        <f>IF(C$135="","",(Dioxins!O27&amp;signum2(Dioxins!S27,SigFig1,SigFig2,Dioxins!O27)))</f>
        <v/>
      </c>
      <c r="E154" s="1352" t="str">
        <f>IF(C$135="","",(Dioxins!O27&amp;signum2(Dioxins!T27,SigFig1,SigFig2,Dioxins!O27)))</f>
        <v/>
      </c>
      <c r="F154" s="1321" t="str">
        <f>IF(F$135="","",(Dioxins!B27&amp;signum2(Dioxins!E27,SigFig1,SigFig2,Dioxins!B27)))</f>
        <v/>
      </c>
      <c r="G154" s="1351" t="str">
        <f>IF(F$135="","",(Dioxins!B27&amp;signum2(Dioxins!F27,SigFig1,SigFig2,Dioxins!B27)))</f>
        <v/>
      </c>
      <c r="H154" s="1352" t="str">
        <f>IF(F$135="","",(Dioxins!B27&amp;signum2(Dioxins!G27,SigFig1,SigFig2,Dioxins!B27)))</f>
        <v/>
      </c>
      <c r="I154" s="1321" t="str">
        <f>IF(I$135="","",(Dioxins!H27&amp;signum2(Dioxins!K27,SigFig1,SigFig2,Dioxins!H27)))</f>
        <v/>
      </c>
      <c r="J154" s="1351" t="str">
        <f>IF(I$135="","",(Dioxins!H27&amp;signum2(Dioxins!L27,SigFig1,SigFig2,Dioxins!H27)))</f>
        <v/>
      </c>
      <c r="K154" s="1352" t="str">
        <f>IF(I$135="","",(Dioxins!H27&amp;signum2(Dioxins!M27,SigFig1,SigFig2,Dioxins!H27)))</f>
        <v/>
      </c>
      <c r="L154" s="1321"/>
      <c r="M154" s="1322"/>
      <c r="N154" s="1272"/>
      <c r="O154" s="1319">
        <f t="shared" si="2"/>
        <v>0</v>
      </c>
      <c r="P154" s="1319">
        <f t="shared" si="3"/>
        <v>0</v>
      </c>
    </row>
    <row r="155" spans="1:16" hidden="1">
      <c r="A155" s="1267" t="str">
        <f>Dioxins!A28</f>
        <v>OCDD</v>
      </c>
      <c r="B155" s="1273"/>
      <c r="C155" s="1321" t="str">
        <f>IF(C$135="","",(Dioxins!O28&amp;signum2(Dioxins!R28,SigFig1,SigFig2,Dioxins!O28)))</f>
        <v/>
      </c>
      <c r="D155" s="1351" t="str">
        <f>IF(C$135="","",(Dioxins!O28&amp;signum2(Dioxins!S28,SigFig1,SigFig2,Dioxins!O28)))</f>
        <v/>
      </c>
      <c r="E155" s="1352" t="str">
        <f>IF(C$135="","",(Dioxins!O28&amp;signum2(Dioxins!T28,SigFig1,SigFig2,Dioxins!O28)))</f>
        <v/>
      </c>
      <c r="F155" s="1321" t="str">
        <f>IF(F$135="","",(Dioxins!B28&amp;signum2(Dioxins!E28,SigFig1,SigFig2,Dioxins!B28)))</f>
        <v/>
      </c>
      <c r="G155" s="1351" t="str">
        <f>IF(F$135="","",(Dioxins!B28&amp;signum2(Dioxins!F28,SigFig1,SigFig2,Dioxins!B28)))</f>
        <v/>
      </c>
      <c r="H155" s="1352" t="str">
        <f>IF(F$135="","",(Dioxins!B28&amp;signum2(Dioxins!G28,SigFig1,SigFig2,Dioxins!B28)))</f>
        <v/>
      </c>
      <c r="I155" s="1321" t="str">
        <f>IF(I$135="","",(Dioxins!H28&amp;signum2(Dioxins!K28,SigFig1,SigFig2,Dioxins!H28)))</f>
        <v/>
      </c>
      <c r="J155" s="1351" t="str">
        <f>IF(I$135="","",(Dioxins!H28&amp;signum2(Dioxins!L28,SigFig1,SigFig2,Dioxins!H28)))</f>
        <v/>
      </c>
      <c r="K155" s="1352" t="str">
        <f>IF(I$135="","",(Dioxins!H28&amp;signum2(Dioxins!M28,SigFig1,SigFig2,Dioxins!H28)))</f>
        <v/>
      </c>
      <c r="L155" s="1321"/>
      <c r="M155" s="1322"/>
      <c r="N155" s="1272"/>
      <c r="O155" s="1319">
        <f t="shared" si="2"/>
        <v>0</v>
      </c>
      <c r="P155" s="1319">
        <f t="shared" si="3"/>
        <v>0</v>
      </c>
    </row>
    <row r="156" spans="1:16" hidden="1">
      <c r="A156" s="1267" t="str">
        <f>Dioxins!A29</f>
        <v>Total TCDF isomers</v>
      </c>
      <c r="B156" s="1273"/>
      <c r="C156" s="1321" t="str">
        <f>IF(C$135="","",(Dioxins!O29&amp;signum2(Dioxins!R29,SigFig1,SigFig2,Dioxins!O29)))</f>
        <v/>
      </c>
      <c r="D156" s="1351" t="str">
        <f>IF(C$135="","",(Dioxins!O29&amp;signum2(Dioxins!S29,SigFig1,SigFig2,Dioxins!O29)))</f>
        <v/>
      </c>
      <c r="E156" s="1352" t="str">
        <f>IF(C$135="","",(Dioxins!O29&amp;signum2(Dioxins!T29,SigFig1,SigFig2,Dioxins!O29)))</f>
        <v/>
      </c>
      <c r="F156" s="1321" t="str">
        <f>IF(F$135="","",(Dioxins!B29&amp;signum2(Dioxins!E29,SigFig1,SigFig2,Dioxins!B29)))</f>
        <v/>
      </c>
      <c r="G156" s="1351" t="str">
        <f>IF(F$135="","",(Dioxins!B29&amp;signum2(Dioxins!F29,SigFig1,SigFig2,Dioxins!B29)))</f>
        <v/>
      </c>
      <c r="H156" s="1352" t="str">
        <f>IF(F$135="","",(Dioxins!B29&amp;signum2(Dioxins!G29,SigFig1,SigFig2,Dioxins!B29)))</f>
        <v/>
      </c>
      <c r="I156" s="1321" t="str">
        <f>IF(I$135="","",(Dioxins!H29&amp;signum2(Dioxins!K29,SigFig1,SigFig2,Dioxins!H29)))</f>
        <v/>
      </c>
      <c r="J156" s="1351" t="str">
        <f>IF(I$135="","",(Dioxins!H29&amp;signum2(Dioxins!L29,SigFig1,SigFig2,Dioxins!H29)))</f>
        <v/>
      </c>
      <c r="K156" s="1352" t="str">
        <f>IF(I$135="","",(Dioxins!H29&amp;signum2(Dioxins!M29,SigFig1,SigFig2,Dioxins!H29)))</f>
        <v/>
      </c>
      <c r="L156" s="1321"/>
      <c r="M156" s="1322"/>
      <c r="N156" s="1272"/>
      <c r="O156" s="1319">
        <f t="shared" si="2"/>
        <v>0</v>
      </c>
      <c r="P156" s="1319">
        <f t="shared" si="3"/>
        <v>0</v>
      </c>
    </row>
    <row r="157" spans="1:16" hidden="1">
      <c r="A157" s="1267" t="str">
        <f>Dioxins!A30</f>
        <v>Total TCDD isomers</v>
      </c>
      <c r="B157" s="1273"/>
      <c r="C157" s="1321" t="str">
        <f>IF(C$135="","",(Dioxins!O30&amp;signum2(Dioxins!R30,SigFig1,SigFig2,Dioxins!O30)))</f>
        <v/>
      </c>
      <c r="D157" s="1351" t="str">
        <f>IF(C$135="","",(Dioxins!O30&amp;signum2(Dioxins!S30,SigFig1,SigFig2,Dioxins!O30)))</f>
        <v/>
      </c>
      <c r="E157" s="1352" t="str">
        <f>IF(C$135="","",(Dioxins!O30&amp;signum2(Dioxins!T30,SigFig1,SigFig2,Dioxins!O30)))</f>
        <v/>
      </c>
      <c r="F157" s="1321" t="str">
        <f>IF(F$135="","",(Dioxins!B30&amp;signum2(Dioxins!E30,SigFig1,SigFig2,Dioxins!B30)))</f>
        <v/>
      </c>
      <c r="G157" s="1351" t="str">
        <f>IF(F$135="","",(Dioxins!B30&amp;signum2(Dioxins!F30,SigFig1,SigFig2,Dioxins!B30)))</f>
        <v/>
      </c>
      <c r="H157" s="1352" t="str">
        <f>IF(F$135="","",(Dioxins!B30&amp;signum2(Dioxins!G30,SigFig1,SigFig2,Dioxins!B30)))</f>
        <v/>
      </c>
      <c r="I157" s="1321" t="str">
        <f>IF(I$135="","",(Dioxins!H30&amp;signum2(Dioxins!K30,SigFig1,SigFig2,Dioxins!H30)))</f>
        <v/>
      </c>
      <c r="J157" s="1351" t="str">
        <f>IF(I$135="","",(Dioxins!H30&amp;signum2(Dioxins!L30,SigFig1,SigFig2,Dioxins!H30)))</f>
        <v/>
      </c>
      <c r="K157" s="1352" t="str">
        <f>IF(I$135="","",(Dioxins!H30&amp;signum2(Dioxins!M30,SigFig1,SigFig2,Dioxins!H30)))</f>
        <v/>
      </c>
      <c r="L157" s="1321"/>
      <c r="M157" s="1322"/>
      <c r="N157" s="1272"/>
      <c r="O157" s="1319">
        <f t="shared" si="2"/>
        <v>0</v>
      </c>
      <c r="P157" s="1319">
        <f t="shared" si="3"/>
        <v>0</v>
      </c>
    </row>
    <row r="158" spans="1:16" hidden="1">
      <c r="A158" s="1267" t="str">
        <f>Dioxins!A31</f>
        <v>Total PeCDF isomers</v>
      </c>
      <c r="B158" s="1273"/>
      <c r="C158" s="1321" t="str">
        <f>IF(C$135="","",(Dioxins!O31&amp;signum2(Dioxins!R31,SigFig1,SigFig2,Dioxins!O31)))</f>
        <v/>
      </c>
      <c r="D158" s="1351" t="str">
        <f>IF(C$135="","",(Dioxins!O31&amp;signum2(Dioxins!S31,SigFig1,SigFig2,Dioxins!O31)))</f>
        <v/>
      </c>
      <c r="E158" s="1352" t="str">
        <f>IF(C$135="","",(Dioxins!O31&amp;signum2(Dioxins!T31,SigFig1,SigFig2,Dioxins!O31)))</f>
        <v/>
      </c>
      <c r="F158" s="1321" t="str">
        <f>IF(F$135="","",(Dioxins!B31&amp;signum2(Dioxins!E31,SigFig1,SigFig2,Dioxins!B31)))</f>
        <v/>
      </c>
      <c r="G158" s="1351" t="str">
        <f>IF(F$135="","",(Dioxins!B31&amp;signum2(Dioxins!F31,SigFig1,SigFig2,Dioxins!B31)))</f>
        <v/>
      </c>
      <c r="H158" s="1352" t="str">
        <f>IF(F$135="","",(Dioxins!B31&amp;signum2(Dioxins!G31,SigFig1,SigFig2,Dioxins!B31)))</f>
        <v/>
      </c>
      <c r="I158" s="1321" t="str">
        <f>IF(I$135="","",(Dioxins!H31&amp;signum2(Dioxins!K31,SigFig1,SigFig2,Dioxins!H31)))</f>
        <v/>
      </c>
      <c r="J158" s="1351" t="str">
        <f>IF(I$135="","",(Dioxins!H31&amp;signum2(Dioxins!L31,SigFig1,SigFig2,Dioxins!H31)))</f>
        <v/>
      </c>
      <c r="K158" s="1352" t="str">
        <f>IF(I$135="","",(Dioxins!H31&amp;signum2(Dioxins!M31,SigFig1,SigFig2,Dioxins!H31)))</f>
        <v/>
      </c>
      <c r="L158" s="1321"/>
      <c r="M158" s="1322"/>
      <c r="N158" s="1272"/>
      <c r="O158" s="1319">
        <f t="shared" si="2"/>
        <v>0</v>
      </c>
      <c r="P158" s="1319">
        <f t="shared" si="3"/>
        <v>0</v>
      </c>
    </row>
    <row r="159" spans="1:16" hidden="1">
      <c r="A159" s="1267" t="str">
        <f>Dioxins!A32</f>
        <v>Total PeCDD isomers</v>
      </c>
      <c r="B159" s="1273"/>
      <c r="C159" s="1321" t="str">
        <f>IF(C$135="","",(Dioxins!O32&amp;signum2(Dioxins!R32,SigFig1,SigFig2,Dioxins!O32)))</f>
        <v/>
      </c>
      <c r="D159" s="1351" t="str">
        <f>IF(C$135="","",(Dioxins!O32&amp;signum2(Dioxins!S32,SigFig1,SigFig2,Dioxins!O32)))</f>
        <v/>
      </c>
      <c r="E159" s="1352" t="str">
        <f>IF(C$135="","",(Dioxins!O32&amp;signum2(Dioxins!T32,SigFig1,SigFig2,Dioxins!O32)))</f>
        <v/>
      </c>
      <c r="F159" s="1321" t="str">
        <f>IF(F$135="","",(Dioxins!B32&amp;signum2(Dioxins!E32,SigFig1,SigFig2,Dioxins!B32)))</f>
        <v/>
      </c>
      <c r="G159" s="1351" t="str">
        <f>IF(F$135="","",(Dioxins!B32&amp;signum2(Dioxins!F32,SigFig1,SigFig2,Dioxins!B32)))</f>
        <v/>
      </c>
      <c r="H159" s="1352" t="str">
        <f>IF(F$135="","",(Dioxins!B32&amp;signum2(Dioxins!G32,SigFig1,SigFig2,Dioxins!B32)))</f>
        <v/>
      </c>
      <c r="I159" s="1321" t="str">
        <f>IF(I$135="","",(Dioxins!H32&amp;signum2(Dioxins!K32,SigFig1,SigFig2,Dioxins!H32)))</f>
        <v/>
      </c>
      <c r="J159" s="1351" t="str">
        <f>IF(I$135="","",(Dioxins!H32&amp;signum2(Dioxins!L32,SigFig1,SigFig2,Dioxins!H32)))</f>
        <v/>
      </c>
      <c r="K159" s="1352" t="str">
        <f>IF(I$135="","",(Dioxins!H32&amp;signum2(Dioxins!M32,SigFig1,SigFig2,Dioxins!H32)))</f>
        <v/>
      </c>
      <c r="L159" s="1321"/>
      <c r="M159" s="1322"/>
      <c r="N159" s="1272"/>
      <c r="O159" s="1319">
        <f t="shared" si="2"/>
        <v>0</v>
      </c>
      <c r="P159" s="1319">
        <f t="shared" si="3"/>
        <v>0</v>
      </c>
    </row>
    <row r="160" spans="1:16" hidden="1">
      <c r="A160" s="1267" t="str">
        <f>Dioxins!A33</f>
        <v>Total HxCDF isomers</v>
      </c>
      <c r="B160" s="1273"/>
      <c r="C160" s="1321" t="str">
        <f>IF(C$135="","",(Dioxins!O33&amp;signum2(Dioxins!R33,SigFig1,SigFig2,Dioxins!O33)))</f>
        <v/>
      </c>
      <c r="D160" s="1351" t="str">
        <f>IF(C$135="","",(Dioxins!O33&amp;signum2(Dioxins!S33,SigFig1,SigFig2,Dioxins!O33)))</f>
        <v/>
      </c>
      <c r="E160" s="1352" t="str">
        <f>IF(C$135="","",(Dioxins!O33&amp;signum2(Dioxins!T33,SigFig1,SigFig2,Dioxins!O33)))</f>
        <v/>
      </c>
      <c r="F160" s="1321" t="str">
        <f>IF(F$135="","",(Dioxins!B33&amp;signum2(Dioxins!E33,SigFig1,SigFig2,Dioxins!B33)))</f>
        <v/>
      </c>
      <c r="G160" s="1351" t="str">
        <f>IF(F$135="","",(Dioxins!B33&amp;signum2(Dioxins!F33,SigFig1,SigFig2,Dioxins!B33)))</f>
        <v/>
      </c>
      <c r="H160" s="1352" t="str">
        <f>IF(F$135="","",(Dioxins!B33&amp;signum2(Dioxins!G33,SigFig1,SigFig2,Dioxins!B33)))</f>
        <v/>
      </c>
      <c r="I160" s="1321" t="str">
        <f>IF(I$135="","",(Dioxins!H33&amp;signum2(Dioxins!K33,SigFig1,SigFig2,Dioxins!H33)))</f>
        <v/>
      </c>
      <c r="J160" s="1351" t="str">
        <f>IF(I$135="","",(Dioxins!H33&amp;signum2(Dioxins!L33,SigFig1,SigFig2,Dioxins!H33)))</f>
        <v/>
      </c>
      <c r="K160" s="1352" t="str">
        <f>IF(I$135="","",(Dioxins!H33&amp;signum2(Dioxins!M33,SigFig1,SigFig2,Dioxins!H33)))</f>
        <v/>
      </c>
      <c r="L160" s="1321"/>
      <c r="M160" s="1322"/>
      <c r="N160" s="1272"/>
      <c r="O160" s="1319">
        <f t="shared" si="2"/>
        <v>0</v>
      </c>
      <c r="P160" s="1319">
        <f t="shared" si="3"/>
        <v>0</v>
      </c>
    </row>
    <row r="161" spans="1:16" hidden="1">
      <c r="A161" s="1267" t="str">
        <f>Dioxins!A34</f>
        <v>Total HxCDD isomers</v>
      </c>
      <c r="B161" s="1273"/>
      <c r="C161" s="1321" t="str">
        <f>IF(C$135="","",(Dioxins!O34&amp;signum2(Dioxins!R34,SigFig1,SigFig2,Dioxins!O34)))</f>
        <v/>
      </c>
      <c r="D161" s="1351" t="str">
        <f>IF(C$135="","",(Dioxins!O34&amp;signum2(Dioxins!S34,SigFig1,SigFig2,Dioxins!O34)))</f>
        <v/>
      </c>
      <c r="E161" s="1352" t="str">
        <f>IF(C$135="","",(Dioxins!O34&amp;signum2(Dioxins!T34,SigFig1,SigFig2,Dioxins!O34)))</f>
        <v/>
      </c>
      <c r="F161" s="1321" t="str">
        <f>IF(F$135="","",(Dioxins!B34&amp;signum2(Dioxins!E34,SigFig1,SigFig2,Dioxins!B34)))</f>
        <v/>
      </c>
      <c r="G161" s="1351" t="str">
        <f>IF(F$135="","",(Dioxins!B34&amp;signum2(Dioxins!F34,SigFig1,SigFig2,Dioxins!B34)))</f>
        <v/>
      </c>
      <c r="H161" s="1352" t="str">
        <f>IF(F$135="","",(Dioxins!B34&amp;signum2(Dioxins!G34,SigFig1,SigFig2,Dioxins!B34)))</f>
        <v/>
      </c>
      <c r="I161" s="1321" t="str">
        <f>IF(I$135="","",(Dioxins!H34&amp;signum2(Dioxins!K34,SigFig1,SigFig2,Dioxins!H34)))</f>
        <v/>
      </c>
      <c r="J161" s="1351" t="str">
        <f>IF(I$135="","",(Dioxins!H34&amp;signum2(Dioxins!L34,SigFig1,SigFig2,Dioxins!H34)))</f>
        <v/>
      </c>
      <c r="K161" s="1352" t="str">
        <f>IF(I$135="","",(Dioxins!H34&amp;signum2(Dioxins!M34,SigFig1,SigFig2,Dioxins!H34)))</f>
        <v/>
      </c>
      <c r="L161" s="1321"/>
      <c r="M161" s="1322"/>
      <c r="N161" s="1272"/>
      <c r="O161" s="1319">
        <f t="shared" si="2"/>
        <v>0</v>
      </c>
      <c r="P161" s="1319">
        <f t="shared" si="3"/>
        <v>0</v>
      </c>
    </row>
    <row r="162" spans="1:16" hidden="1">
      <c r="A162" s="1267" t="str">
        <f>Dioxins!A35</f>
        <v>Total HpCDF isomers</v>
      </c>
      <c r="B162" s="1273"/>
      <c r="C162" s="1321" t="str">
        <f>IF(C$135="","",(Dioxins!O35&amp;signum2(Dioxins!R35,SigFig1,SigFig2,Dioxins!O35)))</f>
        <v/>
      </c>
      <c r="D162" s="1351" t="str">
        <f>IF(C$135="","",(Dioxins!O35&amp;signum2(Dioxins!S35,SigFig1,SigFig2,Dioxins!O35)))</f>
        <v/>
      </c>
      <c r="E162" s="1352" t="str">
        <f>IF(C$135="","",(Dioxins!O35&amp;signum2(Dioxins!T35,SigFig1,SigFig2,Dioxins!O35)))</f>
        <v/>
      </c>
      <c r="F162" s="1321" t="str">
        <f>IF(F$135="","",(Dioxins!B35&amp;signum2(Dioxins!E35,SigFig1,SigFig2,Dioxins!B35)))</f>
        <v/>
      </c>
      <c r="G162" s="1351" t="str">
        <f>IF(F$135="","",(Dioxins!B35&amp;signum2(Dioxins!F35,SigFig1,SigFig2,Dioxins!B35)))</f>
        <v/>
      </c>
      <c r="H162" s="1352" t="str">
        <f>IF(F$135="","",(Dioxins!B35&amp;signum2(Dioxins!G35,SigFig1,SigFig2,Dioxins!B35)))</f>
        <v/>
      </c>
      <c r="I162" s="1321" t="str">
        <f>IF(I$135="","",(Dioxins!H35&amp;signum2(Dioxins!K35,SigFig1,SigFig2,Dioxins!H35)))</f>
        <v/>
      </c>
      <c r="J162" s="1351" t="str">
        <f>IF(I$135="","",(Dioxins!H35&amp;signum2(Dioxins!L35,SigFig1,SigFig2,Dioxins!H35)))</f>
        <v/>
      </c>
      <c r="K162" s="1352" t="str">
        <f>IF(I$135="","",(Dioxins!H35&amp;signum2(Dioxins!M35,SigFig1,SigFig2,Dioxins!H35)))</f>
        <v/>
      </c>
      <c r="L162" s="1321"/>
      <c r="M162" s="1322"/>
      <c r="N162" s="1272"/>
      <c r="O162" s="1319">
        <f t="shared" si="2"/>
        <v>0</v>
      </c>
      <c r="P162" s="1319">
        <f t="shared" si="3"/>
        <v>0</v>
      </c>
    </row>
    <row r="163" spans="1:16" hidden="1">
      <c r="A163" s="1267" t="str">
        <f>Dioxins!A36</f>
        <v>Total HpCDD isomers</v>
      </c>
      <c r="B163" s="1273"/>
      <c r="C163" s="1321" t="str">
        <f>IF(C$135="","",(Dioxins!O36&amp;signum2(Dioxins!R36,SigFig1,SigFig2,Dioxins!O36)))</f>
        <v/>
      </c>
      <c r="D163" s="1351" t="str">
        <f>IF(C$135="","",(Dioxins!O36&amp;signum2(Dioxins!S36,SigFig1,SigFig2,Dioxins!O36)))</f>
        <v/>
      </c>
      <c r="E163" s="1352" t="str">
        <f>IF(C$135="","",(Dioxins!O36&amp;signum2(Dioxins!T36,SigFig1,SigFig2,Dioxins!O36)))</f>
        <v/>
      </c>
      <c r="F163" s="1321" t="str">
        <f>IF(F$135="","",(Dioxins!B36&amp;signum2(Dioxins!E36,SigFig1,SigFig2,Dioxins!B36)))</f>
        <v/>
      </c>
      <c r="G163" s="1351" t="str">
        <f>IF(F$135="","",(Dioxins!B36&amp;signum2(Dioxins!F36,SigFig1,SigFig2,Dioxins!B36)))</f>
        <v/>
      </c>
      <c r="H163" s="1352" t="str">
        <f>IF(F$135="","",(Dioxins!B36&amp;signum2(Dioxins!G36,SigFig1,SigFig2,Dioxins!B36)))</f>
        <v/>
      </c>
      <c r="I163" s="1321" t="str">
        <f>IF(I$135="","",(Dioxins!H36&amp;signum2(Dioxins!K36,SigFig1,SigFig2,Dioxins!H36)))</f>
        <v/>
      </c>
      <c r="J163" s="1351" t="str">
        <f>IF(I$135="","",(Dioxins!H36&amp;signum2(Dioxins!L36,SigFig1,SigFig2,Dioxins!H36)))</f>
        <v/>
      </c>
      <c r="K163" s="1352" t="str">
        <f>IF(I$135="","",(Dioxins!H36&amp;signum2(Dioxins!M36,SigFig1,SigFig2,Dioxins!H36)))</f>
        <v/>
      </c>
      <c r="L163" s="1321"/>
      <c r="M163" s="1322"/>
      <c r="N163" s="1272"/>
      <c r="O163" s="1319">
        <f t="shared" si="2"/>
        <v>0</v>
      </c>
      <c r="P163" s="1319">
        <f t="shared" si="3"/>
        <v>0</v>
      </c>
    </row>
    <row r="164" spans="1:16" hidden="1">
      <c r="A164" s="1372" t="s">
        <v>41</v>
      </c>
      <c r="B164" s="1369" t="s">
        <v>41</v>
      </c>
      <c r="C164" s="1373" t="s">
        <v>41</v>
      </c>
      <c r="D164" s="1374" t="s">
        <v>41</v>
      </c>
      <c r="E164" s="1375" t="s">
        <v>41</v>
      </c>
      <c r="F164" s="1373" t="s">
        <v>41</v>
      </c>
      <c r="G164" s="1374" t="s">
        <v>41</v>
      </c>
      <c r="H164" s="1375" t="s">
        <v>41</v>
      </c>
      <c r="I164" s="1373" t="s">
        <v>41</v>
      </c>
      <c r="J164" s="1374" t="s">
        <v>41</v>
      </c>
      <c r="K164" s="1375" t="s">
        <v>41</v>
      </c>
      <c r="L164" s="1321"/>
      <c r="M164" s="1322"/>
      <c r="N164" s="1272"/>
      <c r="O164" s="1319"/>
      <c r="P164" s="1319"/>
    </row>
    <row r="165" spans="1:16" hidden="1">
      <c r="A165" s="1267" t="str">
        <f>Dioxins!A37</f>
        <v>Total PCDD + PCDF's</v>
      </c>
      <c r="B165" s="1273"/>
      <c r="C165" s="1321" t="e">
        <f>IF(C$135="","",(Dioxins!O37&amp;signum2(Dioxins!R37,SigFig1,SigFig2,Dioxins!O37)))</f>
        <v>#VALUE!</v>
      </c>
      <c r="D165" s="1351" t="e">
        <f>IF(C$135="","",(Dioxins!O37&amp;signum2(Dioxins!S37,SigFig1,SigFig2,Dioxins!O37)))</f>
        <v>#VALUE!</v>
      </c>
      <c r="E165" s="1352" t="e">
        <f>IF(C$135="","",(Dioxins!O37&amp;signum2(Dioxins!T37,SigFig1,SigFig2,Dioxins!O37)))</f>
        <v>#VALUE!</v>
      </c>
      <c r="F165" s="1321" t="e">
        <f>IF(F$135="","",(Dioxins!B37&amp;signum2(Dioxins!E37,SigFig1,SigFig2,Dioxins!B37)))</f>
        <v>#VALUE!</v>
      </c>
      <c r="G165" s="1351" t="e">
        <f>IF(F$135="","",(Dioxins!B37&amp;signum2(Dioxins!F37,SigFig1,SigFig2,Dioxins!B37)))</f>
        <v>#VALUE!</v>
      </c>
      <c r="H165" s="1352" t="e">
        <f>IF(F$135="","",(Dioxins!B37&amp;signum2(Dioxins!G37,SigFig1,SigFig2,Dioxins!B37)))</f>
        <v>#VALUE!</v>
      </c>
      <c r="I165" s="1321" t="e">
        <f>IF(I$135="","",(Dioxins!H37&amp;signum2(Dioxins!K37,SigFig1,SigFig2,Dioxins!H37)))</f>
        <v>#VALUE!</v>
      </c>
      <c r="J165" s="1351" t="e">
        <f>IF(I$135="","",(Dioxins!H37&amp;signum2(Dioxins!L37,SigFig1,SigFig2,Dioxins!H37)))</f>
        <v>#VALUE!</v>
      </c>
      <c r="K165" s="1352" t="e">
        <f>IF(I$135="","",(Dioxins!H37&amp;signum2(Dioxins!M37,SigFig1,SigFig2,Dioxins!H37)))</f>
        <v>#VALUE!</v>
      </c>
      <c r="L165" s="1321"/>
      <c r="M165" s="1322"/>
      <c r="N165" s="1272"/>
      <c r="O165" s="1319">
        <f>MAX(IF(ISERROR(VALUE($C165)),0,VALUE($C165)),IF(ISERROR(VALUE($F165)),0,VALUE($F165)),IF(ISERROR(VALUE($I165)),0,VALUE($I165)))</f>
        <v>0</v>
      </c>
      <c r="P165" s="1319">
        <f>MAX(IF(ISERROR(VALUE($E165)),0,VALUE($E165)),IF(ISERROR(VALUE($H165)),0,VALUE($H165)),IF(ISERROR(VALUE($K165)),0,VALUE($K165)))</f>
        <v>0</v>
      </c>
    </row>
    <row r="166" spans="1:16" hidden="1">
      <c r="A166" s="1372" t="s">
        <v>41</v>
      </c>
      <c r="B166" s="1369" t="s">
        <v>41</v>
      </c>
      <c r="C166" s="1373" t="s">
        <v>41</v>
      </c>
      <c r="D166" s="1374" t="s">
        <v>41</v>
      </c>
      <c r="E166" s="1375" t="s">
        <v>41</v>
      </c>
      <c r="F166" s="1373" t="s">
        <v>41</v>
      </c>
      <c r="G166" s="1374" t="s">
        <v>41</v>
      </c>
      <c r="H166" s="1375" t="s">
        <v>41</v>
      </c>
      <c r="I166" s="1373" t="s">
        <v>41</v>
      </c>
      <c r="J166" s="1374" t="s">
        <v>41</v>
      </c>
      <c r="K166" s="1375" t="s">
        <v>41</v>
      </c>
      <c r="L166" s="1321"/>
      <c r="M166" s="1322"/>
      <c r="N166" s="1272"/>
      <c r="O166" s="1319"/>
      <c r="P166" s="1319"/>
    </row>
    <row r="167" spans="1:16" hidden="1">
      <c r="A167" s="1267" t="str">
        <f>Dioxins!D9</f>
        <v>I-TEQ</v>
      </c>
      <c r="B167" s="1273"/>
      <c r="C167" s="1321"/>
      <c r="D167" s="1351"/>
      <c r="E167" s="1352"/>
      <c r="F167" s="1321"/>
      <c r="G167" s="1351"/>
      <c r="H167" s="1352"/>
      <c r="I167" s="1321"/>
      <c r="J167" s="1351"/>
      <c r="K167" s="1352"/>
      <c r="L167" s="1321"/>
      <c r="M167" s="1322"/>
      <c r="N167" s="1272"/>
      <c r="O167" s="1319"/>
      <c r="P167" s="1319"/>
    </row>
    <row r="168" spans="1:16" hidden="1">
      <c r="A168" s="1267" t="str">
        <f>Dioxins!A38</f>
        <v>Lower Bound</v>
      </c>
      <c r="B168" s="1273"/>
      <c r="C168" s="1321" t="e">
        <f>IF(C$135="","",(Dioxins!O38&amp;signum2(Dioxins!R38,SigFig1,SigFig2,Dioxins!O38)))</f>
        <v>#VALUE!</v>
      </c>
      <c r="D168" s="1351" t="e">
        <f>IF(C$135="","",(Dioxins!O38&amp;signum2(Dioxins!S38,SigFig1,SigFig2,Dioxins!O38)))</f>
        <v>#VALUE!</v>
      </c>
      <c r="E168" s="1352" t="e">
        <f>IF(C$135="","",(Dioxins!O38&amp;signum2(Dioxins!T38,SigFig1,SigFig2,Dioxins!O38)))</f>
        <v>#VALUE!</v>
      </c>
      <c r="F168" s="1321" t="e">
        <f>IF(F$135="","",(Dioxins!B38&amp;signum2(Dioxins!E38,SigFig1,SigFig2,Dioxins!B38)))</f>
        <v>#VALUE!</v>
      </c>
      <c r="G168" s="1351" t="e">
        <f>IF(F$135="","",(Dioxins!B38&amp;signum2(Dioxins!F38,SigFig1,SigFig2,Dioxins!B38)))</f>
        <v>#VALUE!</v>
      </c>
      <c r="H168" s="1352" t="e">
        <f>IF(F$135="","",(Dioxins!B38&amp;signum2(Dioxins!G38,SigFig1,SigFig2,Dioxins!B38)))</f>
        <v>#VALUE!</v>
      </c>
      <c r="I168" s="1321" t="e">
        <f>IF(I$135="","",(Dioxins!H38&amp;signum2(Dioxins!K38,SigFig1,SigFig2,Dioxins!H38)))</f>
        <v>#VALUE!</v>
      </c>
      <c r="J168" s="1351" t="e">
        <f>IF(I$135="","",(Dioxins!H38&amp;signum2(Dioxins!L38,SigFig1,SigFig2,Dioxins!H38)))</f>
        <v>#VALUE!</v>
      </c>
      <c r="K168" s="1352" t="e">
        <f>IF(I$135="","",(Dioxins!H38&amp;signum2(Dioxins!M38,SigFig1,SigFig2,Dioxins!H38)))</f>
        <v>#VALUE!</v>
      </c>
      <c r="L168" s="1321"/>
      <c r="M168" s="1322"/>
      <c r="N168" s="1272"/>
      <c r="O168" s="1319">
        <f>MAX(IF(ISERROR(VALUE($C168)),0,VALUE($C168)),IF(ISERROR(VALUE($F168)),0,VALUE($F168)),IF(ISERROR(VALUE($I168)),0,VALUE($I168)))</f>
        <v>0</v>
      </c>
      <c r="P168" s="1319">
        <f>MAX(IF(ISERROR(VALUE($E168)),0,VALUE($E168)),IF(ISERROR(VALUE($H168)),0,VALUE($H168)),IF(ISERROR(VALUE($K168)),0,VALUE($K168)))</f>
        <v>0</v>
      </c>
    </row>
    <row r="169" spans="1:16" hidden="1">
      <c r="A169" s="1267" t="str">
        <f>Dioxins!A39</f>
        <v>Middle Bound</v>
      </c>
      <c r="B169" s="1273"/>
      <c r="C169" s="1321" t="e">
        <f>IF(C$135="","",(Dioxins!O39&amp;signum2(Dioxins!R39,SigFig1,SigFig2,Dioxins!O39)))</f>
        <v>#VALUE!</v>
      </c>
      <c r="D169" s="1351" t="e">
        <f>IF(C$135="","",(Dioxins!O39&amp;signum2(Dioxins!S39,SigFig1,SigFig2,Dioxins!O39)))</f>
        <v>#VALUE!</v>
      </c>
      <c r="E169" s="1352" t="e">
        <f>IF(C$135="","",(Dioxins!O39&amp;signum2(Dioxins!T39,SigFig1,SigFig2,Dioxins!O39)))</f>
        <v>#VALUE!</v>
      </c>
      <c r="F169" s="1321" t="e">
        <f>IF(F$135="","",(Dioxins!B39&amp;signum2(Dioxins!E39,SigFig1,SigFig2,Dioxins!B39)))</f>
        <v>#VALUE!</v>
      </c>
      <c r="G169" s="1351" t="e">
        <f>IF(F$135="","",(Dioxins!B39&amp;signum2(Dioxins!F39,SigFig1,SigFig2,Dioxins!B39)))</f>
        <v>#VALUE!</v>
      </c>
      <c r="H169" s="1352" t="e">
        <f>IF(F$135="","",(Dioxins!B39&amp;signum2(Dioxins!G39,SigFig1,SigFig2,Dioxins!B39)))</f>
        <v>#VALUE!</v>
      </c>
      <c r="I169" s="1321" t="e">
        <f>IF(I$135="","",(Dioxins!H39&amp;signum2(Dioxins!K39,SigFig1,SigFig2,Dioxins!H39)))</f>
        <v>#VALUE!</v>
      </c>
      <c r="J169" s="1351" t="e">
        <f>IF(I$135="","",(Dioxins!H39&amp;signum2(Dioxins!L39,SigFig1,SigFig2,Dioxins!H39)))</f>
        <v>#VALUE!</v>
      </c>
      <c r="K169" s="1352" t="e">
        <f>IF(I$135="","",(Dioxins!H39&amp;signum2(Dioxins!M39,SigFig1,SigFig2,Dioxins!H39)))</f>
        <v>#VALUE!</v>
      </c>
      <c r="L169" s="1321"/>
      <c r="M169" s="1322"/>
      <c r="N169" s="1272"/>
      <c r="O169" s="1319">
        <f>MAX(IF(ISERROR(VALUE($C169)),0,VALUE($C169)),IF(ISERROR(VALUE($F169)),0,VALUE($F169)),IF(ISERROR(VALUE($I169)),0,VALUE($I169)))</f>
        <v>0</v>
      </c>
      <c r="P169" s="1319">
        <f>MAX(IF(ISERROR(VALUE($E169)),0,VALUE($E169)),IF(ISERROR(VALUE($H169)),0,VALUE($H169)),IF(ISERROR(VALUE($K169)),0,VALUE($K169)))</f>
        <v>0</v>
      </c>
    </row>
    <row r="170" spans="1:16" hidden="1">
      <c r="A170" s="1267" t="str">
        <f>Dioxins!A40</f>
        <v>Upper Bound</v>
      </c>
      <c r="B170" s="1273"/>
      <c r="C170" s="1321" t="e">
        <f>IF(C$135="","",(Dioxins!O40&amp;signum2(Dioxins!R40,SigFig1,SigFig2,Dioxins!O40)))</f>
        <v>#VALUE!</v>
      </c>
      <c r="D170" s="1351" t="e">
        <f>IF(C$135="","",(Dioxins!O40&amp;signum2(Dioxins!S40,SigFig1,SigFig2,Dioxins!O40)))</f>
        <v>#VALUE!</v>
      </c>
      <c r="E170" s="1352" t="e">
        <f>IF(C$135="","",(Dioxins!O40&amp;signum2(Dioxins!T40,SigFig1,SigFig2,Dioxins!O40)))</f>
        <v>#VALUE!</v>
      </c>
      <c r="F170" s="1321" t="e">
        <f>IF(F$135="","",(Dioxins!B40&amp;signum2(Dioxins!E40,SigFig1,SigFig2,Dioxins!B40)))</f>
        <v>#VALUE!</v>
      </c>
      <c r="G170" s="1351" t="e">
        <f>IF(F$135="","",(Dioxins!B40&amp;signum2(Dioxins!F40,SigFig1,SigFig2,Dioxins!B40)))</f>
        <v>#VALUE!</v>
      </c>
      <c r="H170" s="1352" t="e">
        <f>IF(F$135="","",(Dioxins!B40&amp;signum2(Dioxins!G40,SigFig1,SigFig2,Dioxins!B40)))</f>
        <v>#VALUE!</v>
      </c>
      <c r="I170" s="1321" t="e">
        <f>IF(I$135="","",(Dioxins!H40&amp;signum2(Dioxins!K40,SigFig1,SigFig2,Dioxins!H40)))</f>
        <v>#VALUE!</v>
      </c>
      <c r="J170" s="1351" t="e">
        <f>IF(I$135="","",(Dioxins!H40&amp;signum2(Dioxins!L40,SigFig1,SigFig2,Dioxins!H40)))</f>
        <v>#VALUE!</v>
      </c>
      <c r="K170" s="1352" t="e">
        <f>IF(I$135="","",(Dioxins!H40&amp;signum2(Dioxins!M40,SigFig1,SigFig2,Dioxins!H40)))</f>
        <v>#VALUE!</v>
      </c>
      <c r="L170" s="1321"/>
      <c r="M170" s="1322"/>
      <c r="N170" s="1272"/>
      <c r="O170" s="1319">
        <f>MAX(IF(ISERROR(VALUE($C170)),0,VALUE($C170)),IF(ISERROR(VALUE($F170)),0,VALUE($F170)),IF(ISERROR(VALUE($I170)),0,VALUE($I170)))</f>
        <v>0</v>
      </c>
      <c r="P170" s="1319">
        <f>MAX(IF(ISERROR(VALUE($E170)),0,VALUE($E170)),IF(ISERROR(VALUE($H170)),0,VALUE($H170)),IF(ISERROR(VALUE($K170)),0,VALUE($K170)))</f>
        <v>0</v>
      </c>
    </row>
    <row r="171" spans="1:16" hidden="1">
      <c r="A171" s="1371" t="s">
        <v>41</v>
      </c>
      <c r="B171" s="1371" t="s">
        <v>41</v>
      </c>
      <c r="C171" s="1371" t="s">
        <v>41</v>
      </c>
      <c r="D171" s="1371" t="s">
        <v>41</v>
      </c>
      <c r="E171" s="1371" t="s">
        <v>41</v>
      </c>
      <c r="F171" s="1371" t="s">
        <v>41</v>
      </c>
      <c r="G171" s="1371" t="s">
        <v>41</v>
      </c>
      <c r="H171" s="1371" t="s">
        <v>41</v>
      </c>
      <c r="I171" s="1371" t="s">
        <v>41</v>
      </c>
      <c r="J171" s="1371" t="s">
        <v>41</v>
      </c>
      <c r="K171" s="1371" t="s">
        <v>41</v>
      </c>
      <c r="L171" s="1325" t="s">
        <v>41</v>
      </c>
      <c r="M171" s="1325" t="s">
        <v>41</v>
      </c>
      <c r="N171" s="1272"/>
    </row>
    <row r="172" spans="1:16" hidden="1">
      <c r="A172" s="1262" t="s">
        <v>1053</v>
      </c>
      <c r="B172" s="1263"/>
      <c r="C172" s="2522" t="str">
        <f>IF(OR(TestReport="All",TestReport="Average only"),"Average","")</f>
        <v>Average</v>
      </c>
      <c r="D172" s="2523" t="str">
        <f>IF(OR(TestReport="Test 2 only",TestReport="Tests 1 &amp; 2"),"Test 2","")</f>
        <v/>
      </c>
      <c r="E172" s="2524" t="str">
        <f>IF(OR(TestReport="Test 2 only",TestReport="Tests 1 &amp; 2"),"Test 2","")</f>
        <v/>
      </c>
      <c r="F172" s="2522" t="str">
        <f>IF(OR(TestReport="Test 2 only",TestReport="Average only"),"",IF(TestReport="Test 1 only","Results","Test 1"))</f>
        <v>Test 1</v>
      </c>
      <c r="G172" s="2523" t="str">
        <f>IF(OR(TestReport="Test 1 only",TestReport="Tests 1 &amp; 2"),"Test 1","")</f>
        <v/>
      </c>
      <c r="H172" s="2524" t="str">
        <f>IF(OR(TestReport="Test 1 only",TestReport="Tests 1 &amp; 2"),"Test 1","")</f>
        <v/>
      </c>
      <c r="I172" s="2522" t="str">
        <f>IF(OR(TestReport="Test 1 only",TestReport="Average only"),"",IF(TestReport="Test 2 only","Results","Test 2"))</f>
        <v>Test 2</v>
      </c>
      <c r="J172" s="2523" t="str">
        <f>IF(OR(TestReport="Test 1 only",TestReport="Tests 1 &amp; 2"),"Test 1","")</f>
        <v/>
      </c>
      <c r="K172" s="2524" t="str">
        <f>IF(OR(TestReport="Test 1 only",TestReport="Tests 1 &amp; 2"),"Test 1","")</f>
        <v/>
      </c>
      <c r="L172" s="2519" t="s">
        <v>62</v>
      </c>
      <c r="M172" s="2520"/>
      <c r="N172" s="1272"/>
      <c r="O172" s="2521" t="s">
        <v>369</v>
      </c>
      <c r="P172" s="2521"/>
    </row>
    <row r="173" spans="1:16" s="1416" customFormat="1" ht="18.75" hidden="1" customHeight="1">
      <c r="A173" s="1422"/>
      <c r="B173" s="1418" t="s">
        <v>98</v>
      </c>
      <c r="C173" s="1414"/>
      <c r="D173" s="1419"/>
      <c r="E173" s="1415"/>
      <c r="F173" s="2514" t="str">
        <f>IF(F$85="","",'Flows &amp; Isokinetics'!J$9&amp;"-"&amp;'Flows &amp; Isokinetics'!J$10)</f>
        <v>-</v>
      </c>
      <c r="G173" s="2515"/>
      <c r="H173" s="2516"/>
      <c r="I173" s="2514" t="str">
        <f>IF(I$85="","",'Flows &amp; Isokinetics'!K$9&amp;"-"&amp;'Flows &amp; Isokinetics'!K$10)</f>
        <v>-</v>
      </c>
      <c r="J173" s="2515"/>
      <c r="K173" s="2516"/>
      <c r="L173" s="1414"/>
      <c r="M173" s="1415"/>
      <c r="N173" s="1420"/>
    </row>
    <row r="174" spans="1:16" hidden="1">
      <c r="A174" s="1294"/>
      <c r="B174" s="1317"/>
      <c r="C174" s="1316" t="str">
        <f>IF(C172="","","Concentration")</f>
        <v>Concentration</v>
      </c>
      <c r="D174" s="1411" t="str">
        <f>IF(C172="","",O2CO2)</f>
        <v/>
      </c>
      <c r="E174" s="1318" t="str">
        <f>IF(C172="","","Mass Rate")</f>
        <v>Mass Rate</v>
      </c>
      <c r="F174" s="1316" t="str">
        <f>IF(F172="","","Concentration")</f>
        <v>Concentration</v>
      </c>
      <c r="G174" s="1411" t="str">
        <f>IF(F172="","",O2CO2)</f>
        <v/>
      </c>
      <c r="H174" s="1318" t="str">
        <f>IF(F172="","","Mass Rate")</f>
        <v>Mass Rate</v>
      </c>
      <c r="I174" s="1316" t="str">
        <f>IF(I172="","","Concentration")</f>
        <v>Concentration</v>
      </c>
      <c r="J174" s="1411" t="str">
        <f>IF(I172="","",O2CO2)</f>
        <v/>
      </c>
      <c r="K174" s="1318" t="str">
        <f>IF(I172="","","Mass Rate")</f>
        <v>Mass Rate</v>
      </c>
      <c r="L174" s="1316"/>
      <c r="M174" s="1318"/>
      <c r="N174" s="1272"/>
      <c r="O174" s="1291" t="s">
        <v>367</v>
      </c>
      <c r="P174" s="1291" t="s">
        <v>368</v>
      </c>
    </row>
    <row r="175" spans="1:16" hidden="1">
      <c r="A175" s="1290"/>
      <c r="B175" s="1293"/>
      <c r="C175" s="1313" t="str">
        <f>IF(C172="","",Dioxins!$E43)</f>
        <v>ng/m³</v>
      </c>
      <c r="D175" s="1314" t="str">
        <f>IF(C172="","",Dioxins!$E21)</f>
        <v/>
      </c>
      <c r="E175" s="1315" t="str">
        <f>IF(C172="","",Dioxins!$G43)</f>
        <v>ng/min</v>
      </c>
      <c r="F175" s="1313" t="str">
        <f>IF(F172="","",Dioxins!$E43)</f>
        <v>ng/m³</v>
      </c>
      <c r="G175" s="1314" t="str">
        <f>IF(F172="","",Dioxins!$E21)</f>
        <v/>
      </c>
      <c r="H175" s="1315" t="str">
        <f>IF(F172="","",Dioxins!$G43)</f>
        <v>ng/min</v>
      </c>
      <c r="I175" s="1313" t="str">
        <f>IF(I172="","",Dioxins!$E43)</f>
        <v>ng/m³</v>
      </c>
      <c r="J175" s="1314" t="str">
        <f>IF(I172="","",Dioxins!$E21)</f>
        <v/>
      </c>
      <c r="K175" s="1315" t="str">
        <f>IF(I172="","",Dioxins!$G43)</f>
        <v>ng/min</v>
      </c>
      <c r="L175" s="1313" t="str">
        <f>IF(L172="","",Dioxins!$E43)</f>
        <v>ng/m³</v>
      </c>
      <c r="M175" s="1315" t="str">
        <f>IF(L172="","",Dioxins!$G43)</f>
        <v>ng/min</v>
      </c>
      <c r="N175" s="1272"/>
      <c r="O175" s="1291" t="str">
        <f>Dioxins!E43</f>
        <v>ng/m³</v>
      </c>
      <c r="P175" s="1291" t="str">
        <f>Dioxins!G43</f>
        <v>ng/min</v>
      </c>
    </row>
    <row r="176" spans="1:16" hidden="1">
      <c r="A176" s="1267" t="str">
        <f>Dioxins!A45</f>
        <v>PCB 77</v>
      </c>
      <c r="B176" s="1273"/>
      <c r="C176" s="1321" t="str">
        <f>IF(C$135="","",(Dioxins!O45&amp;signum2(Dioxins!R45,SigFig1,SigFig2,Dioxins!O45)))</f>
        <v/>
      </c>
      <c r="D176" s="1351" t="str">
        <f>IF(C$135="","",(Dioxins!O45&amp;signum2(Dioxins!S45,SigFig1,SigFig2,Dioxins!O45)))</f>
        <v/>
      </c>
      <c r="E176" s="1352" t="str">
        <f>IF(C$135="","",(Dioxins!O45&amp;signum2(Dioxins!T45,SigFig1,SigFig2,Dioxins!O45)))</f>
        <v/>
      </c>
      <c r="F176" s="1321" t="str">
        <f>IF(F$135="","",(Dioxins!B45&amp;signum2(Dioxins!E45,SigFig1,SigFig2,Dioxins!B45)))</f>
        <v/>
      </c>
      <c r="G176" s="1351" t="str">
        <f>IF(F$135="","",(Dioxins!B45&amp;signum2(Dioxins!F45,SigFig1,SigFig2,Dioxins!B45)))</f>
        <v/>
      </c>
      <c r="H176" s="1352" t="str">
        <f>IF(F$135="","",(Dioxins!B45&amp;signum2(Dioxins!G45,SigFig1,SigFig2,Dioxins!B45)))</f>
        <v/>
      </c>
      <c r="I176" s="1321" t="str">
        <f>IF(I$135="","",(Dioxins!H45&amp;signum2(Dioxins!K45,SigFig1,SigFig2,Dioxins!H45)))</f>
        <v/>
      </c>
      <c r="J176" s="1351" t="str">
        <f>IF(I$135="","",(Dioxins!H45&amp;signum2(Dioxins!L45,SigFig1,SigFig2,Dioxins!H45)))</f>
        <v/>
      </c>
      <c r="K176" s="1352" t="str">
        <f>IF(I$135="","",(Dioxins!H45&amp;signum2(Dioxins!M45,SigFig1,SigFig2,Dioxins!H45)))</f>
        <v/>
      </c>
      <c r="L176" s="1321"/>
      <c r="M176" s="1322"/>
      <c r="N176" s="1272"/>
      <c r="O176" s="1319">
        <f>MAX(IF(ISERROR(VALUE($C176)),0,VALUE($C176)),IF(ISERROR(VALUE($F176)),0,VALUE($F176)),IF(ISERROR(VALUE($I176)),0,VALUE($I176)))</f>
        <v>0</v>
      </c>
      <c r="P176" s="1319">
        <f>MAX(IF(ISERROR(VALUE($E176)),0,VALUE($E176)),IF(ISERROR(VALUE($H176)),0,VALUE($H176)),IF(ISERROR(VALUE($K176)),0,VALUE($K176)))</f>
        <v>0</v>
      </c>
    </row>
    <row r="177" spans="1:16" hidden="1">
      <c r="A177" s="1267" t="str">
        <f>Dioxins!A46</f>
        <v>PCB 81</v>
      </c>
      <c r="B177" s="1273"/>
      <c r="C177" s="1321" t="str">
        <f>IF(C$135="","",(Dioxins!O46&amp;signum2(Dioxins!R46,SigFig1,SigFig2,Dioxins!O46)))</f>
        <v/>
      </c>
      <c r="D177" s="1351" t="str">
        <f>IF(C$135="","",(Dioxins!O46&amp;signum2(Dioxins!S46,SigFig1,SigFig2,Dioxins!O46)))</f>
        <v/>
      </c>
      <c r="E177" s="1352" t="str">
        <f>IF(C$135="","",(Dioxins!O46&amp;signum2(Dioxins!T46,SigFig1,SigFig2,Dioxins!O46)))</f>
        <v/>
      </c>
      <c r="F177" s="1321" t="str">
        <f>IF(F$135="","",(Dioxins!B46&amp;signum2(Dioxins!E46,SigFig1,SigFig2,Dioxins!B46)))</f>
        <v/>
      </c>
      <c r="G177" s="1351" t="str">
        <f>IF(F$135="","",(Dioxins!B46&amp;signum2(Dioxins!F46,SigFig1,SigFig2,Dioxins!B46)))</f>
        <v/>
      </c>
      <c r="H177" s="1352" t="str">
        <f>IF(F$135="","",(Dioxins!B46&amp;signum2(Dioxins!G46,SigFig1,SigFig2,Dioxins!B46)))</f>
        <v/>
      </c>
      <c r="I177" s="1321" t="str">
        <f>IF(I$135="","",(Dioxins!H46&amp;signum2(Dioxins!K46,SigFig1,SigFig2,Dioxins!H46)))</f>
        <v/>
      </c>
      <c r="J177" s="1351" t="str">
        <f>IF(I$135="","",(Dioxins!H46&amp;signum2(Dioxins!L46,SigFig1,SigFig2,Dioxins!H46)))</f>
        <v/>
      </c>
      <c r="K177" s="1352" t="str">
        <f>IF(I$135="","",(Dioxins!H46&amp;signum2(Dioxins!M46,SigFig1,SigFig2,Dioxins!H46)))</f>
        <v/>
      </c>
      <c r="L177" s="1321"/>
      <c r="M177" s="1322"/>
      <c r="N177" s="1272"/>
      <c r="O177" s="1319">
        <f t="shared" ref="O177:O193" si="4">MAX(IF(ISERROR(VALUE($C177)),0,VALUE($C177)),IF(ISERROR(VALUE($F177)),0,VALUE($F177)),IF(ISERROR(VALUE($I177)),0,VALUE($I177)))</f>
        <v>0</v>
      </c>
      <c r="P177" s="1319">
        <f t="shared" ref="P177:P193" si="5">MAX(IF(ISERROR(VALUE($E177)),0,VALUE($E177)),IF(ISERROR(VALUE($H177)),0,VALUE($H177)),IF(ISERROR(VALUE($K177)),0,VALUE($K177)))</f>
        <v>0</v>
      </c>
    </row>
    <row r="178" spans="1:16" hidden="1">
      <c r="A178" s="1267" t="str">
        <f>Dioxins!A47</f>
        <v>PCB 126</v>
      </c>
      <c r="B178" s="1273"/>
      <c r="C178" s="1321" t="str">
        <f>IF(C$135="","",(Dioxins!O47&amp;signum2(Dioxins!R47,SigFig1,SigFig2,Dioxins!O47)))</f>
        <v/>
      </c>
      <c r="D178" s="1351" t="str">
        <f>IF(C$135="","",(Dioxins!O47&amp;signum2(Dioxins!S47,SigFig1,SigFig2,Dioxins!O47)))</f>
        <v/>
      </c>
      <c r="E178" s="1352" t="str">
        <f>IF(C$135="","",(Dioxins!O47&amp;signum2(Dioxins!T47,SigFig1,SigFig2,Dioxins!O47)))</f>
        <v/>
      </c>
      <c r="F178" s="1321" t="str">
        <f>IF(F$135="","",(Dioxins!B47&amp;signum2(Dioxins!E47,SigFig1,SigFig2,Dioxins!B47)))</f>
        <v/>
      </c>
      <c r="G178" s="1351" t="str">
        <f>IF(F$135="","",(Dioxins!B47&amp;signum2(Dioxins!F47,SigFig1,SigFig2,Dioxins!B47)))</f>
        <v/>
      </c>
      <c r="H178" s="1352" t="str">
        <f>IF(F$135="","",(Dioxins!B47&amp;signum2(Dioxins!G47,SigFig1,SigFig2,Dioxins!B47)))</f>
        <v/>
      </c>
      <c r="I178" s="1321" t="str">
        <f>IF(I$135="","",(Dioxins!H47&amp;signum2(Dioxins!K47,SigFig1,SigFig2,Dioxins!H47)))</f>
        <v/>
      </c>
      <c r="J178" s="1351" t="str">
        <f>IF(I$135="","",(Dioxins!H47&amp;signum2(Dioxins!L47,SigFig1,SigFig2,Dioxins!H47)))</f>
        <v/>
      </c>
      <c r="K178" s="1352" t="str">
        <f>IF(I$135="","",(Dioxins!H47&amp;signum2(Dioxins!M47,SigFig1,SigFig2,Dioxins!H47)))</f>
        <v/>
      </c>
      <c r="L178" s="1321"/>
      <c r="M178" s="1322"/>
      <c r="N178" s="1272"/>
      <c r="O178" s="1319">
        <f t="shared" si="4"/>
        <v>0</v>
      </c>
      <c r="P178" s="1319">
        <f t="shared" si="5"/>
        <v>0</v>
      </c>
    </row>
    <row r="179" spans="1:16" hidden="1">
      <c r="A179" s="1267" t="str">
        <f>Dioxins!A48</f>
        <v>PCB 169</v>
      </c>
      <c r="B179" s="1273"/>
      <c r="C179" s="1321" t="str">
        <f>IF(C$135="","",(Dioxins!O48&amp;signum2(Dioxins!R48,SigFig1,SigFig2,Dioxins!O48)))</f>
        <v/>
      </c>
      <c r="D179" s="1351" t="str">
        <f>IF(C$135="","",(Dioxins!O48&amp;signum2(Dioxins!S48,SigFig1,SigFig2,Dioxins!O48)))</f>
        <v/>
      </c>
      <c r="E179" s="1352" t="str">
        <f>IF(C$135="","",(Dioxins!O48&amp;signum2(Dioxins!T48,SigFig1,SigFig2,Dioxins!O48)))</f>
        <v/>
      </c>
      <c r="F179" s="1321" t="str">
        <f>IF(F$135="","",(Dioxins!B48&amp;signum2(Dioxins!E48,SigFig1,SigFig2,Dioxins!B48)))</f>
        <v/>
      </c>
      <c r="G179" s="1351" t="str">
        <f>IF(F$135="","",(Dioxins!B48&amp;signum2(Dioxins!F48,SigFig1,SigFig2,Dioxins!B48)))</f>
        <v/>
      </c>
      <c r="H179" s="1352" t="str">
        <f>IF(F$135="","",(Dioxins!B48&amp;signum2(Dioxins!G48,SigFig1,SigFig2,Dioxins!B48)))</f>
        <v/>
      </c>
      <c r="I179" s="1321" t="str">
        <f>IF(I$135="","",(Dioxins!H48&amp;signum2(Dioxins!K48,SigFig1,SigFig2,Dioxins!H48)))</f>
        <v/>
      </c>
      <c r="J179" s="1351" t="str">
        <f>IF(I$135="","",(Dioxins!H48&amp;signum2(Dioxins!L48,SigFig1,SigFig2,Dioxins!H48)))</f>
        <v/>
      </c>
      <c r="K179" s="1352" t="str">
        <f>IF(I$135="","",(Dioxins!H48&amp;signum2(Dioxins!M48,SigFig1,SigFig2,Dioxins!H48)))</f>
        <v/>
      </c>
      <c r="L179" s="1321"/>
      <c r="M179" s="1322"/>
      <c r="N179" s="1272"/>
      <c r="O179" s="1319">
        <f t="shared" si="4"/>
        <v>0</v>
      </c>
      <c r="P179" s="1319">
        <f t="shared" si="5"/>
        <v>0</v>
      </c>
    </row>
    <row r="180" spans="1:16" hidden="1">
      <c r="A180" s="1267" t="str">
        <f>Dioxins!A49</f>
        <v>PCB 105</v>
      </c>
      <c r="B180" s="1273"/>
      <c r="C180" s="1321" t="str">
        <f>IF(C$135="","",(Dioxins!O49&amp;signum2(Dioxins!R49,SigFig1,SigFig2,Dioxins!O49)))</f>
        <v/>
      </c>
      <c r="D180" s="1351" t="str">
        <f>IF(C$135="","",(Dioxins!O49&amp;signum2(Dioxins!S49,SigFig1,SigFig2,Dioxins!O49)))</f>
        <v/>
      </c>
      <c r="E180" s="1352" t="str">
        <f>IF(C$135="","",(Dioxins!O49&amp;signum2(Dioxins!T49,SigFig1,SigFig2,Dioxins!O49)))</f>
        <v/>
      </c>
      <c r="F180" s="1321" t="str">
        <f>IF(F$135="","",(Dioxins!B49&amp;signum2(Dioxins!E49,SigFig1,SigFig2,Dioxins!B49)))</f>
        <v/>
      </c>
      <c r="G180" s="1351" t="str">
        <f>IF(F$135="","",(Dioxins!B49&amp;signum2(Dioxins!F49,SigFig1,SigFig2,Dioxins!B49)))</f>
        <v/>
      </c>
      <c r="H180" s="1352" t="str">
        <f>IF(F$135="","",(Dioxins!B49&amp;signum2(Dioxins!G49,SigFig1,SigFig2,Dioxins!B49)))</f>
        <v/>
      </c>
      <c r="I180" s="1321" t="str">
        <f>IF(I$135="","",(Dioxins!H49&amp;signum2(Dioxins!K49,SigFig1,SigFig2,Dioxins!H49)))</f>
        <v/>
      </c>
      <c r="J180" s="1351" t="str">
        <f>IF(I$135="","",(Dioxins!H49&amp;signum2(Dioxins!L49,SigFig1,SigFig2,Dioxins!H49)))</f>
        <v/>
      </c>
      <c r="K180" s="1352" t="str">
        <f>IF(I$135="","",(Dioxins!H49&amp;signum2(Dioxins!M49,SigFig1,SigFig2,Dioxins!H49)))</f>
        <v/>
      </c>
      <c r="L180" s="1321"/>
      <c r="M180" s="1322"/>
      <c r="N180" s="1272"/>
      <c r="O180" s="1319">
        <f t="shared" si="4"/>
        <v>0</v>
      </c>
      <c r="P180" s="1319">
        <f t="shared" si="5"/>
        <v>0</v>
      </c>
    </row>
    <row r="181" spans="1:16" hidden="1">
      <c r="A181" s="1267" t="str">
        <f>Dioxins!A50</f>
        <v>PCB 114</v>
      </c>
      <c r="B181" s="1273"/>
      <c r="C181" s="1321" t="str">
        <f>IF(C$135="","",(Dioxins!O50&amp;signum2(Dioxins!R50,SigFig1,SigFig2,Dioxins!O50)))</f>
        <v/>
      </c>
      <c r="D181" s="1351" t="str">
        <f>IF(C$135="","",(Dioxins!O50&amp;signum2(Dioxins!S50,SigFig1,SigFig2,Dioxins!O50)))</f>
        <v/>
      </c>
      <c r="E181" s="1352" t="str">
        <f>IF(C$135="","",(Dioxins!O50&amp;signum2(Dioxins!T50,SigFig1,SigFig2,Dioxins!O50)))</f>
        <v/>
      </c>
      <c r="F181" s="1321" t="str">
        <f>IF(F$135="","",(Dioxins!B50&amp;signum2(Dioxins!E50,SigFig1,SigFig2,Dioxins!B50)))</f>
        <v/>
      </c>
      <c r="G181" s="1351" t="str">
        <f>IF(F$135="","",(Dioxins!B50&amp;signum2(Dioxins!F50,SigFig1,SigFig2,Dioxins!B50)))</f>
        <v/>
      </c>
      <c r="H181" s="1352" t="str">
        <f>IF(F$135="","",(Dioxins!B50&amp;signum2(Dioxins!G50,SigFig1,SigFig2,Dioxins!B50)))</f>
        <v/>
      </c>
      <c r="I181" s="1321" t="str">
        <f>IF(I$135="","",(Dioxins!H50&amp;signum2(Dioxins!K50,SigFig1,SigFig2,Dioxins!H50)))</f>
        <v/>
      </c>
      <c r="J181" s="1351" t="str">
        <f>IF(I$135="","",(Dioxins!H50&amp;signum2(Dioxins!L50,SigFig1,SigFig2,Dioxins!H50)))</f>
        <v/>
      </c>
      <c r="K181" s="1352" t="str">
        <f>IF(I$135="","",(Dioxins!H50&amp;signum2(Dioxins!M50,SigFig1,SigFig2,Dioxins!H50)))</f>
        <v/>
      </c>
      <c r="L181" s="1321"/>
      <c r="M181" s="1322"/>
      <c r="N181" s="1272"/>
      <c r="O181" s="1319">
        <f t="shared" si="4"/>
        <v>0</v>
      </c>
      <c r="P181" s="1319">
        <f t="shared" si="5"/>
        <v>0</v>
      </c>
    </row>
    <row r="182" spans="1:16" hidden="1">
      <c r="A182" s="1267" t="str">
        <f>Dioxins!A51</f>
        <v>PCB 118</v>
      </c>
      <c r="B182" s="1273"/>
      <c r="C182" s="1321" t="str">
        <f>IF(C$135="","",(Dioxins!O51&amp;signum2(Dioxins!R51,SigFig1,SigFig2,Dioxins!O51)))</f>
        <v/>
      </c>
      <c r="D182" s="1351" t="str">
        <f>IF(C$135="","",(Dioxins!O51&amp;signum2(Dioxins!S51,SigFig1,SigFig2,Dioxins!O51)))</f>
        <v/>
      </c>
      <c r="E182" s="1352" t="str">
        <f>IF(C$135="","",(Dioxins!O51&amp;signum2(Dioxins!T51,SigFig1,SigFig2,Dioxins!O51)))</f>
        <v/>
      </c>
      <c r="F182" s="1321" t="str">
        <f>IF(F$135="","",(Dioxins!B51&amp;signum2(Dioxins!E51,SigFig1,SigFig2,Dioxins!B51)))</f>
        <v/>
      </c>
      <c r="G182" s="1351" t="str">
        <f>IF(F$135="","",(Dioxins!B51&amp;signum2(Dioxins!F51,SigFig1,SigFig2,Dioxins!B51)))</f>
        <v/>
      </c>
      <c r="H182" s="1352" t="str">
        <f>IF(F$135="","",(Dioxins!B51&amp;signum2(Dioxins!G51,SigFig1,SigFig2,Dioxins!B51)))</f>
        <v/>
      </c>
      <c r="I182" s="1321" t="str">
        <f>IF(I$135="","",(Dioxins!H51&amp;signum2(Dioxins!K51,SigFig1,SigFig2,Dioxins!H51)))</f>
        <v/>
      </c>
      <c r="J182" s="1351" t="str">
        <f>IF(I$135="","",(Dioxins!H51&amp;signum2(Dioxins!L51,SigFig1,SigFig2,Dioxins!H51)))</f>
        <v/>
      </c>
      <c r="K182" s="1352" t="str">
        <f>IF(I$135="","",(Dioxins!H51&amp;signum2(Dioxins!M51,SigFig1,SigFig2,Dioxins!H51)))</f>
        <v/>
      </c>
      <c r="L182" s="1321"/>
      <c r="M182" s="1322"/>
      <c r="N182" s="1272"/>
      <c r="O182" s="1319">
        <f t="shared" si="4"/>
        <v>0</v>
      </c>
      <c r="P182" s="1319">
        <f t="shared" si="5"/>
        <v>0</v>
      </c>
    </row>
    <row r="183" spans="1:16" hidden="1">
      <c r="A183" s="1267" t="str">
        <f>Dioxins!A52</f>
        <v>PCB 123</v>
      </c>
      <c r="B183" s="1273"/>
      <c r="C183" s="1321" t="str">
        <f>IF(C$135="","",(Dioxins!O52&amp;signum2(Dioxins!R52,SigFig1,SigFig2,Dioxins!O52)))</f>
        <v/>
      </c>
      <c r="D183" s="1351" t="str">
        <f>IF(C$135="","",(Dioxins!O52&amp;signum2(Dioxins!S52,SigFig1,SigFig2,Dioxins!O52)))</f>
        <v/>
      </c>
      <c r="E183" s="1352" t="str">
        <f>IF(C$135="","",(Dioxins!O52&amp;signum2(Dioxins!T52,SigFig1,SigFig2,Dioxins!O52)))</f>
        <v/>
      </c>
      <c r="F183" s="1321" t="str">
        <f>IF(F$135="","",(Dioxins!B52&amp;signum2(Dioxins!E52,SigFig1,SigFig2,Dioxins!B52)))</f>
        <v/>
      </c>
      <c r="G183" s="1351" t="str">
        <f>IF(F$135="","",(Dioxins!B52&amp;signum2(Dioxins!F52,SigFig1,SigFig2,Dioxins!B52)))</f>
        <v/>
      </c>
      <c r="H183" s="1352" t="str">
        <f>IF(F$135="","",(Dioxins!B52&amp;signum2(Dioxins!G52,SigFig1,SigFig2,Dioxins!B52)))</f>
        <v/>
      </c>
      <c r="I183" s="1321" t="str">
        <f>IF(I$135="","",(Dioxins!H52&amp;signum2(Dioxins!K52,SigFig1,SigFig2,Dioxins!H52)))</f>
        <v/>
      </c>
      <c r="J183" s="1351" t="str">
        <f>IF(I$135="","",(Dioxins!H52&amp;signum2(Dioxins!L52,SigFig1,SigFig2,Dioxins!H52)))</f>
        <v/>
      </c>
      <c r="K183" s="1352" t="str">
        <f>IF(I$135="","",(Dioxins!H52&amp;signum2(Dioxins!M52,SigFig1,SigFig2,Dioxins!H52)))</f>
        <v/>
      </c>
      <c r="L183" s="1321"/>
      <c r="M183" s="1322"/>
      <c r="N183" s="1272"/>
      <c r="O183" s="1319">
        <f t="shared" si="4"/>
        <v>0</v>
      </c>
      <c r="P183" s="1319">
        <f t="shared" si="5"/>
        <v>0</v>
      </c>
    </row>
    <row r="184" spans="1:16" hidden="1">
      <c r="A184" s="1267" t="str">
        <f>Dioxins!A53</f>
        <v>PCB 156</v>
      </c>
      <c r="B184" s="1273"/>
      <c r="C184" s="1321" t="str">
        <f>IF(C$135="","",(Dioxins!O53&amp;signum2(Dioxins!R53,SigFig1,SigFig2,Dioxins!O53)))</f>
        <v/>
      </c>
      <c r="D184" s="1351" t="str">
        <f>IF(C$135="","",(Dioxins!O53&amp;signum2(Dioxins!S53,SigFig1,SigFig2,Dioxins!O53)))</f>
        <v/>
      </c>
      <c r="E184" s="1352" t="str">
        <f>IF(C$135="","",(Dioxins!O53&amp;signum2(Dioxins!T53,SigFig1,SigFig2,Dioxins!O53)))</f>
        <v/>
      </c>
      <c r="F184" s="1321" t="str">
        <f>IF(F$135="","",(Dioxins!B53&amp;signum2(Dioxins!E53,SigFig1,SigFig2,Dioxins!B53)))</f>
        <v/>
      </c>
      <c r="G184" s="1351" t="str">
        <f>IF(F$135="","",(Dioxins!B53&amp;signum2(Dioxins!F53,SigFig1,SigFig2,Dioxins!B53)))</f>
        <v/>
      </c>
      <c r="H184" s="1352" t="str">
        <f>IF(F$135="","",(Dioxins!B53&amp;signum2(Dioxins!G53,SigFig1,SigFig2,Dioxins!B53)))</f>
        <v/>
      </c>
      <c r="I184" s="1321" t="str">
        <f>IF(I$135="","",(Dioxins!H53&amp;signum2(Dioxins!K53,SigFig1,SigFig2,Dioxins!H53)))</f>
        <v/>
      </c>
      <c r="J184" s="1351" t="str">
        <f>IF(I$135="","",(Dioxins!H53&amp;signum2(Dioxins!L53,SigFig1,SigFig2,Dioxins!H53)))</f>
        <v/>
      </c>
      <c r="K184" s="1352" t="str">
        <f>IF(I$135="","",(Dioxins!H53&amp;signum2(Dioxins!M53,SigFig1,SigFig2,Dioxins!H53)))</f>
        <v/>
      </c>
      <c r="L184" s="1321"/>
      <c r="M184" s="1322"/>
      <c r="N184" s="1272"/>
      <c r="O184" s="1319">
        <f t="shared" si="4"/>
        <v>0</v>
      </c>
      <c r="P184" s="1319">
        <f t="shared" si="5"/>
        <v>0</v>
      </c>
    </row>
    <row r="185" spans="1:16" hidden="1">
      <c r="A185" s="1267" t="str">
        <f>Dioxins!A54</f>
        <v>PCB 157</v>
      </c>
      <c r="B185" s="1273"/>
      <c r="C185" s="1321" t="str">
        <f>IF(C$135="","",(Dioxins!O54&amp;signum2(Dioxins!R54,SigFig1,SigFig2,Dioxins!O54)))</f>
        <v/>
      </c>
      <c r="D185" s="1351" t="str">
        <f>IF(C$135="","",(Dioxins!O54&amp;signum2(Dioxins!S54,SigFig1,SigFig2,Dioxins!O54)))</f>
        <v/>
      </c>
      <c r="E185" s="1352" t="str">
        <f>IF(C$135="","",(Dioxins!O54&amp;signum2(Dioxins!T54,SigFig1,SigFig2,Dioxins!O54)))</f>
        <v/>
      </c>
      <c r="F185" s="1321" t="str">
        <f>IF(F$135="","",(Dioxins!B54&amp;signum2(Dioxins!E54,SigFig1,SigFig2,Dioxins!B54)))</f>
        <v/>
      </c>
      <c r="G185" s="1351" t="str">
        <f>IF(F$135="","",(Dioxins!B54&amp;signum2(Dioxins!F54,SigFig1,SigFig2,Dioxins!B54)))</f>
        <v/>
      </c>
      <c r="H185" s="1352" t="str">
        <f>IF(F$135="","",(Dioxins!B54&amp;signum2(Dioxins!G54,SigFig1,SigFig2,Dioxins!B54)))</f>
        <v/>
      </c>
      <c r="I185" s="1321" t="str">
        <f>IF(I$135="","",(Dioxins!H54&amp;signum2(Dioxins!K54,SigFig1,SigFig2,Dioxins!H54)))</f>
        <v/>
      </c>
      <c r="J185" s="1351" t="str">
        <f>IF(I$135="","",(Dioxins!H54&amp;signum2(Dioxins!L54,SigFig1,SigFig2,Dioxins!H54)))</f>
        <v/>
      </c>
      <c r="K185" s="1352" t="str">
        <f>IF(I$135="","",(Dioxins!H54&amp;signum2(Dioxins!M54,SigFig1,SigFig2,Dioxins!H54)))</f>
        <v/>
      </c>
      <c r="L185" s="1321"/>
      <c r="M185" s="1322"/>
      <c r="N185" s="1272"/>
      <c r="O185" s="1319">
        <f t="shared" si="4"/>
        <v>0</v>
      </c>
      <c r="P185" s="1319">
        <f t="shared" si="5"/>
        <v>0</v>
      </c>
    </row>
    <row r="186" spans="1:16" hidden="1">
      <c r="A186" s="1267" t="str">
        <f>Dioxins!A55</f>
        <v>PCB 167</v>
      </c>
      <c r="B186" s="1273"/>
      <c r="C186" s="1321" t="str">
        <f>IF(C$135="","",(Dioxins!O55&amp;signum2(Dioxins!R55,SigFig1,SigFig2,Dioxins!O55)))</f>
        <v/>
      </c>
      <c r="D186" s="1351" t="str">
        <f>IF(C$135="","",(Dioxins!O55&amp;signum2(Dioxins!S55,SigFig1,SigFig2,Dioxins!O55)))</f>
        <v/>
      </c>
      <c r="E186" s="1352" t="str">
        <f>IF(C$135="","",(Dioxins!O55&amp;signum2(Dioxins!T55,SigFig1,SigFig2,Dioxins!O55)))</f>
        <v/>
      </c>
      <c r="F186" s="1321" t="str">
        <f>IF(F$135="","",(Dioxins!B55&amp;signum2(Dioxins!E55,SigFig1,SigFig2,Dioxins!B55)))</f>
        <v/>
      </c>
      <c r="G186" s="1351" t="str">
        <f>IF(F$135="","",(Dioxins!B55&amp;signum2(Dioxins!F55,SigFig1,SigFig2,Dioxins!B55)))</f>
        <v/>
      </c>
      <c r="H186" s="1352" t="str">
        <f>IF(F$135="","",(Dioxins!B55&amp;signum2(Dioxins!G55,SigFig1,SigFig2,Dioxins!B55)))</f>
        <v/>
      </c>
      <c r="I186" s="1321" t="str">
        <f>IF(I$135="","",(Dioxins!H55&amp;signum2(Dioxins!K55,SigFig1,SigFig2,Dioxins!H55)))</f>
        <v/>
      </c>
      <c r="J186" s="1351" t="str">
        <f>IF(I$135="","",(Dioxins!H55&amp;signum2(Dioxins!L55,SigFig1,SigFig2,Dioxins!H55)))</f>
        <v/>
      </c>
      <c r="K186" s="1352" t="str">
        <f>IF(I$135="","",(Dioxins!H55&amp;signum2(Dioxins!M55,SigFig1,SigFig2,Dioxins!H55)))</f>
        <v/>
      </c>
      <c r="L186" s="1321"/>
      <c r="M186" s="1322"/>
      <c r="N186" s="1272"/>
      <c r="O186" s="1319">
        <f t="shared" si="4"/>
        <v>0</v>
      </c>
      <c r="P186" s="1319">
        <f t="shared" si="5"/>
        <v>0</v>
      </c>
    </row>
    <row r="187" spans="1:16" hidden="1">
      <c r="A187" s="1267" t="str">
        <f>Dioxins!A56</f>
        <v>PCB 189</v>
      </c>
      <c r="B187" s="1273"/>
      <c r="C187" s="1321" t="str">
        <f>IF(C$135="","",(Dioxins!O56&amp;signum2(Dioxins!R56,SigFig1,SigFig2,Dioxins!O56)))</f>
        <v/>
      </c>
      <c r="D187" s="1351" t="str">
        <f>IF(C$135="","",(Dioxins!O56&amp;signum2(Dioxins!S56,SigFig1,SigFig2,Dioxins!O56)))</f>
        <v/>
      </c>
      <c r="E187" s="1352" t="str">
        <f>IF(C$135="","",(Dioxins!O56&amp;signum2(Dioxins!T56,SigFig1,SigFig2,Dioxins!O56)))</f>
        <v/>
      </c>
      <c r="F187" s="1321" t="str">
        <f>IF(F$135="","",(Dioxins!B56&amp;signum2(Dioxins!E56,SigFig1,SigFig2,Dioxins!B56)))</f>
        <v/>
      </c>
      <c r="G187" s="1351" t="str">
        <f>IF(F$135="","",(Dioxins!B56&amp;signum2(Dioxins!F56,SigFig1,SigFig2,Dioxins!B56)))</f>
        <v/>
      </c>
      <c r="H187" s="1352" t="str">
        <f>IF(F$135="","",(Dioxins!B56&amp;signum2(Dioxins!G56,SigFig1,SigFig2,Dioxins!B56)))</f>
        <v/>
      </c>
      <c r="I187" s="1321" t="str">
        <f>IF(I$135="","",(Dioxins!H56&amp;signum2(Dioxins!K56,SigFig1,SigFig2,Dioxins!H56)))</f>
        <v/>
      </c>
      <c r="J187" s="1351" t="str">
        <f>IF(I$135="","",(Dioxins!H56&amp;signum2(Dioxins!L56,SigFig1,SigFig2,Dioxins!H56)))</f>
        <v/>
      </c>
      <c r="K187" s="1352" t="str">
        <f>IF(I$135="","",(Dioxins!H56&amp;signum2(Dioxins!M56,SigFig1,SigFig2,Dioxins!H56)))</f>
        <v/>
      </c>
      <c r="L187" s="1321"/>
      <c r="M187" s="1322"/>
      <c r="N187" s="1272"/>
      <c r="O187" s="1319">
        <f t="shared" si="4"/>
        <v>0</v>
      </c>
      <c r="P187" s="1319">
        <f t="shared" si="5"/>
        <v>0</v>
      </c>
    </row>
    <row r="188" spans="1:16" hidden="1">
      <c r="A188" s="1372" t="s">
        <v>41</v>
      </c>
      <c r="B188" s="1369" t="s">
        <v>41</v>
      </c>
      <c r="C188" s="1373" t="s">
        <v>41</v>
      </c>
      <c r="D188" s="1374" t="s">
        <v>41</v>
      </c>
      <c r="E188" s="1375" t="s">
        <v>41</v>
      </c>
      <c r="F188" s="1373" t="s">
        <v>41</v>
      </c>
      <c r="G188" s="1374" t="s">
        <v>41</v>
      </c>
      <c r="H188" s="1375" t="s">
        <v>41</v>
      </c>
      <c r="I188" s="1373" t="s">
        <v>41</v>
      </c>
      <c r="J188" s="1374" t="s">
        <v>41</v>
      </c>
      <c r="K188" s="1375" t="s">
        <v>41</v>
      </c>
      <c r="L188" s="1321"/>
      <c r="M188" s="1322"/>
      <c r="N188" s="1272"/>
      <c r="O188" s="1319"/>
      <c r="P188" s="1319"/>
    </row>
    <row r="189" spans="1:16" hidden="1">
      <c r="A189" s="1267" t="str">
        <f>Dioxins!A57</f>
        <v>Total PCB's</v>
      </c>
      <c r="B189" s="1273"/>
      <c r="C189" s="1321" t="e">
        <f>IF(C$135="","",(Dioxins!O57&amp;signum2(Dioxins!R57,SigFig1,SigFig2,Dioxins!O57)))</f>
        <v>#VALUE!</v>
      </c>
      <c r="D189" s="1351" t="e">
        <f>IF(C$135="","",(Dioxins!O57&amp;signum2(Dioxins!S57,SigFig1,SigFig2,Dioxins!O57)))</f>
        <v>#VALUE!</v>
      </c>
      <c r="E189" s="1352" t="e">
        <f>IF(C$135="","",(Dioxins!O57&amp;signum2(Dioxins!T57,SigFig1,SigFig2,Dioxins!O57)))</f>
        <v>#VALUE!</v>
      </c>
      <c r="F189" s="1321" t="e">
        <f>IF(F$135="","",(Dioxins!B57&amp;signum2(Dioxins!E57,SigFig1,SigFig2,Dioxins!B57)))</f>
        <v>#VALUE!</v>
      </c>
      <c r="G189" s="1351" t="e">
        <f>IF(F$135="","",(Dioxins!B57&amp;signum2(Dioxins!F57,SigFig1,SigFig2,Dioxins!B57)))</f>
        <v>#VALUE!</v>
      </c>
      <c r="H189" s="1352" t="e">
        <f>IF(F$135="","",(Dioxins!B57&amp;signum2(Dioxins!G57,SigFig1,SigFig2,Dioxins!B57)))</f>
        <v>#VALUE!</v>
      </c>
      <c r="I189" s="1321" t="e">
        <f>IF(I$135="","",(Dioxins!H57&amp;signum2(Dioxins!K57,SigFig1,SigFig2,Dioxins!H57)))</f>
        <v>#VALUE!</v>
      </c>
      <c r="J189" s="1351" t="e">
        <f>IF(I$135="","",(Dioxins!H57&amp;signum2(Dioxins!L57,SigFig1,SigFig2,Dioxins!H57)))</f>
        <v>#VALUE!</v>
      </c>
      <c r="K189" s="1352" t="e">
        <f>IF(I$135="","",(Dioxins!H57&amp;signum2(Dioxins!M57,SigFig1,SigFig2,Dioxins!H57)))</f>
        <v>#VALUE!</v>
      </c>
      <c r="L189" s="1321"/>
      <c r="M189" s="1322"/>
      <c r="N189" s="1272"/>
      <c r="O189" s="1319">
        <f t="shared" si="4"/>
        <v>0</v>
      </c>
      <c r="P189" s="1319">
        <f t="shared" si="5"/>
        <v>0</v>
      </c>
    </row>
    <row r="190" spans="1:16" hidden="1">
      <c r="A190" s="1372" t="s">
        <v>41</v>
      </c>
      <c r="B190" s="1369" t="s">
        <v>41</v>
      </c>
      <c r="C190" s="1373" t="s">
        <v>41</v>
      </c>
      <c r="D190" s="1374" t="s">
        <v>41</v>
      </c>
      <c r="E190" s="1375" t="s">
        <v>41</v>
      </c>
      <c r="F190" s="1373" t="s">
        <v>41</v>
      </c>
      <c r="G190" s="1374" t="s">
        <v>41</v>
      </c>
      <c r="H190" s="1375" t="s">
        <v>41</v>
      </c>
      <c r="I190" s="1373" t="s">
        <v>41</v>
      </c>
      <c r="J190" s="1374" t="s">
        <v>41</v>
      </c>
      <c r="K190" s="1375" t="s">
        <v>41</v>
      </c>
      <c r="L190" s="1321"/>
      <c r="M190" s="1322"/>
      <c r="N190" s="1272"/>
      <c r="O190" s="1319"/>
      <c r="P190" s="1319"/>
    </row>
    <row r="191" spans="1:16" hidden="1">
      <c r="A191" s="1267" t="str">
        <f>Dioxins!A58</f>
        <v>Lower Bound</v>
      </c>
      <c r="B191" s="1273"/>
      <c r="C191" s="1321" t="e">
        <f>IF(C$135="","",(Dioxins!O58&amp;signum2(Dioxins!R58,SigFig1,SigFig2,Dioxins!O58)))</f>
        <v>#VALUE!</v>
      </c>
      <c r="D191" s="1351" t="e">
        <f>IF(C$135="","",(Dioxins!O58&amp;signum2(Dioxins!S58,SigFig1,SigFig2,Dioxins!O58)))</f>
        <v>#VALUE!</v>
      </c>
      <c r="E191" s="1352" t="e">
        <f>IF(C$135="","",(Dioxins!O58&amp;signum2(Dioxins!T58,SigFig1,SigFig2,Dioxins!O58)))</f>
        <v>#VALUE!</v>
      </c>
      <c r="F191" s="1321" t="e">
        <f>IF(F$135="","",(Dioxins!B58&amp;signum2(Dioxins!E58,SigFig1,SigFig2,Dioxins!B58)))</f>
        <v>#VALUE!</v>
      </c>
      <c r="G191" s="1351" t="e">
        <f>IF(F$135="","",(Dioxins!B58&amp;signum2(Dioxins!F58,SigFig1,SigFig2,Dioxins!B58)))</f>
        <v>#VALUE!</v>
      </c>
      <c r="H191" s="1352" t="e">
        <f>IF(F$135="","",(Dioxins!B58&amp;signum2(Dioxins!G58,SigFig1,SigFig2,Dioxins!B58)))</f>
        <v>#VALUE!</v>
      </c>
      <c r="I191" s="1321" t="e">
        <f>IF(I$135="","",(Dioxins!H58&amp;signum2(Dioxins!K58,SigFig1,SigFig2,Dioxins!H58)))</f>
        <v>#VALUE!</v>
      </c>
      <c r="J191" s="1351" t="e">
        <f>IF(I$135="","",(Dioxins!H58&amp;signum2(Dioxins!L58,SigFig1,SigFig2,Dioxins!H58)))</f>
        <v>#VALUE!</v>
      </c>
      <c r="K191" s="1352" t="e">
        <f>IF(I$135="","",(Dioxins!H58&amp;signum2(Dioxins!M58,SigFig1,SigFig2,Dioxins!H58)))</f>
        <v>#VALUE!</v>
      </c>
      <c r="L191" s="1321"/>
      <c r="M191" s="1322"/>
      <c r="N191" s="1272"/>
      <c r="O191" s="1319">
        <f t="shared" si="4"/>
        <v>0</v>
      </c>
      <c r="P191" s="1319">
        <f t="shared" si="5"/>
        <v>0</v>
      </c>
    </row>
    <row r="192" spans="1:16" hidden="1">
      <c r="A192" s="1267" t="str">
        <f>Dioxins!A59</f>
        <v>Middle Bound</v>
      </c>
      <c r="B192" s="1273"/>
      <c r="C192" s="1321" t="e">
        <f>IF(C$135="","",(Dioxins!O59&amp;signum2(Dioxins!R59,SigFig1,SigFig2,Dioxins!O59)))</f>
        <v>#VALUE!</v>
      </c>
      <c r="D192" s="1351" t="e">
        <f>IF(C$135="","",(Dioxins!O59&amp;signum2(Dioxins!S59,SigFig1,SigFig2,Dioxins!O59)))</f>
        <v>#VALUE!</v>
      </c>
      <c r="E192" s="1352" t="e">
        <f>IF(C$135="","",(Dioxins!O59&amp;signum2(Dioxins!T59,SigFig1,SigFig2,Dioxins!O59)))</f>
        <v>#VALUE!</v>
      </c>
      <c r="F192" s="1321" t="e">
        <f>IF(F$135="","",(Dioxins!B59&amp;signum2(Dioxins!E59,SigFig1,SigFig2,Dioxins!B59)))</f>
        <v>#VALUE!</v>
      </c>
      <c r="G192" s="1351" t="e">
        <f>IF(F$135="","",(Dioxins!B59&amp;signum2(Dioxins!F59,SigFig1,SigFig2,Dioxins!B59)))</f>
        <v>#VALUE!</v>
      </c>
      <c r="H192" s="1352" t="e">
        <f>IF(F$135="","",(Dioxins!B59&amp;signum2(Dioxins!G59,SigFig1,SigFig2,Dioxins!B59)))</f>
        <v>#VALUE!</v>
      </c>
      <c r="I192" s="1321" t="e">
        <f>IF(I$135="","",(Dioxins!H59&amp;signum2(Dioxins!K59,SigFig1,SigFig2,Dioxins!H59)))</f>
        <v>#VALUE!</v>
      </c>
      <c r="J192" s="1351" t="e">
        <f>IF(I$135="","",(Dioxins!H59&amp;signum2(Dioxins!L59,SigFig1,SigFig2,Dioxins!H59)))</f>
        <v>#VALUE!</v>
      </c>
      <c r="K192" s="1352" t="e">
        <f>IF(I$135="","",(Dioxins!H59&amp;signum2(Dioxins!M59,SigFig1,SigFig2,Dioxins!H59)))</f>
        <v>#VALUE!</v>
      </c>
      <c r="L192" s="1321"/>
      <c r="M192" s="1322"/>
      <c r="N192" s="1272"/>
      <c r="O192" s="1319">
        <f t="shared" si="4"/>
        <v>0</v>
      </c>
      <c r="P192" s="1319">
        <f t="shared" si="5"/>
        <v>0</v>
      </c>
    </row>
    <row r="193" spans="1:16" hidden="1">
      <c r="A193" s="1267" t="str">
        <f>Dioxins!A60</f>
        <v>Upper Bound</v>
      </c>
      <c r="B193" s="1273"/>
      <c r="C193" s="1321" t="e">
        <f>IF(C$135="","",(Dioxins!O60&amp;signum2(Dioxins!R60,SigFig1,SigFig2,Dioxins!O60)))</f>
        <v>#VALUE!</v>
      </c>
      <c r="D193" s="1351" t="e">
        <f>IF(C$135="","",(Dioxins!O60&amp;signum2(Dioxins!S60,SigFig1,SigFig2,Dioxins!O60)))</f>
        <v>#VALUE!</v>
      </c>
      <c r="E193" s="1352" t="e">
        <f>IF(C$135="","",(Dioxins!O60&amp;signum2(Dioxins!T60,SigFig1,SigFig2,Dioxins!O60)))</f>
        <v>#VALUE!</v>
      </c>
      <c r="F193" s="1321" t="e">
        <f>IF(F$135="","",(Dioxins!B60&amp;signum2(Dioxins!E60,SigFig1,SigFig2,Dioxins!B60)))</f>
        <v>#VALUE!</v>
      </c>
      <c r="G193" s="1351" t="e">
        <f>IF(F$135="","",(Dioxins!B60&amp;signum2(Dioxins!F60,SigFig1,SigFig2,Dioxins!B60)))</f>
        <v>#VALUE!</v>
      </c>
      <c r="H193" s="1352" t="e">
        <f>IF(F$135="","",(Dioxins!B60&amp;signum2(Dioxins!G60,SigFig1,SigFig2,Dioxins!B60)))</f>
        <v>#VALUE!</v>
      </c>
      <c r="I193" s="1321" t="e">
        <f>IF(I$135="","",(Dioxins!H60&amp;signum2(Dioxins!K60,SigFig1,SigFig2,Dioxins!H60)))</f>
        <v>#VALUE!</v>
      </c>
      <c r="J193" s="1351" t="e">
        <f>IF(I$135="","",(Dioxins!H60&amp;signum2(Dioxins!L60,SigFig1,SigFig2,Dioxins!H60)))</f>
        <v>#VALUE!</v>
      </c>
      <c r="K193" s="1352" t="e">
        <f>IF(I$135="","",(Dioxins!H60&amp;signum2(Dioxins!M60,SigFig1,SigFig2,Dioxins!H60)))</f>
        <v>#VALUE!</v>
      </c>
      <c r="L193" s="1321"/>
      <c r="M193" s="1322"/>
      <c r="N193" s="1272"/>
      <c r="O193" s="1319">
        <f t="shared" si="4"/>
        <v>0</v>
      </c>
      <c r="P193" s="1319">
        <f t="shared" si="5"/>
        <v>0</v>
      </c>
    </row>
    <row r="194" spans="1:16" hidden="1">
      <c r="A194" s="1371" t="s">
        <v>41</v>
      </c>
      <c r="B194" s="1371" t="s">
        <v>41</v>
      </c>
      <c r="C194" s="1371" t="s">
        <v>41</v>
      </c>
      <c r="D194" s="1371" t="s">
        <v>41</v>
      </c>
      <c r="E194" s="1371" t="s">
        <v>41</v>
      </c>
      <c r="F194" s="1371" t="s">
        <v>41</v>
      </c>
      <c r="G194" s="1371" t="s">
        <v>41</v>
      </c>
      <c r="H194" s="1371" t="s">
        <v>41</v>
      </c>
      <c r="I194" s="1371" t="s">
        <v>41</v>
      </c>
      <c r="J194" s="1371" t="s">
        <v>41</v>
      </c>
      <c r="K194" s="1371" t="s">
        <v>41</v>
      </c>
      <c r="L194" s="1325" t="s">
        <v>41</v>
      </c>
      <c r="M194" s="1325" t="s">
        <v>41</v>
      </c>
      <c r="N194" s="1272"/>
    </row>
    <row r="195" spans="1:16" hidden="1">
      <c r="A195" s="1262" t="s">
        <v>949</v>
      </c>
      <c r="B195" s="1263"/>
      <c r="C195" s="2522" t="str">
        <f>IF(OR(TestReport="All",TestReport="Average only"),"Average","")</f>
        <v>Average</v>
      </c>
      <c r="D195" s="2523" t="str">
        <f>IF(OR(TestReport="Test 2 only",TestReport="Tests 1 &amp; 2"),"Test 2","")</f>
        <v/>
      </c>
      <c r="E195" s="2524" t="str">
        <f>IF(OR(TestReport="Test 2 only",TestReport="Tests 1 &amp; 2"),"Test 2","")</f>
        <v/>
      </c>
      <c r="F195" s="2522" t="str">
        <f>IF(OR(TestReport="Test 2 only",TestReport="Average only"),"",IF(TestReport="Test 1 only","Results","Test 1"))</f>
        <v>Test 1</v>
      </c>
      <c r="G195" s="2523" t="str">
        <f>IF(OR(TestReport="Test 1 only",TestReport="Tests 1 &amp; 2"),"Test 1","")</f>
        <v/>
      </c>
      <c r="H195" s="2524" t="str">
        <f>IF(OR(TestReport="Test 1 only",TestReport="Tests 1 &amp; 2"),"Test 1","")</f>
        <v/>
      </c>
      <c r="I195" s="2522" t="str">
        <f>IF(OR(TestReport="Test 1 only",TestReport="Average only"),"",IF(TestReport="Test 2 only","Results","Test 2"))</f>
        <v>Test 2</v>
      </c>
      <c r="J195" s="2523" t="str">
        <f>IF(OR(TestReport="Test 1 only",TestReport="Tests 1 &amp; 2"),"Test 1","")</f>
        <v/>
      </c>
      <c r="K195" s="2524" t="str">
        <f>IF(OR(TestReport="Test 1 only",TestReport="Tests 1 &amp; 2"),"Test 1","")</f>
        <v/>
      </c>
      <c r="L195" s="2519" t="s">
        <v>62</v>
      </c>
      <c r="M195" s="2520"/>
      <c r="N195" s="1272"/>
      <c r="O195" s="2521" t="s">
        <v>369</v>
      </c>
      <c r="P195" s="2521"/>
    </row>
    <row r="196" spans="1:16" s="1421" customFormat="1" ht="18.75" hidden="1" customHeight="1">
      <c r="A196" s="1414"/>
      <c r="B196" s="1415" t="s">
        <v>98</v>
      </c>
      <c r="C196" s="1414"/>
      <c r="D196" s="1419"/>
      <c r="E196" s="1415"/>
      <c r="F196" s="2514" t="str">
        <f>IF(F$85="","",'Flows &amp; Isokinetics'!J$9&amp;"-"&amp;'Flows &amp; Isokinetics'!J$10)</f>
        <v>-</v>
      </c>
      <c r="G196" s="2515"/>
      <c r="H196" s="2516"/>
      <c r="I196" s="2514" t="str">
        <f>IF(I$85="","",'Flows &amp; Isokinetics'!K$9&amp;"-"&amp;'Flows &amp; Isokinetics'!K$10)</f>
        <v>-</v>
      </c>
      <c r="J196" s="2515"/>
      <c r="K196" s="2516"/>
      <c r="L196" s="1414"/>
      <c r="M196" s="1415"/>
      <c r="N196" s="1419"/>
    </row>
    <row r="197" spans="1:16" ht="21.75" hidden="1" customHeight="1">
      <c r="A197" s="1294"/>
      <c r="B197" s="1317"/>
      <c r="C197" s="1316" t="str">
        <f>IF(C195="","","Concentration")</f>
        <v>Concentration</v>
      </c>
      <c r="D197" s="1411" t="str">
        <f>IF(C195="","",O2CO2)</f>
        <v/>
      </c>
      <c r="E197" s="1318" t="str">
        <f>IF(C195="","","Mass Rate")</f>
        <v>Mass Rate</v>
      </c>
      <c r="F197" s="1316" t="str">
        <f>IF(F195="","","Concentration")</f>
        <v>Concentration</v>
      </c>
      <c r="G197" s="1411" t="str">
        <f>IF(F195="","",O2CO2)</f>
        <v/>
      </c>
      <c r="H197" s="1318" t="str">
        <f>IF(F195="","","Mass Rate")</f>
        <v>Mass Rate</v>
      </c>
      <c r="I197" s="1316" t="str">
        <f>IF(I195="","","Concentration")</f>
        <v>Concentration</v>
      </c>
      <c r="J197" s="1411" t="str">
        <f>IF(I195="","",O2CO2)</f>
        <v/>
      </c>
      <c r="K197" s="1318" t="str">
        <f>IF(I195="","","Mass Rate")</f>
        <v>Mass Rate</v>
      </c>
      <c r="L197" s="1316"/>
      <c r="M197" s="1318"/>
      <c r="N197" s="1272"/>
      <c r="O197" s="1291" t="s">
        <v>367</v>
      </c>
      <c r="P197" s="1291" t="s">
        <v>368</v>
      </c>
    </row>
    <row r="198" spans="1:16" hidden="1">
      <c r="A198" s="1290"/>
      <c r="B198" s="1293"/>
      <c r="C198" s="1313" t="str">
        <f>IF(C195="","",Dioxins!$E63)</f>
        <v>ng/m³</v>
      </c>
      <c r="D198" s="1314" t="str">
        <f>IF(C195="","",Dioxins!$E63)</f>
        <v>ng/m³</v>
      </c>
      <c r="E198" s="1315" t="str">
        <f>IF(C195="","",Dioxins!$G63)</f>
        <v>ng/min</v>
      </c>
      <c r="F198" s="1313" t="str">
        <f>IF(F195="","",Dioxins!$E63)</f>
        <v>ng/m³</v>
      </c>
      <c r="G198" s="1314" t="str">
        <f>IF(F195="","",Dioxins!$E63)</f>
        <v>ng/m³</v>
      </c>
      <c r="H198" s="1315" t="str">
        <f>IF(F195="","",Dioxins!$G63)</f>
        <v>ng/min</v>
      </c>
      <c r="I198" s="1313" t="str">
        <f>IF(I195="","",Dioxins!$E63)</f>
        <v>ng/m³</v>
      </c>
      <c r="J198" s="1314" t="str">
        <f>IF(I195="","",Dioxins!$E63)</f>
        <v>ng/m³</v>
      </c>
      <c r="K198" s="1315" t="str">
        <f>IF(I195="","",Dioxins!$G63)</f>
        <v>ng/min</v>
      </c>
      <c r="L198" s="1313" t="str">
        <f>IF(L195="","",Dioxins!$E63)</f>
        <v>ng/m³</v>
      </c>
      <c r="M198" s="1315" t="str">
        <f>IF(L195="","",Dioxins!$G63)</f>
        <v>ng/min</v>
      </c>
      <c r="N198" s="1272"/>
      <c r="O198" s="1291" t="str">
        <f>Dioxins!E63</f>
        <v>ng/m³</v>
      </c>
      <c r="P198" s="1291" t="str">
        <f>Dioxins!G63</f>
        <v>ng/min</v>
      </c>
    </row>
    <row r="199" spans="1:16" hidden="1">
      <c r="A199" s="1267" t="str">
        <f>Dioxins!A65</f>
        <v>Naphthalene</v>
      </c>
      <c r="B199" s="1273"/>
      <c r="C199" s="1321" t="str">
        <f>IF(C$135="","",(Dioxins!O65&amp;signum2(Dioxins!R65,SigFig1,SigFig2,Dioxins!O65)))</f>
        <v/>
      </c>
      <c r="D199" s="1351" t="str">
        <f>IF(C$135="","",(Dioxins!O65&amp;signum2(Dioxins!S65,SigFig1,SigFig2,Dioxins!O65)))</f>
        <v/>
      </c>
      <c r="E199" s="1352" t="str">
        <f>IF(C$135="","",(Dioxins!O65&amp;signum2(Dioxins!T65,SigFig1,SigFig2,Dioxins!O65)))</f>
        <v/>
      </c>
      <c r="F199" s="1321" t="str">
        <f>IF(F$135="","",(Dioxins!B65&amp;signum2(Dioxins!E65,SigFig1,SigFig2,Dioxins!B65)))</f>
        <v/>
      </c>
      <c r="G199" s="1351" t="str">
        <f>IF(F$135="","",(Dioxins!B65&amp;signum2(Dioxins!F65,SigFig1,SigFig2,Dioxins!B65)))</f>
        <v/>
      </c>
      <c r="H199" s="1352" t="str">
        <f>IF(F$135="","",(Dioxins!B65&amp;signum2(Dioxins!G65,SigFig1,SigFig2,Dioxins!B65)))</f>
        <v/>
      </c>
      <c r="I199" s="1321" t="str">
        <f>IF(I$135="","",(Dioxins!H65&amp;signum2(Dioxins!K65,SigFig1,SigFig2,Dioxins!H65)))</f>
        <v/>
      </c>
      <c r="J199" s="1351" t="str">
        <f>IF(I$135="","",(Dioxins!H65&amp;signum2(Dioxins!L65,SigFig1,SigFig2,Dioxins!H65)))</f>
        <v/>
      </c>
      <c r="K199" s="1352" t="str">
        <f>IF(I$135="","",(Dioxins!H65&amp;signum2(Dioxins!M65,SigFig1,SigFig2,Dioxins!H65)))</f>
        <v/>
      </c>
      <c r="L199" s="1321"/>
      <c r="M199" s="1322"/>
      <c r="N199" s="1272"/>
      <c r="O199" s="1319">
        <f>MAX(IF(ISERROR(VALUE($C199)),0,VALUE($C199)),IF(ISERROR(VALUE($F199)),0,VALUE($F199)),IF(ISERROR(VALUE($I199)),0,VALUE($I199)))</f>
        <v>0</v>
      </c>
      <c r="P199" s="1319">
        <f>MAX(IF(ISERROR(VALUE($E199)),0,VALUE($E199)),IF(ISERROR(VALUE($H199)),0,VALUE($H199)),IF(ISERROR(VALUE($K199)),0,VALUE($K199)))</f>
        <v>0</v>
      </c>
    </row>
    <row r="200" spans="1:16" hidden="1">
      <c r="A200" s="1267" t="str">
        <f>Dioxins!A66</f>
        <v>2-Methylnaphthalene</v>
      </c>
      <c r="B200" s="1273"/>
      <c r="C200" s="1321" t="str">
        <f>IF(C$135="","",(Dioxins!O66&amp;signum2(Dioxins!R66,SigFig1,SigFig2,Dioxins!O66)))</f>
        <v/>
      </c>
      <c r="D200" s="1351" t="str">
        <f>IF(C$135="","",(Dioxins!O66&amp;signum2(Dioxins!S66,SigFig1,SigFig2,Dioxins!O66)))</f>
        <v/>
      </c>
      <c r="E200" s="1352" t="str">
        <f>IF(C$135="","",(Dioxins!O66&amp;signum2(Dioxins!T66,SigFig1,SigFig2,Dioxins!O66)))</f>
        <v/>
      </c>
      <c r="F200" s="1321" t="str">
        <f>IF(F$135="","",(Dioxins!B66&amp;signum2(Dioxins!E66,SigFig1,SigFig2,Dioxins!B66)))</f>
        <v/>
      </c>
      <c r="G200" s="1351" t="str">
        <f>IF(F$135="","",(Dioxins!B66&amp;signum2(Dioxins!F66,SigFig1,SigFig2,Dioxins!B66)))</f>
        <v/>
      </c>
      <c r="H200" s="1352" t="str">
        <f>IF(F$135="","",(Dioxins!B66&amp;signum2(Dioxins!G66,SigFig1,SigFig2,Dioxins!B66)))</f>
        <v/>
      </c>
      <c r="I200" s="1321" t="str">
        <f>IF(I$135="","",(Dioxins!H66&amp;signum2(Dioxins!K66,SigFig1,SigFig2,Dioxins!H66)))</f>
        <v/>
      </c>
      <c r="J200" s="1351" t="str">
        <f>IF(I$135="","",(Dioxins!H66&amp;signum2(Dioxins!L66,SigFig1,SigFig2,Dioxins!H66)))</f>
        <v/>
      </c>
      <c r="K200" s="1352" t="str">
        <f>IF(I$135="","",(Dioxins!H66&amp;signum2(Dioxins!M66,SigFig1,SigFig2,Dioxins!H66)))</f>
        <v/>
      </c>
      <c r="L200" s="1321"/>
      <c r="M200" s="1322"/>
      <c r="N200" s="1272"/>
      <c r="O200" s="1319">
        <f t="shared" ref="O200:O225" si="6">MAX(IF(ISERROR(VALUE($C200)),0,VALUE($C200)),IF(ISERROR(VALUE($F200)),0,VALUE($F200)),IF(ISERROR(VALUE($I200)),0,VALUE($I200)))</f>
        <v>0</v>
      </c>
      <c r="P200" s="1319">
        <f t="shared" ref="P200:P225" si="7">MAX(IF(ISERROR(VALUE($E200)),0,VALUE($E200)),IF(ISERROR(VALUE($H200)),0,VALUE($H200)),IF(ISERROR(VALUE($K200)),0,VALUE($K200)))</f>
        <v>0</v>
      </c>
    </row>
    <row r="201" spans="1:16" hidden="1">
      <c r="A201" s="1267" t="str">
        <f>Dioxins!A67</f>
        <v>Acenaphthylene</v>
      </c>
      <c r="B201" s="1273"/>
      <c r="C201" s="1321" t="str">
        <f>IF(C$135="","",(Dioxins!O67&amp;signum2(Dioxins!R67,SigFig1,SigFig2,Dioxins!O67)))</f>
        <v/>
      </c>
      <c r="D201" s="1351" t="str">
        <f>IF(C$135="","",(Dioxins!O67&amp;signum2(Dioxins!S67,SigFig1,SigFig2,Dioxins!O67)))</f>
        <v/>
      </c>
      <c r="E201" s="1352" t="str">
        <f>IF(C$135="","",(Dioxins!O67&amp;signum2(Dioxins!T67,SigFig1,SigFig2,Dioxins!O67)))</f>
        <v/>
      </c>
      <c r="F201" s="1321" t="str">
        <f>IF(F$135="","",(Dioxins!B67&amp;signum2(Dioxins!E67,SigFig1,SigFig2,Dioxins!B67)))</f>
        <v/>
      </c>
      <c r="G201" s="1351" t="str">
        <f>IF(F$135="","",(Dioxins!B67&amp;signum2(Dioxins!F67,SigFig1,SigFig2,Dioxins!B67)))</f>
        <v/>
      </c>
      <c r="H201" s="1352" t="str">
        <f>IF(F$135="","",(Dioxins!B67&amp;signum2(Dioxins!G67,SigFig1,SigFig2,Dioxins!B67)))</f>
        <v/>
      </c>
      <c r="I201" s="1321" t="str">
        <f>IF(I$135="","",(Dioxins!H67&amp;signum2(Dioxins!K67,SigFig1,SigFig2,Dioxins!H67)))</f>
        <v/>
      </c>
      <c r="J201" s="1351" t="str">
        <f>IF(I$135="","",(Dioxins!H67&amp;signum2(Dioxins!L67,SigFig1,SigFig2,Dioxins!H67)))</f>
        <v/>
      </c>
      <c r="K201" s="1352" t="str">
        <f>IF(I$135="","",(Dioxins!H67&amp;signum2(Dioxins!M67,SigFig1,SigFig2,Dioxins!H67)))</f>
        <v/>
      </c>
      <c r="L201" s="1321"/>
      <c r="M201" s="1322"/>
      <c r="N201" s="1272"/>
      <c r="O201" s="1319">
        <f t="shared" si="6"/>
        <v>0</v>
      </c>
      <c r="P201" s="1319">
        <f t="shared" si="7"/>
        <v>0</v>
      </c>
    </row>
    <row r="202" spans="1:16" hidden="1">
      <c r="A202" s="1267" t="str">
        <f>Dioxins!A68</f>
        <v>Acenaphthene</v>
      </c>
      <c r="B202" s="1273"/>
      <c r="C202" s="1321" t="str">
        <f>IF(C$135="","",(Dioxins!O68&amp;signum2(Dioxins!R68,SigFig1,SigFig2,Dioxins!O68)))</f>
        <v/>
      </c>
      <c r="D202" s="1351" t="str">
        <f>IF(C$135="","",(Dioxins!O68&amp;signum2(Dioxins!S68,SigFig1,SigFig2,Dioxins!O68)))</f>
        <v/>
      </c>
      <c r="E202" s="1352" t="str">
        <f>IF(C$135="","",(Dioxins!O68&amp;signum2(Dioxins!T68,SigFig1,SigFig2,Dioxins!O68)))</f>
        <v/>
      </c>
      <c r="F202" s="1321" t="str">
        <f>IF(F$135="","",(Dioxins!B68&amp;signum2(Dioxins!E68,SigFig1,SigFig2,Dioxins!B68)))</f>
        <v/>
      </c>
      <c r="G202" s="1351" t="str">
        <f>IF(F$135="","",(Dioxins!B68&amp;signum2(Dioxins!F68,SigFig1,SigFig2,Dioxins!B68)))</f>
        <v/>
      </c>
      <c r="H202" s="1352" t="str">
        <f>IF(F$135="","",(Dioxins!B68&amp;signum2(Dioxins!G68,SigFig1,SigFig2,Dioxins!B68)))</f>
        <v/>
      </c>
      <c r="I202" s="1321" t="str">
        <f>IF(I$135="","",(Dioxins!H68&amp;signum2(Dioxins!K68,SigFig1,SigFig2,Dioxins!H68)))</f>
        <v/>
      </c>
      <c r="J202" s="1351" t="str">
        <f>IF(I$135="","",(Dioxins!H68&amp;signum2(Dioxins!L68,SigFig1,SigFig2,Dioxins!H68)))</f>
        <v/>
      </c>
      <c r="K202" s="1352" t="str">
        <f>IF(I$135="","",(Dioxins!H68&amp;signum2(Dioxins!M68,SigFig1,SigFig2,Dioxins!H68)))</f>
        <v/>
      </c>
      <c r="L202" s="1321"/>
      <c r="M202" s="1322"/>
      <c r="N202" s="1272"/>
      <c r="O202" s="1319">
        <f t="shared" si="6"/>
        <v>0</v>
      </c>
      <c r="P202" s="1319">
        <f t="shared" si="7"/>
        <v>0</v>
      </c>
    </row>
    <row r="203" spans="1:16" hidden="1">
      <c r="A203" s="1267" t="str">
        <f>Dioxins!A69</f>
        <v>Fluorene</v>
      </c>
      <c r="B203" s="1273"/>
      <c r="C203" s="1321" t="str">
        <f>IF(C$135="","",(Dioxins!O69&amp;signum2(Dioxins!R69,SigFig1,SigFig2,Dioxins!O69)))</f>
        <v/>
      </c>
      <c r="D203" s="1351" t="str">
        <f>IF(C$135="","",(Dioxins!O69&amp;signum2(Dioxins!S69,SigFig1,SigFig2,Dioxins!O69)))</f>
        <v/>
      </c>
      <c r="E203" s="1352" t="str">
        <f>IF(C$135="","",(Dioxins!O69&amp;signum2(Dioxins!T69,SigFig1,SigFig2,Dioxins!O69)))</f>
        <v/>
      </c>
      <c r="F203" s="1321" t="str">
        <f>IF(F$135="","",(Dioxins!B69&amp;signum2(Dioxins!E69,SigFig1,SigFig2,Dioxins!B69)))</f>
        <v/>
      </c>
      <c r="G203" s="1351" t="str">
        <f>IF(F$135="","",(Dioxins!B69&amp;signum2(Dioxins!F69,SigFig1,SigFig2,Dioxins!B69)))</f>
        <v/>
      </c>
      <c r="H203" s="1352" t="str">
        <f>IF(F$135="","",(Dioxins!B69&amp;signum2(Dioxins!G69,SigFig1,SigFig2,Dioxins!B69)))</f>
        <v/>
      </c>
      <c r="I203" s="1321" t="str">
        <f>IF(I$135="","",(Dioxins!H69&amp;signum2(Dioxins!K69,SigFig1,SigFig2,Dioxins!H69)))</f>
        <v/>
      </c>
      <c r="J203" s="1351" t="str">
        <f>IF(I$135="","",(Dioxins!H69&amp;signum2(Dioxins!L69,SigFig1,SigFig2,Dioxins!H69)))</f>
        <v/>
      </c>
      <c r="K203" s="1352" t="str">
        <f>IF(I$135="","",(Dioxins!H69&amp;signum2(Dioxins!M69,SigFig1,SigFig2,Dioxins!H69)))</f>
        <v/>
      </c>
      <c r="L203" s="1321"/>
      <c r="M203" s="1322"/>
      <c r="N203" s="1272"/>
      <c r="O203" s="1319">
        <f t="shared" si="6"/>
        <v>0</v>
      </c>
      <c r="P203" s="1319">
        <f t="shared" si="7"/>
        <v>0</v>
      </c>
    </row>
    <row r="204" spans="1:16" hidden="1">
      <c r="A204" s="1267" t="str">
        <f>Dioxins!A70</f>
        <v>Phenanthrene</v>
      </c>
      <c r="B204" s="1273"/>
      <c r="C204" s="1321" t="str">
        <f>IF(C$135="","",(Dioxins!O70&amp;signum2(Dioxins!R70,SigFig1,SigFig2,Dioxins!O70)))</f>
        <v/>
      </c>
      <c r="D204" s="1351" t="str">
        <f>IF(C$135="","",(Dioxins!O70&amp;signum2(Dioxins!S70,SigFig1,SigFig2,Dioxins!O70)))</f>
        <v/>
      </c>
      <c r="E204" s="1352" t="str">
        <f>IF(C$135="","",(Dioxins!O70&amp;signum2(Dioxins!T70,SigFig1,SigFig2,Dioxins!O70)))</f>
        <v/>
      </c>
      <c r="F204" s="1321" t="str">
        <f>IF(F$135="","",(Dioxins!B70&amp;signum2(Dioxins!E70,SigFig1,SigFig2,Dioxins!B70)))</f>
        <v/>
      </c>
      <c r="G204" s="1351" t="str">
        <f>IF(F$135="","",(Dioxins!B70&amp;signum2(Dioxins!F70,SigFig1,SigFig2,Dioxins!B70)))</f>
        <v/>
      </c>
      <c r="H204" s="1352" t="str">
        <f>IF(F$135="","",(Dioxins!B70&amp;signum2(Dioxins!G70,SigFig1,SigFig2,Dioxins!B70)))</f>
        <v/>
      </c>
      <c r="I204" s="1321" t="str">
        <f>IF(I$135="","",(Dioxins!H70&amp;signum2(Dioxins!K70,SigFig1,SigFig2,Dioxins!H70)))</f>
        <v/>
      </c>
      <c r="J204" s="1351" t="str">
        <f>IF(I$135="","",(Dioxins!H70&amp;signum2(Dioxins!L70,SigFig1,SigFig2,Dioxins!H70)))</f>
        <v/>
      </c>
      <c r="K204" s="1352" t="str">
        <f>IF(I$135="","",(Dioxins!H70&amp;signum2(Dioxins!M70,SigFig1,SigFig2,Dioxins!H70)))</f>
        <v/>
      </c>
      <c r="L204" s="1321"/>
      <c r="M204" s="1322"/>
      <c r="N204" s="1272"/>
      <c r="O204" s="1319">
        <f t="shared" si="6"/>
        <v>0</v>
      </c>
      <c r="P204" s="1319">
        <f t="shared" si="7"/>
        <v>0</v>
      </c>
    </row>
    <row r="205" spans="1:16" hidden="1">
      <c r="A205" s="1267" t="str">
        <f>Dioxins!A71</f>
        <v>Anthracene</v>
      </c>
      <c r="B205" s="1273"/>
      <c r="C205" s="1321" t="str">
        <f>IF(C$135="","",(Dioxins!O71&amp;signum2(Dioxins!R71,SigFig1,SigFig2,Dioxins!O71)))</f>
        <v/>
      </c>
      <c r="D205" s="1351" t="str">
        <f>IF(C$135="","",(Dioxins!O71&amp;signum2(Dioxins!S71,SigFig1,SigFig2,Dioxins!O71)))</f>
        <v/>
      </c>
      <c r="E205" s="1352" t="str">
        <f>IF(C$135="","",(Dioxins!O71&amp;signum2(Dioxins!T71,SigFig1,SigFig2,Dioxins!O71)))</f>
        <v/>
      </c>
      <c r="F205" s="1321" t="str">
        <f>IF(F$135="","",(Dioxins!B71&amp;signum2(Dioxins!E71,SigFig1,SigFig2,Dioxins!B71)))</f>
        <v/>
      </c>
      <c r="G205" s="1351" t="str">
        <f>IF(F$135="","",(Dioxins!B71&amp;signum2(Dioxins!F71,SigFig1,SigFig2,Dioxins!B71)))</f>
        <v/>
      </c>
      <c r="H205" s="1352" t="str">
        <f>IF(F$135="","",(Dioxins!B71&amp;signum2(Dioxins!G71,SigFig1,SigFig2,Dioxins!B71)))</f>
        <v/>
      </c>
      <c r="I205" s="1321" t="str">
        <f>IF(I$135="","",(Dioxins!H71&amp;signum2(Dioxins!K71,SigFig1,SigFig2,Dioxins!H71)))</f>
        <v/>
      </c>
      <c r="J205" s="1351" t="str">
        <f>IF(I$135="","",(Dioxins!H71&amp;signum2(Dioxins!L71,SigFig1,SigFig2,Dioxins!H71)))</f>
        <v/>
      </c>
      <c r="K205" s="1352" t="str">
        <f>IF(I$135="","",(Dioxins!H71&amp;signum2(Dioxins!M71,SigFig1,SigFig2,Dioxins!H71)))</f>
        <v/>
      </c>
      <c r="L205" s="1321"/>
      <c r="M205" s="1322"/>
      <c r="N205" s="1272"/>
      <c r="O205" s="1319">
        <f t="shared" si="6"/>
        <v>0</v>
      </c>
      <c r="P205" s="1319">
        <f t="shared" si="7"/>
        <v>0</v>
      </c>
    </row>
    <row r="206" spans="1:16" hidden="1">
      <c r="A206" s="1267" t="str">
        <f>Dioxins!A72</f>
        <v>Fluoranthene</v>
      </c>
      <c r="B206" s="1273"/>
      <c r="C206" s="1321" t="str">
        <f>IF(C$135="","",(Dioxins!O72&amp;signum2(Dioxins!R72,SigFig1,SigFig2,Dioxins!O72)))</f>
        <v/>
      </c>
      <c r="D206" s="1351" t="str">
        <f>IF(C$135="","",(Dioxins!O72&amp;signum2(Dioxins!S72,SigFig1,SigFig2,Dioxins!O72)))</f>
        <v/>
      </c>
      <c r="E206" s="1352" t="str">
        <f>IF(C$135="","",(Dioxins!O72&amp;signum2(Dioxins!T72,SigFig1,SigFig2,Dioxins!O72)))</f>
        <v/>
      </c>
      <c r="F206" s="1321" t="str">
        <f>IF(F$135="","",(Dioxins!B72&amp;signum2(Dioxins!E72,SigFig1,SigFig2,Dioxins!B72)))</f>
        <v/>
      </c>
      <c r="G206" s="1351" t="str">
        <f>IF(F$135="","",(Dioxins!B72&amp;signum2(Dioxins!F72,SigFig1,SigFig2,Dioxins!B72)))</f>
        <v/>
      </c>
      <c r="H206" s="1352" t="str">
        <f>IF(F$135="","",(Dioxins!B72&amp;signum2(Dioxins!G72,SigFig1,SigFig2,Dioxins!B72)))</f>
        <v/>
      </c>
      <c r="I206" s="1321" t="str">
        <f>IF(I$135="","",(Dioxins!H72&amp;signum2(Dioxins!K72,SigFig1,SigFig2,Dioxins!H72)))</f>
        <v/>
      </c>
      <c r="J206" s="1351" t="str">
        <f>IF(I$135="","",(Dioxins!H72&amp;signum2(Dioxins!L72,SigFig1,SigFig2,Dioxins!H72)))</f>
        <v/>
      </c>
      <c r="K206" s="1352" t="str">
        <f>IF(I$135="","",(Dioxins!H72&amp;signum2(Dioxins!M72,SigFig1,SigFig2,Dioxins!H72)))</f>
        <v/>
      </c>
      <c r="L206" s="1321"/>
      <c r="M206" s="1322"/>
      <c r="N206" s="1272"/>
      <c r="O206" s="1319">
        <f t="shared" si="6"/>
        <v>0</v>
      </c>
      <c r="P206" s="1319">
        <f t="shared" si="7"/>
        <v>0</v>
      </c>
    </row>
    <row r="207" spans="1:16" hidden="1">
      <c r="A207" s="1267" t="str">
        <f>Dioxins!A73</f>
        <v>Pyrene</v>
      </c>
      <c r="B207" s="1273"/>
      <c r="C207" s="1321" t="str">
        <f>IF(C$135="","",(Dioxins!O73&amp;signum2(Dioxins!R73,SigFig1,SigFig2,Dioxins!O73)))</f>
        <v/>
      </c>
      <c r="D207" s="1351" t="str">
        <f>IF(C$135="","",(Dioxins!O73&amp;signum2(Dioxins!S73,SigFig1,SigFig2,Dioxins!O73)))</f>
        <v/>
      </c>
      <c r="E207" s="1352" t="str">
        <f>IF(C$135="","",(Dioxins!O73&amp;signum2(Dioxins!T73,SigFig1,SigFig2,Dioxins!O73)))</f>
        <v/>
      </c>
      <c r="F207" s="1321" t="str">
        <f>IF(F$135="","",(Dioxins!B73&amp;signum2(Dioxins!E73,SigFig1,SigFig2,Dioxins!B73)))</f>
        <v/>
      </c>
      <c r="G207" s="1351" t="str">
        <f>IF(F$135="","",(Dioxins!B73&amp;signum2(Dioxins!F73,SigFig1,SigFig2,Dioxins!B73)))</f>
        <v/>
      </c>
      <c r="H207" s="1352" t="str">
        <f>IF(F$135="","",(Dioxins!B73&amp;signum2(Dioxins!G73,SigFig1,SigFig2,Dioxins!B73)))</f>
        <v/>
      </c>
      <c r="I207" s="1321" t="str">
        <f>IF(I$135="","",(Dioxins!H73&amp;signum2(Dioxins!K73,SigFig1,SigFig2,Dioxins!H73)))</f>
        <v/>
      </c>
      <c r="J207" s="1351" t="str">
        <f>IF(I$135="","",(Dioxins!H73&amp;signum2(Dioxins!L73,SigFig1,SigFig2,Dioxins!H73)))</f>
        <v/>
      </c>
      <c r="K207" s="1352" t="str">
        <f>IF(I$135="","",(Dioxins!H73&amp;signum2(Dioxins!M73,SigFig1,SigFig2,Dioxins!H73)))</f>
        <v/>
      </c>
      <c r="L207" s="1321"/>
      <c r="M207" s="1322"/>
      <c r="N207" s="1272"/>
      <c r="O207" s="1319">
        <f t="shared" si="6"/>
        <v>0</v>
      </c>
      <c r="P207" s="1319">
        <f t="shared" si="7"/>
        <v>0</v>
      </c>
    </row>
    <row r="208" spans="1:16" hidden="1">
      <c r="A208" s="1267" t="str">
        <f>Dioxins!A74</f>
        <v>Benz(a)anthracene</v>
      </c>
      <c r="B208" s="1273"/>
      <c r="C208" s="1321" t="str">
        <f>IF(C$135="","",(Dioxins!O74&amp;signum2(Dioxins!R74,SigFig1,SigFig2,Dioxins!O74)))</f>
        <v/>
      </c>
      <c r="D208" s="1351" t="str">
        <f>IF(C$135="","",(Dioxins!O74&amp;signum2(Dioxins!S74,SigFig1,SigFig2,Dioxins!O74)))</f>
        <v/>
      </c>
      <c r="E208" s="1352" t="str">
        <f>IF(C$135="","",(Dioxins!O74&amp;signum2(Dioxins!T74,SigFig1,SigFig2,Dioxins!O74)))</f>
        <v/>
      </c>
      <c r="F208" s="1321" t="str">
        <f>IF(F$135="","",(Dioxins!B74&amp;signum2(Dioxins!E74,SigFig1,SigFig2,Dioxins!B74)))</f>
        <v/>
      </c>
      <c r="G208" s="1351" t="str">
        <f>IF(F$135="","",(Dioxins!B74&amp;signum2(Dioxins!F74,SigFig1,SigFig2,Dioxins!B74)))</f>
        <v/>
      </c>
      <c r="H208" s="1352" t="str">
        <f>IF(F$135="","",(Dioxins!B74&amp;signum2(Dioxins!G74,SigFig1,SigFig2,Dioxins!B74)))</f>
        <v/>
      </c>
      <c r="I208" s="1321" t="str">
        <f>IF(I$135="","",(Dioxins!H74&amp;signum2(Dioxins!K74,SigFig1,SigFig2,Dioxins!H74)))</f>
        <v/>
      </c>
      <c r="J208" s="1351" t="str">
        <f>IF(I$135="","",(Dioxins!H74&amp;signum2(Dioxins!L74,SigFig1,SigFig2,Dioxins!H74)))</f>
        <v/>
      </c>
      <c r="K208" s="1352" t="str">
        <f>IF(I$135="","",(Dioxins!H74&amp;signum2(Dioxins!M74,SigFig1,SigFig2,Dioxins!H74)))</f>
        <v/>
      </c>
      <c r="L208" s="1321"/>
      <c r="M208" s="1322"/>
      <c r="N208" s="1272"/>
      <c r="O208" s="1319">
        <f t="shared" si="6"/>
        <v>0</v>
      </c>
      <c r="P208" s="1319">
        <f t="shared" si="7"/>
        <v>0</v>
      </c>
    </row>
    <row r="209" spans="1:16" hidden="1">
      <c r="A209" s="1267" t="str">
        <f>Dioxins!A75</f>
        <v>Chrysene</v>
      </c>
      <c r="B209" s="1273"/>
      <c r="C209" s="1321" t="str">
        <f>IF(C$135="","",(Dioxins!O75&amp;signum2(Dioxins!R75,SigFig1,SigFig2,Dioxins!O75)))</f>
        <v/>
      </c>
      <c r="D209" s="1351" t="str">
        <f>IF(C$135="","",(Dioxins!O75&amp;signum2(Dioxins!S75,SigFig1,SigFig2,Dioxins!O75)))</f>
        <v/>
      </c>
      <c r="E209" s="1352" t="str">
        <f>IF(C$135="","",(Dioxins!O75&amp;signum2(Dioxins!T75,SigFig1,SigFig2,Dioxins!O75)))</f>
        <v/>
      </c>
      <c r="F209" s="1321" t="str">
        <f>IF(F$135="","",(Dioxins!B75&amp;signum2(Dioxins!E75,SigFig1,SigFig2,Dioxins!B75)))</f>
        <v/>
      </c>
      <c r="G209" s="1351" t="str">
        <f>IF(F$135="","",(Dioxins!B75&amp;signum2(Dioxins!F75,SigFig1,SigFig2,Dioxins!B75)))</f>
        <v/>
      </c>
      <c r="H209" s="1352" t="str">
        <f>IF(F$135="","",(Dioxins!B75&amp;signum2(Dioxins!G75,SigFig1,SigFig2,Dioxins!B75)))</f>
        <v/>
      </c>
      <c r="I209" s="1321" t="str">
        <f>IF(I$135="","",(Dioxins!H75&amp;signum2(Dioxins!K75,SigFig1,SigFig2,Dioxins!H75)))</f>
        <v/>
      </c>
      <c r="J209" s="1351" t="str">
        <f>IF(I$135="","",(Dioxins!H75&amp;signum2(Dioxins!L75,SigFig1,SigFig2,Dioxins!H75)))</f>
        <v/>
      </c>
      <c r="K209" s="1352" t="str">
        <f>IF(I$135="","",(Dioxins!H75&amp;signum2(Dioxins!M75,SigFig1,SigFig2,Dioxins!H75)))</f>
        <v/>
      </c>
      <c r="L209" s="1321"/>
      <c r="M209" s="1322"/>
      <c r="N209" s="1272"/>
      <c r="O209" s="1319">
        <f t="shared" si="6"/>
        <v>0</v>
      </c>
      <c r="P209" s="1319">
        <f t="shared" si="7"/>
        <v>0</v>
      </c>
    </row>
    <row r="210" spans="1:16" hidden="1">
      <c r="A210" s="1267" t="str">
        <f>Dioxins!A76</f>
        <v>Benzo(b)fluoranthene</v>
      </c>
      <c r="B210" s="1273"/>
      <c r="C210" s="1321" t="str">
        <f>IF(C$135="","",(Dioxins!O76&amp;signum2(Dioxins!R76,SigFig1,SigFig2,Dioxins!O76)))</f>
        <v/>
      </c>
      <c r="D210" s="1351" t="str">
        <f>IF(C$135="","",(Dioxins!O76&amp;signum2(Dioxins!S76,SigFig1,SigFig2,Dioxins!O76)))</f>
        <v/>
      </c>
      <c r="E210" s="1352" t="str">
        <f>IF(C$135="","",(Dioxins!O76&amp;signum2(Dioxins!T76,SigFig1,SigFig2,Dioxins!O76)))</f>
        <v/>
      </c>
      <c r="F210" s="1321" t="str">
        <f>IF(F$135="","",(Dioxins!B76&amp;signum2(Dioxins!E76,SigFig1,SigFig2,Dioxins!B76)))</f>
        <v/>
      </c>
      <c r="G210" s="1351" t="str">
        <f>IF(F$135="","",(Dioxins!B76&amp;signum2(Dioxins!F76,SigFig1,SigFig2,Dioxins!B76)))</f>
        <v/>
      </c>
      <c r="H210" s="1352" t="str">
        <f>IF(F$135="","",(Dioxins!B76&amp;signum2(Dioxins!G76,SigFig1,SigFig2,Dioxins!B76)))</f>
        <v/>
      </c>
      <c r="I210" s="1321" t="str">
        <f>IF(I$135="","",(Dioxins!H76&amp;signum2(Dioxins!K76,SigFig1,SigFig2,Dioxins!H76)))</f>
        <v/>
      </c>
      <c r="J210" s="1351" t="str">
        <f>IF(I$135="","",(Dioxins!H76&amp;signum2(Dioxins!L76,SigFig1,SigFig2,Dioxins!H76)))</f>
        <v/>
      </c>
      <c r="K210" s="1352" t="str">
        <f>IF(I$135="","",(Dioxins!H76&amp;signum2(Dioxins!M76,SigFig1,SigFig2,Dioxins!H76)))</f>
        <v/>
      </c>
      <c r="L210" s="1321"/>
      <c r="M210" s="1322"/>
      <c r="N210" s="1272"/>
      <c r="O210" s="1319">
        <f t="shared" si="6"/>
        <v>0</v>
      </c>
      <c r="P210" s="1319">
        <f t="shared" si="7"/>
        <v>0</v>
      </c>
    </row>
    <row r="211" spans="1:16" hidden="1">
      <c r="A211" s="1267" t="str">
        <f>Dioxins!A77</f>
        <v>Benzo(k)fluoranthene</v>
      </c>
      <c r="B211" s="1273"/>
      <c r="C211" s="1321" t="str">
        <f>IF(C$135="","",(Dioxins!O77&amp;signum2(Dioxins!R77,SigFig1,SigFig2,Dioxins!O77)))</f>
        <v/>
      </c>
      <c r="D211" s="1351" t="str">
        <f>IF(C$135="","",(Dioxins!O77&amp;signum2(Dioxins!S77,SigFig1,SigFig2,Dioxins!O77)))</f>
        <v/>
      </c>
      <c r="E211" s="1352" t="str">
        <f>IF(C$135="","",(Dioxins!O77&amp;signum2(Dioxins!T77,SigFig1,SigFig2,Dioxins!O77)))</f>
        <v/>
      </c>
      <c r="F211" s="1321" t="str">
        <f>IF(F$135="","",(Dioxins!B77&amp;signum2(Dioxins!E77,SigFig1,SigFig2,Dioxins!B77)))</f>
        <v/>
      </c>
      <c r="G211" s="1351" t="str">
        <f>IF(F$135="","",(Dioxins!B77&amp;signum2(Dioxins!F77,SigFig1,SigFig2,Dioxins!B77)))</f>
        <v/>
      </c>
      <c r="H211" s="1352" t="str">
        <f>IF(F$135="","",(Dioxins!B77&amp;signum2(Dioxins!G77,SigFig1,SigFig2,Dioxins!B77)))</f>
        <v/>
      </c>
      <c r="I211" s="1321" t="str">
        <f>IF(I$135="","",(Dioxins!H77&amp;signum2(Dioxins!K77,SigFig1,SigFig2,Dioxins!H77)))</f>
        <v/>
      </c>
      <c r="J211" s="1351" t="str">
        <f>IF(I$135="","",(Dioxins!H77&amp;signum2(Dioxins!L77,SigFig1,SigFig2,Dioxins!H77)))</f>
        <v/>
      </c>
      <c r="K211" s="1352" t="str">
        <f>IF(I$135="","",(Dioxins!H77&amp;signum2(Dioxins!M77,SigFig1,SigFig2,Dioxins!H77)))</f>
        <v/>
      </c>
      <c r="L211" s="1321"/>
      <c r="M211" s="1322"/>
      <c r="N211" s="1272"/>
      <c r="O211" s="1319">
        <f t="shared" si="6"/>
        <v>0</v>
      </c>
      <c r="P211" s="1319">
        <f t="shared" si="7"/>
        <v>0</v>
      </c>
    </row>
    <row r="212" spans="1:16" hidden="1">
      <c r="A212" s="1267" t="str">
        <f>Dioxins!A78</f>
        <v>Benzo(e)pyrene</v>
      </c>
      <c r="B212" s="1273"/>
      <c r="C212" s="1321" t="str">
        <f>IF(C$135="","",(Dioxins!O78&amp;signum2(Dioxins!R78,SigFig1,SigFig2,Dioxins!O78)))</f>
        <v/>
      </c>
      <c r="D212" s="1351" t="str">
        <f>IF(C$135="","",(Dioxins!O78&amp;signum2(Dioxins!S78,SigFig1,SigFig2,Dioxins!O78)))</f>
        <v/>
      </c>
      <c r="E212" s="1352" t="str">
        <f>IF(C$135="","",(Dioxins!O78&amp;signum2(Dioxins!T78,SigFig1,SigFig2,Dioxins!O78)))</f>
        <v/>
      </c>
      <c r="F212" s="1321" t="str">
        <f>IF(F$135="","",(Dioxins!B78&amp;signum2(Dioxins!E78,SigFig1,SigFig2,Dioxins!B78)))</f>
        <v/>
      </c>
      <c r="G212" s="1351" t="str">
        <f>IF(F$135="","",(Dioxins!B78&amp;signum2(Dioxins!F78,SigFig1,SigFig2,Dioxins!B78)))</f>
        <v/>
      </c>
      <c r="H212" s="1352" t="str">
        <f>IF(F$135="","",(Dioxins!B78&amp;signum2(Dioxins!G78,SigFig1,SigFig2,Dioxins!B78)))</f>
        <v/>
      </c>
      <c r="I212" s="1321" t="str">
        <f>IF(I$135="","",(Dioxins!H78&amp;signum2(Dioxins!K78,SigFig1,SigFig2,Dioxins!H78)))</f>
        <v/>
      </c>
      <c r="J212" s="1351" t="str">
        <f>IF(I$135="","",(Dioxins!H78&amp;signum2(Dioxins!L78,SigFig1,SigFig2,Dioxins!H78)))</f>
        <v/>
      </c>
      <c r="K212" s="1352" t="str">
        <f>IF(I$135="","",(Dioxins!H78&amp;signum2(Dioxins!M78,SigFig1,SigFig2,Dioxins!H78)))</f>
        <v/>
      </c>
      <c r="L212" s="1321"/>
      <c r="M212" s="1322"/>
      <c r="N212" s="1272"/>
      <c r="O212" s="1319">
        <f t="shared" si="6"/>
        <v>0</v>
      </c>
      <c r="P212" s="1319">
        <f t="shared" si="7"/>
        <v>0</v>
      </c>
    </row>
    <row r="213" spans="1:16" hidden="1">
      <c r="A213" s="1267" t="str">
        <f>Dioxins!A79</f>
        <v>Benzo(a)pyrene</v>
      </c>
      <c r="B213" s="1273"/>
      <c r="C213" s="1321" t="str">
        <f>IF(C$135="","",(Dioxins!O79&amp;signum2(Dioxins!R79,SigFig1,SigFig2,Dioxins!O79)))</f>
        <v/>
      </c>
      <c r="D213" s="1351" t="str">
        <f>IF(C$135="","",(Dioxins!O79&amp;signum2(Dioxins!S79,SigFig1,SigFig2,Dioxins!O79)))</f>
        <v/>
      </c>
      <c r="E213" s="1352" t="str">
        <f>IF(C$135="","",(Dioxins!O79&amp;signum2(Dioxins!T79,SigFig1,SigFig2,Dioxins!O79)))</f>
        <v/>
      </c>
      <c r="F213" s="1321" t="str">
        <f>IF(F$135="","",(Dioxins!B79&amp;signum2(Dioxins!E79,SigFig1,SigFig2,Dioxins!B79)))</f>
        <v/>
      </c>
      <c r="G213" s="1351" t="str">
        <f>IF(F$135="","",(Dioxins!B79&amp;signum2(Dioxins!F79,SigFig1,SigFig2,Dioxins!B79)))</f>
        <v/>
      </c>
      <c r="H213" s="1352" t="str">
        <f>IF(F$135="","",(Dioxins!B79&amp;signum2(Dioxins!G79,SigFig1,SigFig2,Dioxins!B79)))</f>
        <v/>
      </c>
      <c r="I213" s="1321" t="str">
        <f>IF(I$135="","",(Dioxins!H79&amp;signum2(Dioxins!K79,SigFig1,SigFig2,Dioxins!H79)))</f>
        <v/>
      </c>
      <c r="J213" s="1351" t="str">
        <f>IF(I$135="","",(Dioxins!H79&amp;signum2(Dioxins!L79,SigFig1,SigFig2,Dioxins!H79)))</f>
        <v/>
      </c>
      <c r="K213" s="1352" t="str">
        <f>IF(I$135="","",(Dioxins!H79&amp;signum2(Dioxins!M79,SigFig1,SigFig2,Dioxins!H79)))</f>
        <v/>
      </c>
      <c r="L213" s="1321"/>
      <c r="M213" s="1322"/>
      <c r="N213" s="1272"/>
      <c r="O213" s="1319">
        <f t="shared" si="6"/>
        <v>0</v>
      </c>
      <c r="P213" s="1319">
        <f t="shared" si="7"/>
        <v>0</v>
      </c>
    </row>
    <row r="214" spans="1:16" hidden="1">
      <c r="A214" s="1267" t="str">
        <f>Dioxins!A80</f>
        <v>Perylene</v>
      </c>
      <c r="B214" s="1273"/>
      <c r="C214" s="1321" t="str">
        <f>IF(C$135="","",(Dioxins!O80&amp;signum2(Dioxins!R80,SigFig1,SigFig2,Dioxins!O80)))</f>
        <v/>
      </c>
      <c r="D214" s="1351" t="str">
        <f>IF(C$135="","",(Dioxins!O80&amp;signum2(Dioxins!S80,SigFig1,SigFig2,Dioxins!O80)))</f>
        <v/>
      </c>
      <c r="E214" s="1352" t="str">
        <f>IF(C$135="","",(Dioxins!O80&amp;signum2(Dioxins!T80,SigFig1,SigFig2,Dioxins!O80)))</f>
        <v/>
      </c>
      <c r="F214" s="1321" t="str">
        <f>IF(F$135="","",(Dioxins!B80&amp;signum2(Dioxins!E80,SigFig1,SigFig2,Dioxins!B80)))</f>
        <v/>
      </c>
      <c r="G214" s="1351" t="str">
        <f>IF(F$135="","",(Dioxins!B80&amp;signum2(Dioxins!F80,SigFig1,SigFig2,Dioxins!B80)))</f>
        <v/>
      </c>
      <c r="H214" s="1352" t="str">
        <f>IF(F$135="","",(Dioxins!B80&amp;signum2(Dioxins!G80,SigFig1,SigFig2,Dioxins!B80)))</f>
        <v/>
      </c>
      <c r="I214" s="1321" t="str">
        <f>IF(I$135="","",(Dioxins!H80&amp;signum2(Dioxins!K80,SigFig1,SigFig2,Dioxins!H80)))</f>
        <v/>
      </c>
      <c r="J214" s="1351" t="str">
        <f>IF(I$135="","",(Dioxins!H80&amp;signum2(Dioxins!L80,SigFig1,SigFig2,Dioxins!H80)))</f>
        <v/>
      </c>
      <c r="K214" s="1352" t="str">
        <f>IF(I$135="","",(Dioxins!H80&amp;signum2(Dioxins!M80,SigFig1,SigFig2,Dioxins!H80)))</f>
        <v/>
      </c>
      <c r="L214" s="1321"/>
      <c r="M214" s="1322"/>
      <c r="N214" s="1272"/>
      <c r="O214" s="1319">
        <f t="shared" si="6"/>
        <v>0</v>
      </c>
      <c r="P214" s="1319">
        <f t="shared" si="7"/>
        <v>0</v>
      </c>
    </row>
    <row r="215" spans="1:16" hidden="1">
      <c r="A215" s="1267" t="str">
        <f>Dioxins!A81</f>
        <v>Indeno(1,2,3-cd)pyrene</v>
      </c>
      <c r="B215" s="1273"/>
      <c r="C215" s="1321" t="str">
        <f>IF(C$135="","",(Dioxins!O81&amp;signum2(Dioxins!R81,SigFig1,SigFig2,Dioxins!O81)))</f>
        <v/>
      </c>
      <c r="D215" s="1351" t="str">
        <f>IF(C$135="","",(Dioxins!O81&amp;signum2(Dioxins!S81,SigFig1,SigFig2,Dioxins!O81)))</f>
        <v/>
      </c>
      <c r="E215" s="1352" t="str">
        <f>IF(C$135="","",(Dioxins!O81&amp;signum2(Dioxins!T81,SigFig1,SigFig2,Dioxins!O81)))</f>
        <v/>
      </c>
      <c r="F215" s="1321" t="str">
        <f>IF(F$135="","",(Dioxins!B81&amp;signum2(Dioxins!E81,SigFig1,SigFig2,Dioxins!B81)))</f>
        <v/>
      </c>
      <c r="G215" s="1351" t="str">
        <f>IF(F$135="","",(Dioxins!B81&amp;signum2(Dioxins!F81,SigFig1,SigFig2,Dioxins!B81)))</f>
        <v/>
      </c>
      <c r="H215" s="1352" t="str">
        <f>IF(F$135="","",(Dioxins!B81&amp;signum2(Dioxins!G81,SigFig1,SigFig2,Dioxins!B81)))</f>
        <v/>
      </c>
      <c r="I215" s="1321" t="str">
        <f>IF(I$135="","",(Dioxins!H81&amp;signum2(Dioxins!K81,SigFig1,SigFig2,Dioxins!H81)))</f>
        <v/>
      </c>
      <c r="J215" s="1351" t="str">
        <f>IF(I$135="","",(Dioxins!H81&amp;signum2(Dioxins!L81,SigFig1,SigFig2,Dioxins!H81)))</f>
        <v/>
      </c>
      <c r="K215" s="1352" t="str">
        <f>IF(I$135="","",(Dioxins!H81&amp;signum2(Dioxins!M81,SigFig1,SigFig2,Dioxins!H81)))</f>
        <v/>
      </c>
      <c r="L215" s="1321"/>
      <c r="M215" s="1322"/>
      <c r="N215" s="1272"/>
      <c r="O215" s="1319">
        <f t="shared" si="6"/>
        <v>0</v>
      </c>
      <c r="P215" s="1319">
        <f t="shared" si="7"/>
        <v>0</v>
      </c>
    </row>
    <row r="216" spans="1:16" hidden="1">
      <c r="A216" s="1267" t="str">
        <f>Dioxins!A82</f>
        <v>Dibenz(ah)anthracene</v>
      </c>
      <c r="B216" s="1273"/>
      <c r="C216" s="1321" t="str">
        <f>IF(C$135="","",(Dioxins!O82&amp;signum2(Dioxins!R82,SigFig1,SigFig2,Dioxins!O82)))</f>
        <v/>
      </c>
      <c r="D216" s="1351" t="str">
        <f>IF(C$135="","",(Dioxins!O82&amp;signum2(Dioxins!S82,SigFig1,SigFig2,Dioxins!O82)))</f>
        <v/>
      </c>
      <c r="E216" s="1352" t="str">
        <f>IF(C$135="","",(Dioxins!O82&amp;signum2(Dioxins!T82,SigFig1,SigFig2,Dioxins!O82)))</f>
        <v/>
      </c>
      <c r="F216" s="1321" t="str">
        <f>IF(F$135="","",(Dioxins!B82&amp;signum2(Dioxins!E82,SigFig1,SigFig2,Dioxins!B82)))</f>
        <v/>
      </c>
      <c r="G216" s="1351" t="str">
        <f>IF(F$135="","",(Dioxins!B82&amp;signum2(Dioxins!F82,SigFig1,SigFig2,Dioxins!B82)))</f>
        <v/>
      </c>
      <c r="H216" s="1352" t="str">
        <f>IF(F$135="","",(Dioxins!B82&amp;signum2(Dioxins!G82,SigFig1,SigFig2,Dioxins!B82)))</f>
        <v/>
      </c>
      <c r="I216" s="1321" t="str">
        <f>IF(I$135="","",(Dioxins!H82&amp;signum2(Dioxins!K82,SigFig1,SigFig2,Dioxins!H82)))</f>
        <v/>
      </c>
      <c r="J216" s="1351" t="str">
        <f>IF(I$135="","",(Dioxins!H82&amp;signum2(Dioxins!L82,SigFig1,SigFig2,Dioxins!H82)))</f>
        <v/>
      </c>
      <c r="K216" s="1352" t="str">
        <f>IF(I$135="","",(Dioxins!H82&amp;signum2(Dioxins!M82,SigFig1,SigFig2,Dioxins!H82)))</f>
        <v/>
      </c>
      <c r="L216" s="1321"/>
      <c r="M216" s="1322"/>
      <c r="N216" s="1272"/>
      <c r="O216" s="1319">
        <f t="shared" si="6"/>
        <v>0</v>
      </c>
      <c r="P216" s="1319">
        <f t="shared" si="7"/>
        <v>0</v>
      </c>
    </row>
    <row r="217" spans="1:16" hidden="1">
      <c r="A217" s="1267" t="str">
        <f>Dioxins!A83</f>
        <v>Benzo(ghi)perylene</v>
      </c>
      <c r="B217" s="1273"/>
      <c r="C217" s="1321" t="str">
        <f>IF(C$135="","",(Dioxins!O83&amp;signum2(Dioxins!R83,SigFig1,SigFig2,Dioxins!O83)))</f>
        <v/>
      </c>
      <c r="D217" s="1351" t="str">
        <f>IF(C$135="","",(Dioxins!O83&amp;signum2(Dioxins!S83,SigFig1,SigFig2,Dioxins!O83)))</f>
        <v/>
      </c>
      <c r="E217" s="1352" t="str">
        <f>IF(C$135="","",(Dioxins!O83&amp;signum2(Dioxins!T83,SigFig1,SigFig2,Dioxins!O83)))</f>
        <v/>
      </c>
      <c r="F217" s="1321" t="str">
        <f>IF(F$135="","",(Dioxins!B83&amp;signum2(Dioxins!E83,SigFig1,SigFig2,Dioxins!B83)))</f>
        <v/>
      </c>
      <c r="G217" s="1351" t="str">
        <f>IF(F$135="","",(Dioxins!B83&amp;signum2(Dioxins!F83,SigFig1,SigFig2,Dioxins!B83)))</f>
        <v/>
      </c>
      <c r="H217" s="1352" t="str">
        <f>IF(F$135="","",(Dioxins!B83&amp;signum2(Dioxins!G83,SigFig1,SigFig2,Dioxins!B83)))</f>
        <v/>
      </c>
      <c r="I217" s="1321" t="str">
        <f>IF(I$135="","",(Dioxins!H83&amp;signum2(Dioxins!K83,SigFig1,SigFig2,Dioxins!H83)))</f>
        <v/>
      </c>
      <c r="J217" s="1351" t="str">
        <f>IF(I$135="","",(Dioxins!H83&amp;signum2(Dioxins!L83,SigFig1,SigFig2,Dioxins!H83)))</f>
        <v/>
      </c>
      <c r="K217" s="1352" t="str">
        <f>IF(I$135="","",(Dioxins!H83&amp;signum2(Dioxins!M83,SigFig1,SigFig2,Dioxins!H83)))</f>
        <v/>
      </c>
      <c r="L217" s="1321"/>
      <c r="M217" s="1322"/>
      <c r="N217" s="1272"/>
      <c r="O217" s="1319">
        <f t="shared" si="6"/>
        <v>0</v>
      </c>
      <c r="P217" s="1319">
        <f t="shared" si="7"/>
        <v>0</v>
      </c>
    </row>
    <row r="218" spans="1:16" hidden="1">
      <c r="A218" s="1372" t="s">
        <v>41</v>
      </c>
      <c r="B218" s="1369" t="s">
        <v>41</v>
      </c>
      <c r="C218" s="1373" t="s">
        <v>41</v>
      </c>
      <c r="D218" s="1374" t="s">
        <v>41</v>
      </c>
      <c r="E218" s="1375" t="s">
        <v>41</v>
      </c>
      <c r="F218" s="1373" t="s">
        <v>41</v>
      </c>
      <c r="G218" s="1374" t="s">
        <v>41</v>
      </c>
      <c r="H218" s="1375" t="s">
        <v>41</v>
      </c>
      <c r="I218" s="1373" t="s">
        <v>41</v>
      </c>
      <c r="J218" s="1374" t="s">
        <v>41</v>
      </c>
      <c r="K218" s="1375" t="s">
        <v>41</v>
      </c>
      <c r="L218" s="1321"/>
      <c r="M218" s="1322"/>
      <c r="N218" s="1272"/>
      <c r="O218" s="1319"/>
      <c r="P218" s="1319"/>
    </row>
    <row r="219" spans="1:16" hidden="1">
      <c r="A219" s="1267" t="str">
        <f>Dioxins!A84</f>
        <v>Total 16 PAH's</v>
      </c>
      <c r="B219" s="1273"/>
      <c r="C219" s="1321" t="e">
        <f>IF(C$135="","",(Dioxins!O84&amp;signum2(Dioxins!R84,SigFig1,SigFig2,Dioxins!O84)))</f>
        <v>#VALUE!</v>
      </c>
      <c r="D219" s="1351" t="e">
        <f>IF(C$135="","",(Dioxins!O84&amp;signum2(Dioxins!S84,SigFig1,SigFig2,Dioxins!O84)))</f>
        <v>#VALUE!</v>
      </c>
      <c r="E219" s="1352" t="e">
        <f>IF(C$135="","",(Dioxins!O84&amp;signum2(Dioxins!T84,SigFig1,SigFig2,Dioxins!O84)))</f>
        <v>#VALUE!</v>
      </c>
      <c r="F219" s="1321" t="e">
        <f>IF(F$135="","",(Dioxins!B84&amp;signum2(Dioxins!E84,SigFig1,SigFig2,Dioxins!B84)))</f>
        <v>#VALUE!</v>
      </c>
      <c r="G219" s="1351" t="e">
        <f>IF(F$135="","",(Dioxins!B84&amp;signum2(Dioxins!F84,SigFig1,SigFig2,Dioxins!B84)))</f>
        <v>#VALUE!</v>
      </c>
      <c r="H219" s="1352" t="e">
        <f>IF(F$135="","",(Dioxins!B84&amp;signum2(Dioxins!G84,SigFig1,SigFig2,Dioxins!B84)))</f>
        <v>#VALUE!</v>
      </c>
      <c r="I219" s="1321" t="e">
        <f>IF(I$135="","",(Dioxins!H84&amp;signum2(Dioxins!K84,SigFig1,SigFig2,Dioxins!H84)))</f>
        <v>#VALUE!</v>
      </c>
      <c r="J219" s="1351" t="e">
        <f>IF(I$135="","",(Dioxins!H84&amp;signum2(Dioxins!L84,SigFig1,SigFig2,Dioxins!H84)))</f>
        <v>#VALUE!</v>
      </c>
      <c r="K219" s="1352" t="e">
        <f>IF(I$135="","",(Dioxins!H84&amp;signum2(Dioxins!M84,SigFig1,SigFig2,Dioxins!H84)))</f>
        <v>#VALUE!</v>
      </c>
      <c r="L219" s="1321"/>
      <c r="M219" s="1322"/>
      <c r="N219" s="1272"/>
      <c r="O219" s="1319">
        <f t="shared" si="6"/>
        <v>0</v>
      </c>
      <c r="P219" s="1319">
        <f t="shared" si="7"/>
        <v>0</v>
      </c>
    </row>
    <row r="220" spans="1:16" hidden="1">
      <c r="A220" s="1267" t="str">
        <f>Dioxins!A85</f>
        <v>Total 19 PAH's</v>
      </c>
      <c r="B220" s="1273"/>
      <c r="C220" s="1321" t="e">
        <f>IF(C$135="","",(Dioxins!O85&amp;signum2(Dioxins!R85,SigFig1,SigFig2,Dioxins!O85)))</f>
        <v>#VALUE!</v>
      </c>
      <c r="D220" s="1351" t="e">
        <f>IF(C$135="","",(Dioxins!O85&amp;signum2(Dioxins!S85,SigFig1,SigFig2,Dioxins!O85)))</f>
        <v>#VALUE!</v>
      </c>
      <c r="E220" s="1352" t="e">
        <f>IF(C$135="","",(Dioxins!O85&amp;signum2(Dioxins!T85,SigFig1,SigFig2,Dioxins!O85)))</f>
        <v>#VALUE!</v>
      </c>
      <c r="F220" s="1321" t="e">
        <f>IF(F$135="","",(Dioxins!B85&amp;signum2(Dioxins!E85,SigFig1,SigFig2,Dioxins!B85)))</f>
        <v>#VALUE!</v>
      </c>
      <c r="G220" s="1351" t="e">
        <f>IF(F$135="","",(Dioxins!B85&amp;signum2(Dioxins!F85,SigFig1,SigFig2,Dioxins!B85)))</f>
        <v>#VALUE!</v>
      </c>
      <c r="H220" s="1352" t="e">
        <f>IF(F$135="","",(Dioxins!B85&amp;signum2(Dioxins!G85,SigFig1,SigFig2,Dioxins!B85)))</f>
        <v>#VALUE!</v>
      </c>
      <c r="I220" s="1321" t="e">
        <f>IF(I$135="","",(Dioxins!H85&amp;signum2(Dioxins!K85,SigFig1,SigFig2,Dioxins!H85)))</f>
        <v>#VALUE!</v>
      </c>
      <c r="J220" s="1351" t="e">
        <f>IF(I$135="","",(Dioxins!H85&amp;signum2(Dioxins!L85,SigFig1,SigFig2,Dioxins!H85)))</f>
        <v>#VALUE!</v>
      </c>
      <c r="K220" s="1352" t="e">
        <f>IF(I$135="","",(Dioxins!H85&amp;signum2(Dioxins!M85,SigFig1,SigFig2,Dioxins!H85)))</f>
        <v>#VALUE!</v>
      </c>
      <c r="L220" s="1321"/>
      <c r="M220" s="1322"/>
      <c r="N220" s="1272"/>
      <c r="O220" s="1319">
        <f t="shared" si="6"/>
        <v>0</v>
      </c>
      <c r="P220" s="1319">
        <f t="shared" si="7"/>
        <v>0</v>
      </c>
    </row>
    <row r="221" spans="1:16" hidden="1">
      <c r="A221" s="1372" t="s">
        <v>41</v>
      </c>
      <c r="B221" s="1369" t="s">
        <v>41</v>
      </c>
      <c r="C221" s="1373" t="s">
        <v>41</v>
      </c>
      <c r="D221" s="1374" t="s">
        <v>41</v>
      </c>
      <c r="E221" s="1375" t="s">
        <v>41</v>
      </c>
      <c r="F221" s="1373" t="s">
        <v>41</v>
      </c>
      <c r="G221" s="1374" t="s">
        <v>41</v>
      </c>
      <c r="H221" s="1375" t="s">
        <v>41</v>
      </c>
      <c r="I221" s="1373" t="s">
        <v>41</v>
      </c>
      <c r="J221" s="1374" t="s">
        <v>41</v>
      </c>
      <c r="K221" s="1375" t="s">
        <v>41</v>
      </c>
      <c r="L221" s="1321"/>
      <c r="M221" s="1322"/>
      <c r="N221" s="1272"/>
      <c r="O221" s="1319"/>
      <c r="P221" s="1319"/>
    </row>
    <row r="222" spans="1:16" hidden="1">
      <c r="A222" s="1267" t="str">
        <f>Dioxins!D62</f>
        <v>BaP-TEQ</v>
      </c>
      <c r="B222" s="1273"/>
      <c r="C222" s="1321"/>
      <c r="D222" s="1351"/>
      <c r="E222" s="1352"/>
      <c r="F222" s="1321"/>
      <c r="G222" s="1351"/>
      <c r="H222" s="1352"/>
      <c r="I222" s="1321"/>
      <c r="J222" s="1351"/>
      <c r="K222" s="1352"/>
      <c r="L222" s="1321"/>
      <c r="M222" s="1322"/>
      <c r="N222" s="1272"/>
      <c r="O222" s="1319"/>
      <c r="P222" s="1319"/>
    </row>
    <row r="223" spans="1:16" hidden="1">
      <c r="A223" s="1267" t="str">
        <f>Dioxins!A86</f>
        <v>Lower Bound</v>
      </c>
      <c r="B223" s="1273"/>
      <c r="C223" s="1321" t="e">
        <f>IF(C$135="","",(Dioxins!O86&amp;signum2(Dioxins!R86,SigFig1,SigFig2,Dioxins!O86)))</f>
        <v>#VALUE!</v>
      </c>
      <c r="D223" s="1351" t="e">
        <f>IF(C$135="","",(Dioxins!O86&amp;signum2(Dioxins!S86,SigFig1,SigFig2,Dioxins!O86)))</f>
        <v>#VALUE!</v>
      </c>
      <c r="E223" s="1352" t="e">
        <f>IF(C$135="","",(Dioxins!O86&amp;signum2(Dioxins!T86,SigFig1,SigFig2,Dioxins!O86)))</f>
        <v>#VALUE!</v>
      </c>
      <c r="F223" s="1321" t="e">
        <f>IF(F$135="","",(Dioxins!B86&amp;signum2(Dioxins!E86,SigFig1,SigFig2,Dioxins!B86)))</f>
        <v>#VALUE!</v>
      </c>
      <c r="G223" s="1351" t="e">
        <f>IF(F$135="","",(Dioxins!B86&amp;signum2(Dioxins!F86,SigFig1,SigFig2,Dioxins!B86)))</f>
        <v>#VALUE!</v>
      </c>
      <c r="H223" s="1352" t="e">
        <f>IF(F$135="","",(Dioxins!B86&amp;signum2(Dioxins!G86,SigFig1,SigFig2,Dioxins!B86)))</f>
        <v>#VALUE!</v>
      </c>
      <c r="I223" s="1321" t="e">
        <f>IF(I$135="","",(Dioxins!H86&amp;signum2(Dioxins!K86,SigFig1,SigFig2,Dioxins!H86)))</f>
        <v>#VALUE!</v>
      </c>
      <c r="J223" s="1351" t="e">
        <f>IF(I$135="","",(Dioxins!H86&amp;signum2(Dioxins!L86,SigFig1,SigFig2,Dioxins!H86)))</f>
        <v>#VALUE!</v>
      </c>
      <c r="K223" s="1352" t="e">
        <f>IF(I$135="","",(Dioxins!H86&amp;signum2(Dioxins!M86,SigFig1,SigFig2,Dioxins!H86)))</f>
        <v>#VALUE!</v>
      </c>
      <c r="L223" s="1321"/>
      <c r="M223" s="1322"/>
      <c r="N223" s="1272"/>
      <c r="O223" s="1319">
        <f t="shared" si="6"/>
        <v>0</v>
      </c>
      <c r="P223" s="1319">
        <f t="shared" si="7"/>
        <v>0</v>
      </c>
    </row>
    <row r="224" spans="1:16" hidden="1">
      <c r="A224" s="1267" t="str">
        <f>Dioxins!A87</f>
        <v>Middle Bound</v>
      </c>
      <c r="B224" s="1273"/>
      <c r="C224" s="1321" t="e">
        <f>IF(C$135="","",(Dioxins!O87&amp;signum2(Dioxins!R87,SigFig1,SigFig2,Dioxins!O87)))</f>
        <v>#VALUE!</v>
      </c>
      <c r="D224" s="1351" t="e">
        <f>IF(C$135="","",(Dioxins!O87&amp;signum2(Dioxins!S87,SigFig1,SigFig2,Dioxins!O87)))</f>
        <v>#VALUE!</v>
      </c>
      <c r="E224" s="1352" t="e">
        <f>IF(C$135="","",(Dioxins!O87&amp;signum2(Dioxins!T87,SigFig1,SigFig2,Dioxins!O87)))</f>
        <v>#VALUE!</v>
      </c>
      <c r="F224" s="1321" t="e">
        <f>IF(F$135="","",(Dioxins!B87&amp;signum2(Dioxins!E87,SigFig1,SigFig2,Dioxins!B87)))</f>
        <v>#VALUE!</v>
      </c>
      <c r="G224" s="1351" t="e">
        <f>IF(F$135="","",(Dioxins!B87&amp;signum2(Dioxins!F87,SigFig1,SigFig2,Dioxins!B87)))</f>
        <v>#VALUE!</v>
      </c>
      <c r="H224" s="1352" t="e">
        <f>IF(F$135="","",(Dioxins!B87&amp;signum2(Dioxins!G87,SigFig1,SigFig2,Dioxins!B87)))</f>
        <v>#VALUE!</v>
      </c>
      <c r="I224" s="1321" t="e">
        <f>IF(I$135="","",(Dioxins!H87&amp;signum2(Dioxins!K87,SigFig1,SigFig2,Dioxins!H87)))</f>
        <v>#VALUE!</v>
      </c>
      <c r="J224" s="1351" t="e">
        <f>IF(I$135="","",(Dioxins!H87&amp;signum2(Dioxins!L87,SigFig1,SigFig2,Dioxins!H87)))</f>
        <v>#VALUE!</v>
      </c>
      <c r="K224" s="1352" t="e">
        <f>IF(I$135="","",(Dioxins!H87&amp;signum2(Dioxins!M87,SigFig1,SigFig2,Dioxins!H87)))</f>
        <v>#VALUE!</v>
      </c>
      <c r="L224" s="1321"/>
      <c r="M224" s="1322"/>
      <c r="N224" s="1272"/>
      <c r="O224" s="1319"/>
      <c r="P224" s="1319"/>
    </row>
    <row r="225" spans="1:16" hidden="1">
      <c r="A225" s="1267" t="str">
        <f>Dioxins!A88</f>
        <v>Upper Bound</v>
      </c>
      <c r="B225" s="1273"/>
      <c r="C225" s="1321" t="e">
        <f>IF(C$135="","",(Dioxins!O88&amp;signum2(Dioxins!R88,SigFig1,SigFig2,Dioxins!O88)))</f>
        <v>#VALUE!</v>
      </c>
      <c r="D225" s="1351" t="e">
        <f>IF(C$135="","",(Dioxins!O88&amp;signum2(Dioxins!S88,SigFig1,SigFig2,Dioxins!O88)))</f>
        <v>#VALUE!</v>
      </c>
      <c r="E225" s="1352" t="e">
        <f>IF(C$135="","",(Dioxins!O88&amp;signum2(Dioxins!T88,SigFig1,SigFig2,Dioxins!O88)))</f>
        <v>#VALUE!</v>
      </c>
      <c r="F225" s="1321" t="e">
        <f>IF(F$135="","",(Dioxins!B88&amp;signum2(Dioxins!E88,SigFig1,SigFig2,Dioxins!B88)))</f>
        <v>#VALUE!</v>
      </c>
      <c r="G225" s="1351" t="e">
        <f>IF(F$135="","",(Dioxins!B88&amp;signum2(Dioxins!F88,SigFig1,SigFig2,Dioxins!B88)))</f>
        <v>#VALUE!</v>
      </c>
      <c r="H225" s="1352" t="e">
        <f>IF(F$135="","",(Dioxins!B88&amp;signum2(Dioxins!G88,SigFig1,SigFig2,Dioxins!B88)))</f>
        <v>#VALUE!</v>
      </c>
      <c r="I225" s="1321" t="e">
        <f>IF(I$135="","",(Dioxins!H88&amp;signum2(Dioxins!K88,SigFig1,SigFig2,Dioxins!H88)))</f>
        <v>#VALUE!</v>
      </c>
      <c r="J225" s="1351" t="e">
        <f>IF(I$135="","",(Dioxins!H88&amp;signum2(Dioxins!L88,SigFig1,SigFig2,Dioxins!H88)))</f>
        <v>#VALUE!</v>
      </c>
      <c r="K225" s="1352" t="e">
        <f>IF(I$135="","",(Dioxins!H88&amp;signum2(Dioxins!M88,SigFig1,SigFig2,Dioxins!H88)))</f>
        <v>#VALUE!</v>
      </c>
      <c r="L225" s="1321"/>
      <c r="M225" s="1322"/>
      <c r="N225" s="1272"/>
      <c r="O225" s="1319">
        <f t="shared" si="6"/>
        <v>0</v>
      </c>
      <c r="P225" s="1319">
        <f t="shared" si="7"/>
        <v>0</v>
      </c>
    </row>
    <row r="226" spans="1:16" hidden="1">
      <c r="A226" s="1371" t="s">
        <v>41</v>
      </c>
      <c r="B226" s="1371" t="s">
        <v>41</v>
      </c>
      <c r="C226" s="1371" t="s">
        <v>41</v>
      </c>
      <c r="D226" s="1371" t="s">
        <v>41</v>
      </c>
      <c r="E226" s="1371" t="s">
        <v>41</v>
      </c>
      <c r="F226" s="1371" t="s">
        <v>41</v>
      </c>
      <c r="G226" s="1371" t="s">
        <v>41</v>
      </c>
      <c r="H226" s="1371" t="s">
        <v>41</v>
      </c>
      <c r="I226" s="1371" t="s">
        <v>41</v>
      </c>
      <c r="J226" s="1371" t="s">
        <v>41</v>
      </c>
      <c r="K226" s="1371" t="s">
        <v>41</v>
      </c>
      <c r="L226" s="1325" t="s">
        <v>41</v>
      </c>
      <c r="M226" s="1325" t="s">
        <v>41</v>
      </c>
    </row>
    <row r="227" spans="1:16" hidden="1">
      <c r="A227" s="1262" t="s">
        <v>120</v>
      </c>
      <c r="B227" s="1263"/>
      <c r="C227" s="2522" t="str">
        <f>IF(OR(TestReport="All",TestReport="Average only"),"Average","")</f>
        <v>Average</v>
      </c>
      <c r="D227" s="2523" t="str">
        <f>IF(OR(TestReport="Test 2 only",TestReport="Tests 1 &amp; 2"),"Test 2","")</f>
        <v/>
      </c>
      <c r="E227" s="2524" t="str">
        <f>IF(OR(TestReport="Test 2 only",TestReport="Tests 1 &amp; 2"),"Test 2","")</f>
        <v/>
      </c>
      <c r="F227" s="2522" t="str">
        <f>IF(OR(TestReport="Test 2 only",TestReport="Average only"),"",IF(TestReport="Test 1 only","Results","Test 1"))</f>
        <v>Test 1</v>
      </c>
      <c r="G227" s="2523" t="str">
        <f>IF(OR(TestReport="Test 1 only",TestReport="Tests 1 &amp; 2"),"Test 1","")</f>
        <v/>
      </c>
      <c r="H227" s="2524" t="str">
        <f>IF(OR(TestReport="Test 1 only",TestReport="Tests 1 &amp; 2"),"Test 1","")</f>
        <v/>
      </c>
      <c r="I227" s="2522" t="str">
        <f>IF(OR(TestReport="Test 1 only",TestReport="Average only"),"",IF(TestReport="Test 2 only","Results","Test 2"))</f>
        <v>Test 2</v>
      </c>
      <c r="J227" s="2523" t="str">
        <f>IF(OR(TestReport="Test 1 only",TestReport="Tests 1 &amp; 2"),"Test 1","")</f>
        <v/>
      </c>
      <c r="K227" s="2524" t="str">
        <f>IF(OR(TestReport="Test 1 only",TestReport="Tests 1 &amp; 2"),"Test 1","")</f>
        <v/>
      </c>
      <c r="L227" s="2519" t="s">
        <v>134</v>
      </c>
      <c r="M227" s="2520"/>
    </row>
    <row r="228" spans="1:16" hidden="1">
      <c r="A228" s="1288"/>
      <c r="B228" s="1289" t="s">
        <v>98</v>
      </c>
      <c r="C228" s="1273"/>
      <c r="D228" s="1317"/>
      <c r="E228" s="1322"/>
      <c r="F228" s="2534" t="str">
        <f>IF(F$227="","",'Flows &amp; Isokinetics'!J9&amp;"-"&amp;'Flows &amp; Isokinetics'!J10)</f>
        <v>-</v>
      </c>
      <c r="G228" s="2535"/>
      <c r="H228" s="2536"/>
      <c r="I228" s="2534" t="str">
        <f>IF(I$227="","",'Flows &amp; Isokinetics'!K9&amp;"-"&amp;'Flows &amp; Isokinetics'!K10)</f>
        <v>-</v>
      </c>
      <c r="J228" s="2535"/>
      <c r="K228" s="2536"/>
      <c r="L228" s="2539" t="s">
        <v>135</v>
      </c>
      <c r="M228" s="2538"/>
    </row>
    <row r="229" spans="1:16" hidden="1">
      <c r="A229" s="1292"/>
      <c r="B229" s="1293"/>
      <c r="C229" s="1313"/>
      <c r="D229" s="1314"/>
      <c r="E229" s="1315"/>
      <c r="F229" s="1313"/>
      <c r="G229" s="1314"/>
      <c r="H229" s="1315"/>
      <c r="I229" s="1313"/>
      <c r="J229" s="1314"/>
      <c r="K229" s="1315"/>
      <c r="L229" s="1313"/>
      <c r="M229" s="1315"/>
    </row>
    <row r="230" spans="1:16" hidden="1">
      <c r="A230" s="1267" t="s">
        <v>133</v>
      </c>
      <c r="B230" s="1317"/>
      <c r="C230" s="2539" t="e">
        <f>IF(C$227="","",('Drift Test'!I32&amp;signum2('Drift Test'!I44,SigFig1,SigFig2,'Drift Test'!I32)))</f>
        <v>#VALUE!</v>
      </c>
      <c r="D230" s="2537"/>
      <c r="E230" s="2538"/>
      <c r="F230" s="2539" t="e">
        <f>IF(F$227="","",('Drift Test'!G32&amp;signum2('Drift Test'!G44,SigFig1,SigFig2,'Drift Test'!G32)))</f>
        <v>#VALUE!</v>
      </c>
      <c r="G230" s="2537"/>
      <c r="H230" s="2538"/>
      <c r="I230" s="2539" t="e">
        <f>IF(I$227="","",('Drift Test'!H32&amp;signum2('Drift Test'!H44,SigFig1,SigFig2,'Drift Test'!H32)))</f>
        <v>#VALUE!</v>
      </c>
      <c r="J230" s="2537"/>
      <c r="K230" s="2538"/>
      <c r="L230" s="2539">
        <f>'Drift Test'!C8</f>
        <v>2E-3</v>
      </c>
      <c r="M230" s="2538"/>
    </row>
    <row r="231" spans="1:16" hidden="1">
      <c r="A231" s="1267"/>
      <c r="B231" s="1353"/>
      <c r="C231" s="1321"/>
      <c r="D231" s="1273"/>
      <c r="E231" s="1354"/>
      <c r="F231" s="1321"/>
      <c r="G231" s="1273"/>
      <c r="H231" s="1322"/>
      <c r="I231" s="1321"/>
      <c r="J231" s="1273"/>
      <c r="K231" s="1322"/>
      <c r="L231" s="1321"/>
      <c r="M231" s="1322"/>
    </row>
    <row r="232" spans="1:16" hidden="1">
      <c r="A232" s="1371" t="s">
        <v>41</v>
      </c>
      <c r="B232" s="1371" t="s">
        <v>41</v>
      </c>
      <c r="C232" s="1371" t="s">
        <v>41</v>
      </c>
      <c r="D232" s="1371" t="s">
        <v>41</v>
      </c>
      <c r="E232" s="1371" t="s">
        <v>41</v>
      </c>
      <c r="F232" s="1371" t="s">
        <v>41</v>
      </c>
      <c r="G232" s="1371" t="s">
        <v>41</v>
      </c>
      <c r="H232" s="1371" t="s">
        <v>41</v>
      </c>
      <c r="I232" s="1371" t="s">
        <v>41</v>
      </c>
      <c r="J232" s="1371" t="s">
        <v>41</v>
      </c>
      <c r="K232" s="1371" t="s">
        <v>41</v>
      </c>
      <c r="L232" s="1325" t="s">
        <v>41</v>
      </c>
      <c r="M232" s="1325" t="s">
        <v>41</v>
      </c>
    </row>
    <row r="233" spans="1:16" ht="12.75" hidden="1" customHeight="1">
      <c r="A233" s="1295" t="str">
        <f>IF('Non-Isokinetic'!A5:B5="","",'Non-Isokinetic'!A5:B5)</f>
        <v/>
      </c>
      <c r="B233" s="1284"/>
      <c r="C233" s="2522" t="str">
        <f>IF(A233="","",IF(OR(TestReport="All",TestReport="Average only"),"Average",""))</f>
        <v/>
      </c>
      <c r="D233" s="2523" t="str">
        <f>IF(OR(TestReport="Test 2 only",TestReport="Tests 1 &amp; 2"),"Test 2","")</f>
        <v/>
      </c>
      <c r="E233" s="2524" t="str">
        <f>IF(OR(TestReport="Test 2 only",TestReport="Tests 1 &amp; 2"),"Test 2","")</f>
        <v/>
      </c>
      <c r="F233" s="2522" t="str">
        <f>IF(A233="","",IF(OR(TestReport="Test 2 only",TestReport="Average only"),"",IF(TestReport="Test 1 only","Results","Test 1")))</f>
        <v/>
      </c>
      <c r="G233" s="2523" t="str">
        <f>IF(OR(TestReport="Test 1 only",TestReport="Tests 1 &amp; 2"),"Test 1","")</f>
        <v/>
      </c>
      <c r="H233" s="2524" t="str">
        <f>IF(OR(TestReport="Test 1 only",TestReport="Tests 1 &amp; 2"),"Test 1","")</f>
        <v/>
      </c>
      <c r="I233" s="2522" t="str">
        <f>IF(A233="","",IF(OR(TestReport="Test 1 only",TestReport="Average only"),"",IF(TestReport="Test 2 only","Results","Test 2")))</f>
        <v/>
      </c>
      <c r="J233" s="2523" t="str">
        <f>IF(OR(TestReport="Test 1 only",TestReport="Tests 1 &amp; 2"),"Test 1","")</f>
        <v/>
      </c>
      <c r="K233" s="2524" t="str">
        <f>IF(OR(TestReport="Test 1 only",TestReport="Tests 1 &amp; 2"),"Test 1","")</f>
        <v/>
      </c>
      <c r="L233" s="2519" t="s">
        <v>62</v>
      </c>
      <c r="M233" s="2520"/>
      <c r="N233" s="1272"/>
      <c r="O233" s="2521" t="s">
        <v>369</v>
      </c>
      <c r="P233" s="2521"/>
    </row>
    <row r="234" spans="1:16" ht="12.75" hidden="1" customHeight="1">
      <c r="A234" s="1288"/>
      <c r="B234" s="1289" t="str">
        <f>IF(A233="","","Sampling time")</f>
        <v/>
      </c>
      <c r="C234" s="1273"/>
      <c r="D234" s="1317"/>
      <c r="E234" s="1322"/>
      <c r="F234" s="2534" t="str">
        <f>IF(F$233="","",(IF('Non-Isokinetic'!C7="","",'Non-Isokinetic'!C7&amp;"-"&amp;'Non-Isokinetic'!C8)))</f>
        <v/>
      </c>
      <c r="G234" s="2535"/>
      <c r="H234" s="2536"/>
      <c r="I234" s="2534" t="str">
        <f>IF(I$233="","",(IF('Non-Isokinetic'!D7="","",'Non-Isokinetic'!D7&amp;"-"&amp;'Non-Isokinetic'!D8)))</f>
        <v/>
      </c>
      <c r="J234" s="2535"/>
      <c r="K234" s="2536"/>
      <c r="L234" s="1321"/>
      <c r="M234" s="1322"/>
      <c r="N234" s="1272"/>
    </row>
    <row r="235" spans="1:16" ht="12.75" hidden="1" customHeight="1">
      <c r="A235" s="1294"/>
      <c r="B235" s="1318"/>
      <c r="C235" s="1316" t="str">
        <f>IF(C$233="","","Concentration")</f>
        <v/>
      </c>
      <c r="D235" s="1317" t="str">
        <f>IF(C$233="","",O2CO2)</f>
        <v/>
      </c>
      <c r="E235" s="1318" t="str">
        <f>IF(C$233="","","Mass Rate")</f>
        <v/>
      </c>
      <c r="F235" s="1316" t="str">
        <f>IF(F$233="","","Concentration")</f>
        <v/>
      </c>
      <c r="G235" s="1317" t="str">
        <f>IF(F$233="","",O2CO2)</f>
        <v/>
      </c>
      <c r="H235" s="1318" t="str">
        <f>IF(F$233="","","Mass Rate")</f>
        <v/>
      </c>
      <c r="I235" s="1316" t="str">
        <f>IF(I$233="","","Concentration")</f>
        <v/>
      </c>
      <c r="J235" s="1317" t="str">
        <f>IF(I$233="","",O2CO2)</f>
        <v/>
      </c>
      <c r="K235" s="1318" t="str">
        <f>IF(I$233="","","Mass Rate")</f>
        <v/>
      </c>
      <c r="L235" s="1321"/>
      <c r="M235" s="1322"/>
      <c r="N235" s="1272"/>
      <c r="O235" s="1291" t="s">
        <v>367</v>
      </c>
      <c r="P235" s="1291" t="s">
        <v>368</v>
      </c>
    </row>
    <row r="236" spans="1:16" ht="12.75" hidden="1" customHeight="1">
      <c r="A236" s="1294"/>
      <c r="B236" s="1296"/>
      <c r="C236" s="2214" t="str">
        <f>IF(C$233="","",CU)</f>
        <v/>
      </c>
      <c r="D236" s="2215" t="str">
        <f>IF(C$233="","",CU)</f>
        <v/>
      </c>
      <c r="E236" s="2216" t="str">
        <f>IF(C$233="","",MRU)</f>
        <v/>
      </c>
      <c r="F236" s="2214" t="str">
        <f>IF(F$233="","",CU)</f>
        <v/>
      </c>
      <c r="G236" s="1314" t="str">
        <f>IF(F$233="","",CU)</f>
        <v/>
      </c>
      <c r="H236" s="1315" t="str">
        <f>IF(F$233="","",MRU)</f>
        <v/>
      </c>
      <c r="I236" s="2214" t="str">
        <f>IF(I$233="","",CU)</f>
        <v/>
      </c>
      <c r="J236" s="2215" t="str">
        <f>IF(I$233="","",CU)</f>
        <v/>
      </c>
      <c r="K236" s="2216" t="str">
        <f>IF(I$233="","",MRU)</f>
        <v/>
      </c>
      <c r="L236" s="1313" t="str">
        <f>CU</f>
        <v>mg/m³</v>
      </c>
      <c r="M236" s="1315" t="str">
        <f>MRU</f>
        <v>g/min</v>
      </c>
      <c r="N236" s="1272"/>
      <c r="O236" s="1291" t="str">
        <f>CU</f>
        <v>mg/m³</v>
      </c>
      <c r="P236" s="1291" t="str">
        <f>MRU</f>
        <v>g/min</v>
      </c>
    </row>
    <row r="237" spans="1:16" ht="12.75" hidden="1" customHeight="1">
      <c r="A237" s="1297" t="str">
        <f>IF('Non-Isokinetic'!A7=0,"",'Non-Isokinetic'!A7)</f>
        <v/>
      </c>
      <c r="B237" s="1298"/>
      <c r="C237" s="1321" t="str">
        <f>IF($C$233="","",('Results Entry'!$AA16&amp;signum2('Results Entry'!AB16,SigFig1,SigFig2,'Results Entry'!$AA16)))</f>
        <v/>
      </c>
      <c r="D237" s="1273" t="str">
        <f>IF($C$233="","",('Results Entry'!$AA16&amp;signum2('Results Entry'!AC16,SigFig1,SigFig2,'Results Entry'!$AA16)))</f>
        <v/>
      </c>
      <c r="E237" s="1322" t="str">
        <f>IF($C$233="","",('Results Entry'!AH16&amp;signum2('Results Entry'!AI16,SigFig1,SigFig2,'Results Entry'!AH16)))</f>
        <v/>
      </c>
      <c r="F237" s="1321" t="str">
        <f>IF($F$233="","",('Results Entry'!$U16&amp;signum2('Results Entry'!V16,SigFig1,SigFig2,'Results Entry'!$U16)))</f>
        <v/>
      </c>
      <c r="G237" s="1273" t="str">
        <f>IF($F$233="","",('Results Entry'!$U16&amp;signum2('Results Entry'!W16,SigFig1,SigFig2,'Results Entry'!$U16)))</f>
        <v/>
      </c>
      <c r="H237" s="2329" t="str">
        <f>IF($F$233="","",('Results Entry'!AD16&amp;signum2('Results Entry'!AE16,SigFig1,SigFig2,'Results Entry'!AD16)))</f>
        <v/>
      </c>
      <c r="I237" s="1321" t="str">
        <f>IF($I$233="","",('Results Entry'!$X16&amp;signum2('Results Entry'!Y16,SigFig1,SigFig2,'Results Entry'!$X16)))</f>
        <v/>
      </c>
      <c r="J237" s="1273" t="str">
        <f>IF($I$233="","",('Results Entry'!$X16&amp;signum2('Results Entry'!Z16,SigFig1,SigFig2,'Results Entry'!$X16)))</f>
        <v/>
      </c>
      <c r="K237" s="1322" t="str">
        <f>IF($I$233="","",('Results Entry'!$AF16&amp;signum2('Results Entry'!AG16,SigFig1,SigFig2,'Results Entry'!$AF16)))</f>
        <v/>
      </c>
      <c r="L237" s="1321"/>
      <c r="M237" s="1322"/>
      <c r="N237" s="1272"/>
      <c r="O237" s="1319">
        <f>MAX(IF(ISERROR(VALUE($C237)),0,VALUE($C237)),IF(ISERROR(VALUE($F237)),0,VALUE($F237)),IF(ISERROR(VALUE($I237)),0,VALUE($I237)))</f>
        <v>0</v>
      </c>
      <c r="P237" s="1319">
        <f>MAX(IF(ISERROR(VALUE($E237)),0,VALUE($E237)),IF(ISERROR(VALUE($H237)),0,VALUE($H237)),IF(ISERROR(VALUE($K237)),0,VALUE($K237)))</f>
        <v>0</v>
      </c>
    </row>
    <row r="238" spans="1:16" ht="12.75" hidden="1" customHeight="1">
      <c r="A238" s="1297" t="str">
        <f>IF('Non-Isokinetic'!A8=0,"",'Non-Isokinetic'!A8)</f>
        <v/>
      </c>
      <c r="B238" s="1298"/>
      <c r="C238" s="1321" t="str">
        <f>IF($C$233="","",('Results Entry'!$AA17&amp;signum2('Results Entry'!AB17,SigFig1,SigFig2,'Results Entry'!$AA17)))</f>
        <v/>
      </c>
      <c r="D238" s="1273" t="str">
        <f>IF($C$233="","",('Results Entry'!$AA17&amp;signum2('Results Entry'!AC17,SigFig1,SigFig2,'Results Entry'!$AA17)))</f>
        <v/>
      </c>
      <c r="E238" s="1322" t="str">
        <f>IF($C$233="","",('Results Entry'!AH17&amp;signum2('Results Entry'!AI17,SigFig1,SigFig2,'Results Entry'!AH17)))</f>
        <v/>
      </c>
      <c r="F238" s="2213" t="str">
        <f>IF($F$233="","",('Results Entry'!$U17&amp;signum2('Results Entry'!V17,SigFig1,SigFig2,'Results Entry'!$U17)))</f>
        <v/>
      </c>
      <c r="G238" s="1273" t="str">
        <f>IF($F$233="","",('Results Entry'!$U17&amp;signum2('Results Entry'!W17,SigFig1,SigFig2,'Results Entry'!$U17)))</f>
        <v/>
      </c>
      <c r="H238" s="2329" t="str">
        <f>IF($F$233="","",('Results Entry'!AD17&amp;signum2('Results Entry'!AE17,SigFig1,SigFig2,'Results Entry'!AD17)))</f>
        <v/>
      </c>
      <c r="I238" s="1321" t="str">
        <f>IF($I$233="","",('Results Entry'!$X17&amp;signum2('Results Entry'!Y17,SigFig1,SigFig2,'Results Entry'!$X17)))</f>
        <v/>
      </c>
      <c r="J238" s="1273" t="str">
        <f>IF($I$233="","",('Results Entry'!$X17&amp;signum2('Results Entry'!Z17,SigFig1,SigFig2,'Results Entry'!$X17)))</f>
        <v/>
      </c>
      <c r="K238" s="1322" t="str">
        <f>IF($I$233="","",('Results Entry'!$AF17&amp;signum2('Results Entry'!AG17,SigFig1,SigFig2,'Results Entry'!$AF17)))</f>
        <v/>
      </c>
      <c r="L238" s="1321"/>
      <c r="M238" s="1322"/>
      <c r="N238" s="1272"/>
      <c r="O238" s="1319">
        <f t="shared" ref="O238:O245" si="8">MAX(IF(ISERROR(VALUE($C238)),0,VALUE($C238)),IF(ISERROR(VALUE($F238)),0,VALUE($F238)),IF(ISERROR(VALUE($I238)),0,VALUE($I238)))</f>
        <v>0</v>
      </c>
      <c r="P238" s="1319">
        <f t="shared" ref="P238:P245" si="9">MAX(IF(ISERROR(VALUE($E238)),0,VALUE($E238)),IF(ISERROR(VALUE($H238)),0,VALUE($H238)),IF(ISERROR(VALUE($K238)),0,VALUE($K238)))</f>
        <v>0</v>
      </c>
    </row>
    <row r="239" spans="1:16" ht="12.75" hidden="1" customHeight="1">
      <c r="A239" s="1297" t="str">
        <f>IF('Non-Isokinetic'!A9=0,"",'Non-Isokinetic'!A9)</f>
        <v/>
      </c>
      <c r="B239" s="1298"/>
      <c r="C239" s="1321" t="str">
        <f>IF($C$233="","",('Results Entry'!$AA18&amp;signum2('Results Entry'!AB18,SigFig1,SigFig2,'Results Entry'!$AA18)))</f>
        <v/>
      </c>
      <c r="D239" s="1273" t="str">
        <f>IF($C$233="","",('Results Entry'!$AA18&amp;signum2('Results Entry'!AC18,SigFig1,SigFig2,'Results Entry'!$AA18)))</f>
        <v/>
      </c>
      <c r="E239" s="1322" t="str">
        <f>IF($C$233="","",('Results Entry'!AH18&amp;signum2('Results Entry'!AI18,SigFig1,SigFig2,'Results Entry'!AH18)))</f>
        <v/>
      </c>
      <c r="F239" s="2213" t="str">
        <f>IF($F$233="","",('Results Entry'!$U18&amp;signum2('Results Entry'!V18,SigFig1,SigFig2,'Results Entry'!$U18)))</f>
        <v/>
      </c>
      <c r="G239" s="1273" t="str">
        <f>IF($F$233="","",('Results Entry'!$U18&amp;signum2('Results Entry'!W18,SigFig1,SigFig2,'Results Entry'!$U18)))</f>
        <v/>
      </c>
      <c r="H239" s="2329" t="str">
        <f>IF($F$233="","",('Results Entry'!AD18&amp;signum2('Results Entry'!AE18,SigFig1,SigFig2,'Results Entry'!AD18)))</f>
        <v/>
      </c>
      <c r="I239" s="1321" t="str">
        <f>IF($I$233="","",('Results Entry'!$X18&amp;signum2('Results Entry'!Y18,SigFig1,SigFig2,'Results Entry'!$X18)))</f>
        <v/>
      </c>
      <c r="J239" s="1273" t="str">
        <f>IF($I$233="","",('Results Entry'!$X18&amp;signum2('Results Entry'!Z18,SigFig1,SigFig2,'Results Entry'!$X18)))</f>
        <v/>
      </c>
      <c r="K239" s="1322" t="str">
        <f>IF($I$233="","",('Results Entry'!$AF18&amp;signum2('Results Entry'!AG18,SigFig1,SigFig2,'Results Entry'!$AF18)))</f>
        <v/>
      </c>
      <c r="L239" s="1321"/>
      <c r="M239" s="1322"/>
      <c r="N239" s="1272"/>
      <c r="O239" s="1319">
        <f t="shared" si="8"/>
        <v>0</v>
      </c>
      <c r="P239" s="1319">
        <f t="shared" si="9"/>
        <v>0</v>
      </c>
    </row>
    <row r="240" spans="1:16" ht="12.75" hidden="1" customHeight="1">
      <c r="A240" s="1297" t="str">
        <f>IF('Non-Isokinetic'!A10=0,"",'Non-Isokinetic'!A10)</f>
        <v/>
      </c>
      <c r="B240" s="1298"/>
      <c r="C240" s="1321" t="str">
        <f>IF($C$233="","",('Results Entry'!$AA19&amp;signum2('Results Entry'!AB19,SigFig1,SigFig2,'Results Entry'!$AA19)))</f>
        <v/>
      </c>
      <c r="D240" s="1273" t="str">
        <f>IF($C$233="","",('Results Entry'!$AA19&amp;signum2('Results Entry'!AC19,SigFig1,SigFig2,'Results Entry'!$AA19)))</f>
        <v/>
      </c>
      <c r="E240" s="1322" t="str">
        <f>IF($C$233="","",('Results Entry'!AH19&amp;signum2('Results Entry'!AI19,SigFig1,SigFig2,'Results Entry'!AH19)))</f>
        <v/>
      </c>
      <c r="F240" s="2213" t="str">
        <f>IF($F$233="","",('Results Entry'!$U19&amp;signum2('Results Entry'!V19,SigFig1,SigFig2,'Results Entry'!$U19)))</f>
        <v/>
      </c>
      <c r="G240" s="1273" t="str">
        <f>IF($F$233="","",('Results Entry'!$U19&amp;signum2('Results Entry'!W19,SigFig1,SigFig2,'Results Entry'!$U19)))</f>
        <v/>
      </c>
      <c r="H240" s="2329" t="str">
        <f>IF($F$233="","",('Results Entry'!AD19&amp;signum2('Results Entry'!AE19,SigFig1,SigFig2,'Results Entry'!AD19)))</f>
        <v/>
      </c>
      <c r="I240" s="1321" t="str">
        <f>IF($I$233="","",('Results Entry'!$X19&amp;signum2('Results Entry'!Y19,SigFig1,SigFig2,'Results Entry'!$X19)))</f>
        <v/>
      </c>
      <c r="J240" s="1273" t="str">
        <f>IF($I$233="","",('Results Entry'!$X19&amp;signum2('Results Entry'!Z19,SigFig1,SigFig2,'Results Entry'!$X19)))</f>
        <v/>
      </c>
      <c r="K240" s="1322" t="str">
        <f>IF($I$233="","",('Results Entry'!$AF19&amp;signum2('Results Entry'!AG19,SigFig1,SigFig2,'Results Entry'!$AF19)))</f>
        <v/>
      </c>
      <c r="L240" s="1321"/>
      <c r="M240" s="1322"/>
      <c r="N240" s="1272"/>
      <c r="O240" s="1319">
        <f t="shared" si="8"/>
        <v>0</v>
      </c>
      <c r="P240" s="1319">
        <f t="shared" si="9"/>
        <v>0</v>
      </c>
    </row>
    <row r="241" spans="1:16" ht="12.75" hidden="1" customHeight="1">
      <c r="A241" s="1297" t="str">
        <f>IF('Non-Isokinetic'!A11=0,"",'Non-Isokinetic'!A11)</f>
        <v/>
      </c>
      <c r="B241" s="1298"/>
      <c r="C241" s="1321" t="str">
        <f>IF($C$233="","",('Results Entry'!$AA20&amp;signum2('Results Entry'!AB20,SigFig1,SigFig2,'Results Entry'!$AA20)))</f>
        <v/>
      </c>
      <c r="D241" s="1273" t="str">
        <f>IF($C$233="","",('Results Entry'!$AA20&amp;signum2('Results Entry'!AC20,SigFig1,SigFig2,'Results Entry'!$AA20)))</f>
        <v/>
      </c>
      <c r="E241" s="1322" t="str">
        <f>IF($C$233="","",('Results Entry'!AH20&amp;signum2('Results Entry'!AI20,SigFig1,SigFig2,'Results Entry'!AH20)))</f>
        <v/>
      </c>
      <c r="F241" s="2213" t="str">
        <f>IF($F$233="","",('Results Entry'!$U20&amp;signum2('Results Entry'!V20,SigFig1,SigFig2,'Results Entry'!$U20)))</f>
        <v/>
      </c>
      <c r="G241" s="1273" t="str">
        <f>IF($F$233="","",('Results Entry'!$U20&amp;signum2('Results Entry'!W20,SigFig1,SigFig2,'Results Entry'!$U20)))</f>
        <v/>
      </c>
      <c r="H241" s="2329" t="str">
        <f>IF($F$233="","",('Results Entry'!AD20&amp;signum2('Results Entry'!AE20,SigFig1,SigFig2,'Results Entry'!AD20)))</f>
        <v/>
      </c>
      <c r="I241" s="1321" t="str">
        <f>IF($I$233="","",('Results Entry'!$X20&amp;signum2('Results Entry'!Y20,SigFig1,SigFig2,'Results Entry'!$X20)))</f>
        <v/>
      </c>
      <c r="J241" s="1273" t="str">
        <f>IF($I$233="","",('Results Entry'!$X20&amp;signum2('Results Entry'!Z20,SigFig1,SigFig2,'Results Entry'!$X20)))</f>
        <v/>
      </c>
      <c r="K241" s="1322" t="str">
        <f>IF($I$233="","",('Results Entry'!$AF20&amp;signum2('Results Entry'!AG20,SigFig1,SigFig2,'Results Entry'!$AF20)))</f>
        <v/>
      </c>
      <c r="L241" s="1321"/>
      <c r="M241" s="1322"/>
      <c r="N241" s="1272"/>
      <c r="O241" s="1319">
        <f t="shared" si="8"/>
        <v>0</v>
      </c>
      <c r="P241" s="1319">
        <f t="shared" si="9"/>
        <v>0</v>
      </c>
    </row>
    <row r="242" spans="1:16" ht="12.75" hidden="1" customHeight="1">
      <c r="A242" s="1297" t="str">
        <f>IF('Non-Isokinetic'!A12=0,"",'Non-Isokinetic'!A12)</f>
        <v/>
      </c>
      <c r="B242" s="1298"/>
      <c r="C242" s="2342" t="str">
        <f>IF($C$233="","",('Results Entry'!$AA21&amp;signum2('Results Entry'!AB21,SigFig1,SigFig2,'Results Entry'!$AA21)))</f>
        <v/>
      </c>
      <c r="D242" s="2343" t="str">
        <f>IF($C$233="","",('Results Entry'!$AA21&amp;signum2('Results Entry'!AC21,SigFig1,SigFig2,'Results Entry'!$AA21)))</f>
        <v/>
      </c>
      <c r="E242" s="2344" t="str">
        <f>IF($C$233="","",('Results Entry'!AH21&amp;signum2('Results Entry'!AI21,SigFig1,SigFig2,'Results Entry'!AH21)))</f>
        <v/>
      </c>
      <c r="F242" s="2342" t="str">
        <f>IF($F$233="","",('Results Entry'!$U21&amp;signum2('Results Entry'!V21,SigFig1,SigFig2,'Results Entry'!$U21)))</f>
        <v/>
      </c>
      <c r="G242" s="2343" t="str">
        <f>IF($F$233="","",('Results Entry'!$U21&amp;signum2('Results Entry'!W21,SigFig1,SigFig2,'Results Entry'!$U21)))</f>
        <v/>
      </c>
      <c r="H242" s="2344" t="str">
        <f>IF($F$233="","",('Results Entry'!AD21&amp;signum2('Results Entry'!AE21,SigFig1,SigFig2,'Results Entry'!AD21)))</f>
        <v/>
      </c>
      <c r="I242" s="2342" t="str">
        <f>IF($I$233="","",('Results Entry'!$X21&amp;signum2('Results Entry'!Y21,SigFig1,SigFig2,'Results Entry'!$X21)))</f>
        <v/>
      </c>
      <c r="J242" s="2343" t="str">
        <f>IF($I$233="","",('Results Entry'!$X21&amp;signum2('Results Entry'!Z21,SigFig1,SigFig2,'Results Entry'!$X21)))</f>
        <v/>
      </c>
      <c r="K242" s="2344" t="str">
        <f>IF($I$233="","",('Results Entry'!$AF21&amp;signum2('Results Entry'!AG21,SigFig1,SigFig2,'Results Entry'!$AF21)))</f>
        <v/>
      </c>
      <c r="L242" s="1321"/>
      <c r="M242" s="1322"/>
      <c r="N242" s="1272"/>
      <c r="O242" s="1319">
        <f t="shared" si="8"/>
        <v>0</v>
      </c>
      <c r="P242" s="1319">
        <f t="shared" si="9"/>
        <v>0</v>
      </c>
    </row>
    <row r="243" spans="1:16" ht="12.75" hidden="1" customHeight="1">
      <c r="A243" s="1297" t="str">
        <f>IF('Non-Isokinetic'!A13=0,"",'Non-Isokinetic'!A13)</f>
        <v/>
      </c>
      <c r="B243" s="1298"/>
      <c r="C243" s="2342" t="str">
        <f>IF($C$233="","",('Results Entry'!$AA22&amp;signum2('Results Entry'!AB22,SigFig1,SigFig2,'Results Entry'!$AA22)))</f>
        <v/>
      </c>
      <c r="D243" s="2343" t="str">
        <f>IF($C$233="","",('Results Entry'!$AA22&amp;signum2('Results Entry'!AC22,SigFig1,SigFig2,'Results Entry'!$AA22)))</f>
        <v/>
      </c>
      <c r="E243" s="2344" t="str">
        <f>IF($C$233="","",('Results Entry'!AH22&amp;signum2('Results Entry'!AI22,SigFig1,SigFig2,'Results Entry'!AH22)))</f>
        <v/>
      </c>
      <c r="F243" s="2342" t="str">
        <f>IF($F$233="","",('Results Entry'!$U22&amp;signum2('Results Entry'!V22,SigFig1,SigFig2,'Results Entry'!$U22)))</f>
        <v/>
      </c>
      <c r="G243" s="2343" t="str">
        <f>IF($F$233="","",('Results Entry'!$U22&amp;signum2('Results Entry'!W22,SigFig1,SigFig2,'Results Entry'!$U22)))</f>
        <v/>
      </c>
      <c r="H243" s="2344" t="str">
        <f>IF($F$233="","",('Results Entry'!AD22&amp;signum2('Results Entry'!AE22,SigFig1,SigFig2,'Results Entry'!AD22)))</f>
        <v/>
      </c>
      <c r="I243" s="2342" t="str">
        <f>IF($I$233="","",('Results Entry'!$X22&amp;signum2('Results Entry'!Y22,SigFig1,SigFig2,'Results Entry'!$X22)))</f>
        <v/>
      </c>
      <c r="J243" s="2343" t="str">
        <f>IF($I$233="","",('Results Entry'!$X22&amp;signum2('Results Entry'!Z22,SigFig1,SigFig2,'Results Entry'!$X22)))</f>
        <v/>
      </c>
      <c r="K243" s="2344" t="str">
        <f>IF($I$233="","",('Results Entry'!$AF22&amp;signum2('Results Entry'!AG22,SigFig1,SigFig2,'Results Entry'!$AF22)))</f>
        <v/>
      </c>
      <c r="L243" s="2037"/>
      <c r="M243" s="2038"/>
      <c r="N243" s="1272"/>
      <c r="O243" s="2348"/>
      <c r="P243" s="2348"/>
    </row>
    <row r="244" spans="1:16" ht="12.75" hidden="1" customHeight="1">
      <c r="A244" s="1297" t="str">
        <f>IF('Non-Isokinetic'!A14=0,"",'Non-Isokinetic'!A14)</f>
        <v/>
      </c>
      <c r="B244" s="1298"/>
      <c r="C244" s="2342" t="str">
        <f>IF($C$233="","",('Results Entry'!$AA23&amp;signum2('Results Entry'!AB23,SigFig1,SigFig2,'Results Entry'!$AA23)))</f>
        <v/>
      </c>
      <c r="D244" s="2343" t="str">
        <f>IF($C$233="","",('Results Entry'!$AA23&amp;signum2('Results Entry'!AC23,SigFig1,SigFig2,'Results Entry'!$AA23)))</f>
        <v/>
      </c>
      <c r="E244" s="2344" t="str">
        <f>IF($C$233="","",('Results Entry'!AH23&amp;signum2('Results Entry'!AI23,SigFig1,SigFig2,'Results Entry'!AH23)))</f>
        <v/>
      </c>
      <c r="F244" s="2342" t="str">
        <f>IF($F$233="","",('Results Entry'!$U23&amp;signum2('Results Entry'!V23,SigFig1,SigFig2,'Results Entry'!$U23)))</f>
        <v/>
      </c>
      <c r="G244" s="2343" t="str">
        <f>IF($F$233="","",('Results Entry'!$U23&amp;signum2('Results Entry'!W23,SigFig1,SigFig2,'Results Entry'!$U23)))</f>
        <v/>
      </c>
      <c r="H244" s="2344" t="str">
        <f>IF($F$233="","",('Results Entry'!AD23&amp;signum2('Results Entry'!AE23,SigFig1,SigFig2,'Results Entry'!AD23)))</f>
        <v/>
      </c>
      <c r="I244" s="2342" t="str">
        <f>IF($I$233="","",('Results Entry'!$X23&amp;signum2('Results Entry'!Y23,SigFig1,SigFig2,'Results Entry'!$X23)))</f>
        <v/>
      </c>
      <c r="J244" s="2343" t="str">
        <f>IF($I$233="","",('Results Entry'!$X23&amp;signum2('Results Entry'!Z23,SigFig1,SigFig2,'Results Entry'!$X23)))</f>
        <v/>
      </c>
      <c r="K244" s="2344" t="str">
        <f>IF($I$233="","",('Results Entry'!$AF23&amp;signum2('Results Entry'!AG23,SigFig1,SigFig2,'Results Entry'!$AF23)))</f>
        <v/>
      </c>
      <c r="L244" s="2037"/>
      <c r="M244" s="2038"/>
      <c r="N244" s="1272"/>
      <c r="O244" s="2348"/>
      <c r="P244" s="2348"/>
    </row>
    <row r="245" spans="1:16" ht="12.75" hidden="1" customHeight="1">
      <c r="A245" s="1297" t="str">
        <f>IF('Non-Isokinetic'!A15=0,"",'Non-Isokinetic'!A15)</f>
        <v/>
      </c>
      <c r="B245" s="1298"/>
      <c r="C245" s="2342" t="str">
        <f>IF($C$233="","",('Results Entry'!$AA24&amp;signum2('Results Entry'!AB24,SigFig1,SigFig2,'Results Entry'!$AA24)))</f>
        <v/>
      </c>
      <c r="D245" s="2343" t="str">
        <f>IF($C$233="","",('Results Entry'!$AA24&amp;signum2('Results Entry'!AC24,SigFig1,SigFig2,'Results Entry'!$AA24)))</f>
        <v/>
      </c>
      <c r="E245" s="2344" t="str">
        <f>IF($C$233="","",('Results Entry'!AH24&amp;signum2('Results Entry'!AI24,SigFig1,SigFig2,'Results Entry'!AH24)))</f>
        <v/>
      </c>
      <c r="F245" s="2342" t="str">
        <f>IF($F$233="","",('Results Entry'!$U24&amp;signum2('Results Entry'!V24,SigFig1,SigFig2,'Results Entry'!$U24)))</f>
        <v/>
      </c>
      <c r="G245" s="2343" t="str">
        <f>IF($F$233="","",('Results Entry'!$U24&amp;signum2('Results Entry'!W24,SigFig1,SigFig2,'Results Entry'!$U24)))</f>
        <v/>
      </c>
      <c r="H245" s="2344" t="str">
        <f>IF($F$233="","",('Results Entry'!AD24&amp;signum2('Results Entry'!AE24,SigFig1,SigFig2,'Results Entry'!AD24)))</f>
        <v/>
      </c>
      <c r="I245" s="2342" t="str">
        <f>IF($I$233="","",('Results Entry'!$X24&amp;signum2('Results Entry'!Y24,SigFig1,SigFig2,'Results Entry'!$X24)))</f>
        <v/>
      </c>
      <c r="J245" s="2343" t="str">
        <f>IF($I$233="","",('Results Entry'!$X24&amp;signum2('Results Entry'!Z24,SigFig1,SigFig2,'Results Entry'!$X24)))</f>
        <v/>
      </c>
      <c r="K245" s="2344" t="str">
        <f>IF($I$233="","",('Results Entry'!$AF24&amp;signum2('Results Entry'!AG24,SigFig1,SigFig2,'Results Entry'!$AF24)))</f>
        <v/>
      </c>
      <c r="L245" s="1321"/>
      <c r="M245" s="1322"/>
      <c r="N245" s="1272"/>
      <c r="O245" s="1319">
        <f t="shared" si="8"/>
        <v>0</v>
      </c>
      <c r="P245" s="1319">
        <f t="shared" si="9"/>
        <v>0</v>
      </c>
    </row>
    <row r="246" spans="1:16" ht="12.75" hidden="1" customHeight="1">
      <c r="A246" s="1371" t="s">
        <v>41</v>
      </c>
      <c r="B246" s="1371" t="s">
        <v>41</v>
      </c>
      <c r="C246" s="1371" t="s">
        <v>41</v>
      </c>
      <c r="D246" s="1371" t="s">
        <v>41</v>
      </c>
      <c r="E246" s="1371" t="s">
        <v>41</v>
      </c>
      <c r="F246" s="1371" t="s">
        <v>41</v>
      </c>
      <c r="G246" s="1371" t="s">
        <v>41</v>
      </c>
      <c r="H246" s="1371" t="s">
        <v>41</v>
      </c>
      <c r="I246" s="1371" t="s">
        <v>41</v>
      </c>
      <c r="J246" s="1371" t="s">
        <v>41</v>
      </c>
      <c r="K246" s="1371" t="s">
        <v>41</v>
      </c>
      <c r="L246" s="1325" t="s">
        <v>41</v>
      </c>
      <c r="M246" s="1325" t="s">
        <v>41</v>
      </c>
      <c r="N246" s="1272"/>
    </row>
    <row r="247" spans="1:16" ht="12.75" hidden="1" customHeight="1">
      <c r="A247" s="1295" t="str">
        <f>IF('Non-Isokinetic'!A19="","",'Non-Isokinetic'!A19)</f>
        <v/>
      </c>
      <c r="B247" s="1284"/>
      <c r="C247" s="2522" t="str">
        <f>IF(A247="","",IF(OR(TestReport="All",TestReport="Average only"),"Average",""))</f>
        <v/>
      </c>
      <c r="D247" s="2523" t="str">
        <f>IF(OR(TestReport="Test 2 only",TestReport="Tests 1 &amp; 2"),"Test 2","")</f>
        <v/>
      </c>
      <c r="E247" s="2524" t="str">
        <f>IF(OR(TestReport="Test 2 only",TestReport="Tests 1 &amp; 2"),"Test 2","")</f>
        <v/>
      </c>
      <c r="F247" s="2522" t="str">
        <f>IF(A247="","",IF(OR(TestReport="Test 2 only",TestReport="Average only"),"",IF(TestReport="Test 1 only","Results","Test 1")))</f>
        <v/>
      </c>
      <c r="G247" s="2523" t="str">
        <f>IF(OR(TestReport="Test 1 only",TestReport="Tests 1 &amp; 2"),"Test 1","")</f>
        <v/>
      </c>
      <c r="H247" s="2524" t="str">
        <f>IF(OR(TestReport="Test 1 only",TestReport="Tests 1 &amp; 2"),"Test 1","")</f>
        <v/>
      </c>
      <c r="I247" s="2522" t="str">
        <f>IF(A247="","",IF(OR(TestReport="Test 1 only",TestReport="Average only"),"",IF(TestReport="Test 2 only","Results","Test 2")))</f>
        <v/>
      </c>
      <c r="J247" s="2523" t="str">
        <f>IF(OR(TestReport="Test 1 only",TestReport="Tests 1 &amp; 2"),"Test 1","")</f>
        <v/>
      </c>
      <c r="K247" s="2524" t="str">
        <f>IF(OR(TestReport="Test 1 only",TestReport="Tests 1 &amp; 2"),"Test 1","")</f>
        <v/>
      </c>
      <c r="L247" s="2519" t="s">
        <v>62</v>
      </c>
      <c r="M247" s="2520"/>
      <c r="N247" s="1272"/>
      <c r="O247" s="2521" t="s">
        <v>369</v>
      </c>
      <c r="P247" s="2521"/>
    </row>
    <row r="248" spans="1:16" ht="12.75" hidden="1" customHeight="1">
      <c r="A248" s="1288"/>
      <c r="B248" s="1289" t="str">
        <f>IF(A247="","","Sampling time")</f>
        <v/>
      </c>
      <c r="C248" s="1273"/>
      <c r="D248" s="1317"/>
      <c r="E248" s="1322"/>
      <c r="F248" s="2534" t="str">
        <f>IF(F$247="","",(IF('Non-Isokinetic'!C21="","",'Non-Isokinetic'!C21&amp;"-"&amp;'Non-Isokinetic'!C22)))</f>
        <v/>
      </c>
      <c r="G248" s="2535"/>
      <c r="H248" s="2536"/>
      <c r="I248" s="2534" t="str">
        <f>IF(I$247="","",(IF('Non-Isokinetic'!D21="","",'Non-Isokinetic'!D21&amp;"-"&amp;'Non-Isokinetic'!D22)))</f>
        <v/>
      </c>
      <c r="J248" s="2535"/>
      <c r="K248" s="2536"/>
      <c r="L248" s="1321"/>
      <c r="M248" s="1322"/>
      <c r="N248" s="1272"/>
    </row>
    <row r="249" spans="1:16" ht="12.75" hidden="1" customHeight="1">
      <c r="A249" s="1294"/>
      <c r="B249" s="1318"/>
      <c r="C249" s="1316" t="str">
        <f>IF(C$247="","","Concentration")</f>
        <v/>
      </c>
      <c r="D249" s="1317" t="str">
        <f>IF(C$247="","",O2CO2)</f>
        <v/>
      </c>
      <c r="E249" s="1318" t="str">
        <f>IF(C$247="","","Mass Rate")</f>
        <v/>
      </c>
      <c r="F249" s="1316" t="str">
        <f>IF(F$247="","","Concentration")</f>
        <v/>
      </c>
      <c r="G249" s="1317" t="str">
        <f>IF(F$247="","",O2CO2)</f>
        <v/>
      </c>
      <c r="H249" s="1318" t="str">
        <f>IF(F$247="","","Mass Rate")</f>
        <v/>
      </c>
      <c r="I249" s="1316" t="str">
        <f>IF(I$247="","","Concentration")</f>
        <v/>
      </c>
      <c r="J249" s="1317" t="str">
        <f>IF(I$247="","",O2CO2)</f>
        <v/>
      </c>
      <c r="K249" s="1318" t="str">
        <f>IF(I$247="","","Mass Rate")</f>
        <v/>
      </c>
      <c r="L249" s="1321"/>
      <c r="M249" s="1322"/>
      <c r="N249" s="1272"/>
      <c r="O249" s="1291" t="s">
        <v>367</v>
      </c>
      <c r="P249" s="1291" t="s">
        <v>368</v>
      </c>
    </row>
    <row r="250" spans="1:16" ht="12.75" hidden="1" customHeight="1">
      <c r="A250" s="1294"/>
      <c r="B250" s="1296"/>
      <c r="C250" s="2331" t="str">
        <f>IF(C$247="","",CU)</f>
        <v/>
      </c>
      <c r="D250" s="1314" t="str">
        <f>IF(C$247="","",CU)</f>
        <v/>
      </c>
      <c r="E250" s="1315" t="str">
        <f>IF(C$247="","",MRU)</f>
        <v/>
      </c>
      <c r="F250" s="1313" t="str">
        <f>IF(F$247="","",CU)</f>
        <v/>
      </c>
      <c r="G250" s="1314" t="str">
        <f>IF(F$247="","",CU)</f>
        <v/>
      </c>
      <c r="H250" s="1315" t="str">
        <f>IF(F$247="","",MRU)</f>
        <v/>
      </c>
      <c r="I250" s="1313" t="str">
        <f>IF(I$247="","",CU)</f>
        <v/>
      </c>
      <c r="J250" s="1314" t="str">
        <f>IF(I$247="","",CU)</f>
        <v/>
      </c>
      <c r="K250" s="1315" t="str">
        <f>IF(I$247="","",MRU)</f>
        <v/>
      </c>
      <c r="L250" s="1313" t="str">
        <f>CU</f>
        <v>mg/m³</v>
      </c>
      <c r="M250" s="1315" t="str">
        <f>MRU</f>
        <v>g/min</v>
      </c>
      <c r="N250" s="1272"/>
      <c r="O250" s="1291" t="str">
        <f>CU</f>
        <v>mg/m³</v>
      </c>
      <c r="P250" s="1291" t="str">
        <f>MRU</f>
        <v>g/min</v>
      </c>
    </row>
    <row r="251" spans="1:16" ht="12.75" hidden="1" customHeight="1">
      <c r="A251" s="1297" t="str">
        <f>IF('Non-Isokinetic'!A21=0,"",'Non-Isokinetic'!A21)</f>
        <v/>
      </c>
      <c r="B251" s="1298"/>
      <c r="C251" s="1321" t="str">
        <f>IF($C$247="","",('Results Entry'!$AA33&amp;signum2('Results Entry'!AB33,SigFig1,SigFig2,'Results Entry'!$AA33)))</f>
        <v/>
      </c>
      <c r="D251" s="1273" t="str">
        <f>IF($C$247="","",('Results Entry'!$AA33&amp;signum2('Results Entry'!AC33,SigFig1,SigFig2,'Results Entry'!$AA33)))</f>
        <v/>
      </c>
      <c r="E251" s="1322" t="str">
        <f>IF($C$247="","",('Results Entry'!AH33&amp;signum2('Results Entry'!AI33,SigFig1,SigFig2,'Results Entry'!AH33)))</f>
        <v/>
      </c>
      <c r="F251" s="1321" t="str">
        <f>IF($F$247="","",('Results Entry'!$U33&amp;signum2('Results Entry'!V33,SigFig1,SigFig2,'Results Entry'!$U33)))</f>
        <v/>
      </c>
      <c r="G251" s="1273" t="str">
        <f>IF($F$247="","",('Results Entry'!$U33&amp;signum2('Results Entry'!W33,SigFig1,SigFig2,'Results Entry'!$U33)))</f>
        <v/>
      </c>
      <c r="H251" s="1322" t="str">
        <f>IF($F$247="","",('Results Entry'!AD33&amp;signum2('Results Entry'!AE33,SigFig1,SigFig2,'Results Entry'!AD33)))</f>
        <v/>
      </c>
      <c r="I251" s="1321" t="str">
        <f>IF($I$261="","",('Results Entry'!$X33&amp;signum2('Results Entry'!Y33,SigFig1,SigFig2,'Results Entry'!$X33)))</f>
        <v/>
      </c>
      <c r="J251" s="1273" t="str">
        <f>IF($I$261="","",('Results Entry'!$X33&amp;signum2('Results Entry'!Z33,SigFig1,SigFig2,'Results Entry'!$X33)))</f>
        <v/>
      </c>
      <c r="K251" s="1322" t="str">
        <f>IF($I$261="","",('Results Entry'!$AF33&amp;signum2('Results Entry'!AG33,SigFig1,SigFig2,'Results Entry'!$AF33)))</f>
        <v/>
      </c>
      <c r="L251" s="1321"/>
      <c r="M251" s="1322"/>
      <c r="N251" s="1272"/>
      <c r="O251" s="1319">
        <f>MAX(IF(ISERROR(VALUE($C251)),0,VALUE($C251)),IF(ISERROR(VALUE($F251)),0,VALUE($F251)),IF(ISERROR(VALUE($I251)),0,VALUE($I251)))</f>
        <v>0</v>
      </c>
      <c r="P251" s="1319">
        <f>MAX(IF(ISERROR(VALUE($E251)),0,VALUE($E251)),IF(ISERROR(VALUE($H251)),0,VALUE($H251)),IF(ISERROR(VALUE($K251)),0,VALUE($K251)))</f>
        <v>0</v>
      </c>
    </row>
    <row r="252" spans="1:16" ht="12.75" hidden="1" customHeight="1">
      <c r="A252" s="1297" t="str">
        <f>IF('Non-Isokinetic'!A22=0,"",'Non-Isokinetic'!A22)</f>
        <v/>
      </c>
      <c r="B252" s="1298"/>
      <c r="C252" s="2342" t="str">
        <f>IF($C$247="","",('Results Entry'!$AA34&amp;signum2('Results Entry'!AB34,SigFig1,SigFig2,'Results Entry'!$AA34)))</f>
        <v/>
      </c>
      <c r="D252" s="2343" t="str">
        <f>IF($C$247="","",('Results Entry'!$AA34&amp;signum2('Results Entry'!AC34,SigFig1,SigFig2,'Results Entry'!$AA34)))</f>
        <v/>
      </c>
      <c r="E252" s="2344" t="str">
        <f>IF($C$247="","",('Results Entry'!AH34&amp;signum2('Results Entry'!AI34,SigFig1,SigFig2,'Results Entry'!AH34)))</f>
        <v/>
      </c>
      <c r="F252" s="2342" t="str">
        <f>IF($F$247="","",('Results Entry'!$U34&amp;signum2('Results Entry'!V34,SigFig1,SigFig2,'Results Entry'!$U34)))</f>
        <v/>
      </c>
      <c r="G252" s="2343" t="str">
        <f>IF($F$247="","",('Results Entry'!$U34&amp;signum2('Results Entry'!W34,SigFig1,SigFig2,'Results Entry'!$U34)))</f>
        <v/>
      </c>
      <c r="H252" s="2344" t="str">
        <f>IF($F$247="","",('Results Entry'!AD34&amp;signum2('Results Entry'!AE34,SigFig1,SigFig2,'Results Entry'!AD34)))</f>
        <v/>
      </c>
      <c r="I252" s="2342" t="str">
        <f>IF($I$261="","",('Results Entry'!$X34&amp;signum2('Results Entry'!Y34,SigFig1,SigFig2,'Results Entry'!$X34)))</f>
        <v/>
      </c>
      <c r="J252" s="2343" t="str">
        <f>IF($I$261="","",('Results Entry'!$X34&amp;signum2('Results Entry'!Z34,SigFig1,SigFig2,'Results Entry'!$X34)))</f>
        <v/>
      </c>
      <c r="K252" s="2344" t="str">
        <f>IF($I$261="","",('Results Entry'!$AF34&amp;signum2('Results Entry'!AG34,SigFig1,SigFig2,'Results Entry'!$AF34)))</f>
        <v/>
      </c>
      <c r="L252" s="1321"/>
      <c r="M252" s="1322"/>
      <c r="N252" s="1272"/>
      <c r="O252" s="1319">
        <f t="shared" ref="O252:O259" si="10">MAX(IF(ISERROR(VALUE($C252)),0,VALUE($C252)),IF(ISERROR(VALUE($F252)),0,VALUE($F252)),IF(ISERROR(VALUE($I252)),0,VALUE($I252)))</f>
        <v>0</v>
      </c>
      <c r="P252" s="1319">
        <f t="shared" ref="P252:P259" si="11">MAX(IF(ISERROR(VALUE($E252)),0,VALUE($E252)),IF(ISERROR(VALUE($H252)),0,VALUE($H252)),IF(ISERROR(VALUE($K252)),0,VALUE($K252)))</f>
        <v>0</v>
      </c>
    </row>
    <row r="253" spans="1:16" ht="12.75" hidden="1" customHeight="1">
      <c r="A253" s="1297" t="str">
        <f>IF('Non-Isokinetic'!A23=0,"",'Non-Isokinetic'!A23)</f>
        <v/>
      </c>
      <c r="B253" s="1298"/>
      <c r="C253" s="2342" t="str">
        <f>IF($C$247="","",('Results Entry'!$AA35&amp;signum2('Results Entry'!AB35,SigFig1,SigFig2,'Results Entry'!$AA35)))</f>
        <v/>
      </c>
      <c r="D253" s="2343" t="str">
        <f>IF($C$247="","",('Results Entry'!$AA35&amp;signum2('Results Entry'!AC35,SigFig1,SigFig2,'Results Entry'!$AA35)))</f>
        <v/>
      </c>
      <c r="E253" s="2344" t="str">
        <f>IF($C$247="","",('Results Entry'!AH35&amp;signum2('Results Entry'!AI35,SigFig1,SigFig2,'Results Entry'!AH35)))</f>
        <v/>
      </c>
      <c r="F253" s="2342" t="str">
        <f>IF($F$247="","",('Results Entry'!$U35&amp;signum2('Results Entry'!V35,SigFig1,SigFig2,'Results Entry'!$U35)))</f>
        <v/>
      </c>
      <c r="G253" s="2343" t="str">
        <f>IF($F$247="","",('Results Entry'!$U35&amp;signum2('Results Entry'!W35,SigFig1,SigFig2,'Results Entry'!$U35)))</f>
        <v/>
      </c>
      <c r="H253" s="2344" t="str">
        <f>IF($F$247="","",('Results Entry'!AD35&amp;signum2('Results Entry'!AE35,SigFig1,SigFig2,'Results Entry'!AD35)))</f>
        <v/>
      </c>
      <c r="I253" s="2342" t="str">
        <f>IF($I$261="","",('Results Entry'!$X35&amp;signum2('Results Entry'!Y35,SigFig1,SigFig2,'Results Entry'!$X35)))</f>
        <v/>
      </c>
      <c r="J253" s="2343" t="str">
        <f>IF($I$261="","",('Results Entry'!$X35&amp;signum2('Results Entry'!Z35,SigFig1,SigFig2,'Results Entry'!$X35)))</f>
        <v/>
      </c>
      <c r="K253" s="2344" t="str">
        <f>IF($I$261="","",('Results Entry'!$AF35&amp;signum2('Results Entry'!AG35,SigFig1,SigFig2,'Results Entry'!$AF35)))</f>
        <v/>
      </c>
      <c r="L253" s="1321"/>
      <c r="M253" s="1322"/>
      <c r="N253" s="1272"/>
      <c r="O253" s="1319">
        <f t="shared" si="10"/>
        <v>0</v>
      </c>
      <c r="P253" s="1319">
        <f t="shared" si="11"/>
        <v>0</v>
      </c>
    </row>
    <row r="254" spans="1:16" ht="12.75" hidden="1" customHeight="1">
      <c r="A254" s="1297" t="str">
        <f>IF('Non-Isokinetic'!A24=0,"",'Non-Isokinetic'!A24)</f>
        <v/>
      </c>
      <c r="B254" s="1298"/>
      <c r="C254" s="2342" t="str">
        <f>IF($C$247="","",('Results Entry'!$AA36&amp;signum2('Results Entry'!AB36,SigFig1,SigFig2,'Results Entry'!$AA36)))</f>
        <v/>
      </c>
      <c r="D254" s="2343" t="str">
        <f>IF($C$247="","",('Results Entry'!$AA36&amp;signum2('Results Entry'!AC36,SigFig1,SigFig2,'Results Entry'!$AA36)))</f>
        <v/>
      </c>
      <c r="E254" s="2344" t="str">
        <f>IF($C$247="","",('Results Entry'!AH36&amp;signum2('Results Entry'!AI36,SigFig1,SigFig2,'Results Entry'!AH36)))</f>
        <v/>
      </c>
      <c r="F254" s="2342" t="str">
        <f>IF($F$247="","",('Results Entry'!$U36&amp;signum2('Results Entry'!V36,SigFig1,SigFig2,'Results Entry'!$U36)))</f>
        <v/>
      </c>
      <c r="G254" s="2343" t="str">
        <f>IF($F$247="","",('Results Entry'!$U36&amp;signum2('Results Entry'!W36,SigFig1,SigFig2,'Results Entry'!$U36)))</f>
        <v/>
      </c>
      <c r="H254" s="2344" t="str">
        <f>IF($F$247="","",('Results Entry'!AD36&amp;signum2('Results Entry'!AE36,SigFig1,SigFig2,'Results Entry'!AD36)))</f>
        <v/>
      </c>
      <c r="I254" s="2342" t="str">
        <f>IF($I$261="","",('Results Entry'!$X36&amp;signum2('Results Entry'!Y36,SigFig1,SigFig2,'Results Entry'!$X36)))</f>
        <v/>
      </c>
      <c r="J254" s="2343" t="str">
        <f>IF($I$261="","",('Results Entry'!$X36&amp;signum2('Results Entry'!Z36,SigFig1,SigFig2,'Results Entry'!$X36)))</f>
        <v/>
      </c>
      <c r="K254" s="2344" t="str">
        <f>IF($I$261="","",('Results Entry'!$AF36&amp;signum2('Results Entry'!AG36,SigFig1,SigFig2,'Results Entry'!$AF36)))</f>
        <v/>
      </c>
      <c r="L254" s="1321"/>
      <c r="M254" s="1322"/>
      <c r="N254" s="1272"/>
      <c r="O254" s="1319">
        <f t="shared" si="10"/>
        <v>0</v>
      </c>
      <c r="P254" s="1319">
        <f t="shared" si="11"/>
        <v>0</v>
      </c>
    </row>
    <row r="255" spans="1:16" ht="12.75" hidden="1" customHeight="1">
      <c r="A255" s="1297" t="str">
        <f>IF('Non-Isokinetic'!A25=0,"",'Non-Isokinetic'!A25)</f>
        <v/>
      </c>
      <c r="B255" s="1298"/>
      <c r="C255" s="2342" t="str">
        <f>IF($C$247="","",('Results Entry'!$AA37&amp;signum2('Results Entry'!AB37,SigFig1,SigFig2,'Results Entry'!$AA37)))</f>
        <v/>
      </c>
      <c r="D255" s="2343" t="str">
        <f>IF($C$247="","",('Results Entry'!$AA37&amp;signum2('Results Entry'!AC37,SigFig1,SigFig2,'Results Entry'!$AA37)))</f>
        <v/>
      </c>
      <c r="E255" s="2344" t="str">
        <f>IF($C$247="","",('Results Entry'!AH37&amp;signum2('Results Entry'!AI37,SigFig1,SigFig2,'Results Entry'!AH37)))</f>
        <v/>
      </c>
      <c r="F255" s="2342" t="str">
        <f>IF($F$247="","",('Results Entry'!$U37&amp;signum2('Results Entry'!V37,SigFig1,SigFig2,'Results Entry'!$U37)))</f>
        <v/>
      </c>
      <c r="G255" s="2343" t="str">
        <f>IF($F$247="","",('Results Entry'!$U37&amp;signum2('Results Entry'!W37,SigFig1,SigFig2,'Results Entry'!$U37)))</f>
        <v/>
      </c>
      <c r="H255" s="2344" t="str">
        <f>IF($F$247="","",('Results Entry'!AD37&amp;signum2('Results Entry'!AE37,SigFig1,SigFig2,'Results Entry'!AD37)))</f>
        <v/>
      </c>
      <c r="I255" s="2342" t="str">
        <f>IF($I$261="","",('Results Entry'!$X37&amp;signum2('Results Entry'!Y37,SigFig1,SigFig2,'Results Entry'!$X37)))</f>
        <v/>
      </c>
      <c r="J255" s="2343" t="str">
        <f>IF($I$261="","",('Results Entry'!$X37&amp;signum2('Results Entry'!Z37,SigFig1,SigFig2,'Results Entry'!$X37)))</f>
        <v/>
      </c>
      <c r="K255" s="2344" t="str">
        <f>IF($I$261="","",('Results Entry'!$AF37&amp;signum2('Results Entry'!AG37,SigFig1,SigFig2,'Results Entry'!$AF37)))</f>
        <v/>
      </c>
      <c r="L255" s="1321"/>
      <c r="M255" s="1322"/>
      <c r="N255" s="1272"/>
      <c r="O255" s="1319">
        <f t="shared" si="10"/>
        <v>0</v>
      </c>
      <c r="P255" s="1319">
        <f t="shared" si="11"/>
        <v>0</v>
      </c>
    </row>
    <row r="256" spans="1:16" ht="12.75" hidden="1" customHeight="1">
      <c r="A256" s="1297" t="str">
        <f>IF('Non-Isokinetic'!A26=0,"",'Non-Isokinetic'!A26)</f>
        <v/>
      </c>
      <c r="B256" s="1298"/>
      <c r="C256" s="2342" t="str">
        <f>IF($C$247="","",('Results Entry'!$AA38&amp;signum2('Results Entry'!AB38,SigFig1,SigFig2,'Results Entry'!$AA38)))</f>
        <v/>
      </c>
      <c r="D256" s="2343" t="str">
        <f>IF($C$247="","",('Results Entry'!$AA38&amp;signum2('Results Entry'!AC38,SigFig1,SigFig2,'Results Entry'!$AA38)))</f>
        <v/>
      </c>
      <c r="E256" s="2344" t="str">
        <f>IF($C$247="","",('Results Entry'!AH38&amp;signum2('Results Entry'!AI38,SigFig1,SigFig2,'Results Entry'!AH38)))</f>
        <v/>
      </c>
      <c r="F256" s="2342" t="str">
        <f>IF($F$247="","",('Results Entry'!$U38&amp;signum2('Results Entry'!V38,SigFig1,SigFig2,'Results Entry'!$U38)))</f>
        <v/>
      </c>
      <c r="G256" s="2343" t="str">
        <f>IF($F$247="","",('Results Entry'!$U38&amp;signum2('Results Entry'!W38,SigFig1,SigFig2,'Results Entry'!$U38)))</f>
        <v/>
      </c>
      <c r="H256" s="2344" t="str">
        <f>IF($F$247="","",('Results Entry'!AD38&amp;signum2('Results Entry'!AE38,SigFig1,SigFig2,'Results Entry'!AD38)))</f>
        <v/>
      </c>
      <c r="I256" s="2342" t="str">
        <f>IF($I$261="","",('Results Entry'!$X38&amp;signum2('Results Entry'!Y38,SigFig1,SigFig2,'Results Entry'!$X38)))</f>
        <v/>
      </c>
      <c r="J256" s="2343" t="str">
        <f>IF($I$261="","",('Results Entry'!$X38&amp;signum2('Results Entry'!Z38,SigFig1,SigFig2,'Results Entry'!$X38)))</f>
        <v/>
      </c>
      <c r="K256" s="2344" t="str">
        <f>IF($I$261="","",('Results Entry'!$AF38&amp;signum2('Results Entry'!AG38,SigFig1,SigFig2,'Results Entry'!$AF38)))</f>
        <v/>
      </c>
      <c r="L256" s="1321"/>
      <c r="M256" s="1322"/>
      <c r="N256" s="1272"/>
      <c r="O256" s="1319">
        <f t="shared" si="10"/>
        <v>0</v>
      </c>
      <c r="P256" s="1319">
        <f t="shared" si="11"/>
        <v>0</v>
      </c>
    </row>
    <row r="257" spans="1:16" ht="12.75" hidden="1" customHeight="1">
      <c r="A257" s="1297" t="str">
        <f>IF('Non-Isokinetic'!A27=0,"",'Non-Isokinetic'!A27)</f>
        <v/>
      </c>
      <c r="B257" s="1298"/>
      <c r="C257" s="2342" t="str">
        <f>IF($C$247="","",('Results Entry'!$AA39&amp;signum2('Results Entry'!AB39,SigFig1,SigFig2,'Results Entry'!$AA39)))</f>
        <v/>
      </c>
      <c r="D257" s="2343" t="str">
        <f>IF($C$247="","",('Results Entry'!$AA39&amp;signum2('Results Entry'!AC39,SigFig1,SigFig2,'Results Entry'!$AA39)))</f>
        <v/>
      </c>
      <c r="E257" s="2344" t="str">
        <f>IF($C$247="","",('Results Entry'!AH39&amp;signum2('Results Entry'!AI39,SigFig1,SigFig2,'Results Entry'!AH39)))</f>
        <v/>
      </c>
      <c r="F257" s="2342" t="str">
        <f>IF($F$247="","",('Results Entry'!$U39&amp;signum2('Results Entry'!V39,SigFig1,SigFig2,'Results Entry'!$U39)))</f>
        <v/>
      </c>
      <c r="G257" s="2343" t="str">
        <f>IF($F$247="","",('Results Entry'!$U39&amp;signum2('Results Entry'!W39,SigFig1,SigFig2,'Results Entry'!$U39)))</f>
        <v/>
      </c>
      <c r="H257" s="2344" t="str">
        <f>IF($F$247="","",('Results Entry'!AD39&amp;signum2('Results Entry'!AE39,SigFig1,SigFig2,'Results Entry'!AD39)))</f>
        <v/>
      </c>
      <c r="I257" s="2342" t="str">
        <f>IF($I$261="","",('Results Entry'!$X39&amp;signum2('Results Entry'!Y39,SigFig1,SigFig2,'Results Entry'!$X39)))</f>
        <v/>
      </c>
      <c r="J257" s="2343" t="str">
        <f>IF($I$261="","",('Results Entry'!$X39&amp;signum2('Results Entry'!Z39,SigFig1,SigFig2,'Results Entry'!$X39)))</f>
        <v/>
      </c>
      <c r="K257" s="2344" t="str">
        <f>IF($I$261="","",('Results Entry'!$AF39&amp;signum2('Results Entry'!AG39,SigFig1,SigFig2,'Results Entry'!$AF39)))</f>
        <v/>
      </c>
      <c r="L257" s="1321"/>
      <c r="M257" s="1322"/>
      <c r="N257" s="1272"/>
      <c r="O257" s="1319">
        <f t="shared" si="10"/>
        <v>0</v>
      </c>
      <c r="P257" s="1319">
        <f t="shared" si="11"/>
        <v>0</v>
      </c>
    </row>
    <row r="258" spans="1:16" ht="12.75" hidden="1" customHeight="1">
      <c r="A258" s="1297" t="str">
        <f>IF('Non-Isokinetic'!A28=0,"",'Non-Isokinetic'!A28)</f>
        <v/>
      </c>
      <c r="B258" s="1298"/>
      <c r="C258" s="2342" t="str">
        <f>IF($C$247="","",('Results Entry'!$AA40&amp;signum2('Results Entry'!AB40,SigFig1,SigFig2,'Results Entry'!$AA40)))</f>
        <v/>
      </c>
      <c r="D258" s="2343" t="str">
        <f>IF($C$247="","",('Results Entry'!$AA40&amp;signum2('Results Entry'!AC40,SigFig1,SigFig2,'Results Entry'!$AA40)))</f>
        <v/>
      </c>
      <c r="E258" s="2344" t="str">
        <f>IF($C$247="","",('Results Entry'!AH40&amp;signum2('Results Entry'!AI40,SigFig1,SigFig2,'Results Entry'!AH40)))</f>
        <v/>
      </c>
      <c r="F258" s="2342" t="str">
        <f>IF($F$247="","",('Results Entry'!$U40&amp;signum2('Results Entry'!V40,SigFig1,SigFig2,'Results Entry'!$U40)))</f>
        <v/>
      </c>
      <c r="G258" s="2343" t="str">
        <f>IF($F$247="","",('Results Entry'!$U40&amp;signum2('Results Entry'!W40,SigFig1,SigFig2,'Results Entry'!$U40)))</f>
        <v/>
      </c>
      <c r="H258" s="2344" t="str">
        <f>IF($F$247="","",('Results Entry'!AD40&amp;signum2('Results Entry'!AE40,SigFig1,SigFig2,'Results Entry'!AD40)))</f>
        <v/>
      </c>
      <c r="I258" s="2342" t="str">
        <f>IF($I$261="","",('Results Entry'!$X40&amp;signum2('Results Entry'!Y40,SigFig1,SigFig2,'Results Entry'!$X40)))</f>
        <v/>
      </c>
      <c r="J258" s="2343" t="str">
        <f>IF($I$261="","",('Results Entry'!$X40&amp;signum2('Results Entry'!Z40,SigFig1,SigFig2,'Results Entry'!$X40)))</f>
        <v/>
      </c>
      <c r="K258" s="2344" t="str">
        <f>IF($I$261="","",('Results Entry'!$AF40&amp;signum2('Results Entry'!AG40,SigFig1,SigFig2,'Results Entry'!$AF40)))</f>
        <v/>
      </c>
      <c r="L258" s="1321"/>
      <c r="M258" s="1322"/>
      <c r="N258" s="1272"/>
      <c r="O258" s="1319">
        <f t="shared" si="10"/>
        <v>0</v>
      </c>
      <c r="P258" s="1319">
        <f t="shared" si="11"/>
        <v>0</v>
      </c>
    </row>
    <row r="259" spans="1:16" ht="12.75" hidden="1" customHeight="1">
      <c r="A259" s="1299" t="str">
        <f>IF('Non-Isokinetic'!A29=0,"",'Non-Isokinetic'!A29)</f>
        <v/>
      </c>
      <c r="B259" s="1300"/>
      <c r="C259" s="2342" t="str">
        <f>IF($C$247="","",('Results Entry'!$AA41&amp;signum2('Results Entry'!AB41,SigFig1,SigFig2,'Results Entry'!$AA41)))</f>
        <v/>
      </c>
      <c r="D259" s="2343" t="str">
        <f>IF($C$247="","",('Results Entry'!$AA41&amp;signum2('Results Entry'!AC41,SigFig1,SigFig2,'Results Entry'!$AA41)))</f>
        <v/>
      </c>
      <c r="E259" s="2344" t="str">
        <f>IF($C$247="","",('Results Entry'!AH41&amp;signum2('Results Entry'!AI41,SigFig1,SigFig2,'Results Entry'!AH41)))</f>
        <v/>
      </c>
      <c r="F259" s="2342" t="str">
        <f>IF($F$247="","",('Results Entry'!$U41&amp;signum2('Results Entry'!V41,SigFig1,SigFig2,'Results Entry'!$U41)))</f>
        <v/>
      </c>
      <c r="G259" s="2343" t="str">
        <f>IF($F$247="","",('Results Entry'!$U41&amp;signum2('Results Entry'!W41,SigFig1,SigFig2,'Results Entry'!$U41)))</f>
        <v/>
      </c>
      <c r="H259" s="2344" t="str">
        <f>IF($F$247="","",('Results Entry'!AD41&amp;signum2('Results Entry'!AE41,SigFig1,SigFig2,'Results Entry'!AD41)))</f>
        <v/>
      </c>
      <c r="I259" s="2342" t="str">
        <f>IF($I$261="","",('Results Entry'!$X41&amp;signum2('Results Entry'!Y41,SigFig1,SigFig2,'Results Entry'!$X41)))</f>
        <v/>
      </c>
      <c r="J259" s="2343" t="str">
        <f>IF($I$261="","",('Results Entry'!$X41&amp;signum2('Results Entry'!Z41,SigFig1,SigFig2,'Results Entry'!$X41)))</f>
        <v/>
      </c>
      <c r="K259" s="2344" t="str">
        <f>IF($I$261="","",('Results Entry'!$AF41&amp;signum2('Results Entry'!AG41,SigFig1,SigFig2,'Results Entry'!$AF41)))</f>
        <v/>
      </c>
      <c r="L259" s="1321"/>
      <c r="M259" s="1322"/>
      <c r="N259" s="1272"/>
      <c r="O259" s="1319">
        <f t="shared" si="10"/>
        <v>0</v>
      </c>
      <c r="P259" s="1319">
        <f t="shared" si="11"/>
        <v>0</v>
      </c>
    </row>
    <row r="260" spans="1:16" ht="12.75" hidden="1" customHeight="1">
      <c r="A260" s="1371" t="s">
        <v>41</v>
      </c>
      <c r="B260" s="1371" t="s">
        <v>41</v>
      </c>
      <c r="C260" s="1371" t="s">
        <v>41</v>
      </c>
      <c r="D260" s="1371" t="s">
        <v>41</v>
      </c>
      <c r="E260" s="1371" t="s">
        <v>41</v>
      </c>
      <c r="F260" s="1371" t="s">
        <v>41</v>
      </c>
      <c r="G260" s="1371" t="s">
        <v>41</v>
      </c>
      <c r="H260" s="1371" t="s">
        <v>41</v>
      </c>
      <c r="I260" s="1371" t="s">
        <v>41</v>
      </c>
      <c r="J260" s="1371" t="s">
        <v>41</v>
      </c>
      <c r="K260" s="1371" t="s">
        <v>41</v>
      </c>
      <c r="L260" s="1325" t="s">
        <v>41</v>
      </c>
      <c r="M260" s="1325" t="s">
        <v>41</v>
      </c>
      <c r="N260" s="1272"/>
    </row>
    <row r="261" spans="1:16" ht="12.75" hidden="1" customHeight="1">
      <c r="A261" s="1295" t="str">
        <f>IF('Non-Isokinetic'!A33="","",'Non-Isokinetic'!A33)</f>
        <v/>
      </c>
      <c r="B261" s="1284"/>
      <c r="C261" s="2522" t="str">
        <f>IF(A261="","",IF(OR(TestReport="All",TestReport="Average only"),"Average",""))</f>
        <v/>
      </c>
      <c r="D261" s="2523" t="str">
        <f>IF(OR(TestReport="Test 2 only",TestReport="Tests 1 &amp; 2"),"Test 2","")</f>
        <v/>
      </c>
      <c r="E261" s="2524" t="str">
        <f>IF(OR(TestReport="Test 2 only",TestReport="Tests 1 &amp; 2"),"Test 2","")</f>
        <v/>
      </c>
      <c r="F261" s="2522" t="str">
        <f>IF(A261="","",IF(OR(TestReport="Test 2 only",TestReport="Average only"),"",IF(TestReport="Test 1 only","Results","Test 1")))</f>
        <v/>
      </c>
      <c r="G261" s="2523" t="str">
        <f>IF(OR(TestReport="Test 1 only",TestReport="Tests 1 &amp; 2"),"Test 1","")</f>
        <v/>
      </c>
      <c r="H261" s="2524" t="str">
        <f>IF(OR(TestReport="Test 1 only",TestReport="Tests 1 &amp; 2"),"Test 1","")</f>
        <v/>
      </c>
      <c r="I261" s="2522" t="str">
        <f>IF(A261="","",IF(OR(TestReport="Test 1 only",TestReport="Average only"),"",IF(TestReport="Test 2 only","Results","Test 2")))</f>
        <v/>
      </c>
      <c r="J261" s="2523" t="str">
        <f>IF(OR(TestReport="Test 1 only",TestReport="Tests 1 &amp; 2"),"Test 1","")</f>
        <v/>
      </c>
      <c r="K261" s="2524" t="str">
        <f>IF(OR(TestReport="Test 1 only",TestReport="Tests 1 &amp; 2"),"Test 1","")</f>
        <v/>
      </c>
      <c r="L261" s="2519" t="s">
        <v>62</v>
      </c>
      <c r="M261" s="2520"/>
      <c r="N261" s="1272"/>
      <c r="O261" s="2521" t="s">
        <v>369</v>
      </c>
      <c r="P261" s="2521"/>
    </row>
    <row r="262" spans="1:16" ht="12.75" hidden="1" customHeight="1">
      <c r="A262" s="1288"/>
      <c r="B262" s="1289" t="str">
        <f>IF(A261="","","Sampling time")</f>
        <v/>
      </c>
      <c r="C262" s="1273"/>
      <c r="D262" s="1317"/>
      <c r="E262" s="1322"/>
      <c r="F262" s="2534" t="str">
        <f>IF(F$261="","",(IF('Non-Isokinetic'!C35="","",'Non-Isokinetic'!C35&amp;"-"&amp;'Non-Isokinetic'!C36)))</f>
        <v/>
      </c>
      <c r="G262" s="2535"/>
      <c r="H262" s="2536"/>
      <c r="I262" s="2534" t="str">
        <f>IF(I$261="","",(IF('Non-Isokinetic'!D35="","",'Non-Isokinetic'!D35&amp;"-"&amp;'Non-Isokinetic'!D36)))</f>
        <v/>
      </c>
      <c r="J262" s="2535"/>
      <c r="K262" s="2536"/>
      <c r="L262" s="1321"/>
      <c r="M262" s="1322"/>
      <c r="N262" s="1272"/>
    </row>
    <row r="263" spans="1:16" ht="12.75" hidden="1" customHeight="1">
      <c r="A263" s="1294"/>
      <c r="B263" s="1318"/>
      <c r="C263" s="1316" t="str">
        <f>IF(C$261="","","Concentration")</f>
        <v/>
      </c>
      <c r="D263" s="1317" t="str">
        <f>IF(C$261="","",O2CO2)</f>
        <v/>
      </c>
      <c r="E263" s="1318" t="str">
        <f>IF(C$261="","","Mass Rate")</f>
        <v/>
      </c>
      <c r="F263" s="1316" t="str">
        <f>IF(F$261="","","Concentration")</f>
        <v/>
      </c>
      <c r="G263" s="1317" t="str">
        <f>IF(F$261="","",O2CO2)</f>
        <v/>
      </c>
      <c r="H263" s="1318" t="str">
        <f>IF(F$261="","","Mass Rate")</f>
        <v/>
      </c>
      <c r="I263" s="1316" t="str">
        <f>IF(I$261="","","Concentration")</f>
        <v/>
      </c>
      <c r="J263" s="1317" t="str">
        <f>IF(I$261="","",O2CO2)</f>
        <v/>
      </c>
      <c r="K263" s="1318" t="str">
        <f>IF(I$261="","","Mass Rate")</f>
        <v/>
      </c>
      <c r="L263" s="1321"/>
      <c r="M263" s="1322"/>
      <c r="N263" s="1272"/>
      <c r="O263" s="1291" t="s">
        <v>367</v>
      </c>
      <c r="P263" s="1291" t="s">
        <v>368</v>
      </c>
    </row>
    <row r="264" spans="1:16" ht="12.75" hidden="1" customHeight="1">
      <c r="A264" s="1294"/>
      <c r="B264" s="1296"/>
      <c r="C264" s="1313" t="str">
        <f>IF(C$261="","",CU)</f>
        <v/>
      </c>
      <c r="D264" s="1314" t="str">
        <f>IF(C$261="","",CU)</f>
        <v/>
      </c>
      <c r="E264" s="1315" t="str">
        <f>IF(C$261="","",MRU)</f>
        <v/>
      </c>
      <c r="F264" s="2345" t="str">
        <f>IF(F$261="","",CU)</f>
        <v/>
      </c>
      <c r="G264" s="1314" t="str">
        <f>IF(F$261="","",CU)</f>
        <v/>
      </c>
      <c r="H264" s="1315" t="str">
        <f>IF(F$261="","",MRU)</f>
        <v/>
      </c>
      <c r="I264" s="2345" t="str">
        <f>IF(I$261="","",CU)</f>
        <v/>
      </c>
      <c r="J264" s="1314" t="str">
        <f>IF(I$261="","",CU)</f>
        <v/>
      </c>
      <c r="K264" s="1315" t="str">
        <f>IF(I$261="","",MRU)</f>
        <v/>
      </c>
      <c r="L264" s="1313" t="str">
        <f>CU</f>
        <v>mg/m³</v>
      </c>
      <c r="M264" s="1315" t="str">
        <f>MRU</f>
        <v>g/min</v>
      </c>
      <c r="N264" s="1272"/>
      <c r="O264" s="1291" t="str">
        <f>CU</f>
        <v>mg/m³</v>
      </c>
      <c r="P264" s="1291" t="str">
        <f>MRU</f>
        <v>g/min</v>
      </c>
    </row>
    <row r="265" spans="1:16" ht="12.75" hidden="1" customHeight="1">
      <c r="A265" s="1297">
        <f>IF('Non-Isokinetic'!A35="","",'Non-Isokinetic'!A35)</f>
        <v>0</v>
      </c>
      <c r="B265" s="1298"/>
      <c r="C265" s="2342" t="str">
        <f>IF($C$261="","",('Results Entry'!$AA50&amp;signum2('Results Entry'!AB50,SigFig1,SigFig2,'Results Entry'!$AA50)))</f>
        <v/>
      </c>
      <c r="D265" s="2343" t="str">
        <f>IF($C$261="","",('Results Entry'!$AA50&amp;signum2('Results Entry'!AC50,SigFig1,SigFig2,'Results Entry'!$AA50)))</f>
        <v/>
      </c>
      <c r="E265" s="2344" t="str">
        <f>IF($C$261="","",('Results Entry'!AH50&amp;signum2('Results Entry'!AI50,SigFig1,SigFig2,'Results Entry'!AH50)))</f>
        <v/>
      </c>
      <c r="F265" s="2342" t="str">
        <f>IF($F$261="","",('Results Entry'!$U50&amp;signum2('Results Entry'!V50,SigFig1,SigFig2,'Results Entry'!$U50)))</f>
        <v/>
      </c>
      <c r="G265" s="2343" t="str">
        <f>IF($F$261="","",('Results Entry'!$U50&amp;signum2('Results Entry'!W50,SigFig1,SigFig2,'Results Entry'!$U50)))</f>
        <v/>
      </c>
      <c r="H265" s="2344" t="str">
        <f>IF($F$261="","",('Results Entry'!AD50&amp;signum2('Results Entry'!AE50,SigFig1,SigFig2,'Results Entry'!AD50)))</f>
        <v/>
      </c>
      <c r="I265" s="2342" t="str">
        <f>IF($I$261="","",('Results Entry'!$X50&amp;signum2('Results Entry'!Y50,SigFig1,SigFig2,'Results Entry'!$X50)))</f>
        <v/>
      </c>
      <c r="J265" s="2343" t="str">
        <f>IF($I$261="","",('Results Entry'!$X50&amp;signum2('Results Entry'!Z50,SigFig1,SigFig2,'Results Entry'!$X50)))</f>
        <v/>
      </c>
      <c r="K265" s="2344" t="str">
        <f>IF($I$261="","",('Results Entry'!$AF50&amp;signum2('Results Entry'!AG50,SigFig1,SigFig2,'Results Entry'!$AF50)))</f>
        <v/>
      </c>
      <c r="L265" s="1321"/>
      <c r="M265" s="1322"/>
      <c r="N265" s="1272"/>
      <c r="O265" s="1319">
        <f>MAX(IF(ISERROR(VALUE($C265)),0,VALUE($C265)),IF(ISERROR(VALUE($F265)),0,VALUE($F265)),IF(ISERROR(VALUE($I265)),0,VALUE($I265)))</f>
        <v>0</v>
      </c>
      <c r="P265" s="1319">
        <f>MAX(IF(ISERROR(VALUE($E265)),0,VALUE($E265)),IF(ISERROR(VALUE($H265)),0,VALUE($H265)),IF(ISERROR(VALUE($K265)),0,VALUE($K265)))</f>
        <v>0</v>
      </c>
    </row>
    <row r="266" spans="1:16" ht="12.75" hidden="1" customHeight="1">
      <c r="A266" s="1297">
        <f>IF('Non-Isokinetic'!A36="","",'Non-Isokinetic'!A36)</f>
        <v>0</v>
      </c>
      <c r="B266" s="1298"/>
      <c r="C266" s="2342" t="str">
        <f>IF($C$261="","",('Results Entry'!$AA51&amp;signum2('Results Entry'!AB51,SigFig1,SigFig2,'Results Entry'!$AA51)))</f>
        <v/>
      </c>
      <c r="D266" s="2343" t="str">
        <f>IF($C$261="","",('Results Entry'!$AA51&amp;signum2('Results Entry'!AC51,SigFig1,SigFig2,'Results Entry'!$AA51)))</f>
        <v/>
      </c>
      <c r="E266" s="2344" t="str">
        <f>IF($C$261="","",('Results Entry'!AH51&amp;signum2('Results Entry'!AI51,SigFig1,SigFig2,'Results Entry'!AH51)))</f>
        <v/>
      </c>
      <c r="F266" s="2342" t="str">
        <f>IF($F$261="","",('Results Entry'!$U51&amp;signum2('Results Entry'!V51,SigFig1,SigFig2,'Results Entry'!$U51)))</f>
        <v/>
      </c>
      <c r="G266" s="2343" t="str">
        <f>IF($F$261="","",('Results Entry'!$U51&amp;signum2('Results Entry'!W51,SigFig1,SigFig2,'Results Entry'!$U51)))</f>
        <v/>
      </c>
      <c r="H266" s="2344" t="str">
        <f>IF($F$261="","",('Results Entry'!AD51&amp;signum2('Results Entry'!AE51,SigFig1,SigFig2,'Results Entry'!AD51)))</f>
        <v/>
      </c>
      <c r="I266" s="2342" t="str">
        <f>IF($I$261="","",('Results Entry'!$X51&amp;signum2('Results Entry'!Y51,SigFig1,SigFig2,'Results Entry'!$X51)))</f>
        <v/>
      </c>
      <c r="J266" s="2343" t="str">
        <f>IF($I$261="","",('Results Entry'!$X51&amp;signum2('Results Entry'!Z51,SigFig1,SigFig2,'Results Entry'!$X51)))</f>
        <v/>
      </c>
      <c r="K266" s="2344" t="str">
        <f>IF($I$261="","",('Results Entry'!$AF51&amp;signum2('Results Entry'!AG51,SigFig1,SigFig2,'Results Entry'!$AF51)))</f>
        <v/>
      </c>
      <c r="L266" s="1321"/>
      <c r="M266" s="1322"/>
      <c r="N266" s="1272"/>
      <c r="O266" s="1319">
        <f t="shared" ref="O266:O273" si="12">MAX(IF(ISERROR(VALUE($C266)),0,VALUE($C266)),IF(ISERROR(VALUE($F266)),0,VALUE($F266)),IF(ISERROR(VALUE($I266)),0,VALUE($I266)))</f>
        <v>0</v>
      </c>
      <c r="P266" s="1319">
        <f t="shared" ref="P266:P273" si="13">MAX(IF(ISERROR(VALUE($E266)),0,VALUE($E266)),IF(ISERROR(VALUE($H266)),0,VALUE($H266)),IF(ISERROR(VALUE($K266)),0,VALUE($K266)))</f>
        <v>0</v>
      </c>
    </row>
    <row r="267" spans="1:16" ht="12.75" hidden="1" customHeight="1">
      <c r="A267" s="1297">
        <f>IF('Non-Isokinetic'!A37="","",'Non-Isokinetic'!A37)</f>
        <v>0</v>
      </c>
      <c r="B267" s="1298"/>
      <c r="C267" s="2342" t="str">
        <f>IF($C$261="","",('Results Entry'!$AA52&amp;signum2('Results Entry'!AB52,SigFig1,SigFig2,'Results Entry'!$AA52)))</f>
        <v/>
      </c>
      <c r="D267" s="2343" t="str">
        <f>IF($C$261="","",('Results Entry'!$AA52&amp;signum2('Results Entry'!AC52,SigFig1,SigFig2,'Results Entry'!$AA52)))</f>
        <v/>
      </c>
      <c r="E267" s="2344" t="str">
        <f>IF($C$261="","",('Results Entry'!AH52&amp;signum2('Results Entry'!AI52,SigFig1,SigFig2,'Results Entry'!AH52)))</f>
        <v/>
      </c>
      <c r="F267" s="2342" t="str">
        <f>IF($F$261="","",('Results Entry'!$U52&amp;signum2('Results Entry'!V52,SigFig1,SigFig2,'Results Entry'!$U52)))</f>
        <v/>
      </c>
      <c r="G267" s="2343" t="str">
        <f>IF($F$261="","",('Results Entry'!$U52&amp;signum2('Results Entry'!W52,SigFig1,SigFig2,'Results Entry'!$U52)))</f>
        <v/>
      </c>
      <c r="H267" s="2344" t="str">
        <f>IF($F$261="","",('Results Entry'!AD52&amp;signum2('Results Entry'!AE52,SigFig1,SigFig2,'Results Entry'!AD52)))</f>
        <v/>
      </c>
      <c r="I267" s="2342" t="str">
        <f>IF($I$261="","",('Results Entry'!$X52&amp;signum2('Results Entry'!Y52,SigFig1,SigFig2,'Results Entry'!$X52)))</f>
        <v/>
      </c>
      <c r="J267" s="2343" t="str">
        <f>IF($I$261="","",('Results Entry'!$X52&amp;signum2('Results Entry'!Z52,SigFig1,SigFig2,'Results Entry'!$X52)))</f>
        <v/>
      </c>
      <c r="K267" s="2344" t="str">
        <f>IF($I$261="","",('Results Entry'!$AF52&amp;signum2('Results Entry'!AG52,SigFig1,SigFig2,'Results Entry'!$AF52)))</f>
        <v/>
      </c>
      <c r="L267" s="1321"/>
      <c r="M267" s="1322"/>
      <c r="N267" s="1272"/>
      <c r="O267" s="1319">
        <f t="shared" si="12"/>
        <v>0</v>
      </c>
      <c r="P267" s="1319">
        <f t="shared" si="13"/>
        <v>0</v>
      </c>
    </row>
    <row r="268" spans="1:16" ht="12.75" hidden="1" customHeight="1">
      <c r="A268" s="1297">
        <f>IF('Non-Isokinetic'!A38="","",'Non-Isokinetic'!A38)</f>
        <v>0</v>
      </c>
      <c r="B268" s="1298"/>
      <c r="C268" s="2342" t="str">
        <f>IF($C$261="","",('Results Entry'!$AA53&amp;signum2('Results Entry'!AB53,SigFig1,SigFig2,'Results Entry'!$AA53)))</f>
        <v/>
      </c>
      <c r="D268" s="2343" t="str">
        <f>IF($C$261="","",('Results Entry'!$AA53&amp;signum2('Results Entry'!AC53,SigFig1,SigFig2,'Results Entry'!$AA53)))</f>
        <v/>
      </c>
      <c r="E268" s="2344" t="str">
        <f>IF($C$261="","",('Results Entry'!AH53&amp;signum2('Results Entry'!AI53,SigFig1,SigFig2,'Results Entry'!AH53)))</f>
        <v/>
      </c>
      <c r="F268" s="2342" t="str">
        <f>IF($F$261="","",('Results Entry'!$U53&amp;signum2('Results Entry'!V53,SigFig1,SigFig2,'Results Entry'!$U53)))</f>
        <v/>
      </c>
      <c r="G268" s="2343" t="str">
        <f>IF($F$261="","",('Results Entry'!$U53&amp;signum2('Results Entry'!W53,SigFig1,SigFig2,'Results Entry'!$U53)))</f>
        <v/>
      </c>
      <c r="H268" s="2344" t="str">
        <f>IF($F$261="","",('Results Entry'!AD53&amp;signum2('Results Entry'!AE53,SigFig1,SigFig2,'Results Entry'!AD53)))</f>
        <v/>
      </c>
      <c r="I268" s="2342" t="str">
        <f>IF($I$261="","",('Results Entry'!$X53&amp;signum2('Results Entry'!Y53,SigFig1,SigFig2,'Results Entry'!$X53)))</f>
        <v/>
      </c>
      <c r="J268" s="2343" t="str">
        <f>IF($I$261="","",('Results Entry'!$X53&amp;signum2('Results Entry'!Z53,SigFig1,SigFig2,'Results Entry'!$X53)))</f>
        <v/>
      </c>
      <c r="K268" s="2344" t="str">
        <f>IF($I$261="","",('Results Entry'!$AF53&amp;signum2('Results Entry'!AG53,SigFig1,SigFig2,'Results Entry'!$AF53)))</f>
        <v/>
      </c>
      <c r="L268" s="1321"/>
      <c r="M268" s="1322"/>
      <c r="N268" s="1272"/>
      <c r="O268" s="1319">
        <f t="shared" si="12"/>
        <v>0</v>
      </c>
      <c r="P268" s="1319">
        <f t="shared" si="13"/>
        <v>0</v>
      </c>
    </row>
    <row r="269" spans="1:16" ht="12.75" hidden="1" customHeight="1">
      <c r="A269" s="1297">
        <f>IF('Non-Isokinetic'!A39="","",'Non-Isokinetic'!A39)</f>
        <v>0</v>
      </c>
      <c r="B269" s="1298"/>
      <c r="C269" s="2342" t="str">
        <f>IF($C$261="","",('Results Entry'!$AA54&amp;signum2('Results Entry'!AB54,SigFig1,SigFig2,'Results Entry'!$AA54)))</f>
        <v/>
      </c>
      <c r="D269" s="2343" t="str">
        <f>IF($C$261="","",('Results Entry'!$AA54&amp;signum2('Results Entry'!AC54,SigFig1,SigFig2,'Results Entry'!$AA54)))</f>
        <v/>
      </c>
      <c r="E269" s="2344" t="str">
        <f>IF($C$261="","",('Results Entry'!AH54&amp;signum2('Results Entry'!AI54,SigFig1,SigFig2,'Results Entry'!AH54)))</f>
        <v/>
      </c>
      <c r="F269" s="2342" t="str">
        <f>IF($F$261="","",('Results Entry'!$U54&amp;signum2('Results Entry'!V54,SigFig1,SigFig2,'Results Entry'!$U54)))</f>
        <v/>
      </c>
      <c r="G269" s="2343" t="str">
        <f>IF($F$261="","",('Results Entry'!$U54&amp;signum2('Results Entry'!W54,SigFig1,SigFig2,'Results Entry'!$U54)))</f>
        <v/>
      </c>
      <c r="H269" s="2344" t="str">
        <f>IF($F$261="","",('Results Entry'!AD54&amp;signum2('Results Entry'!AE54,SigFig1,SigFig2,'Results Entry'!AD54)))</f>
        <v/>
      </c>
      <c r="I269" s="2342" t="str">
        <f>IF($I$261="","",('Results Entry'!$X54&amp;signum2('Results Entry'!Y54,SigFig1,SigFig2,'Results Entry'!$X54)))</f>
        <v/>
      </c>
      <c r="J269" s="2343" t="str">
        <f>IF($I$261="","",('Results Entry'!$X54&amp;signum2('Results Entry'!Z54,SigFig1,SigFig2,'Results Entry'!$X54)))</f>
        <v/>
      </c>
      <c r="K269" s="2344" t="str">
        <f>IF($I$261="","",('Results Entry'!$AF54&amp;signum2('Results Entry'!AG54,SigFig1,SigFig2,'Results Entry'!$AF54)))</f>
        <v/>
      </c>
      <c r="L269" s="1321"/>
      <c r="M269" s="1322"/>
      <c r="N269" s="1272"/>
      <c r="O269" s="1319">
        <f t="shared" si="12"/>
        <v>0</v>
      </c>
      <c r="P269" s="1319">
        <f t="shared" si="13"/>
        <v>0</v>
      </c>
    </row>
    <row r="270" spans="1:16" ht="12.75" hidden="1" customHeight="1">
      <c r="A270" s="1297">
        <f>IF('Non-Isokinetic'!A40="","",'Non-Isokinetic'!A40)</f>
        <v>0</v>
      </c>
      <c r="B270" s="1298"/>
      <c r="C270" s="2342" t="str">
        <f>IF($C$261="","",('Results Entry'!$AA55&amp;signum2('Results Entry'!AB55,SigFig1,SigFig2,'Results Entry'!$AA55)))</f>
        <v/>
      </c>
      <c r="D270" s="2343" t="str">
        <f>IF($C$261="","",('Results Entry'!$AA55&amp;signum2('Results Entry'!AC55,SigFig1,SigFig2,'Results Entry'!$AA55)))</f>
        <v/>
      </c>
      <c r="E270" s="2344" t="str">
        <f>IF($C$261="","",('Results Entry'!AH55&amp;signum2('Results Entry'!AI55,SigFig1,SigFig2,'Results Entry'!AH55)))</f>
        <v/>
      </c>
      <c r="F270" s="2342" t="str">
        <f>IF($F$261="","",('Results Entry'!$U55&amp;signum2('Results Entry'!V55,SigFig1,SigFig2,'Results Entry'!$U55)))</f>
        <v/>
      </c>
      <c r="G270" s="2343" t="str">
        <f>IF($F$261="","",('Results Entry'!$U55&amp;signum2('Results Entry'!W55,SigFig1,SigFig2,'Results Entry'!$U55)))</f>
        <v/>
      </c>
      <c r="H270" s="2344" t="str">
        <f>IF($F$261="","",('Results Entry'!AD55&amp;signum2('Results Entry'!AE55,SigFig1,SigFig2,'Results Entry'!AD55)))</f>
        <v/>
      </c>
      <c r="I270" s="2342" t="str">
        <f>IF($I$261="","",('Results Entry'!$X55&amp;signum2('Results Entry'!Y55,SigFig1,SigFig2,'Results Entry'!$X55)))</f>
        <v/>
      </c>
      <c r="J270" s="2343" t="str">
        <f>IF($I$261="","",('Results Entry'!$X55&amp;signum2('Results Entry'!Z55,SigFig1,SigFig2,'Results Entry'!$X55)))</f>
        <v/>
      </c>
      <c r="K270" s="2344" t="str">
        <f>IF($I$261="","",('Results Entry'!$AF55&amp;signum2('Results Entry'!AG55,SigFig1,SigFig2,'Results Entry'!$AF55)))</f>
        <v/>
      </c>
      <c r="L270" s="1321"/>
      <c r="M270" s="1322"/>
      <c r="N270" s="1272"/>
      <c r="O270" s="1319">
        <f t="shared" si="12"/>
        <v>0</v>
      </c>
      <c r="P270" s="1319">
        <f t="shared" si="13"/>
        <v>0</v>
      </c>
    </row>
    <row r="271" spans="1:16" ht="12.75" hidden="1" customHeight="1">
      <c r="A271" s="1297">
        <f>IF('Non-Isokinetic'!A41="","",'Non-Isokinetic'!A41)</f>
        <v>0</v>
      </c>
      <c r="B271" s="1298"/>
      <c r="C271" s="2342" t="str">
        <f>IF($C$261="","",('Results Entry'!$AA56&amp;signum2('Results Entry'!AB56,SigFig1,SigFig2,'Results Entry'!$AA56)))</f>
        <v/>
      </c>
      <c r="D271" s="2343" t="str">
        <f>IF($C$261="","",('Results Entry'!$AA56&amp;signum2('Results Entry'!AC56,SigFig1,SigFig2,'Results Entry'!$AA56)))</f>
        <v/>
      </c>
      <c r="E271" s="2344" t="str">
        <f>IF($C$261="","",('Results Entry'!AH56&amp;signum2('Results Entry'!AI56,SigFig1,SigFig2,'Results Entry'!AH56)))</f>
        <v/>
      </c>
      <c r="F271" s="2342" t="str">
        <f>IF($F$261="","",('Results Entry'!$U56&amp;signum2('Results Entry'!V56,SigFig1,SigFig2,'Results Entry'!$U56)))</f>
        <v/>
      </c>
      <c r="G271" s="2343" t="str">
        <f>IF($F$261="","",('Results Entry'!$U56&amp;signum2('Results Entry'!W56,SigFig1,SigFig2,'Results Entry'!$U56)))</f>
        <v/>
      </c>
      <c r="H271" s="2344" t="str">
        <f>IF($F$261="","",('Results Entry'!AD56&amp;signum2('Results Entry'!AE56,SigFig1,SigFig2,'Results Entry'!AD56)))</f>
        <v/>
      </c>
      <c r="I271" s="2342" t="str">
        <f>IF($I$261="","",('Results Entry'!$X56&amp;signum2('Results Entry'!Y56,SigFig1,SigFig2,'Results Entry'!$X56)))</f>
        <v/>
      </c>
      <c r="J271" s="2343" t="str">
        <f>IF($I$261="","",('Results Entry'!$X56&amp;signum2('Results Entry'!Z56,SigFig1,SigFig2,'Results Entry'!$X56)))</f>
        <v/>
      </c>
      <c r="K271" s="2344" t="str">
        <f>IF($I$261="","",('Results Entry'!$AF56&amp;signum2('Results Entry'!AG56,SigFig1,SigFig2,'Results Entry'!$AF56)))</f>
        <v/>
      </c>
      <c r="L271" s="1321"/>
      <c r="M271" s="1322"/>
      <c r="N271" s="1272"/>
      <c r="O271" s="1319">
        <f t="shared" si="12"/>
        <v>0</v>
      </c>
      <c r="P271" s="1319">
        <f t="shared" si="13"/>
        <v>0</v>
      </c>
    </row>
    <row r="272" spans="1:16" ht="12.75" hidden="1" customHeight="1">
      <c r="A272" s="1297">
        <f>IF('Non-Isokinetic'!A42="","",'Non-Isokinetic'!A42)</f>
        <v>0</v>
      </c>
      <c r="B272" s="1298"/>
      <c r="C272" s="2342" t="str">
        <f>IF($C$261="","",('Results Entry'!$AA57&amp;signum2('Results Entry'!AB57,SigFig1,SigFig2,'Results Entry'!$AA57)))</f>
        <v/>
      </c>
      <c r="D272" s="2343" t="str">
        <f>IF($C$261="","",('Results Entry'!$AA57&amp;signum2('Results Entry'!AC57,SigFig1,SigFig2,'Results Entry'!$AA57)))</f>
        <v/>
      </c>
      <c r="E272" s="2344" t="str">
        <f>IF($C$261="","",('Results Entry'!AH57&amp;signum2('Results Entry'!AI57,SigFig1,SigFig2,'Results Entry'!AH57)))</f>
        <v/>
      </c>
      <c r="F272" s="2342" t="str">
        <f>IF($F$261="","",('Results Entry'!$U57&amp;signum2('Results Entry'!V57,SigFig1,SigFig2,'Results Entry'!$U57)))</f>
        <v/>
      </c>
      <c r="G272" s="2343" t="str">
        <f>IF($F$261="","",('Results Entry'!$U57&amp;signum2('Results Entry'!W57,SigFig1,SigFig2,'Results Entry'!$U57)))</f>
        <v/>
      </c>
      <c r="H272" s="2344" t="str">
        <f>IF($F$261="","",('Results Entry'!AD57&amp;signum2('Results Entry'!AE57,SigFig1,SigFig2,'Results Entry'!AD57)))</f>
        <v/>
      </c>
      <c r="I272" s="2342" t="str">
        <f>IF($I$261="","",('Results Entry'!$X57&amp;signum2('Results Entry'!Y57,SigFig1,SigFig2,'Results Entry'!$X57)))</f>
        <v/>
      </c>
      <c r="J272" s="2343" t="str">
        <f>IF($I$261="","",('Results Entry'!$X57&amp;signum2('Results Entry'!Z57,SigFig1,SigFig2,'Results Entry'!$X57)))</f>
        <v/>
      </c>
      <c r="K272" s="2344" t="str">
        <f>IF($I$261="","",('Results Entry'!$AF57&amp;signum2('Results Entry'!AG57,SigFig1,SigFig2,'Results Entry'!$AF57)))</f>
        <v/>
      </c>
      <c r="L272" s="1321"/>
      <c r="M272" s="1322"/>
      <c r="N272" s="1272"/>
      <c r="O272" s="1319">
        <f t="shared" si="12"/>
        <v>0</v>
      </c>
      <c r="P272" s="1319">
        <f t="shared" si="13"/>
        <v>0</v>
      </c>
    </row>
    <row r="273" spans="1:16" ht="12.75" hidden="1" customHeight="1">
      <c r="A273" s="1299">
        <f>IF('Non-Isokinetic'!A43="","",'Non-Isokinetic'!A43)</f>
        <v>0</v>
      </c>
      <c r="B273" s="1300"/>
      <c r="C273" s="2342" t="str">
        <f>IF($C$261="","",('Results Entry'!$AA58&amp;signum2('Results Entry'!AB58,SigFig1,SigFig2,'Results Entry'!$AA58)))</f>
        <v/>
      </c>
      <c r="D273" s="2343" t="str">
        <f>IF($C$261="","",('Results Entry'!$AA58&amp;signum2('Results Entry'!AC58,SigFig1,SigFig2,'Results Entry'!$AA58)))</f>
        <v/>
      </c>
      <c r="E273" s="2344" t="str">
        <f>IF($C$261="","",('Results Entry'!AH58&amp;signum2('Results Entry'!AI58,SigFig1,SigFig2,'Results Entry'!AH58)))</f>
        <v/>
      </c>
      <c r="F273" s="2342" t="str">
        <f>IF($F$261="","",('Results Entry'!$U58&amp;signum2('Results Entry'!V58,SigFig1,SigFig2,'Results Entry'!$U58)))</f>
        <v/>
      </c>
      <c r="G273" s="2343" t="str">
        <f>IF($F$261="","",('Results Entry'!$U58&amp;signum2('Results Entry'!W58,SigFig1,SigFig2,'Results Entry'!$U58)))</f>
        <v/>
      </c>
      <c r="H273" s="2344" t="str">
        <f>IF($F$261="","",('Results Entry'!AD58&amp;signum2('Results Entry'!AE58,SigFig1,SigFig2,'Results Entry'!AD58)))</f>
        <v/>
      </c>
      <c r="I273" s="2342" t="str">
        <f>IF($I$261="","",('Results Entry'!$X58&amp;signum2('Results Entry'!Y58,SigFig1,SigFig2,'Results Entry'!$X58)))</f>
        <v/>
      </c>
      <c r="J273" s="2343" t="str">
        <f>IF($I$261="","",('Results Entry'!$X58&amp;signum2('Results Entry'!Z58,SigFig1,SigFig2,'Results Entry'!$X58)))</f>
        <v/>
      </c>
      <c r="K273" s="2344" t="str">
        <f>IF($I$261="","",('Results Entry'!$AF58&amp;signum2('Results Entry'!AG58,SigFig1,SigFig2,'Results Entry'!$AF58)))</f>
        <v/>
      </c>
      <c r="L273" s="1321"/>
      <c r="M273" s="1322"/>
      <c r="N273" s="1272"/>
      <c r="O273" s="1319">
        <f t="shared" si="12"/>
        <v>0</v>
      </c>
      <c r="P273" s="1319">
        <f t="shared" si="13"/>
        <v>0</v>
      </c>
    </row>
    <row r="274" spans="1:16" ht="12.75" hidden="1" customHeight="1">
      <c r="A274" s="1371" t="s">
        <v>41</v>
      </c>
      <c r="B274" s="1371" t="s">
        <v>41</v>
      </c>
      <c r="C274" s="1371" t="s">
        <v>41</v>
      </c>
      <c r="D274" s="1371" t="s">
        <v>41</v>
      </c>
      <c r="E274" s="1371" t="s">
        <v>41</v>
      </c>
      <c r="F274" s="1371" t="s">
        <v>41</v>
      </c>
      <c r="G274" s="1371" t="s">
        <v>41</v>
      </c>
      <c r="H274" s="1371" t="s">
        <v>41</v>
      </c>
      <c r="I274" s="1371" t="s">
        <v>41</v>
      </c>
      <c r="J274" s="1371" t="s">
        <v>41</v>
      </c>
      <c r="K274" s="1371" t="s">
        <v>41</v>
      </c>
      <c r="L274" s="1325" t="s">
        <v>41</v>
      </c>
      <c r="M274" s="1325" t="s">
        <v>41</v>
      </c>
      <c r="N274" s="1272"/>
    </row>
    <row r="275" spans="1:16" ht="12.75" hidden="1" customHeight="1">
      <c r="A275" s="1295" t="str">
        <f>IF('Non-Isokinetic'!A47="","",'Non-Isokinetic'!A47)</f>
        <v/>
      </c>
      <c r="B275" s="1284"/>
      <c r="C275" s="2522" t="str">
        <f>IF(A275="","",IF(OR(TestReport="All",TestReport="Average only"),"Average",""))</f>
        <v/>
      </c>
      <c r="D275" s="2523" t="str">
        <f>IF(OR(TestReport="Test 2 only",TestReport="Tests 1 &amp; 2"),"Test 2","")</f>
        <v/>
      </c>
      <c r="E275" s="2524" t="str">
        <f>IF(OR(TestReport="Test 2 only",TestReport="Tests 1 &amp; 2"),"Test 2","")</f>
        <v/>
      </c>
      <c r="F275" s="2522" t="str">
        <f>IF(A275="","",IF(OR(TestReport="Test 2 only",TestReport="Average only"),"",IF(TestReport="Test 1 only","Results","Test 1")))</f>
        <v/>
      </c>
      <c r="G275" s="2523" t="str">
        <f>IF(OR(TestReport="Test 1 only",TestReport="Tests 1 &amp; 2"),"Test 1","")</f>
        <v/>
      </c>
      <c r="H275" s="2524" t="str">
        <f>IF(OR(TestReport="Test 1 only",TestReport="Tests 1 &amp; 2"),"Test 1","")</f>
        <v/>
      </c>
      <c r="I275" s="2522" t="str">
        <f>IF(A275="","",IF(OR(TestReport="Test 1 only",TestReport="Average only"),"",IF(TestReport="Test 2 only","Results","Test 2")))</f>
        <v/>
      </c>
      <c r="J275" s="2523" t="str">
        <f>IF(OR(TestReport="Test 1 only",TestReport="Tests 1 &amp; 2"),"Test 1","")</f>
        <v/>
      </c>
      <c r="K275" s="2524" t="str">
        <f>IF(OR(TestReport="Test 1 only",TestReport="Tests 1 &amp; 2"),"Test 1","")</f>
        <v/>
      </c>
      <c r="L275" s="2519" t="s">
        <v>62</v>
      </c>
      <c r="M275" s="2520"/>
      <c r="N275" s="1272"/>
      <c r="O275" s="2521" t="s">
        <v>369</v>
      </c>
      <c r="P275" s="2521"/>
    </row>
    <row r="276" spans="1:16" ht="12.75" hidden="1" customHeight="1">
      <c r="A276" s="1288"/>
      <c r="B276" s="1289" t="str">
        <f>IF(A275="","","Sampling time")</f>
        <v/>
      </c>
      <c r="C276" s="1273"/>
      <c r="D276" s="1317"/>
      <c r="E276" s="1322"/>
      <c r="F276" s="2534" t="str">
        <f>IF(F$275="","",(IF('Non-Isokinetic'!C49="","",'Non-Isokinetic'!C49&amp;"-"&amp;'Non-Isokinetic'!C50)))</f>
        <v/>
      </c>
      <c r="G276" s="2535"/>
      <c r="H276" s="2536"/>
      <c r="I276" s="2534" t="str">
        <f>IF(I$275="","",(IF('Non-Isokinetic'!D49="","",'Non-Isokinetic'!D49&amp;"-"&amp;'Non-Isokinetic'!D50)))</f>
        <v/>
      </c>
      <c r="J276" s="2535"/>
      <c r="K276" s="2536"/>
      <c r="L276" s="1321"/>
      <c r="M276" s="1322"/>
      <c r="N276" s="1272"/>
    </row>
    <row r="277" spans="1:16" ht="12.75" hidden="1" customHeight="1">
      <c r="A277" s="1294"/>
      <c r="B277" s="1318"/>
      <c r="C277" s="1316" t="str">
        <f>IF(C$275="","","Concentration")</f>
        <v/>
      </c>
      <c r="D277" s="1317" t="str">
        <f>IF(C$275="","",O2CO2)</f>
        <v/>
      </c>
      <c r="E277" s="1318" t="str">
        <f>IF(C$275="","","Mass Rate")</f>
        <v/>
      </c>
      <c r="F277" s="1316" t="str">
        <f>IF(F$275="","","Concentration")</f>
        <v/>
      </c>
      <c r="G277" s="1317" t="str">
        <f>IF(F$275="","",O2CO2)</f>
        <v/>
      </c>
      <c r="H277" s="1318" t="str">
        <f>IF(F$275="","","Mass Rate")</f>
        <v/>
      </c>
      <c r="I277" s="1316" t="str">
        <f>IF(I$275="","","Concentration")</f>
        <v/>
      </c>
      <c r="J277" s="1317" t="str">
        <f>IF(I$275="","",O2CO2)</f>
        <v/>
      </c>
      <c r="K277" s="1318" t="str">
        <f>IF(I$275="","","Mass Rate")</f>
        <v/>
      </c>
      <c r="L277" s="1321"/>
      <c r="M277" s="1322"/>
      <c r="N277" s="1272"/>
      <c r="O277" s="1291" t="s">
        <v>367</v>
      </c>
      <c r="P277" s="1291" t="s">
        <v>368</v>
      </c>
    </row>
    <row r="278" spans="1:16" ht="12.75" hidden="1" customHeight="1">
      <c r="A278" s="1294"/>
      <c r="B278" s="1296"/>
      <c r="C278" s="1313" t="str">
        <f>IF($C$275="","",CU)</f>
        <v/>
      </c>
      <c r="D278" s="1314" t="str">
        <f>C278</f>
        <v/>
      </c>
      <c r="E278" s="1315" t="str">
        <f>IF(C$275="","",MRU)</f>
        <v/>
      </c>
      <c r="F278" s="1313" t="str">
        <f>IF(F$275="","",CU)</f>
        <v/>
      </c>
      <c r="G278" s="1314" t="str">
        <f>F278</f>
        <v/>
      </c>
      <c r="H278" s="1315" t="str">
        <f>IF(F$275="","",MRU)</f>
        <v/>
      </c>
      <c r="I278" s="1313" t="str">
        <f>IF(I$275="","",CU)</f>
        <v/>
      </c>
      <c r="J278" s="1314" t="str">
        <f>I278</f>
        <v/>
      </c>
      <c r="K278" s="1315" t="str">
        <f>IF(I$275="","",MRU)</f>
        <v/>
      </c>
      <c r="L278" s="1313" t="str">
        <f>CU</f>
        <v>mg/m³</v>
      </c>
      <c r="M278" s="1315" t="str">
        <f>MRU</f>
        <v>g/min</v>
      </c>
      <c r="N278" s="1272"/>
      <c r="O278" s="1291" t="str">
        <f>CU</f>
        <v>mg/m³</v>
      </c>
      <c r="P278" s="1291" t="str">
        <f>MRU</f>
        <v>g/min</v>
      </c>
    </row>
    <row r="279" spans="1:16" ht="12.75" hidden="1" customHeight="1">
      <c r="A279" s="1297">
        <f>IF('Non-Isokinetic'!A49="","",'Non-Isokinetic'!A49)</f>
        <v>0</v>
      </c>
      <c r="B279" s="1298"/>
      <c r="C279" s="2342" t="str">
        <f>IF($C$275="","",('Results Entry'!$AA67&amp;signum2('Results Entry'!AB67,SigFig1,SigFig2,'Results Entry'!$AA67)))</f>
        <v/>
      </c>
      <c r="D279" s="2343" t="str">
        <f>IF($C$275="","",('Results Entry'!$AA67&amp;signum2('Results Entry'!AC67,SigFig1,SigFig2,'Results Entry'!$AA67)))</f>
        <v/>
      </c>
      <c r="E279" s="2344" t="str">
        <f>IF($C$275="","",('Results Entry'!AH67&amp;signum2('Results Entry'!AI67,SigFig1,SigFig2,'Results Entry'!AH67)))</f>
        <v/>
      </c>
      <c r="F279" s="2342" t="str">
        <f>IF($F$275="","",('Results Entry'!$U67&amp;signum2('Results Entry'!V67,SigFig1,SigFig2,'Results Entry'!$U67)))</f>
        <v/>
      </c>
      <c r="G279" s="2343" t="str">
        <f>IF($F$275="","",('Results Entry'!$U67&amp;signum2('Results Entry'!W67,SigFig1,SigFig2,'Results Entry'!$U67)))</f>
        <v/>
      </c>
      <c r="H279" s="2344" t="str">
        <f>IF($F$275="","",('Results Entry'!AD67&amp;signum2('Results Entry'!AE67,SigFig1,SigFig2,'Results Entry'!AD67)))</f>
        <v/>
      </c>
      <c r="I279" s="2342" t="str">
        <f>IF($I$275="","",('Results Entry'!$X67&amp;signum2('Results Entry'!Y67,SigFig1,SigFig2,'Results Entry'!$X67)))</f>
        <v/>
      </c>
      <c r="J279" s="2343" t="str">
        <f>IF($I$275="","",('Results Entry'!$X67&amp;signum2('Results Entry'!Z67,SigFig1,SigFig2,'Results Entry'!$X67)))</f>
        <v/>
      </c>
      <c r="K279" s="2344" t="str">
        <f>IF($I$275="","",('Results Entry'!$AF67&amp;signum2('Results Entry'!AG67,SigFig1,SigFig2,'Results Entry'!$AF67)))</f>
        <v/>
      </c>
      <c r="L279" s="1321"/>
      <c r="M279" s="1322"/>
      <c r="N279" s="1272"/>
      <c r="O279" s="1319">
        <f>MAX(IF(ISERROR(VALUE($C279)),0,VALUE($C279)),IF(ISERROR(VALUE($F279)),0,VALUE($F279)),IF(ISERROR(VALUE($I279)),0,VALUE($I279)))</f>
        <v>0</v>
      </c>
      <c r="P279" s="1319">
        <f>MAX(IF(ISERROR(VALUE($E279)),0,VALUE($E279)),IF(ISERROR(VALUE($H279)),0,VALUE($H279)),IF(ISERROR(VALUE($K279)),0,VALUE($K279)))</f>
        <v>0</v>
      </c>
    </row>
    <row r="280" spans="1:16" ht="12.75" hidden="1" customHeight="1">
      <c r="A280" s="1297">
        <f>IF('Non-Isokinetic'!A50="","",'Non-Isokinetic'!A50)</f>
        <v>0</v>
      </c>
      <c r="B280" s="1298"/>
      <c r="C280" s="2342" t="str">
        <f>IF($C$275="","",('Results Entry'!$AA68&amp;signum2('Results Entry'!AB68,SigFig1,SigFig2,'Results Entry'!$AA68)))</f>
        <v/>
      </c>
      <c r="D280" s="2343" t="str">
        <f>IF($C$275="","",('Results Entry'!$AA68&amp;signum2('Results Entry'!AC68,SigFig1,SigFig2,'Results Entry'!$AA68)))</f>
        <v/>
      </c>
      <c r="E280" s="2344" t="str">
        <f>IF($C$275="","",('Results Entry'!AH68&amp;signum2('Results Entry'!AI68,SigFig1,SigFig2,'Results Entry'!AH68)))</f>
        <v/>
      </c>
      <c r="F280" s="2342" t="str">
        <f>IF($F$275="","",('Results Entry'!$U68&amp;signum2('Results Entry'!V68,SigFig1,SigFig2,'Results Entry'!$U68)))</f>
        <v/>
      </c>
      <c r="G280" s="2343" t="str">
        <f>IF($F$275="","",('Results Entry'!$U68&amp;signum2('Results Entry'!W68,SigFig1,SigFig2,'Results Entry'!$U68)))</f>
        <v/>
      </c>
      <c r="H280" s="2344" t="str">
        <f>IF($F$275="","",('Results Entry'!AD68&amp;signum2('Results Entry'!AE68,SigFig1,SigFig2,'Results Entry'!AD68)))</f>
        <v/>
      </c>
      <c r="I280" s="2342" t="str">
        <f>IF($I$275="","",('Results Entry'!$X68&amp;signum2('Results Entry'!Y68,SigFig1,SigFig2,'Results Entry'!$X68)))</f>
        <v/>
      </c>
      <c r="J280" s="2343" t="str">
        <f>IF($I$275="","",('Results Entry'!$X68&amp;signum2('Results Entry'!Z68,SigFig1,SigFig2,'Results Entry'!$X68)))</f>
        <v/>
      </c>
      <c r="K280" s="2344" t="str">
        <f>IF($I$275="","",('Results Entry'!$AF68&amp;signum2('Results Entry'!AG68,SigFig1,SigFig2,'Results Entry'!$AF68)))</f>
        <v/>
      </c>
      <c r="L280" s="1321"/>
      <c r="M280" s="1322"/>
      <c r="N280" s="1272"/>
      <c r="O280" s="1319">
        <f t="shared" ref="O280:O287" si="14">MAX(IF(ISERROR(VALUE($C280)),0,VALUE($C280)),IF(ISERROR(VALUE($F280)),0,VALUE($F280)),IF(ISERROR(VALUE($I280)),0,VALUE($I280)))</f>
        <v>0</v>
      </c>
      <c r="P280" s="1319">
        <f t="shared" ref="P280:P287" si="15">MAX(IF(ISERROR(VALUE($E280)),0,VALUE($E280)),IF(ISERROR(VALUE($H280)),0,VALUE($H280)),IF(ISERROR(VALUE($K280)),0,VALUE($K280)))</f>
        <v>0</v>
      </c>
    </row>
    <row r="281" spans="1:16" ht="12.75" hidden="1" customHeight="1">
      <c r="A281" s="1297">
        <f>IF('Non-Isokinetic'!A51="","",'Non-Isokinetic'!A51)</f>
        <v>0</v>
      </c>
      <c r="B281" s="1298"/>
      <c r="C281" s="2342" t="str">
        <f>IF($C$275="","",('Results Entry'!$AA69&amp;signum2('Results Entry'!AB69,SigFig1,SigFig2,'Results Entry'!$AA69)))</f>
        <v/>
      </c>
      <c r="D281" s="2343" t="str">
        <f>IF($C$275="","",('Results Entry'!$AA69&amp;signum2('Results Entry'!AC69,SigFig1,SigFig2,'Results Entry'!$AA69)))</f>
        <v/>
      </c>
      <c r="E281" s="2344" t="str">
        <f>IF($C$275="","",('Results Entry'!AH69&amp;signum2('Results Entry'!AI69,SigFig1,SigFig2,'Results Entry'!AH69)))</f>
        <v/>
      </c>
      <c r="F281" s="2342" t="str">
        <f>IF($F$275="","",('Results Entry'!$U69&amp;signum2('Results Entry'!V69,SigFig1,SigFig2,'Results Entry'!$U69)))</f>
        <v/>
      </c>
      <c r="G281" s="2343" t="str">
        <f>IF($F$275="","",('Results Entry'!$U69&amp;signum2('Results Entry'!W69,SigFig1,SigFig2,'Results Entry'!$U69)))</f>
        <v/>
      </c>
      <c r="H281" s="2344" t="str">
        <f>IF($F$275="","",('Results Entry'!AD69&amp;signum2('Results Entry'!AE69,SigFig1,SigFig2,'Results Entry'!AD69)))</f>
        <v/>
      </c>
      <c r="I281" s="2342" t="str">
        <f>IF($I$275="","",('Results Entry'!$X69&amp;signum2('Results Entry'!Y69,SigFig1,SigFig2,'Results Entry'!$X69)))</f>
        <v/>
      </c>
      <c r="J281" s="2343" t="str">
        <f>IF($I$275="","",('Results Entry'!$X69&amp;signum2('Results Entry'!Z69,SigFig1,SigFig2,'Results Entry'!$X69)))</f>
        <v/>
      </c>
      <c r="K281" s="2344" t="str">
        <f>IF($I$275="","",('Results Entry'!$AF69&amp;signum2('Results Entry'!AG69,SigFig1,SigFig2,'Results Entry'!$AF69)))</f>
        <v/>
      </c>
      <c r="L281" s="1321"/>
      <c r="M281" s="1322"/>
      <c r="N281" s="1272"/>
      <c r="O281" s="1319">
        <f t="shared" si="14"/>
        <v>0</v>
      </c>
      <c r="P281" s="1319">
        <f t="shared" si="15"/>
        <v>0</v>
      </c>
    </row>
    <row r="282" spans="1:16" ht="12.75" hidden="1" customHeight="1">
      <c r="A282" s="1297">
        <f>IF('Non-Isokinetic'!A52="","",'Non-Isokinetic'!A52)</f>
        <v>0</v>
      </c>
      <c r="B282" s="1298"/>
      <c r="C282" s="2342" t="str">
        <f>IF($C$275="","",('Results Entry'!$AA70&amp;signum2('Results Entry'!AB70,SigFig1,SigFig2,'Results Entry'!$AA70)))</f>
        <v/>
      </c>
      <c r="D282" s="2343" t="str">
        <f>IF($C$275="","",('Results Entry'!$AA70&amp;signum2('Results Entry'!AC70,SigFig1,SigFig2,'Results Entry'!$AA70)))</f>
        <v/>
      </c>
      <c r="E282" s="2344" t="str">
        <f>IF($C$275="","",('Results Entry'!AH70&amp;signum2('Results Entry'!AI70,SigFig1,SigFig2,'Results Entry'!AH70)))</f>
        <v/>
      </c>
      <c r="F282" s="2342" t="str">
        <f>IF($F$275="","",('Results Entry'!$U70&amp;signum2('Results Entry'!V70,SigFig1,SigFig2,'Results Entry'!$U70)))</f>
        <v/>
      </c>
      <c r="G282" s="2343" t="str">
        <f>IF($F$275="","",('Results Entry'!$U70&amp;signum2('Results Entry'!W70,SigFig1,SigFig2,'Results Entry'!$U70)))</f>
        <v/>
      </c>
      <c r="H282" s="2344" t="str">
        <f>IF($F$275="","",('Results Entry'!AD70&amp;signum2('Results Entry'!AE70,SigFig1,SigFig2,'Results Entry'!AD70)))</f>
        <v/>
      </c>
      <c r="I282" s="2342" t="str">
        <f>IF($I$275="","",('Results Entry'!$X70&amp;signum2('Results Entry'!Y70,SigFig1,SigFig2,'Results Entry'!$X70)))</f>
        <v/>
      </c>
      <c r="J282" s="2343" t="str">
        <f>IF($I$275="","",('Results Entry'!$X70&amp;signum2('Results Entry'!Z70,SigFig1,SigFig2,'Results Entry'!$X70)))</f>
        <v/>
      </c>
      <c r="K282" s="2344" t="str">
        <f>IF($I$275="","",('Results Entry'!$AF70&amp;signum2('Results Entry'!AG70,SigFig1,SigFig2,'Results Entry'!$AF70)))</f>
        <v/>
      </c>
      <c r="L282" s="1321"/>
      <c r="M282" s="1322"/>
      <c r="N282" s="1272"/>
      <c r="O282" s="1319">
        <f t="shared" si="14"/>
        <v>0</v>
      </c>
      <c r="P282" s="1319">
        <f t="shared" si="15"/>
        <v>0</v>
      </c>
    </row>
    <row r="283" spans="1:16" ht="12.75" hidden="1" customHeight="1">
      <c r="A283" s="1297">
        <f>IF('Non-Isokinetic'!A53="","",'Non-Isokinetic'!A53)</f>
        <v>0</v>
      </c>
      <c r="B283" s="1298"/>
      <c r="C283" s="2342" t="str">
        <f>IF($C$275="","",('Results Entry'!$AA71&amp;signum2('Results Entry'!AB71,SigFig1,SigFig2,'Results Entry'!$AA71)))</f>
        <v/>
      </c>
      <c r="D283" s="2343" t="str">
        <f>IF($C$275="","",('Results Entry'!$AA71&amp;signum2('Results Entry'!AC71,SigFig1,SigFig2,'Results Entry'!$AA71)))</f>
        <v/>
      </c>
      <c r="E283" s="2344" t="str">
        <f>IF($C$275="","",('Results Entry'!AH71&amp;signum2('Results Entry'!AI71,SigFig1,SigFig2,'Results Entry'!AH71)))</f>
        <v/>
      </c>
      <c r="F283" s="2342" t="str">
        <f>IF($F$275="","",('Results Entry'!$U71&amp;signum2('Results Entry'!V71,SigFig1,SigFig2,'Results Entry'!$U71)))</f>
        <v/>
      </c>
      <c r="G283" s="2343" t="str">
        <f>IF($F$275="","",('Results Entry'!$U71&amp;signum2('Results Entry'!W71,SigFig1,SigFig2,'Results Entry'!$U71)))</f>
        <v/>
      </c>
      <c r="H283" s="2344" t="str">
        <f>IF($F$275="","",('Results Entry'!AD71&amp;signum2('Results Entry'!AE71,SigFig1,SigFig2,'Results Entry'!AD71)))</f>
        <v/>
      </c>
      <c r="I283" s="2342" t="str">
        <f>IF($I$275="","",('Results Entry'!$X71&amp;signum2('Results Entry'!Y71,SigFig1,SigFig2,'Results Entry'!$X71)))</f>
        <v/>
      </c>
      <c r="J283" s="2343" t="str">
        <f>IF($I$275="","",('Results Entry'!$X71&amp;signum2('Results Entry'!Z71,SigFig1,SigFig2,'Results Entry'!$X71)))</f>
        <v/>
      </c>
      <c r="K283" s="2344" t="str">
        <f>IF($I$275="","",('Results Entry'!$AF71&amp;signum2('Results Entry'!AG71,SigFig1,SigFig2,'Results Entry'!$AF71)))</f>
        <v/>
      </c>
      <c r="L283" s="1321"/>
      <c r="M283" s="1322"/>
      <c r="N283" s="1272"/>
      <c r="O283" s="1319">
        <f t="shared" si="14"/>
        <v>0</v>
      </c>
      <c r="P283" s="1319">
        <f t="shared" si="15"/>
        <v>0</v>
      </c>
    </row>
    <row r="284" spans="1:16" ht="12.75" hidden="1" customHeight="1">
      <c r="A284" s="1297">
        <f>IF('Non-Isokinetic'!A54="","",'Non-Isokinetic'!A54)</f>
        <v>0</v>
      </c>
      <c r="B284" s="1298"/>
      <c r="C284" s="2342" t="str">
        <f>IF($C$275="","",('Results Entry'!$AA72&amp;signum2('Results Entry'!AB72,SigFig1,SigFig2,'Results Entry'!$AA72)))</f>
        <v/>
      </c>
      <c r="D284" s="2343" t="str">
        <f>IF($C$275="","",('Results Entry'!$AA72&amp;signum2('Results Entry'!AC72,SigFig1,SigFig2,'Results Entry'!$AA72)))</f>
        <v/>
      </c>
      <c r="E284" s="2344" t="str">
        <f>IF($C$275="","",('Results Entry'!AH72&amp;signum2('Results Entry'!AI72,SigFig1,SigFig2,'Results Entry'!AH72)))</f>
        <v/>
      </c>
      <c r="F284" s="2342" t="str">
        <f>IF($F$275="","",('Results Entry'!$U72&amp;signum2('Results Entry'!V72,SigFig1,SigFig2,'Results Entry'!$U72)))</f>
        <v/>
      </c>
      <c r="G284" s="2343" t="str">
        <f>IF($F$275="","",('Results Entry'!$U72&amp;signum2('Results Entry'!W72,SigFig1,SigFig2,'Results Entry'!$U72)))</f>
        <v/>
      </c>
      <c r="H284" s="2344" t="str">
        <f>IF($F$275="","",('Results Entry'!AD72&amp;signum2('Results Entry'!AE72,SigFig1,SigFig2,'Results Entry'!AD72)))</f>
        <v/>
      </c>
      <c r="I284" s="2342" t="str">
        <f>IF($I$275="","",('Results Entry'!$X72&amp;signum2('Results Entry'!Y72,SigFig1,SigFig2,'Results Entry'!$X72)))</f>
        <v/>
      </c>
      <c r="J284" s="2343" t="str">
        <f>IF($I$275="","",('Results Entry'!$X72&amp;signum2('Results Entry'!Z72,SigFig1,SigFig2,'Results Entry'!$X72)))</f>
        <v/>
      </c>
      <c r="K284" s="2344" t="str">
        <f>IF($I$275="","",('Results Entry'!$AF72&amp;signum2('Results Entry'!AG72,SigFig1,SigFig2,'Results Entry'!$AF72)))</f>
        <v/>
      </c>
      <c r="L284" s="1321"/>
      <c r="M284" s="1322"/>
      <c r="N284" s="1272"/>
      <c r="O284" s="1319">
        <f t="shared" si="14"/>
        <v>0</v>
      </c>
      <c r="P284" s="1319">
        <f t="shared" si="15"/>
        <v>0</v>
      </c>
    </row>
    <row r="285" spans="1:16" ht="12.75" hidden="1" customHeight="1">
      <c r="A285" s="1297">
        <f>IF('Non-Isokinetic'!A55="","",'Non-Isokinetic'!A55)</f>
        <v>0</v>
      </c>
      <c r="B285" s="1298"/>
      <c r="C285" s="2342" t="str">
        <f>IF($C$275="","",('Results Entry'!$AA73&amp;signum2('Results Entry'!AB73,SigFig1,SigFig2,'Results Entry'!$AA73)))</f>
        <v/>
      </c>
      <c r="D285" s="2343" t="str">
        <f>IF($C$275="","",('Results Entry'!$AA73&amp;signum2('Results Entry'!AC73,SigFig1,SigFig2,'Results Entry'!$AA73)))</f>
        <v/>
      </c>
      <c r="E285" s="2344" t="str">
        <f>IF($C$275="","",('Results Entry'!AH73&amp;signum2('Results Entry'!AI73,SigFig1,SigFig2,'Results Entry'!AH73)))</f>
        <v/>
      </c>
      <c r="F285" s="2342" t="str">
        <f>IF($F$275="","",('Results Entry'!$U73&amp;signum2('Results Entry'!V73,SigFig1,SigFig2,'Results Entry'!$U73)))</f>
        <v/>
      </c>
      <c r="G285" s="2343" t="str">
        <f>IF($F$275="","",('Results Entry'!$U73&amp;signum2('Results Entry'!W73,SigFig1,SigFig2,'Results Entry'!$U73)))</f>
        <v/>
      </c>
      <c r="H285" s="2344" t="str">
        <f>IF($F$275="","",('Results Entry'!AD73&amp;signum2('Results Entry'!AE73,SigFig1,SigFig2,'Results Entry'!AD73)))</f>
        <v/>
      </c>
      <c r="I285" s="2342" t="str">
        <f>IF($I$275="","",('Results Entry'!$X73&amp;signum2('Results Entry'!Y73,SigFig1,SigFig2,'Results Entry'!$X73)))</f>
        <v/>
      </c>
      <c r="J285" s="2343" t="str">
        <f>IF($I$275="","",('Results Entry'!$X73&amp;signum2('Results Entry'!Z73,SigFig1,SigFig2,'Results Entry'!$X73)))</f>
        <v/>
      </c>
      <c r="K285" s="2344" t="str">
        <f>IF($I$275="","",('Results Entry'!$AF73&amp;signum2('Results Entry'!AG73,SigFig1,SigFig2,'Results Entry'!$AF73)))</f>
        <v/>
      </c>
      <c r="L285" s="1321"/>
      <c r="M285" s="1322"/>
      <c r="N285" s="1272"/>
      <c r="O285" s="1319">
        <f t="shared" si="14"/>
        <v>0</v>
      </c>
      <c r="P285" s="1319">
        <f t="shared" si="15"/>
        <v>0</v>
      </c>
    </row>
    <row r="286" spans="1:16" ht="12.75" hidden="1" customHeight="1">
      <c r="A286" s="1297">
        <f>IF('Non-Isokinetic'!A56="","",'Non-Isokinetic'!A56)</f>
        <v>0</v>
      </c>
      <c r="B286" s="1298"/>
      <c r="C286" s="2342" t="str">
        <f>IF($C$275="","",('Results Entry'!$AA74&amp;signum2('Results Entry'!AB74,SigFig1,SigFig2,'Results Entry'!$AA74)))</f>
        <v/>
      </c>
      <c r="D286" s="2343" t="str">
        <f>IF($C$275="","",('Results Entry'!$AA74&amp;signum2('Results Entry'!AC74,SigFig1,SigFig2,'Results Entry'!$AA74)))</f>
        <v/>
      </c>
      <c r="E286" s="2344" t="str">
        <f>IF($C$275="","",('Results Entry'!AH74&amp;signum2('Results Entry'!AI74,SigFig1,SigFig2,'Results Entry'!AH74)))</f>
        <v/>
      </c>
      <c r="F286" s="2342" t="str">
        <f>IF($F$275="","",('Results Entry'!$U74&amp;signum2('Results Entry'!V74,SigFig1,SigFig2,'Results Entry'!$U74)))</f>
        <v/>
      </c>
      <c r="G286" s="2343" t="str">
        <f>IF($F$275="","",('Results Entry'!$U74&amp;signum2('Results Entry'!W74,SigFig1,SigFig2,'Results Entry'!$U74)))</f>
        <v/>
      </c>
      <c r="H286" s="2344" t="str">
        <f>IF($F$275="","",('Results Entry'!AD74&amp;signum2('Results Entry'!AE74,SigFig1,SigFig2,'Results Entry'!AD74)))</f>
        <v/>
      </c>
      <c r="I286" s="2342" t="str">
        <f>IF($I$275="","",('Results Entry'!$X74&amp;signum2('Results Entry'!Y74,SigFig1,SigFig2,'Results Entry'!$X74)))</f>
        <v/>
      </c>
      <c r="J286" s="2343" t="str">
        <f>IF($I$275="","",('Results Entry'!$X74&amp;signum2('Results Entry'!Z74,SigFig1,SigFig2,'Results Entry'!$X74)))</f>
        <v/>
      </c>
      <c r="K286" s="2344" t="str">
        <f>IF($I$275="","",('Results Entry'!$AF74&amp;signum2('Results Entry'!AG74,SigFig1,SigFig2,'Results Entry'!$AF74)))</f>
        <v/>
      </c>
      <c r="L286" s="1321"/>
      <c r="M286" s="1322"/>
      <c r="N286" s="1272"/>
      <c r="O286" s="1319">
        <f t="shared" si="14"/>
        <v>0</v>
      </c>
      <c r="P286" s="1319">
        <f t="shared" si="15"/>
        <v>0</v>
      </c>
    </row>
    <row r="287" spans="1:16" ht="12.75" hidden="1" customHeight="1">
      <c r="A287" s="1299">
        <f>IF('Non-Isokinetic'!A57="","",'Non-Isokinetic'!A57)</f>
        <v>0</v>
      </c>
      <c r="B287" s="1300"/>
      <c r="C287" s="2342" t="str">
        <f>IF($C$275="","",('Results Entry'!$AA75&amp;signum2('Results Entry'!AB75,SigFig1,SigFig2,'Results Entry'!$AA75)))</f>
        <v/>
      </c>
      <c r="D287" s="2343" t="str">
        <f>IF($C$275="","",('Results Entry'!$AA75&amp;signum2('Results Entry'!AC75,SigFig1,SigFig2,'Results Entry'!$AA75)))</f>
        <v/>
      </c>
      <c r="E287" s="2344" t="str">
        <f>IF($C$275="","",('Results Entry'!AH75&amp;signum2('Results Entry'!AI75,SigFig1,SigFig2,'Results Entry'!AH75)))</f>
        <v/>
      </c>
      <c r="F287" s="2342" t="str">
        <f>IF($F$275="","",('Results Entry'!$U75&amp;signum2('Results Entry'!V75,SigFig1,SigFig2,'Results Entry'!$U75)))</f>
        <v/>
      </c>
      <c r="G287" s="2343" t="str">
        <f>IF($F$275="","",('Results Entry'!$U75&amp;signum2('Results Entry'!W75,SigFig1,SigFig2,'Results Entry'!$U75)))</f>
        <v/>
      </c>
      <c r="H287" s="2344" t="str">
        <f>IF($F$275="","",('Results Entry'!AD75&amp;signum2('Results Entry'!AE75,SigFig1,SigFig2,'Results Entry'!AD75)))</f>
        <v/>
      </c>
      <c r="I287" s="2342" t="str">
        <f>IF($I$275="","",('Results Entry'!$X75&amp;signum2('Results Entry'!Y75,SigFig1,SigFig2,'Results Entry'!$X75)))</f>
        <v/>
      </c>
      <c r="J287" s="2343" t="str">
        <f>IF($I$275="","",('Results Entry'!$X75&amp;signum2('Results Entry'!Z75,SigFig1,SigFig2,'Results Entry'!$X75)))</f>
        <v/>
      </c>
      <c r="K287" s="2344" t="str">
        <f>IF($I$275="","",('Results Entry'!$AF75&amp;signum2('Results Entry'!AG75,SigFig1,SigFig2,'Results Entry'!$AF75)))</f>
        <v/>
      </c>
      <c r="L287" s="1321"/>
      <c r="M287" s="1322"/>
      <c r="N287" s="1272"/>
      <c r="O287" s="1319">
        <f t="shared" si="14"/>
        <v>0</v>
      </c>
      <c r="P287" s="1319">
        <f t="shared" si="15"/>
        <v>0</v>
      </c>
    </row>
    <row r="288" spans="1:16" ht="12.75" hidden="1" customHeight="1">
      <c r="A288" s="1371" t="s">
        <v>41</v>
      </c>
      <c r="B288" s="1371" t="s">
        <v>41</v>
      </c>
      <c r="C288" s="1371" t="s">
        <v>41</v>
      </c>
      <c r="D288" s="1371" t="s">
        <v>41</v>
      </c>
      <c r="E288" s="1371" t="s">
        <v>41</v>
      </c>
      <c r="F288" s="1371" t="s">
        <v>41</v>
      </c>
      <c r="G288" s="1371" t="s">
        <v>41</v>
      </c>
      <c r="H288" s="1371" t="s">
        <v>41</v>
      </c>
      <c r="I288" s="1371" t="s">
        <v>41</v>
      </c>
      <c r="J288" s="1371" t="s">
        <v>41</v>
      </c>
      <c r="K288" s="1371" t="s">
        <v>41</v>
      </c>
      <c r="L288" s="1325" t="s">
        <v>41</v>
      </c>
      <c r="M288" s="1325" t="s">
        <v>41</v>
      </c>
      <c r="N288" s="1272"/>
    </row>
    <row r="289" spans="1:16" ht="12.75" hidden="1" customHeight="1">
      <c r="A289" s="1295" t="str">
        <f>IF('Non-Isokinetic'!A61="","",'Non-Isokinetic'!A61)</f>
        <v/>
      </c>
      <c r="B289" s="1284"/>
      <c r="C289" s="2522" t="str">
        <f>IF(A289="","",IF(OR(TestReport="All",TestReport="Average only"),"Average",""))</f>
        <v/>
      </c>
      <c r="D289" s="2523" t="str">
        <f>IF(OR(TestReport="Test 2 only",TestReport="Tests 1 &amp; 2"),"Test 2","")</f>
        <v/>
      </c>
      <c r="E289" s="2524" t="str">
        <f>IF(OR(TestReport="Test 2 only",TestReport="Tests 1 &amp; 2"),"Test 2","")</f>
        <v/>
      </c>
      <c r="F289" s="2522" t="str">
        <f>IF(A289="","",IF(OR(TestReport="Test 2 only",TestReport="Average only"),"",IF(TestReport="Test 1 only","Results","Test 1")))</f>
        <v/>
      </c>
      <c r="G289" s="2523" t="str">
        <f>IF(OR(TestReport="Test 1 only",TestReport="Tests 1 &amp; 2"),"Test 1","")</f>
        <v/>
      </c>
      <c r="H289" s="2524" t="str">
        <f>IF(OR(TestReport="Test 1 only",TestReport="Tests 1 &amp; 2"),"Test 1","")</f>
        <v/>
      </c>
      <c r="I289" s="2522" t="str">
        <f>IF(A289="","",IF(OR(TestReport="Test 1 only",TestReport="Average only"),"",IF(TestReport="Test 2 only","Results","Test 2")))</f>
        <v/>
      </c>
      <c r="J289" s="2523" t="str">
        <f>IF(OR(TestReport="Test 1 only",TestReport="Tests 1 &amp; 2"),"Test 1","")</f>
        <v/>
      </c>
      <c r="K289" s="2524" t="str">
        <f>IF(OR(TestReport="Test 1 only",TestReport="Tests 1 &amp; 2"),"Test 1","")</f>
        <v/>
      </c>
      <c r="L289" s="2519" t="s">
        <v>62</v>
      </c>
      <c r="M289" s="2520"/>
      <c r="N289" s="1272"/>
      <c r="O289" s="2521" t="s">
        <v>369</v>
      </c>
      <c r="P289" s="2521"/>
    </row>
    <row r="290" spans="1:16" s="1416" customFormat="1" ht="12.75" hidden="1" customHeight="1">
      <c r="A290" s="1412"/>
      <c r="B290" s="1418" t="str">
        <f>IF(A289="","","Sampling time")</f>
        <v/>
      </c>
      <c r="C290" s="1419"/>
      <c r="D290" s="1419"/>
      <c r="E290" s="1415"/>
      <c r="F290" s="2514" t="str">
        <f>IF(F$289="","",(IF('Non-Isokinetic'!C63="","",'Non-Isokinetic'!C63&amp;"-"&amp;'Non-Isokinetic'!C64)))</f>
        <v/>
      </c>
      <c r="G290" s="2515"/>
      <c r="H290" s="2516"/>
      <c r="I290" s="2514" t="str">
        <f>IF(I$289="","",(IF('Non-Isokinetic'!D63="","",'Non-Isokinetic'!D63&amp;"-"&amp;'Non-Isokinetic'!D64)))</f>
        <v/>
      </c>
      <c r="J290" s="2515"/>
      <c r="K290" s="2516"/>
      <c r="L290" s="1414"/>
      <c r="M290" s="1415"/>
      <c r="N290" s="1420"/>
    </row>
    <row r="291" spans="1:16" ht="12" hidden="1" customHeight="1">
      <c r="A291" s="1294"/>
      <c r="B291" s="1318"/>
      <c r="C291" s="1316" t="str">
        <f>IF(C$289="","","Concentration")</f>
        <v/>
      </c>
      <c r="D291" s="1411" t="str">
        <f>IF(C$289="","",O2CO2)</f>
        <v/>
      </c>
      <c r="E291" s="1318" t="str">
        <f>IF(C$289="","","Mass Rate")</f>
        <v/>
      </c>
      <c r="F291" s="1316" t="str">
        <f>IF(F$289="","","Concentration")</f>
        <v/>
      </c>
      <c r="G291" s="1411" t="str">
        <f>IF(F$289="","",O2CO2)</f>
        <v/>
      </c>
      <c r="H291" s="1318" t="str">
        <f>IF(F$289="","","Mass Rate")</f>
        <v/>
      </c>
      <c r="I291" s="1316" t="str">
        <f>IF(I$289="","","Concentration")</f>
        <v/>
      </c>
      <c r="J291" s="1411" t="str">
        <f>IF(I$289="","",O2CO2)</f>
        <v/>
      </c>
      <c r="K291" s="1318" t="str">
        <f>IF(I$289="","","Mass Rate")</f>
        <v/>
      </c>
      <c r="L291" s="1321"/>
      <c r="M291" s="1322"/>
      <c r="N291" s="1272"/>
      <c r="O291" s="1291" t="s">
        <v>367</v>
      </c>
      <c r="P291" s="1291" t="s">
        <v>368</v>
      </c>
    </row>
    <row r="292" spans="1:16" ht="12.75" hidden="1" customHeight="1">
      <c r="A292" s="1294"/>
      <c r="B292" s="1296"/>
      <c r="C292" s="1313" t="str">
        <f>IF(C289="","",CU)</f>
        <v/>
      </c>
      <c r="D292" s="1314" t="str">
        <f>C292</f>
        <v/>
      </c>
      <c r="E292" s="1315" t="str">
        <f>IF(C289="","",MRU)</f>
        <v/>
      </c>
      <c r="F292" s="2345" t="str">
        <f>IF(F289="","",CU)</f>
        <v/>
      </c>
      <c r="G292" s="2346" t="str">
        <f>F292</f>
        <v/>
      </c>
      <c r="H292" s="1315" t="str">
        <f>IF(F289="","",MRU)</f>
        <v/>
      </c>
      <c r="I292" s="2345" t="str">
        <f>IF(I289="","",CU)</f>
        <v/>
      </c>
      <c r="J292" s="1314" t="str">
        <f>I292</f>
        <v/>
      </c>
      <c r="K292" s="1315" t="str">
        <f>IF(I289="","",MRU)</f>
        <v/>
      </c>
      <c r="L292" s="1313" t="str">
        <f>CU</f>
        <v>mg/m³</v>
      </c>
      <c r="M292" s="1315" t="str">
        <f>MRU</f>
        <v>g/min</v>
      </c>
      <c r="N292" s="1272"/>
      <c r="O292" s="1291" t="str">
        <f>CU</f>
        <v>mg/m³</v>
      </c>
      <c r="P292" s="1291" t="str">
        <f>MRU</f>
        <v>g/min</v>
      </c>
    </row>
    <row r="293" spans="1:16" ht="12.75" hidden="1" customHeight="1">
      <c r="A293" s="1297">
        <f>IF('Non-Isokinetic'!A63="","",'Non-Isokinetic'!A63)</f>
        <v>0</v>
      </c>
      <c r="B293" s="1298"/>
      <c r="C293" s="2342" t="str">
        <f>IF($C$289="","",('Results Entry'!$AA84&amp;signum2('Results Entry'!AB84,SigFig1,SigFig2,'Results Entry'!$AA84)))</f>
        <v/>
      </c>
      <c r="D293" s="2343" t="str">
        <f>IF($C$289="","",('Results Entry'!$AA84&amp;signum2('Results Entry'!AC84,SigFig1,SigFig2,'Results Entry'!$AA84)))</f>
        <v/>
      </c>
      <c r="E293" s="2344" t="str">
        <f>IF($C$289="","",('Results Entry'!AH84&amp;signum2('Results Entry'!AI84,SigFig1,SigFig2,'Results Entry'!AH84)))</f>
        <v/>
      </c>
      <c r="F293" s="2342" t="str">
        <f>IF($F$289="","",('Results Entry'!$U84&amp;signum2('Results Entry'!V84,SigFig1,SigFig2,'Results Entry'!$U84)))</f>
        <v/>
      </c>
      <c r="G293" s="2343" t="str">
        <f>IF($F$289="","",('Results Entry'!$U84&amp;signum2('Results Entry'!W84,SigFig1,SigFig2,'Results Entry'!$U84)))</f>
        <v/>
      </c>
      <c r="H293" s="2344" t="str">
        <f>IF($F$289="","",('Results Entry'!AD84&amp;signum2('Results Entry'!AE84,SigFig1,SigFig2,'Results Entry'!AD84)))</f>
        <v/>
      </c>
      <c r="I293" s="2342" t="str">
        <f>IF($I$289="","",('Results Entry'!$X84&amp;signum2('Results Entry'!Y84,SigFig1,SigFig2,'Results Entry'!$X84)))</f>
        <v/>
      </c>
      <c r="J293" s="2343" t="str">
        <f>IF($I$289="","",('Results Entry'!$X84&amp;signum2('Results Entry'!Z84,SigFig1,SigFig2,'Results Entry'!$X84)))</f>
        <v/>
      </c>
      <c r="K293" s="2344" t="str">
        <f>IF($I$289="","",('Results Entry'!$AF84&amp;signum2('Results Entry'!AG84,SigFig1,SigFig2,'Results Entry'!$AF84)))</f>
        <v/>
      </c>
      <c r="L293" s="1321"/>
      <c r="M293" s="1322"/>
      <c r="N293" s="1272"/>
      <c r="O293" s="1319">
        <f>MAX(IF(ISERROR(VALUE($C293)),0,VALUE($C293)),IF(ISERROR(VALUE($F293)),0,VALUE($F293)),IF(ISERROR(VALUE($I293)),0,VALUE($I293)))</f>
        <v>0</v>
      </c>
      <c r="P293" s="1319">
        <f>MAX(IF(ISERROR(VALUE($E293)),0,VALUE($E293)),IF(ISERROR(VALUE($H293)),0,VALUE($H293)),IF(ISERROR(VALUE($K293)),0,VALUE($K293)))</f>
        <v>0</v>
      </c>
    </row>
    <row r="294" spans="1:16" ht="12.75" hidden="1" customHeight="1">
      <c r="A294" s="1297">
        <f>IF('Non-Isokinetic'!A64="","",'Non-Isokinetic'!A64)</f>
        <v>0</v>
      </c>
      <c r="B294" s="1298"/>
      <c r="C294" s="2342" t="str">
        <f>IF($C$289="","",('Results Entry'!$AA85&amp;signum2('Results Entry'!AB85,SigFig1,SigFig2,'Results Entry'!$AA85)))</f>
        <v/>
      </c>
      <c r="D294" s="2343" t="str">
        <f>IF($C$289="","",('Results Entry'!$AA85&amp;signum2('Results Entry'!AC85,SigFig1,SigFig2,'Results Entry'!$AA85)))</f>
        <v/>
      </c>
      <c r="E294" s="2344" t="str">
        <f>IF($C$289="","",('Results Entry'!AH85&amp;signum2('Results Entry'!AI85,SigFig1,SigFig2,'Results Entry'!AH85)))</f>
        <v/>
      </c>
      <c r="F294" s="2342" t="str">
        <f>IF($F$289="","",('Results Entry'!$U85&amp;signum2('Results Entry'!V85,SigFig1,SigFig2,'Results Entry'!$U85)))</f>
        <v/>
      </c>
      <c r="G294" s="2343" t="str">
        <f>IF($F$289="","",('Results Entry'!$U85&amp;signum2('Results Entry'!W85,SigFig1,SigFig2,'Results Entry'!$U85)))</f>
        <v/>
      </c>
      <c r="H294" s="2344" t="str">
        <f>IF($F$289="","",('Results Entry'!AD85&amp;signum2('Results Entry'!AE85,SigFig1,SigFig2,'Results Entry'!AD85)))</f>
        <v/>
      </c>
      <c r="I294" s="2342" t="str">
        <f>IF($I$289="","",('Results Entry'!$X85&amp;signum2('Results Entry'!Y85,SigFig1,SigFig2,'Results Entry'!$X85)))</f>
        <v/>
      </c>
      <c r="J294" s="2343" t="str">
        <f>IF($I$289="","",('Results Entry'!$X85&amp;signum2('Results Entry'!Z85,SigFig1,SigFig2,'Results Entry'!$X85)))</f>
        <v/>
      </c>
      <c r="K294" s="2344" t="str">
        <f>IF($I$289="","",('Results Entry'!$AF85&amp;signum2('Results Entry'!AG85,SigFig1,SigFig2,'Results Entry'!$AF85)))</f>
        <v/>
      </c>
      <c r="L294" s="1321"/>
      <c r="M294" s="1322"/>
      <c r="N294" s="1272"/>
      <c r="O294" s="1319">
        <f t="shared" ref="O294:O301" si="16">MAX(IF(ISERROR(VALUE($C294)),0,VALUE($C294)),IF(ISERROR(VALUE($F294)),0,VALUE($F294)),IF(ISERROR(VALUE($I294)),0,VALUE($I294)))</f>
        <v>0</v>
      </c>
      <c r="P294" s="1319">
        <f t="shared" ref="P294:P301" si="17">MAX(IF(ISERROR(VALUE($E294)),0,VALUE($E294)),IF(ISERROR(VALUE($H294)),0,VALUE($H294)),IF(ISERROR(VALUE($K294)),0,VALUE($K294)))</f>
        <v>0</v>
      </c>
    </row>
    <row r="295" spans="1:16" ht="12.75" hidden="1" customHeight="1">
      <c r="A295" s="1297">
        <f>IF('Non-Isokinetic'!A65="","",'Non-Isokinetic'!A65)</f>
        <v>0</v>
      </c>
      <c r="B295" s="1298"/>
      <c r="C295" s="2342" t="str">
        <f>IF($C$289="","",('Results Entry'!$AA86&amp;signum2('Results Entry'!AB86,SigFig1,SigFig2,'Results Entry'!$AA86)))</f>
        <v/>
      </c>
      <c r="D295" s="2343" t="str">
        <f>IF($C$289="","",('Results Entry'!$AA86&amp;signum2('Results Entry'!AC86,SigFig1,SigFig2,'Results Entry'!$AA86)))</f>
        <v/>
      </c>
      <c r="E295" s="2344" t="str">
        <f>IF($C$289="","",('Results Entry'!AH86&amp;signum2('Results Entry'!AI86,SigFig1,SigFig2,'Results Entry'!AH86)))</f>
        <v/>
      </c>
      <c r="F295" s="2342" t="str">
        <f>IF($F$289="","",('Results Entry'!$U86&amp;signum2('Results Entry'!V86,SigFig1,SigFig2,'Results Entry'!$U86)))</f>
        <v/>
      </c>
      <c r="G295" s="2343" t="str">
        <f>IF($F$289="","",('Results Entry'!$U86&amp;signum2('Results Entry'!W86,SigFig1,SigFig2,'Results Entry'!$U86)))</f>
        <v/>
      </c>
      <c r="H295" s="2344" t="str">
        <f>IF($F$289="","",('Results Entry'!AD86&amp;signum2('Results Entry'!AE86,SigFig1,SigFig2,'Results Entry'!AD86)))</f>
        <v/>
      </c>
      <c r="I295" s="2342" t="str">
        <f>IF($I$289="","",('Results Entry'!$X86&amp;signum2('Results Entry'!Y86,SigFig1,SigFig2,'Results Entry'!$X86)))</f>
        <v/>
      </c>
      <c r="J295" s="2343" t="str">
        <f>IF($I$289="","",('Results Entry'!$X86&amp;signum2('Results Entry'!Z86,SigFig1,SigFig2,'Results Entry'!$X86)))</f>
        <v/>
      </c>
      <c r="K295" s="2344" t="str">
        <f>IF($I$289="","",('Results Entry'!$AF86&amp;signum2('Results Entry'!AG86,SigFig1,SigFig2,'Results Entry'!$AF86)))</f>
        <v/>
      </c>
      <c r="L295" s="1321"/>
      <c r="M295" s="1322"/>
      <c r="N295" s="1272"/>
      <c r="O295" s="1319">
        <f t="shared" si="16"/>
        <v>0</v>
      </c>
      <c r="P295" s="1319">
        <f t="shared" si="17"/>
        <v>0</v>
      </c>
    </row>
    <row r="296" spans="1:16" ht="12.75" hidden="1" customHeight="1">
      <c r="A296" s="1297">
        <f>IF('Non-Isokinetic'!A66="","",'Non-Isokinetic'!A66)</f>
        <v>0</v>
      </c>
      <c r="B296" s="1298"/>
      <c r="C296" s="2342" t="str">
        <f>IF($C$289="","",('Results Entry'!$AA87&amp;signum2('Results Entry'!AB87,SigFig1,SigFig2,'Results Entry'!$AA87)))</f>
        <v/>
      </c>
      <c r="D296" s="2343" t="str">
        <f>IF($C$289="","",('Results Entry'!$AA87&amp;signum2('Results Entry'!AC87,SigFig1,SigFig2,'Results Entry'!$AA87)))</f>
        <v/>
      </c>
      <c r="E296" s="2344" t="str">
        <f>IF($C$289="","",('Results Entry'!AH87&amp;signum2('Results Entry'!AI87,SigFig1,SigFig2,'Results Entry'!AH87)))</f>
        <v/>
      </c>
      <c r="F296" s="2342" t="str">
        <f>IF($F$289="","",('Results Entry'!$U87&amp;signum2('Results Entry'!V87,SigFig1,SigFig2,'Results Entry'!$U87)))</f>
        <v/>
      </c>
      <c r="G296" s="2343" t="str">
        <f>IF($F$289="","",('Results Entry'!$U87&amp;signum2('Results Entry'!W87,SigFig1,SigFig2,'Results Entry'!$U87)))</f>
        <v/>
      </c>
      <c r="H296" s="2344" t="str">
        <f>IF($F$289="","",('Results Entry'!AD87&amp;signum2('Results Entry'!AE87,SigFig1,SigFig2,'Results Entry'!AD87)))</f>
        <v/>
      </c>
      <c r="I296" s="2342" t="str">
        <f>IF($I$289="","",('Results Entry'!$X87&amp;signum2('Results Entry'!Y87,SigFig1,SigFig2,'Results Entry'!$X87)))</f>
        <v/>
      </c>
      <c r="J296" s="2343" t="str">
        <f>IF($I$289="","",('Results Entry'!$X87&amp;signum2('Results Entry'!Z87,SigFig1,SigFig2,'Results Entry'!$X87)))</f>
        <v/>
      </c>
      <c r="K296" s="2344" t="str">
        <f>IF($I$289="","",('Results Entry'!$AF87&amp;signum2('Results Entry'!AG87,SigFig1,SigFig2,'Results Entry'!$AF87)))</f>
        <v/>
      </c>
      <c r="L296" s="1321"/>
      <c r="M296" s="1322"/>
      <c r="N296" s="1272"/>
      <c r="O296" s="1319">
        <f t="shared" si="16"/>
        <v>0</v>
      </c>
      <c r="P296" s="1319">
        <f t="shared" si="17"/>
        <v>0</v>
      </c>
    </row>
    <row r="297" spans="1:16" ht="12.75" hidden="1" customHeight="1">
      <c r="A297" s="1297">
        <f>IF('Non-Isokinetic'!A67="","",'Non-Isokinetic'!A67)</f>
        <v>0</v>
      </c>
      <c r="B297" s="1298"/>
      <c r="C297" s="2342" t="str">
        <f>IF($C$289="","",('Results Entry'!$AA88&amp;signum2('Results Entry'!AB88,SigFig1,SigFig2,'Results Entry'!$AA88)))</f>
        <v/>
      </c>
      <c r="D297" s="2343" t="str">
        <f>IF($C$289="","",('Results Entry'!$AA88&amp;signum2('Results Entry'!AC88,SigFig1,SigFig2,'Results Entry'!$AA88)))</f>
        <v/>
      </c>
      <c r="E297" s="2344" t="str">
        <f>IF($C$289="","",('Results Entry'!AH88&amp;signum2('Results Entry'!AI88,SigFig1,SigFig2,'Results Entry'!AH88)))</f>
        <v/>
      </c>
      <c r="F297" s="2342" t="str">
        <f>IF($F$289="","",('Results Entry'!$U88&amp;signum2('Results Entry'!V88,SigFig1,SigFig2,'Results Entry'!$U88)))</f>
        <v/>
      </c>
      <c r="G297" s="2343" t="str">
        <f>IF($F$289="","",('Results Entry'!$U88&amp;signum2('Results Entry'!W88,SigFig1,SigFig2,'Results Entry'!$U88)))</f>
        <v/>
      </c>
      <c r="H297" s="2344" t="str">
        <f>IF($F$289="","",('Results Entry'!AD88&amp;signum2('Results Entry'!AE88,SigFig1,SigFig2,'Results Entry'!AD88)))</f>
        <v/>
      </c>
      <c r="I297" s="2342" t="str">
        <f>IF($I$289="","",('Results Entry'!$X88&amp;signum2('Results Entry'!Y88,SigFig1,SigFig2,'Results Entry'!$X88)))</f>
        <v/>
      </c>
      <c r="J297" s="2343" t="str">
        <f>IF($I$289="","",('Results Entry'!$X88&amp;signum2('Results Entry'!Z88,SigFig1,SigFig2,'Results Entry'!$X88)))</f>
        <v/>
      </c>
      <c r="K297" s="2344" t="str">
        <f>IF($I$289="","",('Results Entry'!$AF88&amp;signum2('Results Entry'!AG88,SigFig1,SigFig2,'Results Entry'!$AF88)))</f>
        <v/>
      </c>
      <c r="L297" s="1321"/>
      <c r="M297" s="1322"/>
      <c r="N297" s="1272"/>
      <c r="O297" s="1319">
        <f t="shared" si="16"/>
        <v>0</v>
      </c>
      <c r="P297" s="1319">
        <f t="shared" si="17"/>
        <v>0</v>
      </c>
    </row>
    <row r="298" spans="1:16" ht="12.75" hidden="1" customHeight="1">
      <c r="A298" s="1297">
        <f>IF('Non-Isokinetic'!A68="","",'Non-Isokinetic'!A68)</f>
        <v>0</v>
      </c>
      <c r="B298" s="1298"/>
      <c r="C298" s="2342" t="str">
        <f>IF($C$289="","",('Results Entry'!$AA89&amp;signum2('Results Entry'!AB89,SigFig1,SigFig2,'Results Entry'!$AA89)))</f>
        <v/>
      </c>
      <c r="D298" s="2343" t="str">
        <f>IF($C$289="","",('Results Entry'!$AA89&amp;signum2('Results Entry'!AC89,SigFig1,SigFig2,'Results Entry'!$AA89)))</f>
        <v/>
      </c>
      <c r="E298" s="2344" t="str">
        <f>IF($C$289="","",('Results Entry'!AH89&amp;signum2('Results Entry'!AI89,SigFig1,SigFig2,'Results Entry'!AH89)))</f>
        <v/>
      </c>
      <c r="F298" s="2342" t="str">
        <f>IF($F$289="","",('Results Entry'!$U89&amp;signum2('Results Entry'!V89,SigFig1,SigFig2,'Results Entry'!$U89)))</f>
        <v/>
      </c>
      <c r="G298" s="2343" t="str">
        <f>IF($F$289="","",('Results Entry'!$U89&amp;signum2('Results Entry'!W89,SigFig1,SigFig2,'Results Entry'!$U89)))</f>
        <v/>
      </c>
      <c r="H298" s="2344" t="str">
        <f>IF($F$289="","",('Results Entry'!AD89&amp;signum2('Results Entry'!AE89,SigFig1,SigFig2,'Results Entry'!AD89)))</f>
        <v/>
      </c>
      <c r="I298" s="2342" t="str">
        <f>IF($I$289="","",('Results Entry'!$X89&amp;signum2('Results Entry'!Y89,SigFig1,SigFig2,'Results Entry'!$X89)))</f>
        <v/>
      </c>
      <c r="J298" s="2343" t="str">
        <f>IF($I$289="","",('Results Entry'!$X89&amp;signum2('Results Entry'!Z89,SigFig1,SigFig2,'Results Entry'!$X89)))</f>
        <v/>
      </c>
      <c r="K298" s="2344" t="str">
        <f>IF($I$289="","",('Results Entry'!$AF89&amp;signum2('Results Entry'!AG89,SigFig1,SigFig2,'Results Entry'!$AF89)))</f>
        <v/>
      </c>
      <c r="L298" s="1321"/>
      <c r="M298" s="1322"/>
      <c r="N298" s="1272"/>
      <c r="O298" s="1319">
        <f t="shared" si="16"/>
        <v>0</v>
      </c>
      <c r="P298" s="1319">
        <f t="shared" si="17"/>
        <v>0</v>
      </c>
    </row>
    <row r="299" spans="1:16" ht="12.75" hidden="1" customHeight="1">
      <c r="A299" s="1297">
        <f>IF('Non-Isokinetic'!A69="","",'Non-Isokinetic'!A69)</f>
        <v>0</v>
      </c>
      <c r="B299" s="1298"/>
      <c r="C299" s="2342" t="str">
        <f>IF($C$289="","",('Results Entry'!$AA90&amp;signum2('Results Entry'!AB90,SigFig1,SigFig2,'Results Entry'!$AA90)))</f>
        <v/>
      </c>
      <c r="D299" s="2343" t="str">
        <f>IF($C$289="","",('Results Entry'!$AA90&amp;signum2('Results Entry'!AC90,SigFig1,SigFig2,'Results Entry'!$AA90)))</f>
        <v/>
      </c>
      <c r="E299" s="2344" t="str">
        <f>IF($C$289="","",('Results Entry'!AH90&amp;signum2('Results Entry'!AI90,SigFig1,SigFig2,'Results Entry'!AH90)))</f>
        <v/>
      </c>
      <c r="F299" s="2342" t="str">
        <f>IF($F$289="","",('Results Entry'!$U90&amp;signum2('Results Entry'!V90,SigFig1,SigFig2,'Results Entry'!$U90)))</f>
        <v/>
      </c>
      <c r="G299" s="2343" t="str">
        <f>IF($F$289="","",('Results Entry'!$U90&amp;signum2('Results Entry'!W90,SigFig1,SigFig2,'Results Entry'!$U90)))</f>
        <v/>
      </c>
      <c r="H299" s="2344" t="str">
        <f>IF($F$289="","",('Results Entry'!AD90&amp;signum2('Results Entry'!AE90,SigFig1,SigFig2,'Results Entry'!AD90)))</f>
        <v/>
      </c>
      <c r="I299" s="2342" t="str">
        <f>IF($I$289="","",('Results Entry'!$X90&amp;signum2('Results Entry'!Y90,SigFig1,SigFig2,'Results Entry'!$X90)))</f>
        <v/>
      </c>
      <c r="J299" s="2343" t="str">
        <f>IF($I$289="","",('Results Entry'!$X90&amp;signum2('Results Entry'!Z90,SigFig1,SigFig2,'Results Entry'!$X90)))</f>
        <v/>
      </c>
      <c r="K299" s="2344" t="str">
        <f>IF($I$289="","",('Results Entry'!$AF90&amp;signum2('Results Entry'!AG90,SigFig1,SigFig2,'Results Entry'!$AF90)))</f>
        <v/>
      </c>
      <c r="L299" s="1321"/>
      <c r="M299" s="1322"/>
      <c r="N299" s="1272"/>
      <c r="O299" s="1319">
        <f t="shared" si="16"/>
        <v>0</v>
      </c>
      <c r="P299" s="1319">
        <f t="shared" si="17"/>
        <v>0</v>
      </c>
    </row>
    <row r="300" spans="1:16" ht="12.75" hidden="1" customHeight="1">
      <c r="A300" s="1297">
        <f>IF('Non-Isokinetic'!A70="","",'Non-Isokinetic'!A70)</f>
        <v>0</v>
      </c>
      <c r="B300" s="1298"/>
      <c r="C300" s="2342" t="str">
        <f>IF($C$289="","",('Results Entry'!$AA91&amp;signum2('Results Entry'!AB91,SigFig1,SigFig2,'Results Entry'!$AA91)))</f>
        <v/>
      </c>
      <c r="D300" s="2343" t="str">
        <f>IF($C$289="","",('Results Entry'!$AA91&amp;signum2('Results Entry'!AC91,SigFig1,SigFig2,'Results Entry'!$AA91)))</f>
        <v/>
      </c>
      <c r="E300" s="2344" t="str">
        <f>IF($C$289="","",('Results Entry'!AH91&amp;signum2('Results Entry'!AI91,SigFig1,SigFig2,'Results Entry'!AH91)))</f>
        <v/>
      </c>
      <c r="F300" s="2342" t="str">
        <f>IF($F$289="","",('Results Entry'!$U91&amp;signum2('Results Entry'!V91,SigFig1,SigFig2,'Results Entry'!$U91)))</f>
        <v/>
      </c>
      <c r="G300" s="2343" t="str">
        <f>IF($F$289="","",('Results Entry'!$U91&amp;signum2('Results Entry'!W91,SigFig1,SigFig2,'Results Entry'!$U91)))</f>
        <v/>
      </c>
      <c r="H300" s="2344" t="str">
        <f>IF($F$289="","",('Results Entry'!AD91&amp;signum2('Results Entry'!AE91,SigFig1,SigFig2,'Results Entry'!AD91)))</f>
        <v/>
      </c>
      <c r="I300" s="2342" t="str">
        <f>IF($I$289="","",('Results Entry'!$X91&amp;signum2('Results Entry'!Y91,SigFig1,SigFig2,'Results Entry'!$X91)))</f>
        <v/>
      </c>
      <c r="J300" s="2343" t="str">
        <f>IF($I$289="","",('Results Entry'!$X91&amp;signum2('Results Entry'!Z91,SigFig1,SigFig2,'Results Entry'!$X91)))</f>
        <v/>
      </c>
      <c r="K300" s="2344" t="str">
        <f>IF($I$289="","",('Results Entry'!$AF91&amp;signum2('Results Entry'!AG91,SigFig1,SigFig2,'Results Entry'!$AF91)))</f>
        <v/>
      </c>
      <c r="L300" s="1321"/>
      <c r="M300" s="1322"/>
      <c r="N300" s="1272"/>
      <c r="O300" s="1319">
        <f t="shared" si="16"/>
        <v>0</v>
      </c>
      <c r="P300" s="1319">
        <f t="shared" si="17"/>
        <v>0</v>
      </c>
    </row>
    <row r="301" spans="1:16" ht="12.75" hidden="1" customHeight="1">
      <c r="A301" s="1299">
        <f>IF('Non-Isokinetic'!A71="","",'Non-Isokinetic'!A71)</f>
        <v>0</v>
      </c>
      <c r="B301" s="1300"/>
      <c r="C301" s="2342" t="str">
        <f>IF($C$289="","",('Results Entry'!$AA92&amp;signum2('Results Entry'!AB92,SigFig1,SigFig2,'Results Entry'!$AA92)))</f>
        <v/>
      </c>
      <c r="D301" s="2343" t="str">
        <f>IF($C$289="","",('Results Entry'!$AA92&amp;signum2('Results Entry'!AC92,SigFig1,SigFig2,'Results Entry'!$AA92)))</f>
        <v/>
      </c>
      <c r="E301" s="2344" t="str">
        <f>IF($C$289="","",('Results Entry'!AH92&amp;signum2('Results Entry'!AI92,SigFig1,SigFig2,'Results Entry'!AH92)))</f>
        <v/>
      </c>
      <c r="F301" s="2342" t="str">
        <f>IF($F$289="","",('Results Entry'!$U92&amp;signum2('Results Entry'!V92,SigFig1,SigFig2,'Results Entry'!$U92)))</f>
        <v/>
      </c>
      <c r="G301" s="2343" t="str">
        <f>IF($F$289="","",('Results Entry'!$U92&amp;signum2('Results Entry'!W92,SigFig1,SigFig2,'Results Entry'!$U92)))</f>
        <v/>
      </c>
      <c r="H301" s="2344" t="str">
        <f>IF($F$289="","",('Results Entry'!AD92&amp;signum2('Results Entry'!AE92,SigFig1,SigFig2,'Results Entry'!AD92)))</f>
        <v/>
      </c>
      <c r="I301" s="2342" t="str">
        <f>IF($I$289="","",('Results Entry'!$X92&amp;signum2('Results Entry'!Y92,SigFig1,SigFig2,'Results Entry'!$X92)))</f>
        <v/>
      </c>
      <c r="J301" s="2343" t="str">
        <f>IF($I$289="","",('Results Entry'!$X92&amp;signum2('Results Entry'!Z92,SigFig1,SigFig2,'Results Entry'!$X92)))</f>
        <v/>
      </c>
      <c r="K301" s="2344" t="str">
        <f>IF($I$289="","",('Results Entry'!$AF92&amp;signum2('Results Entry'!AG92,SigFig1,SigFig2,'Results Entry'!$AF92)))</f>
        <v/>
      </c>
      <c r="L301" s="1321"/>
      <c r="M301" s="1322"/>
      <c r="N301" s="1272"/>
      <c r="O301" s="1319">
        <f t="shared" si="16"/>
        <v>0</v>
      </c>
      <c r="P301" s="1319">
        <f t="shared" si="17"/>
        <v>0</v>
      </c>
    </row>
    <row r="302" spans="1:16" ht="12.75" hidden="1" customHeight="1">
      <c r="A302" s="1371" t="s">
        <v>41</v>
      </c>
      <c r="B302" s="1371" t="s">
        <v>41</v>
      </c>
      <c r="C302" s="1371" t="s">
        <v>41</v>
      </c>
      <c r="D302" s="1371" t="s">
        <v>41</v>
      </c>
      <c r="E302" s="1371" t="s">
        <v>41</v>
      </c>
      <c r="F302" s="1371" t="s">
        <v>41</v>
      </c>
      <c r="G302" s="1371" t="s">
        <v>41</v>
      </c>
      <c r="H302" s="1371" t="s">
        <v>41</v>
      </c>
      <c r="I302" s="1371" t="s">
        <v>41</v>
      </c>
      <c r="J302" s="1371" t="s">
        <v>41</v>
      </c>
      <c r="K302" s="1371" t="s">
        <v>41</v>
      </c>
      <c r="L302" s="1325" t="s">
        <v>41</v>
      </c>
      <c r="M302" s="1325" t="s">
        <v>41</v>
      </c>
      <c r="N302" s="1272"/>
    </row>
    <row r="303" spans="1:16" ht="12.75" hidden="1" customHeight="1">
      <c r="A303" s="1295" t="str">
        <f>IF('Non-Isokinetic'!A75="","",'Non-Isokinetic'!A75)</f>
        <v/>
      </c>
      <c r="B303" s="1284"/>
      <c r="C303" s="2522" t="str">
        <f>IF(A303="","",IF(OR(TestReport="All",TestReport="Average only"),"Average",""))</f>
        <v/>
      </c>
      <c r="D303" s="2523" t="str">
        <f>IF(OR(TestReport="Test 2 only",TestReport="Tests 1 &amp; 2"),"Test 2","")</f>
        <v/>
      </c>
      <c r="E303" s="2524" t="str">
        <f>IF(OR(TestReport="Test 2 only",TestReport="Tests 1 &amp; 2"),"Test 2","")</f>
        <v/>
      </c>
      <c r="F303" s="2522" t="str">
        <f>IF(A303="","",IF(OR(TestReport="Test 2 only",TestReport="Average only"),"",IF(TestReport="Test 1 only","Results","Test 1")))</f>
        <v/>
      </c>
      <c r="G303" s="2523" t="str">
        <f>IF(OR(TestReport="Test 1 only",TestReport="Tests 1 &amp; 2"),"Test 1","")</f>
        <v/>
      </c>
      <c r="H303" s="2524" t="str">
        <f>IF(OR(TestReport="Test 1 only",TestReport="Tests 1 &amp; 2"),"Test 1","")</f>
        <v/>
      </c>
      <c r="I303" s="2522" t="str">
        <f>IF(A303="","",IF(OR(TestReport="Test 1 only",TestReport="Average only"),"",IF(TestReport="Test 2 only","Results","Test 2")))</f>
        <v/>
      </c>
      <c r="J303" s="2523" t="str">
        <f>IF(OR(TestReport="Test 1 only",TestReport="Tests 1 &amp; 2"),"Test 1","")</f>
        <v/>
      </c>
      <c r="K303" s="2524" t="str">
        <f>IF(OR(TestReport="Test 1 only",TestReport="Tests 1 &amp; 2"),"Test 1","")</f>
        <v/>
      </c>
      <c r="L303" s="2519" t="s">
        <v>62</v>
      </c>
      <c r="M303" s="2520"/>
      <c r="N303" s="1272"/>
      <c r="O303" s="2521" t="s">
        <v>369</v>
      </c>
      <c r="P303" s="2521"/>
    </row>
    <row r="304" spans="1:16" ht="12.75" hidden="1" customHeight="1">
      <c r="A304" s="1288"/>
      <c r="B304" s="1289" t="str">
        <f>IF(A303="","","Sampling time")</f>
        <v/>
      </c>
      <c r="C304" s="1273"/>
      <c r="D304" s="1317"/>
      <c r="E304" s="1322"/>
      <c r="F304" s="2534" t="str">
        <f>IF(F$303="","",(IF('Non-Isokinetic'!C77="","",'Non-Isokinetic'!C77&amp;"-"&amp;'Non-Isokinetic'!C78)))</f>
        <v/>
      </c>
      <c r="G304" s="2535"/>
      <c r="H304" s="2536"/>
      <c r="I304" s="2534" t="str">
        <f>IF(I$303="","",(IF('Non-Isokinetic'!D77="","",'Non-Isokinetic'!D77&amp;"-"&amp;'Non-Isokinetic'!D78)))</f>
        <v/>
      </c>
      <c r="J304" s="2535"/>
      <c r="K304" s="2536"/>
      <c r="L304" s="1321"/>
      <c r="M304" s="1322"/>
      <c r="N304" s="1272"/>
    </row>
    <row r="305" spans="1:16" hidden="1">
      <c r="A305" s="1294"/>
      <c r="B305" s="1318"/>
      <c r="C305" s="1316" t="str">
        <f>IF(C$303="","","Concentration")</f>
        <v/>
      </c>
      <c r="D305" s="1317" t="str">
        <f>IF(C$303="","",O2CO2)</f>
        <v/>
      </c>
      <c r="E305" s="1318" t="str">
        <f>IF(C$303="","","Mass Rate")</f>
        <v/>
      </c>
      <c r="F305" s="1316" t="str">
        <f>IF(F$303="","","Concentration")</f>
        <v/>
      </c>
      <c r="G305" s="1317" t="str">
        <f>IF(F$303="","",O2CO2)</f>
        <v/>
      </c>
      <c r="H305" s="1318" t="str">
        <f>IF(F$303="","","Mass Rate")</f>
        <v/>
      </c>
      <c r="I305" s="1316" t="str">
        <f>IF(I$303="","","Concentration")</f>
        <v/>
      </c>
      <c r="J305" s="1317" t="str">
        <f>IF(I$303="","",O2CO2)</f>
        <v/>
      </c>
      <c r="K305" s="1318" t="str">
        <f>IF(I$303="","","Mass Rate")</f>
        <v/>
      </c>
      <c r="L305" s="1321"/>
      <c r="M305" s="1322"/>
      <c r="N305" s="1272"/>
      <c r="O305" s="1291" t="s">
        <v>367</v>
      </c>
      <c r="P305" s="1291" t="s">
        <v>368</v>
      </c>
    </row>
    <row r="306" spans="1:16" hidden="1">
      <c r="A306" s="1294"/>
      <c r="B306" s="1296"/>
      <c r="C306" s="2345" t="str">
        <f>IF(C303="","",CU)</f>
        <v/>
      </c>
      <c r="D306" s="2346" t="str">
        <f>C306</f>
        <v/>
      </c>
      <c r="E306" s="2347" t="str">
        <f>IF(C303="","",MRU)</f>
        <v/>
      </c>
      <c r="F306" s="2345" t="str">
        <f>IF(F303="","",CU)</f>
        <v/>
      </c>
      <c r="G306" s="2346" t="str">
        <f>F306</f>
        <v/>
      </c>
      <c r="H306" s="2347" t="str">
        <f>IF(F303="","",MRU)</f>
        <v/>
      </c>
      <c r="I306" s="2345" t="str">
        <f>IF(I303="","",CU)</f>
        <v/>
      </c>
      <c r="J306" s="2346" t="str">
        <f>I306</f>
        <v/>
      </c>
      <c r="K306" s="2347" t="str">
        <f>IF(I303="","",MRU)</f>
        <v/>
      </c>
      <c r="L306" s="1313" t="str">
        <f>CU</f>
        <v>mg/m³</v>
      </c>
      <c r="M306" s="1315" t="str">
        <f>MRU</f>
        <v>g/min</v>
      </c>
      <c r="N306" s="1272"/>
      <c r="O306" s="1291" t="str">
        <f>CU</f>
        <v>mg/m³</v>
      </c>
      <c r="P306" s="1291" t="str">
        <f>MRU</f>
        <v>g/min</v>
      </c>
    </row>
    <row r="307" spans="1:16" hidden="1">
      <c r="A307" s="1297">
        <f>IF('Non-Isokinetic'!A77="","",'Non-Isokinetic'!A77)</f>
        <v>0</v>
      </c>
      <c r="B307" s="1298"/>
      <c r="C307" s="2342" t="str">
        <f>IF($C$303="","",('Results Entry'!$AA101&amp;signum2('Results Entry'!AB101,SigFig1,SigFig2,'Results Entry'!$AA101)))</f>
        <v/>
      </c>
      <c r="D307" s="2343" t="str">
        <f>IF($C$303="","",('Results Entry'!$AA101&amp;signum2('Results Entry'!AC101,SigFig1,SigFig2,'Results Entry'!$AA101)))</f>
        <v/>
      </c>
      <c r="E307" s="2344" t="str">
        <f>IF($C$303="","",('Results Entry'!AH101&amp;signum2('Results Entry'!AI101,SigFig1,SigFig2,'Results Entry'!AH101)))</f>
        <v/>
      </c>
      <c r="F307" s="2342" t="str">
        <f>IF($F$303="","",('Results Entry'!$U101&amp;signum2('Results Entry'!V101,SigFig1,SigFig2,'Results Entry'!$U101)))</f>
        <v/>
      </c>
      <c r="G307" s="2343" t="str">
        <f>IF($F$303="","",('Results Entry'!$U101&amp;signum2('Results Entry'!W101,SigFig1,SigFig2,'Results Entry'!$U101)))</f>
        <v/>
      </c>
      <c r="H307" s="2344" t="str">
        <f>IF($F$303="","",('Results Entry'!AD101&amp;signum2('Results Entry'!AE101,SigFig1,SigFig2,'Results Entry'!AD101)))</f>
        <v/>
      </c>
      <c r="I307" s="2342" t="str">
        <f>IF($I$303="","",('Results Entry'!$X101&amp;signum2('Results Entry'!Y101,SigFig1,SigFig2,'Results Entry'!$X101)))</f>
        <v/>
      </c>
      <c r="J307" s="2343" t="str">
        <f>IF($I$303="","",('Results Entry'!$X101&amp;signum2('Results Entry'!Z101,SigFig1,SigFig2,'Results Entry'!$X101)))</f>
        <v/>
      </c>
      <c r="K307" s="2344" t="str">
        <f>IF($I$303="","",('Results Entry'!$AF101&amp;signum2('Results Entry'!AG101,SigFig1,SigFig2,'Results Entry'!$AF101)))</f>
        <v/>
      </c>
      <c r="L307" s="1321"/>
      <c r="M307" s="1322"/>
      <c r="N307" s="1272"/>
      <c r="O307" s="1319">
        <f>MAX(IF(ISERROR(VALUE($C307)),0,VALUE($C307)),IF(ISERROR(VALUE($F307)),0,VALUE($F307)),IF(ISERROR(VALUE($I307)),0,VALUE($I307)))</f>
        <v>0</v>
      </c>
      <c r="P307" s="1319">
        <f>MAX(IF(ISERROR(VALUE($E307)),0,VALUE($E307)),IF(ISERROR(VALUE($H307)),0,VALUE($H307)),IF(ISERROR(VALUE($K307)),0,VALUE($K307)))</f>
        <v>0</v>
      </c>
    </row>
    <row r="308" spans="1:16" hidden="1">
      <c r="A308" s="1297">
        <f>IF('Non-Isokinetic'!A78="","",'Non-Isokinetic'!A78)</f>
        <v>0</v>
      </c>
      <c r="B308" s="1298"/>
      <c r="C308" s="2342" t="str">
        <f>IF($C$303="","",('Results Entry'!$AA102&amp;signum2('Results Entry'!AB102,SigFig1,SigFig2,'Results Entry'!$AA102)))</f>
        <v/>
      </c>
      <c r="D308" s="2343" t="str">
        <f>IF($C$303="","",('Results Entry'!$AA102&amp;signum2('Results Entry'!AC102,SigFig1,SigFig2,'Results Entry'!$AA102)))</f>
        <v/>
      </c>
      <c r="E308" s="2344" t="str">
        <f>IF($C$303="","",('Results Entry'!AH102&amp;signum2('Results Entry'!AI102,SigFig1,SigFig2,'Results Entry'!AH102)))</f>
        <v/>
      </c>
      <c r="F308" s="2342" t="str">
        <f>IF($F$303="","",('Results Entry'!$U102&amp;signum2('Results Entry'!V102,SigFig1,SigFig2,'Results Entry'!$U102)))</f>
        <v/>
      </c>
      <c r="G308" s="2343" t="str">
        <f>IF($F$303="","",('Results Entry'!$U102&amp;signum2('Results Entry'!W102,SigFig1,SigFig2,'Results Entry'!$U102)))</f>
        <v/>
      </c>
      <c r="H308" s="2344" t="str">
        <f>IF($F$303="","",('Results Entry'!AD102&amp;signum2('Results Entry'!AE102,SigFig1,SigFig2,'Results Entry'!AD102)))</f>
        <v/>
      </c>
      <c r="I308" s="2342" t="str">
        <f>IF($I$303="","",('Results Entry'!$X102&amp;signum2('Results Entry'!Y102,SigFig1,SigFig2,'Results Entry'!$X102)))</f>
        <v/>
      </c>
      <c r="J308" s="2343" t="str">
        <f>IF($I$303="","",('Results Entry'!$X102&amp;signum2('Results Entry'!Z102,SigFig1,SigFig2,'Results Entry'!$X102)))</f>
        <v/>
      </c>
      <c r="K308" s="2344" t="str">
        <f>IF($I$303="","",('Results Entry'!$AF102&amp;signum2('Results Entry'!AG102,SigFig1,SigFig2,'Results Entry'!$AF102)))</f>
        <v/>
      </c>
      <c r="L308" s="1321"/>
      <c r="M308" s="1322"/>
      <c r="N308" s="1272"/>
      <c r="O308" s="1319">
        <f t="shared" ref="O308:O315" si="18">MAX(IF(ISERROR(VALUE($C308)),0,VALUE($C308)),IF(ISERROR(VALUE($F308)),0,VALUE($F308)),IF(ISERROR(VALUE($I308)),0,VALUE($I308)))</f>
        <v>0</v>
      </c>
      <c r="P308" s="1319">
        <f t="shared" ref="P308:P315" si="19">MAX(IF(ISERROR(VALUE($E308)),0,VALUE($E308)),IF(ISERROR(VALUE($H308)),0,VALUE($H308)),IF(ISERROR(VALUE($K308)),0,VALUE($K308)))</f>
        <v>0</v>
      </c>
    </row>
    <row r="309" spans="1:16" hidden="1">
      <c r="A309" s="1297">
        <f>IF('Non-Isokinetic'!A79="","",'Non-Isokinetic'!A79)</f>
        <v>0</v>
      </c>
      <c r="B309" s="1298"/>
      <c r="C309" s="2342" t="str">
        <f>IF($C$303="","",('Results Entry'!$AA103&amp;signum2('Results Entry'!AB103,SigFig1,SigFig2,'Results Entry'!$AA103)))</f>
        <v/>
      </c>
      <c r="D309" s="2343" t="str">
        <f>IF($C$303="","",('Results Entry'!$AA103&amp;signum2('Results Entry'!AC103,SigFig1,SigFig2,'Results Entry'!$AA103)))</f>
        <v/>
      </c>
      <c r="E309" s="2344" t="str">
        <f>IF($C$303="","",('Results Entry'!AH103&amp;signum2('Results Entry'!AI103,SigFig1,SigFig2,'Results Entry'!AH103)))</f>
        <v/>
      </c>
      <c r="F309" s="2342" t="str">
        <f>IF($F$303="","",('Results Entry'!$U103&amp;signum2('Results Entry'!V103,SigFig1,SigFig2,'Results Entry'!$U103)))</f>
        <v/>
      </c>
      <c r="G309" s="2343" t="str">
        <f>IF($F$303="","",('Results Entry'!$U103&amp;signum2('Results Entry'!W103,SigFig1,SigFig2,'Results Entry'!$U103)))</f>
        <v/>
      </c>
      <c r="H309" s="2344" t="str">
        <f>IF($F$303="","",('Results Entry'!AD103&amp;signum2('Results Entry'!AE103,SigFig1,SigFig2,'Results Entry'!AD103)))</f>
        <v/>
      </c>
      <c r="I309" s="2342" t="str">
        <f>IF($I$303="","",('Results Entry'!$X103&amp;signum2('Results Entry'!Y103,SigFig1,SigFig2,'Results Entry'!$X103)))</f>
        <v/>
      </c>
      <c r="J309" s="2343" t="str">
        <f>IF($I$303="","",('Results Entry'!$X103&amp;signum2('Results Entry'!Z103,SigFig1,SigFig2,'Results Entry'!$X103)))</f>
        <v/>
      </c>
      <c r="K309" s="2344" t="str">
        <f>IF($I$303="","",('Results Entry'!$AF103&amp;signum2('Results Entry'!AG103,SigFig1,SigFig2,'Results Entry'!$AF103)))</f>
        <v/>
      </c>
      <c r="L309" s="1321"/>
      <c r="M309" s="1322"/>
      <c r="N309" s="1272"/>
      <c r="O309" s="1319">
        <f t="shared" si="18"/>
        <v>0</v>
      </c>
      <c r="P309" s="1319">
        <f t="shared" si="19"/>
        <v>0</v>
      </c>
    </row>
    <row r="310" spans="1:16" hidden="1">
      <c r="A310" s="1297">
        <f>IF('Non-Isokinetic'!A80="","",'Non-Isokinetic'!A80)</f>
        <v>0</v>
      </c>
      <c r="B310" s="1298"/>
      <c r="C310" s="2342" t="str">
        <f>IF($C$303="","",('Results Entry'!$AA104&amp;signum2('Results Entry'!AB104,SigFig1,SigFig2,'Results Entry'!$AA104)))</f>
        <v/>
      </c>
      <c r="D310" s="2343" t="str">
        <f>IF($C$303="","",('Results Entry'!$AA104&amp;signum2('Results Entry'!AC104,SigFig1,SigFig2,'Results Entry'!$AA104)))</f>
        <v/>
      </c>
      <c r="E310" s="2344" t="str">
        <f>IF($C$303="","",('Results Entry'!AH104&amp;signum2('Results Entry'!AI104,SigFig1,SigFig2,'Results Entry'!AH104)))</f>
        <v/>
      </c>
      <c r="F310" s="2342" t="str">
        <f>IF($F$303="","",('Results Entry'!$U104&amp;signum2('Results Entry'!V104,SigFig1,SigFig2,'Results Entry'!$U104)))</f>
        <v/>
      </c>
      <c r="G310" s="2343" t="str">
        <f>IF($F$303="","",('Results Entry'!$U104&amp;signum2('Results Entry'!W104,SigFig1,SigFig2,'Results Entry'!$U104)))</f>
        <v/>
      </c>
      <c r="H310" s="2344" t="str">
        <f>IF($F$303="","",('Results Entry'!AD104&amp;signum2('Results Entry'!AE104,SigFig1,SigFig2,'Results Entry'!AD104)))</f>
        <v/>
      </c>
      <c r="I310" s="2342" t="str">
        <f>IF($I$303="","",('Results Entry'!$X104&amp;signum2('Results Entry'!Y104,SigFig1,SigFig2,'Results Entry'!$X104)))</f>
        <v/>
      </c>
      <c r="J310" s="2343" t="str">
        <f>IF($I$303="","",('Results Entry'!$X104&amp;signum2('Results Entry'!Z104,SigFig1,SigFig2,'Results Entry'!$X104)))</f>
        <v/>
      </c>
      <c r="K310" s="2344" t="str">
        <f>IF($I$303="","",('Results Entry'!$AF104&amp;signum2('Results Entry'!AG104,SigFig1,SigFig2,'Results Entry'!$AF104)))</f>
        <v/>
      </c>
      <c r="L310" s="1321"/>
      <c r="M310" s="1322"/>
      <c r="N310" s="1272"/>
      <c r="O310" s="1319">
        <f t="shared" si="18"/>
        <v>0</v>
      </c>
      <c r="P310" s="1319">
        <f t="shared" si="19"/>
        <v>0</v>
      </c>
    </row>
    <row r="311" spans="1:16" hidden="1">
      <c r="A311" s="1297">
        <f>IF('Non-Isokinetic'!A81="","",'Non-Isokinetic'!A81)</f>
        <v>0</v>
      </c>
      <c r="B311" s="1298"/>
      <c r="C311" s="2342" t="str">
        <f>IF($C$303="","",('Results Entry'!$AA105&amp;signum2('Results Entry'!AB105,SigFig1,SigFig2,'Results Entry'!$AA105)))</f>
        <v/>
      </c>
      <c r="D311" s="2343" t="str">
        <f>IF($C$303="","",('Results Entry'!$AA105&amp;signum2('Results Entry'!AC105,SigFig1,SigFig2,'Results Entry'!$AA105)))</f>
        <v/>
      </c>
      <c r="E311" s="2344" t="str">
        <f>IF($C$303="","",('Results Entry'!AH105&amp;signum2('Results Entry'!AI105,SigFig1,SigFig2,'Results Entry'!AH105)))</f>
        <v/>
      </c>
      <c r="F311" s="2342" t="str">
        <f>IF($F$303="","",('Results Entry'!$U105&amp;signum2('Results Entry'!V105,SigFig1,SigFig2,'Results Entry'!$U105)))</f>
        <v/>
      </c>
      <c r="G311" s="2343" t="str">
        <f>IF($F$303="","",('Results Entry'!$U105&amp;signum2('Results Entry'!W105,SigFig1,SigFig2,'Results Entry'!$U105)))</f>
        <v/>
      </c>
      <c r="H311" s="2344" t="str">
        <f>IF($F$303="","",('Results Entry'!AD105&amp;signum2('Results Entry'!AE105,SigFig1,SigFig2,'Results Entry'!AD105)))</f>
        <v/>
      </c>
      <c r="I311" s="2342" t="str">
        <f>IF($I$303="","",('Results Entry'!$X105&amp;signum2('Results Entry'!Y105,SigFig1,SigFig2,'Results Entry'!$X105)))</f>
        <v/>
      </c>
      <c r="J311" s="2343" t="str">
        <f>IF($I$303="","",('Results Entry'!$X105&amp;signum2('Results Entry'!Z105,SigFig1,SigFig2,'Results Entry'!$X105)))</f>
        <v/>
      </c>
      <c r="K311" s="2344" t="str">
        <f>IF($I$303="","",('Results Entry'!$AF105&amp;signum2('Results Entry'!AG105,SigFig1,SigFig2,'Results Entry'!$AF105)))</f>
        <v/>
      </c>
      <c r="L311" s="1321"/>
      <c r="M311" s="1322"/>
      <c r="N311" s="1272"/>
      <c r="O311" s="1319">
        <f t="shared" si="18"/>
        <v>0</v>
      </c>
      <c r="P311" s="1319">
        <f t="shared" si="19"/>
        <v>0</v>
      </c>
    </row>
    <row r="312" spans="1:16" hidden="1">
      <c r="A312" s="1297">
        <f>IF('Non-Isokinetic'!A82="","",'Non-Isokinetic'!A82)</f>
        <v>0</v>
      </c>
      <c r="B312" s="1298"/>
      <c r="C312" s="2342" t="str">
        <f>IF($C$303="","",('Results Entry'!$AA106&amp;signum2('Results Entry'!AB106,SigFig1,SigFig2,'Results Entry'!$AA106)))</f>
        <v/>
      </c>
      <c r="D312" s="2343" t="str">
        <f>IF($C$303="","",('Results Entry'!$AA106&amp;signum2('Results Entry'!AC106,SigFig1,SigFig2,'Results Entry'!$AA106)))</f>
        <v/>
      </c>
      <c r="E312" s="2344" t="str">
        <f>IF($C$303="","",('Results Entry'!AH106&amp;signum2('Results Entry'!AI106,SigFig1,SigFig2,'Results Entry'!AH106)))</f>
        <v/>
      </c>
      <c r="F312" s="2342" t="str">
        <f>IF($F$303="","",('Results Entry'!$U106&amp;signum2('Results Entry'!V106,SigFig1,SigFig2,'Results Entry'!$U106)))</f>
        <v/>
      </c>
      <c r="G312" s="2343" t="str">
        <f>IF($F$303="","",('Results Entry'!$U106&amp;signum2('Results Entry'!W106,SigFig1,SigFig2,'Results Entry'!$U106)))</f>
        <v/>
      </c>
      <c r="H312" s="2344" t="str">
        <f>IF($F$303="","",('Results Entry'!AD106&amp;signum2('Results Entry'!AE106,SigFig1,SigFig2,'Results Entry'!AD106)))</f>
        <v/>
      </c>
      <c r="I312" s="2342" t="str">
        <f>IF($I$303="","",('Results Entry'!$X106&amp;signum2('Results Entry'!Y106,SigFig1,SigFig2,'Results Entry'!$X106)))</f>
        <v/>
      </c>
      <c r="J312" s="2343" t="str">
        <f>IF($I$303="","",('Results Entry'!$X106&amp;signum2('Results Entry'!Z106,SigFig1,SigFig2,'Results Entry'!$X106)))</f>
        <v/>
      </c>
      <c r="K312" s="2344" t="str">
        <f>IF($I$303="","",('Results Entry'!$AF106&amp;signum2('Results Entry'!AG106,SigFig1,SigFig2,'Results Entry'!$AF106)))</f>
        <v/>
      </c>
      <c r="L312" s="1321"/>
      <c r="M312" s="1322"/>
      <c r="N312" s="1272"/>
      <c r="O312" s="1319">
        <f t="shared" si="18"/>
        <v>0</v>
      </c>
      <c r="P312" s="1319">
        <f t="shared" si="19"/>
        <v>0</v>
      </c>
    </row>
    <row r="313" spans="1:16" hidden="1">
      <c r="A313" s="1297">
        <f>IF('Non-Isokinetic'!A83="","",'Non-Isokinetic'!A83)</f>
        <v>0</v>
      </c>
      <c r="B313" s="1298"/>
      <c r="C313" s="2342" t="str">
        <f>IF($C$303="","",('Results Entry'!$AA107&amp;signum2('Results Entry'!AB107,SigFig1,SigFig2,'Results Entry'!$AA107)))</f>
        <v/>
      </c>
      <c r="D313" s="2343" t="str">
        <f>IF($C$303="","",('Results Entry'!$AA107&amp;signum2('Results Entry'!AC107,SigFig1,SigFig2,'Results Entry'!$AA107)))</f>
        <v/>
      </c>
      <c r="E313" s="2344" t="str">
        <f>IF($C$303="","",('Results Entry'!AH107&amp;signum2('Results Entry'!AI107,SigFig1,SigFig2,'Results Entry'!AH107)))</f>
        <v/>
      </c>
      <c r="F313" s="2342" t="str">
        <f>IF($F$303="","",('Results Entry'!$U107&amp;signum2('Results Entry'!V107,SigFig1,SigFig2,'Results Entry'!$U107)))</f>
        <v/>
      </c>
      <c r="G313" s="2343" t="str">
        <f>IF($F$303="","",('Results Entry'!$U107&amp;signum2('Results Entry'!W107,SigFig1,SigFig2,'Results Entry'!$U107)))</f>
        <v/>
      </c>
      <c r="H313" s="2344" t="str">
        <f>IF($F$303="","",('Results Entry'!AD107&amp;signum2('Results Entry'!AE107,SigFig1,SigFig2,'Results Entry'!AD107)))</f>
        <v/>
      </c>
      <c r="I313" s="2342" t="str">
        <f>IF($I$303="","",('Results Entry'!$X107&amp;signum2('Results Entry'!Y107,SigFig1,SigFig2,'Results Entry'!$X107)))</f>
        <v/>
      </c>
      <c r="J313" s="2343" t="str">
        <f>IF($I$303="","",('Results Entry'!$X107&amp;signum2('Results Entry'!Z107,SigFig1,SigFig2,'Results Entry'!$X107)))</f>
        <v/>
      </c>
      <c r="K313" s="2344" t="str">
        <f>IF($I$303="","",('Results Entry'!$AF107&amp;signum2('Results Entry'!AG107,SigFig1,SigFig2,'Results Entry'!$AF107)))</f>
        <v/>
      </c>
      <c r="L313" s="1321"/>
      <c r="M313" s="1322"/>
      <c r="N313" s="1272"/>
      <c r="O313" s="1319">
        <f t="shared" si="18"/>
        <v>0</v>
      </c>
      <c r="P313" s="1319">
        <f t="shared" si="19"/>
        <v>0</v>
      </c>
    </row>
    <row r="314" spans="1:16" hidden="1">
      <c r="A314" s="1297">
        <f>IF('Non-Isokinetic'!A84="","",'Non-Isokinetic'!A84)</f>
        <v>0</v>
      </c>
      <c r="B314" s="1298"/>
      <c r="C314" s="2342" t="str">
        <f>IF($C$303="","",('Results Entry'!$AA108&amp;signum2('Results Entry'!AB108,SigFig1,SigFig2,'Results Entry'!$AA108)))</f>
        <v/>
      </c>
      <c r="D314" s="2343" t="str">
        <f>IF($C$303="","",('Results Entry'!$AA108&amp;signum2('Results Entry'!AC108,SigFig1,SigFig2,'Results Entry'!$AA108)))</f>
        <v/>
      </c>
      <c r="E314" s="2344" t="str">
        <f>IF($C$303="","",('Results Entry'!AH108&amp;signum2('Results Entry'!AI108,SigFig1,SigFig2,'Results Entry'!AH108)))</f>
        <v/>
      </c>
      <c r="F314" s="2342" t="str">
        <f>IF($F$303="","",('Results Entry'!$U108&amp;signum2('Results Entry'!V108,SigFig1,SigFig2,'Results Entry'!$U108)))</f>
        <v/>
      </c>
      <c r="G314" s="2343" t="str">
        <f>IF($F$303="","",('Results Entry'!$U108&amp;signum2('Results Entry'!W108,SigFig1,SigFig2,'Results Entry'!$U108)))</f>
        <v/>
      </c>
      <c r="H314" s="2344" t="str">
        <f>IF($F$303="","",('Results Entry'!AD108&amp;signum2('Results Entry'!AE108,SigFig1,SigFig2,'Results Entry'!AD108)))</f>
        <v/>
      </c>
      <c r="I314" s="2342" t="str">
        <f>IF($I$303="","",('Results Entry'!$X108&amp;signum2('Results Entry'!Y108,SigFig1,SigFig2,'Results Entry'!$X108)))</f>
        <v/>
      </c>
      <c r="J314" s="2343" t="str">
        <f>IF($I$303="","",('Results Entry'!$X108&amp;signum2('Results Entry'!Z108,SigFig1,SigFig2,'Results Entry'!$X108)))</f>
        <v/>
      </c>
      <c r="K314" s="2344" t="str">
        <f>IF($I$303="","",('Results Entry'!$AF108&amp;signum2('Results Entry'!AG108,SigFig1,SigFig2,'Results Entry'!$AF108)))</f>
        <v/>
      </c>
      <c r="L314" s="1321"/>
      <c r="M314" s="1322"/>
      <c r="N314" s="1272"/>
      <c r="O314" s="1319">
        <f t="shared" si="18"/>
        <v>0</v>
      </c>
      <c r="P314" s="1319">
        <f t="shared" si="19"/>
        <v>0</v>
      </c>
    </row>
    <row r="315" spans="1:16" hidden="1">
      <c r="A315" s="1297">
        <f>IF('Non-Isokinetic'!A85="","",'Non-Isokinetic'!A85)</f>
        <v>0</v>
      </c>
      <c r="B315" s="1298"/>
      <c r="C315" s="2342" t="str">
        <f>IF($C$303="","",('Results Entry'!$AA109&amp;signum2('Results Entry'!AB109,SigFig1,SigFig2,'Results Entry'!$AA109)))</f>
        <v/>
      </c>
      <c r="D315" s="2343" t="str">
        <f>IF($C$303="","",('Results Entry'!$AA109&amp;signum2('Results Entry'!AC109,SigFig1,SigFig2,'Results Entry'!$AA109)))</f>
        <v/>
      </c>
      <c r="E315" s="2344" t="str">
        <f>IF($C$303="","",('Results Entry'!AH109&amp;signum2('Results Entry'!AI109,SigFig1,SigFig2,'Results Entry'!AH109)))</f>
        <v/>
      </c>
      <c r="F315" s="2342" t="str">
        <f>IF($F$303="","",('Results Entry'!$U109&amp;signum2('Results Entry'!V109,SigFig1,SigFig2,'Results Entry'!$U109)))</f>
        <v/>
      </c>
      <c r="G315" s="2343" t="str">
        <f>IF($F$303="","",('Results Entry'!$U109&amp;signum2('Results Entry'!W109,SigFig1,SigFig2,'Results Entry'!$U109)))</f>
        <v/>
      </c>
      <c r="H315" s="2344" t="str">
        <f>IF($F$303="","",('Results Entry'!AD109&amp;signum2('Results Entry'!AE109,SigFig1,SigFig2,'Results Entry'!AD109)))</f>
        <v/>
      </c>
      <c r="I315" s="2342" t="str">
        <f>IF($I$303="","",('Results Entry'!$X109&amp;signum2('Results Entry'!Y109,SigFig1,SigFig2,'Results Entry'!$X109)))</f>
        <v/>
      </c>
      <c r="J315" s="2343" t="str">
        <f>IF($I$303="","",('Results Entry'!$X109&amp;signum2('Results Entry'!Z109,SigFig1,SigFig2,'Results Entry'!$X109)))</f>
        <v/>
      </c>
      <c r="K315" s="2344" t="str">
        <f>IF($I$303="","",('Results Entry'!$AF109&amp;signum2('Results Entry'!AG109,SigFig1,SigFig2,'Results Entry'!$AF109)))</f>
        <v/>
      </c>
      <c r="L315" s="1321"/>
      <c r="M315" s="1322"/>
      <c r="N315" s="1272"/>
      <c r="O315" s="1319">
        <f t="shared" si="18"/>
        <v>0</v>
      </c>
      <c r="P315" s="1319">
        <f t="shared" si="19"/>
        <v>0</v>
      </c>
    </row>
    <row r="316" spans="1:16" hidden="1">
      <c r="A316" s="1371" t="s">
        <v>41</v>
      </c>
      <c r="B316" s="1371" t="s">
        <v>41</v>
      </c>
      <c r="C316" s="1371" t="s">
        <v>41</v>
      </c>
      <c r="D316" s="1371" t="s">
        <v>41</v>
      </c>
      <c r="E316" s="1371" t="s">
        <v>41</v>
      </c>
      <c r="F316" s="1371" t="s">
        <v>41</v>
      </c>
      <c r="G316" s="1371" t="s">
        <v>41</v>
      </c>
      <c r="H316" s="1371" t="s">
        <v>41</v>
      </c>
      <c r="I316" s="1371" t="s">
        <v>41</v>
      </c>
      <c r="J316" s="1371" t="s">
        <v>41</v>
      </c>
      <c r="K316" s="1371" t="s">
        <v>41</v>
      </c>
      <c r="L316" s="1325" t="s">
        <v>41</v>
      </c>
      <c r="M316" s="1325" t="s">
        <v>41</v>
      </c>
    </row>
    <row r="317" spans="1:16" hidden="1">
      <c r="A317" s="1262" t="s">
        <v>1277</v>
      </c>
      <c r="B317" s="1301"/>
      <c r="C317" s="2522" t="str">
        <f>IF(GasesReport="All","Average","")</f>
        <v/>
      </c>
      <c r="D317" s="2523"/>
      <c r="E317" s="2524"/>
      <c r="F317" s="2522" t="str">
        <f>IF(GasesReport="Average only","Average","Minimum")</f>
        <v>Average</v>
      </c>
      <c r="G317" s="2523"/>
      <c r="H317" s="2524"/>
      <c r="I317" s="2522" t="str">
        <f>IF(GasesReport="Average only","","Maximum")</f>
        <v/>
      </c>
      <c r="J317" s="2523"/>
      <c r="K317" s="2524"/>
      <c r="L317" s="2519" t="s">
        <v>62</v>
      </c>
      <c r="M317" s="2520"/>
      <c r="O317" s="2521" t="s">
        <v>369</v>
      </c>
      <c r="P317" s="2521"/>
    </row>
    <row r="318" spans="1:16" s="1416" customFormat="1" ht="12.75" hidden="1" customHeight="1">
      <c r="A318" s="1412"/>
      <c r="B318" s="1413" t="s">
        <v>98</v>
      </c>
      <c r="C318" s="2543" t="str">
        <f>IF(C$317="","",MIN(Gases!$B26:$B505)&amp;"-"&amp;MAX(Gases!$B26:$B505))</f>
        <v/>
      </c>
      <c r="D318" s="2544"/>
      <c r="E318" s="2545"/>
      <c r="F318" s="2543" t="str">
        <f>IF(F$317="","",MIN(Gases!$B26:$B505)&amp;"-"&amp;MAX(Gases!$B26:$B505))</f>
        <v>0-0</v>
      </c>
      <c r="G318" s="2544"/>
      <c r="H318" s="2545"/>
      <c r="I318" s="2543" t="str">
        <f>IF(I$317="","",MIN(Gases!$B26:$B505)&amp;"-"&amp;MAX(Gases!$B26:$B505))</f>
        <v/>
      </c>
      <c r="J318" s="2544"/>
      <c r="K318" s="2545"/>
      <c r="L318" s="1414"/>
      <c r="M318" s="1415"/>
    </row>
    <row r="319" spans="1:16" hidden="1">
      <c r="A319" s="1349"/>
      <c r="B319" s="1345"/>
      <c r="C319" s="1316" t="str">
        <f>IF(C$317="","","Concentration")</f>
        <v/>
      </c>
      <c r="D319" s="1411" t="str">
        <f>IF(C$317="","",O2CO2)</f>
        <v/>
      </c>
      <c r="E319" s="1318" t="str">
        <f>IF(C$317="","","Mass Rate")</f>
        <v/>
      </c>
      <c r="F319" s="1316" t="str">
        <f>IF(F$317="","","Concentration")</f>
        <v>Concentration</v>
      </c>
      <c r="G319" s="1411" t="str">
        <f>IF(F$317="","",O2CO2)</f>
        <v/>
      </c>
      <c r="H319" s="1318" t="str">
        <f>IF(F$317="","","Mass Rate")</f>
        <v>Mass Rate</v>
      </c>
      <c r="I319" s="1316" t="str">
        <f>IF(I$317="","","Concentration")</f>
        <v/>
      </c>
      <c r="J319" s="1411" t="str">
        <f>IF(I$317="","",O2CO2)</f>
        <v/>
      </c>
      <c r="K319" s="1318" t="str">
        <f>IF(I$317="","","Mass Rate")</f>
        <v/>
      </c>
      <c r="L319" s="1321"/>
      <c r="M319" s="1322"/>
      <c r="N319" s="1272"/>
      <c r="O319" s="1291" t="s">
        <v>372</v>
      </c>
      <c r="P319" s="1291" t="s">
        <v>373</v>
      </c>
    </row>
    <row r="320" spans="1:16" hidden="1">
      <c r="A320" s="1271"/>
      <c r="B320" s="1317"/>
      <c r="C320" s="1313" t="str">
        <f>IF(C$317="","",Gases!$L508)</f>
        <v/>
      </c>
      <c r="D320" s="1314" t="str">
        <f>IF(C$317="","",CU)</f>
        <v/>
      </c>
      <c r="E320" s="1315" t="str">
        <f>IF(C$317="","",MRU)</f>
        <v/>
      </c>
      <c r="F320" s="1313" t="str">
        <f>IF(F$317="","",Gases!$L508)</f>
        <v>mg/m³</v>
      </c>
      <c r="G320" s="1314" t="str">
        <f>IF(F$317="","",CU)</f>
        <v>mg/m³</v>
      </c>
      <c r="H320" s="1315" t="str">
        <f>IF(F$317="","",MRU)</f>
        <v>g/min</v>
      </c>
      <c r="I320" s="1313" t="str">
        <f>IF(I$317="","",Gases!$L508)</f>
        <v/>
      </c>
      <c r="J320" s="1314" t="str">
        <f>IF(I$317="","",CU)</f>
        <v/>
      </c>
      <c r="K320" s="1315" t="str">
        <f>IF(I$317="","",MRU)</f>
        <v/>
      </c>
      <c r="L320" s="1313" t="str">
        <f>CU</f>
        <v>mg/m³</v>
      </c>
      <c r="M320" s="1315" t="str">
        <f>MRU</f>
        <v>g/min</v>
      </c>
      <c r="N320" s="1272"/>
      <c r="O320" s="1291" t="str">
        <f>CU</f>
        <v>mg/m³</v>
      </c>
      <c r="P320" s="1291" t="str">
        <f>MRU</f>
        <v>g/min</v>
      </c>
    </row>
    <row r="321" spans="1:16" hidden="1">
      <c r="A321" s="1271" t="s">
        <v>1600</v>
      </c>
      <c r="B321" s="1273"/>
      <c r="C321" s="1321" t="str">
        <f>IF(C$317="","",Gases!$D$523&amp;signum2(Gases!$D514,SigFig1,SigFig2,Gases!$D$523))</f>
        <v/>
      </c>
      <c r="D321" s="1273" t="str">
        <f>IF(C$317="","",Gases!$D$523&amp;signum2(Gases!$D517,SigFig1,SigFig2,Gases!$D$523))</f>
        <v/>
      </c>
      <c r="E321" s="1322" t="str">
        <f>IF(C$317="","",(LessThan(Gases!$D$523,VND))&amp;SigNum3(Gases!$D520,SigFig1,SigFig2,Gases!$D$523))</f>
        <v/>
      </c>
      <c r="F321" s="1321" t="str">
        <f>IF(F317="","",IF(F$317="Average",Gases!$D$523&amp;signum2(Gases!$D514,SigFig1,SigFig2,Gases!$D$523),Gases!$D$521&amp;signum2(Gases!$D512,SigFig1,SigFig2,Gases!$D$521)))</f>
        <v/>
      </c>
      <c r="G321" s="1273" t="str">
        <f>IF(F317="","",IF(F$317="Average",Gases!$D$523&amp;signum2(Gases!$D517,SigFig1,SigFig2,Gases!$D$523),Gases!$D$521&amp;signum2(Gases!$D515,SigFig1,SigFig2,Gases!$D$521)))</f>
        <v/>
      </c>
      <c r="H321" s="1322" t="str">
        <f>IF(F317="","",IF(F$317="Average",(LessThan(Gases!$D$523,VND))&amp;SigNum3(Gases!$D520,SigFig1,SigFig2,Gases!$D$523),(LessThan(Gases!$D$521,VND))&amp;SigNum3(Gases!$D518,SigFig1,SigFig2,Gases!$D$521)))</f>
        <v/>
      </c>
      <c r="I321" s="1321" t="str">
        <f>IF(I$317="","",Gases!$D$522&amp;signum2(Gases!$D513,SigFig1,SigFig2,Gases!$D$522))</f>
        <v/>
      </c>
      <c r="J321" s="1273" t="str">
        <f>IF(I$317="","",Gases!$D$522&amp;signum2(Gases!$D516,SigFig1,SigFig2,Gases!$D$522))</f>
        <v/>
      </c>
      <c r="K321" s="1322" t="str">
        <f>IF(I$317="","",(LessThan(Gases!$D$522,VND))&amp;SigNum3(Gases!$D519,SigFig1,SigFig2,Gases!$D$522))</f>
        <v/>
      </c>
      <c r="L321" s="1321"/>
      <c r="M321" s="1322"/>
      <c r="N321" s="1272"/>
      <c r="O321" s="1319">
        <f>IF(ISERROR(VALUE($C321)),0,VALUE($C321))</f>
        <v>0</v>
      </c>
      <c r="P321" s="1319">
        <f>IF(ISERROR(VALUE($E321)),0,VALUE($E321))</f>
        <v>0</v>
      </c>
    </row>
    <row r="322" spans="1:16" hidden="1">
      <c r="A322" s="1271" t="s">
        <v>1601</v>
      </c>
      <c r="B322" s="1273"/>
      <c r="C322" s="1321" t="str">
        <f>IF(C$317="","",Gases!$F$523&amp;signum2(Gases!$F514,SigFig1,SigFig2,Gases!$F$523))</f>
        <v/>
      </c>
      <c r="D322" s="1273" t="str">
        <f>IF(C$317="","",Gases!$F$523&amp;signum2(Gases!$F517,SigFig1,SigFig2,Gases!$F$523))</f>
        <v/>
      </c>
      <c r="E322" s="1322" t="str">
        <f>IF(C$317="","",(LessThan(Gases!$F$523,VND))&amp;SigNum3(Gases!$F520,SigFig1,SigFig2,Gases!$F$523))</f>
        <v/>
      </c>
      <c r="F322" s="1321" t="str">
        <f>IF(F317="","",IF(F$317="Average",Gases!$F$523&amp;signum2(Gases!$F514,SigFig1,SigFig2,Gases!$F$523),Gases!$F$521&amp;signum2(Gases!$F512,SigFig1,SigFig2,Gases!$F$521)))</f>
        <v/>
      </c>
      <c r="G322" s="1273" t="str">
        <f>IF(F317="","",IF(F$317="Average",Gases!$F$523&amp;signum2(Gases!$F517,SigFig1,SigFig2,Gases!$F$523),Gases!$F$521&amp;signum2(Gases!$F515,SigFig1,SigFig2,Gases!$F$521)))</f>
        <v/>
      </c>
      <c r="H322" s="1322" t="str">
        <f>IF(F317="","",IF(F$317="Average",(LessThan(Gases!$F$523,VND))&amp;SigNum3(Gases!$F520,SigFig1,SigFig2,Gases!$F$523),(LessThan(Gases!$F$521,VND))&amp;SigNum3(Gases!$F518,SigFig1,SigFig2,Gases!$F$521)))</f>
        <v/>
      </c>
      <c r="I322" s="1321" t="str">
        <f>IF(I$317="","",Gases!$F$522&amp;signum2(Gases!$F513,SigFig1,SigFig2,Gases!$F$522))</f>
        <v/>
      </c>
      <c r="J322" s="1273" t="str">
        <f>IF(I$317="","",Gases!$F$522&amp;signum2(Gases!$F516,SigFig1,SigFig2,Gases!$F$522))</f>
        <v/>
      </c>
      <c r="K322" s="1322" t="str">
        <f>IF(I$317="","",(LessThan(Gases!$F$522,VND))&amp;SigNum3(Gases!$F519,SigFig1,SigFig2,Gases!$F$522))</f>
        <v/>
      </c>
      <c r="L322" s="1321"/>
      <c r="M322" s="1322"/>
      <c r="N322" s="1272"/>
      <c r="O322" s="1319">
        <f>IF(ISERROR(VALUE($C322)),0,VALUE($C322))</f>
        <v>0</v>
      </c>
      <c r="P322" s="1319">
        <f>IF(ISERROR(VALUE($E322)),0,VALUE($E322))</f>
        <v>0</v>
      </c>
    </row>
    <row r="323" spans="1:16" hidden="1">
      <c r="A323" s="1271" t="s">
        <v>1602</v>
      </c>
      <c r="B323" s="1273"/>
      <c r="C323" s="1321" t="str">
        <f>IF(C$317="","",Gases!$H$523&amp;signum2(Gases!$H514,SigFig1,SigFig2,Gases!$H$523))</f>
        <v/>
      </c>
      <c r="D323" s="1273" t="str">
        <f>IF(C$317="","",Gases!$H$523&amp;signum2(Gases!$H517,SigFig1,SigFig2,Gases!$H$523))</f>
        <v/>
      </c>
      <c r="E323" s="1322" t="str">
        <f>IF(C$317="","",(LessThan(Gases!$H$523,VND))&amp;SigNum3(Gases!$H520,SigFig1,SigFig2,Gases!$H$523))</f>
        <v/>
      </c>
      <c r="F323" s="1321" t="str">
        <f>IF(F317="","",IF(F$317="Average",Gases!$H$523&amp;signum2(Gases!$H514,SigFig1,SigFig2,Gases!$H$523),Gases!$H$521&amp;signum2(Gases!$H512,SigFig1,SigFig2,Gases!$H$521)))</f>
        <v/>
      </c>
      <c r="G323" s="1273" t="str">
        <f>IF(F317="","",IF(F$317="Average",Gases!$H$523&amp;signum2(Gases!$H517,SigFig1,SigFig2,Gases!$H$523),Gases!$H$521&amp;signum2(Gases!$H515,SigFig1,SigFig2,Gases!$H$521)))</f>
        <v/>
      </c>
      <c r="H323" s="1322" t="str">
        <f>IF(F317="","",IF(F$317="Average",(LessThan(Gases!$H$523,VND))&amp;SigNum3(Gases!$H520,SigFig1,SigFig2,Gases!$H$523),(LessThan(Gases!$H$521,VND))&amp;SigNum3(Gases!$H518,SigFig1,SigFig2,Gases!$H$521)))</f>
        <v/>
      </c>
      <c r="I323" s="1321" t="str">
        <f>IF(I$317="","",Gases!$H$522&amp;signum2(Gases!$H513,SigFig1,SigFig2,Gases!$H$522))</f>
        <v/>
      </c>
      <c r="J323" s="1273" t="str">
        <f>IF(I$317="","",Gases!$H$522&amp;signum2(Gases!$H516,SigFig1,SigFig2,Gases!$H$522))</f>
        <v/>
      </c>
      <c r="K323" s="1322" t="str">
        <f>IF(I$317="","",(LessThan(Gases!$H$522,VND))&amp;SigNum3(Gases!$H519,SigFig1,SigFig2,Gases!$H$522))</f>
        <v/>
      </c>
      <c r="L323" s="1321"/>
      <c r="M323" s="1322"/>
      <c r="N323" s="1272"/>
      <c r="O323" s="1319">
        <f>IF(ISERROR(VALUE($C323)),0,VALUE($C323))</f>
        <v>0</v>
      </c>
      <c r="P323" s="1319">
        <f>IF(ISERROR(VALUE($E323)),0,VALUE($E323))</f>
        <v>0</v>
      </c>
    </row>
    <row r="324" spans="1:16" hidden="1">
      <c r="A324" s="1271" t="s">
        <v>591</v>
      </c>
      <c r="B324" s="1259"/>
      <c r="C324" s="1321" t="str">
        <f>IF(C$317="","",Gases!$J$523&amp;signum2(Gases!$J514,SigFig1,SigFig2,Gases!$J$523))</f>
        <v/>
      </c>
      <c r="D324" s="1273" t="str">
        <f>IF(C$317="","",Gases!$J$523&amp;signum2(Gases!$J517,SigFig1,SigFig2,Gases!$J$523))</f>
        <v/>
      </c>
      <c r="E324" s="1322" t="str">
        <f>IF(C$317="","",(LessThan(Gases!$J$523,VND))&amp;SigNum3(Gases!$J520,SigFig1,SigFig2,Gases!$J$523))</f>
        <v/>
      </c>
      <c r="F324" s="1321" t="str">
        <f>IF(F317="","",IF(F$317="Average",Gases!$J$523&amp;signum2(Gases!$J514,SigFig1,SigFig2,Gases!$J$523),Gases!$J$521&amp;signum2(Gases!$J512,SigFig1,SigFig2,Gases!$J$521)))</f>
        <v/>
      </c>
      <c r="G324" s="1273" t="str">
        <f>IF(F317="","",IF(F$317="Average",Gases!$J$523&amp;signum2(Gases!$J517,SigFig1,SigFig2,Gases!$J$523),Gases!$J$521&amp;signum2(Gases!$J515,SigFig1,SigFig2,Gases!$J$521)))</f>
        <v/>
      </c>
      <c r="H324" s="1322" t="str">
        <f>IF(F317="","",IF(F$317="Average",(LessThan(Gases!$J$523,VND))&amp;SigNum3(Gases!$J520,SigFig1,SigFig2,Gases!$J$523),(LessThan(Gases!$J$521,VND))&amp;SigNum3(Gases!$J518,SigFig1,SigFig2,Gases!$J$521)))</f>
        <v/>
      </c>
      <c r="I324" s="1321" t="str">
        <f>IF(I$317="","",Gases!$J$522&amp;signum2(Gases!$J513,SigFig1,SigFig2,Gases!$J$522))</f>
        <v/>
      </c>
      <c r="J324" s="1273" t="str">
        <f>IF(I$317="","",Gases!$J$522&amp;signum2(Gases!$J516,SigFig1,SigFig2,Gases!$J$522))</f>
        <v/>
      </c>
      <c r="K324" s="1322" t="str">
        <f>IF(I$317="","",(LessThan(Gases!$J$522,VND))&amp;SigNum3(Gases!$J519,SigFig1,SigFig2,Gases!$J$522))</f>
        <v/>
      </c>
      <c r="L324" s="1321"/>
      <c r="M324" s="1322"/>
      <c r="N324" s="1272"/>
      <c r="O324" s="1319">
        <f>IF(ISERROR(VALUE($C324)),0,VALUE($C324))</f>
        <v>0</v>
      </c>
      <c r="P324" s="1319">
        <f>IF(ISERROR(VALUE($E324)),0,VALUE($E324))</f>
        <v>0</v>
      </c>
    </row>
    <row r="325" spans="1:16" hidden="1">
      <c r="A325" s="1271" t="s">
        <v>304</v>
      </c>
      <c r="B325" s="1259"/>
      <c r="C325" s="1321" t="str">
        <f>IF(C$317="","",Gases!$L$523&amp;signum2(Gases!$L514,SigFig1,SigFig2,Gases!$L$523))</f>
        <v/>
      </c>
      <c r="D325" s="1273" t="str">
        <f>IF(C$317="","",Gases!$L$523&amp;signum2(Gases!$L517,SigFig1,SigFig2,Gases!$L$523))</f>
        <v/>
      </c>
      <c r="E325" s="1322" t="str">
        <f>IF(C$317="","",(LessThan(Gases!$L$523,VND))&amp;SigNum3(Gases!$L520,SigFig1,SigFig2,Gases!$L$523))</f>
        <v/>
      </c>
      <c r="F325" s="1321" t="str">
        <f>IF(F317="","",IF(F$317="Average",Gases!$L$523&amp;signum2(Gases!$L514,SigFig1,SigFig2,Gases!$L$523),Gases!$L$521&amp;signum2(Gases!$L512,SigFig1,SigFig2,Gases!$L$521)))</f>
        <v/>
      </c>
      <c r="G325" s="1273" t="str">
        <f>IF(F317="","",IF(F$317="Average",Gases!$L$523&amp;signum2(Gases!$L517,SigFig1,SigFig2,Gases!$L$523),Gases!$L$521&amp;signum2(Gases!$L515,SigFig1,SigFig2,Gases!$L$521)))</f>
        <v/>
      </c>
      <c r="H325" s="1322" t="str">
        <f>IF(F317="","",IF(F$317="Average",(LessThan(Gases!$L$523,VND))&amp;SigNum3(Gases!$L520,SigFig1,SigFig2,Gases!$L$523),(LessThan(Gases!$L$521,VND))&amp;SigNum3(Gases!$L518,SigFig1,SigFig2,Gases!$L$521)))</f>
        <v/>
      </c>
      <c r="I325" s="1321" t="str">
        <f>IF(I$317="","",Gases!$L$522&amp;signum2(Gases!$L513,SigFig1,SigFig2,Gases!$L$522))</f>
        <v/>
      </c>
      <c r="J325" s="1273" t="str">
        <f>IF(I$317="","",Gases!$L$522&amp;signum2(Gases!$L516,SigFig1,SigFig2,Gases!$L$522))</f>
        <v/>
      </c>
      <c r="K325" s="1322" t="str">
        <f>IF(I$317="","",(LessThan(Gases!$L$522,VND))&amp;SigNum3(Gases!$L519,SigFig1,SigFig2,Gases!$L$522))</f>
        <v/>
      </c>
      <c r="L325" s="1321"/>
      <c r="M325" s="1322"/>
      <c r="N325" s="1272"/>
      <c r="O325" s="1319">
        <f>IF(ISERROR(VALUE($C325)),0,VALUE($C325))</f>
        <v>0</v>
      </c>
      <c r="P325" s="1319">
        <f>IF(ISERROR(VALUE($E325)),0,VALUE($E325))</f>
        <v>0</v>
      </c>
    </row>
    <row r="326" spans="1:16" hidden="1">
      <c r="A326" s="1271" t="str">
        <f>Gases!R8</f>
        <v>TOC (as methane)</v>
      </c>
      <c r="C326" s="1530" t="str">
        <f>IF(C$317="","",Gases!$R$523&amp;signum2(Gases!$R514,SigFig1,SigFig2,Gases!$R$523))</f>
        <v/>
      </c>
      <c r="D326" s="1582" t="str">
        <f>IF(C$317="","",Gases!$R$523&amp;signum2(Gases!$R517,SigFig1,SigFig2,Gases!$R$523))</f>
        <v/>
      </c>
      <c r="E326" s="1531" t="str">
        <f>IF(C$317="","",(LessThan(Gases!$R$523,VND))&amp;SigNum3(Gases!$R520,SigFig1,SigFig2,Gases!$R$523))</f>
        <v/>
      </c>
      <c r="F326" s="1530" t="str">
        <f>IF(F317="","",IF(F$317="Average",Gases!$R$523&amp;signum2(Gases!$R514,SigFig1,SigFig2,Gases!$R$523),Gases!$R$521&amp;signum2(Gases!$R512,SigFig1,SigFig2,Gases!$R$521)))</f>
        <v/>
      </c>
      <c r="G326" s="1582" t="str">
        <f>IF(F317="","",IF(F$317="Average",Gases!$R$523&amp;signum2(Gases!$R517,SigFig1,SigFig2,Gases!$R$523),Gases!$R$521&amp;signum2(Gases!$R515,SigFig1,SigFig2,Gases!$R$521)))</f>
        <v/>
      </c>
      <c r="H326" s="1531" t="str">
        <f>IF(F317="","",IF(F$317="Average",(LessThan(Gases!$R$523,VND))&amp;SigNum3(Gases!$R520,SigFig1,SigFig2,Gases!$R$523),(LessThan(Gases!$R$521,VND))&amp;SigNum3(Gases!$R518,SigFig1,SigFig2,Gases!$R$521)))</f>
        <v/>
      </c>
      <c r="I326" s="1530" t="str">
        <f>IF(I$317="","",Gases!$R$522&amp;signum2(Gases!$R513,SigFig1,SigFig2,Gases!$R$522))</f>
        <v/>
      </c>
      <c r="J326" s="1582" t="str">
        <f>IF(I$317="","",Gases!$R$522&amp;signum2(Gases!$R516,SigFig1,SigFig2,Gases!$R$522))</f>
        <v/>
      </c>
      <c r="K326" s="1531" t="str">
        <f>IF(I$317="","",(LessThan(Gases!$R$522,VND))&amp;SigNum3(Gases!$R519,SigFig1,SigFig2,Gases!$R$522))</f>
        <v/>
      </c>
      <c r="L326" s="1303"/>
      <c r="M326" s="1302"/>
      <c r="N326" s="1272"/>
      <c r="O326" s="1319">
        <f>IF(ISERROR(VALUE($C330)),0,VALUE($C330))</f>
        <v>0</v>
      </c>
      <c r="P326" s="1319">
        <f>IF(ISERROR(VALUE($E330)),0,VALUE($E330))</f>
        <v>0</v>
      </c>
    </row>
    <row r="327" spans="1:16" hidden="1">
      <c r="A327" s="1271"/>
      <c r="B327" s="1259"/>
      <c r="C327" s="1316" t="str">
        <f>IF(C$317="","","Concentration")</f>
        <v/>
      </c>
      <c r="D327" s="1317"/>
      <c r="E327" s="1318"/>
      <c r="F327" s="1316" t="str">
        <f>IF(F$317="","","Concentration")</f>
        <v>Concentration</v>
      </c>
      <c r="G327" s="1317"/>
      <c r="H327" s="1318"/>
      <c r="I327" s="1316" t="str">
        <f>IF(I$317="","","Concentration")</f>
        <v/>
      </c>
      <c r="J327" s="1317"/>
      <c r="K327" s="1318"/>
      <c r="L327" s="1321"/>
      <c r="M327" s="1322"/>
      <c r="O327" s="1319"/>
      <c r="P327" s="1319"/>
    </row>
    <row r="328" spans="1:16" hidden="1">
      <c r="A328" s="1271"/>
      <c r="B328" s="1259"/>
      <c r="C328" s="1313" t="str">
        <f>IF(C$317="","",Gases!$N508)</f>
        <v/>
      </c>
      <c r="D328" s="1317"/>
      <c r="E328" s="1318"/>
      <c r="F328" s="1313" t="str">
        <f>IF(F$317="","",Gases!$N508)</f>
        <v>%</v>
      </c>
      <c r="G328" s="1317"/>
      <c r="H328" s="1318"/>
      <c r="I328" s="1313" t="str">
        <f>IF(I$317="","",Gases!$N508)</f>
        <v/>
      </c>
      <c r="J328" s="1317"/>
      <c r="K328" s="1318"/>
      <c r="L328" s="1321"/>
      <c r="M328" s="1322"/>
      <c r="O328" s="1319"/>
      <c r="P328" s="1319"/>
    </row>
    <row r="329" spans="1:16" hidden="1">
      <c r="A329" s="1271" t="s">
        <v>305</v>
      </c>
      <c r="B329" s="1259"/>
      <c r="C329" s="1355" t="str">
        <f>IF(C$317="","",Gases!$N$523&amp;IF(Gases!$N514="","",ROUND(Gases!$N514,1)))</f>
        <v/>
      </c>
      <c r="D329" s="1339"/>
      <c r="E329" s="1356"/>
      <c r="F329" s="1355" t="str">
        <f>IF(F317="","",IF(F$317="Average",Gases!$N$523&amp;IF(Gases!$N514="","",ROUND(Gases!$N514,1)),Gases!$N$521&amp;IF(Gases!$N512="","",ROUND(Gases!$N512,1))))</f>
        <v/>
      </c>
      <c r="G329" s="1339"/>
      <c r="H329" s="1356"/>
      <c r="I329" s="1355" t="str">
        <f>IF(I$317="","",Gases!$N$522&amp;IF(Gases!$N513="","",ROUND(Gases!$N513,1)))</f>
        <v/>
      </c>
      <c r="J329" s="1339"/>
      <c r="K329" s="1356"/>
      <c r="L329" s="1321"/>
      <c r="M329" s="1322"/>
      <c r="N329" s="1272"/>
      <c r="O329" s="1319">
        <f>IF(ISERROR(VALUE($C329)),0,VALUE($C329))</f>
        <v>0</v>
      </c>
      <c r="P329" s="1319">
        <f>IF(ISERROR(VALUE($E329)),0,VALUE($E329))</f>
        <v>0</v>
      </c>
    </row>
    <row r="330" spans="1:16" hidden="1">
      <c r="A330" s="1271" t="s">
        <v>37</v>
      </c>
      <c r="B330" s="1259"/>
      <c r="C330" s="1355" t="str">
        <f>IF(C$317="","",Gases!$P$523&amp;IF(Gases!$P514="","",ROUND(Gases!$P514,1)))</f>
        <v/>
      </c>
      <c r="D330" s="1339"/>
      <c r="E330" s="1356"/>
      <c r="F330" s="1355" t="str">
        <f>IF(F317="","",IF(F$317="Average",Gases!$P$523&amp;IF(Gases!$P514="","",ROUND(Gases!$P514,1)),Gases!$P$521&amp;IF(Gases!$P512="","",ROUND(Gases!$P512,1))))</f>
        <v/>
      </c>
      <c r="G330" s="1339"/>
      <c r="H330" s="1356"/>
      <c r="I330" s="1355" t="str">
        <f>IF(I$317="","",Gases!$P$522&amp;IF(Gases!$P513="","",ROUND(Gases!$P513,1)))</f>
        <v/>
      </c>
      <c r="J330" s="1339"/>
      <c r="K330" s="1356"/>
      <c r="L330" s="1321"/>
      <c r="M330" s="1322"/>
      <c r="N330" s="1272"/>
      <c r="O330" s="1319"/>
      <c r="P330" s="1319"/>
    </row>
    <row r="331" spans="1:16" hidden="1">
      <c r="A331" s="1371" t="s">
        <v>41</v>
      </c>
      <c r="B331" s="1371" t="s">
        <v>41</v>
      </c>
      <c r="C331" s="1371" t="s">
        <v>41</v>
      </c>
      <c r="D331" s="1371" t="s">
        <v>41</v>
      </c>
      <c r="E331" s="1371" t="s">
        <v>41</v>
      </c>
      <c r="F331" s="1371" t="s">
        <v>41</v>
      </c>
      <c r="G331" s="1371" t="s">
        <v>41</v>
      </c>
      <c r="H331" s="1371" t="s">
        <v>41</v>
      </c>
      <c r="I331" s="1371" t="s">
        <v>41</v>
      </c>
      <c r="J331" s="1371" t="s">
        <v>41</v>
      </c>
      <c r="K331" s="1371" t="s">
        <v>41</v>
      </c>
      <c r="L331" s="1325"/>
      <c r="M331" s="1325"/>
    </row>
    <row r="332" spans="1:16" hidden="1">
      <c r="A332" s="1262" t="s">
        <v>1195</v>
      </c>
      <c r="B332" s="1284"/>
      <c r="C332" s="2522" t="str">
        <f>IF(OR(TestReport="All",TestReport="Average only"),"Average","")</f>
        <v>Average</v>
      </c>
      <c r="D332" s="2523"/>
      <c r="E332" s="2524"/>
      <c r="F332" s="2522" t="str">
        <f>IF(OR(TestReport="Test 2 only",TestReport="Average only"),"",IF(TestReport="Test 1 only","Results","Test 1"))</f>
        <v>Test 1</v>
      </c>
      <c r="G332" s="2523"/>
      <c r="H332" s="2524"/>
      <c r="I332" s="2523" t="str">
        <f>IF(OR(TestReport="Test 1 only",TestReport="Average only"),"",IF(TestReport="Test 2 only","Results","Test 2"))</f>
        <v>Test 2</v>
      </c>
      <c r="J332" s="2523"/>
      <c r="K332" s="2524"/>
      <c r="L332" s="2554" t="s">
        <v>62</v>
      </c>
      <c r="M332" s="2520"/>
    </row>
    <row r="333" spans="1:16" hidden="1">
      <c r="A333" s="1290"/>
      <c r="B333" s="1307"/>
      <c r="C333" s="1288" t="str">
        <f>IF(C$332="","","Concentration")</f>
        <v>Concentration</v>
      </c>
      <c r="D333" s="1304"/>
      <c r="E333" s="1318" t="str">
        <f>IF(C$332="","","Mass Rate")</f>
        <v>Mass Rate</v>
      </c>
      <c r="F333" s="1288" t="str">
        <f>IF(F$332="","","Concentration")</f>
        <v>Concentration</v>
      </c>
      <c r="G333" s="1304"/>
      <c r="H333" s="1318" t="str">
        <f>IF(F$332="","","Mass Rate")</f>
        <v>Mass Rate</v>
      </c>
      <c r="I333" s="1304" t="str">
        <f>IF(I$332="","","Concentration")</f>
        <v>Concentration</v>
      </c>
      <c r="J333" s="1304"/>
      <c r="K333" s="1318" t="str">
        <f>IF(I$332="","","Mass Rate")</f>
        <v>Mass Rate</v>
      </c>
      <c r="L333" s="1273"/>
      <c r="M333" s="1322"/>
    </row>
    <row r="334" spans="1:16" hidden="1">
      <c r="A334" s="1290" t="str">
        <f>IF(Odour!C29="","","Outlet")</f>
        <v/>
      </c>
      <c r="B334" s="1307"/>
      <c r="C334" s="1313" t="str">
        <f>IF(C$332="","","ou")</f>
        <v>ou</v>
      </c>
      <c r="D334" s="1268"/>
      <c r="E334" s="1315" t="str">
        <f>IF(C$332="","",ORU)</f>
        <v>oum³/min</v>
      </c>
      <c r="F334" s="1313" t="str">
        <f>IF(F$332="","","ou")</f>
        <v>ou</v>
      </c>
      <c r="G334" s="1268"/>
      <c r="H334" s="1315" t="str">
        <f>IF(F$332="","",ORU)</f>
        <v>oum³/min</v>
      </c>
      <c r="I334" s="1314" t="str">
        <f>IF(I$332="","","ou")</f>
        <v>ou</v>
      </c>
      <c r="J334" s="1268"/>
      <c r="K334" s="1315" t="str">
        <f>IF(I$332="","",ORU)</f>
        <v>oum³/min</v>
      </c>
      <c r="L334" s="1273"/>
      <c r="M334" s="1322"/>
    </row>
    <row r="335" spans="1:16" hidden="1">
      <c r="A335" s="1258" t="s">
        <v>1655</v>
      </c>
      <c r="B335" s="1289"/>
      <c r="C335" s="1403" t="str">
        <f>IF($C332="","",(Odour!O16&amp;signum2(Odour!P16,SigFig1,SigFig2,Odour!O16)))</f>
        <v/>
      </c>
      <c r="D335" s="1404"/>
      <c r="E335" s="1405" t="str">
        <f>IF($C332="","",(IF($C33="","",LessThan(Odour!O16,VND))&amp;SigNum3(Odour!R16,SigFig1,SigFig2,Odour!O16)))</f>
        <v/>
      </c>
      <c r="F335" s="1321" t="str">
        <f>IF($F332="","",(Odour!B16&amp;signum2(Odour!H16,SigFig1,SigFig2,Odour!B16)))</f>
        <v/>
      </c>
      <c r="G335" s="1348"/>
      <c r="H335" s="1322" t="str">
        <f>IF($F332="","",(IF($F335="","",LessThan(Odour!B16,VND))&amp;SigNum3(Odour!J16,SigFig1,SigFig2,Odour!B16)))</f>
        <v/>
      </c>
      <c r="I335" s="1273" t="str">
        <f>IF($I332="","",(Odour!E16&amp;signum2(Odour!K16,SigFig1,SigFig2,Odour!E16)))</f>
        <v/>
      </c>
      <c r="J335" s="1348"/>
      <c r="K335" s="1322" t="str">
        <f>IF($I332="","",(IF($I341="","",LessThan(Odour!E16,VND))&amp;SigNum3(Odour!M16,SigFig1,SigFig2,Odour!E16)))</f>
        <v/>
      </c>
      <c r="L335" s="1348"/>
      <c r="M335" s="1322"/>
      <c r="O335" s="2521" t="s">
        <v>369</v>
      </c>
      <c r="P335" s="2521"/>
    </row>
    <row r="336" spans="1:16" hidden="1">
      <c r="A336" s="1305" t="s">
        <v>227</v>
      </c>
      <c r="B336" s="1289"/>
      <c r="C336" s="2556" t="str">
        <f>IF(C$332="","",IF(Odour!B17="","",Odour!B17&amp;", "&amp;Odour!E17))</f>
        <v/>
      </c>
      <c r="D336" s="2557"/>
      <c r="E336" s="2558"/>
      <c r="F336" s="2525" t="str">
        <f>IF($F332="","",IF(Odour!B17="","",Odour!B17&amp;""))</f>
        <v/>
      </c>
      <c r="G336" s="2526"/>
      <c r="H336" s="2527"/>
      <c r="I336" s="2529" t="str">
        <f>IF(I$332="","",IF(Odour!E17="","",""&amp;Odour!E17))</f>
        <v/>
      </c>
      <c r="J336" s="2529"/>
      <c r="K336" s="2530"/>
      <c r="L336" s="1348"/>
      <c r="M336" s="1359"/>
    </row>
    <row r="337" spans="1:16" hidden="1">
      <c r="A337" s="1305" t="s">
        <v>228</v>
      </c>
      <c r="B337" s="1289"/>
      <c r="C337" s="2559" t="str">
        <f>IF(C$332="","",IF(Odour!B18="","",Odour!B18&amp;", "&amp;Odour!E18))</f>
        <v/>
      </c>
      <c r="D337" s="2560"/>
      <c r="E337" s="2561"/>
      <c r="F337" s="2528" t="str">
        <f>IF($F332="","",IF(Odour!B18="","",Odour!B18&amp;""))</f>
        <v/>
      </c>
      <c r="G337" s="2529"/>
      <c r="H337" s="2530"/>
      <c r="I337" s="2529" t="str">
        <f>IF(I$332="","",IF(Odour!E18="","",Odour!E18))</f>
        <v/>
      </c>
      <c r="J337" s="2529"/>
      <c r="K337" s="2530"/>
      <c r="L337" s="1348"/>
      <c r="M337" s="1359"/>
    </row>
    <row r="338" spans="1:16" hidden="1">
      <c r="A338" s="1305" t="s">
        <v>901</v>
      </c>
      <c r="B338" s="1289"/>
      <c r="C338" s="1357" t="str">
        <f>IF(C$332="","",signum2(Odour!P17,SigFig1,SigFig2,Odour!O17))</f>
        <v/>
      </c>
      <c r="D338" s="1346"/>
      <c r="E338" s="1306"/>
      <c r="F338" s="1357" t="str">
        <f>IF($F332="","",signum2(Odour!H17,SigFig1,SigFig2,Odour!B16))</f>
        <v/>
      </c>
      <c r="G338" s="1346"/>
      <c r="H338" s="1306"/>
      <c r="I338" s="1358" t="str">
        <f>IF(I$332="","",signum2(Odour!K17,SigFig1,SigFig2,Odour!E16))</f>
        <v/>
      </c>
      <c r="J338" s="1346"/>
      <c r="K338" s="1306"/>
      <c r="L338" s="1348"/>
      <c r="M338" s="1359"/>
      <c r="O338" s="1291" t="s">
        <v>1340</v>
      </c>
      <c r="P338" s="1291" t="str">
        <f>ORU</f>
        <v>oum³/min</v>
      </c>
    </row>
    <row r="339" spans="1:16" hidden="1">
      <c r="A339" s="1305" t="s">
        <v>902</v>
      </c>
      <c r="B339" s="1289"/>
      <c r="C339" s="1357" t="str">
        <f>IF(C$332="","",signum2(Odour!P18,SigFig1,SigFig2,Odour!O18))</f>
        <v/>
      </c>
      <c r="D339" s="1346"/>
      <c r="E339" s="1360"/>
      <c r="F339" s="1357" t="str">
        <f>IF($F332="","",signum2(Odour!H18,SigFig1,SigFig2,Odour!B16))</f>
        <v/>
      </c>
      <c r="G339" s="1346"/>
      <c r="H339" s="1360"/>
      <c r="I339" s="1358" t="str">
        <f>IF(I$332="","",signum2(Odour!K18,SigFig1,SigFig2,Odour!E16))</f>
        <v/>
      </c>
      <c r="J339" s="1346"/>
      <c r="K339" s="1360"/>
      <c r="L339" s="1348"/>
      <c r="M339" s="1359"/>
      <c r="O339" s="1319">
        <f>MAX(IF(ISERROR(VALUE($K340)),0,VALUE($K340)),IF(ISERROR(VALUE($I341)),0,VALUE($I341)),IF(ISERROR(VALUE(K341)),0,VALUE(K341)))</f>
        <v>0</v>
      </c>
      <c r="P339" s="1319">
        <f>MAX(IF(ISERROR(VALUE(I343)),0,VALUE(I343)),IF(ISERROR(VALUE(T341)),0,VALUE(T341)),IF(ISERROR(VALUE(K343)),0,VALUE(K343)))</f>
        <v>0</v>
      </c>
    </row>
    <row r="340" spans="1:16" hidden="1">
      <c r="A340" s="1305" t="s">
        <v>1152</v>
      </c>
      <c r="B340" s="1289"/>
      <c r="C340" s="1316"/>
      <c r="D340" s="1317"/>
      <c r="E340" s="1318"/>
      <c r="F340" s="1361">
        <f>IF(F$332="","",(Date))</f>
        <v>0</v>
      </c>
      <c r="G340" s="1362"/>
      <c r="H340" s="1987">
        <f>IF(F$332="","",(IF(OR(Odour!F9="",Odour!F9=Odour!F8),Odour!F8,Odour!F8&amp;" - "&amp;Odour!F9)))</f>
        <v>0</v>
      </c>
      <c r="I340" s="1361">
        <f>IF(I$332="","",(Date))</f>
        <v>0</v>
      </c>
      <c r="J340" s="1362"/>
      <c r="K340" s="1987">
        <f>IF(I$332="","",(IF(OR(Odour!G9="",Odour!G9=Odour!G8),Odour!G8,Odour!G8&amp;" - "&amp;Odour!G9)))</f>
        <v>0</v>
      </c>
      <c r="L340" s="1314" t="s">
        <v>1340</v>
      </c>
      <c r="M340" s="1315" t="str">
        <f>ORU</f>
        <v>oum³/min</v>
      </c>
    </row>
    <row r="341" spans="1:16" hidden="1">
      <c r="A341" s="1305" t="s">
        <v>1153</v>
      </c>
      <c r="B341" s="1289"/>
      <c r="C341" s="1257"/>
      <c r="D341" s="1317"/>
      <c r="E341" s="1318"/>
      <c r="F341" s="1361" t="str">
        <f>IF(F$332="","",(IF(Odour!K8="","",Odour!K8)))</f>
        <v/>
      </c>
      <c r="G341" s="1362"/>
      <c r="H341" s="1318" t="str">
        <f>IF(F$332="","",(IF(Odour!K9="","",Odour!K9)))</f>
        <v/>
      </c>
      <c r="I341" s="1363" t="str">
        <f>IF(I$332="","",(IF(Odour!M8="","",Odour!M8)))</f>
        <v/>
      </c>
      <c r="J341" s="1362"/>
      <c r="K341" s="1393" t="str">
        <f>IF(I$332="","",(IF(Odour!M9="","",Odour!M9)))</f>
        <v/>
      </c>
      <c r="L341" s="1273"/>
      <c r="M341" s="1322"/>
    </row>
    <row r="342" spans="1:16" hidden="1">
      <c r="A342" s="1305" t="s">
        <v>1151</v>
      </c>
      <c r="B342" s="1289"/>
      <c r="C342" s="1316"/>
      <c r="D342" s="1317"/>
      <c r="E342" s="1318"/>
      <c r="F342" s="2531" t="e">
        <f>IF(F$332="","",(DAY(F341)-DAY(F340))*24+(RIGHT(H341,4)-RIGHT(H340,4))/100)</f>
        <v>#VALUE!</v>
      </c>
      <c r="G342" s="2532"/>
      <c r="H342" s="2533"/>
      <c r="I342" s="2531" t="e">
        <f>IF(I$332="","",(DAY(I341)-DAY(I340))*24+(RIGHT(K341,4)-RIGHT(K340,4))/100)</f>
        <v>#VALUE!</v>
      </c>
      <c r="J342" s="2532"/>
      <c r="K342" s="2533"/>
      <c r="L342" s="1348"/>
      <c r="M342" s="1322"/>
    </row>
    <row r="343" spans="1:16" hidden="1">
      <c r="A343" s="1305" t="s">
        <v>1154</v>
      </c>
      <c r="B343" s="1289"/>
      <c r="C343" s="1257"/>
      <c r="D343" s="1317"/>
      <c r="E343" s="1307"/>
      <c r="F343" s="2534" t="e">
        <f>IF($F332="","",(IF(Odour!D16="","",Odour!D16)))</f>
        <v>#DIV/0!</v>
      </c>
      <c r="G343" s="2535"/>
      <c r="H343" s="2536"/>
      <c r="I343" s="2534" t="e">
        <f>IF($I332="","",(IF(Odour!G16="","",Odour!G16)))</f>
        <v>#DIV/0!</v>
      </c>
      <c r="J343" s="2535"/>
      <c r="K343" s="2536"/>
      <c r="L343" s="1348"/>
      <c r="M343" s="1322"/>
    </row>
    <row r="344" spans="1:16" hidden="1">
      <c r="A344" s="1290"/>
      <c r="B344" s="1307"/>
      <c r="C344" s="2534" t="str">
        <f>IF(C$332="","","Concentration")</f>
        <v>Concentration</v>
      </c>
      <c r="D344" s="2535"/>
      <c r="E344" s="2536"/>
      <c r="F344" s="2534" t="str">
        <f>IF(F$332="","","Concentration")</f>
        <v>Concentration</v>
      </c>
      <c r="G344" s="2535"/>
      <c r="H344" s="2536"/>
      <c r="I344" s="2534" t="str">
        <f>IF(I$332="","","Concentration")</f>
        <v>Concentration</v>
      </c>
      <c r="J344" s="2535"/>
      <c r="K344" s="2536"/>
      <c r="L344" s="1273"/>
      <c r="M344" s="1322"/>
    </row>
    <row r="345" spans="1:16" hidden="1">
      <c r="A345" s="1290" t="s">
        <v>154</v>
      </c>
      <c r="B345" s="1307"/>
      <c r="C345" s="2562" t="str">
        <f>IF(C$332="","","ou")</f>
        <v>ou</v>
      </c>
      <c r="D345" s="2563"/>
      <c r="E345" s="2564"/>
      <c r="F345" s="2562" t="str">
        <f>IF(F$332="","","ou")</f>
        <v>ou</v>
      </c>
      <c r="G345" s="2563"/>
      <c r="H345" s="2564"/>
      <c r="I345" s="2562" t="str">
        <f>IF(I$332="","","ou")</f>
        <v>ou</v>
      </c>
      <c r="J345" s="2563"/>
      <c r="K345" s="2564"/>
      <c r="L345" s="1273"/>
      <c r="M345" s="1322"/>
    </row>
    <row r="346" spans="1:16" hidden="1">
      <c r="A346" s="1258" t="s">
        <v>1655</v>
      </c>
      <c r="B346" s="1289"/>
      <c r="C346" s="2586" t="str">
        <f>IF($C$332="","",(Odour!O29&amp;signum2(Odour!P29,SigFig1,SigFig2,Odour!O29)))</f>
        <v/>
      </c>
      <c r="D346" s="2587"/>
      <c r="E346" s="2588"/>
      <c r="F346" s="2539" t="str">
        <f>IF($F$332="","",(Odour!B29&amp;signum2(Odour!H29,SigFig1,SigFig2,Odour!B29)))</f>
        <v/>
      </c>
      <c r="G346" s="2537"/>
      <c r="H346" s="2538"/>
      <c r="I346" s="2539" t="str">
        <f>IF($I332="","",(Odour!E29&amp;signum2(Odour!K29,SigFig1,SigFig2,Odour!E29)))</f>
        <v/>
      </c>
      <c r="J346" s="2537"/>
      <c r="K346" s="2538"/>
      <c r="L346" s="1348"/>
      <c r="M346" s="1322"/>
      <c r="O346" s="2521" t="s">
        <v>369</v>
      </c>
      <c r="P346" s="2521"/>
    </row>
    <row r="347" spans="1:16" hidden="1">
      <c r="A347" s="1305" t="s">
        <v>227</v>
      </c>
      <c r="B347" s="1289"/>
      <c r="C347" s="2589" t="str">
        <f>IF(C$332="","",IF(Odour!B30="","",Odour!B30&amp;", "&amp;Odour!E30))</f>
        <v/>
      </c>
      <c r="D347" s="2590"/>
      <c r="E347" s="2591"/>
      <c r="F347" s="2592" t="str">
        <f>IF($F332="","",IF(Odour!B30="","",Odour!B30&amp;""))</f>
        <v/>
      </c>
      <c r="G347" s="2593"/>
      <c r="H347" s="2594"/>
      <c r="I347" s="2537" t="str">
        <f>IF(I$332="","",IF(Odour!E30="","",""&amp;Odour!E30))</f>
        <v/>
      </c>
      <c r="J347" s="2537"/>
      <c r="K347" s="2538"/>
      <c r="L347" s="1348"/>
      <c r="M347" s="1359"/>
    </row>
    <row r="348" spans="1:16" hidden="1">
      <c r="A348" s="1305" t="s">
        <v>228</v>
      </c>
      <c r="B348" s="1289"/>
      <c r="C348" s="2586" t="str">
        <f>IF(C$332="","",IF(Odour!B31="","",Odour!B31&amp;", "&amp;Odour!E31))</f>
        <v/>
      </c>
      <c r="D348" s="2587"/>
      <c r="E348" s="2588"/>
      <c r="F348" s="2539" t="str">
        <f>IF($F332="","",IF(Odour!B31="","",Odour!B31&amp;""))</f>
        <v/>
      </c>
      <c r="G348" s="2537"/>
      <c r="H348" s="2538"/>
      <c r="I348" s="2537" t="str">
        <f>IF(I$332="","",IF(Odour!E31="","",Odour!E31))</f>
        <v/>
      </c>
      <c r="J348" s="2537"/>
      <c r="K348" s="2538"/>
      <c r="L348" s="1348"/>
      <c r="M348" s="1359"/>
    </row>
    <row r="349" spans="1:16" hidden="1">
      <c r="A349" s="1305" t="s">
        <v>901</v>
      </c>
      <c r="B349" s="1289"/>
      <c r="C349" s="2540" t="str">
        <f>IF($C$332="","",(Odour!O30&amp;signum2(Odour!P30,SigFig1,SigFig2,Odour!O30)))</f>
        <v/>
      </c>
      <c r="D349" s="2541"/>
      <c r="E349" s="2542"/>
      <c r="F349" s="2540" t="str">
        <f>IF($F$332="","",signum2(Odour!H30,SigFig1,SigFig2,Odour!B29))</f>
        <v/>
      </c>
      <c r="G349" s="2541"/>
      <c r="H349" s="2542"/>
      <c r="I349" s="2540" t="str">
        <f>IF(I$332="","",signum2(Odour!K30,SigFig1,SigFig2,Odour!E29))</f>
        <v/>
      </c>
      <c r="J349" s="2541"/>
      <c r="K349" s="2542"/>
      <c r="L349" s="1348"/>
      <c r="M349" s="1359"/>
      <c r="O349" s="1291" t="s">
        <v>1340</v>
      </c>
      <c r="P349" s="1291" t="str">
        <f>ORU</f>
        <v>oum³/min</v>
      </c>
    </row>
    <row r="350" spans="1:16" hidden="1">
      <c r="A350" s="1305" t="s">
        <v>902</v>
      </c>
      <c r="B350" s="1289"/>
      <c r="C350" s="2540" t="str">
        <f>IF($C$332="","",(Odour!O31&amp;signum2(Odour!P31,SigFig1,SigFig2,Odour!O31)))</f>
        <v/>
      </c>
      <c r="D350" s="2541"/>
      <c r="E350" s="2542"/>
      <c r="F350" s="2540" t="str">
        <f>IF(F$332="","",signum2(Odour!H31,SigFig1,SigFig2,Odour!B29))</f>
        <v/>
      </c>
      <c r="G350" s="2541"/>
      <c r="H350" s="2542"/>
      <c r="I350" s="2540" t="str">
        <f>IF(I$332="","",signum2(Odour!K31,SigFig1,SigFig2,Odour!E29))</f>
        <v/>
      </c>
      <c r="J350" s="2541"/>
      <c r="K350" s="2542"/>
      <c r="L350" s="1348"/>
      <c r="M350" s="1359"/>
      <c r="O350" s="1319">
        <f>MAX(IF(ISERROR(VALUE($K351)),0,VALUE($K351)),IF(ISERROR(VALUE($I352)),0,VALUE($I352)),IF(ISERROR(VALUE(K352)),0,VALUE(K352)))</f>
        <v>0</v>
      </c>
      <c r="P350" s="1319">
        <f>MAX(IF(ISERROR(VALUE(I354)),0,VALUE(I354)),IF(ISERROR(VALUE(T352)),0,VALUE(T352)),IF(ISERROR(VALUE(K354)),0,VALUE(K354)))</f>
        <v>0</v>
      </c>
    </row>
    <row r="351" spans="1:16" hidden="1">
      <c r="A351" s="1305" t="s">
        <v>1152</v>
      </c>
      <c r="B351" s="1289"/>
      <c r="C351" s="1316"/>
      <c r="D351" s="1317"/>
      <c r="E351" s="1318"/>
      <c r="F351" s="1361">
        <f>IF(F$332="","",(Date))</f>
        <v>0</v>
      </c>
      <c r="G351" s="1362"/>
      <c r="H351" s="1318">
        <f>IF(F$332="","",(IF(OR(Odour!F22="",Odour!F22=Odour!F21),Odour!F21,Odour!F21&amp;" - "&amp;Odour!F22)))</f>
        <v>0</v>
      </c>
      <c r="I351" s="1363">
        <f>IF(I$332="","",(Date))</f>
        <v>0</v>
      </c>
      <c r="J351" s="1362"/>
      <c r="K351" s="1987">
        <f>IF(I$332="","",(IF(OR(Odour!G22="",Odour!G22=Odour!G21),Odour!G21,Odour!G21&amp;" - "&amp;Odour!G22)))</f>
        <v>0</v>
      </c>
      <c r="L351" s="1314" t="s">
        <v>1340</v>
      </c>
      <c r="M351" s="1315" t="str">
        <f>ORU</f>
        <v>oum³/min</v>
      </c>
    </row>
    <row r="352" spans="1:16" hidden="1">
      <c r="A352" s="1305" t="s">
        <v>1153</v>
      </c>
      <c r="B352" s="1289"/>
      <c r="C352" s="1257"/>
      <c r="D352" s="1317"/>
      <c r="E352" s="1318"/>
      <c r="F352" s="1361" t="str">
        <f>IF(F$332="","",(IF(Odour!K21="","",Odour!K21)))</f>
        <v/>
      </c>
      <c r="G352" s="1362"/>
      <c r="H352" s="1318" t="str">
        <f>IF(F$332="","",(IF(Odour!K22="","",Odour!K22)))</f>
        <v/>
      </c>
      <c r="I352" s="1363" t="str">
        <f>IF(I$332="","",(IF(Odour!M21="","",Odour!M21)))</f>
        <v/>
      </c>
      <c r="J352" s="1362"/>
      <c r="K352" s="1318" t="str">
        <f>IF(I$332="","",(IF(Odour!M22="","",Odour!M22)))</f>
        <v/>
      </c>
      <c r="L352" s="1273"/>
      <c r="M352" s="1322"/>
    </row>
    <row r="353" spans="1:16" hidden="1">
      <c r="A353" s="1305" t="s">
        <v>1151</v>
      </c>
      <c r="B353" s="1289"/>
      <c r="C353" s="1316"/>
      <c r="D353" s="1317"/>
      <c r="E353" s="1318"/>
      <c r="F353" s="2531" t="e">
        <f>IF(F$332="","",(DAY(F352)-DAY(F351))*24+(RIGHT(H352,4)-RIGHT(H351,4))/100)</f>
        <v>#VALUE!</v>
      </c>
      <c r="G353" s="2532"/>
      <c r="H353" s="2533"/>
      <c r="I353" s="2531" t="e">
        <f>IF(I$332="","",(DAY(I352)-DAY(I351))*24+(RIGHT(K352,4)-RIGHT(K351,4))/100)</f>
        <v>#VALUE!</v>
      </c>
      <c r="J353" s="2532"/>
      <c r="K353" s="2533"/>
      <c r="L353" s="1348"/>
      <c r="M353" s="1322"/>
    </row>
    <row r="354" spans="1:16" hidden="1">
      <c r="A354" s="1305" t="s">
        <v>1154</v>
      </c>
      <c r="B354" s="1289"/>
      <c r="C354" s="1257"/>
      <c r="D354" s="1317"/>
      <c r="E354" s="1307"/>
      <c r="F354" s="2534" t="e">
        <f>IF($F332="","",(IF(Odour!D29="","",Odour!D29)))</f>
        <v>#DIV/0!</v>
      </c>
      <c r="G354" s="2535"/>
      <c r="H354" s="2536"/>
      <c r="I354" s="2534" t="e">
        <f>IF($I332="","",(IF(Odour!G29="","",Odour!G29)))</f>
        <v>#DIV/0!</v>
      </c>
      <c r="J354" s="2535"/>
      <c r="K354" s="2536"/>
      <c r="L354" s="1348"/>
      <c r="M354" s="1322"/>
    </row>
    <row r="355" spans="1:16" hidden="1">
      <c r="A355" s="1305"/>
      <c r="B355" s="1289"/>
      <c r="C355" s="1257"/>
      <c r="D355" s="1317"/>
      <c r="E355" s="1307"/>
      <c r="F355" s="1316"/>
      <c r="G355" s="1304"/>
      <c r="H355" s="1318"/>
      <c r="I355" s="1317"/>
      <c r="J355" s="1304"/>
      <c r="K355" s="1318"/>
      <c r="L355" s="1348"/>
      <c r="M355" s="1322"/>
    </row>
    <row r="356" spans="1:16" hidden="1">
      <c r="A356" s="1258" t="s">
        <v>1606</v>
      </c>
      <c r="B356" s="1289"/>
      <c r="C356" s="2574" t="str">
        <f>IF(OR(C332="",ISERROR(Odour!R32)),"",Odour!R32)</f>
        <v/>
      </c>
      <c r="D356" s="2575"/>
      <c r="E356" s="2576"/>
      <c r="F356" s="1398"/>
      <c r="G356" s="1399"/>
      <c r="H356" s="1400"/>
      <c r="I356" s="1288"/>
      <c r="J356" s="1304"/>
      <c r="K356" s="1397"/>
      <c r="L356" s="1348"/>
      <c r="M356" s="1322"/>
    </row>
    <row r="357" spans="1:16" hidden="1">
      <c r="A357" s="1305" t="s">
        <v>1610</v>
      </c>
      <c r="B357" s="1289"/>
      <c r="C357" s="1257"/>
      <c r="D357" s="1317"/>
      <c r="E357" s="1307"/>
      <c r="F357" s="1316"/>
      <c r="G357" s="1304"/>
      <c r="H357" s="1318"/>
      <c r="I357" s="1317"/>
      <c r="J357" s="1304"/>
      <c r="K357" s="1318"/>
      <c r="L357" s="1348"/>
      <c r="M357" s="1322"/>
    </row>
    <row r="358" spans="1:16" hidden="1">
      <c r="A358" s="1305"/>
      <c r="B358" s="1289"/>
      <c r="C358" s="1257"/>
      <c r="D358" s="1317"/>
      <c r="E358" s="1307"/>
      <c r="F358" s="1316"/>
      <c r="G358" s="1304"/>
      <c r="H358" s="1318"/>
      <c r="I358" s="1317"/>
      <c r="J358" s="1304"/>
      <c r="K358" s="1318"/>
      <c r="L358" s="1348"/>
      <c r="M358" s="1322"/>
    </row>
    <row r="359" spans="1:16" hidden="1">
      <c r="A359" s="1305" t="s">
        <v>627</v>
      </c>
      <c r="B359" s="1307"/>
      <c r="C359" s="1257"/>
      <c r="D359" s="1317"/>
      <c r="E359" s="1307"/>
      <c r="F359" s="2577" t="str">
        <f>IF(Odour!$C7="","",Odour!$C7)</f>
        <v/>
      </c>
      <c r="G359" s="2578"/>
      <c r="H359" s="2579"/>
      <c r="I359" s="1317"/>
      <c r="J359" s="1304"/>
      <c r="K359" s="1318"/>
      <c r="L359" s="1348"/>
      <c r="M359" s="1322"/>
    </row>
    <row r="360" spans="1:16" hidden="1">
      <c r="A360" s="1305" t="s">
        <v>624</v>
      </c>
      <c r="B360" s="1307"/>
      <c r="C360" s="1257"/>
      <c r="D360" s="1272"/>
      <c r="E360" s="1307"/>
      <c r="F360" s="2580" t="str">
        <f>IF(Odour!$C8="","",Odour!$C8)</f>
        <v/>
      </c>
      <c r="G360" s="2581"/>
      <c r="H360" s="2582"/>
      <c r="I360" s="1272"/>
      <c r="J360" s="1272"/>
      <c r="K360" s="1307"/>
      <c r="L360" s="1348"/>
      <c r="M360" s="1322"/>
    </row>
    <row r="361" spans="1:16" hidden="1">
      <c r="A361" s="1308" t="s">
        <v>625</v>
      </c>
      <c r="B361" s="1302"/>
      <c r="C361" s="1303"/>
      <c r="D361" s="1274"/>
      <c r="E361" s="1302"/>
      <c r="F361" s="2583">
        <f>IF(Odour!$C9="","",Odour!$C9)</f>
        <v>41649</v>
      </c>
      <c r="G361" s="2584"/>
      <c r="H361" s="2585"/>
      <c r="I361" s="1274"/>
      <c r="J361" s="1274"/>
      <c r="K361" s="1302"/>
      <c r="L361" s="1348"/>
      <c r="M361" s="1322"/>
    </row>
    <row r="362" spans="1:16" hidden="1">
      <c r="A362" s="1929" t="s">
        <v>41</v>
      </c>
      <c r="B362" s="1929" t="s">
        <v>41</v>
      </c>
      <c r="C362" s="1929" t="s">
        <v>41</v>
      </c>
      <c r="D362" s="1929" t="s">
        <v>41</v>
      </c>
      <c r="E362" s="1929" t="s">
        <v>41</v>
      </c>
      <c r="F362" s="1929" t="s">
        <v>41</v>
      </c>
      <c r="G362" s="1929" t="s">
        <v>41</v>
      </c>
      <c r="H362" s="1929" t="s">
        <v>41</v>
      </c>
      <c r="I362" s="1929" t="s">
        <v>41</v>
      </c>
      <c r="J362" s="1929" t="s">
        <v>41</v>
      </c>
      <c r="K362" s="1929" t="s">
        <v>41</v>
      </c>
      <c r="L362" s="1325" t="s">
        <v>41</v>
      </c>
      <c r="M362" s="1325" t="s">
        <v>41</v>
      </c>
    </row>
    <row r="363" spans="1:16" hidden="1">
      <c r="A363" s="1262" t="str">
        <f>VLOOKUP(ReportVOC,ReportVOCtable,4,FALSE)&amp;'VOC &amp; S Gases'!W110</f>
        <v>Total Speciated VOCs</v>
      </c>
      <c r="B363" s="1263"/>
      <c r="C363" s="2522" t="str">
        <f>IF(OR(TestReport="All",TestReport="Average only"),"Average","")</f>
        <v>Average</v>
      </c>
      <c r="D363" s="2523"/>
      <c r="E363" s="2524"/>
      <c r="F363" s="2522" t="str">
        <f>IF(OR(TestReport="Test 2 only",TestReport="Average only"),"",IF(TestReport="Test 1 only","Results","Test 1"))</f>
        <v>Test 1</v>
      </c>
      <c r="G363" s="2523"/>
      <c r="H363" s="2524"/>
      <c r="I363" s="2522" t="str">
        <f>IF(OR(TestReport="Test 1 only",TestReport="Average only"),"",IF(TestReport="Test 2 only","Results","Test 2"))</f>
        <v>Test 2</v>
      </c>
      <c r="J363" s="2523"/>
      <c r="K363" s="2524"/>
      <c r="L363" s="2519" t="s">
        <v>62</v>
      </c>
      <c r="M363" s="2520"/>
      <c r="O363" s="2521" t="s">
        <v>369</v>
      </c>
      <c r="P363" s="2521"/>
    </row>
    <row r="364" spans="1:16" s="1416" customFormat="1" ht="18.75" hidden="1" customHeight="1">
      <c r="A364" s="1417" t="str">
        <f>IF(VLOOKUP(ReportVOC,ReportVOCtable,5,FALSE)="","",VLOOKUP(ReportVOC,ReportVOCtable,5,FALSE))</f>
        <v/>
      </c>
      <c r="B364" s="1418" t="s">
        <v>98</v>
      </c>
      <c r="C364" s="1414"/>
      <c r="D364" s="1419"/>
      <c r="E364" s="1415"/>
      <c r="F364" s="2514" t="str">
        <f>IF(F$363="","",(IF('VOC &amp; S Gases'!F109="","",'VOC &amp; S Gases'!F109&amp;"-"&amp;'VOC &amp; S Gases'!F110)))</f>
        <v/>
      </c>
      <c r="G364" s="2515"/>
      <c r="H364" s="2516"/>
      <c r="I364" s="2514" t="str">
        <f>IF(I$363="","",(IF('VOC &amp; S Gases'!G109="","",'VOC &amp; S Gases'!G109&amp;"-"&amp;'VOC &amp; S Gases'!G110)))</f>
        <v/>
      </c>
      <c r="J364" s="2515"/>
      <c r="K364" s="2516"/>
      <c r="L364" s="1414"/>
      <c r="M364" s="1415"/>
    </row>
    <row r="365" spans="1:16" hidden="1">
      <c r="A365" s="1267"/>
      <c r="B365" s="1259"/>
      <c r="C365" s="1316" t="str">
        <f>IF(C363="","","Concentration")</f>
        <v>Concentration</v>
      </c>
      <c r="D365" s="1411" t="str">
        <f>IF(C363="","",O2CO2)</f>
        <v/>
      </c>
      <c r="E365" s="1318" t="str">
        <f>IF(C363="","","Mass Rate")</f>
        <v>Mass Rate</v>
      </c>
      <c r="F365" s="1316" t="str">
        <f>IF(F363="","","Concentration")</f>
        <v>Concentration</v>
      </c>
      <c r="G365" s="1411" t="str">
        <f>IF(F363="","",O2CO2)</f>
        <v/>
      </c>
      <c r="H365" s="1318" t="str">
        <f>IF(F363="","","Mass Rate")</f>
        <v>Mass Rate</v>
      </c>
      <c r="I365" s="1316" t="str">
        <f>IF(I363="","","Concentration")</f>
        <v>Concentration</v>
      </c>
      <c r="J365" s="1411" t="str">
        <f>IF(I363="","",O2CO2)</f>
        <v/>
      </c>
      <c r="K365" s="1318" t="str">
        <f>IF(I363="","","Mass Rate")</f>
        <v>Mass Rate</v>
      </c>
      <c r="L365" s="1321"/>
      <c r="M365" s="1322"/>
      <c r="N365" s="1272"/>
      <c r="O365" s="1291" t="s">
        <v>367</v>
      </c>
      <c r="P365" s="1291" t="s">
        <v>368</v>
      </c>
    </row>
    <row r="366" spans="1:16" hidden="1">
      <c r="A366" s="1267"/>
      <c r="B366" s="1259"/>
      <c r="C366" s="1313" t="str">
        <f>IF(C363="","",CU)</f>
        <v>mg/m³</v>
      </c>
      <c r="D366" s="1314" t="str">
        <f>IF(C363="","",CU)</f>
        <v>mg/m³</v>
      </c>
      <c r="E366" s="1315" t="str">
        <f>IF(C363="","",MRU)</f>
        <v>g/min</v>
      </c>
      <c r="F366" s="1313" t="str">
        <f>IF(F363="","",CU)</f>
        <v>mg/m³</v>
      </c>
      <c r="G366" s="1314" t="str">
        <f>IF(F363="","",CU)</f>
        <v>mg/m³</v>
      </c>
      <c r="H366" s="1315" t="str">
        <f>IF(F363="","",MRU)</f>
        <v>g/min</v>
      </c>
      <c r="I366" s="1313" t="str">
        <f>IF(I363="","",CU)</f>
        <v>mg/m³</v>
      </c>
      <c r="J366" s="1314" t="str">
        <f>IF(I363="","",CU)</f>
        <v>mg/m³</v>
      </c>
      <c r="K366" s="1315" t="str">
        <f>IF(I363="","",MRU)</f>
        <v>g/min</v>
      </c>
      <c r="L366" s="1313" t="str">
        <f>CU</f>
        <v>mg/m³</v>
      </c>
      <c r="M366" s="1315" t="str">
        <f>MRU</f>
        <v>g/min</v>
      </c>
      <c r="N366" s="1272"/>
      <c r="O366" s="1291" t="str">
        <f>CU</f>
        <v>mg/m³</v>
      </c>
      <c r="P366" s="1291" t="str">
        <f>MRU</f>
        <v>g/min</v>
      </c>
    </row>
    <row r="367" spans="1:16" hidden="1">
      <c r="A367" s="1267" t="str">
        <f>IF(AND(ISERROR('VOC &amp; S Gases'!H215),ISERROR('VOC &amp; S Gases'!L215)),"",'VOC &amp; S Gases'!D215)</f>
        <v>Gaseous</v>
      </c>
      <c r="B367" s="1259"/>
      <c r="C367" s="1321" t="str">
        <f>IF(C$363="","",('VOC &amp; S Gases'!$Q215&amp;signum2('VOC &amp; S Gases'!R215,SigFig1,SigFig2,'VOC &amp; S Gases'!$Q215)))</f>
        <v>&lt;0</v>
      </c>
      <c r="D367" s="1273" t="str">
        <f>IF(C$363="","",('VOC &amp; S Gases'!$Q215&amp;signum2('VOC &amp; S Gases'!S215,SigFig1,SigFig2,'VOC &amp; S Gases'!$Q215)))</f>
        <v>&lt;0</v>
      </c>
      <c r="E367" s="1322" t="str">
        <f>IF(C$363="","",(IF(C367="","",LessThan('VOC &amp; S Gases'!$Q215,VND))&amp;SigNum3('VOC &amp; S Gases'!T215,SigFig1,SigFig2,'VOC &amp; S Gases'!$Q215)))</f>
        <v>&lt;0</v>
      </c>
      <c r="F367" s="1321" t="str">
        <f>IF(F$363="","",('VOC &amp; S Gases'!$F215&amp;signum2('VOC &amp; S Gases'!H215,SigFig1,SigFig2,'VOC &amp; S Gases'!$F215)))</f>
        <v>&lt;0</v>
      </c>
      <c r="G367" s="1273" t="str">
        <f>IF(F$363="","",('VOC &amp; S Gases'!$F215&amp;signum2('VOC &amp; S Gases'!J215,SigFig1,SigFig2,'VOC &amp; S Gases'!$F215)))</f>
        <v>&lt;0</v>
      </c>
      <c r="H367" s="1322" t="str">
        <f>IF(F$363="","",(IF(F367="","",LessThan('VOC &amp; S Gases'!$F215,VND))&amp;SigNum3('VOC &amp; S Gases'!K215,SigFig1,SigFig2,'VOC &amp; S Gases'!$F215)))</f>
        <v>&lt;0</v>
      </c>
      <c r="I367" s="1321" t="str">
        <f>IF(I$363="","",('VOC &amp; S Gases'!$G215&amp;signum2('VOC &amp; S Gases'!L215,SigFig1,SigFig2,'VOC &amp; S Gases'!$G215)))</f>
        <v>&lt;0</v>
      </c>
      <c r="J367" s="1273" t="str">
        <f>IF(I$363="","",('VOC &amp; S Gases'!$G215&amp;signum2('VOC &amp; S Gases'!N215,SigFig1,SigFig2,'VOC &amp; S Gases'!$G215)))</f>
        <v>&lt;0</v>
      </c>
      <c r="K367" s="1322" t="str">
        <f>IF(I$363="","",(IF(I367="","",LessThan('VOC &amp; S Gases'!$G215,VND))&amp;SigNum3('VOC &amp; S Gases'!O215,SigFig1,SigFig2,'VOC &amp; S Gases'!$G215)))</f>
        <v>&lt;0</v>
      </c>
      <c r="L367" s="1321"/>
      <c r="M367" s="1322"/>
      <c r="N367" s="1272"/>
      <c r="O367" s="1319">
        <f>MAX(IF(ISERROR(VALUE($C367)),0,VALUE($C367)),IF(ISERROR(VALUE($F367)),0,VALUE($F367)),IF(ISERROR(VALUE($I367)),0,VALUE($I367)))</f>
        <v>0</v>
      </c>
      <c r="P367" s="1319">
        <f>MAX(IF(ISERROR(VALUE($E367)),0,VALUE($E367)),IF(ISERROR(VALUE($H367)),0,VALUE($H367)),IF(ISERROR(VALUE($K367)),0,VALUE($K367)))</f>
        <v>0</v>
      </c>
    </row>
    <row r="368" spans="1:16" hidden="1">
      <c r="A368" s="1267" t="str">
        <f>IF(AND(ISERROR('VOC &amp; S Gases'!H216),ISERROR('VOC &amp; S Gases'!L216)),"",'VOC &amp; S Gases'!D216)</f>
        <v>Sorbent tubes</v>
      </c>
      <c r="B368" s="1259"/>
      <c r="C368" s="1321" t="str">
        <f>IF(C$363="","",('VOC &amp; S Gases'!$Q216&amp;signum2('VOC &amp; S Gases'!R216,SigFig1,SigFig2,'VOC &amp; S Gases'!$Q216)))</f>
        <v>0</v>
      </c>
      <c r="D368" s="1273" t="str">
        <f>IF(C$363="","",('VOC &amp; S Gases'!$Q216&amp;signum2('VOC &amp; S Gases'!S216,SigFig1,SigFig2,'VOC &amp; S Gases'!$Q216)))</f>
        <v>0</v>
      </c>
      <c r="E368" s="1322" t="str">
        <f>IF(C$363="","",(IF(C368="","",LessThan('VOC &amp; S Gases'!$Q216,VND))&amp;SigNum3('VOC &amp; S Gases'!T216,SigFig1,SigFig2,'VOC &amp; S Gases'!$Q216)))</f>
        <v>0</v>
      </c>
      <c r="F368" s="1321" t="str">
        <f>IF(F$363="","",('VOC &amp; S Gases'!$F216&amp;signum2('VOC &amp; S Gases'!H216,SigFig1,SigFig2,'VOC &amp; S Gases'!$F216)))</f>
        <v>0</v>
      </c>
      <c r="G368" s="1273" t="str">
        <f>IF(F$363="","",('VOC &amp; S Gases'!$F216&amp;signum2('VOC &amp; S Gases'!J216,SigFig1,SigFig2,'VOC &amp; S Gases'!$F216)))</f>
        <v>0</v>
      </c>
      <c r="H368" s="1322" t="str">
        <f>IF(F$363="","",(IF(F368="","",LessThan('VOC &amp; S Gases'!$F216,VND))&amp;SigNum3('VOC &amp; S Gases'!K216,SigFig1,SigFig2,'VOC &amp; S Gases'!$F216)))</f>
        <v>0</v>
      </c>
      <c r="I368" s="1321" t="str">
        <f>IF(I$363="","",('VOC &amp; S Gases'!$G216&amp;signum2('VOC &amp; S Gases'!L216,SigFig1,SigFig2,'VOC &amp; S Gases'!$G216)))</f>
        <v>0</v>
      </c>
      <c r="J368" s="1273" t="str">
        <f>IF(I$363="","",('VOC &amp; S Gases'!$G216&amp;signum2('VOC &amp; S Gases'!N216,SigFig1,SigFig2,'VOC &amp; S Gases'!$G216)))</f>
        <v>0</v>
      </c>
      <c r="K368" s="1322" t="str">
        <f>IF(I$363="","",(IF(I368="","",LessThan('VOC &amp; S Gases'!$G216,VND))&amp;SigNum3('VOC &amp; S Gases'!O216,SigFig1,SigFig2,'VOC &amp; S Gases'!$G216)))</f>
        <v>0</v>
      </c>
      <c r="L368" s="1321"/>
      <c r="M368" s="1322"/>
      <c r="N368" s="1272"/>
      <c r="O368" s="1319">
        <f>MAX(IF(ISERROR(VALUE($C368)),0,VALUE($C368)),IF(ISERROR(VALUE($F368)),0,VALUE($F368)),IF(ISERROR(VALUE($I368)),0,VALUE($I368)))</f>
        <v>0</v>
      </c>
      <c r="P368" s="1319">
        <f>MAX(IF(ISERROR(VALUE($E368)),0,VALUE($E368)),IF(ISERROR(VALUE($H368)),0,VALUE($H368)),IF(ISERROR(VALUE($K368)),0,VALUE($K368)))</f>
        <v>0</v>
      </c>
    </row>
    <row r="369" spans="1:16" hidden="1">
      <c r="A369" s="1267" t="str">
        <f>IF(AND(ISERROR('VOC &amp; S Gases'!H217),ISERROR('VOC &amp; S Gases'!L217)),"",'VOC &amp; S Gases'!D217)</f>
        <v>Total</v>
      </c>
      <c r="B369" s="1259"/>
      <c r="C369" s="1321" t="str">
        <f>IF(C$363="","",('VOC &amp; S Gases'!$Q217&amp;signum2('VOC &amp; S Gases'!R217,SigFig1,SigFig2,'VOC &amp; S Gases'!$Q217)))</f>
        <v>0</v>
      </c>
      <c r="D369" s="1273" t="str">
        <f>IF(C$363="","",('VOC &amp; S Gases'!$Q217&amp;signum2('VOC &amp; S Gases'!S217,SigFig1,SigFig2,'VOC &amp; S Gases'!$Q217)))</f>
        <v>0</v>
      </c>
      <c r="E369" s="1322" t="str">
        <f>IF(C$363="","",(IF(C369="","",LessThan('VOC &amp; S Gases'!$Q217,VND))&amp;SigNum3('VOC &amp; S Gases'!T217,SigFig1,SigFig2,'VOC &amp; S Gases'!$Q217)))</f>
        <v>0</v>
      </c>
      <c r="F369" s="1321" t="str">
        <f>IF(F$363="","",('VOC &amp; S Gases'!$F217&amp;signum2('VOC &amp; S Gases'!H217,SigFig1,SigFig2,'VOC &amp; S Gases'!$F217)))</f>
        <v>0</v>
      </c>
      <c r="G369" s="1273" t="str">
        <f>IF(F$363="","",('VOC &amp; S Gases'!$F217&amp;signum2('VOC &amp; S Gases'!J217,SigFig1,SigFig2,'VOC &amp; S Gases'!$F217)))</f>
        <v>0</v>
      </c>
      <c r="H369" s="1322" t="str">
        <f>IF(F$363="","",(IF(F369="","",LessThan('VOC &amp; S Gases'!$F217,VND))&amp;SigNum3('VOC &amp; S Gases'!K217,SigFig1,SigFig2,'VOC &amp; S Gases'!$F217)))</f>
        <v>0</v>
      </c>
      <c r="I369" s="1321" t="str">
        <f>IF(I$363="","",('VOC &amp; S Gases'!$G217&amp;signum2('VOC &amp; S Gases'!L217,SigFig1,SigFig2,'VOC &amp; S Gases'!$G217)))</f>
        <v>0</v>
      </c>
      <c r="J369" s="1273" t="str">
        <f>IF(I$363="","",('VOC &amp; S Gases'!$G217&amp;signum2('VOC &amp; S Gases'!N217,SigFig1,SigFig2,'VOC &amp; S Gases'!$G217)))</f>
        <v>0</v>
      </c>
      <c r="K369" s="1322" t="str">
        <f>IF(I$363="","",(IF(I369="","",LessThan('VOC &amp; S Gases'!$G217,VND))&amp;SigNum3('VOC &amp; S Gases'!O217,SigFig1,SigFig2,'VOC &amp; S Gases'!$G217)))</f>
        <v>0</v>
      </c>
      <c r="L369" s="1321"/>
      <c r="M369" s="1322"/>
      <c r="N369" s="1272"/>
      <c r="O369" s="1319">
        <f>MAX(IF(ISERROR(VALUE($C369)),0,VALUE($C369)),IF(ISERROR(VALUE($F369)),0,VALUE($F369)),IF(ISERROR(VALUE($I369)),0,VALUE($I369)))</f>
        <v>0</v>
      </c>
      <c r="P369" s="1319">
        <f>MAX(IF(ISERROR(VALUE($E369)),0,VALUE($E369)),IF(ISERROR(VALUE($H369)),0,VALUE($H369)),IF(ISERROR(VALUE($K369)),0,VALUE($K369)))</f>
        <v>0</v>
      </c>
    </row>
    <row r="370" spans="1:16" ht="21" hidden="1" customHeight="1">
      <c r="A370" s="2570" t="str">
        <f>IF('VOC &amp; S Gases'!V110=TRUE,"*Total VOCs does not include methane","space")</f>
        <v>space</v>
      </c>
      <c r="B370" s="2570"/>
      <c r="C370" s="2570"/>
      <c r="D370" s="2570"/>
      <c r="E370" s="2570"/>
      <c r="F370" s="2570"/>
      <c r="G370" s="2570"/>
      <c r="H370" s="2570"/>
      <c r="I370" s="2570"/>
      <c r="J370" s="2570"/>
      <c r="K370" s="2570"/>
      <c r="L370" s="1325"/>
      <c r="M370" s="1325"/>
    </row>
    <row r="371" spans="1:16" ht="12.75" hidden="1" customHeight="1">
      <c r="A371" s="1967" t="s">
        <v>1603</v>
      </c>
      <c r="B371" s="1272"/>
      <c r="C371" s="2511" t="str">
        <f>IF(OR(TestReport="All",TestReport="Average only"),"Average","")</f>
        <v>Average</v>
      </c>
      <c r="D371" s="2512"/>
      <c r="E371" s="2513"/>
      <c r="F371" s="2511" t="str">
        <f>IF(OR(TestReport="Test 2 only",TestReport="Average only"),"",IF(TestReport="Test 1 only","Results","Test 1"))</f>
        <v>Test 1</v>
      </c>
      <c r="G371" s="2512"/>
      <c r="H371" s="2513"/>
      <c r="I371" s="2511" t="str">
        <f>IF(OR(TestReport="Test 1 only",TestReport="Average only"),"",IF(TestReport="Test 2 only","Results","Test 2"))</f>
        <v>Test 2</v>
      </c>
      <c r="J371" s="2512"/>
      <c r="K371" s="2513"/>
      <c r="L371" s="2519" t="s">
        <v>62</v>
      </c>
      <c r="M371" s="2520"/>
      <c r="N371" s="1272"/>
      <c r="O371" s="2521" t="s">
        <v>369</v>
      </c>
      <c r="P371" s="2521"/>
    </row>
    <row r="372" spans="1:16" s="1416" customFormat="1" ht="17.25" hidden="1" customHeight="1">
      <c r="A372" s="1417"/>
      <c r="B372" s="1418" t="s">
        <v>98</v>
      </c>
      <c r="C372" s="1414"/>
      <c r="D372" s="1419"/>
      <c r="E372" s="1415"/>
      <c r="F372" s="2514" t="str">
        <f>IF(F$371="","",(IF('VOC &amp; S Gases'!F6="","",'VOC &amp; S Gases'!F6&amp;"-"&amp;'VOC &amp; S Gases'!F7)))</f>
        <v/>
      </c>
      <c r="G372" s="2515"/>
      <c r="H372" s="2516"/>
      <c r="I372" s="2514" t="str">
        <f>IF(I$371="","",(IF('VOC &amp; S Gases'!G6="","",'VOC &amp; S Gases'!G6&amp;"-"&amp;'VOC &amp; S Gases'!G7)))</f>
        <v/>
      </c>
      <c r="J372" s="2515"/>
      <c r="K372" s="2516"/>
      <c r="L372" s="1414"/>
      <c r="M372" s="1415"/>
      <c r="N372" s="1420"/>
    </row>
    <row r="373" spans="1:16" hidden="1">
      <c r="A373" s="1267"/>
      <c r="B373" s="1259"/>
      <c r="C373" s="1316" t="str">
        <f>IF(C371="","","Concentration")</f>
        <v>Concentration</v>
      </c>
      <c r="D373" s="1411" t="str">
        <f>IF(C371="","",O2CO2)</f>
        <v/>
      </c>
      <c r="E373" s="1318" t="str">
        <f>IF(C371="","","Mass Rate")</f>
        <v>Mass Rate</v>
      </c>
      <c r="F373" s="1316" t="str">
        <f>IF(F371="","","Concentration")</f>
        <v>Concentration</v>
      </c>
      <c r="G373" s="1411" t="str">
        <f>IF(F371="","",O2CO2)</f>
        <v/>
      </c>
      <c r="H373" s="1318" t="str">
        <f>IF(F371="","","Mass Rate")</f>
        <v>Mass Rate</v>
      </c>
      <c r="I373" s="1316" t="str">
        <f>IF(I371="","","Concentration")</f>
        <v>Concentration</v>
      </c>
      <c r="J373" s="1411" t="str">
        <f>IF(I371="","",O2CO2)</f>
        <v/>
      </c>
      <c r="K373" s="1318" t="str">
        <f>IF(I371="","","Mass Rate")</f>
        <v>Mass Rate</v>
      </c>
      <c r="L373" s="1321"/>
      <c r="M373" s="1322"/>
      <c r="N373" s="1272"/>
      <c r="O373" s="1291" t="s">
        <v>367</v>
      </c>
      <c r="P373" s="1291" t="s">
        <v>368</v>
      </c>
    </row>
    <row r="374" spans="1:16" hidden="1">
      <c r="A374" s="1267"/>
      <c r="B374" s="1259"/>
      <c r="C374" s="1313" t="str">
        <f>IF(C371="","",'VOC &amp; S Gases'!$H9)</f>
        <v>mg/m³</v>
      </c>
      <c r="D374" s="1314" t="str">
        <f>IF(C371="","",CU)</f>
        <v>mg/m³</v>
      </c>
      <c r="E374" s="1315" t="str">
        <f>IF(C371="","",MRU)</f>
        <v>g/min</v>
      </c>
      <c r="F374" s="1313" t="str">
        <f>IF(F371="","",'VOC &amp; S Gases'!$H9)</f>
        <v>mg/m³</v>
      </c>
      <c r="G374" s="1314" t="str">
        <f>IF(F371="","",CU)</f>
        <v>mg/m³</v>
      </c>
      <c r="H374" s="1315" t="str">
        <f>IF(F371="","",MRU)</f>
        <v>g/min</v>
      </c>
      <c r="I374" s="1313" t="str">
        <f>IF(I371="","",'VOC &amp; S Gases'!$H9)</f>
        <v>mg/m³</v>
      </c>
      <c r="J374" s="1314" t="str">
        <f>IF(I371="","",CU)</f>
        <v>mg/m³</v>
      </c>
      <c r="K374" s="1315" t="str">
        <f>IF(I371="","",MRU)</f>
        <v>g/min</v>
      </c>
      <c r="L374" s="1313" t="str">
        <f>CU</f>
        <v>mg/m³</v>
      </c>
      <c r="M374" s="1315" t="str">
        <f>MRU</f>
        <v>g/min</v>
      </c>
      <c r="N374" s="1272"/>
      <c r="O374" s="1291" t="str">
        <f>CU</f>
        <v>mg/m³</v>
      </c>
      <c r="P374" s="1291" t="str">
        <f>MRU</f>
        <v>g/min</v>
      </c>
    </row>
    <row r="375" spans="1:16" hidden="1">
      <c r="A375" s="1267" t="str">
        <f>IF(AND('VOC &amp; S Gases'!E11="",'VOC &amp; S Gases'!G11=""),"",'VOC &amp; S Gases'!A11)</f>
        <v/>
      </c>
      <c r="B375" s="1259"/>
      <c r="C375" s="1321" t="str">
        <f>IF(C$371="","",('VOC &amp; S Gases'!$Q11&amp;signum2('VOC &amp; S Gases'!R11,SigFig1,SigFig2,'VOC &amp; S Gases'!$Q11)))</f>
        <v/>
      </c>
      <c r="D375" s="1273" t="str">
        <f>IF(C$371="","",('VOC &amp; S Gases'!$Q11&amp;signum2('VOC &amp; S Gases'!S11,SigFig1,SigFig2,'VOC &amp; S Gases'!$Q11)))</f>
        <v/>
      </c>
      <c r="E375" s="1322" t="str">
        <f>IF(C$371="","",(IF(C375="","",LessThan('VOC &amp; S Gases'!Q11,VND))&amp;SigNum3('VOC &amp; S Gases'!T11,SigFig1,SigFig2,'VOC &amp; S Gases'!Q11)))</f>
        <v/>
      </c>
      <c r="F375" s="1321" t="str">
        <f>IF(F$371="","",('VOC &amp; S Gases'!$D11&amp;signum2('VOC &amp; S Gases'!H11,SigFig1,SigFig2,'VOC &amp; S Gases'!$D11)))</f>
        <v/>
      </c>
      <c r="G375" s="1273" t="str">
        <f>IF(F$371="","",('VOC &amp; S Gases'!$D11&amp;signum2('VOC &amp; S Gases'!J11,SigFig1,SigFig2,'VOC &amp; S Gases'!$D11)))</f>
        <v/>
      </c>
      <c r="H375" s="1322" t="str">
        <f>IF(F$371="","",(IF(F375="","",LessThan('VOC &amp; S Gases'!D11,VND))&amp;SigNum3('VOC &amp; S Gases'!K11,SigFig1,SigFig2,'VOC &amp; S Gases'!D11)))</f>
        <v/>
      </c>
      <c r="I375" s="1321" t="str">
        <f>IF(I$371="","",('VOC &amp; S Gases'!$F11&amp;signum2('VOC &amp; S Gases'!L11,SigFig1,SigFig2,'VOC &amp; S Gases'!$F11)))</f>
        <v/>
      </c>
      <c r="J375" s="1273" t="str">
        <f>IF(I$371="","",('VOC &amp; S Gases'!$F11&amp;signum2('VOC &amp; S Gases'!N11,SigFig1,SigFig2,'VOC &amp; S Gases'!$F11)))</f>
        <v/>
      </c>
      <c r="K375" s="1322" t="str">
        <f>IF(I$371="","",(IF(I375="","",LessThan('VOC &amp; S Gases'!F11,VND))&amp;SigNum3('VOC &amp; S Gases'!O11,SigFig1,SigFig2,'VOC &amp; S Gases'!F11)))</f>
        <v/>
      </c>
      <c r="L375" s="1321"/>
      <c r="M375" s="1322"/>
      <c r="N375" s="1272"/>
      <c r="O375" s="1319">
        <f>MAX(IF(ISERROR(VALUE($C375)),0,VALUE($C375)),IF(ISERROR(VALUE($F375)),0,VALUE($F375)),IF(ISERROR(VALUE($I375)),0,VALUE($I375)))</f>
        <v>0</v>
      </c>
      <c r="P375" s="1319">
        <f>MAX(IF(ISERROR(VALUE($E375)),0,VALUE($E375)),IF(ISERROR(VALUE($H375)),0,VALUE($H375)),IF(ISERROR(VALUE($K375)),0,VALUE($K375)))</f>
        <v>0</v>
      </c>
    </row>
    <row r="376" spans="1:16" hidden="1">
      <c r="A376" s="1267" t="str">
        <f>IF(AND('VOC &amp; S Gases'!E12="",'VOC &amp; S Gases'!G12=""),"",'VOC &amp; S Gases'!A12)</f>
        <v/>
      </c>
      <c r="B376" s="1259"/>
      <c r="C376" s="1321" t="str">
        <f>IF(C$371="","",('VOC &amp; S Gases'!$Q12&amp;signum2('VOC &amp; S Gases'!R12,SigFig1,SigFig2,'VOC &amp; S Gases'!$Q12)))</f>
        <v/>
      </c>
      <c r="D376" s="1273" t="str">
        <f>IF(C$371="","",('VOC &amp; S Gases'!$Q12&amp;signum2('VOC &amp; S Gases'!S12,SigFig1,SigFig2,'VOC &amp; S Gases'!$Q12)))</f>
        <v/>
      </c>
      <c r="E376" s="1322" t="str">
        <f>IF(C$371="","",(IF(C376="","",LessThan('VOC &amp; S Gases'!Q12,VND))&amp;SigNum3('VOC &amp; S Gases'!T12,SigFig1,SigFig2,'VOC &amp; S Gases'!Q12)))</f>
        <v/>
      </c>
      <c r="F376" s="1321" t="str">
        <f>IF(F$371="","",('VOC &amp; S Gases'!$D12&amp;signum2('VOC &amp; S Gases'!H12,SigFig1,SigFig2,'VOC &amp; S Gases'!$D12)))</f>
        <v/>
      </c>
      <c r="G376" s="1273" t="str">
        <f>IF(F$371="","",('VOC &amp; S Gases'!$D12&amp;signum2('VOC &amp; S Gases'!J12,SigFig1,SigFig2,'VOC &amp; S Gases'!$D12)))</f>
        <v/>
      </c>
      <c r="H376" s="1322" t="str">
        <f>IF(F$371="","",(IF(F376="","",LessThan('VOC &amp; S Gases'!D12,VND))&amp;SigNum3('VOC &amp; S Gases'!K12,SigFig1,SigFig2,'VOC &amp; S Gases'!D12)))</f>
        <v/>
      </c>
      <c r="I376" s="1321" t="str">
        <f>IF(I$371="","",('VOC &amp; S Gases'!$F12&amp;signum2('VOC &amp; S Gases'!L12,SigFig1,SigFig2,'VOC &amp; S Gases'!$F12)))</f>
        <v/>
      </c>
      <c r="J376" s="1273" t="str">
        <f>IF(I$371="","",('VOC &amp; S Gases'!$F12&amp;signum2('VOC &amp; S Gases'!N12,SigFig1,SigFig2,'VOC &amp; S Gases'!$F12)))</f>
        <v/>
      </c>
      <c r="K376" s="1322" t="str">
        <f>IF(I$371="","",(IF(I376="","",LessThan('VOC &amp; S Gases'!F12,VND))&amp;SigNum3('VOC &amp; S Gases'!O12,SigFig1,SigFig2,'VOC &amp; S Gases'!F12)))</f>
        <v/>
      </c>
      <c r="L376" s="1321"/>
      <c r="M376" s="1322"/>
      <c r="N376" s="1272"/>
      <c r="O376" s="1319">
        <f t="shared" ref="O376:O439" si="20">MAX(IF(ISERROR(VALUE($C376)),0,VALUE($C376)),IF(ISERROR(VALUE($F376)),0,VALUE($F376)),IF(ISERROR(VALUE($I376)),0,VALUE($I376)))</f>
        <v>0</v>
      </c>
      <c r="P376" s="1319">
        <f t="shared" ref="P376:P439" si="21">MAX(IF(ISERROR(VALUE($E376)),0,VALUE($E376)),IF(ISERROR(VALUE($H376)),0,VALUE($H376)),IF(ISERROR(VALUE($K376)),0,VALUE($K376)))</f>
        <v>0</v>
      </c>
    </row>
    <row r="377" spans="1:16" hidden="1">
      <c r="A377" s="1267" t="str">
        <f>IF(AND('VOC &amp; S Gases'!E13="",'VOC &amp; S Gases'!G13=""),"",'VOC &amp; S Gases'!A13)</f>
        <v/>
      </c>
      <c r="B377" s="1259"/>
      <c r="C377" s="1321" t="str">
        <f>IF(C$371="","",('VOC &amp; S Gases'!$Q13&amp;signum2('VOC &amp; S Gases'!R13,SigFig1,SigFig2,'VOC &amp; S Gases'!$Q13)))</f>
        <v/>
      </c>
      <c r="D377" s="1273" t="str">
        <f>IF(C$371="","",('VOC &amp; S Gases'!$Q13&amp;signum2('VOC &amp; S Gases'!S13,SigFig1,SigFig2,'VOC &amp; S Gases'!$Q13)))</f>
        <v/>
      </c>
      <c r="E377" s="1322" t="str">
        <f>IF(C$371="","",(IF(C377="","",LessThan('VOC &amp; S Gases'!Q13,VND))&amp;SigNum3('VOC &amp; S Gases'!T13,SigFig1,SigFig2,'VOC &amp; S Gases'!Q13)))</f>
        <v/>
      </c>
      <c r="F377" s="1321" t="str">
        <f>IF(F$371="","",('VOC &amp; S Gases'!$D13&amp;signum2('VOC &amp; S Gases'!H13,SigFig1,SigFig2,'VOC &amp; S Gases'!$D13)))</f>
        <v/>
      </c>
      <c r="G377" s="1273" t="str">
        <f>IF(F$371="","",('VOC &amp; S Gases'!$D13&amp;signum2('VOC &amp; S Gases'!J13,SigFig1,SigFig2,'VOC &amp; S Gases'!$D13)))</f>
        <v/>
      </c>
      <c r="H377" s="1322" t="str">
        <f>IF(F$371="","",(IF(F377="","",LessThan('VOC &amp; S Gases'!D13,VND))&amp;SigNum3('VOC &amp; S Gases'!K13,SigFig1,SigFig2,'VOC &amp; S Gases'!D13)))</f>
        <v/>
      </c>
      <c r="I377" s="1321" t="str">
        <f>IF(I$371="","",('VOC &amp; S Gases'!$F13&amp;signum2('VOC &amp; S Gases'!L13,SigFig1,SigFig2,'VOC &amp; S Gases'!$F13)))</f>
        <v/>
      </c>
      <c r="J377" s="1273" t="str">
        <f>IF(I$371="","",('VOC &amp; S Gases'!$F13&amp;signum2('VOC &amp; S Gases'!N13,SigFig1,SigFig2,'VOC &amp; S Gases'!$F13)))</f>
        <v/>
      </c>
      <c r="K377" s="1322" t="str">
        <f>IF(I$371="","",(IF(I377="","",LessThan('VOC &amp; S Gases'!F13,VND))&amp;SigNum3('VOC &amp; S Gases'!O13,SigFig1,SigFig2,'VOC &amp; S Gases'!F13)))</f>
        <v/>
      </c>
      <c r="L377" s="1321"/>
      <c r="M377" s="1322"/>
      <c r="N377" s="1272"/>
      <c r="O377" s="1319">
        <f t="shared" si="20"/>
        <v>0</v>
      </c>
      <c r="P377" s="1319">
        <f t="shared" si="21"/>
        <v>0</v>
      </c>
    </row>
    <row r="378" spans="1:16" hidden="1">
      <c r="A378" s="1267" t="str">
        <f>IF(AND('VOC &amp; S Gases'!E14="",'VOC &amp; S Gases'!G14=""),"",'VOC &amp; S Gases'!A14)</f>
        <v/>
      </c>
      <c r="B378" s="1259"/>
      <c r="C378" s="1321" t="str">
        <f>IF(C$371="","",('VOC &amp; S Gases'!$Q14&amp;signum2('VOC &amp; S Gases'!R14,SigFig1,SigFig2,'VOC &amp; S Gases'!$Q14)))</f>
        <v/>
      </c>
      <c r="D378" s="1273" t="str">
        <f>IF(C$371="","",('VOC &amp; S Gases'!$Q14&amp;signum2('VOC &amp; S Gases'!S14,SigFig1,SigFig2,'VOC &amp; S Gases'!$Q14)))</f>
        <v/>
      </c>
      <c r="E378" s="1322" t="str">
        <f>IF(C$371="","",(IF(C378="","",LessThan('VOC &amp; S Gases'!Q14,VND))&amp;SigNum3('VOC &amp; S Gases'!T14,SigFig1,SigFig2,'VOC &amp; S Gases'!Q14)))</f>
        <v/>
      </c>
      <c r="F378" s="1321" t="str">
        <f>IF(F$371="","",('VOC &amp; S Gases'!$D14&amp;signum2('VOC &amp; S Gases'!H14,SigFig1,SigFig2,'VOC &amp; S Gases'!$D14)))</f>
        <v/>
      </c>
      <c r="G378" s="1273" t="str">
        <f>IF(F$371="","",('VOC &amp; S Gases'!$D14&amp;signum2('VOC &amp; S Gases'!J14,SigFig1,SigFig2,'VOC &amp; S Gases'!$D14)))</f>
        <v/>
      </c>
      <c r="H378" s="1322" t="str">
        <f>IF(F$371="","",(IF(F378="","",LessThan('VOC &amp; S Gases'!D14,VND))&amp;SigNum3('VOC &amp; S Gases'!K14,SigFig1,SigFig2,'VOC &amp; S Gases'!D14)))</f>
        <v/>
      </c>
      <c r="I378" s="1321" t="str">
        <f>IF(I$371="","",('VOC &amp; S Gases'!$F14&amp;signum2('VOC &amp; S Gases'!L14,SigFig1,SigFig2,'VOC &amp; S Gases'!$F14)))</f>
        <v/>
      </c>
      <c r="J378" s="1273" t="str">
        <f>IF(I$371="","",('VOC &amp; S Gases'!$F14&amp;signum2('VOC &amp; S Gases'!N14,SigFig1,SigFig2,'VOC &amp; S Gases'!$F14)))</f>
        <v/>
      </c>
      <c r="K378" s="1322" t="str">
        <f>IF(I$371="","",(IF(I378="","",LessThan('VOC &amp; S Gases'!F14,VND))&amp;SigNum3('VOC &amp; S Gases'!O14,SigFig1,SigFig2,'VOC &amp; S Gases'!F14)))</f>
        <v/>
      </c>
      <c r="L378" s="1321"/>
      <c r="M378" s="1322"/>
      <c r="N378" s="1272"/>
      <c r="O378" s="1319">
        <f t="shared" si="20"/>
        <v>0</v>
      </c>
      <c r="P378" s="1319">
        <f t="shared" si="21"/>
        <v>0</v>
      </c>
    </row>
    <row r="379" spans="1:16" hidden="1">
      <c r="A379" s="1267" t="str">
        <f>IF(AND('VOC &amp; S Gases'!E15="",'VOC &amp; S Gases'!G15=""),"",'VOC &amp; S Gases'!A15)</f>
        <v/>
      </c>
      <c r="B379" s="1259"/>
      <c r="C379" s="1321" t="str">
        <f>IF(C$371="","",('VOC &amp; S Gases'!$Q15&amp;signum2('VOC &amp; S Gases'!R15,SigFig1,SigFig2,'VOC &amp; S Gases'!$Q15)))</f>
        <v/>
      </c>
      <c r="D379" s="1273" t="str">
        <f>IF(C$371="","",('VOC &amp; S Gases'!$Q15&amp;signum2('VOC &amp; S Gases'!S15,SigFig1,SigFig2,'VOC &amp; S Gases'!$Q15)))</f>
        <v/>
      </c>
      <c r="E379" s="1322" t="str">
        <f>IF(C$371="","",(IF(C379="","",LessThan('VOC &amp; S Gases'!Q15,VND))&amp;SigNum3('VOC &amp; S Gases'!T15,SigFig1,SigFig2,'VOC &amp; S Gases'!Q15)))</f>
        <v/>
      </c>
      <c r="F379" s="1321" t="str">
        <f>IF(F$371="","",('VOC &amp; S Gases'!$D15&amp;signum2('VOC &amp; S Gases'!H15,SigFig1,SigFig2,'VOC &amp; S Gases'!$D15)))</f>
        <v/>
      </c>
      <c r="G379" s="1273" t="str">
        <f>IF(F$371="","",('VOC &amp; S Gases'!$D15&amp;signum2('VOC &amp; S Gases'!J15,SigFig1,SigFig2,'VOC &amp; S Gases'!$D15)))</f>
        <v/>
      </c>
      <c r="H379" s="1322" t="str">
        <f>IF(F$371="","",(IF(F379="","",LessThan('VOC &amp; S Gases'!D15,VND))&amp;SigNum3('VOC &amp; S Gases'!K15,SigFig1,SigFig2,'VOC &amp; S Gases'!D15)))</f>
        <v/>
      </c>
      <c r="I379" s="1321" t="str">
        <f>IF(I$371="","",('VOC &amp; S Gases'!$F15&amp;signum2('VOC &amp; S Gases'!L15,SigFig1,SigFig2,'VOC &amp; S Gases'!$F15)))</f>
        <v/>
      </c>
      <c r="J379" s="1273" t="str">
        <f>IF(I$371="","",('VOC &amp; S Gases'!$F15&amp;signum2('VOC &amp; S Gases'!N15,SigFig1,SigFig2,'VOC &amp; S Gases'!$F15)))</f>
        <v/>
      </c>
      <c r="K379" s="1322" t="str">
        <f>IF(I$371="","",(IF(I379="","",LessThan('VOC &amp; S Gases'!F15,VND))&amp;SigNum3('VOC &amp; S Gases'!O15,SigFig1,SigFig2,'VOC &amp; S Gases'!F15)))</f>
        <v/>
      </c>
      <c r="L379" s="1321"/>
      <c r="M379" s="1322"/>
      <c r="N379" s="1272"/>
      <c r="O379" s="1319">
        <f t="shared" si="20"/>
        <v>0</v>
      </c>
      <c r="P379" s="1319">
        <f t="shared" si="21"/>
        <v>0</v>
      </c>
    </row>
    <row r="380" spans="1:16" hidden="1">
      <c r="A380" s="1267" t="str">
        <f>IF(AND('VOC &amp; S Gases'!E16="",'VOC &amp; S Gases'!G16=""),"",'VOC &amp; S Gases'!A16)</f>
        <v/>
      </c>
      <c r="B380" s="1259"/>
      <c r="C380" s="1321" t="str">
        <f>IF(C$371="","",('VOC &amp; S Gases'!$Q16&amp;signum2('VOC &amp; S Gases'!R16,SigFig1,SigFig2,'VOC &amp; S Gases'!$Q16)))</f>
        <v/>
      </c>
      <c r="D380" s="1273" t="str">
        <f>IF(C$371="","",('VOC &amp; S Gases'!$Q16&amp;signum2('VOC &amp; S Gases'!S16,SigFig1,SigFig2,'VOC &amp; S Gases'!$Q16)))</f>
        <v/>
      </c>
      <c r="E380" s="1322" t="str">
        <f>IF(C$371="","",(IF(C380="","",LessThan('VOC &amp; S Gases'!Q16,VND))&amp;SigNum3('VOC &amp; S Gases'!T16,SigFig1,SigFig2,'VOC &amp; S Gases'!Q16)))</f>
        <v/>
      </c>
      <c r="F380" s="1321" t="str">
        <f>IF(F$371="","",('VOC &amp; S Gases'!$D16&amp;signum2('VOC &amp; S Gases'!H16,SigFig1,SigFig2,'VOC &amp; S Gases'!$D16)))</f>
        <v/>
      </c>
      <c r="G380" s="1273" t="str">
        <f>IF(F$371="","",('VOC &amp; S Gases'!$D16&amp;signum2('VOC &amp; S Gases'!J16,SigFig1,SigFig2,'VOC &amp; S Gases'!$D16)))</f>
        <v/>
      </c>
      <c r="H380" s="1322" t="str">
        <f>IF(F$371="","",(IF(F380="","",LessThan('VOC &amp; S Gases'!D16,VND))&amp;SigNum3('VOC &amp; S Gases'!K16,SigFig1,SigFig2,'VOC &amp; S Gases'!D16)))</f>
        <v/>
      </c>
      <c r="I380" s="1321" t="str">
        <f>IF(I$371="","",('VOC &amp; S Gases'!$F16&amp;signum2('VOC &amp; S Gases'!L16,SigFig1,SigFig2,'VOC &amp; S Gases'!$F16)))</f>
        <v/>
      </c>
      <c r="J380" s="1273" t="str">
        <f>IF(I$371="","",('VOC &amp; S Gases'!$F16&amp;signum2('VOC &amp; S Gases'!N16,SigFig1,SigFig2,'VOC &amp; S Gases'!$F16)))</f>
        <v/>
      </c>
      <c r="K380" s="1322" t="str">
        <f>IF(I$371="","",(IF(I380="","",LessThan('VOC &amp; S Gases'!F16,VND))&amp;SigNum3('VOC &amp; S Gases'!O16,SigFig1,SigFig2,'VOC &amp; S Gases'!F16)))</f>
        <v/>
      </c>
      <c r="L380" s="1321"/>
      <c r="M380" s="1322"/>
      <c r="N380" s="1272"/>
      <c r="O380" s="1319">
        <f t="shared" si="20"/>
        <v>0</v>
      </c>
      <c r="P380" s="1319">
        <f t="shared" si="21"/>
        <v>0</v>
      </c>
    </row>
    <row r="381" spans="1:16" hidden="1">
      <c r="A381" s="1267" t="str">
        <f>IF(AND('VOC &amp; S Gases'!E17="",'VOC &amp; S Gases'!G17=""),"",'VOC &amp; S Gases'!A17)</f>
        <v/>
      </c>
      <c r="B381" s="1259"/>
      <c r="C381" s="1321" t="str">
        <f>IF(C$371="","",('VOC &amp; S Gases'!$Q17&amp;signum2('VOC &amp; S Gases'!R17,SigFig1,SigFig2,'VOC &amp; S Gases'!$Q17)))</f>
        <v/>
      </c>
      <c r="D381" s="1273" t="str">
        <f>IF(C$371="","",('VOC &amp; S Gases'!$Q17&amp;signum2('VOC &amp; S Gases'!S17,SigFig1,SigFig2,'VOC &amp; S Gases'!$Q17)))</f>
        <v/>
      </c>
      <c r="E381" s="1322" t="str">
        <f>IF(C$371="","",(IF(C381="","",LessThan('VOC &amp; S Gases'!Q17,VND))&amp;SigNum3('VOC &amp; S Gases'!T17,SigFig1,SigFig2,'VOC &amp; S Gases'!Q17)))</f>
        <v/>
      </c>
      <c r="F381" s="1321" t="str">
        <f>IF(F$371="","",('VOC &amp; S Gases'!$D17&amp;signum2('VOC &amp; S Gases'!H17,SigFig1,SigFig2,'VOC &amp; S Gases'!$D17)))</f>
        <v/>
      </c>
      <c r="G381" s="1273" t="str">
        <f>IF(F$371="","",('VOC &amp; S Gases'!$D17&amp;signum2('VOC &amp; S Gases'!J17,SigFig1,SigFig2,'VOC &amp; S Gases'!$D17)))</f>
        <v/>
      </c>
      <c r="H381" s="1322" t="str">
        <f>IF(F$371="","",(IF(F381="","",LessThan('VOC &amp; S Gases'!D17,VND))&amp;SigNum3('VOC &amp; S Gases'!K17,SigFig1,SigFig2,'VOC &amp; S Gases'!D17)))</f>
        <v/>
      </c>
      <c r="I381" s="1321" t="str">
        <f>IF(I$371="","",('VOC &amp; S Gases'!$F17&amp;signum2('VOC &amp; S Gases'!L17,SigFig1,SigFig2,'VOC &amp; S Gases'!$F17)))</f>
        <v/>
      </c>
      <c r="J381" s="1273" t="str">
        <f>IF(I$371="","",('VOC &amp; S Gases'!$F17&amp;signum2('VOC &amp; S Gases'!N17,SigFig1,SigFig2,'VOC &amp; S Gases'!$F17)))</f>
        <v/>
      </c>
      <c r="K381" s="1322" t="str">
        <f>IF(I$371="","",(IF(I381="","",LessThan('VOC &amp; S Gases'!F17,VND))&amp;SigNum3('VOC &amp; S Gases'!O17,SigFig1,SigFig2,'VOC &amp; S Gases'!F17)))</f>
        <v/>
      </c>
      <c r="L381" s="1321"/>
      <c r="M381" s="1322"/>
      <c r="N381" s="1272"/>
      <c r="O381" s="1319">
        <f t="shared" si="20"/>
        <v>0</v>
      </c>
      <c r="P381" s="1319">
        <f t="shared" si="21"/>
        <v>0</v>
      </c>
    </row>
    <row r="382" spans="1:16" hidden="1">
      <c r="A382" s="1267" t="str">
        <f>IF(AND('VOC &amp; S Gases'!E18="",'VOC &amp; S Gases'!G18=""),"",'VOC &amp; S Gases'!A18)</f>
        <v/>
      </c>
      <c r="B382" s="1259"/>
      <c r="C382" s="1321" t="str">
        <f>IF(C$371="","",('VOC &amp; S Gases'!$Q18&amp;signum2('VOC &amp; S Gases'!R18,SigFig1,SigFig2,'VOC &amp; S Gases'!$Q18)))</f>
        <v/>
      </c>
      <c r="D382" s="1273" t="str">
        <f>IF(C$371="","",('VOC &amp; S Gases'!$Q18&amp;signum2('VOC &amp; S Gases'!S18,SigFig1,SigFig2,'VOC &amp; S Gases'!$Q18)))</f>
        <v/>
      </c>
      <c r="E382" s="1322" t="str">
        <f>IF(C$371="","",(IF(C382="","",LessThan('VOC &amp; S Gases'!Q18,VND))&amp;SigNum3('VOC &amp; S Gases'!T18,SigFig1,SigFig2,'VOC &amp; S Gases'!Q18)))</f>
        <v/>
      </c>
      <c r="F382" s="1321" t="str">
        <f>IF(F$371="","",('VOC &amp; S Gases'!$D18&amp;signum2('VOC &amp; S Gases'!H18,SigFig1,SigFig2,'VOC &amp; S Gases'!$D18)))</f>
        <v/>
      </c>
      <c r="G382" s="1273" t="str">
        <f>IF(F$371="","",('VOC &amp; S Gases'!$D18&amp;signum2('VOC &amp; S Gases'!J18,SigFig1,SigFig2,'VOC &amp; S Gases'!$D18)))</f>
        <v/>
      </c>
      <c r="H382" s="1322" t="str">
        <f>IF(F$371="","",(IF(F382="","",LessThan('VOC &amp; S Gases'!D18,VND))&amp;SigNum3('VOC &amp; S Gases'!K18,SigFig1,SigFig2,'VOC &amp; S Gases'!D18)))</f>
        <v/>
      </c>
      <c r="I382" s="1321" t="str">
        <f>IF(I$371="","",('VOC &amp; S Gases'!$F18&amp;signum2('VOC &amp; S Gases'!L18,SigFig1,SigFig2,'VOC &amp; S Gases'!$F18)))</f>
        <v/>
      </c>
      <c r="J382" s="1273" t="str">
        <f>IF(I$371="","",('VOC &amp; S Gases'!$F18&amp;signum2('VOC &amp; S Gases'!N18,SigFig1,SigFig2,'VOC &amp; S Gases'!$F18)))</f>
        <v/>
      </c>
      <c r="K382" s="1322" t="str">
        <f>IF(I$371="","",(IF(I382="","",LessThan('VOC &amp; S Gases'!F18,VND))&amp;SigNum3('VOC &amp; S Gases'!O18,SigFig1,SigFig2,'VOC &amp; S Gases'!F18)))</f>
        <v/>
      </c>
      <c r="L382" s="1321"/>
      <c r="M382" s="1322"/>
      <c r="N382" s="1272"/>
      <c r="O382" s="1319">
        <f t="shared" si="20"/>
        <v>0</v>
      </c>
      <c r="P382" s="1319">
        <f t="shared" si="21"/>
        <v>0</v>
      </c>
    </row>
    <row r="383" spans="1:16" hidden="1">
      <c r="A383" s="1267" t="str">
        <f>IF(AND('VOC &amp; S Gases'!E19="",'VOC &amp; S Gases'!G19=""),"",'VOC &amp; S Gases'!A19)</f>
        <v/>
      </c>
      <c r="B383" s="1259"/>
      <c r="C383" s="1321" t="str">
        <f>IF(C$371="","",('VOC &amp; S Gases'!$Q19&amp;signum2('VOC &amp; S Gases'!R19,SigFig1,SigFig2,'VOC &amp; S Gases'!$Q19)))</f>
        <v/>
      </c>
      <c r="D383" s="1273" t="str">
        <f>IF(C$371="","",('VOC &amp; S Gases'!$Q19&amp;signum2('VOC &amp; S Gases'!S19,SigFig1,SigFig2,'VOC &amp; S Gases'!$Q19)))</f>
        <v/>
      </c>
      <c r="E383" s="1322" t="str">
        <f>IF(C$371="","",(IF(C383="","",LessThan('VOC &amp; S Gases'!Q19,VND))&amp;SigNum3('VOC &amp; S Gases'!T19,SigFig1,SigFig2,'VOC &amp; S Gases'!Q19)))</f>
        <v/>
      </c>
      <c r="F383" s="1321" t="str">
        <f>IF(F$371="","",('VOC &amp; S Gases'!$D19&amp;signum2('VOC &amp; S Gases'!H19,SigFig1,SigFig2,'VOC &amp; S Gases'!$D19)))</f>
        <v/>
      </c>
      <c r="G383" s="1273" t="str">
        <f>IF(F$371="","",('VOC &amp; S Gases'!$D19&amp;signum2('VOC &amp; S Gases'!J19,SigFig1,SigFig2,'VOC &amp; S Gases'!$D19)))</f>
        <v/>
      </c>
      <c r="H383" s="1322" t="str">
        <f>IF(F$371="","",(IF(F383="","",LessThan('VOC &amp; S Gases'!D19,VND))&amp;SigNum3('VOC &amp; S Gases'!K19,SigFig1,SigFig2,'VOC &amp; S Gases'!D19)))</f>
        <v/>
      </c>
      <c r="I383" s="1321" t="str">
        <f>IF(I$371="","",('VOC &amp; S Gases'!$F19&amp;signum2('VOC &amp; S Gases'!L19,SigFig1,SigFig2,'VOC &amp; S Gases'!$F19)))</f>
        <v/>
      </c>
      <c r="J383" s="1273" t="str">
        <f>IF(I$371="","",('VOC &amp; S Gases'!$F19&amp;signum2('VOC &amp; S Gases'!N19,SigFig1,SigFig2,'VOC &amp; S Gases'!$F19)))</f>
        <v/>
      </c>
      <c r="K383" s="1322" t="str">
        <f>IF(I$371="","",(IF(I383="","",LessThan('VOC &amp; S Gases'!F19,VND))&amp;SigNum3('VOC &amp; S Gases'!O19,SigFig1,SigFig2,'VOC &amp; S Gases'!F19)))</f>
        <v/>
      </c>
      <c r="L383" s="1321"/>
      <c r="M383" s="1322"/>
      <c r="N383" s="1272"/>
      <c r="O383" s="1319">
        <f t="shared" si="20"/>
        <v>0</v>
      </c>
      <c r="P383" s="1319">
        <f t="shared" si="21"/>
        <v>0</v>
      </c>
    </row>
    <row r="384" spans="1:16" hidden="1">
      <c r="A384" s="1267" t="str">
        <f>IF(AND('VOC &amp; S Gases'!E20="",'VOC &amp; S Gases'!G20=""),"",'VOC &amp; S Gases'!A20)</f>
        <v/>
      </c>
      <c r="B384" s="1259"/>
      <c r="C384" s="1321" t="str">
        <f>IF(C$371="","",('VOC &amp; S Gases'!$Q20&amp;signum2('VOC &amp; S Gases'!R20,SigFig1,SigFig2,'VOC &amp; S Gases'!$Q20)))</f>
        <v/>
      </c>
      <c r="D384" s="1273" t="str">
        <f>IF(C$371="","",('VOC &amp; S Gases'!$Q20&amp;signum2('VOC &amp; S Gases'!S20,SigFig1,SigFig2,'VOC &amp; S Gases'!$Q20)))</f>
        <v/>
      </c>
      <c r="E384" s="1322" t="str">
        <f>IF(C$371="","",(IF(C384="","",LessThan('VOC &amp; S Gases'!Q20,VND))&amp;SigNum3('VOC &amp; S Gases'!T20,SigFig1,SigFig2,'VOC &amp; S Gases'!Q20)))</f>
        <v/>
      </c>
      <c r="F384" s="1321" t="str">
        <f>IF(F$371="","",('VOC &amp; S Gases'!$D20&amp;signum2('VOC &amp; S Gases'!H20,SigFig1,SigFig2,'VOC &amp; S Gases'!$D20)))</f>
        <v/>
      </c>
      <c r="G384" s="1273" t="str">
        <f>IF(F$371="","",('VOC &amp; S Gases'!$D20&amp;signum2('VOC &amp; S Gases'!J20,SigFig1,SigFig2,'VOC &amp; S Gases'!$D20)))</f>
        <v/>
      </c>
      <c r="H384" s="1322" t="str">
        <f>IF(F$371="","",(IF(F384="","",LessThan('VOC &amp; S Gases'!D20,VND))&amp;SigNum3('VOC &amp; S Gases'!K20,SigFig1,SigFig2,'VOC &amp; S Gases'!D20)))</f>
        <v/>
      </c>
      <c r="I384" s="1321" t="str">
        <f>IF(I$371="","",('VOC &amp; S Gases'!$F20&amp;signum2('VOC &amp; S Gases'!L20,SigFig1,SigFig2,'VOC &amp; S Gases'!$F20)))</f>
        <v/>
      </c>
      <c r="J384" s="1273" t="str">
        <f>IF(I$371="","",('VOC &amp; S Gases'!$F20&amp;signum2('VOC &amp; S Gases'!N20,SigFig1,SigFig2,'VOC &amp; S Gases'!$F20)))</f>
        <v/>
      </c>
      <c r="K384" s="1322" t="str">
        <f>IF(I$371="","",(IF(I384="","",LessThan('VOC &amp; S Gases'!F20,VND))&amp;SigNum3('VOC &amp; S Gases'!O20,SigFig1,SigFig2,'VOC &amp; S Gases'!F20)))</f>
        <v/>
      </c>
      <c r="L384" s="1321"/>
      <c r="M384" s="1322"/>
      <c r="N384" s="1272"/>
      <c r="O384" s="1319">
        <f t="shared" si="20"/>
        <v>0</v>
      </c>
      <c r="P384" s="1319">
        <f t="shared" si="21"/>
        <v>0</v>
      </c>
    </row>
    <row r="385" spans="1:16" hidden="1">
      <c r="A385" s="1267" t="str">
        <f>IF(AND('VOC &amp; S Gases'!E21="",'VOC &amp; S Gases'!G21=""),"",'VOC &amp; S Gases'!A21)</f>
        <v/>
      </c>
      <c r="B385" s="1259"/>
      <c r="C385" s="1321" t="str">
        <f>IF(C$371="","",('VOC &amp; S Gases'!$Q21&amp;signum2('VOC &amp; S Gases'!R21,SigFig1,SigFig2,'VOC &amp; S Gases'!$Q21)))</f>
        <v/>
      </c>
      <c r="D385" s="1273" t="str">
        <f>IF(C$371="","",('VOC &amp; S Gases'!$Q21&amp;signum2('VOC &amp; S Gases'!S21,SigFig1,SigFig2,'VOC &amp; S Gases'!$Q21)))</f>
        <v/>
      </c>
      <c r="E385" s="1322" t="str">
        <f>IF(C$371="","",(IF(C385="","",LessThan('VOC &amp; S Gases'!Q21,VND))&amp;SigNum3('VOC &amp; S Gases'!T21,SigFig1,SigFig2,'VOC &amp; S Gases'!Q21)))</f>
        <v/>
      </c>
      <c r="F385" s="1321" t="str">
        <f>IF(F$371="","",('VOC &amp; S Gases'!$D21&amp;signum2('VOC &amp; S Gases'!H21,SigFig1,SigFig2,'VOC &amp; S Gases'!$D21)))</f>
        <v/>
      </c>
      <c r="G385" s="1273" t="str">
        <f>IF(F$371="","",('VOC &amp; S Gases'!$D21&amp;signum2('VOC &amp; S Gases'!J21,SigFig1,SigFig2,'VOC &amp; S Gases'!$D21)))</f>
        <v/>
      </c>
      <c r="H385" s="1322" t="str">
        <f>IF(F$371="","",(IF(F385="","",LessThan('VOC &amp; S Gases'!D21,VND))&amp;SigNum3('VOC &amp; S Gases'!K21,SigFig1,SigFig2,'VOC &amp; S Gases'!D21)))</f>
        <v/>
      </c>
      <c r="I385" s="1321" t="str">
        <f>IF(I$371="","",('VOC &amp; S Gases'!$F21&amp;signum2('VOC &amp; S Gases'!L21,SigFig1,SigFig2,'VOC &amp; S Gases'!$F21)))</f>
        <v/>
      </c>
      <c r="J385" s="1273" t="str">
        <f>IF(I$371="","",('VOC &amp; S Gases'!$F21&amp;signum2('VOC &amp; S Gases'!N21,SigFig1,SigFig2,'VOC &amp; S Gases'!$F21)))</f>
        <v/>
      </c>
      <c r="K385" s="1322" t="str">
        <f>IF(I$371="","",(IF(I385="","",LessThan('VOC &amp; S Gases'!F21,VND))&amp;SigNum3('VOC &amp; S Gases'!O21,SigFig1,SigFig2,'VOC &amp; S Gases'!F21)))</f>
        <v/>
      </c>
      <c r="L385" s="1321"/>
      <c r="M385" s="1322"/>
      <c r="N385" s="1272"/>
      <c r="O385" s="1319">
        <f t="shared" si="20"/>
        <v>0</v>
      </c>
      <c r="P385" s="1319">
        <f t="shared" si="21"/>
        <v>0</v>
      </c>
    </row>
    <row r="386" spans="1:16" hidden="1">
      <c r="A386" s="1267" t="str">
        <f>IF(AND('VOC &amp; S Gases'!E22="",'VOC &amp; S Gases'!G22=""),"",'VOC &amp; S Gases'!A22)</f>
        <v/>
      </c>
      <c r="B386" s="1259"/>
      <c r="C386" s="1321" t="str">
        <f>IF(C$371="","",('VOC &amp; S Gases'!$Q22&amp;signum2('VOC &amp; S Gases'!R22,SigFig1,SigFig2,'VOC &amp; S Gases'!$Q22)))</f>
        <v/>
      </c>
      <c r="D386" s="1273" t="str">
        <f>IF(C$371="","",('VOC &amp; S Gases'!$Q22&amp;signum2('VOC &amp; S Gases'!S22,SigFig1,SigFig2,'VOC &amp; S Gases'!$Q22)))</f>
        <v/>
      </c>
      <c r="E386" s="1322" t="str">
        <f>IF(C$371="","",(IF(C386="","",LessThan('VOC &amp; S Gases'!Q22,VND))&amp;SigNum3('VOC &amp; S Gases'!T22,SigFig1,SigFig2,'VOC &amp; S Gases'!Q22)))</f>
        <v/>
      </c>
      <c r="F386" s="1321" t="str">
        <f>IF(F$371="","",('VOC &amp; S Gases'!$D22&amp;signum2('VOC &amp; S Gases'!H22,SigFig1,SigFig2,'VOC &amp; S Gases'!$D22)))</f>
        <v/>
      </c>
      <c r="G386" s="1273" t="str">
        <f>IF(F$371="","",('VOC &amp; S Gases'!$D22&amp;signum2('VOC &amp; S Gases'!J22,SigFig1,SigFig2,'VOC &amp; S Gases'!$D22)))</f>
        <v/>
      </c>
      <c r="H386" s="1322" t="str">
        <f>IF(F$371="","",(IF(F386="","",LessThan('VOC &amp; S Gases'!D22,VND))&amp;SigNum3('VOC &amp; S Gases'!K22,SigFig1,SigFig2,'VOC &amp; S Gases'!D22)))</f>
        <v/>
      </c>
      <c r="I386" s="1321" t="str">
        <f>IF(I$371="","",('VOC &amp; S Gases'!$F22&amp;signum2('VOC &amp; S Gases'!L22,SigFig1,SigFig2,'VOC &amp; S Gases'!$F22)))</f>
        <v/>
      </c>
      <c r="J386" s="1273" t="str">
        <f>IF(I$371="","",('VOC &amp; S Gases'!$F22&amp;signum2('VOC &amp; S Gases'!N22,SigFig1,SigFig2,'VOC &amp; S Gases'!$F22)))</f>
        <v/>
      </c>
      <c r="K386" s="1322" t="str">
        <f>IF(I$371="","",(IF(I386="","",LessThan('VOC &amp; S Gases'!F22,VND))&amp;SigNum3('VOC &amp; S Gases'!O22,SigFig1,SigFig2,'VOC &amp; S Gases'!F22)))</f>
        <v/>
      </c>
      <c r="L386" s="1321"/>
      <c r="M386" s="1322"/>
      <c r="N386" s="1272"/>
      <c r="O386" s="1319">
        <f t="shared" si="20"/>
        <v>0</v>
      </c>
      <c r="P386" s="1319">
        <f t="shared" si="21"/>
        <v>0</v>
      </c>
    </row>
    <row r="387" spans="1:16" hidden="1">
      <c r="A387" s="1267" t="str">
        <f>IF(AND('VOC &amp; S Gases'!E23="",'VOC &amp; S Gases'!G23=""),"",'VOC &amp; S Gases'!A23)</f>
        <v/>
      </c>
      <c r="B387" s="1259"/>
      <c r="C387" s="1321" t="str">
        <f>IF(C$371="","",('VOC &amp; S Gases'!$Q23&amp;signum2('VOC &amp; S Gases'!R23,SigFig1,SigFig2,'VOC &amp; S Gases'!$Q23)))</f>
        <v/>
      </c>
      <c r="D387" s="1273" t="str">
        <f>IF(C$371="","",('VOC &amp; S Gases'!$Q23&amp;signum2('VOC &amp; S Gases'!S23,SigFig1,SigFig2,'VOC &amp; S Gases'!$Q23)))</f>
        <v/>
      </c>
      <c r="E387" s="1322" t="str">
        <f>IF(C$371="","",(IF(C387="","",LessThan('VOC &amp; S Gases'!Q23,VND))&amp;SigNum3('VOC &amp; S Gases'!T23,SigFig1,SigFig2,'VOC &amp; S Gases'!Q23)))</f>
        <v/>
      </c>
      <c r="F387" s="1321" t="str">
        <f>IF(F$371="","",('VOC &amp; S Gases'!$D23&amp;signum2('VOC &amp; S Gases'!H23,SigFig1,SigFig2,'VOC &amp; S Gases'!$D23)))</f>
        <v/>
      </c>
      <c r="G387" s="1273" t="str">
        <f>IF(F$371="","",('VOC &amp; S Gases'!$D23&amp;signum2('VOC &amp; S Gases'!J23,SigFig1,SigFig2,'VOC &amp; S Gases'!$D23)))</f>
        <v/>
      </c>
      <c r="H387" s="1322" t="str">
        <f>IF(F$371="","",(IF(F387="","",LessThan('VOC &amp; S Gases'!D23,VND))&amp;SigNum3('VOC &amp; S Gases'!K23,SigFig1,SigFig2,'VOC &amp; S Gases'!D23)))</f>
        <v/>
      </c>
      <c r="I387" s="1321" t="str">
        <f>IF(I$371="","",('VOC &amp; S Gases'!$F23&amp;signum2('VOC &amp; S Gases'!L23,SigFig1,SigFig2,'VOC &amp; S Gases'!$F23)))</f>
        <v/>
      </c>
      <c r="J387" s="1273" t="str">
        <f>IF(I$371="","",('VOC &amp; S Gases'!$F23&amp;signum2('VOC &amp; S Gases'!N23,SigFig1,SigFig2,'VOC &amp; S Gases'!$F23)))</f>
        <v/>
      </c>
      <c r="K387" s="1322" t="str">
        <f>IF(I$371="","",(IF(I387="","",LessThan('VOC &amp; S Gases'!F23,VND))&amp;SigNum3('VOC &amp; S Gases'!O23,SigFig1,SigFig2,'VOC &amp; S Gases'!F23)))</f>
        <v/>
      </c>
      <c r="L387" s="1321"/>
      <c r="M387" s="1322"/>
      <c r="N387" s="1272"/>
      <c r="O387" s="1319">
        <f t="shared" si="20"/>
        <v>0</v>
      </c>
      <c r="P387" s="1319">
        <f t="shared" si="21"/>
        <v>0</v>
      </c>
    </row>
    <row r="388" spans="1:16" hidden="1">
      <c r="A388" s="1267" t="str">
        <f>IF(AND('VOC &amp; S Gases'!E24="",'VOC &amp; S Gases'!G24=""),"",'VOC &amp; S Gases'!A24)</f>
        <v/>
      </c>
      <c r="B388" s="1259"/>
      <c r="C388" s="1321" t="str">
        <f>IF(C$371="","",('VOC &amp; S Gases'!$Q24&amp;signum2('VOC &amp; S Gases'!R24,SigFig1,SigFig2,'VOC &amp; S Gases'!$Q24)))</f>
        <v/>
      </c>
      <c r="D388" s="1273" t="str">
        <f>IF(C$371="","",('VOC &amp; S Gases'!$Q24&amp;signum2('VOC &amp; S Gases'!S24,SigFig1,SigFig2,'VOC &amp; S Gases'!$Q24)))</f>
        <v/>
      </c>
      <c r="E388" s="1322" t="str">
        <f>IF(C$371="","",(IF(C388="","",LessThan('VOC &amp; S Gases'!Q24,VND))&amp;SigNum3('VOC &amp; S Gases'!T24,SigFig1,SigFig2,'VOC &amp; S Gases'!Q24)))</f>
        <v/>
      </c>
      <c r="F388" s="1321" t="str">
        <f>IF(F$371="","",('VOC &amp; S Gases'!$D24&amp;signum2('VOC &amp; S Gases'!H24,SigFig1,SigFig2,'VOC &amp; S Gases'!$D24)))</f>
        <v/>
      </c>
      <c r="G388" s="1273" t="str">
        <f>IF(F$371="","",('VOC &amp; S Gases'!$D24&amp;signum2('VOC &amp; S Gases'!J24,SigFig1,SigFig2,'VOC &amp; S Gases'!$D24)))</f>
        <v/>
      </c>
      <c r="H388" s="1322" t="str">
        <f>IF(F$371="","",(IF(F388="","",LessThan('VOC &amp; S Gases'!D24,VND))&amp;SigNum3('VOC &amp; S Gases'!K24,SigFig1,SigFig2,'VOC &amp; S Gases'!D24)))</f>
        <v/>
      </c>
      <c r="I388" s="1321" t="str">
        <f>IF(I$371="","",('VOC &amp; S Gases'!$F24&amp;signum2('VOC &amp; S Gases'!L24,SigFig1,SigFig2,'VOC &amp; S Gases'!$F24)))</f>
        <v/>
      </c>
      <c r="J388" s="1273" t="str">
        <f>IF(I$371="","",('VOC &amp; S Gases'!$F24&amp;signum2('VOC &amp; S Gases'!N24,SigFig1,SigFig2,'VOC &amp; S Gases'!$F24)))</f>
        <v/>
      </c>
      <c r="K388" s="1322" t="str">
        <f>IF(I$371="","",(IF(I388="","",LessThan('VOC &amp; S Gases'!F24,VND))&amp;SigNum3('VOC &amp; S Gases'!O24,SigFig1,SigFig2,'VOC &amp; S Gases'!F24)))</f>
        <v/>
      </c>
      <c r="L388" s="1321"/>
      <c r="M388" s="1322"/>
      <c r="N388" s="1272"/>
      <c r="O388" s="1319">
        <f t="shared" si="20"/>
        <v>0</v>
      </c>
      <c r="P388" s="1319">
        <f t="shared" si="21"/>
        <v>0</v>
      </c>
    </row>
    <row r="389" spans="1:16" hidden="1">
      <c r="A389" s="1267" t="str">
        <f>IF(AND('VOC &amp; S Gases'!E25="",'VOC &amp; S Gases'!G25=""),"",'VOC &amp; S Gases'!A25)</f>
        <v/>
      </c>
      <c r="B389" s="1259"/>
      <c r="C389" s="1321" t="str">
        <f>IF(C$371="","",('VOC &amp; S Gases'!$Q25&amp;signum2('VOC &amp; S Gases'!R25,SigFig1,SigFig2,'VOC &amp; S Gases'!$Q25)))</f>
        <v/>
      </c>
      <c r="D389" s="1273" t="str">
        <f>IF(C$371="","",('VOC &amp; S Gases'!$Q25&amp;signum2('VOC &amp; S Gases'!S25,SigFig1,SigFig2,'VOC &amp; S Gases'!$Q25)))</f>
        <v/>
      </c>
      <c r="E389" s="1322" t="str">
        <f>IF(C$371="","",(IF(C389="","",LessThan('VOC &amp; S Gases'!Q25,VND))&amp;SigNum3('VOC &amp; S Gases'!T25,SigFig1,SigFig2,'VOC &amp; S Gases'!Q25)))</f>
        <v/>
      </c>
      <c r="F389" s="1321" t="str">
        <f>IF(F$371="","",('VOC &amp; S Gases'!$D25&amp;signum2('VOC &amp; S Gases'!H25,SigFig1,SigFig2,'VOC &amp; S Gases'!$D25)))</f>
        <v/>
      </c>
      <c r="G389" s="1273" t="str">
        <f>IF(F$371="","",('VOC &amp; S Gases'!$D25&amp;signum2('VOC &amp; S Gases'!J25,SigFig1,SigFig2,'VOC &amp; S Gases'!$D25)))</f>
        <v/>
      </c>
      <c r="H389" s="1322" t="str">
        <f>IF(F$371="","",(IF(F389="","",LessThan('VOC &amp; S Gases'!D25,VND))&amp;SigNum3('VOC &amp; S Gases'!K25,SigFig1,SigFig2,'VOC &amp; S Gases'!D25)))</f>
        <v/>
      </c>
      <c r="I389" s="1321" t="str">
        <f>IF(I$371="","",('VOC &amp; S Gases'!$F25&amp;signum2('VOC &amp; S Gases'!L25,SigFig1,SigFig2,'VOC &amp; S Gases'!$F25)))</f>
        <v/>
      </c>
      <c r="J389" s="1273" t="str">
        <f>IF(I$371="","",('VOC &amp; S Gases'!$F25&amp;signum2('VOC &amp; S Gases'!N25,SigFig1,SigFig2,'VOC &amp; S Gases'!$F25)))</f>
        <v/>
      </c>
      <c r="K389" s="1322" t="str">
        <f>IF(I$371="","",(IF(I389="","",LessThan('VOC &amp; S Gases'!F25,VND))&amp;SigNum3('VOC &amp; S Gases'!O25,SigFig1,SigFig2,'VOC &amp; S Gases'!F25)))</f>
        <v/>
      </c>
      <c r="L389" s="1321"/>
      <c r="M389" s="1322"/>
      <c r="N389" s="1272"/>
      <c r="O389" s="1319">
        <f t="shared" si="20"/>
        <v>0</v>
      </c>
      <c r="P389" s="1319">
        <f t="shared" si="21"/>
        <v>0</v>
      </c>
    </row>
    <row r="390" spans="1:16" hidden="1">
      <c r="A390" s="1267" t="str">
        <f>IF(AND('VOC &amp; S Gases'!E26="",'VOC &amp; S Gases'!G26=""),"",'VOC &amp; S Gases'!A26)</f>
        <v/>
      </c>
      <c r="B390" s="1259"/>
      <c r="C390" s="1321" t="str">
        <f>IF(C$371="","",('VOC &amp; S Gases'!$Q26&amp;signum2('VOC &amp; S Gases'!R26,SigFig1,SigFig2,'VOC &amp; S Gases'!$Q26)))</f>
        <v/>
      </c>
      <c r="D390" s="1273" t="str">
        <f>IF(C$371="","",('VOC &amp; S Gases'!$Q26&amp;signum2('VOC &amp; S Gases'!S26,SigFig1,SigFig2,'VOC &amp; S Gases'!$Q26)))</f>
        <v/>
      </c>
      <c r="E390" s="1322" t="str">
        <f>IF(C$371="","",(IF(C390="","",LessThan('VOC &amp; S Gases'!Q26,VND))&amp;SigNum3('VOC &amp; S Gases'!T26,SigFig1,SigFig2,'VOC &amp; S Gases'!Q26)))</f>
        <v/>
      </c>
      <c r="F390" s="1321" t="str">
        <f>IF(F$371="","",('VOC &amp; S Gases'!$D26&amp;signum2('VOC &amp; S Gases'!H26,SigFig1,SigFig2,'VOC &amp; S Gases'!$D26)))</f>
        <v/>
      </c>
      <c r="G390" s="1273" t="str">
        <f>IF(F$371="","",('VOC &amp; S Gases'!$D26&amp;signum2('VOC &amp; S Gases'!J26,SigFig1,SigFig2,'VOC &amp; S Gases'!$D26)))</f>
        <v/>
      </c>
      <c r="H390" s="1322" t="str">
        <f>IF(F$371="","",(IF(F390="","",LessThan('VOC &amp; S Gases'!D26,VND))&amp;SigNum3('VOC &amp; S Gases'!K26,SigFig1,SigFig2,'VOC &amp; S Gases'!D26)))</f>
        <v/>
      </c>
      <c r="I390" s="1321" t="str">
        <f>IF(I$371="","",('VOC &amp; S Gases'!$F26&amp;signum2('VOC &amp; S Gases'!L26,SigFig1,SigFig2,'VOC &amp; S Gases'!$F26)))</f>
        <v/>
      </c>
      <c r="J390" s="1273" t="str">
        <f>IF(I$371="","",('VOC &amp; S Gases'!$F26&amp;signum2('VOC &amp; S Gases'!N26,SigFig1,SigFig2,'VOC &amp; S Gases'!$F26)))</f>
        <v/>
      </c>
      <c r="K390" s="1322" t="str">
        <f>IF(I$371="","",(IF(I390="","",LessThan('VOC &amp; S Gases'!F26,VND))&amp;SigNum3('VOC &amp; S Gases'!O26,SigFig1,SigFig2,'VOC &amp; S Gases'!F26)))</f>
        <v/>
      </c>
      <c r="L390" s="1321"/>
      <c r="M390" s="1322"/>
      <c r="N390" s="1272"/>
      <c r="O390" s="1319">
        <f t="shared" si="20"/>
        <v>0</v>
      </c>
      <c r="P390" s="1319">
        <f t="shared" si="21"/>
        <v>0</v>
      </c>
    </row>
    <row r="391" spans="1:16" hidden="1">
      <c r="A391" s="1267" t="str">
        <f>IF(AND('VOC &amp; S Gases'!E27="",'VOC &amp; S Gases'!G27=""),"",'VOC &amp; S Gases'!A27)</f>
        <v/>
      </c>
      <c r="B391" s="1259"/>
      <c r="C391" s="1321" t="str">
        <f>IF(C$371="","",('VOC &amp; S Gases'!$Q27&amp;signum2('VOC &amp; S Gases'!R27,SigFig1,SigFig2,'VOC &amp; S Gases'!$Q27)))</f>
        <v/>
      </c>
      <c r="D391" s="1273" t="str">
        <f>IF(C$371="","",('VOC &amp; S Gases'!$Q27&amp;signum2('VOC &amp; S Gases'!S27,SigFig1,SigFig2,'VOC &amp; S Gases'!$Q27)))</f>
        <v/>
      </c>
      <c r="E391" s="1322" t="str">
        <f>IF(C$371="","",(IF(C391="","",LessThan('VOC &amp; S Gases'!Q27,VND))&amp;SigNum3('VOC &amp; S Gases'!T27,SigFig1,SigFig2,'VOC &amp; S Gases'!Q27)))</f>
        <v/>
      </c>
      <c r="F391" s="1321" t="str">
        <f>IF(F$371="","",('VOC &amp; S Gases'!$D27&amp;signum2('VOC &amp; S Gases'!H27,SigFig1,SigFig2,'VOC &amp; S Gases'!$D27)))</f>
        <v/>
      </c>
      <c r="G391" s="1273" t="str">
        <f>IF(F$371="","",('VOC &amp; S Gases'!$D27&amp;signum2('VOC &amp; S Gases'!J27,SigFig1,SigFig2,'VOC &amp; S Gases'!$D27)))</f>
        <v/>
      </c>
      <c r="H391" s="1322" t="str">
        <f>IF(F$371="","",(IF(F391="","",LessThan('VOC &amp; S Gases'!D27,VND))&amp;SigNum3('VOC &amp; S Gases'!K27,SigFig1,SigFig2,'VOC &amp; S Gases'!D27)))</f>
        <v/>
      </c>
      <c r="I391" s="1321" t="str">
        <f>IF(I$371="","",('VOC &amp; S Gases'!$F27&amp;signum2('VOC &amp; S Gases'!L27,SigFig1,SigFig2,'VOC &amp; S Gases'!$F27)))</f>
        <v/>
      </c>
      <c r="J391" s="1273" t="str">
        <f>IF(I$371="","",('VOC &amp; S Gases'!$F27&amp;signum2('VOC &amp; S Gases'!N27,SigFig1,SigFig2,'VOC &amp; S Gases'!$F27)))</f>
        <v/>
      </c>
      <c r="K391" s="1322" t="str">
        <f>IF(I$371="","",(IF(I391="","",LessThan('VOC &amp; S Gases'!F27,VND))&amp;SigNum3('VOC &amp; S Gases'!O27,SigFig1,SigFig2,'VOC &amp; S Gases'!F27)))</f>
        <v/>
      </c>
      <c r="L391" s="1321"/>
      <c r="M391" s="1322"/>
      <c r="N391" s="1272"/>
      <c r="O391" s="1319">
        <f t="shared" si="20"/>
        <v>0</v>
      </c>
      <c r="P391" s="1319">
        <f t="shared" si="21"/>
        <v>0</v>
      </c>
    </row>
    <row r="392" spans="1:16" hidden="1">
      <c r="A392" s="1267" t="str">
        <f>IF(AND('VOC &amp; S Gases'!E28="",'VOC &amp; S Gases'!G28=""),"",'VOC &amp; S Gases'!A28)</f>
        <v/>
      </c>
      <c r="B392" s="1259"/>
      <c r="C392" s="1321" t="str">
        <f>IF(C$371="","",('VOC &amp; S Gases'!$Q28&amp;signum2('VOC &amp; S Gases'!R28,SigFig1,SigFig2,'VOC &amp; S Gases'!$Q28)))</f>
        <v/>
      </c>
      <c r="D392" s="1273" t="str">
        <f>IF(C$371="","",('VOC &amp; S Gases'!$Q28&amp;signum2('VOC &amp; S Gases'!S28,SigFig1,SigFig2,'VOC &amp; S Gases'!$Q28)))</f>
        <v/>
      </c>
      <c r="E392" s="1322" t="str">
        <f>IF(C$371="","",(IF(C392="","",LessThan('VOC &amp; S Gases'!Q28,VND))&amp;SigNum3('VOC &amp; S Gases'!T28,SigFig1,SigFig2,'VOC &amp; S Gases'!Q28)))</f>
        <v/>
      </c>
      <c r="F392" s="1321" t="str">
        <f>IF(F$371="","",('VOC &amp; S Gases'!$D28&amp;signum2('VOC &amp; S Gases'!H28,SigFig1,SigFig2,'VOC &amp; S Gases'!$D28)))</f>
        <v/>
      </c>
      <c r="G392" s="1273" t="str">
        <f>IF(F$371="","",('VOC &amp; S Gases'!$D28&amp;signum2('VOC &amp; S Gases'!J28,SigFig1,SigFig2,'VOC &amp; S Gases'!$D28)))</f>
        <v/>
      </c>
      <c r="H392" s="1322" t="str">
        <f>IF(F$371="","",(IF(F392="","",LessThan('VOC &amp; S Gases'!D28,VND))&amp;SigNum3('VOC &amp; S Gases'!K28,SigFig1,SigFig2,'VOC &amp; S Gases'!D28)))</f>
        <v/>
      </c>
      <c r="I392" s="1321" t="str">
        <f>IF(I$371="","",('VOC &amp; S Gases'!$F28&amp;signum2('VOC &amp; S Gases'!L28,SigFig1,SigFig2,'VOC &amp; S Gases'!$F28)))</f>
        <v/>
      </c>
      <c r="J392" s="1273" t="str">
        <f>IF(I$371="","",('VOC &amp; S Gases'!$F28&amp;signum2('VOC &amp; S Gases'!N28,SigFig1,SigFig2,'VOC &amp; S Gases'!$F28)))</f>
        <v/>
      </c>
      <c r="K392" s="1322" t="str">
        <f>IF(I$371="","",(IF(I392="","",LessThan('VOC &amp; S Gases'!F28,VND))&amp;SigNum3('VOC &amp; S Gases'!O28,SigFig1,SigFig2,'VOC &amp; S Gases'!F28)))</f>
        <v/>
      </c>
      <c r="L392" s="1321"/>
      <c r="M392" s="1322"/>
      <c r="N392" s="1272"/>
      <c r="O392" s="1319">
        <f t="shared" si="20"/>
        <v>0</v>
      </c>
      <c r="P392" s="1319">
        <f t="shared" si="21"/>
        <v>0</v>
      </c>
    </row>
    <row r="393" spans="1:16" hidden="1">
      <c r="A393" s="1267" t="str">
        <f>IF(AND('VOC &amp; S Gases'!E29="",'VOC &amp; S Gases'!G29=""),"",'VOC &amp; S Gases'!A29)</f>
        <v/>
      </c>
      <c r="B393" s="1259"/>
      <c r="C393" s="1321" t="str">
        <f>IF(C$371="","",('VOC &amp; S Gases'!$Q29&amp;signum2('VOC &amp; S Gases'!R29,SigFig1,SigFig2,'VOC &amp; S Gases'!$Q29)))</f>
        <v/>
      </c>
      <c r="D393" s="1273" t="str">
        <f>IF(C$371="","",('VOC &amp; S Gases'!$Q29&amp;signum2('VOC &amp; S Gases'!S29,SigFig1,SigFig2,'VOC &amp; S Gases'!$Q29)))</f>
        <v/>
      </c>
      <c r="E393" s="1322" t="str">
        <f>IF(C$371="","",(IF(C393="","",LessThan('VOC &amp; S Gases'!Q29,VND))&amp;SigNum3('VOC &amp; S Gases'!T29,SigFig1,SigFig2,'VOC &amp; S Gases'!Q29)))</f>
        <v/>
      </c>
      <c r="F393" s="1321" t="str">
        <f>IF(F$371="","",('VOC &amp; S Gases'!$D29&amp;signum2('VOC &amp; S Gases'!H29,SigFig1,SigFig2,'VOC &amp; S Gases'!$D29)))</f>
        <v/>
      </c>
      <c r="G393" s="1273" t="str">
        <f>IF(F$371="","",('VOC &amp; S Gases'!$D29&amp;signum2('VOC &amp; S Gases'!J29,SigFig1,SigFig2,'VOC &amp; S Gases'!$D29)))</f>
        <v/>
      </c>
      <c r="H393" s="1322" t="str">
        <f>IF(F$371="","",(IF(F393="","",LessThan('VOC &amp; S Gases'!D29,VND))&amp;SigNum3('VOC &amp; S Gases'!K29,SigFig1,SigFig2,'VOC &amp; S Gases'!D29)))</f>
        <v/>
      </c>
      <c r="I393" s="1321" t="str">
        <f>IF(I$371="","",('VOC &amp; S Gases'!$F29&amp;signum2('VOC &amp; S Gases'!L29,SigFig1,SigFig2,'VOC &amp; S Gases'!$F29)))</f>
        <v/>
      </c>
      <c r="J393" s="1273" t="str">
        <f>IF(I$371="","",('VOC &amp; S Gases'!$F29&amp;signum2('VOC &amp; S Gases'!N29,SigFig1,SigFig2,'VOC &amp; S Gases'!$F29)))</f>
        <v/>
      </c>
      <c r="K393" s="1322" t="str">
        <f>IF(I$371="","",(IF(I393="","",LessThan('VOC &amp; S Gases'!F29,VND))&amp;SigNum3('VOC &amp; S Gases'!O29,SigFig1,SigFig2,'VOC &amp; S Gases'!F29)))</f>
        <v/>
      </c>
      <c r="L393" s="1321"/>
      <c r="M393" s="1322"/>
      <c r="N393" s="1272"/>
      <c r="O393" s="1319">
        <f t="shared" si="20"/>
        <v>0</v>
      </c>
      <c r="P393" s="1319">
        <f t="shared" si="21"/>
        <v>0</v>
      </c>
    </row>
    <row r="394" spans="1:16" hidden="1">
      <c r="A394" s="1267" t="str">
        <f>IF(AND('VOC &amp; S Gases'!E30="",'VOC &amp; S Gases'!G30=""),"",'VOC &amp; S Gases'!A30)</f>
        <v/>
      </c>
      <c r="B394" s="1259"/>
      <c r="C394" s="1321" t="str">
        <f>IF(C$371="","",('VOC &amp; S Gases'!$Q30&amp;signum2('VOC &amp; S Gases'!R30,SigFig1,SigFig2,'VOC &amp; S Gases'!$Q30)))</f>
        <v/>
      </c>
      <c r="D394" s="1273" t="str">
        <f>IF(C$371="","",('VOC &amp; S Gases'!$Q30&amp;signum2('VOC &amp; S Gases'!S30,SigFig1,SigFig2,'VOC &amp; S Gases'!$Q30)))</f>
        <v/>
      </c>
      <c r="E394" s="1322" t="str">
        <f>IF(C$371="","",(IF(C394="","",LessThan('VOC &amp; S Gases'!Q30,VND))&amp;SigNum3('VOC &amp; S Gases'!T30,SigFig1,SigFig2,'VOC &amp; S Gases'!Q30)))</f>
        <v/>
      </c>
      <c r="F394" s="1321" t="str">
        <f>IF(F$371="","",('VOC &amp; S Gases'!$D30&amp;signum2('VOC &amp; S Gases'!H30,SigFig1,SigFig2,'VOC &amp; S Gases'!$D30)))</f>
        <v/>
      </c>
      <c r="G394" s="1273" t="str">
        <f>IF(F$371="","",('VOC &amp; S Gases'!$D30&amp;signum2('VOC &amp; S Gases'!J30,SigFig1,SigFig2,'VOC &amp; S Gases'!$D30)))</f>
        <v/>
      </c>
      <c r="H394" s="1322" t="str">
        <f>IF(F$371="","",(IF(F394="","",LessThan('VOC &amp; S Gases'!D30,VND))&amp;SigNum3('VOC &amp; S Gases'!K30,SigFig1,SigFig2,'VOC &amp; S Gases'!D30)))</f>
        <v/>
      </c>
      <c r="I394" s="1321" t="str">
        <f>IF(I$371="","",('VOC &amp; S Gases'!$F30&amp;signum2('VOC &amp; S Gases'!L30,SigFig1,SigFig2,'VOC &amp; S Gases'!$F30)))</f>
        <v/>
      </c>
      <c r="J394" s="1273" t="str">
        <f>IF(I$371="","",('VOC &amp; S Gases'!$F30&amp;signum2('VOC &amp; S Gases'!N30,SigFig1,SigFig2,'VOC &amp; S Gases'!$F30)))</f>
        <v/>
      </c>
      <c r="K394" s="1322" t="str">
        <f>IF(I$371="","",(IF(I394="","",LessThan('VOC &amp; S Gases'!F30,VND))&amp;SigNum3('VOC &amp; S Gases'!O30,SigFig1,SigFig2,'VOC &amp; S Gases'!F30)))</f>
        <v/>
      </c>
      <c r="L394" s="1321"/>
      <c r="M394" s="1322"/>
      <c r="N394" s="1272"/>
      <c r="O394" s="1319">
        <f t="shared" si="20"/>
        <v>0</v>
      </c>
      <c r="P394" s="1319">
        <f t="shared" si="21"/>
        <v>0</v>
      </c>
    </row>
    <row r="395" spans="1:16" hidden="1">
      <c r="A395" s="1267" t="str">
        <f>IF(AND('VOC &amp; S Gases'!E31="",'VOC &amp; S Gases'!G31=""),"",'VOC &amp; S Gases'!A31)</f>
        <v/>
      </c>
      <c r="B395" s="1259"/>
      <c r="C395" s="1321" t="str">
        <f>IF(C$371="","",('VOC &amp; S Gases'!$Q31&amp;signum2('VOC &amp; S Gases'!R31,SigFig1,SigFig2,'VOC &amp; S Gases'!$Q31)))</f>
        <v/>
      </c>
      <c r="D395" s="1273" t="str">
        <f>IF(C$371="","",('VOC &amp; S Gases'!$Q31&amp;signum2('VOC &amp; S Gases'!S31,SigFig1,SigFig2,'VOC &amp; S Gases'!$Q31)))</f>
        <v/>
      </c>
      <c r="E395" s="1322" t="str">
        <f>IF(C$371="","",(IF(C395="","",LessThan('VOC &amp; S Gases'!Q31,VND))&amp;SigNum3('VOC &amp; S Gases'!T31,SigFig1,SigFig2,'VOC &amp; S Gases'!Q31)))</f>
        <v/>
      </c>
      <c r="F395" s="1321" t="str">
        <f>IF(F$371="","",('VOC &amp; S Gases'!$D31&amp;signum2('VOC &amp; S Gases'!H31,SigFig1,SigFig2,'VOC &amp; S Gases'!$D31)))</f>
        <v/>
      </c>
      <c r="G395" s="1273" t="str">
        <f>IF(F$371="","",('VOC &amp; S Gases'!$D31&amp;signum2('VOC &amp; S Gases'!J31,SigFig1,SigFig2,'VOC &amp; S Gases'!$D31)))</f>
        <v/>
      </c>
      <c r="H395" s="1322" t="str">
        <f>IF(F$371="","",(IF(F395="","",LessThan('VOC &amp; S Gases'!D31,VND))&amp;SigNum3('VOC &amp; S Gases'!K31,SigFig1,SigFig2,'VOC &amp; S Gases'!D31)))</f>
        <v/>
      </c>
      <c r="I395" s="1321" t="str">
        <f>IF(I$371="","",('VOC &amp; S Gases'!$F31&amp;signum2('VOC &amp; S Gases'!L31,SigFig1,SigFig2,'VOC &amp; S Gases'!$F31)))</f>
        <v/>
      </c>
      <c r="J395" s="1273" t="str">
        <f>IF(I$371="","",('VOC &amp; S Gases'!$F31&amp;signum2('VOC &amp; S Gases'!N31,SigFig1,SigFig2,'VOC &amp; S Gases'!$F31)))</f>
        <v/>
      </c>
      <c r="K395" s="1322" t="str">
        <f>IF(I$371="","",(IF(I395="","",LessThan('VOC &amp; S Gases'!F31,VND))&amp;SigNum3('VOC &amp; S Gases'!O31,SigFig1,SigFig2,'VOC &amp; S Gases'!F31)))</f>
        <v/>
      </c>
      <c r="L395" s="1321"/>
      <c r="M395" s="1322"/>
      <c r="N395" s="1272"/>
      <c r="O395" s="1319">
        <f t="shared" si="20"/>
        <v>0</v>
      </c>
      <c r="P395" s="1319">
        <f t="shared" si="21"/>
        <v>0</v>
      </c>
    </row>
    <row r="396" spans="1:16" hidden="1">
      <c r="A396" s="1267" t="str">
        <f>IF(AND('VOC &amp; S Gases'!E32="",'VOC &amp; S Gases'!G32=""),"",'VOC &amp; S Gases'!A32)</f>
        <v/>
      </c>
      <c r="B396" s="1259"/>
      <c r="C396" s="1321" t="str">
        <f>IF(C$371="","",('VOC &amp; S Gases'!$Q32&amp;signum2('VOC &amp; S Gases'!R32,SigFig1,SigFig2,'VOC &amp; S Gases'!$Q32)))</f>
        <v/>
      </c>
      <c r="D396" s="1273" t="str">
        <f>IF(C$371="","",('VOC &amp; S Gases'!$Q32&amp;signum2('VOC &amp; S Gases'!S32,SigFig1,SigFig2,'VOC &amp; S Gases'!$Q32)))</f>
        <v/>
      </c>
      <c r="E396" s="1322" t="str">
        <f>IF(C$371="","",(IF(C396="","",LessThan('VOC &amp; S Gases'!Q32,VND))&amp;SigNum3('VOC &amp; S Gases'!T32,SigFig1,SigFig2,'VOC &amp; S Gases'!Q32)))</f>
        <v/>
      </c>
      <c r="F396" s="1321" t="str">
        <f>IF(F$371="","",('VOC &amp; S Gases'!$D32&amp;signum2('VOC &amp; S Gases'!H32,SigFig1,SigFig2,'VOC &amp; S Gases'!$D32)))</f>
        <v/>
      </c>
      <c r="G396" s="1273" t="str">
        <f>IF(F$371="","",('VOC &amp; S Gases'!$D32&amp;signum2('VOC &amp; S Gases'!J32,SigFig1,SigFig2,'VOC &amp; S Gases'!$D32)))</f>
        <v/>
      </c>
      <c r="H396" s="1322" t="str">
        <f>IF(F$371="","",(IF(F396="","",LessThan('VOC &amp; S Gases'!D32,VND))&amp;SigNum3('VOC &amp; S Gases'!K32,SigFig1,SigFig2,'VOC &amp; S Gases'!D32)))</f>
        <v/>
      </c>
      <c r="I396" s="1321" t="str">
        <f>IF(I$371="","",('VOC &amp; S Gases'!$F32&amp;signum2('VOC &amp; S Gases'!L32,SigFig1,SigFig2,'VOC &amp; S Gases'!$F32)))</f>
        <v/>
      </c>
      <c r="J396" s="1273" t="str">
        <f>IF(I$371="","",('VOC &amp; S Gases'!$F32&amp;signum2('VOC &amp; S Gases'!N32,SigFig1,SigFig2,'VOC &amp; S Gases'!$F32)))</f>
        <v/>
      </c>
      <c r="K396" s="1322" t="str">
        <f>IF(I$371="","",(IF(I396="","",LessThan('VOC &amp; S Gases'!F32,VND))&amp;SigNum3('VOC &amp; S Gases'!O32,SigFig1,SigFig2,'VOC &amp; S Gases'!F32)))</f>
        <v/>
      </c>
      <c r="L396" s="1321"/>
      <c r="M396" s="1322"/>
      <c r="N396" s="1272"/>
      <c r="O396" s="1319">
        <f t="shared" si="20"/>
        <v>0</v>
      </c>
      <c r="P396" s="1319">
        <f t="shared" si="21"/>
        <v>0</v>
      </c>
    </row>
    <row r="397" spans="1:16" hidden="1">
      <c r="A397" s="1267" t="str">
        <f>IF(AND('VOC &amp; S Gases'!E33="",'VOC &amp; S Gases'!G33=""),"",'VOC &amp; S Gases'!A33)</f>
        <v/>
      </c>
      <c r="B397" s="1259"/>
      <c r="C397" s="1321" t="str">
        <f>IF(C$371="","",('VOC &amp; S Gases'!$Q33&amp;signum2('VOC &amp; S Gases'!R33,SigFig1,SigFig2,'VOC &amp; S Gases'!$Q33)))</f>
        <v/>
      </c>
      <c r="D397" s="1273" t="str">
        <f>IF(C$371="","",('VOC &amp; S Gases'!$Q33&amp;signum2('VOC &amp; S Gases'!S33,SigFig1,SigFig2,'VOC &amp; S Gases'!$Q33)))</f>
        <v/>
      </c>
      <c r="E397" s="1322" t="str">
        <f>IF(C$371="","",(IF(C397="","",LessThan('VOC &amp; S Gases'!Q33,VND))&amp;SigNum3('VOC &amp; S Gases'!T33,SigFig1,SigFig2,'VOC &amp; S Gases'!Q33)))</f>
        <v/>
      </c>
      <c r="F397" s="1321" t="str">
        <f>IF(F$371="","",('VOC &amp; S Gases'!$D33&amp;signum2('VOC &amp; S Gases'!H33,SigFig1,SigFig2,'VOC &amp; S Gases'!$D33)))</f>
        <v/>
      </c>
      <c r="G397" s="1273" t="str">
        <f>IF(F$371="","",('VOC &amp; S Gases'!$D33&amp;signum2('VOC &amp; S Gases'!J33,SigFig1,SigFig2,'VOC &amp; S Gases'!$D33)))</f>
        <v/>
      </c>
      <c r="H397" s="1322" t="str">
        <f>IF(F$371="","",(IF(F397="","",LessThan('VOC &amp; S Gases'!D33,VND))&amp;SigNum3('VOC &amp; S Gases'!K33,SigFig1,SigFig2,'VOC &amp; S Gases'!D33)))</f>
        <v/>
      </c>
      <c r="I397" s="1321" t="str">
        <f>IF(I$371="","",('VOC &amp; S Gases'!$F33&amp;signum2('VOC &amp; S Gases'!L33,SigFig1,SigFig2,'VOC &amp; S Gases'!$F33)))</f>
        <v/>
      </c>
      <c r="J397" s="1273" t="str">
        <f>IF(I$371="","",('VOC &amp; S Gases'!$F33&amp;signum2('VOC &amp; S Gases'!N33,SigFig1,SigFig2,'VOC &amp; S Gases'!$F33)))</f>
        <v/>
      </c>
      <c r="K397" s="1322" t="str">
        <f>IF(I$371="","",(IF(I397="","",LessThan('VOC &amp; S Gases'!F33,VND))&amp;SigNum3('VOC &amp; S Gases'!O33,SigFig1,SigFig2,'VOC &amp; S Gases'!F33)))</f>
        <v/>
      </c>
      <c r="L397" s="1321"/>
      <c r="M397" s="1322"/>
      <c r="N397" s="1272"/>
      <c r="O397" s="1319">
        <f t="shared" si="20"/>
        <v>0</v>
      </c>
      <c r="P397" s="1319">
        <f t="shared" si="21"/>
        <v>0</v>
      </c>
    </row>
    <row r="398" spans="1:16" hidden="1">
      <c r="A398" s="1267" t="str">
        <f>IF(AND('VOC &amp; S Gases'!E34="",'VOC &amp; S Gases'!G34=""),"",'VOC &amp; S Gases'!A34)</f>
        <v/>
      </c>
      <c r="B398" s="1259"/>
      <c r="C398" s="1321" t="str">
        <f>IF(C$371="","",('VOC &amp; S Gases'!$Q34&amp;signum2('VOC &amp; S Gases'!R34,SigFig1,SigFig2,'VOC &amp; S Gases'!$Q34)))</f>
        <v/>
      </c>
      <c r="D398" s="1273" t="str">
        <f>IF(C$371="","",('VOC &amp; S Gases'!$Q34&amp;signum2('VOC &amp; S Gases'!S34,SigFig1,SigFig2,'VOC &amp; S Gases'!$Q34)))</f>
        <v/>
      </c>
      <c r="E398" s="1322" t="str">
        <f>IF(C$371="","",(IF(C398="","",LessThan('VOC &amp; S Gases'!Q34,VND))&amp;SigNum3('VOC &amp; S Gases'!T34,SigFig1,SigFig2,'VOC &amp; S Gases'!Q34)))</f>
        <v/>
      </c>
      <c r="F398" s="1321" t="str">
        <f>IF(F$371="","",('VOC &amp; S Gases'!$D34&amp;signum2('VOC &amp; S Gases'!H34,SigFig1,SigFig2,'VOC &amp; S Gases'!$D34)))</f>
        <v/>
      </c>
      <c r="G398" s="1273" t="str">
        <f>IF(F$371="","",('VOC &amp; S Gases'!$D34&amp;signum2('VOC &amp; S Gases'!J34,SigFig1,SigFig2,'VOC &amp; S Gases'!$D34)))</f>
        <v/>
      </c>
      <c r="H398" s="1322" t="str">
        <f>IF(F$371="","",(IF(F398="","",LessThan('VOC &amp; S Gases'!D34,VND))&amp;SigNum3('VOC &amp; S Gases'!K34,SigFig1,SigFig2,'VOC &amp; S Gases'!D34)))</f>
        <v/>
      </c>
      <c r="I398" s="1321" t="str">
        <f>IF(I$371="","",('VOC &amp; S Gases'!$F34&amp;signum2('VOC &amp; S Gases'!L34,SigFig1,SigFig2,'VOC &amp; S Gases'!$F34)))</f>
        <v/>
      </c>
      <c r="J398" s="1273" t="str">
        <f>IF(I$371="","",('VOC &amp; S Gases'!$F34&amp;signum2('VOC &amp; S Gases'!N34,SigFig1,SigFig2,'VOC &amp; S Gases'!$F34)))</f>
        <v/>
      </c>
      <c r="K398" s="1322" t="str">
        <f>IF(I$371="","",(IF(I398="","",LessThan('VOC &amp; S Gases'!F34,VND))&amp;SigNum3('VOC &amp; S Gases'!O34,SigFig1,SigFig2,'VOC &amp; S Gases'!F34)))</f>
        <v/>
      </c>
      <c r="L398" s="1321"/>
      <c r="M398" s="1322"/>
      <c r="N398" s="1272"/>
      <c r="O398" s="1319">
        <f t="shared" si="20"/>
        <v>0</v>
      </c>
      <c r="P398" s="1319">
        <f t="shared" si="21"/>
        <v>0</v>
      </c>
    </row>
    <row r="399" spans="1:16" hidden="1">
      <c r="A399" s="1267" t="str">
        <f>IF(AND('VOC &amp; S Gases'!E35="",'VOC &amp; S Gases'!G35=""),"",'VOC &amp; S Gases'!A35)</f>
        <v/>
      </c>
      <c r="B399" s="1259"/>
      <c r="C399" s="1321" t="str">
        <f>IF(C$371="","",('VOC &amp; S Gases'!$Q35&amp;signum2('VOC &amp; S Gases'!R35,SigFig1,SigFig2,'VOC &amp; S Gases'!$Q35)))</f>
        <v/>
      </c>
      <c r="D399" s="1273" t="str">
        <f>IF(C$371="","",('VOC &amp; S Gases'!$Q35&amp;signum2('VOC &amp; S Gases'!S35,SigFig1,SigFig2,'VOC &amp; S Gases'!$Q35)))</f>
        <v/>
      </c>
      <c r="E399" s="1322" t="str">
        <f>IF(C$371="","",(IF(C399="","",LessThan('VOC &amp; S Gases'!Q35,VND))&amp;SigNum3('VOC &amp; S Gases'!T35,SigFig1,SigFig2,'VOC &amp; S Gases'!Q35)))</f>
        <v/>
      </c>
      <c r="F399" s="1321" t="str">
        <f>IF(F$371="","",('VOC &amp; S Gases'!$D35&amp;signum2('VOC &amp; S Gases'!H35,SigFig1,SigFig2,'VOC &amp; S Gases'!$D35)))</f>
        <v/>
      </c>
      <c r="G399" s="1273" t="str">
        <f>IF(F$371="","",('VOC &amp; S Gases'!$D35&amp;signum2('VOC &amp; S Gases'!J35,SigFig1,SigFig2,'VOC &amp; S Gases'!$D35)))</f>
        <v/>
      </c>
      <c r="H399" s="1322" t="str">
        <f>IF(F$371="","",(IF(F399="","",LessThan('VOC &amp; S Gases'!D35,VND))&amp;SigNum3('VOC &amp; S Gases'!K35,SigFig1,SigFig2,'VOC &amp; S Gases'!D35)))</f>
        <v/>
      </c>
      <c r="I399" s="1321" t="str">
        <f>IF(I$371="","",('VOC &amp; S Gases'!$F35&amp;signum2('VOC &amp; S Gases'!L35,SigFig1,SigFig2,'VOC &amp; S Gases'!$F35)))</f>
        <v/>
      </c>
      <c r="J399" s="1273" t="str">
        <f>IF(I$371="","",('VOC &amp; S Gases'!$F35&amp;signum2('VOC &amp; S Gases'!N35,SigFig1,SigFig2,'VOC &amp; S Gases'!$F35)))</f>
        <v/>
      </c>
      <c r="K399" s="1322" t="str">
        <f>IF(I$371="","",(IF(I399="","",LessThan('VOC &amp; S Gases'!F35,VND))&amp;SigNum3('VOC &amp; S Gases'!O35,SigFig1,SigFig2,'VOC &amp; S Gases'!F35)))</f>
        <v/>
      </c>
      <c r="L399" s="1321"/>
      <c r="M399" s="1322"/>
      <c r="N399" s="1272"/>
      <c r="O399" s="1319">
        <f t="shared" si="20"/>
        <v>0</v>
      </c>
      <c r="P399" s="1319">
        <f t="shared" si="21"/>
        <v>0</v>
      </c>
    </row>
    <row r="400" spans="1:16" hidden="1">
      <c r="A400" s="1267" t="str">
        <f>IF(AND('VOC &amp; S Gases'!E36="",'VOC &amp; S Gases'!G36=""),"",'VOC &amp; S Gases'!A36)</f>
        <v/>
      </c>
      <c r="B400" s="1259"/>
      <c r="C400" s="1321" t="str">
        <f>IF(C$371="","",('VOC &amp; S Gases'!$Q36&amp;signum2('VOC &amp; S Gases'!R36,SigFig1,SigFig2,'VOC &amp; S Gases'!$Q36)))</f>
        <v/>
      </c>
      <c r="D400" s="1273" t="str">
        <f>IF(C$371="","",('VOC &amp; S Gases'!$Q36&amp;signum2('VOC &amp; S Gases'!S36,SigFig1,SigFig2,'VOC &amp; S Gases'!$Q36)))</f>
        <v/>
      </c>
      <c r="E400" s="1322" t="str">
        <f>IF(C$371="","",(IF(C400="","",LessThan('VOC &amp; S Gases'!Q36,VND))&amp;SigNum3('VOC &amp; S Gases'!T36,SigFig1,SigFig2,'VOC &amp; S Gases'!Q36)))</f>
        <v/>
      </c>
      <c r="F400" s="1321" t="str">
        <f>IF(F$371="","",('VOC &amp; S Gases'!$D36&amp;signum2('VOC &amp; S Gases'!H36,SigFig1,SigFig2,'VOC &amp; S Gases'!$D36)))</f>
        <v/>
      </c>
      <c r="G400" s="1273" t="str">
        <f>IF(F$371="","",('VOC &amp; S Gases'!$D36&amp;signum2('VOC &amp; S Gases'!J36,SigFig1,SigFig2,'VOC &amp; S Gases'!$D36)))</f>
        <v/>
      </c>
      <c r="H400" s="1322" t="str">
        <f>IF(F$371="","",(IF(F400="","",LessThan('VOC &amp; S Gases'!D36,VND))&amp;SigNum3('VOC &amp; S Gases'!K36,SigFig1,SigFig2,'VOC &amp; S Gases'!D36)))</f>
        <v/>
      </c>
      <c r="I400" s="1321" t="str">
        <f>IF(I$371="","",('VOC &amp; S Gases'!$F36&amp;signum2('VOC &amp; S Gases'!L36,SigFig1,SigFig2,'VOC &amp; S Gases'!$F36)))</f>
        <v/>
      </c>
      <c r="J400" s="1273" t="str">
        <f>IF(I$371="","",('VOC &amp; S Gases'!$F36&amp;signum2('VOC &amp; S Gases'!N36,SigFig1,SigFig2,'VOC &amp; S Gases'!$F36)))</f>
        <v/>
      </c>
      <c r="K400" s="1322" t="str">
        <f>IF(I$371="","",(IF(I400="","",LessThan('VOC &amp; S Gases'!F36,VND))&amp;SigNum3('VOC &amp; S Gases'!O36,SigFig1,SigFig2,'VOC &amp; S Gases'!F36)))</f>
        <v/>
      </c>
      <c r="L400" s="1321"/>
      <c r="M400" s="1322"/>
      <c r="N400" s="1272"/>
      <c r="O400" s="1319">
        <f t="shared" si="20"/>
        <v>0</v>
      </c>
      <c r="P400" s="1319">
        <f t="shared" si="21"/>
        <v>0</v>
      </c>
    </row>
    <row r="401" spans="1:16" hidden="1">
      <c r="A401" s="1267" t="str">
        <f>IF(AND('VOC &amp; S Gases'!E37="",'VOC &amp; S Gases'!G37=""),"",'VOC &amp; S Gases'!A37)</f>
        <v/>
      </c>
      <c r="B401" s="1259"/>
      <c r="C401" s="1321" t="str">
        <f>IF(C$371="","",('VOC &amp; S Gases'!$Q37&amp;signum2('VOC &amp; S Gases'!R37,SigFig1,SigFig2,'VOC &amp; S Gases'!$Q37)))</f>
        <v/>
      </c>
      <c r="D401" s="1273" t="str">
        <f>IF(C$371="","",('VOC &amp; S Gases'!$Q37&amp;signum2('VOC &amp; S Gases'!S37,SigFig1,SigFig2,'VOC &amp; S Gases'!$Q37)))</f>
        <v/>
      </c>
      <c r="E401" s="1322" t="str">
        <f>IF(C$371="","",(IF(C401="","",LessThan('VOC &amp; S Gases'!Q37,VND))&amp;SigNum3('VOC &amp; S Gases'!T37,SigFig1,SigFig2,'VOC &amp; S Gases'!Q37)))</f>
        <v/>
      </c>
      <c r="F401" s="1321" t="str">
        <f>IF(F$371="","",('VOC &amp; S Gases'!$D37&amp;signum2('VOC &amp; S Gases'!H37,SigFig1,SigFig2,'VOC &amp; S Gases'!$D37)))</f>
        <v/>
      </c>
      <c r="G401" s="1273" t="str">
        <f>IF(F$371="","",('VOC &amp; S Gases'!$D37&amp;signum2('VOC &amp; S Gases'!J37,SigFig1,SigFig2,'VOC &amp; S Gases'!$D37)))</f>
        <v/>
      </c>
      <c r="H401" s="1322" t="str">
        <f>IF(F$371="","",(IF(F401="","",LessThan('VOC &amp; S Gases'!D37,VND))&amp;SigNum3('VOC &amp; S Gases'!K37,SigFig1,SigFig2,'VOC &amp; S Gases'!D37)))</f>
        <v/>
      </c>
      <c r="I401" s="1321" t="str">
        <f>IF(I$371="","",('VOC &amp; S Gases'!$F37&amp;signum2('VOC &amp; S Gases'!L37,SigFig1,SigFig2,'VOC &amp; S Gases'!$F37)))</f>
        <v/>
      </c>
      <c r="J401" s="1273" t="str">
        <f>IF(I$371="","",('VOC &amp; S Gases'!$F37&amp;signum2('VOC &amp; S Gases'!N37,SigFig1,SigFig2,'VOC &amp; S Gases'!$F37)))</f>
        <v/>
      </c>
      <c r="K401" s="1322" t="str">
        <f>IF(I$371="","",(IF(I401="","",LessThan('VOC &amp; S Gases'!F37,VND))&amp;SigNum3('VOC &amp; S Gases'!O37,SigFig1,SigFig2,'VOC &amp; S Gases'!F37)))</f>
        <v/>
      </c>
      <c r="L401" s="1321"/>
      <c r="M401" s="1322"/>
      <c r="N401" s="1272"/>
      <c r="O401" s="1319">
        <f t="shared" si="20"/>
        <v>0</v>
      </c>
      <c r="P401" s="1319">
        <f t="shared" si="21"/>
        <v>0</v>
      </c>
    </row>
    <row r="402" spans="1:16" hidden="1">
      <c r="A402" s="1267" t="str">
        <f>IF(AND('VOC &amp; S Gases'!E38="",'VOC &amp; S Gases'!G38=""),"",'VOC &amp; S Gases'!A38)</f>
        <v/>
      </c>
      <c r="B402" s="1259"/>
      <c r="C402" s="1321" t="str">
        <f>IF(C$371="","",('VOC &amp; S Gases'!$Q38&amp;signum2('VOC &amp; S Gases'!R38,SigFig1,SigFig2,'VOC &amp; S Gases'!$Q38)))</f>
        <v/>
      </c>
      <c r="D402" s="1273" t="str">
        <f>IF(C$371="","",('VOC &amp; S Gases'!$Q38&amp;signum2('VOC &amp; S Gases'!S38,SigFig1,SigFig2,'VOC &amp; S Gases'!$Q38)))</f>
        <v/>
      </c>
      <c r="E402" s="1322" t="str">
        <f>IF(C$371="","",(IF(C402="","",LessThan('VOC &amp; S Gases'!Q38,VND))&amp;SigNum3('VOC &amp; S Gases'!T38,SigFig1,SigFig2,'VOC &amp; S Gases'!Q38)))</f>
        <v/>
      </c>
      <c r="F402" s="1321" t="str">
        <f>IF(F$371="","",('VOC &amp; S Gases'!$D38&amp;signum2('VOC &amp; S Gases'!H38,SigFig1,SigFig2,'VOC &amp; S Gases'!$D38)))</f>
        <v/>
      </c>
      <c r="G402" s="1273" t="str">
        <f>IF(F$371="","",('VOC &amp; S Gases'!$D38&amp;signum2('VOC &amp; S Gases'!J38,SigFig1,SigFig2,'VOC &amp; S Gases'!$D38)))</f>
        <v/>
      </c>
      <c r="H402" s="1322" t="str">
        <f>IF(F$371="","",(IF(F402="","",LessThan('VOC &amp; S Gases'!D38,VND))&amp;SigNum3('VOC &amp; S Gases'!K38,SigFig1,SigFig2,'VOC &amp; S Gases'!D38)))</f>
        <v/>
      </c>
      <c r="I402" s="1321" t="str">
        <f>IF(I$371="","",('VOC &amp; S Gases'!$F38&amp;signum2('VOC &amp; S Gases'!L38,SigFig1,SigFig2,'VOC &amp; S Gases'!$F38)))</f>
        <v/>
      </c>
      <c r="J402" s="1273" t="str">
        <f>IF(I$371="","",('VOC &amp; S Gases'!$F38&amp;signum2('VOC &amp; S Gases'!N38,SigFig1,SigFig2,'VOC &amp; S Gases'!$F38)))</f>
        <v/>
      </c>
      <c r="K402" s="1322" t="str">
        <f>IF(I$371="","",(IF(I402="","",LessThan('VOC &amp; S Gases'!F38,VND))&amp;SigNum3('VOC &amp; S Gases'!O38,SigFig1,SigFig2,'VOC &amp; S Gases'!F38)))</f>
        <v/>
      </c>
      <c r="L402" s="1321"/>
      <c r="M402" s="1322"/>
      <c r="N402" s="1272"/>
      <c r="O402" s="1319">
        <f t="shared" si="20"/>
        <v>0</v>
      </c>
      <c r="P402" s="1319">
        <f t="shared" si="21"/>
        <v>0</v>
      </c>
    </row>
    <row r="403" spans="1:16" hidden="1">
      <c r="A403" s="1267" t="str">
        <f>IF(AND('VOC &amp; S Gases'!E39="",'VOC &amp; S Gases'!G39=""),"",'VOC &amp; S Gases'!A39)</f>
        <v/>
      </c>
      <c r="B403" s="1259"/>
      <c r="C403" s="1321" t="str">
        <f>IF(C$371="","",('VOC &amp; S Gases'!$Q39&amp;signum2('VOC &amp; S Gases'!R39,SigFig1,SigFig2,'VOC &amp; S Gases'!$Q39)))</f>
        <v/>
      </c>
      <c r="D403" s="1273" t="str">
        <f>IF(C$371="","",('VOC &amp; S Gases'!$Q39&amp;signum2('VOC &amp; S Gases'!S39,SigFig1,SigFig2,'VOC &amp; S Gases'!$Q39)))</f>
        <v/>
      </c>
      <c r="E403" s="1322" t="str">
        <f>IF(C$371="","",(IF(C403="","",LessThan('VOC &amp; S Gases'!Q39,VND))&amp;SigNum3('VOC &amp; S Gases'!T39,SigFig1,SigFig2,'VOC &amp; S Gases'!Q39)))</f>
        <v/>
      </c>
      <c r="F403" s="1321" t="str">
        <f>IF(F$371="","",('VOC &amp; S Gases'!$D39&amp;signum2('VOC &amp; S Gases'!H39,SigFig1,SigFig2,'VOC &amp; S Gases'!$D39)))</f>
        <v/>
      </c>
      <c r="G403" s="1273" t="str">
        <f>IF(F$371="","",('VOC &amp; S Gases'!$D39&amp;signum2('VOC &amp; S Gases'!J39,SigFig1,SigFig2,'VOC &amp; S Gases'!$D39)))</f>
        <v/>
      </c>
      <c r="H403" s="1322" t="str">
        <f>IF(F$371="","",(IF(F403="","",LessThan('VOC &amp; S Gases'!D39,VND))&amp;SigNum3('VOC &amp; S Gases'!K39,SigFig1,SigFig2,'VOC &amp; S Gases'!D39)))</f>
        <v/>
      </c>
      <c r="I403" s="1321" t="str">
        <f>IF(I$371="","",('VOC &amp; S Gases'!$F39&amp;signum2('VOC &amp; S Gases'!L39,SigFig1,SigFig2,'VOC &amp; S Gases'!$F39)))</f>
        <v/>
      </c>
      <c r="J403" s="1273" t="str">
        <f>IF(I$371="","",('VOC &amp; S Gases'!$F39&amp;signum2('VOC &amp; S Gases'!N39,SigFig1,SigFig2,'VOC &amp; S Gases'!$F39)))</f>
        <v/>
      </c>
      <c r="K403" s="1322" t="str">
        <f>IF(I$371="","",(IF(I403="","",LessThan('VOC &amp; S Gases'!F39,VND))&amp;SigNum3('VOC &amp; S Gases'!O39,SigFig1,SigFig2,'VOC &amp; S Gases'!F39)))</f>
        <v/>
      </c>
      <c r="L403" s="1321"/>
      <c r="M403" s="1322"/>
      <c r="N403" s="1272"/>
      <c r="O403" s="1319">
        <f t="shared" si="20"/>
        <v>0</v>
      </c>
      <c r="P403" s="1319">
        <f t="shared" si="21"/>
        <v>0</v>
      </c>
    </row>
    <row r="404" spans="1:16" hidden="1">
      <c r="A404" s="1267" t="str">
        <f>IF(AND('VOC &amp; S Gases'!E40="",'VOC &amp; S Gases'!G40=""),"",'VOC &amp; S Gases'!A40)</f>
        <v/>
      </c>
      <c r="B404" s="1259"/>
      <c r="C404" s="1321" t="str">
        <f>IF(C$371="","",('VOC &amp; S Gases'!$Q40&amp;signum2('VOC &amp; S Gases'!R40,SigFig1,SigFig2,'VOC &amp; S Gases'!$Q40)))</f>
        <v/>
      </c>
      <c r="D404" s="1273" t="str">
        <f>IF(C$371="","",('VOC &amp; S Gases'!$Q40&amp;signum2('VOC &amp; S Gases'!S40,SigFig1,SigFig2,'VOC &amp; S Gases'!$Q40)))</f>
        <v/>
      </c>
      <c r="E404" s="1322" t="str">
        <f>IF(C$371="","",(IF(C404="","",LessThan('VOC &amp; S Gases'!Q40,VND))&amp;SigNum3('VOC &amp; S Gases'!T40,SigFig1,SigFig2,'VOC &amp; S Gases'!Q40)))</f>
        <v/>
      </c>
      <c r="F404" s="1321" t="str">
        <f>IF(F$371="","",('VOC &amp; S Gases'!$D40&amp;signum2('VOC &amp; S Gases'!H40,SigFig1,SigFig2,'VOC &amp; S Gases'!$D40)))</f>
        <v/>
      </c>
      <c r="G404" s="1273" t="str">
        <f>IF(F$371="","",('VOC &amp; S Gases'!$D40&amp;signum2('VOC &amp; S Gases'!J40,SigFig1,SigFig2,'VOC &amp; S Gases'!$D40)))</f>
        <v/>
      </c>
      <c r="H404" s="1322" t="str">
        <f>IF(F$371="","",(IF(F404="","",LessThan('VOC &amp; S Gases'!D40,VND))&amp;SigNum3('VOC &amp; S Gases'!K40,SigFig1,SigFig2,'VOC &amp; S Gases'!D40)))</f>
        <v/>
      </c>
      <c r="I404" s="1321" t="str">
        <f>IF(I$371="","",('VOC &amp; S Gases'!$F40&amp;signum2('VOC &amp; S Gases'!L40,SigFig1,SigFig2,'VOC &amp; S Gases'!$F40)))</f>
        <v/>
      </c>
      <c r="J404" s="1273" t="str">
        <f>IF(I$371="","",('VOC &amp; S Gases'!$F40&amp;signum2('VOC &amp; S Gases'!N40,SigFig1,SigFig2,'VOC &amp; S Gases'!$F40)))</f>
        <v/>
      </c>
      <c r="K404" s="1322" t="str">
        <f>IF(I$371="","",(IF(I404="","",LessThan('VOC &amp; S Gases'!F40,VND))&amp;SigNum3('VOC &amp; S Gases'!O40,SigFig1,SigFig2,'VOC &amp; S Gases'!F40)))</f>
        <v/>
      </c>
      <c r="L404" s="1321"/>
      <c r="M404" s="1322"/>
      <c r="N404" s="1272"/>
      <c r="O404" s="1319">
        <f t="shared" si="20"/>
        <v>0</v>
      </c>
      <c r="P404" s="1319">
        <f t="shared" si="21"/>
        <v>0</v>
      </c>
    </row>
    <row r="405" spans="1:16" hidden="1">
      <c r="A405" s="1267" t="str">
        <f>IF(AND('VOC &amp; S Gases'!E41="",'VOC &amp; S Gases'!G41=""),"",'VOC &amp; S Gases'!A41)</f>
        <v/>
      </c>
      <c r="B405" s="1259"/>
      <c r="C405" s="1321" t="str">
        <f>IF(C$371="","",('VOC &amp; S Gases'!$Q41&amp;signum2('VOC &amp; S Gases'!R41,SigFig1,SigFig2,'VOC &amp; S Gases'!$Q41)))</f>
        <v/>
      </c>
      <c r="D405" s="1273" t="str">
        <f>IF(C$371="","",('VOC &amp; S Gases'!$Q41&amp;signum2('VOC &amp; S Gases'!S41,SigFig1,SigFig2,'VOC &amp; S Gases'!$Q41)))</f>
        <v/>
      </c>
      <c r="E405" s="1322" t="str">
        <f>IF(C$371="","",(IF(C405="","",LessThan('VOC &amp; S Gases'!Q41,VND))&amp;SigNum3('VOC &amp; S Gases'!T41,SigFig1,SigFig2,'VOC &amp; S Gases'!Q41)))</f>
        <v/>
      </c>
      <c r="F405" s="1321" t="str">
        <f>IF(F$371="","",('VOC &amp; S Gases'!$D41&amp;signum2('VOC &amp; S Gases'!H41,SigFig1,SigFig2,'VOC &amp; S Gases'!$D41)))</f>
        <v/>
      </c>
      <c r="G405" s="1273" t="str">
        <f>IF(F$371="","",('VOC &amp; S Gases'!$D41&amp;signum2('VOC &amp; S Gases'!J41,SigFig1,SigFig2,'VOC &amp; S Gases'!$D41)))</f>
        <v/>
      </c>
      <c r="H405" s="1322" t="str">
        <f>IF(F$371="","",(IF(F405="","",LessThan('VOC &amp; S Gases'!D41,VND))&amp;SigNum3('VOC &amp; S Gases'!K41,SigFig1,SigFig2,'VOC &amp; S Gases'!D41)))</f>
        <v/>
      </c>
      <c r="I405" s="1321" t="str">
        <f>IF(I$371="","",('VOC &amp; S Gases'!$F41&amp;signum2('VOC &amp; S Gases'!L41,SigFig1,SigFig2,'VOC &amp; S Gases'!$F41)))</f>
        <v/>
      </c>
      <c r="J405" s="1273" t="str">
        <f>IF(I$371="","",('VOC &amp; S Gases'!$F41&amp;signum2('VOC &amp; S Gases'!N41,SigFig1,SigFig2,'VOC &amp; S Gases'!$F41)))</f>
        <v/>
      </c>
      <c r="K405" s="1322" t="str">
        <f>IF(I$371="","",(IF(I405="","",LessThan('VOC &amp; S Gases'!F41,VND))&amp;SigNum3('VOC &amp; S Gases'!O41,SigFig1,SigFig2,'VOC &amp; S Gases'!F41)))</f>
        <v/>
      </c>
      <c r="L405" s="1321"/>
      <c r="M405" s="1322"/>
      <c r="N405" s="1272"/>
      <c r="O405" s="1319">
        <f t="shared" si="20"/>
        <v>0</v>
      </c>
      <c r="P405" s="1319">
        <f t="shared" si="21"/>
        <v>0</v>
      </c>
    </row>
    <row r="406" spans="1:16" hidden="1">
      <c r="A406" s="1267" t="str">
        <f>IF(AND('VOC &amp; S Gases'!E42="",'VOC &amp; S Gases'!G42=""),"",'VOC &amp; S Gases'!A42)</f>
        <v/>
      </c>
      <c r="B406" s="1259"/>
      <c r="C406" s="1321" t="str">
        <f>IF(C$371="","",('VOC &amp; S Gases'!$Q42&amp;signum2('VOC &amp; S Gases'!R42,SigFig1,SigFig2,'VOC &amp; S Gases'!$Q42)))</f>
        <v/>
      </c>
      <c r="D406" s="1273" t="str">
        <f>IF(C$371="","",('VOC &amp; S Gases'!$Q42&amp;signum2('VOC &amp; S Gases'!S42,SigFig1,SigFig2,'VOC &amp; S Gases'!$Q42)))</f>
        <v/>
      </c>
      <c r="E406" s="1322" t="str">
        <f>IF(C$371="","",(IF(C406="","",LessThan('VOC &amp; S Gases'!Q42,VND))&amp;SigNum3('VOC &amp; S Gases'!T42,SigFig1,SigFig2,'VOC &amp; S Gases'!Q42)))</f>
        <v/>
      </c>
      <c r="F406" s="1321" t="str">
        <f>IF(F$371="","",('VOC &amp; S Gases'!$D42&amp;signum2('VOC &amp; S Gases'!H42,SigFig1,SigFig2,'VOC &amp; S Gases'!$D42)))</f>
        <v/>
      </c>
      <c r="G406" s="1273" t="str">
        <f>IF(F$371="","",('VOC &amp; S Gases'!$D42&amp;signum2('VOC &amp; S Gases'!J42,SigFig1,SigFig2,'VOC &amp; S Gases'!$D42)))</f>
        <v/>
      </c>
      <c r="H406" s="1322" t="str">
        <f>IF(F$371="","",(IF(F406="","",LessThan('VOC &amp; S Gases'!D42,VND))&amp;SigNum3('VOC &amp; S Gases'!K42,SigFig1,SigFig2,'VOC &amp; S Gases'!D42)))</f>
        <v/>
      </c>
      <c r="I406" s="1321" t="str">
        <f>IF(I$371="","",('VOC &amp; S Gases'!$F42&amp;signum2('VOC &amp; S Gases'!L42,SigFig1,SigFig2,'VOC &amp; S Gases'!$F42)))</f>
        <v/>
      </c>
      <c r="J406" s="1273" t="str">
        <f>IF(I$371="","",('VOC &amp; S Gases'!$F42&amp;signum2('VOC &amp; S Gases'!N42,SigFig1,SigFig2,'VOC &amp; S Gases'!$F42)))</f>
        <v/>
      </c>
      <c r="K406" s="1322" t="str">
        <f>IF(I$371="","",(IF(I406="","",LessThan('VOC &amp; S Gases'!F42,VND))&amp;SigNum3('VOC &amp; S Gases'!O42,SigFig1,SigFig2,'VOC &amp; S Gases'!F42)))</f>
        <v/>
      </c>
      <c r="L406" s="1321"/>
      <c r="M406" s="1322"/>
      <c r="N406" s="1272"/>
      <c r="O406" s="1319">
        <f t="shared" si="20"/>
        <v>0</v>
      </c>
      <c r="P406" s="1319">
        <f t="shared" si="21"/>
        <v>0</v>
      </c>
    </row>
    <row r="407" spans="1:16" hidden="1">
      <c r="A407" s="1267" t="str">
        <f>IF(AND('VOC &amp; S Gases'!E43="",'VOC &amp; S Gases'!G43=""),"",'VOC &amp; S Gases'!A43)</f>
        <v/>
      </c>
      <c r="B407" s="1259"/>
      <c r="C407" s="1321" t="str">
        <f>IF(C$371="","",('VOC &amp; S Gases'!$Q43&amp;signum2('VOC &amp; S Gases'!R43,SigFig1,SigFig2,'VOC &amp; S Gases'!$Q43)))</f>
        <v/>
      </c>
      <c r="D407" s="1273" t="str">
        <f>IF(C$371="","",('VOC &amp; S Gases'!$Q43&amp;signum2('VOC &amp; S Gases'!S43,SigFig1,SigFig2,'VOC &amp; S Gases'!$Q43)))</f>
        <v/>
      </c>
      <c r="E407" s="1322" t="str">
        <f>IF(C$371="","",(IF(C407="","",LessThan('VOC &amp; S Gases'!Q43,VND))&amp;SigNum3('VOC &amp; S Gases'!T43,SigFig1,SigFig2,'VOC &amp; S Gases'!Q43)))</f>
        <v/>
      </c>
      <c r="F407" s="1321" t="str">
        <f>IF(F$371="","",('VOC &amp; S Gases'!$D43&amp;signum2('VOC &amp; S Gases'!H43,SigFig1,SigFig2,'VOC &amp; S Gases'!$D43)))</f>
        <v/>
      </c>
      <c r="G407" s="1273" t="str">
        <f>IF(F$371="","",('VOC &amp; S Gases'!$D43&amp;signum2('VOC &amp; S Gases'!J43,SigFig1,SigFig2,'VOC &amp; S Gases'!$D43)))</f>
        <v/>
      </c>
      <c r="H407" s="1322" t="str">
        <f>IF(F$371="","",(IF(F407="","",LessThan('VOC &amp; S Gases'!D43,VND))&amp;SigNum3('VOC &amp; S Gases'!K43,SigFig1,SigFig2,'VOC &amp; S Gases'!D43)))</f>
        <v/>
      </c>
      <c r="I407" s="1321" t="str">
        <f>IF(I$371="","",('VOC &amp; S Gases'!$F43&amp;signum2('VOC &amp; S Gases'!L43,SigFig1,SigFig2,'VOC &amp; S Gases'!$F43)))</f>
        <v/>
      </c>
      <c r="J407" s="1273" t="str">
        <f>IF(I$371="","",('VOC &amp; S Gases'!$F43&amp;signum2('VOC &amp; S Gases'!N43,SigFig1,SigFig2,'VOC &amp; S Gases'!$F43)))</f>
        <v/>
      </c>
      <c r="K407" s="1322" t="str">
        <f>IF(I$371="","",(IF(I407="","",LessThan('VOC &amp; S Gases'!F43,VND))&amp;SigNum3('VOC &amp; S Gases'!O43,SigFig1,SigFig2,'VOC &amp; S Gases'!F43)))</f>
        <v/>
      </c>
      <c r="L407" s="1321"/>
      <c r="M407" s="1322"/>
      <c r="N407" s="1272"/>
      <c r="O407" s="1319">
        <f t="shared" si="20"/>
        <v>0</v>
      </c>
      <c r="P407" s="1319">
        <f t="shared" si="21"/>
        <v>0</v>
      </c>
    </row>
    <row r="408" spans="1:16" hidden="1">
      <c r="A408" s="1267" t="str">
        <f>IF(AND('VOC &amp; S Gases'!E44="",'VOC &amp; S Gases'!G44=""),"",'VOC &amp; S Gases'!A44)</f>
        <v/>
      </c>
      <c r="B408" s="1259"/>
      <c r="C408" s="1321" t="str">
        <f>IF(C$371="","",('VOC &amp; S Gases'!$Q44&amp;signum2('VOC &amp; S Gases'!R44,SigFig1,SigFig2,'VOC &amp; S Gases'!$Q44)))</f>
        <v/>
      </c>
      <c r="D408" s="1273" t="str">
        <f>IF(C$371="","",('VOC &amp; S Gases'!$Q44&amp;signum2('VOC &amp; S Gases'!S44,SigFig1,SigFig2,'VOC &amp; S Gases'!$Q44)))</f>
        <v/>
      </c>
      <c r="E408" s="1322" t="str">
        <f>IF(C$371="","",(IF(C408="","",LessThan('VOC &amp; S Gases'!Q44,VND))&amp;SigNum3('VOC &amp; S Gases'!T44,SigFig1,SigFig2,'VOC &amp; S Gases'!Q44)))</f>
        <v/>
      </c>
      <c r="F408" s="1321" t="str">
        <f>IF(F$371="","",('VOC &amp; S Gases'!$D44&amp;signum2('VOC &amp; S Gases'!H44,SigFig1,SigFig2,'VOC &amp; S Gases'!$D44)))</f>
        <v/>
      </c>
      <c r="G408" s="1273" t="str">
        <f>IF(F$371="","",('VOC &amp; S Gases'!$D44&amp;signum2('VOC &amp; S Gases'!J44,SigFig1,SigFig2,'VOC &amp; S Gases'!$D44)))</f>
        <v/>
      </c>
      <c r="H408" s="1322" t="str">
        <f>IF(F$371="","",(IF(F408="","",LessThan('VOC &amp; S Gases'!D44,VND))&amp;SigNum3('VOC &amp; S Gases'!K44,SigFig1,SigFig2,'VOC &amp; S Gases'!D44)))</f>
        <v/>
      </c>
      <c r="I408" s="1321" t="str">
        <f>IF(I$371="","",('VOC &amp; S Gases'!$F44&amp;signum2('VOC &amp; S Gases'!L44,SigFig1,SigFig2,'VOC &amp; S Gases'!$F44)))</f>
        <v/>
      </c>
      <c r="J408" s="1273" t="str">
        <f>IF(I$371="","",('VOC &amp; S Gases'!$F44&amp;signum2('VOC &amp; S Gases'!N44,SigFig1,SigFig2,'VOC &amp; S Gases'!$F44)))</f>
        <v/>
      </c>
      <c r="K408" s="1322" t="str">
        <f>IF(I$371="","",(IF(I408="","",LessThan('VOC &amp; S Gases'!F44,VND))&amp;SigNum3('VOC &amp; S Gases'!O44,SigFig1,SigFig2,'VOC &amp; S Gases'!F44)))</f>
        <v/>
      </c>
      <c r="L408" s="1321"/>
      <c r="M408" s="1322"/>
      <c r="N408" s="1272"/>
      <c r="O408" s="1319">
        <f t="shared" si="20"/>
        <v>0</v>
      </c>
      <c r="P408" s="1319">
        <f t="shared" si="21"/>
        <v>0</v>
      </c>
    </row>
    <row r="409" spans="1:16" hidden="1">
      <c r="A409" s="1267" t="str">
        <f>IF(AND('VOC &amp; S Gases'!E45="",'VOC &amp; S Gases'!G45=""),"",'VOC &amp; S Gases'!A45)</f>
        <v/>
      </c>
      <c r="B409" s="1259"/>
      <c r="C409" s="1321" t="str">
        <f>IF(C$371="","",('VOC &amp; S Gases'!$Q45&amp;signum2('VOC &amp; S Gases'!R45,SigFig1,SigFig2,'VOC &amp; S Gases'!$Q45)))</f>
        <v/>
      </c>
      <c r="D409" s="1273" t="str">
        <f>IF(C$371="","",('VOC &amp; S Gases'!$Q45&amp;signum2('VOC &amp; S Gases'!S45,SigFig1,SigFig2,'VOC &amp; S Gases'!$Q45)))</f>
        <v/>
      </c>
      <c r="E409" s="1322" t="str">
        <f>IF(C$371="","",(IF(C409="","",LessThan('VOC &amp; S Gases'!Q45,VND))&amp;SigNum3('VOC &amp; S Gases'!T45,SigFig1,SigFig2,'VOC &amp; S Gases'!Q45)))</f>
        <v/>
      </c>
      <c r="F409" s="1321" t="str">
        <f>IF(F$371="","",('VOC &amp; S Gases'!$D45&amp;signum2('VOC &amp; S Gases'!H45,SigFig1,SigFig2,'VOC &amp; S Gases'!$D45)))</f>
        <v/>
      </c>
      <c r="G409" s="1273" t="str">
        <f>IF(F$371="","",('VOC &amp; S Gases'!$D45&amp;signum2('VOC &amp; S Gases'!J45,SigFig1,SigFig2,'VOC &amp; S Gases'!$D45)))</f>
        <v/>
      </c>
      <c r="H409" s="1322" t="str">
        <f>IF(F$371="","",(IF(F409="","",LessThan('VOC &amp; S Gases'!D45,VND))&amp;SigNum3('VOC &amp; S Gases'!K45,SigFig1,SigFig2,'VOC &amp; S Gases'!D45)))</f>
        <v/>
      </c>
      <c r="I409" s="1321" t="str">
        <f>IF(I$371="","",('VOC &amp; S Gases'!$F45&amp;signum2('VOC &amp; S Gases'!L45,SigFig1,SigFig2,'VOC &amp; S Gases'!$F45)))</f>
        <v/>
      </c>
      <c r="J409" s="1273" t="str">
        <f>IF(I$371="","",('VOC &amp; S Gases'!$F45&amp;signum2('VOC &amp; S Gases'!N45,SigFig1,SigFig2,'VOC &amp; S Gases'!$F45)))</f>
        <v/>
      </c>
      <c r="K409" s="1322" t="str">
        <f>IF(I$371="","",(IF(I409="","",LessThan('VOC &amp; S Gases'!F45,VND))&amp;SigNum3('VOC &amp; S Gases'!O45,SigFig1,SigFig2,'VOC &amp; S Gases'!F45)))</f>
        <v/>
      </c>
      <c r="L409" s="1321"/>
      <c r="M409" s="1322"/>
      <c r="N409" s="1272"/>
      <c r="O409" s="1319">
        <f t="shared" si="20"/>
        <v>0</v>
      </c>
      <c r="P409" s="1319">
        <f t="shared" si="21"/>
        <v>0</v>
      </c>
    </row>
    <row r="410" spans="1:16" hidden="1">
      <c r="A410" s="1267" t="str">
        <f>IF(AND('VOC &amp; S Gases'!E46="",'VOC &amp; S Gases'!G46=""),"",'VOC &amp; S Gases'!A46)</f>
        <v/>
      </c>
      <c r="B410" s="1259"/>
      <c r="C410" s="1321" t="str">
        <f>IF(C$371="","",('VOC &amp; S Gases'!$Q46&amp;signum2('VOC &amp; S Gases'!R46,SigFig1,SigFig2,'VOC &amp; S Gases'!$Q46)))</f>
        <v/>
      </c>
      <c r="D410" s="1273" t="str">
        <f>IF(C$371="","",('VOC &amp; S Gases'!$Q46&amp;signum2('VOC &amp; S Gases'!S46,SigFig1,SigFig2,'VOC &amp; S Gases'!$Q46)))</f>
        <v/>
      </c>
      <c r="E410" s="1322" t="str">
        <f>IF(C$371="","",(IF(C410="","",LessThan('VOC &amp; S Gases'!Q46,VND))&amp;SigNum3('VOC &amp; S Gases'!T46,SigFig1,SigFig2,'VOC &amp; S Gases'!Q46)))</f>
        <v/>
      </c>
      <c r="F410" s="1321" t="str">
        <f>IF(F$371="","",('VOC &amp; S Gases'!$D46&amp;signum2('VOC &amp; S Gases'!H46,SigFig1,SigFig2,'VOC &amp; S Gases'!$D46)))</f>
        <v/>
      </c>
      <c r="G410" s="1273" t="str">
        <f>IF(F$371="","",('VOC &amp; S Gases'!$D46&amp;signum2('VOC &amp; S Gases'!J46,SigFig1,SigFig2,'VOC &amp; S Gases'!$D46)))</f>
        <v/>
      </c>
      <c r="H410" s="1322" t="str">
        <f>IF(F$371="","",(IF(F410="","",LessThan('VOC &amp; S Gases'!D46,VND))&amp;SigNum3('VOC &amp; S Gases'!K46,SigFig1,SigFig2,'VOC &amp; S Gases'!D46)))</f>
        <v/>
      </c>
      <c r="I410" s="1321" t="str">
        <f>IF(I$371="","",('VOC &amp; S Gases'!$F46&amp;signum2('VOC &amp; S Gases'!L46,SigFig1,SigFig2,'VOC &amp; S Gases'!$F46)))</f>
        <v/>
      </c>
      <c r="J410" s="1273" t="str">
        <f>IF(I$371="","",('VOC &amp; S Gases'!$F46&amp;signum2('VOC &amp; S Gases'!N46,SigFig1,SigFig2,'VOC &amp; S Gases'!$F46)))</f>
        <v/>
      </c>
      <c r="K410" s="1322" t="str">
        <f>IF(I$371="","",(IF(I410="","",LessThan('VOC &amp; S Gases'!F46,VND))&amp;SigNum3('VOC &amp; S Gases'!O46,SigFig1,SigFig2,'VOC &amp; S Gases'!F46)))</f>
        <v/>
      </c>
      <c r="L410" s="1321"/>
      <c r="M410" s="1322"/>
      <c r="N410" s="1272"/>
      <c r="O410" s="1319">
        <f t="shared" si="20"/>
        <v>0</v>
      </c>
      <c r="P410" s="1319">
        <f t="shared" si="21"/>
        <v>0</v>
      </c>
    </row>
    <row r="411" spans="1:16" hidden="1">
      <c r="A411" s="1267" t="str">
        <f>IF(AND('VOC &amp; S Gases'!E47="",'VOC &amp; S Gases'!G47=""),"",'VOC &amp; S Gases'!A47)</f>
        <v/>
      </c>
      <c r="B411" s="1259"/>
      <c r="C411" s="1321" t="str">
        <f>IF(C$371="","",('VOC &amp; S Gases'!$Q47&amp;signum2('VOC &amp; S Gases'!R47,SigFig1,SigFig2,'VOC &amp; S Gases'!$Q47)))</f>
        <v/>
      </c>
      <c r="D411" s="1273" t="str">
        <f>IF(C$371="","",('VOC &amp; S Gases'!$Q47&amp;signum2('VOC &amp; S Gases'!S47,SigFig1,SigFig2,'VOC &amp; S Gases'!$Q47)))</f>
        <v/>
      </c>
      <c r="E411" s="1322" t="str">
        <f>IF(C$371="","",(IF(C411="","",LessThan('VOC &amp; S Gases'!Q47,VND))&amp;SigNum3('VOC &amp; S Gases'!T47,SigFig1,SigFig2,'VOC &amp; S Gases'!Q47)))</f>
        <v/>
      </c>
      <c r="F411" s="1321" t="str">
        <f>IF(F$371="","",('VOC &amp; S Gases'!$D47&amp;signum2('VOC &amp; S Gases'!H47,SigFig1,SigFig2,'VOC &amp; S Gases'!$D47)))</f>
        <v/>
      </c>
      <c r="G411" s="1273" t="str">
        <f>IF(F$371="","",('VOC &amp; S Gases'!$D47&amp;signum2('VOC &amp; S Gases'!J47,SigFig1,SigFig2,'VOC &amp; S Gases'!$D47)))</f>
        <v/>
      </c>
      <c r="H411" s="1322" t="str">
        <f>IF(F$371="","",(IF(F411="","",LessThan('VOC &amp; S Gases'!D47,VND))&amp;SigNum3('VOC &amp; S Gases'!K47,SigFig1,SigFig2,'VOC &amp; S Gases'!D47)))</f>
        <v/>
      </c>
      <c r="I411" s="1321" t="str">
        <f>IF(I$371="","",('VOC &amp; S Gases'!$F47&amp;signum2('VOC &amp; S Gases'!L47,SigFig1,SigFig2,'VOC &amp; S Gases'!$F47)))</f>
        <v/>
      </c>
      <c r="J411" s="1273" t="str">
        <f>IF(I$371="","",('VOC &amp; S Gases'!$F47&amp;signum2('VOC &amp; S Gases'!N47,SigFig1,SigFig2,'VOC &amp; S Gases'!$F47)))</f>
        <v/>
      </c>
      <c r="K411" s="1322" t="str">
        <f>IF(I$371="","",(IF(I411="","",LessThan('VOC &amp; S Gases'!F47,VND))&amp;SigNum3('VOC &amp; S Gases'!O47,SigFig1,SigFig2,'VOC &amp; S Gases'!F47)))</f>
        <v/>
      </c>
      <c r="L411" s="1321"/>
      <c r="M411" s="1322"/>
      <c r="N411" s="1272"/>
      <c r="O411" s="1319">
        <f t="shared" si="20"/>
        <v>0</v>
      </c>
      <c r="P411" s="1319">
        <f t="shared" si="21"/>
        <v>0</v>
      </c>
    </row>
    <row r="412" spans="1:16" hidden="1">
      <c r="A412" s="1267" t="str">
        <f>IF(AND('VOC &amp; S Gases'!E48="",'VOC &amp; S Gases'!G48=""),"",'VOC &amp; S Gases'!A48)</f>
        <v/>
      </c>
      <c r="B412" s="1259"/>
      <c r="C412" s="1321" t="str">
        <f>IF(C$371="","",('VOC &amp; S Gases'!$Q48&amp;signum2('VOC &amp; S Gases'!R48,SigFig1,SigFig2,'VOC &amp; S Gases'!$Q48)))</f>
        <v/>
      </c>
      <c r="D412" s="1273" t="str">
        <f>IF(C$371="","",('VOC &amp; S Gases'!$Q48&amp;signum2('VOC &amp; S Gases'!S48,SigFig1,SigFig2,'VOC &amp; S Gases'!$Q48)))</f>
        <v/>
      </c>
      <c r="E412" s="1322" t="str">
        <f>IF(C$371="","",(IF(C412="","",LessThan('VOC &amp; S Gases'!Q48,VND))&amp;SigNum3('VOC &amp; S Gases'!T48,SigFig1,SigFig2,'VOC &amp; S Gases'!Q48)))</f>
        <v/>
      </c>
      <c r="F412" s="1321" t="str">
        <f>IF(F$371="","",('VOC &amp; S Gases'!$D48&amp;signum2('VOC &amp; S Gases'!H48,SigFig1,SigFig2,'VOC &amp; S Gases'!$D48)))</f>
        <v/>
      </c>
      <c r="G412" s="1273" t="str">
        <f>IF(F$371="","",('VOC &amp; S Gases'!$D48&amp;signum2('VOC &amp; S Gases'!J48,SigFig1,SigFig2,'VOC &amp; S Gases'!$D48)))</f>
        <v/>
      </c>
      <c r="H412" s="1322" t="str">
        <f>IF(F$371="","",(IF(F412="","",LessThan('VOC &amp; S Gases'!D48,VND))&amp;SigNum3('VOC &amp; S Gases'!K48,SigFig1,SigFig2,'VOC &amp; S Gases'!D48)))</f>
        <v/>
      </c>
      <c r="I412" s="1321" t="str">
        <f>IF(I$371="","",('VOC &amp; S Gases'!$F48&amp;signum2('VOC &amp; S Gases'!L48,SigFig1,SigFig2,'VOC &amp; S Gases'!$F48)))</f>
        <v/>
      </c>
      <c r="J412" s="1273" t="str">
        <f>IF(I$371="","",('VOC &amp; S Gases'!$F48&amp;signum2('VOC &amp; S Gases'!N48,SigFig1,SigFig2,'VOC &amp; S Gases'!$F48)))</f>
        <v/>
      </c>
      <c r="K412" s="1322" t="str">
        <f>IF(I$371="","",(IF(I412="","",LessThan('VOC &amp; S Gases'!F48,VND))&amp;SigNum3('VOC &amp; S Gases'!O48,SigFig1,SigFig2,'VOC &amp; S Gases'!F48)))</f>
        <v/>
      </c>
      <c r="L412" s="1321"/>
      <c r="M412" s="1322"/>
      <c r="N412" s="1272"/>
      <c r="O412" s="1319">
        <f t="shared" si="20"/>
        <v>0</v>
      </c>
      <c r="P412" s="1319">
        <f t="shared" si="21"/>
        <v>0</v>
      </c>
    </row>
    <row r="413" spans="1:16" hidden="1">
      <c r="A413" s="1267" t="str">
        <f>IF(AND('VOC &amp; S Gases'!E49="",'VOC &amp; S Gases'!G49=""),"",'VOC &amp; S Gases'!A49)</f>
        <v/>
      </c>
      <c r="B413" s="1259"/>
      <c r="C413" s="1321" t="str">
        <f>IF(C$371="","",('VOC &amp; S Gases'!$Q49&amp;signum2('VOC &amp; S Gases'!R49,SigFig1,SigFig2,'VOC &amp; S Gases'!$Q49)))</f>
        <v/>
      </c>
      <c r="D413" s="1273" t="str">
        <f>IF(C$371="","",('VOC &amp; S Gases'!$Q49&amp;signum2('VOC &amp; S Gases'!S49,SigFig1,SigFig2,'VOC &amp; S Gases'!$Q49)))</f>
        <v/>
      </c>
      <c r="E413" s="1322" t="str">
        <f>IF(C$371="","",(IF(C413="","",LessThan('VOC &amp; S Gases'!Q49,VND))&amp;SigNum3('VOC &amp; S Gases'!T49,SigFig1,SigFig2,'VOC &amp; S Gases'!Q49)))</f>
        <v/>
      </c>
      <c r="F413" s="1321" t="str">
        <f>IF(F$371="","",('VOC &amp; S Gases'!$D49&amp;signum2('VOC &amp; S Gases'!H49,SigFig1,SigFig2,'VOC &amp; S Gases'!$D49)))</f>
        <v/>
      </c>
      <c r="G413" s="1273" t="str">
        <f>IF(F$371="","",('VOC &amp; S Gases'!$D49&amp;signum2('VOC &amp; S Gases'!J49,SigFig1,SigFig2,'VOC &amp; S Gases'!$D49)))</f>
        <v/>
      </c>
      <c r="H413" s="1322" t="str">
        <f>IF(F$371="","",(IF(F413="","",LessThan('VOC &amp; S Gases'!D49,VND))&amp;SigNum3('VOC &amp; S Gases'!K49,SigFig1,SigFig2,'VOC &amp; S Gases'!D49)))</f>
        <v/>
      </c>
      <c r="I413" s="1321" t="str">
        <f>IF(I$371="","",('VOC &amp; S Gases'!$F49&amp;signum2('VOC &amp; S Gases'!L49,SigFig1,SigFig2,'VOC &amp; S Gases'!$F49)))</f>
        <v/>
      </c>
      <c r="J413" s="1273" t="str">
        <f>IF(I$371="","",('VOC &amp; S Gases'!$F49&amp;signum2('VOC &amp; S Gases'!N49,SigFig1,SigFig2,'VOC &amp; S Gases'!$F49)))</f>
        <v/>
      </c>
      <c r="K413" s="1322" t="str">
        <f>IF(I$371="","",(IF(I413="","",LessThan('VOC &amp; S Gases'!F49,VND))&amp;SigNum3('VOC &amp; S Gases'!O49,SigFig1,SigFig2,'VOC &amp; S Gases'!F49)))</f>
        <v/>
      </c>
      <c r="L413" s="1321"/>
      <c r="M413" s="1322"/>
      <c r="N413" s="1272"/>
      <c r="O413" s="1319">
        <f t="shared" si="20"/>
        <v>0</v>
      </c>
      <c r="P413" s="1319">
        <f t="shared" si="21"/>
        <v>0</v>
      </c>
    </row>
    <row r="414" spans="1:16" hidden="1">
      <c r="A414" s="1267" t="str">
        <f>IF(AND('VOC &amp; S Gases'!E50="",'VOC &amp; S Gases'!G50=""),"",'VOC &amp; S Gases'!A50)</f>
        <v/>
      </c>
      <c r="B414" s="1259"/>
      <c r="C414" s="1321" t="str">
        <f>IF(C$371="","",('VOC &amp; S Gases'!$Q50&amp;signum2('VOC &amp; S Gases'!R50,SigFig1,SigFig2,'VOC &amp; S Gases'!$Q50)))</f>
        <v/>
      </c>
      <c r="D414" s="1273" t="str">
        <f>IF(C$371="","",('VOC &amp; S Gases'!$Q50&amp;signum2('VOC &amp; S Gases'!S50,SigFig1,SigFig2,'VOC &amp; S Gases'!$Q50)))</f>
        <v/>
      </c>
      <c r="E414" s="1322" t="str">
        <f>IF(C$371="","",(IF(C414="","",LessThan('VOC &amp; S Gases'!Q50,VND))&amp;SigNum3('VOC &amp; S Gases'!T50,SigFig1,SigFig2,'VOC &amp; S Gases'!Q50)))</f>
        <v/>
      </c>
      <c r="F414" s="1321" t="str">
        <f>IF(F$371="","",('VOC &amp; S Gases'!$D50&amp;signum2('VOC &amp; S Gases'!H50,SigFig1,SigFig2,'VOC &amp; S Gases'!$D50)))</f>
        <v/>
      </c>
      <c r="G414" s="1273" t="str">
        <f>IF(F$371="","",('VOC &amp; S Gases'!$D50&amp;signum2('VOC &amp; S Gases'!J50,SigFig1,SigFig2,'VOC &amp; S Gases'!$D50)))</f>
        <v/>
      </c>
      <c r="H414" s="1322" t="str">
        <f>IF(F$371="","",(IF(F414="","",LessThan('VOC &amp; S Gases'!D50,VND))&amp;SigNum3('VOC &amp; S Gases'!K50,SigFig1,SigFig2,'VOC &amp; S Gases'!D50)))</f>
        <v/>
      </c>
      <c r="I414" s="1321" t="str">
        <f>IF(I$371="","",('VOC &amp; S Gases'!$F50&amp;signum2('VOC &amp; S Gases'!L50,SigFig1,SigFig2,'VOC &amp; S Gases'!$F50)))</f>
        <v/>
      </c>
      <c r="J414" s="1273" t="str">
        <f>IF(I$371="","",('VOC &amp; S Gases'!$F50&amp;signum2('VOC &amp; S Gases'!N50,SigFig1,SigFig2,'VOC &amp; S Gases'!$F50)))</f>
        <v/>
      </c>
      <c r="K414" s="1322" t="str">
        <f>IF(I$371="","",(IF(I414="","",LessThan('VOC &amp; S Gases'!F50,VND))&amp;SigNum3('VOC &amp; S Gases'!O50,SigFig1,SigFig2,'VOC &amp; S Gases'!F50)))</f>
        <v/>
      </c>
      <c r="L414" s="1321"/>
      <c r="M414" s="1322"/>
      <c r="N414" s="1272"/>
      <c r="O414" s="1319">
        <f t="shared" si="20"/>
        <v>0</v>
      </c>
      <c r="P414" s="1319">
        <f t="shared" si="21"/>
        <v>0</v>
      </c>
    </row>
    <row r="415" spans="1:16" hidden="1">
      <c r="A415" s="1267" t="str">
        <f>IF(AND('VOC &amp; S Gases'!E51="",'VOC &amp; S Gases'!G51=""),"",'VOC &amp; S Gases'!A51)</f>
        <v/>
      </c>
      <c r="B415" s="1259"/>
      <c r="C415" s="1321" t="str">
        <f>IF(C$371="","",('VOC &amp; S Gases'!$Q51&amp;signum2('VOC &amp; S Gases'!R51,SigFig1,SigFig2,'VOC &amp; S Gases'!$Q51)))</f>
        <v/>
      </c>
      <c r="D415" s="1273" t="str">
        <f>IF(C$371="","",('VOC &amp; S Gases'!$Q51&amp;signum2('VOC &amp; S Gases'!S51,SigFig1,SigFig2,'VOC &amp; S Gases'!$Q51)))</f>
        <v/>
      </c>
      <c r="E415" s="1322" t="str">
        <f>IF(C$371="","",(IF(C415="","",LessThan('VOC &amp; S Gases'!Q51,VND))&amp;SigNum3('VOC &amp; S Gases'!T51,SigFig1,SigFig2,'VOC &amp; S Gases'!Q51)))</f>
        <v/>
      </c>
      <c r="F415" s="1321" t="str">
        <f>IF(F$371="","",('VOC &amp; S Gases'!$D51&amp;signum2('VOC &amp; S Gases'!H51,SigFig1,SigFig2,'VOC &amp; S Gases'!$D51)))</f>
        <v/>
      </c>
      <c r="G415" s="1273" t="str">
        <f>IF(F$371="","",('VOC &amp; S Gases'!$D51&amp;signum2('VOC &amp; S Gases'!J51,SigFig1,SigFig2,'VOC &amp; S Gases'!$D51)))</f>
        <v/>
      </c>
      <c r="H415" s="1322" t="str">
        <f>IF(F$371="","",(IF(F415="","",LessThan('VOC &amp; S Gases'!D51,VND))&amp;SigNum3('VOC &amp; S Gases'!K51,SigFig1,SigFig2,'VOC &amp; S Gases'!D51)))</f>
        <v/>
      </c>
      <c r="I415" s="1321" t="str">
        <f>IF(I$371="","",('VOC &amp; S Gases'!$F51&amp;signum2('VOC &amp; S Gases'!L51,SigFig1,SigFig2,'VOC &amp; S Gases'!$F51)))</f>
        <v/>
      </c>
      <c r="J415" s="1273" t="str">
        <f>IF(I$371="","",('VOC &amp; S Gases'!$F51&amp;signum2('VOC &amp; S Gases'!N51,SigFig1,SigFig2,'VOC &amp; S Gases'!$F51)))</f>
        <v/>
      </c>
      <c r="K415" s="1322" t="str">
        <f>IF(I$371="","",(IF(I415="","",LessThan('VOC &amp; S Gases'!F51,VND))&amp;SigNum3('VOC &amp; S Gases'!O51,SigFig1,SigFig2,'VOC &amp; S Gases'!F51)))</f>
        <v/>
      </c>
      <c r="L415" s="1321"/>
      <c r="M415" s="1322"/>
      <c r="N415" s="1272"/>
      <c r="O415" s="1319">
        <f t="shared" si="20"/>
        <v>0</v>
      </c>
      <c r="P415" s="1319">
        <f t="shared" si="21"/>
        <v>0</v>
      </c>
    </row>
    <row r="416" spans="1:16" hidden="1">
      <c r="A416" s="1267" t="str">
        <f>IF(AND('VOC &amp; S Gases'!E52="",'VOC &amp; S Gases'!G52=""),"",'VOC &amp; S Gases'!A52)</f>
        <v/>
      </c>
      <c r="B416" s="1259"/>
      <c r="C416" s="1321" t="str">
        <f>IF(C$371="","",('VOC &amp; S Gases'!$Q52&amp;signum2('VOC &amp; S Gases'!R52,SigFig1,SigFig2,'VOC &amp; S Gases'!$Q52)))</f>
        <v/>
      </c>
      <c r="D416" s="1273" t="str">
        <f>IF(C$371="","",('VOC &amp; S Gases'!$Q52&amp;signum2('VOC &amp; S Gases'!S52,SigFig1,SigFig2,'VOC &amp; S Gases'!$Q52)))</f>
        <v/>
      </c>
      <c r="E416" s="1322" t="str">
        <f>IF(C$371="","",(IF(C416="","",LessThan('VOC &amp; S Gases'!Q52,VND))&amp;SigNum3('VOC &amp; S Gases'!T52,SigFig1,SigFig2,'VOC &amp; S Gases'!Q52)))</f>
        <v/>
      </c>
      <c r="F416" s="1321" t="str">
        <f>IF(F$371="","",('VOC &amp; S Gases'!$D52&amp;signum2('VOC &amp; S Gases'!H52,SigFig1,SigFig2,'VOC &amp; S Gases'!$D52)))</f>
        <v/>
      </c>
      <c r="G416" s="1273" t="str">
        <f>IF(F$371="","",('VOC &amp; S Gases'!$D52&amp;signum2('VOC &amp; S Gases'!J52,SigFig1,SigFig2,'VOC &amp; S Gases'!$D52)))</f>
        <v/>
      </c>
      <c r="H416" s="1322" t="str">
        <f>IF(F$371="","",(IF(F416="","",LessThan('VOC &amp; S Gases'!D52,VND))&amp;SigNum3('VOC &amp; S Gases'!K52,SigFig1,SigFig2,'VOC &amp; S Gases'!D52)))</f>
        <v/>
      </c>
      <c r="I416" s="1321" t="str">
        <f>IF(I$371="","",('VOC &amp; S Gases'!$F52&amp;signum2('VOC &amp; S Gases'!L52,SigFig1,SigFig2,'VOC &amp; S Gases'!$F52)))</f>
        <v/>
      </c>
      <c r="J416" s="1273" t="str">
        <f>IF(I$371="","",('VOC &amp; S Gases'!$F52&amp;signum2('VOC &amp; S Gases'!N52,SigFig1,SigFig2,'VOC &amp; S Gases'!$F52)))</f>
        <v/>
      </c>
      <c r="K416" s="1322" t="str">
        <f>IF(I$371="","",(IF(I416="","",LessThan('VOC &amp; S Gases'!F52,VND))&amp;SigNum3('VOC &amp; S Gases'!O52,SigFig1,SigFig2,'VOC &amp; S Gases'!F52)))</f>
        <v/>
      </c>
      <c r="L416" s="1321"/>
      <c r="M416" s="1322"/>
      <c r="N416" s="1272"/>
      <c r="O416" s="1319">
        <f t="shared" si="20"/>
        <v>0</v>
      </c>
      <c r="P416" s="1319">
        <f t="shared" si="21"/>
        <v>0</v>
      </c>
    </row>
    <row r="417" spans="1:16" hidden="1">
      <c r="A417" s="1267" t="str">
        <f>IF(AND('VOC &amp; S Gases'!E53="",'VOC &amp; S Gases'!G53=""),"",'VOC &amp; S Gases'!A53)</f>
        <v/>
      </c>
      <c r="B417" s="1259"/>
      <c r="C417" s="1321" t="str">
        <f>IF(C$371="","",('VOC &amp; S Gases'!$Q53&amp;signum2('VOC &amp; S Gases'!R53,SigFig1,SigFig2,'VOC &amp; S Gases'!$Q53)))</f>
        <v/>
      </c>
      <c r="D417" s="1273" t="str">
        <f>IF(C$371="","",('VOC &amp; S Gases'!$Q53&amp;signum2('VOC &amp; S Gases'!S53,SigFig1,SigFig2,'VOC &amp; S Gases'!$Q53)))</f>
        <v/>
      </c>
      <c r="E417" s="1322" t="str">
        <f>IF(C$371="","",(IF(C417="","",LessThan('VOC &amp; S Gases'!Q53,VND))&amp;SigNum3('VOC &amp; S Gases'!T53,SigFig1,SigFig2,'VOC &amp; S Gases'!Q53)))</f>
        <v/>
      </c>
      <c r="F417" s="1321" t="str">
        <f>IF(F$371="","",('VOC &amp; S Gases'!$D53&amp;signum2('VOC &amp; S Gases'!H53,SigFig1,SigFig2,'VOC &amp; S Gases'!$D53)))</f>
        <v/>
      </c>
      <c r="G417" s="1273" t="str">
        <f>IF(F$371="","",('VOC &amp; S Gases'!$D53&amp;signum2('VOC &amp; S Gases'!J53,SigFig1,SigFig2,'VOC &amp; S Gases'!$D53)))</f>
        <v/>
      </c>
      <c r="H417" s="1322" t="str">
        <f>IF(F$371="","",(IF(F417="","",LessThan('VOC &amp; S Gases'!D53,VND))&amp;SigNum3('VOC &amp; S Gases'!K53,SigFig1,SigFig2,'VOC &amp; S Gases'!D53)))</f>
        <v/>
      </c>
      <c r="I417" s="1321" t="str">
        <f>IF(I$371="","",('VOC &amp; S Gases'!$F53&amp;signum2('VOC &amp; S Gases'!L53,SigFig1,SigFig2,'VOC &amp; S Gases'!$F53)))</f>
        <v/>
      </c>
      <c r="J417" s="1273" t="str">
        <f>IF(I$371="","",('VOC &amp; S Gases'!$F53&amp;signum2('VOC &amp; S Gases'!N53,SigFig1,SigFig2,'VOC &amp; S Gases'!$F53)))</f>
        <v/>
      </c>
      <c r="K417" s="1322" t="str">
        <f>IF(I$371="","",(IF(I417="","",LessThan('VOC &amp; S Gases'!F53,VND))&amp;SigNum3('VOC &amp; S Gases'!O53,SigFig1,SigFig2,'VOC &amp; S Gases'!F53)))</f>
        <v/>
      </c>
      <c r="L417" s="1321"/>
      <c r="M417" s="1322"/>
      <c r="N417" s="1272"/>
      <c r="O417" s="1319">
        <f t="shared" si="20"/>
        <v>0</v>
      </c>
      <c r="P417" s="1319">
        <f t="shared" si="21"/>
        <v>0</v>
      </c>
    </row>
    <row r="418" spans="1:16" hidden="1">
      <c r="A418" s="1267" t="str">
        <f>IF(AND('VOC &amp; S Gases'!E54="",'VOC &amp; S Gases'!G54=""),"",'VOC &amp; S Gases'!A54)</f>
        <v/>
      </c>
      <c r="B418" s="1259"/>
      <c r="C418" s="1321" t="str">
        <f>IF(C$371="","",('VOC &amp; S Gases'!$Q54&amp;signum2('VOC &amp; S Gases'!R54,SigFig1,SigFig2,'VOC &amp; S Gases'!$Q54)))</f>
        <v/>
      </c>
      <c r="D418" s="1273" t="str">
        <f>IF(C$371="","",('VOC &amp; S Gases'!$Q54&amp;signum2('VOC &amp; S Gases'!S54,SigFig1,SigFig2,'VOC &amp; S Gases'!$Q54)))</f>
        <v/>
      </c>
      <c r="E418" s="1322" t="str">
        <f>IF(C$371="","",(IF(C418="","",LessThan('VOC &amp; S Gases'!Q54,VND))&amp;SigNum3('VOC &amp; S Gases'!T54,SigFig1,SigFig2,'VOC &amp; S Gases'!Q54)))</f>
        <v/>
      </c>
      <c r="F418" s="1321" t="str">
        <f>IF(F$371="","",('VOC &amp; S Gases'!$D54&amp;signum2('VOC &amp; S Gases'!H54,SigFig1,SigFig2,'VOC &amp; S Gases'!$D54)))</f>
        <v/>
      </c>
      <c r="G418" s="1273" t="str">
        <f>IF(F$371="","",('VOC &amp; S Gases'!$D54&amp;signum2('VOC &amp; S Gases'!J54,SigFig1,SigFig2,'VOC &amp; S Gases'!$D54)))</f>
        <v/>
      </c>
      <c r="H418" s="1322" t="str">
        <f>IF(F$371="","",(IF(F418="","",LessThan('VOC &amp; S Gases'!D54,VND))&amp;SigNum3('VOC &amp; S Gases'!K54,SigFig1,SigFig2,'VOC &amp; S Gases'!D54)))</f>
        <v/>
      </c>
      <c r="I418" s="1321" t="str">
        <f>IF(I$371="","",('VOC &amp; S Gases'!$F54&amp;signum2('VOC &amp; S Gases'!L54,SigFig1,SigFig2,'VOC &amp; S Gases'!$F54)))</f>
        <v/>
      </c>
      <c r="J418" s="1273" t="str">
        <f>IF(I$371="","",('VOC &amp; S Gases'!$F54&amp;signum2('VOC &amp; S Gases'!N54,SigFig1,SigFig2,'VOC &amp; S Gases'!$F54)))</f>
        <v/>
      </c>
      <c r="K418" s="1322" t="str">
        <f>IF(I$371="","",(IF(I418="","",LessThan('VOC &amp; S Gases'!F54,VND))&amp;SigNum3('VOC &amp; S Gases'!O54,SigFig1,SigFig2,'VOC &amp; S Gases'!F54)))</f>
        <v/>
      </c>
      <c r="L418" s="1321"/>
      <c r="M418" s="1322"/>
      <c r="N418" s="1272"/>
      <c r="O418" s="1319">
        <f t="shared" si="20"/>
        <v>0</v>
      </c>
      <c r="P418" s="1319">
        <f t="shared" si="21"/>
        <v>0</v>
      </c>
    </row>
    <row r="419" spans="1:16" hidden="1">
      <c r="A419" s="1267" t="str">
        <f>IF(AND('VOC &amp; S Gases'!E55="",'VOC &amp; S Gases'!G55=""),"",'VOC &amp; S Gases'!A55)</f>
        <v/>
      </c>
      <c r="B419" s="1259"/>
      <c r="C419" s="1321" t="str">
        <f>IF(C$371="","",('VOC &amp; S Gases'!$Q55&amp;signum2('VOC &amp; S Gases'!R55,SigFig1,SigFig2,'VOC &amp; S Gases'!$Q55)))</f>
        <v/>
      </c>
      <c r="D419" s="1273" t="str">
        <f>IF(C$371="","",('VOC &amp; S Gases'!$Q55&amp;signum2('VOC &amp; S Gases'!S55,SigFig1,SigFig2,'VOC &amp; S Gases'!$Q55)))</f>
        <v/>
      </c>
      <c r="E419" s="1322" t="str">
        <f>IF(C$371="","",(IF(C419="","",LessThan('VOC &amp; S Gases'!Q55,VND))&amp;SigNum3('VOC &amp; S Gases'!T55,SigFig1,SigFig2,'VOC &amp; S Gases'!Q55)))</f>
        <v/>
      </c>
      <c r="F419" s="1321" t="str">
        <f>IF(F$371="","",('VOC &amp; S Gases'!$D55&amp;signum2('VOC &amp; S Gases'!H55,SigFig1,SigFig2,'VOC &amp; S Gases'!$D55)))</f>
        <v/>
      </c>
      <c r="G419" s="1273" t="str">
        <f>IF(F$371="","",('VOC &amp; S Gases'!$D55&amp;signum2('VOC &amp; S Gases'!J55,SigFig1,SigFig2,'VOC &amp; S Gases'!$D55)))</f>
        <v/>
      </c>
      <c r="H419" s="1322" t="str">
        <f>IF(F$371="","",(IF(F419="","",LessThan('VOC &amp; S Gases'!D55,VND))&amp;SigNum3('VOC &amp; S Gases'!K55,SigFig1,SigFig2,'VOC &amp; S Gases'!D55)))</f>
        <v/>
      </c>
      <c r="I419" s="1321" t="str">
        <f>IF(I$371="","",('VOC &amp; S Gases'!$F55&amp;signum2('VOC &amp; S Gases'!L55,SigFig1,SigFig2,'VOC &amp; S Gases'!$F55)))</f>
        <v/>
      </c>
      <c r="J419" s="1273" t="str">
        <f>IF(I$371="","",('VOC &amp; S Gases'!$F55&amp;signum2('VOC &amp; S Gases'!N55,SigFig1,SigFig2,'VOC &amp; S Gases'!$F55)))</f>
        <v/>
      </c>
      <c r="K419" s="1322" t="str">
        <f>IF(I$371="","",(IF(I419="","",LessThan('VOC &amp; S Gases'!F55,VND))&amp;SigNum3('VOC &amp; S Gases'!O55,SigFig1,SigFig2,'VOC &amp; S Gases'!F55)))</f>
        <v/>
      </c>
      <c r="L419" s="1321"/>
      <c r="M419" s="1322"/>
      <c r="N419" s="1272"/>
      <c r="O419" s="1319">
        <f t="shared" si="20"/>
        <v>0</v>
      </c>
      <c r="P419" s="1319">
        <f t="shared" si="21"/>
        <v>0</v>
      </c>
    </row>
    <row r="420" spans="1:16" hidden="1">
      <c r="A420" s="1267" t="str">
        <f>IF(AND('VOC &amp; S Gases'!E56="",'VOC &amp; S Gases'!G56=""),"",'VOC &amp; S Gases'!A56)</f>
        <v/>
      </c>
      <c r="B420" s="1259"/>
      <c r="C420" s="1321" t="str">
        <f>IF(C$371="","",('VOC &amp; S Gases'!$Q56&amp;signum2('VOC &amp; S Gases'!R56,SigFig1,SigFig2,'VOC &amp; S Gases'!$Q56)))</f>
        <v/>
      </c>
      <c r="D420" s="1273" t="str">
        <f>IF(C$371="","",('VOC &amp; S Gases'!$Q56&amp;signum2('VOC &amp; S Gases'!S56,SigFig1,SigFig2,'VOC &amp; S Gases'!$Q56)))</f>
        <v/>
      </c>
      <c r="E420" s="1322" t="str">
        <f>IF(C$371="","",(IF(C420="","",LessThan('VOC &amp; S Gases'!Q56,VND))&amp;SigNum3('VOC &amp; S Gases'!T56,SigFig1,SigFig2,'VOC &amp; S Gases'!Q56)))</f>
        <v/>
      </c>
      <c r="F420" s="1321" t="str">
        <f>IF(F$371="","",('VOC &amp; S Gases'!$D56&amp;signum2('VOC &amp; S Gases'!H56,SigFig1,SigFig2,'VOC &amp; S Gases'!$D56)))</f>
        <v/>
      </c>
      <c r="G420" s="1273" t="str">
        <f>IF(F$371="","",('VOC &amp; S Gases'!$D56&amp;signum2('VOC &amp; S Gases'!J56,SigFig1,SigFig2,'VOC &amp; S Gases'!$D56)))</f>
        <v/>
      </c>
      <c r="H420" s="1322" t="str">
        <f>IF(F$371="","",(IF(F420="","",LessThan('VOC &amp; S Gases'!D56,VND))&amp;SigNum3('VOC &amp; S Gases'!K56,SigFig1,SigFig2,'VOC &amp; S Gases'!D56)))</f>
        <v/>
      </c>
      <c r="I420" s="1321" t="str">
        <f>IF(I$371="","",('VOC &amp; S Gases'!$F56&amp;signum2('VOC &amp; S Gases'!L56,SigFig1,SigFig2,'VOC &amp; S Gases'!$F56)))</f>
        <v/>
      </c>
      <c r="J420" s="1273" t="str">
        <f>IF(I$371="","",('VOC &amp; S Gases'!$F56&amp;signum2('VOC &amp; S Gases'!N56,SigFig1,SigFig2,'VOC &amp; S Gases'!$F56)))</f>
        <v/>
      </c>
      <c r="K420" s="1322" t="str">
        <f>IF(I$371="","",(IF(I420="","",LessThan('VOC &amp; S Gases'!F56,VND))&amp;SigNum3('VOC &amp; S Gases'!O56,SigFig1,SigFig2,'VOC &amp; S Gases'!F56)))</f>
        <v/>
      </c>
      <c r="L420" s="1321"/>
      <c r="M420" s="1322"/>
      <c r="N420" s="1272"/>
      <c r="O420" s="1319">
        <f t="shared" si="20"/>
        <v>0</v>
      </c>
      <c r="P420" s="1319">
        <f t="shared" si="21"/>
        <v>0</v>
      </c>
    </row>
    <row r="421" spans="1:16" hidden="1">
      <c r="A421" s="1267" t="str">
        <f>IF(AND('VOC &amp; S Gases'!E57="",'VOC &amp; S Gases'!G57=""),"",'VOC &amp; S Gases'!A57)</f>
        <v/>
      </c>
      <c r="B421" s="1259"/>
      <c r="C421" s="1321" t="str">
        <f>IF(C$371="","",('VOC &amp; S Gases'!$Q57&amp;signum2('VOC &amp; S Gases'!R57,SigFig1,SigFig2,'VOC &amp; S Gases'!$Q57)))</f>
        <v/>
      </c>
      <c r="D421" s="1273" t="str">
        <f>IF(C$371="","",('VOC &amp; S Gases'!$Q57&amp;signum2('VOC &amp; S Gases'!S57,SigFig1,SigFig2,'VOC &amp; S Gases'!$Q57)))</f>
        <v/>
      </c>
      <c r="E421" s="1322" t="str">
        <f>IF(C$371="","",(IF(C421="","",LessThan('VOC &amp; S Gases'!Q57,VND))&amp;SigNum3('VOC &amp; S Gases'!T57,SigFig1,SigFig2,'VOC &amp; S Gases'!Q57)))</f>
        <v/>
      </c>
      <c r="F421" s="1321" t="str">
        <f>IF(F$371="","",('VOC &amp; S Gases'!$D57&amp;signum2('VOC &amp; S Gases'!H57,SigFig1,SigFig2,'VOC &amp; S Gases'!$D57)))</f>
        <v/>
      </c>
      <c r="G421" s="1273" t="str">
        <f>IF(F$371="","",('VOC &amp; S Gases'!$D57&amp;signum2('VOC &amp; S Gases'!J57,SigFig1,SigFig2,'VOC &amp; S Gases'!$D57)))</f>
        <v/>
      </c>
      <c r="H421" s="1322" t="str">
        <f>IF(F$371="","",(IF(F421="","",LessThan('VOC &amp; S Gases'!D57,VND))&amp;SigNum3('VOC &amp; S Gases'!K57,SigFig1,SigFig2,'VOC &amp; S Gases'!D57)))</f>
        <v/>
      </c>
      <c r="I421" s="1321" t="str">
        <f>IF(I$371="","",('VOC &amp; S Gases'!$F57&amp;signum2('VOC &amp; S Gases'!L57,SigFig1,SigFig2,'VOC &amp; S Gases'!$F57)))</f>
        <v/>
      </c>
      <c r="J421" s="1273" t="str">
        <f>IF(I$371="","",('VOC &amp; S Gases'!$F57&amp;signum2('VOC &amp; S Gases'!N57,SigFig1,SigFig2,'VOC &amp; S Gases'!$F57)))</f>
        <v/>
      </c>
      <c r="K421" s="1322" t="str">
        <f>IF(I$371="","",(IF(I421="","",LessThan('VOC &amp; S Gases'!F57,VND))&amp;SigNum3('VOC &amp; S Gases'!O57,SigFig1,SigFig2,'VOC &amp; S Gases'!F57)))</f>
        <v/>
      </c>
      <c r="L421" s="1321"/>
      <c r="M421" s="1322"/>
      <c r="N421" s="1272"/>
      <c r="O421" s="1319">
        <f t="shared" si="20"/>
        <v>0</v>
      </c>
      <c r="P421" s="1319">
        <f t="shared" si="21"/>
        <v>0</v>
      </c>
    </row>
    <row r="422" spans="1:16" hidden="1">
      <c r="A422" s="1267" t="str">
        <f>IF(AND('VOC &amp; S Gases'!E58="",'VOC &amp; S Gases'!G58=""),"",'VOC &amp; S Gases'!A58)</f>
        <v/>
      </c>
      <c r="B422" s="1259"/>
      <c r="C422" s="1321" t="str">
        <f>IF(C$371="","",('VOC &amp; S Gases'!$Q58&amp;signum2('VOC &amp; S Gases'!R58,SigFig1,SigFig2,'VOC &amp; S Gases'!$Q58)))</f>
        <v/>
      </c>
      <c r="D422" s="1273" t="str">
        <f>IF(C$371="","",('VOC &amp; S Gases'!$Q58&amp;signum2('VOC &amp; S Gases'!S58,SigFig1,SigFig2,'VOC &amp; S Gases'!$Q58)))</f>
        <v/>
      </c>
      <c r="E422" s="1322" t="str">
        <f>IF(C$371="","",(IF(C422="","",LessThan('VOC &amp; S Gases'!Q58,VND))&amp;SigNum3('VOC &amp; S Gases'!T58,SigFig1,SigFig2,'VOC &amp; S Gases'!Q58)))</f>
        <v/>
      </c>
      <c r="F422" s="1321" t="str">
        <f>IF(F$371="","",('VOC &amp; S Gases'!$D58&amp;signum2('VOC &amp; S Gases'!H58,SigFig1,SigFig2,'VOC &amp; S Gases'!$D58)))</f>
        <v/>
      </c>
      <c r="G422" s="1273" t="str">
        <f>IF(F$371="","",('VOC &amp; S Gases'!$D58&amp;signum2('VOC &amp; S Gases'!J58,SigFig1,SigFig2,'VOC &amp; S Gases'!$D58)))</f>
        <v/>
      </c>
      <c r="H422" s="1322" t="str">
        <f>IF(F$371="","",(IF(F422="","",LessThan('VOC &amp; S Gases'!D58,VND))&amp;SigNum3('VOC &amp; S Gases'!K58,SigFig1,SigFig2,'VOC &amp; S Gases'!D58)))</f>
        <v/>
      </c>
      <c r="I422" s="1321" t="str">
        <f>IF(I$371="","",('VOC &amp; S Gases'!$F58&amp;signum2('VOC &amp; S Gases'!L58,SigFig1,SigFig2,'VOC &amp; S Gases'!$F58)))</f>
        <v/>
      </c>
      <c r="J422" s="1273" t="str">
        <f>IF(I$371="","",('VOC &amp; S Gases'!$F58&amp;signum2('VOC &amp; S Gases'!N58,SigFig1,SigFig2,'VOC &amp; S Gases'!$F58)))</f>
        <v/>
      </c>
      <c r="K422" s="1322" t="str">
        <f>IF(I$371="","",(IF(I422="","",LessThan('VOC &amp; S Gases'!F58,VND))&amp;SigNum3('VOC &amp; S Gases'!O58,SigFig1,SigFig2,'VOC &amp; S Gases'!F58)))</f>
        <v/>
      </c>
      <c r="L422" s="1321"/>
      <c r="M422" s="1322"/>
      <c r="N422" s="1272"/>
      <c r="O422" s="1319">
        <f t="shared" si="20"/>
        <v>0</v>
      </c>
      <c r="P422" s="1319">
        <f t="shared" si="21"/>
        <v>0</v>
      </c>
    </row>
    <row r="423" spans="1:16" hidden="1">
      <c r="A423" s="1267" t="str">
        <f>IF(AND('VOC &amp; S Gases'!E59="",'VOC &amp; S Gases'!G59=""),"",'VOC &amp; S Gases'!A59)</f>
        <v/>
      </c>
      <c r="B423" s="1259"/>
      <c r="C423" s="1321" t="str">
        <f>IF(C$371="","",('VOC &amp; S Gases'!$Q59&amp;signum2('VOC &amp; S Gases'!R59,SigFig1,SigFig2,'VOC &amp; S Gases'!$Q59)))</f>
        <v/>
      </c>
      <c r="D423" s="1273" t="str">
        <f>IF(C$371="","",('VOC &amp; S Gases'!$Q59&amp;signum2('VOC &amp; S Gases'!S59,SigFig1,SigFig2,'VOC &amp; S Gases'!$Q59)))</f>
        <v/>
      </c>
      <c r="E423" s="1322" t="str">
        <f>IF(C$371="","",(IF(C423="","",LessThan('VOC &amp; S Gases'!Q59,VND))&amp;SigNum3('VOC &amp; S Gases'!T59,SigFig1,SigFig2,'VOC &amp; S Gases'!Q59)))</f>
        <v/>
      </c>
      <c r="F423" s="1321" t="str">
        <f>IF(F$371="","",('VOC &amp; S Gases'!$D59&amp;signum2('VOC &amp; S Gases'!H59,SigFig1,SigFig2,'VOC &amp; S Gases'!$D59)))</f>
        <v/>
      </c>
      <c r="G423" s="1273" t="str">
        <f>IF(F$371="","",('VOC &amp; S Gases'!$D59&amp;signum2('VOC &amp; S Gases'!J59,SigFig1,SigFig2,'VOC &amp; S Gases'!$D59)))</f>
        <v/>
      </c>
      <c r="H423" s="1322" t="str">
        <f>IF(F$371="","",(IF(F423="","",LessThan('VOC &amp; S Gases'!D59,VND))&amp;SigNum3('VOC &amp; S Gases'!K59,SigFig1,SigFig2,'VOC &amp; S Gases'!D59)))</f>
        <v/>
      </c>
      <c r="I423" s="1321" t="str">
        <f>IF(I$371="","",('VOC &amp; S Gases'!$F59&amp;signum2('VOC &amp; S Gases'!L59,SigFig1,SigFig2,'VOC &amp; S Gases'!$F59)))</f>
        <v/>
      </c>
      <c r="J423" s="1273" t="str">
        <f>IF(I$371="","",('VOC &amp; S Gases'!$F59&amp;signum2('VOC &amp; S Gases'!N59,SigFig1,SigFig2,'VOC &amp; S Gases'!$F59)))</f>
        <v/>
      </c>
      <c r="K423" s="1322" t="str">
        <f>IF(I$371="","",(IF(I423="","",LessThan('VOC &amp; S Gases'!F59,VND))&amp;SigNum3('VOC &amp; S Gases'!O59,SigFig1,SigFig2,'VOC &amp; S Gases'!F59)))</f>
        <v/>
      </c>
      <c r="L423" s="1321"/>
      <c r="M423" s="1322"/>
      <c r="N423" s="1272"/>
      <c r="O423" s="1319">
        <f t="shared" si="20"/>
        <v>0</v>
      </c>
      <c r="P423" s="1319">
        <f t="shared" si="21"/>
        <v>0</v>
      </c>
    </row>
    <row r="424" spans="1:16" hidden="1">
      <c r="A424" s="1267" t="str">
        <f>IF(AND('VOC &amp; S Gases'!E60="",'VOC &amp; S Gases'!G60=""),"",'VOC &amp; S Gases'!A60)</f>
        <v/>
      </c>
      <c r="B424" s="1259"/>
      <c r="C424" s="1321" t="str">
        <f>IF(C$371="","",('VOC &amp; S Gases'!$Q60&amp;signum2('VOC &amp; S Gases'!R60,SigFig1,SigFig2,'VOC &amp; S Gases'!$Q60)))</f>
        <v/>
      </c>
      <c r="D424" s="1273" t="str">
        <f>IF(C$371="","",('VOC &amp; S Gases'!$Q60&amp;signum2('VOC &amp; S Gases'!S60,SigFig1,SigFig2,'VOC &amp; S Gases'!$Q60)))</f>
        <v/>
      </c>
      <c r="E424" s="1322" t="str">
        <f>IF(C$371="","",(IF(C424="","",LessThan('VOC &amp; S Gases'!Q60,VND))&amp;SigNum3('VOC &amp; S Gases'!T60,SigFig1,SigFig2,'VOC &amp; S Gases'!Q60)))</f>
        <v/>
      </c>
      <c r="F424" s="1321" t="str">
        <f>IF(F$371="","",('VOC &amp; S Gases'!$D60&amp;signum2('VOC &amp; S Gases'!H60,SigFig1,SigFig2,'VOC &amp; S Gases'!$D60)))</f>
        <v/>
      </c>
      <c r="G424" s="1273" t="str">
        <f>IF(F$371="","",('VOC &amp; S Gases'!$D60&amp;signum2('VOC &amp; S Gases'!J60,SigFig1,SigFig2,'VOC &amp; S Gases'!$D60)))</f>
        <v/>
      </c>
      <c r="H424" s="1322" t="str">
        <f>IF(F$371="","",(IF(F424="","",LessThan('VOC &amp; S Gases'!D60,VND))&amp;SigNum3('VOC &amp; S Gases'!K60,SigFig1,SigFig2,'VOC &amp; S Gases'!D60)))</f>
        <v/>
      </c>
      <c r="I424" s="1321" t="str">
        <f>IF(I$371="","",('VOC &amp; S Gases'!$F60&amp;signum2('VOC &amp; S Gases'!L60,SigFig1,SigFig2,'VOC &amp; S Gases'!$F60)))</f>
        <v/>
      </c>
      <c r="J424" s="1273" t="str">
        <f>IF(I$371="","",('VOC &amp; S Gases'!$F60&amp;signum2('VOC &amp; S Gases'!N60,SigFig1,SigFig2,'VOC &amp; S Gases'!$F60)))</f>
        <v/>
      </c>
      <c r="K424" s="1322" t="str">
        <f>IF(I$371="","",(IF(I424="","",LessThan('VOC &amp; S Gases'!F60,VND))&amp;SigNum3('VOC &amp; S Gases'!O60,SigFig1,SigFig2,'VOC &amp; S Gases'!F60)))</f>
        <v/>
      </c>
      <c r="L424" s="1321"/>
      <c r="M424" s="1322"/>
      <c r="N424" s="1272"/>
      <c r="O424" s="1319">
        <f t="shared" si="20"/>
        <v>0</v>
      </c>
      <c r="P424" s="1319">
        <f t="shared" si="21"/>
        <v>0</v>
      </c>
    </row>
    <row r="425" spans="1:16" hidden="1">
      <c r="A425" s="1267" t="str">
        <f>IF(AND('VOC &amp; S Gases'!E61="",'VOC &amp; S Gases'!G61=""),"",'VOC &amp; S Gases'!A61)</f>
        <v/>
      </c>
      <c r="B425" s="1259"/>
      <c r="C425" s="1321" t="str">
        <f>IF(C$371="","",('VOC &amp; S Gases'!$Q61&amp;signum2('VOC &amp; S Gases'!R61,SigFig1,SigFig2,'VOC &amp; S Gases'!$Q61)))</f>
        <v/>
      </c>
      <c r="D425" s="1273" t="str">
        <f>IF(C$371="","",('VOC &amp; S Gases'!$Q61&amp;signum2('VOC &amp; S Gases'!S61,SigFig1,SigFig2,'VOC &amp; S Gases'!$Q61)))</f>
        <v/>
      </c>
      <c r="E425" s="1322" t="str">
        <f>IF(C$371="","",(IF(C425="","",LessThan('VOC &amp; S Gases'!Q61,VND))&amp;SigNum3('VOC &amp; S Gases'!T61,SigFig1,SigFig2,'VOC &amp; S Gases'!Q61)))</f>
        <v/>
      </c>
      <c r="F425" s="1321" t="str">
        <f>IF(F$371="","",('VOC &amp; S Gases'!$D61&amp;signum2('VOC &amp; S Gases'!H61,SigFig1,SigFig2,'VOC &amp; S Gases'!$D61)))</f>
        <v/>
      </c>
      <c r="G425" s="1273" t="str">
        <f>IF(F$371="","",('VOC &amp; S Gases'!$D61&amp;signum2('VOC &amp; S Gases'!J61,SigFig1,SigFig2,'VOC &amp; S Gases'!$D61)))</f>
        <v/>
      </c>
      <c r="H425" s="1322" t="str">
        <f>IF(F$371="","",(IF(F425="","",LessThan('VOC &amp; S Gases'!D61,VND))&amp;SigNum3('VOC &amp; S Gases'!K61,SigFig1,SigFig2,'VOC &amp; S Gases'!D61)))</f>
        <v/>
      </c>
      <c r="I425" s="1321" t="str">
        <f>IF(I$371="","",('VOC &amp; S Gases'!$F61&amp;signum2('VOC &amp; S Gases'!L61,SigFig1,SigFig2,'VOC &amp; S Gases'!$F61)))</f>
        <v/>
      </c>
      <c r="J425" s="1273" t="str">
        <f>IF(I$371="","",('VOC &amp; S Gases'!$F61&amp;signum2('VOC &amp; S Gases'!N61,SigFig1,SigFig2,'VOC &amp; S Gases'!$F61)))</f>
        <v/>
      </c>
      <c r="K425" s="1322" t="str">
        <f>IF(I$371="","",(IF(I425="","",LessThan('VOC &amp; S Gases'!F61,VND))&amp;SigNum3('VOC &amp; S Gases'!O61,SigFig1,SigFig2,'VOC &amp; S Gases'!F61)))</f>
        <v/>
      </c>
      <c r="L425" s="1321"/>
      <c r="M425" s="1322"/>
      <c r="N425" s="1272"/>
      <c r="O425" s="1319">
        <f t="shared" si="20"/>
        <v>0</v>
      </c>
      <c r="P425" s="1319">
        <f t="shared" si="21"/>
        <v>0</v>
      </c>
    </row>
    <row r="426" spans="1:16" hidden="1">
      <c r="A426" s="1267" t="str">
        <f>IF(AND('VOC &amp; S Gases'!E62="",'VOC &amp; S Gases'!G62=""),"",'VOC &amp; S Gases'!A62)</f>
        <v/>
      </c>
      <c r="B426" s="1259"/>
      <c r="C426" s="1321" t="str">
        <f>IF(C$371="","",('VOC &amp; S Gases'!$Q62&amp;signum2('VOC &amp; S Gases'!R62,SigFig1,SigFig2,'VOC &amp; S Gases'!$Q62)))</f>
        <v/>
      </c>
      <c r="D426" s="1273" t="str">
        <f>IF(C$371="","",('VOC &amp; S Gases'!$Q62&amp;signum2('VOC &amp; S Gases'!S62,SigFig1,SigFig2,'VOC &amp; S Gases'!$Q62)))</f>
        <v/>
      </c>
      <c r="E426" s="1322" t="str">
        <f>IF(C$371="","",(IF(C426="","",LessThan('VOC &amp; S Gases'!Q62,VND))&amp;SigNum3('VOC &amp; S Gases'!T62,SigFig1,SigFig2,'VOC &amp; S Gases'!Q62)))</f>
        <v/>
      </c>
      <c r="F426" s="1321" t="str">
        <f>IF(F$371="","",('VOC &amp; S Gases'!$D62&amp;signum2('VOC &amp; S Gases'!H62,SigFig1,SigFig2,'VOC &amp; S Gases'!$D62)))</f>
        <v/>
      </c>
      <c r="G426" s="1273" t="str">
        <f>IF(F$371="","",('VOC &amp; S Gases'!$D62&amp;signum2('VOC &amp; S Gases'!J62,SigFig1,SigFig2,'VOC &amp; S Gases'!$D62)))</f>
        <v/>
      </c>
      <c r="H426" s="1322" t="str">
        <f>IF(F$371="","",(IF(F426="","",LessThan('VOC &amp; S Gases'!D62,VND))&amp;SigNum3('VOC &amp; S Gases'!K62,SigFig1,SigFig2,'VOC &amp; S Gases'!D62)))</f>
        <v/>
      </c>
      <c r="I426" s="1321" t="str">
        <f>IF(I$371="","",('VOC &amp; S Gases'!$F62&amp;signum2('VOC &amp; S Gases'!L62,SigFig1,SigFig2,'VOC &amp; S Gases'!$F62)))</f>
        <v/>
      </c>
      <c r="J426" s="1273" t="str">
        <f>IF(I$371="","",('VOC &amp; S Gases'!$F62&amp;signum2('VOC &amp; S Gases'!N62,SigFig1,SigFig2,'VOC &amp; S Gases'!$F62)))</f>
        <v/>
      </c>
      <c r="K426" s="1322" t="str">
        <f>IF(I$371="","",(IF(I426="","",LessThan('VOC &amp; S Gases'!F62,VND))&amp;SigNum3('VOC &amp; S Gases'!O62,SigFig1,SigFig2,'VOC &amp; S Gases'!F62)))</f>
        <v/>
      </c>
      <c r="L426" s="1321"/>
      <c r="M426" s="1322"/>
      <c r="N426" s="1272"/>
      <c r="O426" s="1319">
        <f t="shared" si="20"/>
        <v>0</v>
      </c>
      <c r="P426" s="1319">
        <f t="shared" si="21"/>
        <v>0</v>
      </c>
    </row>
    <row r="427" spans="1:16" hidden="1">
      <c r="A427" s="1267" t="str">
        <f>IF(AND('VOC &amp; S Gases'!E63="",'VOC &amp; S Gases'!G63=""),"",'VOC &amp; S Gases'!A63)</f>
        <v/>
      </c>
      <c r="B427" s="1259"/>
      <c r="C427" s="1321" t="str">
        <f>IF(C$371="","",('VOC &amp; S Gases'!$Q63&amp;signum2('VOC &amp; S Gases'!R63,SigFig1,SigFig2,'VOC &amp; S Gases'!$Q63)))</f>
        <v/>
      </c>
      <c r="D427" s="1273" t="str">
        <f>IF(C$371="","",('VOC &amp; S Gases'!$Q63&amp;signum2('VOC &amp; S Gases'!S63,SigFig1,SigFig2,'VOC &amp; S Gases'!$Q63)))</f>
        <v/>
      </c>
      <c r="E427" s="1322" t="str">
        <f>IF(C$371="","",(IF(C427="","",LessThan('VOC &amp; S Gases'!Q63,VND))&amp;SigNum3('VOC &amp; S Gases'!T63,SigFig1,SigFig2,'VOC &amp; S Gases'!Q63)))</f>
        <v/>
      </c>
      <c r="F427" s="1321" t="str">
        <f>IF(F$371="","",('VOC &amp; S Gases'!$D63&amp;signum2('VOC &amp; S Gases'!H63,SigFig1,SigFig2,'VOC &amp; S Gases'!$D63)))</f>
        <v/>
      </c>
      <c r="G427" s="1273" t="str">
        <f>IF(F$371="","",('VOC &amp; S Gases'!$D63&amp;signum2('VOC &amp; S Gases'!J63,SigFig1,SigFig2,'VOC &amp; S Gases'!$D63)))</f>
        <v/>
      </c>
      <c r="H427" s="1322" t="str">
        <f>IF(F$371="","",(IF(F427="","",LessThan('VOC &amp; S Gases'!D63,VND))&amp;SigNum3('VOC &amp; S Gases'!K63,SigFig1,SigFig2,'VOC &amp; S Gases'!D63)))</f>
        <v/>
      </c>
      <c r="I427" s="1321" t="str">
        <f>IF(I$371="","",('VOC &amp; S Gases'!$F63&amp;signum2('VOC &amp; S Gases'!L63,SigFig1,SigFig2,'VOC &amp; S Gases'!$F63)))</f>
        <v/>
      </c>
      <c r="J427" s="1273" t="str">
        <f>IF(I$371="","",('VOC &amp; S Gases'!$F63&amp;signum2('VOC &amp; S Gases'!N63,SigFig1,SigFig2,'VOC &amp; S Gases'!$F63)))</f>
        <v/>
      </c>
      <c r="K427" s="1322" t="str">
        <f>IF(I$371="","",(IF(I427="","",LessThan('VOC &amp; S Gases'!F63,VND))&amp;SigNum3('VOC &amp; S Gases'!O63,SigFig1,SigFig2,'VOC &amp; S Gases'!F63)))</f>
        <v/>
      </c>
      <c r="L427" s="1321"/>
      <c r="M427" s="1322"/>
      <c r="N427" s="1272"/>
      <c r="O427" s="1319">
        <f t="shared" si="20"/>
        <v>0</v>
      </c>
      <c r="P427" s="1319">
        <f t="shared" si="21"/>
        <v>0</v>
      </c>
    </row>
    <row r="428" spans="1:16" hidden="1">
      <c r="A428" s="1267" t="str">
        <f>IF(AND('VOC &amp; S Gases'!E64="",'VOC &amp; S Gases'!G64=""),"",'VOC &amp; S Gases'!A64)</f>
        <v/>
      </c>
      <c r="B428" s="1259"/>
      <c r="C428" s="1321" t="str">
        <f>IF(C$371="","",('VOC &amp; S Gases'!$Q64&amp;signum2('VOC &amp; S Gases'!R64,SigFig1,SigFig2,'VOC &amp; S Gases'!$Q64)))</f>
        <v/>
      </c>
      <c r="D428" s="1273" t="str">
        <f>IF(C$371="","",('VOC &amp; S Gases'!$Q64&amp;signum2('VOC &amp; S Gases'!S64,SigFig1,SigFig2,'VOC &amp; S Gases'!$Q64)))</f>
        <v/>
      </c>
      <c r="E428" s="1322" t="str">
        <f>IF(C$371="","",(IF(C428="","",LessThan('VOC &amp; S Gases'!Q64,VND))&amp;SigNum3('VOC &amp; S Gases'!T64,SigFig1,SigFig2,'VOC &amp; S Gases'!Q64)))</f>
        <v/>
      </c>
      <c r="F428" s="1321" t="str">
        <f>IF(F$371="","",('VOC &amp; S Gases'!$D64&amp;signum2('VOC &amp; S Gases'!H64,SigFig1,SigFig2,'VOC &amp; S Gases'!$D64)))</f>
        <v/>
      </c>
      <c r="G428" s="1273" t="str">
        <f>IF(F$371="","",('VOC &amp; S Gases'!$D64&amp;signum2('VOC &amp; S Gases'!J64,SigFig1,SigFig2,'VOC &amp; S Gases'!$D64)))</f>
        <v/>
      </c>
      <c r="H428" s="1322" t="str">
        <f>IF(F$371="","",(IF(F428="","",LessThan('VOC &amp; S Gases'!D64,VND))&amp;SigNum3('VOC &amp; S Gases'!K64,SigFig1,SigFig2,'VOC &amp; S Gases'!D64)))</f>
        <v/>
      </c>
      <c r="I428" s="1321" t="str">
        <f>IF(I$371="","",('VOC &amp; S Gases'!$F64&amp;signum2('VOC &amp; S Gases'!L64,SigFig1,SigFig2,'VOC &amp; S Gases'!$F64)))</f>
        <v/>
      </c>
      <c r="J428" s="1273" t="str">
        <f>IF(I$371="","",('VOC &amp; S Gases'!$F64&amp;signum2('VOC &amp; S Gases'!N64,SigFig1,SigFig2,'VOC &amp; S Gases'!$F64)))</f>
        <v/>
      </c>
      <c r="K428" s="1322" t="str">
        <f>IF(I$371="","",(IF(I428="","",LessThan('VOC &amp; S Gases'!F64,VND))&amp;SigNum3('VOC &amp; S Gases'!O64,SigFig1,SigFig2,'VOC &amp; S Gases'!F64)))</f>
        <v/>
      </c>
      <c r="L428" s="1321"/>
      <c r="M428" s="1322"/>
      <c r="N428" s="1272"/>
      <c r="O428" s="1319">
        <f t="shared" si="20"/>
        <v>0</v>
      </c>
      <c r="P428" s="1319">
        <f t="shared" si="21"/>
        <v>0</v>
      </c>
    </row>
    <row r="429" spans="1:16" hidden="1">
      <c r="A429" s="1267" t="str">
        <f>IF(AND('VOC &amp; S Gases'!E65="",'VOC &amp; S Gases'!G65=""),"",'VOC &amp; S Gases'!A65)</f>
        <v/>
      </c>
      <c r="B429" s="1259"/>
      <c r="C429" s="1321" t="str">
        <f>IF(C$371="","",('VOC &amp; S Gases'!$Q65&amp;signum2('VOC &amp; S Gases'!R65,SigFig1,SigFig2,'VOC &amp; S Gases'!$Q65)))</f>
        <v/>
      </c>
      <c r="D429" s="1273" t="str">
        <f>IF(C$371="","",('VOC &amp; S Gases'!$Q65&amp;signum2('VOC &amp; S Gases'!S65,SigFig1,SigFig2,'VOC &amp; S Gases'!$Q65)))</f>
        <v/>
      </c>
      <c r="E429" s="1322" t="str">
        <f>IF(C$371="","",(IF(C429="","",LessThan('VOC &amp; S Gases'!Q65,VND))&amp;SigNum3('VOC &amp; S Gases'!T65,SigFig1,SigFig2,'VOC &amp; S Gases'!Q65)))</f>
        <v/>
      </c>
      <c r="F429" s="1321" t="str">
        <f>IF(F$371="","",('VOC &amp; S Gases'!$D65&amp;signum2('VOC &amp; S Gases'!H65,SigFig1,SigFig2,'VOC &amp; S Gases'!$D65)))</f>
        <v/>
      </c>
      <c r="G429" s="1273" t="str">
        <f>IF(F$371="","",('VOC &amp; S Gases'!$D65&amp;signum2('VOC &amp; S Gases'!J65,SigFig1,SigFig2,'VOC &amp; S Gases'!$D65)))</f>
        <v/>
      </c>
      <c r="H429" s="1322" t="str">
        <f>IF(F$371="","",(IF(F429="","",LessThan('VOC &amp; S Gases'!D65,VND))&amp;SigNum3('VOC &amp; S Gases'!K65,SigFig1,SigFig2,'VOC &amp; S Gases'!D65)))</f>
        <v/>
      </c>
      <c r="I429" s="1321" t="str">
        <f>IF(I$371="","",('VOC &amp; S Gases'!$F65&amp;signum2('VOC &amp; S Gases'!L65,SigFig1,SigFig2,'VOC &amp; S Gases'!$F65)))</f>
        <v/>
      </c>
      <c r="J429" s="1273" t="str">
        <f>IF(I$371="","",('VOC &amp; S Gases'!$F65&amp;signum2('VOC &amp; S Gases'!N65,SigFig1,SigFig2,'VOC &amp; S Gases'!$F65)))</f>
        <v/>
      </c>
      <c r="K429" s="1322" t="str">
        <f>IF(I$371="","",(IF(I429="","",LessThan('VOC &amp; S Gases'!F65,VND))&amp;SigNum3('VOC &amp; S Gases'!O65,SigFig1,SigFig2,'VOC &amp; S Gases'!F65)))</f>
        <v/>
      </c>
      <c r="L429" s="1321"/>
      <c r="M429" s="1322"/>
      <c r="N429" s="1272"/>
      <c r="O429" s="1319">
        <f t="shared" si="20"/>
        <v>0</v>
      </c>
      <c r="P429" s="1319">
        <f t="shared" si="21"/>
        <v>0</v>
      </c>
    </row>
    <row r="430" spans="1:16" hidden="1">
      <c r="A430" s="1267" t="str">
        <f>IF(AND('VOC &amp; S Gases'!E66="",'VOC &amp; S Gases'!G66=""),"",'VOC &amp; S Gases'!A66)</f>
        <v/>
      </c>
      <c r="B430" s="1259"/>
      <c r="C430" s="1321" t="str">
        <f>IF(C$371="","",('VOC &amp; S Gases'!$Q66&amp;signum2('VOC &amp; S Gases'!R66,SigFig1,SigFig2,'VOC &amp; S Gases'!$Q66)))</f>
        <v/>
      </c>
      <c r="D430" s="1273" t="str">
        <f>IF(C$371="","",('VOC &amp; S Gases'!$Q66&amp;signum2('VOC &amp; S Gases'!S66,SigFig1,SigFig2,'VOC &amp; S Gases'!$Q66)))</f>
        <v/>
      </c>
      <c r="E430" s="1322" t="str">
        <f>IF(C$371="","",(IF(C430="","",LessThan('VOC &amp; S Gases'!Q66,VND))&amp;SigNum3('VOC &amp; S Gases'!T66,SigFig1,SigFig2,'VOC &amp; S Gases'!Q66)))</f>
        <v/>
      </c>
      <c r="F430" s="1321" t="str">
        <f>IF(F$371="","",('VOC &amp; S Gases'!$D66&amp;signum2('VOC &amp; S Gases'!H66,SigFig1,SigFig2,'VOC &amp; S Gases'!$D66)))</f>
        <v/>
      </c>
      <c r="G430" s="1273" t="str">
        <f>IF(F$371="","",('VOC &amp; S Gases'!$D66&amp;signum2('VOC &amp; S Gases'!J66,SigFig1,SigFig2,'VOC &amp; S Gases'!$D66)))</f>
        <v/>
      </c>
      <c r="H430" s="1322" t="str">
        <f>IF(F$371="","",(IF(F430="","",LessThan('VOC &amp; S Gases'!D66,VND))&amp;SigNum3('VOC &amp; S Gases'!K66,SigFig1,SigFig2,'VOC &amp; S Gases'!D66)))</f>
        <v/>
      </c>
      <c r="I430" s="1321" t="str">
        <f>IF(I$371="","",('VOC &amp; S Gases'!$F66&amp;signum2('VOC &amp; S Gases'!L66,SigFig1,SigFig2,'VOC &amp; S Gases'!$F66)))</f>
        <v/>
      </c>
      <c r="J430" s="1273" t="str">
        <f>IF(I$371="","",('VOC &amp; S Gases'!$F66&amp;signum2('VOC &amp; S Gases'!N66,SigFig1,SigFig2,'VOC &amp; S Gases'!$F66)))</f>
        <v/>
      </c>
      <c r="K430" s="1322" t="str">
        <f>IF(I$371="","",(IF(I430="","",LessThan('VOC &amp; S Gases'!F66,VND))&amp;SigNum3('VOC &amp; S Gases'!O66,SigFig1,SigFig2,'VOC &amp; S Gases'!F66)))</f>
        <v/>
      </c>
      <c r="L430" s="1321"/>
      <c r="M430" s="1322"/>
      <c r="N430" s="1272"/>
      <c r="O430" s="1319">
        <f t="shared" si="20"/>
        <v>0</v>
      </c>
      <c r="P430" s="1319">
        <f t="shared" si="21"/>
        <v>0</v>
      </c>
    </row>
    <row r="431" spans="1:16" hidden="1">
      <c r="A431" s="1267" t="str">
        <f>IF(AND('VOC &amp; S Gases'!E67="",'VOC &amp; S Gases'!G67=""),"",'VOC &amp; S Gases'!A67)</f>
        <v/>
      </c>
      <c r="B431" s="1259"/>
      <c r="C431" s="1321" t="str">
        <f>IF(C$371="","",('VOC &amp; S Gases'!$Q67&amp;signum2('VOC &amp; S Gases'!R67,SigFig1,SigFig2,'VOC &amp; S Gases'!$Q67)))</f>
        <v/>
      </c>
      <c r="D431" s="1273" t="str">
        <f>IF(C$371="","",('VOC &amp; S Gases'!$Q67&amp;signum2('VOC &amp; S Gases'!S67,SigFig1,SigFig2,'VOC &amp; S Gases'!$Q67)))</f>
        <v/>
      </c>
      <c r="E431" s="1322" t="str">
        <f>IF(C$371="","",(IF(C431="","",LessThan('VOC &amp; S Gases'!Q67,VND))&amp;SigNum3('VOC &amp; S Gases'!T67,SigFig1,SigFig2,'VOC &amp; S Gases'!Q67)))</f>
        <v/>
      </c>
      <c r="F431" s="1321" t="str">
        <f>IF(F$371="","",('VOC &amp; S Gases'!$D67&amp;signum2('VOC &amp; S Gases'!H67,SigFig1,SigFig2,'VOC &amp; S Gases'!$D67)))</f>
        <v/>
      </c>
      <c r="G431" s="1273" t="str">
        <f>IF(F$371="","",('VOC &amp; S Gases'!$D67&amp;signum2('VOC &amp; S Gases'!J67,SigFig1,SigFig2,'VOC &amp; S Gases'!$D67)))</f>
        <v/>
      </c>
      <c r="H431" s="1322" t="str">
        <f>IF(F$371="","",(IF(F431="","",LessThan('VOC &amp; S Gases'!D67,VND))&amp;SigNum3('VOC &amp; S Gases'!K67,SigFig1,SigFig2,'VOC &amp; S Gases'!D67)))</f>
        <v/>
      </c>
      <c r="I431" s="1321" t="str">
        <f>IF(I$371="","",('VOC &amp; S Gases'!$F67&amp;signum2('VOC &amp; S Gases'!L67,SigFig1,SigFig2,'VOC &amp; S Gases'!$F67)))</f>
        <v/>
      </c>
      <c r="J431" s="1273" t="str">
        <f>IF(I$371="","",('VOC &amp; S Gases'!$F67&amp;signum2('VOC &amp; S Gases'!N67,SigFig1,SigFig2,'VOC &amp; S Gases'!$F67)))</f>
        <v/>
      </c>
      <c r="K431" s="1322" t="str">
        <f>IF(I$371="","",(IF(I431="","",LessThan('VOC &amp; S Gases'!F67,VND))&amp;SigNum3('VOC &amp; S Gases'!O67,SigFig1,SigFig2,'VOC &amp; S Gases'!F67)))</f>
        <v/>
      </c>
      <c r="L431" s="1321"/>
      <c r="M431" s="1322"/>
      <c r="N431" s="1272"/>
      <c r="O431" s="1319">
        <f t="shared" si="20"/>
        <v>0</v>
      </c>
      <c r="P431" s="1319">
        <f t="shared" si="21"/>
        <v>0</v>
      </c>
    </row>
    <row r="432" spans="1:16" hidden="1">
      <c r="A432" s="1267" t="str">
        <f>IF(AND('VOC &amp; S Gases'!E68="",'VOC &amp; S Gases'!G68=""),"",'VOC &amp; S Gases'!A68)</f>
        <v/>
      </c>
      <c r="B432" s="1259"/>
      <c r="C432" s="1321" t="str">
        <f>IF(C$371="","",('VOC &amp; S Gases'!$Q68&amp;signum2('VOC &amp; S Gases'!R68,SigFig1,SigFig2,'VOC &amp; S Gases'!$Q68)))</f>
        <v/>
      </c>
      <c r="D432" s="1273" t="str">
        <f>IF(C$371="","",('VOC &amp; S Gases'!$Q68&amp;signum2('VOC &amp; S Gases'!S68,SigFig1,SigFig2,'VOC &amp; S Gases'!$Q68)))</f>
        <v/>
      </c>
      <c r="E432" s="1322" t="str">
        <f>IF(C$371="","",(IF(C432="","",LessThan('VOC &amp; S Gases'!Q68,VND))&amp;SigNum3('VOC &amp; S Gases'!T68,SigFig1,SigFig2,'VOC &amp; S Gases'!Q68)))</f>
        <v/>
      </c>
      <c r="F432" s="1321" t="str">
        <f>IF(F$371="","",('VOC &amp; S Gases'!$D68&amp;signum2('VOC &amp; S Gases'!H68,SigFig1,SigFig2,'VOC &amp; S Gases'!$D68)))</f>
        <v/>
      </c>
      <c r="G432" s="1273" t="str">
        <f>IF(F$371="","",('VOC &amp; S Gases'!$D68&amp;signum2('VOC &amp; S Gases'!J68,SigFig1,SigFig2,'VOC &amp; S Gases'!$D68)))</f>
        <v/>
      </c>
      <c r="H432" s="1322" t="str">
        <f>IF(F$371="","",(IF(F432="","",LessThan('VOC &amp; S Gases'!D68,VND))&amp;SigNum3('VOC &amp; S Gases'!K68,SigFig1,SigFig2,'VOC &amp; S Gases'!D68)))</f>
        <v/>
      </c>
      <c r="I432" s="1321" t="str">
        <f>IF(I$371="","",('VOC &amp; S Gases'!$F68&amp;signum2('VOC &amp; S Gases'!L68,SigFig1,SigFig2,'VOC &amp; S Gases'!$F68)))</f>
        <v/>
      </c>
      <c r="J432" s="1273" t="str">
        <f>IF(I$371="","",('VOC &amp; S Gases'!$F68&amp;signum2('VOC &amp; S Gases'!N68,SigFig1,SigFig2,'VOC &amp; S Gases'!$F68)))</f>
        <v/>
      </c>
      <c r="K432" s="1322" t="str">
        <f>IF(I$371="","",(IF(I432="","",LessThan('VOC &amp; S Gases'!F68,VND))&amp;SigNum3('VOC &amp; S Gases'!O68,SigFig1,SigFig2,'VOC &amp; S Gases'!F68)))</f>
        <v/>
      </c>
      <c r="L432" s="1321"/>
      <c r="M432" s="1322"/>
      <c r="N432" s="1272"/>
      <c r="O432" s="1319">
        <f t="shared" si="20"/>
        <v>0</v>
      </c>
      <c r="P432" s="1319">
        <f t="shared" si="21"/>
        <v>0</v>
      </c>
    </row>
    <row r="433" spans="1:16" hidden="1">
      <c r="A433" s="1267" t="str">
        <f>IF(AND('VOC &amp; S Gases'!E69="",'VOC &amp; S Gases'!G69=""),"",'VOC &amp; S Gases'!A69)</f>
        <v/>
      </c>
      <c r="B433" s="1259"/>
      <c r="C433" s="1321" t="str">
        <f>IF(C$371="","",('VOC &amp; S Gases'!$Q69&amp;signum2('VOC &amp; S Gases'!R69,SigFig1,SigFig2,'VOC &amp; S Gases'!$Q69)))</f>
        <v/>
      </c>
      <c r="D433" s="1273" t="str">
        <f>IF(C$371="","",('VOC &amp; S Gases'!$Q69&amp;signum2('VOC &amp; S Gases'!S69,SigFig1,SigFig2,'VOC &amp; S Gases'!$Q69)))</f>
        <v/>
      </c>
      <c r="E433" s="1322" t="str">
        <f>IF(C$371="","",(IF(C433="","",LessThan('VOC &amp; S Gases'!Q69,VND))&amp;SigNum3('VOC &amp; S Gases'!T69,SigFig1,SigFig2,'VOC &amp; S Gases'!Q69)))</f>
        <v/>
      </c>
      <c r="F433" s="1321" t="str">
        <f>IF(F$371="","",('VOC &amp; S Gases'!$D69&amp;signum2('VOC &amp; S Gases'!H69,SigFig1,SigFig2,'VOC &amp; S Gases'!$D69)))</f>
        <v/>
      </c>
      <c r="G433" s="1273" t="str">
        <f>IF(F$371="","",('VOC &amp; S Gases'!$D69&amp;signum2('VOC &amp; S Gases'!J69,SigFig1,SigFig2,'VOC &amp; S Gases'!$D69)))</f>
        <v/>
      </c>
      <c r="H433" s="1322" t="str">
        <f>IF(F$371="","",(IF(F433="","",LessThan('VOC &amp; S Gases'!D69,VND))&amp;SigNum3('VOC &amp; S Gases'!K69,SigFig1,SigFig2,'VOC &amp; S Gases'!D69)))</f>
        <v/>
      </c>
      <c r="I433" s="1321" t="str">
        <f>IF(I$371="","",('VOC &amp; S Gases'!$F69&amp;signum2('VOC &amp; S Gases'!L69,SigFig1,SigFig2,'VOC &amp; S Gases'!$F69)))</f>
        <v/>
      </c>
      <c r="J433" s="1273" t="str">
        <f>IF(I$371="","",('VOC &amp; S Gases'!$F69&amp;signum2('VOC &amp; S Gases'!N69,SigFig1,SigFig2,'VOC &amp; S Gases'!$F69)))</f>
        <v/>
      </c>
      <c r="K433" s="1322" t="str">
        <f>IF(I$371="","",(IF(I433="","",LessThan('VOC &amp; S Gases'!F69,VND))&amp;SigNum3('VOC &amp; S Gases'!O69,SigFig1,SigFig2,'VOC &amp; S Gases'!F69)))</f>
        <v/>
      </c>
      <c r="L433" s="1321"/>
      <c r="M433" s="1322"/>
      <c r="N433" s="1272"/>
      <c r="O433" s="1319">
        <f t="shared" si="20"/>
        <v>0</v>
      </c>
      <c r="P433" s="1319">
        <f t="shared" si="21"/>
        <v>0</v>
      </c>
    </row>
    <row r="434" spans="1:16" hidden="1">
      <c r="A434" s="1267" t="str">
        <f>IF(AND('VOC &amp; S Gases'!E70="",'VOC &amp; S Gases'!G70=""),"",'VOC &amp; S Gases'!A70)</f>
        <v/>
      </c>
      <c r="B434" s="1259"/>
      <c r="C434" s="1321" t="str">
        <f>IF(C$371="","",('VOC &amp; S Gases'!$Q70&amp;signum2('VOC &amp; S Gases'!R70,SigFig1,SigFig2,'VOC &amp; S Gases'!$Q70)))</f>
        <v/>
      </c>
      <c r="D434" s="1273" t="str">
        <f>IF(C$371="","",('VOC &amp; S Gases'!$Q70&amp;signum2('VOC &amp; S Gases'!S70,SigFig1,SigFig2,'VOC &amp; S Gases'!$Q70)))</f>
        <v/>
      </c>
      <c r="E434" s="1322" t="str">
        <f>IF(C$371="","",(IF(C434="","",LessThan('VOC &amp; S Gases'!Q70,VND))&amp;SigNum3('VOC &amp; S Gases'!T70,SigFig1,SigFig2,'VOC &amp; S Gases'!Q70)))</f>
        <v/>
      </c>
      <c r="F434" s="1321" t="str">
        <f>IF(F$371="","",('VOC &amp; S Gases'!$D70&amp;signum2('VOC &amp; S Gases'!H70,SigFig1,SigFig2,'VOC &amp; S Gases'!$D70)))</f>
        <v/>
      </c>
      <c r="G434" s="1273" t="str">
        <f>IF(F$371="","",('VOC &amp; S Gases'!$D70&amp;signum2('VOC &amp; S Gases'!J70,SigFig1,SigFig2,'VOC &amp; S Gases'!$D70)))</f>
        <v/>
      </c>
      <c r="H434" s="1322" t="str">
        <f>IF(F$371="","",(IF(F434="","",LessThan('VOC &amp; S Gases'!D70,VND))&amp;SigNum3('VOC &amp; S Gases'!K70,SigFig1,SigFig2,'VOC &amp; S Gases'!D70)))</f>
        <v/>
      </c>
      <c r="I434" s="1321" t="str">
        <f>IF(I$371="","",('VOC &amp; S Gases'!$F70&amp;signum2('VOC &amp; S Gases'!L70,SigFig1,SigFig2,'VOC &amp; S Gases'!$F70)))</f>
        <v/>
      </c>
      <c r="J434" s="1273" t="str">
        <f>IF(I$371="","",('VOC &amp; S Gases'!$F70&amp;signum2('VOC &amp; S Gases'!N70,SigFig1,SigFig2,'VOC &amp; S Gases'!$F70)))</f>
        <v/>
      </c>
      <c r="K434" s="1322" t="str">
        <f>IF(I$371="","",(IF(I434="","",LessThan('VOC &amp; S Gases'!F70,VND))&amp;SigNum3('VOC &amp; S Gases'!O70,SigFig1,SigFig2,'VOC &amp; S Gases'!F70)))</f>
        <v/>
      </c>
      <c r="L434" s="1321"/>
      <c r="M434" s="1322"/>
      <c r="N434" s="1272"/>
      <c r="O434" s="1319">
        <f t="shared" si="20"/>
        <v>0</v>
      </c>
      <c r="P434" s="1319">
        <f t="shared" si="21"/>
        <v>0</v>
      </c>
    </row>
    <row r="435" spans="1:16" hidden="1">
      <c r="A435" s="1267" t="str">
        <f>IF(AND('VOC &amp; S Gases'!E71="",'VOC &amp; S Gases'!G71=""),"",'VOC &amp; S Gases'!A71)</f>
        <v/>
      </c>
      <c r="B435" s="1259"/>
      <c r="C435" s="1321" t="str">
        <f>IF(C$371="","",('VOC &amp; S Gases'!$Q71&amp;signum2('VOC &amp; S Gases'!R71,SigFig1,SigFig2,'VOC &amp; S Gases'!$Q71)))</f>
        <v/>
      </c>
      <c r="D435" s="1273" t="str">
        <f>IF(C$371="","",('VOC &amp; S Gases'!$Q71&amp;signum2('VOC &amp; S Gases'!S71,SigFig1,SigFig2,'VOC &amp; S Gases'!$Q71)))</f>
        <v/>
      </c>
      <c r="E435" s="1322" t="str">
        <f>IF(C$371="","",(IF(C435="","",LessThan('VOC &amp; S Gases'!Q71,VND))&amp;SigNum3('VOC &amp; S Gases'!T71,SigFig1,SigFig2,'VOC &amp; S Gases'!Q71)))</f>
        <v/>
      </c>
      <c r="F435" s="1321" t="str">
        <f>IF(F$371="","",('VOC &amp; S Gases'!$D71&amp;signum2('VOC &amp; S Gases'!H71,SigFig1,SigFig2,'VOC &amp; S Gases'!$D71)))</f>
        <v/>
      </c>
      <c r="G435" s="1273" t="str">
        <f>IF(F$371="","",('VOC &amp; S Gases'!$D71&amp;signum2('VOC &amp; S Gases'!J71,SigFig1,SigFig2,'VOC &amp; S Gases'!$D71)))</f>
        <v/>
      </c>
      <c r="H435" s="1322" t="str">
        <f>IF(F$371="","",(IF(F435="","",LessThan('VOC &amp; S Gases'!D71,VND))&amp;SigNum3('VOC &amp; S Gases'!K71,SigFig1,SigFig2,'VOC &amp; S Gases'!D71)))</f>
        <v/>
      </c>
      <c r="I435" s="1321" t="str">
        <f>IF(I$371="","",('VOC &amp; S Gases'!$F71&amp;signum2('VOC &amp; S Gases'!L71,SigFig1,SigFig2,'VOC &amp; S Gases'!$F71)))</f>
        <v/>
      </c>
      <c r="J435" s="1273" t="str">
        <f>IF(I$371="","",('VOC &amp; S Gases'!$F71&amp;signum2('VOC &amp; S Gases'!N71,SigFig1,SigFig2,'VOC &amp; S Gases'!$F71)))</f>
        <v/>
      </c>
      <c r="K435" s="1322" t="str">
        <f>IF(I$371="","",(IF(I435="","",LessThan('VOC &amp; S Gases'!F71,VND))&amp;SigNum3('VOC &amp; S Gases'!O71,SigFig1,SigFig2,'VOC &amp; S Gases'!F71)))</f>
        <v/>
      </c>
      <c r="L435" s="1321"/>
      <c r="M435" s="1322"/>
      <c r="N435" s="1272"/>
      <c r="O435" s="1319">
        <f t="shared" si="20"/>
        <v>0</v>
      </c>
      <c r="P435" s="1319">
        <f t="shared" si="21"/>
        <v>0</v>
      </c>
    </row>
    <row r="436" spans="1:16" hidden="1">
      <c r="A436" s="1267" t="str">
        <f>IF(AND('VOC &amp; S Gases'!E72="",'VOC &amp; S Gases'!G72=""),"",'VOC &amp; S Gases'!A72)</f>
        <v/>
      </c>
      <c r="B436" s="1259"/>
      <c r="C436" s="1321" t="str">
        <f>IF(C$371="","",('VOC &amp; S Gases'!$Q72&amp;signum2('VOC &amp; S Gases'!R72,SigFig1,SigFig2,'VOC &amp; S Gases'!$Q72)))</f>
        <v/>
      </c>
      <c r="D436" s="1273" t="str">
        <f>IF(C$371="","",('VOC &amp; S Gases'!$Q72&amp;signum2('VOC &amp; S Gases'!S72,SigFig1,SigFig2,'VOC &amp; S Gases'!$Q72)))</f>
        <v/>
      </c>
      <c r="E436" s="1322" t="str">
        <f>IF(C$371="","",(IF(C436="","",LessThan('VOC &amp; S Gases'!Q72,VND))&amp;SigNum3('VOC &amp; S Gases'!T72,SigFig1,SigFig2,'VOC &amp; S Gases'!Q72)))</f>
        <v/>
      </c>
      <c r="F436" s="1321" t="str">
        <f>IF(F$371="","",('VOC &amp; S Gases'!$D72&amp;signum2('VOC &amp; S Gases'!H72,SigFig1,SigFig2,'VOC &amp; S Gases'!$D72)))</f>
        <v/>
      </c>
      <c r="G436" s="1273" t="str">
        <f>IF(F$371="","",('VOC &amp; S Gases'!$D72&amp;signum2('VOC &amp; S Gases'!J72,SigFig1,SigFig2,'VOC &amp; S Gases'!$D72)))</f>
        <v/>
      </c>
      <c r="H436" s="1322" t="str">
        <f>IF(F$371="","",(IF(F436="","",LessThan('VOC &amp; S Gases'!D72,VND))&amp;SigNum3('VOC &amp; S Gases'!K72,SigFig1,SigFig2,'VOC &amp; S Gases'!D72)))</f>
        <v/>
      </c>
      <c r="I436" s="1321" t="str">
        <f>IF(I$371="","",('VOC &amp; S Gases'!$F72&amp;signum2('VOC &amp; S Gases'!L72,SigFig1,SigFig2,'VOC &amp; S Gases'!$F72)))</f>
        <v/>
      </c>
      <c r="J436" s="1273" t="str">
        <f>IF(I$371="","",('VOC &amp; S Gases'!$F72&amp;signum2('VOC &amp; S Gases'!N72,SigFig1,SigFig2,'VOC &amp; S Gases'!$F72)))</f>
        <v/>
      </c>
      <c r="K436" s="1322" t="str">
        <f>IF(I$371="","",(IF(I436="","",LessThan('VOC &amp; S Gases'!F72,VND))&amp;SigNum3('VOC &amp; S Gases'!O72,SigFig1,SigFig2,'VOC &amp; S Gases'!F72)))</f>
        <v/>
      </c>
      <c r="L436" s="1321"/>
      <c r="M436" s="1322"/>
      <c r="N436" s="1272"/>
      <c r="O436" s="1319">
        <f t="shared" si="20"/>
        <v>0</v>
      </c>
      <c r="P436" s="1319">
        <f t="shared" si="21"/>
        <v>0</v>
      </c>
    </row>
    <row r="437" spans="1:16" hidden="1">
      <c r="A437" s="1267" t="str">
        <f>IF(AND('VOC &amp; S Gases'!E73="",'VOC &amp; S Gases'!G73=""),"",'VOC &amp; S Gases'!A73)</f>
        <v/>
      </c>
      <c r="B437" s="1259"/>
      <c r="C437" s="1321" t="str">
        <f>IF(C$371="","",('VOC &amp; S Gases'!$Q73&amp;signum2('VOC &amp; S Gases'!R73,SigFig1,SigFig2,'VOC &amp; S Gases'!$Q73)))</f>
        <v/>
      </c>
      <c r="D437" s="1273" t="str">
        <f>IF(C$371="","",('VOC &amp; S Gases'!$Q73&amp;signum2('VOC &amp; S Gases'!S73,SigFig1,SigFig2,'VOC &amp; S Gases'!$Q73)))</f>
        <v/>
      </c>
      <c r="E437" s="1322" t="str">
        <f>IF(C$371="","",(IF(C437="","",LessThan('VOC &amp; S Gases'!Q73,VND))&amp;SigNum3('VOC &amp; S Gases'!T73,SigFig1,SigFig2,'VOC &amp; S Gases'!Q73)))</f>
        <v/>
      </c>
      <c r="F437" s="1321" t="str">
        <f>IF(F$371="","",('VOC &amp; S Gases'!$D73&amp;signum2('VOC &amp; S Gases'!H73,SigFig1,SigFig2,'VOC &amp; S Gases'!$D73)))</f>
        <v/>
      </c>
      <c r="G437" s="1273" t="str">
        <f>IF(F$371="","",('VOC &amp; S Gases'!$D73&amp;signum2('VOC &amp; S Gases'!J73,SigFig1,SigFig2,'VOC &amp; S Gases'!$D73)))</f>
        <v/>
      </c>
      <c r="H437" s="1322" t="str">
        <f>IF(F$371="","",(IF(F437="","",LessThan('VOC &amp; S Gases'!D73,VND))&amp;SigNum3('VOC &amp; S Gases'!K73,SigFig1,SigFig2,'VOC &amp; S Gases'!D73)))</f>
        <v/>
      </c>
      <c r="I437" s="1321" t="str">
        <f>IF(I$371="","",('VOC &amp; S Gases'!$F73&amp;signum2('VOC &amp; S Gases'!L73,SigFig1,SigFig2,'VOC &amp; S Gases'!$F73)))</f>
        <v/>
      </c>
      <c r="J437" s="1273" t="str">
        <f>IF(I$371="","",('VOC &amp; S Gases'!$F73&amp;signum2('VOC &amp; S Gases'!N73,SigFig1,SigFig2,'VOC &amp; S Gases'!$F73)))</f>
        <v/>
      </c>
      <c r="K437" s="1322" t="str">
        <f>IF(I$371="","",(IF(I437="","",LessThan('VOC &amp; S Gases'!F73,VND))&amp;SigNum3('VOC &amp; S Gases'!O73,SigFig1,SigFig2,'VOC &amp; S Gases'!F73)))</f>
        <v/>
      </c>
      <c r="L437" s="1321"/>
      <c r="M437" s="1322"/>
      <c r="N437" s="1272"/>
      <c r="O437" s="1319">
        <f t="shared" si="20"/>
        <v>0</v>
      </c>
      <c r="P437" s="1319">
        <f t="shared" si="21"/>
        <v>0</v>
      </c>
    </row>
    <row r="438" spans="1:16" hidden="1">
      <c r="A438" s="1267" t="str">
        <f>IF(AND('VOC &amp; S Gases'!E74="",'VOC &amp; S Gases'!G74=""),"",'VOC &amp; S Gases'!A74)</f>
        <v/>
      </c>
      <c r="B438" s="1259"/>
      <c r="C438" s="1321" t="str">
        <f>IF(C$371="","",('VOC &amp; S Gases'!$Q74&amp;signum2('VOC &amp; S Gases'!R74,SigFig1,SigFig2,'VOC &amp; S Gases'!$Q74)))</f>
        <v/>
      </c>
      <c r="D438" s="1273" t="str">
        <f>IF(C$371="","",('VOC &amp; S Gases'!$Q74&amp;signum2('VOC &amp; S Gases'!S74,SigFig1,SigFig2,'VOC &amp; S Gases'!$Q74)))</f>
        <v/>
      </c>
      <c r="E438" s="1322" t="str">
        <f>IF(C$371="","",(IF(C438="","",LessThan('VOC &amp; S Gases'!Q74,VND))&amp;SigNum3('VOC &amp; S Gases'!T74,SigFig1,SigFig2,'VOC &amp; S Gases'!Q74)))</f>
        <v/>
      </c>
      <c r="F438" s="1321" t="str">
        <f>IF(F$371="","",('VOC &amp; S Gases'!$D74&amp;signum2('VOC &amp; S Gases'!H74,SigFig1,SigFig2,'VOC &amp; S Gases'!$D74)))</f>
        <v/>
      </c>
      <c r="G438" s="1273" t="str">
        <f>IF(F$371="","",('VOC &amp; S Gases'!$D74&amp;signum2('VOC &amp; S Gases'!J74,SigFig1,SigFig2,'VOC &amp; S Gases'!$D74)))</f>
        <v/>
      </c>
      <c r="H438" s="1322" t="str">
        <f>IF(F$371="","",(IF(F438="","",LessThan('VOC &amp; S Gases'!D74,VND))&amp;SigNum3('VOC &amp; S Gases'!K74,SigFig1,SigFig2,'VOC &amp; S Gases'!D74)))</f>
        <v/>
      </c>
      <c r="I438" s="1321" t="str">
        <f>IF(I$371="","",('VOC &amp; S Gases'!$F74&amp;signum2('VOC &amp; S Gases'!L74,SigFig1,SigFig2,'VOC &amp; S Gases'!$F74)))</f>
        <v/>
      </c>
      <c r="J438" s="1273" t="str">
        <f>IF(I$371="","",('VOC &amp; S Gases'!$F74&amp;signum2('VOC &amp; S Gases'!N74,SigFig1,SigFig2,'VOC &amp; S Gases'!$F74)))</f>
        <v/>
      </c>
      <c r="K438" s="1322" t="str">
        <f>IF(I$371="","",(IF(I438="","",LessThan('VOC &amp; S Gases'!F74,VND))&amp;SigNum3('VOC &amp; S Gases'!O74,SigFig1,SigFig2,'VOC &amp; S Gases'!F74)))</f>
        <v/>
      </c>
      <c r="L438" s="1321"/>
      <c r="M438" s="1322"/>
      <c r="N438" s="1272"/>
      <c r="O438" s="1319">
        <f t="shared" si="20"/>
        <v>0</v>
      </c>
      <c r="P438" s="1319">
        <f t="shared" si="21"/>
        <v>0</v>
      </c>
    </row>
    <row r="439" spans="1:16" hidden="1">
      <c r="A439" s="1267" t="str">
        <f>IF(AND('VOC &amp; S Gases'!E75="",'VOC &amp; S Gases'!G75=""),"",'VOC &amp; S Gases'!A75)</f>
        <v/>
      </c>
      <c r="B439" s="1259"/>
      <c r="C439" s="1321" t="str">
        <f>IF(C$371="","",('VOC &amp; S Gases'!$Q75&amp;signum2('VOC &amp; S Gases'!R75,SigFig1,SigFig2,'VOC &amp; S Gases'!$Q75)))</f>
        <v/>
      </c>
      <c r="D439" s="1273" t="str">
        <f>IF(C$371="","",('VOC &amp; S Gases'!$Q75&amp;signum2('VOC &amp; S Gases'!S75,SigFig1,SigFig2,'VOC &amp; S Gases'!$Q75)))</f>
        <v/>
      </c>
      <c r="E439" s="1322" t="str">
        <f>IF(C$371="","",(IF(C439="","",LessThan('VOC &amp; S Gases'!Q75,VND))&amp;SigNum3('VOC &amp; S Gases'!T75,SigFig1,SigFig2,'VOC &amp; S Gases'!Q75)))</f>
        <v/>
      </c>
      <c r="F439" s="1321" t="str">
        <f>IF(F$371="","",('VOC &amp; S Gases'!$D75&amp;signum2('VOC &amp; S Gases'!H75,SigFig1,SigFig2,'VOC &amp; S Gases'!$D75)))</f>
        <v/>
      </c>
      <c r="G439" s="1273" t="str">
        <f>IF(F$371="","",('VOC &amp; S Gases'!$D75&amp;signum2('VOC &amp; S Gases'!J75,SigFig1,SigFig2,'VOC &amp; S Gases'!$D75)))</f>
        <v/>
      </c>
      <c r="H439" s="1322" t="str">
        <f>IF(F$371="","",(IF(F439="","",LessThan('VOC &amp; S Gases'!D75,VND))&amp;SigNum3('VOC &amp; S Gases'!K75,SigFig1,SigFig2,'VOC &amp; S Gases'!D75)))</f>
        <v/>
      </c>
      <c r="I439" s="1321" t="str">
        <f>IF(I$371="","",('VOC &amp; S Gases'!$F75&amp;signum2('VOC &amp; S Gases'!L75,SigFig1,SigFig2,'VOC &amp; S Gases'!$F75)))</f>
        <v/>
      </c>
      <c r="J439" s="1273" t="str">
        <f>IF(I$371="","",('VOC &amp; S Gases'!$F75&amp;signum2('VOC &amp; S Gases'!N75,SigFig1,SigFig2,'VOC &amp; S Gases'!$F75)))</f>
        <v/>
      </c>
      <c r="K439" s="1322" t="str">
        <f>IF(I$371="","",(IF(I439="","",LessThan('VOC &amp; S Gases'!F75,VND))&amp;SigNum3('VOC &amp; S Gases'!O75,SigFig1,SigFig2,'VOC &amp; S Gases'!F75)))</f>
        <v/>
      </c>
      <c r="L439" s="1321"/>
      <c r="M439" s="1322"/>
      <c r="N439" s="1272"/>
      <c r="O439" s="1319">
        <f t="shared" si="20"/>
        <v>0</v>
      </c>
      <c r="P439" s="1319">
        <f t="shared" si="21"/>
        <v>0</v>
      </c>
    </row>
    <row r="440" spans="1:16" hidden="1">
      <c r="A440" s="1267" t="str">
        <f>IF(AND('VOC &amp; S Gases'!E76="",'VOC &amp; S Gases'!G76=""),"",'VOC &amp; S Gases'!A76)</f>
        <v/>
      </c>
      <c r="B440" s="1259"/>
      <c r="C440" s="1321" t="str">
        <f>IF(C$371="","",('VOC &amp; S Gases'!$Q76&amp;signum2('VOC &amp; S Gases'!R76,SigFig1,SigFig2,'VOC &amp; S Gases'!$Q76)))</f>
        <v/>
      </c>
      <c r="D440" s="1273" t="str">
        <f>IF(C$371="","",('VOC &amp; S Gases'!$Q76&amp;signum2('VOC &amp; S Gases'!S76,SigFig1,SigFig2,'VOC &amp; S Gases'!$Q76)))</f>
        <v/>
      </c>
      <c r="E440" s="1322" t="str">
        <f>IF(C$371="","",(IF(C440="","",LessThan('VOC &amp; S Gases'!Q76,VND))&amp;SigNum3('VOC &amp; S Gases'!T76,SigFig1,SigFig2,'VOC &amp; S Gases'!Q76)))</f>
        <v/>
      </c>
      <c r="F440" s="1321" t="str">
        <f>IF(F$371="","",('VOC &amp; S Gases'!$D76&amp;signum2('VOC &amp; S Gases'!H76,SigFig1,SigFig2,'VOC &amp; S Gases'!$D76)))</f>
        <v/>
      </c>
      <c r="G440" s="1273" t="str">
        <f>IF(F$371="","",('VOC &amp; S Gases'!$D76&amp;signum2('VOC &amp; S Gases'!J76,SigFig1,SigFig2,'VOC &amp; S Gases'!$D76)))</f>
        <v/>
      </c>
      <c r="H440" s="1322" t="str">
        <f>IF(F$371="","",(IF(F440="","",LessThan('VOC &amp; S Gases'!D76,VND))&amp;SigNum3('VOC &amp; S Gases'!K76,SigFig1,SigFig2,'VOC &amp; S Gases'!D76)))</f>
        <v/>
      </c>
      <c r="I440" s="1321" t="str">
        <f>IF(I$371="","",('VOC &amp; S Gases'!$F76&amp;signum2('VOC &amp; S Gases'!L76,SigFig1,SigFig2,'VOC &amp; S Gases'!$F76)))</f>
        <v/>
      </c>
      <c r="J440" s="1273" t="str">
        <f>IF(I$371="","",('VOC &amp; S Gases'!$F76&amp;signum2('VOC &amp; S Gases'!N76,SigFig1,SigFig2,'VOC &amp; S Gases'!$F76)))</f>
        <v/>
      </c>
      <c r="K440" s="1322" t="str">
        <f>IF(I$371="","",(IF(I440="","",LessThan('VOC &amp; S Gases'!F76,VND))&amp;SigNum3('VOC &amp; S Gases'!O76,SigFig1,SigFig2,'VOC &amp; S Gases'!F76)))</f>
        <v/>
      </c>
      <c r="L440" s="1321"/>
      <c r="M440" s="1322"/>
      <c r="N440" s="1272"/>
      <c r="O440" s="1319">
        <f t="shared" ref="O440:O470" si="22">MAX(IF(ISERROR(VALUE($C440)),0,VALUE($C440)),IF(ISERROR(VALUE($F440)),0,VALUE($F440)),IF(ISERROR(VALUE($I440)),0,VALUE($I440)))</f>
        <v>0</v>
      </c>
      <c r="P440" s="1319">
        <f t="shared" ref="P440:P470" si="23">MAX(IF(ISERROR(VALUE($E440)),0,VALUE($E440)),IF(ISERROR(VALUE($H440)),0,VALUE($H440)),IF(ISERROR(VALUE($K440)),0,VALUE($K440)))</f>
        <v>0</v>
      </c>
    </row>
    <row r="441" spans="1:16" hidden="1">
      <c r="A441" s="1267" t="str">
        <f>IF(AND('VOC &amp; S Gases'!E77="",'VOC &amp; S Gases'!G77=""),"",'VOC &amp; S Gases'!A77)</f>
        <v/>
      </c>
      <c r="B441" s="1259"/>
      <c r="C441" s="1321" t="str">
        <f>IF(C$371="","",('VOC &amp; S Gases'!$Q77&amp;signum2('VOC &amp; S Gases'!R77,SigFig1,SigFig2,'VOC &amp; S Gases'!$Q77)))</f>
        <v/>
      </c>
      <c r="D441" s="1273" t="str">
        <f>IF(C$371="","",('VOC &amp; S Gases'!$Q77&amp;signum2('VOC &amp; S Gases'!S77,SigFig1,SigFig2,'VOC &amp; S Gases'!$Q77)))</f>
        <v/>
      </c>
      <c r="E441" s="1322" t="str">
        <f>IF(C$371="","",(IF(C441="","",LessThan('VOC &amp; S Gases'!Q77,VND))&amp;SigNum3('VOC &amp; S Gases'!T77,SigFig1,SigFig2,'VOC &amp; S Gases'!Q77)))</f>
        <v/>
      </c>
      <c r="F441" s="1321" t="str">
        <f>IF(F$371="","",('VOC &amp; S Gases'!$D77&amp;signum2('VOC &amp; S Gases'!H77,SigFig1,SigFig2,'VOC &amp; S Gases'!$D77)))</f>
        <v/>
      </c>
      <c r="G441" s="1273" t="str">
        <f>IF(F$371="","",('VOC &amp; S Gases'!$D77&amp;signum2('VOC &amp; S Gases'!J77,SigFig1,SigFig2,'VOC &amp; S Gases'!$D77)))</f>
        <v/>
      </c>
      <c r="H441" s="1322" t="str">
        <f>IF(F$371="","",(IF(F441="","",LessThan('VOC &amp; S Gases'!D77,VND))&amp;SigNum3('VOC &amp; S Gases'!K77,SigFig1,SigFig2,'VOC &amp; S Gases'!D77)))</f>
        <v/>
      </c>
      <c r="I441" s="1321" t="str">
        <f>IF(I$371="","",('VOC &amp; S Gases'!$F77&amp;signum2('VOC &amp; S Gases'!L77,SigFig1,SigFig2,'VOC &amp; S Gases'!$F77)))</f>
        <v/>
      </c>
      <c r="J441" s="1273" t="str">
        <f>IF(I$371="","",('VOC &amp; S Gases'!$F77&amp;signum2('VOC &amp; S Gases'!N77,SigFig1,SigFig2,'VOC &amp; S Gases'!$F77)))</f>
        <v/>
      </c>
      <c r="K441" s="1322" t="str">
        <f>IF(I$371="","",(IF(I441="","",LessThan('VOC &amp; S Gases'!F77,VND))&amp;SigNum3('VOC &amp; S Gases'!O77,SigFig1,SigFig2,'VOC &amp; S Gases'!F77)))</f>
        <v/>
      </c>
      <c r="L441" s="1321"/>
      <c r="M441" s="1322"/>
      <c r="N441" s="1272"/>
      <c r="O441" s="1319">
        <f t="shared" si="22"/>
        <v>0</v>
      </c>
      <c r="P441" s="1319">
        <f t="shared" si="23"/>
        <v>0</v>
      </c>
    </row>
    <row r="442" spans="1:16" hidden="1">
      <c r="A442" s="1267" t="str">
        <f>IF(AND('VOC &amp; S Gases'!E78="",'VOC &amp; S Gases'!G78=""),"",'VOC &amp; S Gases'!A78)</f>
        <v/>
      </c>
      <c r="B442" s="1259"/>
      <c r="C442" s="1321" t="str">
        <f>IF(C$371="","",('VOC &amp; S Gases'!$Q78&amp;signum2('VOC &amp; S Gases'!R78,SigFig1,SigFig2,'VOC &amp; S Gases'!$Q78)))</f>
        <v/>
      </c>
      <c r="D442" s="1273" t="str">
        <f>IF(C$371="","",('VOC &amp; S Gases'!$Q78&amp;signum2('VOC &amp; S Gases'!S78,SigFig1,SigFig2,'VOC &amp; S Gases'!$Q78)))</f>
        <v/>
      </c>
      <c r="E442" s="1322" t="str">
        <f>IF(C$371="","",(IF(C442="","",LessThan('VOC &amp; S Gases'!Q78,VND))&amp;SigNum3('VOC &amp; S Gases'!T78,SigFig1,SigFig2,'VOC &amp; S Gases'!Q78)))</f>
        <v/>
      </c>
      <c r="F442" s="1321" t="str">
        <f>IF(F$371="","",('VOC &amp; S Gases'!$D78&amp;signum2('VOC &amp; S Gases'!H78,SigFig1,SigFig2,'VOC &amp; S Gases'!$D78)))</f>
        <v/>
      </c>
      <c r="G442" s="1273" t="str">
        <f>IF(F$371="","",('VOC &amp; S Gases'!$D78&amp;signum2('VOC &amp; S Gases'!J78,SigFig1,SigFig2,'VOC &amp; S Gases'!$D78)))</f>
        <v/>
      </c>
      <c r="H442" s="1322" t="str">
        <f>IF(F$371="","",(IF(F442="","",LessThan('VOC &amp; S Gases'!D78,VND))&amp;SigNum3('VOC &amp; S Gases'!K78,SigFig1,SigFig2,'VOC &amp; S Gases'!D78)))</f>
        <v/>
      </c>
      <c r="I442" s="1321" t="str">
        <f>IF(I$371="","",('VOC &amp; S Gases'!$F78&amp;signum2('VOC &amp; S Gases'!L78,SigFig1,SigFig2,'VOC &amp; S Gases'!$F78)))</f>
        <v/>
      </c>
      <c r="J442" s="1273" t="str">
        <f>IF(I$371="","",('VOC &amp; S Gases'!$F78&amp;signum2('VOC &amp; S Gases'!N78,SigFig1,SigFig2,'VOC &amp; S Gases'!$F78)))</f>
        <v/>
      </c>
      <c r="K442" s="1322" t="str">
        <f>IF(I$371="","",(IF(I442="","",LessThan('VOC &amp; S Gases'!F78,VND))&amp;SigNum3('VOC &amp; S Gases'!O78,SigFig1,SigFig2,'VOC &amp; S Gases'!F78)))</f>
        <v/>
      </c>
      <c r="L442" s="1321"/>
      <c r="M442" s="1322"/>
      <c r="N442" s="1272"/>
      <c r="O442" s="1319">
        <f t="shared" si="22"/>
        <v>0</v>
      </c>
      <c r="P442" s="1319">
        <f t="shared" si="23"/>
        <v>0</v>
      </c>
    </row>
    <row r="443" spans="1:16" hidden="1">
      <c r="A443" s="1267" t="str">
        <f>IF(AND('VOC &amp; S Gases'!E79="",'VOC &amp; S Gases'!G79=""),"",'VOC &amp; S Gases'!A79)</f>
        <v/>
      </c>
      <c r="B443" s="1259"/>
      <c r="C443" s="1321" t="str">
        <f>IF(C$371="","",('VOC &amp; S Gases'!$Q79&amp;signum2('VOC &amp; S Gases'!R79,SigFig1,SigFig2,'VOC &amp; S Gases'!$Q79)))</f>
        <v/>
      </c>
      <c r="D443" s="1273" t="str">
        <f>IF(C$371="","",('VOC &amp; S Gases'!$Q79&amp;signum2('VOC &amp; S Gases'!S79,SigFig1,SigFig2,'VOC &amp; S Gases'!$Q79)))</f>
        <v/>
      </c>
      <c r="E443" s="1322" t="str">
        <f>IF(C$371="","",(IF(C443="","",LessThan('VOC &amp; S Gases'!Q79,VND))&amp;SigNum3('VOC &amp; S Gases'!T79,SigFig1,SigFig2,'VOC &amp; S Gases'!Q79)))</f>
        <v/>
      </c>
      <c r="F443" s="1321" t="str">
        <f>IF(F$371="","",('VOC &amp; S Gases'!$D79&amp;signum2('VOC &amp; S Gases'!H79,SigFig1,SigFig2,'VOC &amp; S Gases'!$D79)))</f>
        <v/>
      </c>
      <c r="G443" s="1273" t="str">
        <f>IF(F$371="","",('VOC &amp; S Gases'!$D79&amp;signum2('VOC &amp; S Gases'!J79,SigFig1,SigFig2,'VOC &amp; S Gases'!$D79)))</f>
        <v/>
      </c>
      <c r="H443" s="1322" t="str">
        <f>IF(F$371="","",(IF(F443="","",LessThan('VOC &amp; S Gases'!D79,VND))&amp;SigNum3('VOC &amp; S Gases'!K79,SigFig1,SigFig2,'VOC &amp; S Gases'!D79)))</f>
        <v/>
      </c>
      <c r="I443" s="1321" t="str">
        <f>IF(I$371="","",('VOC &amp; S Gases'!$F79&amp;signum2('VOC &amp; S Gases'!L79,SigFig1,SigFig2,'VOC &amp; S Gases'!$F79)))</f>
        <v/>
      </c>
      <c r="J443" s="1273" t="str">
        <f>IF(I$371="","",('VOC &amp; S Gases'!$F79&amp;signum2('VOC &amp; S Gases'!N79,SigFig1,SigFig2,'VOC &amp; S Gases'!$F79)))</f>
        <v/>
      </c>
      <c r="K443" s="1322" t="str">
        <f>IF(I$371="","",(IF(I443="","",LessThan('VOC &amp; S Gases'!F79,VND))&amp;SigNum3('VOC &amp; S Gases'!O79,SigFig1,SigFig2,'VOC &amp; S Gases'!F79)))</f>
        <v/>
      </c>
      <c r="L443" s="1321"/>
      <c r="M443" s="1322"/>
      <c r="N443" s="1272"/>
      <c r="O443" s="1319">
        <f t="shared" si="22"/>
        <v>0</v>
      </c>
      <c r="P443" s="1319">
        <f t="shared" si="23"/>
        <v>0</v>
      </c>
    </row>
    <row r="444" spans="1:16" hidden="1">
      <c r="A444" s="1267" t="str">
        <f>IF(AND('VOC &amp; S Gases'!E80="",'VOC &amp; S Gases'!G80=""),"",'VOC &amp; S Gases'!A80)</f>
        <v/>
      </c>
      <c r="B444" s="1259"/>
      <c r="C444" s="1321" t="str">
        <f>IF(C$371="","",('VOC &amp; S Gases'!$Q80&amp;signum2('VOC &amp; S Gases'!R80,SigFig1,SigFig2,'VOC &amp; S Gases'!$Q80)))</f>
        <v/>
      </c>
      <c r="D444" s="1273" t="str">
        <f>IF(C$371="","",('VOC &amp; S Gases'!$Q80&amp;signum2('VOC &amp; S Gases'!S80,SigFig1,SigFig2,'VOC &amp; S Gases'!$Q80)))</f>
        <v/>
      </c>
      <c r="E444" s="1322" t="str">
        <f>IF(C$371="","",(IF(C444="","",LessThan('VOC &amp; S Gases'!Q80,VND))&amp;SigNum3('VOC &amp; S Gases'!T80,SigFig1,SigFig2,'VOC &amp; S Gases'!Q80)))</f>
        <v/>
      </c>
      <c r="F444" s="1321" t="str">
        <f>IF(F$371="","",('VOC &amp; S Gases'!$D80&amp;signum2('VOC &amp; S Gases'!H80,SigFig1,SigFig2,'VOC &amp; S Gases'!$D80)))</f>
        <v/>
      </c>
      <c r="G444" s="1273" t="str">
        <f>IF(F$371="","",('VOC &amp; S Gases'!$D80&amp;signum2('VOC &amp; S Gases'!J80,SigFig1,SigFig2,'VOC &amp; S Gases'!$D80)))</f>
        <v/>
      </c>
      <c r="H444" s="1322" t="str">
        <f>IF(F$371="","",(IF(F444="","",LessThan('VOC &amp; S Gases'!D80,VND))&amp;SigNum3('VOC &amp; S Gases'!K80,SigFig1,SigFig2,'VOC &amp; S Gases'!D80)))</f>
        <v/>
      </c>
      <c r="I444" s="1321" t="str">
        <f>IF(I$371="","",('VOC &amp; S Gases'!$F80&amp;signum2('VOC &amp; S Gases'!L80,SigFig1,SigFig2,'VOC &amp; S Gases'!$F80)))</f>
        <v/>
      </c>
      <c r="J444" s="1273" t="str">
        <f>IF(I$371="","",('VOC &amp; S Gases'!$F80&amp;signum2('VOC &amp; S Gases'!N80,SigFig1,SigFig2,'VOC &amp; S Gases'!$F80)))</f>
        <v/>
      </c>
      <c r="K444" s="1322" t="str">
        <f>IF(I$371="","",(IF(I444="","",LessThan('VOC &amp; S Gases'!F80,VND))&amp;SigNum3('VOC &amp; S Gases'!O80,SigFig1,SigFig2,'VOC &amp; S Gases'!F80)))</f>
        <v/>
      </c>
      <c r="L444" s="1321"/>
      <c r="M444" s="1322"/>
      <c r="N444" s="1272"/>
      <c r="O444" s="1319">
        <f t="shared" si="22"/>
        <v>0</v>
      </c>
      <c r="P444" s="1319">
        <f t="shared" si="23"/>
        <v>0</v>
      </c>
    </row>
    <row r="445" spans="1:16" hidden="1">
      <c r="A445" s="1267" t="str">
        <f>IF(AND('VOC &amp; S Gases'!E81="",'VOC &amp; S Gases'!G81=""),"",'VOC &amp; S Gases'!A81)</f>
        <v/>
      </c>
      <c r="B445" s="1259"/>
      <c r="C445" s="1321" t="str">
        <f>IF(C$371="","",('VOC &amp; S Gases'!$Q81&amp;signum2('VOC &amp; S Gases'!R81,SigFig1,SigFig2,'VOC &amp; S Gases'!$Q81)))</f>
        <v/>
      </c>
      <c r="D445" s="1273" t="str">
        <f>IF(C$371="","",('VOC &amp; S Gases'!$Q81&amp;signum2('VOC &amp; S Gases'!S81,SigFig1,SigFig2,'VOC &amp; S Gases'!$Q81)))</f>
        <v/>
      </c>
      <c r="E445" s="1322" t="str">
        <f>IF(C$371="","",(IF(C445="","",LessThan('VOC &amp; S Gases'!Q81,VND))&amp;SigNum3('VOC &amp; S Gases'!T81,SigFig1,SigFig2,'VOC &amp; S Gases'!Q81)))</f>
        <v/>
      </c>
      <c r="F445" s="1321" t="str">
        <f>IF(F$371="","",('VOC &amp; S Gases'!$D81&amp;signum2('VOC &amp; S Gases'!H81,SigFig1,SigFig2,'VOC &amp; S Gases'!$D81)))</f>
        <v/>
      </c>
      <c r="G445" s="1273" t="str">
        <f>IF(F$371="","",('VOC &amp; S Gases'!$D81&amp;signum2('VOC &amp; S Gases'!J81,SigFig1,SigFig2,'VOC &amp; S Gases'!$D81)))</f>
        <v/>
      </c>
      <c r="H445" s="1322" t="str">
        <f>IF(F$371="","",(IF(F445="","",LessThan('VOC &amp; S Gases'!D81,VND))&amp;SigNum3('VOC &amp; S Gases'!K81,SigFig1,SigFig2,'VOC &amp; S Gases'!D81)))</f>
        <v/>
      </c>
      <c r="I445" s="1321" t="str">
        <f>IF(I$371="","",('VOC &amp; S Gases'!$F81&amp;signum2('VOC &amp; S Gases'!L81,SigFig1,SigFig2,'VOC &amp; S Gases'!$F81)))</f>
        <v/>
      </c>
      <c r="J445" s="1273" t="str">
        <f>IF(I$371="","",('VOC &amp; S Gases'!$F81&amp;signum2('VOC &amp; S Gases'!N81,SigFig1,SigFig2,'VOC &amp; S Gases'!$F81)))</f>
        <v/>
      </c>
      <c r="K445" s="1322" t="str">
        <f>IF(I$371="","",(IF(I445="","",LessThan('VOC &amp; S Gases'!F81,VND))&amp;SigNum3('VOC &amp; S Gases'!O81,SigFig1,SigFig2,'VOC &amp; S Gases'!F81)))</f>
        <v/>
      </c>
      <c r="L445" s="1321"/>
      <c r="M445" s="1322"/>
      <c r="N445" s="1272"/>
      <c r="O445" s="1319">
        <f t="shared" si="22"/>
        <v>0</v>
      </c>
      <c r="P445" s="1319">
        <f t="shared" si="23"/>
        <v>0</v>
      </c>
    </row>
    <row r="446" spans="1:16" hidden="1">
      <c r="A446" s="1267" t="str">
        <f>IF(AND('VOC &amp; S Gases'!E82="",'VOC &amp; S Gases'!G82=""),"",'VOC &amp; S Gases'!A82)</f>
        <v/>
      </c>
      <c r="B446" s="1259"/>
      <c r="C446" s="1321" t="str">
        <f>IF(C$371="","",('VOC &amp; S Gases'!$Q82&amp;signum2('VOC &amp; S Gases'!R82,SigFig1,SigFig2,'VOC &amp; S Gases'!$Q82)))</f>
        <v/>
      </c>
      <c r="D446" s="1273" t="str">
        <f>IF(C$371="","",('VOC &amp; S Gases'!$Q82&amp;signum2('VOC &amp; S Gases'!S82,SigFig1,SigFig2,'VOC &amp; S Gases'!$Q82)))</f>
        <v/>
      </c>
      <c r="E446" s="1322" t="str">
        <f>IF(C$371="","",(IF(C446="","",LessThan('VOC &amp; S Gases'!Q82,VND))&amp;SigNum3('VOC &amp; S Gases'!T82,SigFig1,SigFig2,'VOC &amp; S Gases'!Q82)))</f>
        <v/>
      </c>
      <c r="F446" s="1321" t="str">
        <f>IF(F$371="","",('VOC &amp; S Gases'!$D82&amp;signum2('VOC &amp; S Gases'!H82,SigFig1,SigFig2,'VOC &amp; S Gases'!$D82)))</f>
        <v/>
      </c>
      <c r="G446" s="1273" t="str">
        <f>IF(F$371="","",('VOC &amp; S Gases'!$D82&amp;signum2('VOC &amp; S Gases'!J82,SigFig1,SigFig2,'VOC &amp; S Gases'!$D82)))</f>
        <v/>
      </c>
      <c r="H446" s="1322" t="str">
        <f>IF(F$371="","",(IF(F446="","",LessThan('VOC &amp; S Gases'!D82,VND))&amp;SigNum3('VOC &amp; S Gases'!K82,SigFig1,SigFig2,'VOC &amp; S Gases'!D82)))</f>
        <v/>
      </c>
      <c r="I446" s="1321" t="str">
        <f>IF(I$371="","",('VOC &amp; S Gases'!$F82&amp;signum2('VOC &amp; S Gases'!L82,SigFig1,SigFig2,'VOC &amp; S Gases'!$F82)))</f>
        <v/>
      </c>
      <c r="J446" s="1273" t="str">
        <f>IF(I$371="","",('VOC &amp; S Gases'!$F82&amp;signum2('VOC &amp; S Gases'!N82,SigFig1,SigFig2,'VOC &amp; S Gases'!$F82)))</f>
        <v/>
      </c>
      <c r="K446" s="1322" t="str">
        <f>IF(I$371="","",(IF(I446="","",LessThan('VOC &amp; S Gases'!F82,VND))&amp;SigNum3('VOC &amp; S Gases'!O82,SigFig1,SigFig2,'VOC &amp; S Gases'!F82)))</f>
        <v/>
      </c>
      <c r="L446" s="1321"/>
      <c r="M446" s="1322"/>
      <c r="N446" s="1272"/>
      <c r="O446" s="1319">
        <f t="shared" si="22"/>
        <v>0</v>
      </c>
      <c r="P446" s="1319">
        <f t="shared" si="23"/>
        <v>0</v>
      </c>
    </row>
    <row r="447" spans="1:16" hidden="1">
      <c r="A447" s="1267" t="str">
        <f>IF(AND('VOC &amp; S Gases'!E83="",'VOC &amp; S Gases'!G83=""),"",'VOC &amp; S Gases'!A83)</f>
        <v/>
      </c>
      <c r="B447" s="1259"/>
      <c r="C447" s="1321" t="str">
        <f>IF(C$371="","",('VOC &amp; S Gases'!$Q83&amp;signum2('VOC &amp; S Gases'!R83,SigFig1,SigFig2,'VOC &amp; S Gases'!$Q83)))</f>
        <v/>
      </c>
      <c r="D447" s="1273" t="str">
        <f>IF(C$371="","",('VOC &amp; S Gases'!$Q83&amp;signum2('VOC &amp; S Gases'!S83,SigFig1,SigFig2,'VOC &amp; S Gases'!$Q83)))</f>
        <v/>
      </c>
      <c r="E447" s="1322" t="str">
        <f>IF(C$371="","",(IF(C447="","",LessThan('VOC &amp; S Gases'!Q83,VND))&amp;SigNum3('VOC &amp; S Gases'!T83,SigFig1,SigFig2,'VOC &amp; S Gases'!Q83)))</f>
        <v/>
      </c>
      <c r="F447" s="1321" t="str">
        <f>IF(F$371="","",('VOC &amp; S Gases'!$D83&amp;signum2('VOC &amp; S Gases'!H83,SigFig1,SigFig2,'VOC &amp; S Gases'!$D83)))</f>
        <v/>
      </c>
      <c r="G447" s="1273" t="str">
        <f>IF(F$371="","",('VOC &amp; S Gases'!$D83&amp;signum2('VOC &amp; S Gases'!J83,SigFig1,SigFig2,'VOC &amp; S Gases'!$D83)))</f>
        <v/>
      </c>
      <c r="H447" s="1322" t="str">
        <f>IF(F$371="","",(IF(F447="","",LessThan('VOC &amp; S Gases'!D83,VND))&amp;SigNum3('VOC &amp; S Gases'!K83,SigFig1,SigFig2,'VOC &amp; S Gases'!D83)))</f>
        <v/>
      </c>
      <c r="I447" s="1321" t="str">
        <f>IF(I$371="","",('VOC &amp; S Gases'!$F83&amp;signum2('VOC &amp; S Gases'!L83,SigFig1,SigFig2,'VOC &amp; S Gases'!$F83)))</f>
        <v/>
      </c>
      <c r="J447" s="1273" t="str">
        <f>IF(I$371="","",('VOC &amp; S Gases'!$F83&amp;signum2('VOC &amp; S Gases'!N83,SigFig1,SigFig2,'VOC &amp; S Gases'!$F83)))</f>
        <v/>
      </c>
      <c r="K447" s="1322" t="str">
        <f>IF(I$371="","",(IF(I447="","",LessThan('VOC &amp; S Gases'!F83,VND))&amp;SigNum3('VOC &amp; S Gases'!O83,SigFig1,SigFig2,'VOC &amp; S Gases'!F83)))</f>
        <v/>
      </c>
      <c r="L447" s="1321"/>
      <c r="M447" s="1322"/>
      <c r="N447" s="1272"/>
      <c r="O447" s="1319">
        <f t="shared" si="22"/>
        <v>0</v>
      </c>
      <c r="P447" s="1319">
        <f t="shared" si="23"/>
        <v>0</v>
      </c>
    </row>
    <row r="448" spans="1:16" hidden="1">
      <c r="A448" s="1267" t="str">
        <f>IF(AND('VOC &amp; S Gases'!E84="",'VOC &amp; S Gases'!G84=""),"",'VOC &amp; S Gases'!A84)</f>
        <v/>
      </c>
      <c r="B448" s="1259"/>
      <c r="C448" s="1321" t="str">
        <f>IF(C$371="","",('VOC &amp; S Gases'!$Q84&amp;signum2('VOC &amp; S Gases'!R84,SigFig1,SigFig2,'VOC &amp; S Gases'!$Q84)))</f>
        <v/>
      </c>
      <c r="D448" s="1273" t="str">
        <f>IF(C$371="","",('VOC &amp; S Gases'!$Q84&amp;signum2('VOC &amp; S Gases'!S84,SigFig1,SigFig2,'VOC &amp; S Gases'!$Q84)))</f>
        <v/>
      </c>
      <c r="E448" s="1322" t="str">
        <f>IF(C$371="","",(IF(C448="","",LessThan('VOC &amp; S Gases'!Q84,VND))&amp;SigNum3('VOC &amp; S Gases'!T84,SigFig1,SigFig2,'VOC &amp; S Gases'!Q84)))</f>
        <v/>
      </c>
      <c r="F448" s="1321" t="str">
        <f>IF(F$371="","",('VOC &amp; S Gases'!$D84&amp;signum2('VOC &amp; S Gases'!H84,SigFig1,SigFig2,'VOC &amp; S Gases'!$D84)))</f>
        <v/>
      </c>
      <c r="G448" s="1273" t="str">
        <f>IF(F$371="","",('VOC &amp; S Gases'!$D84&amp;signum2('VOC &amp; S Gases'!J84,SigFig1,SigFig2,'VOC &amp; S Gases'!$D84)))</f>
        <v/>
      </c>
      <c r="H448" s="1322" t="str">
        <f>IF(F$371="","",(IF(F448="","",LessThan('VOC &amp; S Gases'!D84,VND))&amp;SigNum3('VOC &amp; S Gases'!K84,SigFig1,SigFig2,'VOC &amp; S Gases'!D84)))</f>
        <v/>
      </c>
      <c r="I448" s="1321" t="str">
        <f>IF(I$371="","",('VOC &amp; S Gases'!$F84&amp;signum2('VOC &amp; S Gases'!L84,SigFig1,SigFig2,'VOC &amp; S Gases'!$F84)))</f>
        <v/>
      </c>
      <c r="J448" s="1273" t="str">
        <f>IF(I$371="","",('VOC &amp; S Gases'!$F84&amp;signum2('VOC &amp; S Gases'!N84,SigFig1,SigFig2,'VOC &amp; S Gases'!$F84)))</f>
        <v/>
      </c>
      <c r="K448" s="1322" t="str">
        <f>IF(I$371="","",(IF(I448="","",LessThan('VOC &amp; S Gases'!F84,VND))&amp;SigNum3('VOC &amp; S Gases'!O84,SigFig1,SigFig2,'VOC &amp; S Gases'!F84)))</f>
        <v/>
      </c>
      <c r="L448" s="1321"/>
      <c r="M448" s="1322"/>
      <c r="N448" s="1272"/>
      <c r="O448" s="1319">
        <f t="shared" si="22"/>
        <v>0</v>
      </c>
      <c r="P448" s="1319">
        <f t="shared" si="23"/>
        <v>0</v>
      </c>
    </row>
    <row r="449" spans="1:16" hidden="1">
      <c r="A449" s="1267" t="str">
        <f>IF(AND('VOC &amp; S Gases'!E85="",'VOC &amp; S Gases'!G85=""),"",'VOC &amp; S Gases'!A85)</f>
        <v/>
      </c>
      <c r="B449" s="1259"/>
      <c r="C449" s="1321" t="str">
        <f>IF(C$371="","",('VOC &amp; S Gases'!$Q85&amp;signum2('VOC &amp; S Gases'!R85,SigFig1,SigFig2,'VOC &amp; S Gases'!$Q85)))</f>
        <v/>
      </c>
      <c r="D449" s="1273" t="str">
        <f>IF(C$371="","",('VOC &amp; S Gases'!$Q85&amp;signum2('VOC &amp; S Gases'!S85,SigFig1,SigFig2,'VOC &amp; S Gases'!$Q85)))</f>
        <v/>
      </c>
      <c r="E449" s="1322" t="str">
        <f>IF(C$371="","",(IF(C449="","",LessThan('VOC &amp; S Gases'!Q85,VND))&amp;SigNum3('VOC &amp; S Gases'!T85,SigFig1,SigFig2,'VOC &amp; S Gases'!Q85)))</f>
        <v/>
      </c>
      <c r="F449" s="1321" t="str">
        <f>IF(F$371="","",('VOC &amp; S Gases'!$D85&amp;signum2('VOC &amp; S Gases'!H85,SigFig1,SigFig2,'VOC &amp; S Gases'!$D85)))</f>
        <v/>
      </c>
      <c r="G449" s="1273" t="str">
        <f>IF(F$371="","",('VOC &amp; S Gases'!$D85&amp;signum2('VOC &amp; S Gases'!J85,SigFig1,SigFig2,'VOC &amp; S Gases'!$D85)))</f>
        <v/>
      </c>
      <c r="H449" s="1322" t="str">
        <f>IF(F$371="","",(IF(F449="","",LessThan('VOC &amp; S Gases'!D85,VND))&amp;SigNum3('VOC &amp; S Gases'!K85,SigFig1,SigFig2,'VOC &amp; S Gases'!D85)))</f>
        <v/>
      </c>
      <c r="I449" s="1321" t="str">
        <f>IF(I$371="","",('VOC &amp; S Gases'!$F85&amp;signum2('VOC &amp; S Gases'!L85,SigFig1,SigFig2,'VOC &amp; S Gases'!$F85)))</f>
        <v/>
      </c>
      <c r="J449" s="1273" t="str">
        <f>IF(I$371="","",('VOC &amp; S Gases'!$F85&amp;signum2('VOC &amp; S Gases'!N85,SigFig1,SigFig2,'VOC &amp; S Gases'!$F85)))</f>
        <v/>
      </c>
      <c r="K449" s="1322" t="str">
        <f>IF(I$371="","",(IF(I449="","",LessThan('VOC &amp; S Gases'!F85,VND))&amp;SigNum3('VOC &amp; S Gases'!O85,SigFig1,SigFig2,'VOC &amp; S Gases'!F85)))</f>
        <v/>
      </c>
      <c r="L449" s="1321"/>
      <c r="M449" s="1322"/>
      <c r="N449" s="1272"/>
      <c r="O449" s="1319">
        <f t="shared" si="22"/>
        <v>0</v>
      </c>
      <c r="P449" s="1319">
        <f t="shared" si="23"/>
        <v>0</v>
      </c>
    </row>
    <row r="450" spans="1:16" hidden="1">
      <c r="A450" s="1267" t="str">
        <f>IF(AND('VOC &amp; S Gases'!E86="",'VOC &amp; S Gases'!G86=""),"",'VOC &amp; S Gases'!A86)</f>
        <v/>
      </c>
      <c r="B450" s="1259"/>
      <c r="C450" s="1321" t="str">
        <f>IF(C$371="","",('VOC &amp; S Gases'!$Q86&amp;signum2('VOC &amp; S Gases'!R86,SigFig1,SigFig2,'VOC &amp; S Gases'!$Q86)))</f>
        <v/>
      </c>
      <c r="D450" s="1273" t="str">
        <f>IF(C$371="","",('VOC &amp; S Gases'!$Q86&amp;signum2('VOC &amp; S Gases'!S86,SigFig1,SigFig2,'VOC &amp; S Gases'!$Q86)))</f>
        <v/>
      </c>
      <c r="E450" s="1322" t="str">
        <f>IF(C$371="","",(IF(C450="","",LessThan('VOC &amp; S Gases'!Q86,VND))&amp;SigNum3('VOC &amp; S Gases'!T86,SigFig1,SigFig2,'VOC &amp; S Gases'!Q86)))</f>
        <v/>
      </c>
      <c r="F450" s="1321" t="str">
        <f>IF(F$371="","",('VOC &amp; S Gases'!$D86&amp;signum2('VOC &amp; S Gases'!H86,SigFig1,SigFig2,'VOC &amp; S Gases'!$D86)))</f>
        <v/>
      </c>
      <c r="G450" s="1273" t="str">
        <f>IF(F$371="","",('VOC &amp; S Gases'!$D86&amp;signum2('VOC &amp; S Gases'!J86,SigFig1,SigFig2,'VOC &amp; S Gases'!$D86)))</f>
        <v/>
      </c>
      <c r="H450" s="1322" t="str">
        <f>IF(F$371="","",(IF(F450="","",LessThan('VOC &amp; S Gases'!D86,VND))&amp;SigNum3('VOC &amp; S Gases'!K86,SigFig1,SigFig2,'VOC &amp; S Gases'!D86)))</f>
        <v/>
      </c>
      <c r="I450" s="1321" t="str">
        <f>IF(I$371="","",('VOC &amp; S Gases'!$F86&amp;signum2('VOC &amp; S Gases'!L86,SigFig1,SigFig2,'VOC &amp; S Gases'!$F86)))</f>
        <v/>
      </c>
      <c r="J450" s="1273" t="str">
        <f>IF(I$371="","",('VOC &amp; S Gases'!$F86&amp;signum2('VOC &amp; S Gases'!N86,SigFig1,SigFig2,'VOC &amp; S Gases'!$F86)))</f>
        <v/>
      </c>
      <c r="K450" s="1322" t="str">
        <f>IF(I$371="","",(IF(I450="","",LessThan('VOC &amp; S Gases'!F86,VND))&amp;SigNum3('VOC &amp; S Gases'!O86,SigFig1,SigFig2,'VOC &amp; S Gases'!F86)))</f>
        <v/>
      </c>
      <c r="L450" s="1321"/>
      <c r="M450" s="1322"/>
      <c r="N450" s="1272"/>
      <c r="O450" s="1319">
        <f t="shared" si="22"/>
        <v>0</v>
      </c>
      <c r="P450" s="1319">
        <f t="shared" si="23"/>
        <v>0</v>
      </c>
    </row>
    <row r="451" spans="1:16" hidden="1">
      <c r="A451" s="1267" t="str">
        <f>IF(AND('VOC &amp; S Gases'!E87="",'VOC &amp; S Gases'!G87=""),"",'VOC &amp; S Gases'!A87)</f>
        <v/>
      </c>
      <c r="B451" s="1259"/>
      <c r="C451" s="1321" t="str">
        <f>IF(C$371="","",('VOC &amp; S Gases'!$Q87&amp;signum2('VOC &amp; S Gases'!R87,SigFig1,SigFig2,'VOC &amp; S Gases'!$Q87)))</f>
        <v/>
      </c>
      <c r="D451" s="1273" t="str">
        <f>IF(C$371="","",('VOC &amp; S Gases'!$Q87&amp;signum2('VOC &amp; S Gases'!S87,SigFig1,SigFig2,'VOC &amp; S Gases'!$Q87)))</f>
        <v/>
      </c>
      <c r="E451" s="1322" t="str">
        <f>IF(C$371="","",(IF(C451="","",LessThan('VOC &amp; S Gases'!Q87,VND))&amp;SigNum3('VOC &amp; S Gases'!T87,SigFig1,SigFig2,'VOC &amp; S Gases'!Q87)))</f>
        <v/>
      </c>
      <c r="F451" s="1321" t="str">
        <f>IF(F$371="","",('VOC &amp; S Gases'!$D87&amp;signum2('VOC &amp; S Gases'!H87,SigFig1,SigFig2,'VOC &amp; S Gases'!$D87)))</f>
        <v/>
      </c>
      <c r="G451" s="1273" t="str">
        <f>IF(F$371="","",('VOC &amp; S Gases'!$D87&amp;signum2('VOC &amp; S Gases'!J87,SigFig1,SigFig2,'VOC &amp; S Gases'!$D87)))</f>
        <v/>
      </c>
      <c r="H451" s="1322" t="str">
        <f>IF(F$371="","",(IF(F451="","",LessThan('VOC &amp; S Gases'!D87,VND))&amp;SigNum3('VOC &amp; S Gases'!K87,SigFig1,SigFig2,'VOC &amp; S Gases'!D87)))</f>
        <v/>
      </c>
      <c r="I451" s="1321" t="str">
        <f>IF(I$371="","",('VOC &amp; S Gases'!$F87&amp;signum2('VOC &amp; S Gases'!L87,SigFig1,SigFig2,'VOC &amp; S Gases'!$F87)))</f>
        <v/>
      </c>
      <c r="J451" s="1273" t="str">
        <f>IF(I$371="","",('VOC &amp; S Gases'!$F87&amp;signum2('VOC &amp; S Gases'!N87,SigFig1,SigFig2,'VOC &amp; S Gases'!$F87)))</f>
        <v/>
      </c>
      <c r="K451" s="1322" t="str">
        <f>IF(I$371="","",(IF(I451="","",LessThan('VOC &amp; S Gases'!F87,VND))&amp;SigNum3('VOC &amp; S Gases'!O87,SigFig1,SigFig2,'VOC &amp; S Gases'!F87)))</f>
        <v/>
      </c>
      <c r="L451" s="1321"/>
      <c r="M451" s="1322"/>
      <c r="N451" s="1272"/>
      <c r="O451" s="1319">
        <f t="shared" si="22"/>
        <v>0</v>
      </c>
      <c r="P451" s="1319">
        <f t="shared" si="23"/>
        <v>0</v>
      </c>
    </row>
    <row r="452" spans="1:16" hidden="1">
      <c r="A452" s="1267" t="str">
        <f>IF(AND('VOC &amp; S Gases'!E88="",'VOC &amp; S Gases'!G88=""),"",'VOC &amp; S Gases'!A88)</f>
        <v/>
      </c>
      <c r="B452" s="1259"/>
      <c r="C452" s="1321" t="str">
        <f>IF(C$371="","",('VOC &amp; S Gases'!$Q88&amp;signum2('VOC &amp; S Gases'!R88,SigFig1,SigFig2,'VOC &amp; S Gases'!$Q88)))</f>
        <v/>
      </c>
      <c r="D452" s="1273" t="str">
        <f>IF(C$371="","",('VOC &amp; S Gases'!$Q88&amp;signum2('VOC &amp; S Gases'!S88,SigFig1,SigFig2,'VOC &amp; S Gases'!$Q88)))</f>
        <v/>
      </c>
      <c r="E452" s="1322" t="str">
        <f>IF(C$371="","",(IF(C452="","",LessThan('VOC &amp; S Gases'!Q88,VND))&amp;SigNum3('VOC &amp; S Gases'!T88,SigFig1,SigFig2,'VOC &amp; S Gases'!Q88)))</f>
        <v/>
      </c>
      <c r="F452" s="1321" t="str">
        <f>IF(F$371="","",('VOC &amp; S Gases'!$D88&amp;signum2('VOC &amp; S Gases'!H88,SigFig1,SigFig2,'VOC &amp; S Gases'!$D88)))</f>
        <v/>
      </c>
      <c r="G452" s="1273" t="str">
        <f>IF(F$371="","",('VOC &amp; S Gases'!$D88&amp;signum2('VOC &amp; S Gases'!J88,SigFig1,SigFig2,'VOC &amp; S Gases'!$D88)))</f>
        <v/>
      </c>
      <c r="H452" s="1322" t="str">
        <f>IF(F$371="","",(IF(F452="","",LessThan('VOC &amp; S Gases'!D88,VND))&amp;SigNum3('VOC &amp; S Gases'!K88,SigFig1,SigFig2,'VOC &amp; S Gases'!D88)))</f>
        <v/>
      </c>
      <c r="I452" s="1321" t="str">
        <f>IF(I$371="","",('VOC &amp; S Gases'!$F88&amp;signum2('VOC &amp; S Gases'!L88,SigFig1,SigFig2,'VOC &amp; S Gases'!$F88)))</f>
        <v/>
      </c>
      <c r="J452" s="1273" t="str">
        <f>IF(I$371="","",('VOC &amp; S Gases'!$F88&amp;signum2('VOC &amp; S Gases'!N88,SigFig1,SigFig2,'VOC &amp; S Gases'!$F88)))</f>
        <v/>
      </c>
      <c r="K452" s="1322" t="str">
        <f>IF(I$371="","",(IF(I452="","",LessThan('VOC &amp; S Gases'!F88,VND))&amp;SigNum3('VOC &amp; S Gases'!O88,SigFig1,SigFig2,'VOC &amp; S Gases'!F88)))</f>
        <v/>
      </c>
      <c r="L452" s="1321"/>
      <c r="M452" s="1322"/>
      <c r="N452" s="1272"/>
      <c r="O452" s="1319">
        <f t="shared" si="22"/>
        <v>0</v>
      </c>
      <c r="P452" s="1319">
        <f t="shared" si="23"/>
        <v>0</v>
      </c>
    </row>
    <row r="453" spans="1:16" hidden="1">
      <c r="A453" s="1267" t="str">
        <f>IF(AND('VOC &amp; S Gases'!E89="",'VOC &amp; S Gases'!G89=""),"",'VOC &amp; S Gases'!A89)</f>
        <v/>
      </c>
      <c r="B453" s="1259"/>
      <c r="C453" s="1321" t="str">
        <f>IF(C$371="","",('VOC &amp; S Gases'!$Q89&amp;signum2('VOC &amp; S Gases'!R89,SigFig1,SigFig2,'VOC &amp; S Gases'!$Q89)))</f>
        <v/>
      </c>
      <c r="D453" s="1273" t="str">
        <f>IF(C$371="","",('VOC &amp; S Gases'!$Q89&amp;signum2('VOC &amp; S Gases'!S89,SigFig1,SigFig2,'VOC &amp; S Gases'!$Q89)))</f>
        <v/>
      </c>
      <c r="E453" s="1322" t="str">
        <f>IF(C$371="","",(IF(C453="","",LessThan('VOC &amp; S Gases'!Q89,VND))&amp;SigNum3('VOC &amp; S Gases'!T89,SigFig1,SigFig2,'VOC &amp; S Gases'!Q89)))</f>
        <v/>
      </c>
      <c r="F453" s="1321" t="str">
        <f>IF(F$371="","",('VOC &amp; S Gases'!$D89&amp;signum2('VOC &amp; S Gases'!H89,SigFig1,SigFig2,'VOC &amp; S Gases'!$D89)))</f>
        <v/>
      </c>
      <c r="G453" s="1273" t="str">
        <f>IF(F$371="","",('VOC &amp; S Gases'!$D89&amp;signum2('VOC &amp; S Gases'!J89,SigFig1,SigFig2,'VOC &amp; S Gases'!$D89)))</f>
        <v/>
      </c>
      <c r="H453" s="1322" t="str">
        <f>IF(F$371="","",(IF(F453="","",LessThan('VOC &amp; S Gases'!D89,VND))&amp;SigNum3('VOC &amp; S Gases'!K89,SigFig1,SigFig2,'VOC &amp; S Gases'!D89)))</f>
        <v/>
      </c>
      <c r="I453" s="1321" t="str">
        <f>IF(I$371="","",('VOC &amp; S Gases'!$F89&amp;signum2('VOC &amp; S Gases'!L89,SigFig1,SigFig2,'VOC &amp; S Gases'!$F89)))</f>
        <v/>
      </c>
      <c r="J453" s="1273" t="str">
        <f>IF(I$371="","",('VOC &amp; S Gases'!$F89&amp;signum2('VOC &amp; S Gases'!N89,SigFig1,SigFig2,'VOC &amp; S Gases'!$F89)))</f>
        <v/>
      </c>
      <c r="K453" s="1322" t="str">
        <f>IF(I$371="","",(IF(I453="","",LessThan('VOC &amp; S Gases'!F89,VND))&amp;SigNum3('VOC &amp; S Gases'!O89,SigFig1,SigFig2,'VOC &amp; S Gases'!F89)))</f>
        <v/>
      </c>
      <c r="L453" s="1321"/>
      <c r="M453" s="1322"/>
      <c r="N453" s="1272"/>
      <c r="O453" s="1319">
        <f t="shared" si="22"/>
        <v>0</v>
      </c>
      <c r="P453" s="1319">
        <f t="shared" si="23"/>
        <v>0</v>
      </c>
    </row>
    <row r="454" spans="1:16" hidden="1">
      <c r="A454" s="1267" t="str">
        <f>IF(AND('VOC &amp; S Gases'!E90="",'VOC &amp; S Gases'!G90=""),"",'VOC &amp; S Gases'!A90)</f>
        <v/>
      </c>
      <c r="B454" s="1259"/>
      <c r="C454" s="1321" t="str">
        <f>IF(C$371="","",('VOC &amp; S Gases'!$Q90&amp;signum2('VOC &amp; S Gases'!R90,SigFig1,SigFig2,'VOC &amp; S Gases'!$Q90)))</f>
        <v/>
      </c>
      <c r="D454" s="1273" t="str">
        <f>IF(C$371="","",('VOC &amp; S Gases'!$Q90&amp;signum2('VOC &amp; S Gases'!S90,SigFig1,SigFig2,'VOC &amp; S Gases'!$Q90)))</f>
        <v/>
      </c>
      <c r="E454" s="1322" t="str">
        <f>IF(C$371="","",(IF(C454="","",LessThan('VOC &amp; S Gases'!Q90,VND))&amp;SigNum3('VOC &amp; S Gases'!T90,SigFig1,SigFig2,'VOC &amp; S Gases'!Q90)))</f>
        <v/>
      </c>
      <c r="F454" s="1321" t="str">
        <f>IF(F$371="","",('VOC &amp; S Gases'!$D90&amp;signum2('VOC &amp; S Gases'!H90,SigFig1,SigFig2,'VOC &amp; S Gases'!$D90)))</f>
        <v/>
      </c>
      <c r="G454" s="1273" t="str">
        <f>IF(F$371="","",('VOC &amp; S Gases'!$D90&amp;signum2('VOC &amp; S Gases'!J90,SigFig1,SigFig2,'VOC &amp; S Gases'!$D90)))</f>
        <v/>
      </c>
      <c r="H454" s="1322" t="str">
        <f>IF(F$371="","",(IF(F454="","",LessThan('VOC &amp; S Gases'!D90,VND))&amp;SigNum3('VOC &amp; S Gases'!K90,SigFig1,SigFig2,'VOC &amp; S Gases'!D90)))</f>
        <v/>
      </c>
      <c r="I454" s="1321" t="str">
        <f>IF(I$371="","",('VOC &amp; S Gases'!$F90&amp;signum2('VOC &amp; S Gases'!L90,SigFig1,SigFig2,'VOC &amp; S Gases'!$F90)))</f>
        <v/>
      </c>
      <c r="J454" s="1273" t="str">
        <f>IF(I$371="","",('VOC &amp; S Gases'!$F90&amp;signum2('VOC &amp; S Gases'!N90,SigFig1,SigFig2,'VOC &amp; S Gases'!$F90)))</f>
        <v/>
      </c>
      <c r="K454" s="1322" t="str">
        <f>IF(I$371="","",(IF(I454="","",LessThan('VOC &amp; S Gases'!F90,VND))&amp;SigNum3('VOC &amp; S Gases'!O90,SigFig1,SigFig2,'VOC &amp; S Gases'!F90)))</f>
        <v/>
      </c>
      <c r="L454" s="1321"/>
      <c r="M454" s="1322"/>
      <c r="N454" s="1272"/>
      <c r="O454" s="1319">
        <f t="shared" si="22"/>
        <v>0</v>
      </c>
      <c r="P454" s="1319">
        <f t="shared" si="23"/>
        <v>0</v>
      </c>
    </row>
    <row r="455" spans="1:16" hidden="1">
      <c r="A455" s="1267" t="str">
        <f>IF(AND('VOC &amp; S Gases'!E91="",'VOC &amp; S Gases'!G91=""),"",'VOC &amp; S Gases'!A91)</f>
        <v/>
      </c>
      <c r="B455" s="1259"/>
      <c r="C455" s="1321" t="str">
        <f>IF(C$371="","",('VOC &amp; S Gases'!$Q91&amp;signum2('VOC &amp; S Gases'!R91,SigFig1,SigFig2,'VOC &amp; S Gases'!$Q91)))</f>
        <v/>
      </c>
      <c r="D455" s="1273" t="str">
        <f>IF(C$371="","",('VOC &amp; S Gases'!$Q91&amp;signum2('VOC &amp; S Gases'!S91,SigFig1,SigFig2,'VOC &amp; S Gases'!$Q91)))</f>
        <v/>
      </c>
      <c r="E455" s="1322" t="str">
        <f>IF(C$371="","",(IF(C455="","",LessThan('VOC &amp; S Gases'!Q91,VND))&amp;SigNum3('VOC &amp; S Gases'!T91,SigFig1,SigFig2,'VOC &amp; S Gases'!Q91)))</f>
        <v/>
      </c>
      <c r="F455" s="1321" t="str">
        <f>IF(F$371="","",('VOC &amp; S Gases'!$D91&amp;signum2('VOC &amp; S Gases'!H91,SigFig1,SigFig2,'VOC &amp; S Gases'!$D91)))</f>
        <v/>
      </c>
      <c r="G455" s="1273" t="str">
        <f>IF(F$371="","",('VOC &amp; S Gases'!$D91&amp;signum2('VOC &amp; S Gases'!J91,SigFig1,SigFig2,'VOC &amp; S Gases'!$D91)))</f>
        <v/>
      </c>
      <c r="H455" s="1322" t="str">
        <f>IF(F$371="","",(IF(F455="","",LessThan('VOC &amp; S Gases'!D91,VND))&amp;SigNum3('VOC &amp; S Gases'!K91,SigFig1,SigFig2,'VOC &amp; S Gases'!D91)))</f>
        <v/>
      </c>
      <c r="I455" s="1321" t="str">
        <f>IF(I$371="","",('VOC &amp; S Gases'!$F91&amp;signum2('VOC &amp; S Gases'!L91,SigFig1,SigFig2,'VOC &amp; S Gases'!$F91)))</f>
        <v/>
      </c>
      <c r="J455" s="1273" t="str">
        <f>IF(I$371="","",('VOC &amp; S Gases'!$F91&amp;signum2('VOC &amp; S Gases'!N91,SigFig1,SigFig2,'VOC &amp; S Gases'!$F91)))</f>
        <v/>
      </c>
      <c r="K455" s="1322" t="str">
        <f>IF(I$371="","",(IF(I455="","",LessThan('VOC &amp; S Gases'!F91,VND))&amp;SigNum3('VOC &amp; S Gases'!O91,SigFig1,SigFig2,'VOC &amp; S Gases'!F91)))</f>
        <v/>
      </c>
      <c r="L455" s="1321"/>
      <c r="M455" s="1322"/>
      <c r="N455" s="1272"/>
      <c r="O455" s="1319">
        <f t="shared" si="22"/>
        <v>0</v>
      </c>
      <c r="P455" s="1319">
        <f t="shared" si="23"/>
        <v>0</v>
      </c>
    </row>
    <row r="456" spans="1:16" hidden="1">
      <c r="A456" s="1267" t="str">
        <f>IF(AND('VOC &amp; S Gases'!E92="",'VOC &amp; S Gases'!G92=""),"",'VOC &amp; S Gases'!A92)</f>
        <v/>
      </c>
      <c r="B456" s="1259"/>
      <c r="C456" s="1321" t="str">
        <f>IF(C$371="","",('VOC &amp; S Gases'!$Q92&amp;signum2('VOC &amp; S Gases'!R92,SigFig1,SigFig2,'VOC &amp; S Gases'!$Q92)))</f>
        <v/>
      </c>
      <c r="D456" s="1273" t="str">
        <f>IF(C$371="","",('VOC &amp; S Gases'!$Q92&amp;signum2('VOC &amp; S Gases'!S92,SigFig1,SigFig2,'VOC &amp; S Gases'!$Q92)))</f>
        <v/>
      </c>
      <c r="E456" s="1322" t="str">
        <f>IF(C$371="","",(IF(C456="","",LessThan('VOC &amp; S Gases'!Q92,VND))&amp;SigNum3('VOC &amp; S Gases'!T92,SigFig1,SigFig2,'VOC &amp; S Gases'!Q92)))</f>
        <v/>
      </c>
      <c r="F456" s="1321" t="str">
        <f>IF(F$371="","",('VOC &amp; S Gases'!$D92&amp;signum2('VOC &amp; S Gases'!H92,SigFig1,SigFig2,'VOC &amp; S Gases'!$D92)))</f>
        <v/>
      </c>
      <c r="G456" s="1273" t="str">
        <f>IF(F$371="","",('VOC &amp; S Gases'!$D92&amp;signum2('VOC &amp; S Gases'!J92,SigFig1,SigFig2,'VOC &amp; S Gases'!$D92)))</f>
        <v/>
      </c>
      <c r="H456" s="1322" t="str">
        <f>IF(F$371="","",(IF(F456="","",LessThan('VOC &amp; S Gases'!D92,VND))&amp;SigNum3('VOC &amp; S Gases'!K92,SigFig1,SigFig2,'VOC &amp; S Gases'!D92)))</f>
        <v/>
      </c>
      <c r="I456" s="1321" t="str">
        <f>IF(I$371="","",('VOC &amp; S Gases'!$F92&amp;signum2('VOC &amp; S Gases'!L92,SigFig1,SigFig2,'VOC &amp; S Gases'!$F92)))</f>
        <v/>
      </c>
      <c r="J456" s="1273" t="str">
        <f>IF(I$371="","",('VOC &amp; S Gases'!$F92&amp;signum2('VOC &amp; S Gases'!N92,SigFig1,SigFig2,'VOC &amp; S Gases'!$F92)))</f>
        <v/>
      </c>
      <c r="K456" s="1322" t="str">
        <f>IF(I$371="","",(IF(I456="","",LessThan('VOC &amp; S Gases'!F92,VND))&amp;SigNum3('VOC &amp; S Gases'!O92,SigFig1,SigFig2,'VOC &amp; S Gases'!F92)))</f>
        <v/>
      </c>
      <c r="L456" s="1321"/>
      <c r="M456" s="1322"/>
      <c r="N456" s="1272"/>
      <c r="O456" s="1319">
        <f t="shared" si="22"/>
        <v>0</v>
      </c>
      <c r="P456" s="1319">
        <f t="shared" si="23"/>
        <v>0</v>
      </c>
    </row>
    <row r="457" spans="1:16" hidden="1">
      <c r="A457" s="1267" t="str">
        <f>IF(AND('VOC &amp; S Gases'!E93="",'VOC &amp; S Gases'!G93=""),"",'VOC &amp; S Gases'!A93)</f>
        <v/>
      </c>
      <c r="B457" s="1259"/>
      <c r="C457" s="1321" t="str">
        <f>IF(C$371="","",('VOC &amp; S Gases'!$Q93&amp;signum2('VOC &amp; S Gases'!R93,SigFig1,SigFig2,'VOC &amp; S Gases'!$Q93)))</f>
        <v/>
      </c>
      <c r="D457" s="1273" t="str">
        <f>IF(C$371="","",('VOC &amp; S Gases'!$Q93&amp;signum2('VOC &amp; S Gases'!S93,SigFig1,SigFig2,'VOC &amp; S Gases'!$Q93)))</f>
        <v/>
      </c>
      <c r="E457" s="1322" t="str">
        <f>IF(C$371="","",(IF(C457="","",LessThan('VOC &amp; S Gases'!Q93,VND))&amp;SigNum3('VOC &amp; S Gases'!T93,SigFig1,SigFig2,'VOC &amp; S Gases'!Q93)))</f>
        <v/>
      </c>
      <c r="F457" s="1321" t="str">
        <f>IF(F$371="","",('VOC &amp; S Gases'!$D93&amp;signum2('VOC &amp; S Gases'!H93,SigFig1,SigFig2,'VOC &amp; S Gases'!$D93)))</f>
        <v/>
      </c>
      <c r="G457" s="1273" t="str">
        <f>IF(F$371="","",('VOC &amp; S Gases'!$D93&amp;signum2('VOC &amp; S Gases'!J93,SigFig1,SigFig2,'VOC &amp; S Gases'!$D93)))</f>
        <v/>
      </c>
      <c r="H457" s="1322" t="str">
        <f>IF(F$371="","",(IF(F457="","",LessThan('VOC &amp; S Gases'!D93,VND))&amp;SigNum3('VOC &amp; S Gases'!K93,SigFig1,SigFig2,'VOC &amp; S Gases'!D93)))</f>
        <v/>
      </c>
      <c r="I457" s="1321" t="str">
        <f>IF(I$371="","",('VOC &amp; S Gases'!$F93&amp;signum2('VOC &amp; S Gases'!L93,SigFig1,SigFig2,'VOC &amp; S Gases'!$F93)))</f>
        <v/>
      </c>
      <c r="J457" s="1273" t="str">
        <f>IF(I$371="","",('VOC &amp; S Gases'!$F93&amp;signum2('VOC &amp; S Gases'!N93,SigFig1,SigFig2,'VOC &amp; S Gases'!$F93)))</f>
        <v/>
      </c>
      <c r="K457" s="1322" t="str">
        <f>IF(I$371="","",(IF(I457="","",LessThan('VOC &amp; S Gases'!F93,VND))&amp;SigNum3('VOC &amp; S Gases'!O93,SigFig1,SigFig2,'VOC &amp; S Gases'!F93)))</f>
        <v/>
      </c>
      <c r="L457" s="1321"/>
      <c r="M457" s="1322"/>
      <c r="N457" s="1272"/>
      <c r="O457" s="1319">
        <f t="shared" si="22"/>
        <v>0</v>
      </c>
      <c r="P457" s="1319">
        <f t="shared" si="23"/>
        <v>0</v>
      </c>
    </row>
    <row r="458" spans="1:16" hidden="1">
      <c r="A458" s="1267" t="str">
        <f>IF(AND('VOC &amp; S Gases'!E94="",'VOC &amp; S Gases'!G94=""),"",'VOC &amp; S Gases'!A94)</f>
        <v/>
      </c>
      <c r="B458" s="1259"/>
      <c r="C458" s="1321" t="str">
        <f>IF(C$371="","",('VOC &amp; S Gases'!$Q94&amp;signum2('VOC &amp; S Gases'!R94,SigFig1,SigFig2,'VOC &amp; S Gases'!$Q94)))</f>
        <v/>
      </c>
      <c r="D458" s="1273" t="str">
        <f>IF(C$371="","",('VOC &amp; S Gases'!$Q94&amp;signum2('VOC &amp; S Gases'!S94,SigFig1,SigFig2,'VOC &amp; S Gases'!$Q94)))</f>
        <v/>
      </c>
      <c r="E458" s="1322" t="str">
        <f>IF(C$371="","",(IF(C458="","",LessThan('VOC &amp; S Gases'!Q94,VND))&amp;SigNum3('VOC &amp; S Gases'!T94,SigFig1,SigFig2,'VOC &amp; S Gases'!Q94)))</f>
        <v/>
      </c>
      <c r="F458" s="1321" t="str">
        <f>IF(F$371="","",('VOC &amp; S Gases'!$D94&amp;signum2('VOC &amp; S Gases'!H94,SigFig1,SigFig2,'VOC &amp; S Gases'!$D94)))</f>
        <v/>
      </c>
      <c r="G458" s="1273" t="str">
        <f>IF(F$371="","",('VOC &amp; S Gases'!$D94&amp;signum2('VOC &amp; S Gases'!J94,SigFig1,SigFig2,'VOC &amp; S Gases'!$D94)))</f>
        <v/>
      </c>
      <c r="H458" s="1322" t="str">
        <f>IF(F$371="","",(IF(F458="","",LessThan('VOC &amp; S Gases'!D94,VND))&amp;SigNum3('VOC &amp; S Gases'!K94,SigFig1,SigFig2,'VOC &amp; S Gases'!D94)))</f>
        <v/>
      </c>
      <c r="I458" s="1321" t="str">
        <f>IF(I$371="","",('VOC &amp; S Gases'!$F94&amp;signum2('VOC &amp; S Gases'!L94,SigFig1,SigFig2,'VOC &amp; S Gases'!$F94)))</f>
        <v/>
      </c>
      <c r="J458" s="1273" t="str">
        <f>IF(I$371="","",('VOC &amp; S Gases'!$F94&amp;signum2('VOC &amp; S Gases'!N94,SigFig1,SigFig2,'VOC &amp; S Gases'!$F94)))</f>
        <v/>
      </c>
      <c r="K458" s="1322" t="str">
        <f>IF(I$371="","",(IF(I458="","",LessThan('VOC &amp; S Gases'!F94,VND))&amp;SigNum3('VOC &amp; S Gases'!O94,SigFig1,SigFig2,'VOC &amp; S Gases'!F94)))</f>
        <v/>
      </c>
      <c r="L458" s="1321"/>
      <c r="M458" s="1322"/>
      <c r="N458" s="1272"/>
      <c r="O458" s="1319">
        <f t="shared" si="22"/>
        <v>0</v>
      </c>
      <c r="P458" s="1319">
        <f t="shared" si="23"/>
        <v>0</v>
      </c>
    </row>
    <row r="459" spans="1:16" hidden="1">
      <c r="A459" s="1267" t="str">
        <f>IF(AND('VOC &amp; S Gases'!E95="",'VOC &amp; S Gases'!G95=""),"",'VOC &amp; S Gases'!A95)</f>
        <v/>
      </c>
      <c r="B459" s="1259"/>
      <c r="C459" s="1321" t="str">
        <f>IF(C$371="","",('VOC &amp; S Gases'!$Q95&amp;signum2('VOC &amp; S Gases'!R95,SigFig1,SigFig2,'VOC &amp; S Gases'!$Q95)))</f>
        <v/>
      </c>
      <c r="D459" s="1273" t="str">
        <f>IF(C$371="","",('VOC &amp; S Gases'!$Q95&amp;signum2('VOC &amp; S Gases'!S95,SigFig1,SigFig2,'VOC &amp; S Gases'!$Q95)))</f>
        <v/>
      </c>
      <c r="E459" s="1322" t="str">
        <f>IF(C$371="","",(IF(C459="","",LessThan('VOC &amp; S Gases'!Q95,VND))&amp;SigNum3('VOC &amp; S Gases'!T95,SigFig1,SigFig2,'VOC &amp; S Gases'!Q95)))</f>
        <v/>
      </c>
      <c r="F459" s="1321" t="str">
        <f>IF(F$371="","",('VOC &amp; S Gases'!$D95&amp;signum2('VOC &amp; S Gases'!H95,SigFig1,SigFig2,'VOC &amp; S Gases'!$D95)))</f>
        <v/>
      </c>
      <c r="G459" s="1273" t="str">
        <f>IF(F$371="","",('VOC &amp; S Gases'!$D95&amp;signum2('VOC &amp; S Gases'!J95,SigFig1,SigFig2,'VOC &amp; S Gases'!$D95)))</f>
        <v/>
      </c>
      <c r="H459" s="1322" t="str">
        <f>IF(F$371="","",(IF(F459="","",LessThan('VOC &amp; S Gases'!D95,VND))&amp;SigNum3('VOC &amp; S Gases'!K95,SigFig1,SigFig2,'VOC &amp; S Gases'!D95)))</f>
        <v/>
      </c>
      <c r="I459" s="1321" t="str">
        <f>IF(I$371="","",('VOC &amp; S Gases'!$F95&amp;signum2('VOC &amp; S Gases'!L95,SigFig1,SigFig2,'VOC &amp; S Gases'!$F95)))</f>
        <v/>
      </c>
      <c r="J459" s="1273" t="str">
        <f>IF(I$371="","",('VOC &amp; S Gases'!$F95&amp;signum2('VOC &amp; S Gases'!N95,SigFig1,SigFig2,'VOC &amp; S Gases'!$F95)))</f>
        <v/>
      </c>
      <c r="K459" s="1322" t="str">
        <f>IF(I$371="","",(IF(I459="","",LessThan('VOC &amp; S Gases'!F95,VND))&amp;SigNum3('VOC &amp; S Gases'!O95,SigFig1,SigFig2,'VOC &amp; S Gases'!F95)))</f>
        <v/>
      </c>
      <c r="L459" s="1321"/>
      <c r="M459" s="1322"/>
      <c r="N459" s="1272"/>
      <c r="O459" s="1319">
        <f t="shared" si="22"/>
        <v>0</v>
      </c>
      <c r="P459" s="1319">
        <f t="shared" si="23"/>
        <v>0</v>
      </c>
    </row>
    <row r="460" spans="1:16" hidden="1">
      <c r="A460" s="1267" t="str">
        <f>IF(AND('VOC &amp; S Gases'!E96="",'VOC &amp; S Gases'!G96=""),"",'VOC &amp; S Gases'!A96)</f>
        <v/>
      </c>
      <c r="B460" s="1259"/>
      <c r="C460" s="1321" t="str">
        <f>IF(C$371="","",('VOC &amp; S Gases'!$Q96&amp;signum2('VOC &amp; S Gases'!R96,SigFig1,SigFig2,'VOC &amp; S Gases'!$Q96)))</f>
        <v/>
      </c>
      <c r="D460" s="1273" t="str">
        <f>IF(C$371="","",('VOC &amp; S Gases'!$Q96&amp;signum2('VOC &amp; S Gases'!S96,SigFig1,SigFig2,'VOC &amp; S Gases'!$Q96)))</f>
        <v/>
      </c>
      <c r="E460" s="1322" t="str">
        <f>IF(C$371="","",(IF(C460="","",LessThan('VOC &amp; S Gases'!Q96,VND))&amp;SigNum3('VOC &amp; S Gases'!T96,SigFig1,SigFig2,'VOC &amp; S Gases'!Q96)))</f>
        <v/>
      </c>
      <c r="F460" s="1321" t="str">
        <f>IF(F$371="","",('VOC &amp; S Gases'!$D96&amp;signum2('VOC &amp; S Gases'!H96,SigFig1,SigFig2,'VOC &amp; S Gases'!$D96)))</f>
        <v/>
      </c>
      <c r="G460" s="1273" t="str">
        <f>IF(F$371="","",('VOC &amp; S Gases'!$D96&amp;signum2('VOC &amp; S Gases'!J96,SigFig1,SigFig2,'VOC &amp; S Gases'!$D96)))</f>
        <v/>
      </c>
      <c r="H460" s="1322" t="str">
        <f>IF(F$371="","",(IF(F460="","",LessThan('VOC &amp; S Gases'!D96,VND))&amp;SigNum3('VOC &amp; S Gases'!K96,SigFig1,SigFig2,'VOC &amp; S Gases'!D96)))</f>
        <v/>
      </c>
      <c r="I460" s="1321" t="str">
        <f>IF(I$371="","",('VOC &amp; S Gases'!$F96&amp;signum2('VOC &amp; S Gases'!L96,SigFig1,SigFig2,'VOC &amp; S Gases'!$F96)))</f>
        <v/>
      </c>
      <c r="J460" s="1273" t="str">
        <f>IF(I$371="","",('VOC &amp; S Gases'!$F96&amp;signum2('VOC &amp; S Gases'!N96,SigFig1,SigFig2,'VOC &amp; S Gases'!$F96)))</f>
        <v/>
      </c>
      <c r="K460" s="1322" t="str">
        <f>IF(I$371="","",(IF(I460="","",LessThan('VOC &amp; S Gases'!F96,VND))&amp;SigNum3('VOC &amp; S Gases'!O96,SigFig1,SigFig2,'VOC &amp; S Gases'!F96)))</f>
        <v/>
      </c>
      <c r="L460" s="1321"/>
      <c r="M460" s="1322"/>
      <c r="N460" s="1272"/>
      <c r="O460" s="1319">
        <f t="shared" si="22"/>
        <v>0</v>
      </c>
      <c r="P460" s="1319">
        <f t="shared" si="23"/>
        <v>0</v>
      </c>
    </row>
    <row r="461" spans="1:16" hidden="1">
      <c r="A461" s="1267" t="str">
        <f>IF(AND('VOC &amp; S Gases'!E97="",'VOC &amp; S Gases'!G97=""),"",'VOC &amp; S Gases'!A97)</f>
        <v/>
      </c>
      <c r="B461" s="1259"/>
      <c r="C461" s="1321" t="str">
        <f>IF(C$371="","",('VOC &amp; S Gases'!$Q97&amp;signum2('VOC &amp; S Gases'!R97,SigFig1,SigFig2,'VOC &amp; S Gases'!$Q97)))</f>
        <v/>
      </c>
      <c r="D461" s="1273" t="str">
        <f>IF(C$371="","",('VOC &amp; S Gases'!$Q97&amp;signum2('VOC &amp; S Gases'!S97,SigFig1,SigFig2,'VOC &amp; S Gases'!$Q97)))</f>
        <v/>
      </c>
      <c r="E461" s="1322" t="str">
        <f>IF(C$371="","",(IF(C461="","",LessThan('VOC &amp; S Gases'!Q97,VND))&amp;SigNum3('VOC &amp; S Gases'!T97,SigFig1,SigFig2,'VOC &amp; S Gases'!Q97)))</f>
        <v/>
      </c>
      <c r="F461" s="1321" t="str">
        <f>IF(F$371="","",('VOC &amp; S Gases'!$D97&amp;signum2('VOC &amp; S Gases'!H97,SigFig1,SigFig2,'VOC &amp; S Gases'!$D97)))</f>
        <v/>
      </c>
      <c r="G461" s="1273" t="str">
        <f>IF(F$371="","",('VOC &amp; S Gases'!$D97&amp;signum2('VOC &amp; S Gases'!J97,SigFig1,SigFig2,'VOC &amp; S Gases'!$D97)))</f>
        <v/>
      </c>
      <c r="H461" s="1322" t="str">
        <f>IF(F$371="","",(IF(F461="","",LessThan('VOC &amp; S Gases'!D97,VND))&amp;SigNum3('VOC &amp; S Gases'!K97,SigFig1,SigFig2,'VOC &amp; S Gases'!D97)))</f>
        <v/>
      </c>
      <c r="I461" s="1321" t="str">
        <f>IF(I$371="","",('VOC &amp; S Gases'!$F97&amp;signum2('VOC &amp; S Gases'!L97,SigFig1,SigFig2,'VOC &amp; S Gases'!$F97)))</f>
        <v/>
      </c>
      <c r="J461" s="1273" t="str">
        <f>IF(I$371="","",('VOC &amp; S Gases'!$F97&amp;signum2('VOC &amp; S Gases'!N97,SigFig1,SigFig2,'VOC &amp; S Gases'!$F97)))</f>
        <v/>
      </c>
      <c r="K461" s="1322" t="str">
        <f>IF(I$371="","",(IF(I461="","",LessThan('VOC &amp; S Gases'!F97,VND))&amp;SigNum3('VOC &amp; S Gases'!O97,SigFig1,SigFig2,'VOC &amp; S Gases'!F97)))</f>
        <v/>
      </c>
      <c r="L461" s="1321"/>
      <c r="M461" s="1322"/>
      <c r="N461" s="1272"/>
      <c r="O461" s="1319">
        <f t="shared" si="22"/>
        <v>0</v>
      </c>
      <c r="P461" s="1319">
        <f t="shared" si="23"/>
        <v>0</v>
      </c>
    </row>
    <row r="462" spans="1:16" hidden="1">
      <c r="A462" s="1267" t="str">
        <f>IF(AND('VOC &amp; S Gases'!E98="",'VOC &amp; S Gases'!G98=""),"",'VOC &amp; S Gases'!A98)</f>
        <v/>
      </c>
      <c r="B462" s="1259"/>
      <c r="C462" s="1321" t="str">
        <f>IF(C$371="","",('VOC &amp; S Gases'!$Q98&amp;signum2('VOC &amp; S Gases'!R98,SigFig1,SigFig2,'VOC &amp; S Gases'!$Q98)))</f>
        <v/>
      </c>
      <c r="D462" s="1273" t="str">
        <f>IF(C$371="","",('VOC &amp; S Gases'!$Q98&amp;signum2('VOC &amp; S Gases'!S98,SigFig1,SigFig2,'VOC &amp; S Gases'!$Q98)))</f>
        <v/>
      </c>
      <c r="E462" s="1322" t="str">
        <f>IF(C$371="","",(IF(C462="","",LessThan('VOC &amp; S Gases'!Q98,VND))&amp;SigNum3('VOC &amp; S Gases'!T98,SigFig1,SigFig2,'VOC &amp; S Gases'!Q98)))</f>
        <v/>
      </c>
      <c r="F462" s="1321" t="str">
        <f>IF(F$371="","",('VOC &amp; S Gases'!$D98&amp;signum2('VOC &amp; S Gases'!H98,SigFig1,SigFig2,'VOC &amp; S Gases'!$D98)))</f>
        <v/>
      </c>
      <c r="G462" s="1273" t="str">
        <f>IF(F$371="","",('VOC &amp; S Gases'!$D98&amp;signum2('VOC &amp; S Gases'!J98,SigFig1,SigFig2,'VOC &amp; S Gases'!$D98)))</f>
        <v/>
      </c>
      <c r="H462" s="1322" t="str">
        <f>IF(F$371="","",(IF(F462="","",LessThan('VOC &amp; S Gases'!D98,VND))&amp;SigNum3('VOC &amp; S Gases'!K98,SigFig1,SigFig2,'VOC &amp; S Gases'!D98)))</f>
        <v/>
      </c>
      <c r="I462" s="1321" t="str">
        <f>IF(I$371="","",('VOC &amp; S Gases'!$F98&amp;signum2('VOC &amp; S Gases'!L98,SigFig1,SigFig2,'VOC &amp; S Gases'!$F98)))</f>
        <v/>
      </c>
      <c r="J462" s="1273" t="str">
        <f>IF(I$371="","",('VOC &amp; S Gases'!$F98&amp;signum2('VOC &amp; S Gases'!N98,SigFig1,SigFig2,'VOC &amp; S Gases'!$F98)))</f>
        <v/>
      </c>
      <c r="K462" s="1322" t="str">
        <f>IF(I$371="","",(IF(I462="","",LessThan('VOC &amp; S Gases'!F98,VND))&amp;SigNum3('VOC &amp; S Gases'!O98,SigFig1,SigFig2,'VOC &amp; S Gases'!F98)))</f>
        <v/>
      </c>
      <c r="L462" s="1321"/>
      <c r="M462" s="1322"/>
      <c r="N462" s="1272"/>
      <c r="O462" s="1319">
        <f t="shared" si="22"/>
        <v>0</v>
      </c>
      <c r="P462" s="1319">
        <f t="shared" si="23"/>
        <v>0</v>
      </c>
    </row>
    <row r="463" spans="1:16" hidden="1">
      <c r="A463" s="1267" t="str">
        <f>IF(AND('VOC &amp; S Gases'!E99="",'VOC &amp; S Gases'!G99=""),"",'VOC &amp; S Gases'!A99)</f>
        <v/>
      </c>
      <c r="B463" s="1259"/>
      <c r="C463" s="1321" t="str">
        <f>IF(C$371="","",('VOC &amp; S Gases'!$Q99&amp;signum2('VOC &amp; S Gases'!R99,SigFig1,SigFig2,'VOC &amp; S Gases'!$Q99)))</f>
        <v/>
      </c>
      <c r="D463" s="1273" t="str">
        <f>IF(C$371="","",('VOC &amp; S Gases'!$Q99&amp;signum2('VOC &amp; S Gases'!S99,SigFig1,SigFig2,'VOC &amp; S Gases'!$Q99)))</f>
        <v/>
      </c>
      <c r="E463" s="1322" t="str">
        <f>IF(C$371="","",(IF(C463="","",LessThan('VOC &amp; S Gases'!Q99,VND))&amp;SigNum3('VOC &amp; S Gases'!T99,SigFig1,SigFig2,'VOC &amp; S Gases'!Q99)))</f>
        <v/>
      </c>
      <c r="F463" s="1321" t="str">
        <f>IF(F$371="","",('VOC &amp; S Gases'!$D99&amp;signum2('VOC &amp; S Gases'!H99,SigFig1,SigFig2,'VOC &amp; S Gases'!$D99)))</f>
        <v/>
      </c>
      <c r="G463" s="1273" t="str">
        <f>IF(F$371="","",('VOC &amp; S Gases'!$D99&amp;signum2('VOC &amp; S Gases'!J99,SigFig1,SigFig2,'VOC &amp; S Gases'!$D99)))</f>
        <v/>
      </c>
      <c r="H463" s="1322" t="str">
        <f>IF(F$371="","",(IF(F463="","",LessThan('VOC &amp; S Gases'!D99,VND))&amp;SigNum3('VOC &amp; S Gases'!K99,SigFig1,SigFig2,'VOC &amp; S Gases'!D99)))</f>
        <v/>
      </c>
      <c r="I463" s="1321" t="str">
        <f>IF(I$371="","",('VOC &amp; S Gases'!$F99&amp;signum2('VOC &amp; S Gases'!L99,SigFig1,SigFig2,'VOC &amp; S Gases'!$F99)))</f>
        <v/>
      </c>
      <c r="J463" s="1273" t="str">
        <f>IF(I$371="","",('VOC &amp; S Gases'!$F99&amp;signum2('VOC &amp; S Gases'!N99,SigFig1,SigFig2,'VOC &amp; S Gases'!$F99)))</f>
        <v/>
      </c>
      <c r="K463" s="1322" t="str">
        <f>IF(I$371="","",(IF(I463="","",LessThan('VOC &amp; S Gases'!F99,VND))&amp;SigNum3('VOC &amp; S Gases'!O99,SigFig1,SigFig2,'VOC &amp; S Gases'!F99)))</f>
        <v/>
      </c>
      <c r="L463" s="1321"/>
      <c r="M463" s="1322"/>
      <c r="N463" s="1272"/>
      <c r="O463" s="1319">
        <f t="shared" si="22"/>
        <v>0</v>
      </c>
      <c r="P463" s="1319">
        <f t="shared" si="23"/>
        <v>0</v>
      </c>
    </row>
    <row r="464" spans="1:16" hidden="1">
      <c r="A464" s="1267" t="str">
        <f>IF(AND('VOC &amp; S Gases'!E100="",'VOC &amp; S Gases'!G100=""),"",'VOC &amp; S Gases'!A100)</f>
        <v/>
      </c>
      <c r="B464" s="1259"/>
      <c r="C464" s="1321" t="str">
        <f>IF(C$371="","",('VOC &amp; S Gases'!$Q100&amp;signum2('VOC &amp; S Gases'!R100,SigFig1,SigFig2,'VOC &amp; S Gases'!$Q100)))</f>
        <v/>
      </c>
      <c r="D464" s="1273" t="str">
        <f>IF(C$371="","",('VOC &amp; S Gases'!$Q100&amp;signum2('VOC &amp; S Gases'!S100,SigFig1,SigFig2,'VOC &amp; S Gases'!$Q100)))</f>
        <v/>
      </c>
      <c r="E464" s="1322" t="str">
        <f>IF(C$371="","",(IF(C464="","",LessThan('VOC &amp; S Gases'!Q100,VND))&amp;SigNum3('VOC &amp; S Gases'!T100,SigFig1,SigFig2,'VOC &amp; S Gases'!Q100)))</f>
        <v/>
      </c>
      <c r="F464" s="1321" t="str">
        <f>IF(F$371="","",('VOC &amp; S Gases'!$D100&amp;signum2('VOC &amp; S Gases'!H100,SigFig1,SigFig2,'VOC &amp; S Gases'!$D100)))</f>
        <v/>
      </c>
      <c r="G464" s="1273" t="str">
        <f>IF(F$371="","",('VOC &amp; S Gases'!$D100&amp;signum2('VOC &amp; S Gases'!J100,SigFig1,SigFig2,'VOC &amp; S Gases'!$D100)))</f>
        <v/>
      </c>
      <c r="H464" s="1322" t="str">
        <f>IF(F$371="","",(IF(F464="","",LessThan('VOC &amp; S Gases'!D100,VND))&amp;SigNum3('VOC &amp; S Gases'!K100,SigFig1,SigFig2,'VOC &amp; S Gases'!D100)))</f>
        <v/>
      </c>
      <c r="I464" s="1321" t="str">
        <f>IF(I$371="","",('VOC &amp; S Gases'!$F100&amp;signum2('VOC &amp; S Gases'!L100,SigFig1,SigFig2,'VOC &amp; S Gases'!$F100)))</f>
        <v/>
      </c>
      <c r="J464" s="1273" t="str">
        <f>IF(I$371="","",('VOC &amp; S Gases'!$F100&amp;signum2('VOC &amp; S Gases'!N100,SigFig1,SigFig2,'VOC &amp; S Gases'!$F100)))</f>
        <v/>
      </c>
      <c r="K464" s="1322" t="str">
        <f>IF(I$371="","",(IF(I464="","",LessThan('VOC &amp; S Gases'!F100,VND))&amp;SigNum3('VOC &amp; S Gases'!O100,SigFig1,SigFig2,'VOC &amp; S Gases'!F100)))</f>
        <v/>
      </c>
      <c r="L464" s="1321"/>
      <c r="M464" s="1322"/>
      <c r="N464" s="1272"/>
      <c r="O464" s="1319">
        <f t="shared" si="22"/>
        <v>0</v>
      </c>
      <c r="P464" s="1319">
        <f t="shared" si="23"/>
        <v>0</v>
      </c>
    </row>
    <row r="465" spans="1:16" hidden="1">
      <c r="A465" s="1267" t="str">
        <f>IF(AND('VOC &amp; S Gases'!E101="",'VOC &amp; S Gases'!G101=""),"",'VOC &amp; S Gases'!A101)</f>
        <v/>
      </c>
      <c r="B465" s="1259"/>
      <c r="C465" s="1321" t="str">
        <f>IF(C$371="","",('VOC &amp; S Gases'!$Q101&amp;signum2('VOC &amp; S Gases'!R101,SigFig1,SigFig2,'VOC &amp; S Gases'!$Q101)))</f>
        <v/>
      </c>
      <c r="D465" s="1273" t="str">
        <f>IF(C$371="","",('VOC &amp; S Gases'!$Q101&amp;signum2('VOC &amp; S Gases'!S101,SigFig1,SigFig2,'VOC &amp; S Gases'!$Q101)))</f>
        <v/>
      </c>
      <c r="E465" s="1322" t="str">
        <f>IF(C$371="","",(IF(C465="","",LessThan('VOC &amp; S Gases'!Q101,VND))&amp;SigNum3('VOC &amp; S Gases'!T101,SigFig1,SigFig2,'VOC &amp; S Gases'!Q101)))</f>
        <v/>
      </c>
      <c r="F465" s="1321" t="str">
        <f>IF(F$371="","",('VOC &amp; S Gases'!$D101&amp;signum2('VOC &amp; S Gases'!H101,SigFig1,SigFig2,'VOC &amp; S Gases'!$D101)))</f>
        <v/>
      </c>
      <c r="G465" s="1273" t="str">
        <f>IF(F$371="","",('VOC &amp; S Gases'!$D101&amp;signum2('VOC &amp; S Gases'!J101,SigFig1,SigFig2,'VOC &amp; S Gases'!$D101)))</f>
        <v/>
      </c>
      <c r="H465" s="1322" t="str">
        <f>IF(F$371="","",(IF(F465="","",LessThan('VOC &amp; S Gases'!D101,VND))&amp;SigNum3('VOC &amp; S Gases'!K101,SigFig1,SigFig2,'VOC &amp; S Gases'!D101)))</f>
        <v/>
      </c>
      <c r="I465" s="1321" t="str">
        <f>IF(I$371="","",('VOC &amp; S Gases'!$F101&amp;signum2('VOC &amp; S Gases'!L101,SigFig1,SigFig2,'VOC &amp; S Gases'!$F101)))</f>
        <v/>
      </c>
      <c r="J465" s="1273" t="str">
        <f>IF(I$371="","",('VOC &amp; S Gases'!$F101&amp;signum2('VOC &amp; S Gases'!N101,SigFig1,SigFig2,'VOC &amp; S Gases'!$F101)))</f>
        <v/>
      </c>
      <c r="K465" s="1322" t="str">
        <f>IF(I$371="","",(IF(I465="","",LessThan('VOC &amp; S Gases'!F101,VND))&amp;SigNum3('VOC &amp; S Gases'!O101,SigFig1,SigFig2,'VOC &amp; S Gases'!F101)))</f>
        <v/>
      </c>
      <c r="L465" s="1321"/>
      <c r="M465" s="1322"/>
      <c r="N465" s="1272"/>
      <c r="O465" s="1319">
        <f t="shared" si="22"/>
        <v>0</v>
      </c>
      <c r="P465" s="1319">
        <f t="shared" si="23"/>
        <v>0</v>
      </c>
    </row>
    <row r="466" spans="1:16" hidden="1">
      <c r="A466" s="1267" t="str">
        <f>IF(AND('VOC &amp; S Gases'!E102="",'VOC &amp; S Gases'!G102=""),"",'VOC &amp; S Gases'!A102)</f>
        <v/>
      </c>
      <c r="B466" s="1259"/>
      <c r="C466" s="1321" t="str">
        <f>IF(C$371="","",('VOC &amp; S Gases'!$Q102&amp;signum2('VOC &amp; S Gases'!R102,SigFig1,SigFig2,'VOC &amp; S Gases'!$Q102)))</f>
        <v/>
      </c>
      <c r="D466" s="1273" t="str">
        <f>IF(C$371="","",('VOC &amp; S Gases'!$Q102&amp;signum2('VOC &amp; S Gases'!S102,SigFig1,SigFig2,'VOC &amp; S Gases'!$Q102)))</f>
        <v/>
      </c>
      <c r="E466" s="1322" t="str">
        <f>IF(C$371="","",(IF(C466="","",LessThan('VOC &amp; S Gases'!Q102,VND))&amp;SigNum3('VOC &amp; S Gases'!T102,SigFig1,SigFig2,'VOC &amp; S Gases'!Q102)))</f>
        <v/>
      </c>
      <c r="F466" s="1321" t="str">
        <f>IF(F$371="","",('VOC &amp; S Gases'!$D102&amp;signum2('VOC &amp; S Gases'!H102,SigFig1,SigFig2,'VOC &amp; S Gases'!$D102)))</f>
        <v/>
      </c>
      <c r="G466" s="1273" t="str">
        <f>IF(F$371="","",('VOC &amp; S Gases'!$D102&amp;signum2('VOC &amp; S Gases'!J102,SigFig1,SigFig2,'VOC &amp; S Gases'!$D102)))</f>
        <v/>
      </c>
      <c r="H466" s="1322" t="str">
        <f>IF(F$371="","",(IF(F466="","",LessThan('VOC &amp; S Gases'!D102,VND))&amp;SigNum3('VOC &amp; S Gases'!K102,SigFig1,SigFig2,'VOC &amp; S Gases'!D102)))</f>
        <v/>
      </c>
      <c r="I466" s="1321" t="str">
        <f>IF(I$371="","",('VOC &amp; S Gases'!$F102&amp;signum2('VOC &amp; S Gases'!L102,SigFig1,SigFig2,'VOC &amp; S Gases'!$F102)))</f>
        <v/>
      </c>
      <c r="J466" s="1273" t="str">
        <f>IF(I$371="","",('VOC &amp; S Gases'!$F102&amp;signum2('VOC &amp; S Gases'!N102,SigFig1,SigFig2,'VOC &amp; S Gases'!$F102)))</f>
        <v/>
      </c>
      <c r="K466" s="1322" t="str">
        <f>IF(I$371="","",(IF(I466="","",LessThan('VOC &amp; S Gases'!F102,VND))&amp;SigNum3('VOC &amp; S Gases'!O102,SigFig1,SigFig2,'VOC &amp; S Gases'!F102)))</f>
        <v/>
      </c>
      <c r="L466" s="1321"/>
      <c r="M466" s="1322"/>
      <c r="N466" s="1272"/>
      <c r="O466" s="1319">
        <f t="shared" si="22"/>
        <v>0</v>
      </c>
      <c r="P466" s="1319">
        <f t="shared" si="23"/>
        <v>0</v>
      </c>
    </row>
    <row r="467" spans="1:16" hidden="1">
      <c r="A467" s="1267" t="str">
        <f>IF(AND('VOC &amp; S Gases'!E103="",'VOC &amp; S Gases'!G103=""),"",'VOC &amp; S Gases'!A103)</f>
        <v/>
      </c>
      <c r="B467" s="1259"/>
      <c r="C467" s="1321" t="str">
        <f>IF(C$371="","",('VOC &amp; S Gases'!$Q103&amp;signum2('VOC &amp; S Gases'!R103,SigFig1,SigFig2,'VOC &amp; S Gases'!$Q103)))</f>
        <v/>
      </c>
      <c r="D467" s="1273" t="str">
        <f>IF(C$371="","",('VOC &amp; S Gases'!$Q103&amp;signum2('VOC &amp; S Gases'!S103,SigFig1,SigFig2,'VOC &amp; S Gases'!$Q103)))</f>
        <v/>
      </c>
      <c r="E467" s="1322" t="str">
        <f>IF(C$371="","",(IF(C467="","",LessThan('VOC &amp; S Gases'!Q103,VND))&amp;SigNum3('VOC &amp; S Gases'!T103,SigFig1,SigFig2,'VOC &amp; S Gases'!Q103)))</f>
        <v/>
      </c>
      <c r="F467" s="1321" t="str">
        <f>IF(F$371="","",('VOC &amp; S Gases'!$D103&amp;signum2('VOC &amp; S Gases'!H103,SigFig1,SigFig2,'VOC &amp; S Gases'!$D103)))</f>
        <v/>
      </c>
      <c r="G467" s="1273" t="str">
        <f>IF(F$371="","",('VOC &amp; S Gases'!$D103&amp;signum2('VOC &amp; S Gases'!J103,SigFig1,SigFig2,'VOC &amp; S Gases'!$D103)))</f>
        <v/>
      </c>
      <c r="H467" s="1322" t="str">
        <f>IF(F$371="","",(IF(F467="","",LessThan('VOC &amp; S Gases'!D103,VND))&amp;SigNum3('VOC &amp; S Gases'!K103,SigFig1,SigFig2,'VOC &amp; S Gases'!D103)))</f>
        <v/>
      </c>
      <c r="I467" s="1321" t="str">
        <f>IF(I$371="","",('VOC &amp; S Gases'!$F103&amp;signum2('VOC &amp; S Gases'!L103,SigFig1,SigFig2,'VOC &amp; S Gases'!$F103)))</f>
        <v/>
      </c>
      <c r="J467" s="1273" t="str">
        <f>IF(I$371="","",('VOC &amp; S Gases'!$F103&amp;signum2('VOC &amp; S Gases'!N103,SigFig1,SigFig2,'VOC &amp; S Gases'!$F103)))</f>
        <v/>
      </c>
      <c r="K467" s="1322" t="str">
        <f>IF(I$371="","",(IF(I467="","",LessThan('VOC &amp; S Gases'!F103,VND))&amp;SigNum3('VOC &amp; S Gases'!O103,SigFig1,SigFig2,'VOC &amp; S Gases'!F103)))</f>
        <v/>
      </c>
      <c r="L467" s="1321"/>
      <c r="M467" s="1322"/>
      <c r="N467" s="1272"/>
      <c r="O467" s="1319">
        <f t="shared" si="22"/>
        <v>0</v>
      </c>
      <c r="P467" s="1319">
        <f t="shared" si="23"/>
        <v>0</v>
      </c>
    </row>
    <row r="468" spans="1:16" hidden="1">
      <c r="A468" s="1267" t="str">
        <f>IF(AND('VOC &amp; S Gases'!E104="",'VOC &amp; S Gases'!G104=""),"",'VOC &amp; S Gases'!A104)</f>
        <v/>
      </c>
      <c r="B468" s="1259"/>
      <c r="C468" s="1321" t="str">
        <f>IF(C$371="","",('VOC &amp; S Gases'!$Q104&amp;signum2('VOC &amp; S Gases'!R104,SigFig1,SigFig2,'VOC &amp; S Gases'!$Q104)))</f>
        <v/>
      </c>
      <c r="D468" s="1273" t="str">
        <f>IF(C$371="","",('VOC &amp; S Gases'!$Q104&amp;signum2('VOC &amp; S Gases'!S104,SigFig1,SigFig2,'VOC &amp; S Gases'!$Q104)))</f>
        <v/>
      </c>
      <c r="E468" s="1322" t="str">
        <f>IF(C$371="","",(IF(C468="","",LessThan('VOC &amp; S Gases'!Q104,VND))&amp;SigNum3('VOC &amp; S Gases'!T104,SigFig1,SigFig2,'VOC &amp; S Gases'!Q104)))</f>
        <v/>
      </c>
      <c r="F468" s="1321" t="str">
        <f>IF(F$371="","",('VOC &amp; S Gases'!$D104&amp;signum2('VOC &amp; S Gases'!H104,SigFig1,SigFig2,'VOC &amp; S Gases'!$D104)))</f>
        <v/>
      </c>
      <c r="G468" s="1273" t="str">
        <f>IF(F$371="","",('VOC &amp; S Gases'!$D104&amp;signum2('VOC &amp; S Gases'!J104,SigFig1,SigFig2,'VOC &amp; S Gases'!$D104)))</f>
        <v/>
      </c>
      <c r="H468" s="1322" t="str">
        <f>IF(F$371="","",(IF(F468="","",LessThan('VOC &amp; S Gases'!D104,VND))&amp;SigNum3('VOC &amp; S Gases'!K104,SigFig1,SigFig2,'VOC &amp; S Gases'!D104)))</f>
        <v/>
      </c>
      <c r="I468" s="1321" t="str">
        <f>IF(I$371="","",('VOC &amp; S Gases'!$F104&amp;signum2('VOC &amp; S Gases'!L104,SigFig1,SigFig2,'VOC &amp; S Gases'!$F104)))</f>
        <v/>
      </c>
      <c r="J468" s="1273" t="str">
        <f>IF(I$371="","",('VOC &amp; S Gases'!$F104&amp;signum2('VOC &amp; S Gases'!N104,SigFig1,SigFig2,'VOC &amp; S Gases'!$F104)))</f>
        <v/>
      </c>
      <c r="K468" s="1322" t="str">
        <f>IF(I$371="","",(IF(I468="","",LessThan('VOC &amp; S Gases'!F104,VND))&amp;SigNum3('VOC &amp; S Gases'!O104,SigFig1,SigFig2,'VOC &amp; S Gases'!F104)))</f>
        <v/>
      </c>
      <c r="L468" s="1321"/>
      <c r="M468" s="1322"/>
      <c r="N468" s="1272"/>
      <c r="O468" s="1319">
        <f t="shared" si="22"/>
        <v>0</v>
      </c>
      <c r="P468" s="1319">
        <f t="shared" si="23"/>
        <v>0</v>
      </c>
    </row>
    <row r="469" spans="1:16" hidden="1">
      <c r="A469" s="1267" t="str">
        <f>IF(AND('VOC &amp; S Gases'!E105="",'VOC &amp; S Gases'!G105=""),"",'VOC &amp; S Gases'!A105)</f>
        <v/>
      </c>
      <c r="B469" s="1259"/>
      <c r="C469" s="1321" t="str">
        <f>IF(C$371="","",('VOC &amp; S Gases'!$Q105&amp;signum2('VOC &amp; S Gases'!R105,SigFig1,SigFig2,'VOC &amp; S Gases'!$Q105)))</f>
        <v/>
      </c>
      <c r="D469" s="1273" t="str">
        <f>IF(C$371="","",('VOC &amp; S Gases'!$Q105&amp;signum2('VOC &amp; S Gases'!S105,SigFig1,SigFig2,'VOC &amp; S Gases'!$Q105)))</f>
        <v/>
      </c>
      <c r="E469" s="1322" t="str">
        <f>IF(C$371="","",(IF(C469="","",LessThan('VOC &amp; S Gases'!Q105,VND))&amp;SigNum3('VOC &amp; S Gases'!T105,SigFig1,SigFig2,'VOC &amp; S Gases'!Q105)))</f>
        <v/>
      </c>
      <c r="F469" s="1321" t="str">
        <f>IF(F$371="","",('VOC &amp; S Gases'!$D105&amp;signum2('VOC &amp; S Gases'!H105,SigFig1,SigFig2,'VOC &amp; S Gases'!$D105)))</f>
        <v/>
      </c>
      <c r="G469" s="1273" t="str">
        <f>IF(F$371="","",('VOC &amp; S Gases'!$D105&amp;signum2('VOC &amp; S Gases'!J105,SigFig1,SigFig2,'VOC &amp; S Gases'!$D105)))</f>
        <v/>
      </c>
      <c r="H469" s="1322" t="str">
        <f>IF(F$371="","",(IF(F469="","",LessThan('VOC &amp; S Gases'!D105,VND))&amp;SigNum3('VOC &amp; S Gases'!K105,SigFig1,SigFig2,'VOC &amp; S Gases'!D105)))</f>
        <v/>
      </c>
      <c r="I469" s="1321" t="str">
        <f>IF(I$371="","",('VOC &amp; S Gases'!$F105&amp;signum2('VOC &amp; S Gases'!L105,SigFig1,SigFig2,'VOC &amp; S Gases'!$F105)))</f>
        <v/>
      </c>
      <c r="J469" s="1273" t="str">
        <f>IF(I$371="","",('VOC &amp; S Gases'!$F105&amp;signum2('VOC &amp; S Gases'!N105,SigFig1,SigFig2,'VOC &amp; S Gases'!$F105)))</f>
        <v/>
      </c>
      <c r="K469" s="1322" t="str">
        <f>IF(I$371="","",(IF(I469="","",LessThan('VOC &amp; S Gases'!F105,VND))&amp;SigNum3('VOC &amp; S Gases'!O105,SigFig1,SigFig2,'VOC &amp; S Gases'!F105)))</f>
        <v/>
      </c>
      <c r="L469" s="1321"/>
      <c r="M469" s="1322"/>
      <c r="N469" s="1272"/>
      <c r="O469" s="1319">
        <f t="shared" si="22"/>
        <v>0</v>
      </c>
      <c r="P469" s="1319">
        <f t="shared" si="23"/>
        <v>0</v>
      </c>
    </row>
    <row r="470" spans="1:16" hidden="1">
      <c r="A470" s="1267" t="str">
        <f>IF(AND('VOC &amp; S Gases'!E106="",'VOC &amp; S Gases'!G106=""),"",'VOC &amp; S Gases'!A106)</f>
        <v/>
      </c>
      <c r="B470" s="1259"/>
      <c r="C470" s="1321" t="str">
        <f>IF(C$371="","",('VOC &amp; S Gases'!$Q106&amp;signum2('VOC &amp; S Gases'!R106,SigFig1,SigFig2,'VOC &amp; S Gases'!$Q106)))</f>
        <v/>
      </c>
      <c r="D470" s="1273" t="str">
        <f>IF(C$371="","",('VOC &amp; S Gases'!$Q106&amp;signum2('VOC &amp; S Gases'!S106,SigFig1,SigFig2,'VOC &amp; S Gases'!$Q106)))</f>
        <v/>
      </c>
      <c r="E470" s="1322" t="str">
        <f>IF(C$371="","",(IF(C470="","",LessThan('VOC &amp; S Gases'!Q106,VND))&amp;SigNum3('VOC &amp; S Gases'!T106,SigFig1,SigFig2,'VOC &amp; S Gases'!Q106)))</f>
        <v/>
      </c>
      <c r="F470" s="1321" t="str">
        <f>IF(F$371="","",('VOC &amp; S Gases'!$D106&amp;signum2('VOC &amp; S Gases'!H106,SigFig1,SigFig2,'VOC &amp; S Gases'!$D106)))</f>
        <v/>
      </c>
      <c r="G470" s="1273" t="str">
        <f>IF(F$371="","",('VOC &amp; S Gases'!$D106&amp;signum2('VOC &amp; S Gases'!J106,SigFig1,SigFig2,'VOC &amp; S Gases'!$D106)))</f>
        <v/>
      </c>
      <c r="H470" s="1322" t="str">
        <f>IF(F$371="","",(IF(F470="","",LessThan('VOC &amp; S Gases'!D106,VND))&amp;SigNum3('VOC &amp; S Gases'!K106,SigFig1,SigFig2,'VOC &amp; S Gases'!D106)))</f>
        <v/>
      </c>
      <c r="I470" s="1321" t="str">
        <f>IF(I$371="","",('VOC &amp; S Gases'!$F106&amp;signum2('VOC &amp; S Gases'!L106,SigFig1,SigFig2,'VOC &amp; S Gases'!$F106)))</f>
        <v/>
      </c>
      <c r="J470" s="1273" t="str">
        <f>IF(I$371="","",('VOC &amp; S Gases'!$F106&amp;signum2('VOC &amp; S Gases'!N106,SigFig1,SigFig2,'VOC &amp; S Gases'!$F106)))</f>
        <v/>
      </c>
      <c r="K470" s="1322" t="str">
        <f>IF(I$371="","",(IF(I470="","",LessThan('VOC &amp; S Gases'!F106,VND))&amp;SigNum3('VOC &amp; S Gases'!O106,SigFig1,SigFig2,'VOC &amp; S Gases'!F106)))</f>
        <v/>
      </c>
      <c r="L470" s="1321"/>
      <c r="M470" s="1322"/>
      <c r="N470" s="1272"/>
      <c r="O470" s="1319">
        <f t="shared" si="22"/>
        <v>0</v>
      </c>
      <c r="P470" s="1319">
        <f t="shared" si="23"/>
        <v>0</v>
      </c>
    </row>
    <row r="471" spans="1:16" hidden="1">
      <c r="A471" s="1371" t="s">
        <v>41</v>
      </c>
      <c r="B471" s="1371" t="s">
        <v>41</v>
      </c>
      <c r="C471" s="1371" t="s">
        <v>41</v>
      </c>
      <c r="D471" s="1371" t="s">
        <v>41</v>
      </c>
      <c r="E471" s="1371" t="s">
        <v>41</v>
      </c>
      <c r="F471" s="1371" t="s">
        <v>41</v>
      </c>
      <c r="G471" s="1371" t="s">
        <v>41</v>
      </c>
      <c r="H471" s="1371" t="s">
        <v>41</v>
      </c>
      <c r="I471" s="1371" t="s">
        <v>41</v>
      </c>
      <c r="J471" s="1371" t="s">
        <v>41</v>
      </c>
      <c r="K471" s="1371" t="s">
        <v>41</v>
      </c>
      <c r="L471" s="1325" t="s">
        <v>41</v>
      </c>
      <c r="M471" s="1325" t="s">
        <v>41</v>
      </c>
    </row>
    <row r="472" spans="1:16" hidden="1">
      <c r="A472" s="1262" t="s">
        <v>353</v>
      </c>
      <c r="B472" s="1263"/>
      <c r="C472" s="2522" t="str">
        <f>IF(OR(TestReport="All",TestReport="Average only"),"Average","")</f>
        <v>Average</v>
      </c>
      <c r="D472" s="2523"/>
      <c r="E472" s="2524"/>
      <c r="F472" s="2522" t="str">
        <f>IF(OR(TestReport="Test 2 only",TestReport="Average only"),"",IF(TestReport="Test 1 only","Results","Test 1"))</f>
        <v>Test 1</v>
      </c>
      <c r="G472" s="2523"/>
      <c r="H472" s="2524"/>
      <c r="I472" s="2522" t="str">
        <f>IF(OR(TestReport="Test 1 only",TestReport="Average only"),"",IF(TestReport="Test 2 only","Results","Test 2"))</f>
        <v>Test 2</v>
      </c>
      <c r="J472" s="2523"/>
      <c r="K472" s="2524"/>
      <c r="L472" s="2519" t="s">
        <v>62</v>
      </c>
      <c r="M472" s="2520"/>
      <c r="N472" s="1272"/>
      <c r="O472" s="2521" t="s">
        <v>369</v>
      </c>
      <c r="P472" s="2521"/>
    </row>
    <row r="473" spans="1:16" s="1416" customFormat="1" ht="17.25" hidden="1" customHeight="1">
      <c r="A473" s="1417"/>
      <c r="B473" s="1418" t="s">
        <v>98</v>
      </c>
      <c r="C473" s="1414"/>
      <c r="D473" s="1419"/>
      <c r="E473" s="1415"/>
      <c r="F473" s="2514" t="str">
        <f>IF(F$472="","",(IF('VOC &amp; S Gases'!F109="","",'VOC &amp; S Gases'!F109&amp;"-"&amp;'VOC &amp; S Gases'!F110)))</f>
        <v/>
      </c>
      <c r="G473" s="2515"/>
      <c r="H473" s="2516"/>
      <c r="I473" s="2514" t="str">
        <f>IF(I$472="","",(IF('VOC &amp; S Gases'!G109="","",'VOC &amp; S Gases'!G109&amp;"-"&amp;'VOC &amp; S Gases'!G110)))</f>
        <v/>
      </c>
      <c r="J473" s="2515"/>
      <c r="K473" s="2516"/>
      <c r="L473" s="1414"/>
      <c r="M473" s="1415"/>
      <c r="N473" s="1420"/>
    </row>
    <row r="474" spans="1:16" hidden="1">
      <c r="A474" s="1267"/>
      <c r="B474" s="1259"/>
      <c r="C474" s="1316" t="str">
        <f>IF(C472="","","Concentration")</f>
        <v>Concentration</v>
      </c>
      <c r="D474" s="1411" t="str">
        <f>IF(C472="","",O2CO2)</f>
        <v/>
      </c>
      <c r="E474" s="1318" t="str">
        <f>IF(C472="","","Mass Rate")</f>
        <v>Mass Rate</v>
      </c>
      <c r="F474" s="1316" t="str">
        <f>IF(F472="","","Concentration")</f>
        <v>Concentration</v>
      </c>
      <c r="G474" s="1411" t="str">
        <f>IF(F472="","",O2CO2)</f>
        <v/>
      </c>
      <c r="H474" s="1318" t="str">
        <f>IF(F472="","","Mass Rate")</f>
        <v>Mass Rate</v>
      </c>
      <c r="I474" s="1316" t="str">
        <f>IF(I472="","","Concentration")</f>
        <v>Concentration</v>
      </c>
      <c r="J474" s="1411" t="str">
        <f>IF(I472="","",O2CO2)</f>
        <v/>
      </c>
      <c r="K474" s="1318" t="str">
        <f>IF(I472="","","Mass Rate")</f>
        <v>Mass Rate</v>
      </c>
      <c r="L474" s="1321"/>
      <c r="M474" s="1322"/>
      <c r="N474" s="1272"/>
      <c r="O474" s="1291" t="s">
        <v>367</v>
      </c>
      <c r="P474" s="1291" t="s">
        <v>368</v>
      </c>
    </row>
    <row r="475" spans="1:16" hidden="1">
      <c r="A475" s="1267"/>
      <c r="B475" s="1259"/>
      <c r="C475" s="1313" t="str">
        <f>IF(C472="","",'VOC &amp; S Gases'!$H114)</f>
        <v>mg/m³</v>
      </c>
      <c r="D475" s="1314" t="str">
        <f>IF(C472="","",CU)</f>
        <v>mg/m³</v>
      </c>
      <c r="E475" s="1315" t="str">
        <f>IF(C472="","",MRU)</f>
        <v>g/min</v>
      </c>
      <c r="F475" s="1313" t="str">
        <f>IF(F472="","",'VOC &amp; S Gases'!$H114)</f>
        <v>mg/m³</v>
      </c>
      <c r="G475" s="1314" t="str">
        <f>IF(F472="","",CU)</f>
        <v>mg/m³</v>
      </c>
      <c r="H475" s="1315" t="str">
        <f>IF(F472="","",MRU)</f>
        <v>g/min</v>
      </c>
      <c r="I475" s="1313" t="str">
        <f>IF(I472="","",'VOC &amp; S Gases'!$H114)</f>
        <v>mg/m³</v>
      </c>
      <c r="J475" s="1314" t="str">
        <f>IF(I472="","",CU)</f>
        <v>mg/m³</v>
      </c>
      <c r="K475" s="1315" t="str">
        <f>IF(I472="","",MRU)</f>
        <v>g/min</v>
      </c>
      <c r="L475" s="1313" t="str">
        <f>CU</f>
        <v>mg/m³</v>
      </c>
      <c r="M475" s="1315" t="str">
        <f>MRU</f>
        <v>g/min</v>
      </c>
      <c r="N475" s="1272"/>
      <c r="O475" s="1291" t="str">
        <f>CU</f>
        <v>mg/m³</v>
      </c>
      <c r="P475" s="1291" t="str">
        <f>MRU</f>
        <v>g/min</v>
      </c>
    </row>
    <row r="476" spans="1:16" hidden="1">
      <c r="A476" s="1267" t="s">
        <v>1604</v>
      </c>
      <c r="B476" s="1259"/>
      <c r="C476" s="1321" t="str">
        <f>IF(C$371="","",('VOC &amp; S Gases'!$Q116&amp;signum2('VOC &amp; S Gases'!R116,SigFig1,SigFig2,'VOC &amp; S Gases'!$Q116)))</f>
        <v>&lt;</v>
      </c>
      <c r="D476" s="1273" t="str">
        <f>IF(C$371="","",('VOC &amp; S Gases'!$Q116&amp;signum2('VOC &amp; S Gases'!S116,SigFig1,SigFig2,'VOC &amp; S Gases'!$Q116)))</f>
        <v>&lt;</v>
      </c>
      <c r="E476" s="1322" t="str">
        <f>IF(C$371="","",(IF(C476="","",LessThan('VOC &amp; S Gases'!$Q116,VND))&amp;SigNum3('VOC &amp; S Gases'!T116,SigFig1,SigFig2,'VOC &amp; S Gases'!$Q116)))</f>
        <v>&lt;</v>
      </c>
      <c r="F476" s="1321" t="str">
        <f>IF(F$371="","",('VOC &amp; S Gases'!$B116&amp;signum2('VOC &amp; S Gases'!H116,SigFig1,SigFig2,'VOC &amp; S Gases'!$B116)))</f>
        <v>&lt;</v>
      </c>
      <c r="G476" s="1273" t="str">
        <f>IF(F$371="","",('VOC &amp; S Gases'!$B116&amp;signum2('VOC &amp; S Gases'!J116,SigFig1,SigFig2,'VOC &amp; S Gases'!$B116)))</f>
        <v>&lt;</v>
      </c>
      <c r="H476" s="1322" t="str">
        <f>IF(F$371="","",(IF(F476="","",LessThan('VOC &amp; S Gases'!$B116,VND))&amp;SigNum3('VOC &amp; S Gases'!K116,SigFig1,SigFig2,'VOC &amp; S Gases'!$B116)))</f>
        <v>&lt;</v>
      </c>
      <c r="I476" s="1321" t="str">
        <f>IF(I$371="","",('VOC &amp; S Gases'!$E116&amp;signum2('VOC &amp; S Gases'!L116,SigFig1,SigFig2,'VOC &amp; S Gases'!$E116)))</f>
        <v>&lt;</v>
      </c>
      <c r="J476" s="1273" t="str">
        <f>IF(I$371="","",('VOC &amp; S Gases'!$E116&amp;signum2('VOC &amp; S Gases'!N116,SigFig1,SigFig2,'VOC &amp; S Gases'!$E116)))</f>
        <v>&lt;</v>
      </c>
      <c r="K476" s="1322" t="str">
        <f>IF(I$371="","",(IF(I476="","",LessThan('VOC &amp; S Gases'!$E116,VND))&amp;SigNum3('VOC &amp; S Gases'!O116,SigFig1,SigFig2,'VOC &amp; S Gases'!$E116)))</f>
        <v>&lt;</v>
      </c>
      <c r="L476" s="1321"/>
      <c r="M476" s="1322"/>
      <c r="N476" s="1272"/>
      <c r="O476" s="1319">
        <f>MAX(IF(ISERROR(VALUE($C476)),0,VALUE($C476)),IF(ISERROR(VALUE($F476)),0,VALUE($F476)),IF(ISERROR(VALUE($I476)),0,VALUE($I476)))</f>
        <v>0</v>
      </c>
      <c r="P476" s="1319">
        <f>MAX(IF(ISERROR(VALUE($E476)),0,VALUE($E476)),IF(ISERROR(VALUE($H476)),0,VALUE($H476)),IF(ISERROR(VALUE($K476)),0,VALUE($K476)))</f>
        <v>0</v>
      </c>
    </row>
    <row r="477" spans="1:16" hidden="1">
      <c r="A477" s="1267" t="str">
        <f>IF(AND('VOC &amp; S Gases'!C117="",'VOC &amp; S Gases'!F117=""),"",'VOC &amp; S Gases'!A117)</f>
        <v/>
      </c>
      <c r="B477" s="1259"/>
      <c r="C477" s="1321" t="str">
        <f>IF(C$371="","",('VOC &amp; S Gases'!$Q117&amp;signum2('VOC &amp; S Gases'!R117,SigFig1,SigFig2,'VOC &amp; S Gases'!$Q117)))</f>
        <v/>
      </c>
      <c r="D477" s="1273" t="str">
        <f>IF(C$371="","",('VOC &amp; S Gases'!$Q117&amp;signum2('VOC &amp; S Gases'!S117,SigFig1,SigFig2,'VOC &amp; S Gases'!$Q117)))</f>
        <v/>
      </c>
      <c r="E477" s="1322" t="str">
        <f>IF(C$371="","",(IF(C477="","",LessThan('VOC &amp; S Gases'!$Q117,VND))&amp;SigNum3('VOC &amp; S Gases'!T117,SigFig1,SigFig2,'VOC &amp; S Gases'!$Q117)))</f>
        <v/>
      </c>
      <c r="F477" s="1321" t="str">
        <f>IF(F$371="","",('VOC &amp; S Gases'!$B117&amp;signum2('VOC &amp; S Gases'!H117,SigFig1,SigFig2,'VOC &amp; S Gases'!$B117)))</f>
        <v/>
      </c>
      <c r="G477" s="1273" t="str">
        <f>IF(F$371="","",('VOC &amp; S Gases'!$B117&amp;signum2('VOC &amp; S Gases'!J117,SigFig1,SigFig2,'VOC &amp; S Gases'!$B117)))</f>
        <v/>
      </c>
      <c r="H477" s="1322" t="str">
        <f>IF(F$371="","",(IF(F477="","",LessThan('VOC &amp; S Gases'!$B117,VND))&amp;SigNum3('VOC &amp; S Gases'!K117,SigFig1,SigFig2,'VOC &amp; S Gases'!$B117)))</f>
        <v/>
      </c>
      <c r="I477" s="1321" t="str">
        <f>IF(I$371="","",('VOC &amp; S Gases'!$E117&amp;signum2('VOC &amp; S Gases'!L117,SigFig1,SigFig2,'VOC &amp; S Gases'!$E117)))</f>
        <v/>
      </c>
      <c r="J477" s="1273" t="str">
        <f>IF(I$371="","",('VOC &amp; S Gases'!$E117&amp;signum2('VOC &amp; S Gases'!N117,SigFig1,SigFig2,'VOC &amp; S Gases'!$E117)))</f>
        <v/>
      </c>
      <c r="K477" s="1322" t="str">
        <f>IF(I$371="","",(IF(I477="","",LessThan('VOC &amp; S Gases'!$E117,VND))&amp;SigNum3('VOC &amp; S Gases'!O117,SigFig1,SigFig2,'VOC &amp; S Gases'!$E117)))</f>
        <v/>
      </c>
      <c r="L477" s="1321"/>
      <c r="M477" s="1322"/>
      <c r="N477" s="1272"/>
      <c r="O477" s="1319">
        <f t="shared" ref="O477:O540" si="24">MAX(IF(ISERROR(VALUE($C477)),0,VALUE($C477)),IF(ISERROR(VALUE($F477)),0,VALUE($F477)),IF(ISERROR(VALUE($I477)),0,VALUE($I477)))</f>
        <v>0</v>
      </c>
      <c r="P477" s="1319">
        <f t="shared" ref="P477:P540" si="25">MAX(IF(ISERROR(VALUE($E477)),0,VALUE($E477)),IF(ISERROR(VALUE($H477)),0,VALUE($H477)),IF(ISERROR(VALUE($K477)),0,VALUE($K477)))</f>
        <v>0</v>
      </c>
    </row>
    <row r="478" spans="1:16" hidden="1">
      <c r="A478" s="1267" t="str">
        <f>IF(AND('VOC &amp; S Gases'!C118="",'VOC &amp; S Gases'!F118=""),"",'VOC &amp; S Gases'!A118)</f>
        <v/>
      </c>
      <c r="B478" s="1259"/>
      <c r="C478" s="1321" t="str">
        <f>IF(C$371="","",('VOC &amp; S Gases'!$Q118&amp;signum2('VOC &amp; S Gases'!R118,SigFig1,SigFig2,'VOC &amp; S Gases'!$Q118)))</f>
        <v/>
      </c>
      <c r="D478" s="1273" t="str">
        <f>IF(C$371="","",('VOC &amp; S Gases'!$Q118&amp;signum2('VOC &amp; S Gases'!S118,SigFig1,SigFig2,'VOC &amp; S Gases'!$Q118)))</f>
        <v/>
      </c>
      <c r="E478" s="1322" t="str">
        <f>IF(C$371="","",(IF(C478="","",LessThan('VOC &amp; S Gases'!$Q118,VND))&amp;SigNum3('VOC &amp; S Gases'!T118,SigFig1,SigFig2,'VOC &amp; S Gases'!$Q118)))</f>
        <v/>
      </c>
      <c r="F478" s="1321" t="str">
        <f>IF(F$371="","",('VOC &amp; S Gases'!$B118&amp;signum2('VOC &amp; S Gases'!H118,SigFig1,SigFig2,'VOC &amp; S Gases'!$B118)))</f>
        <v/>
      </c>
      <c r="G478" s="1273" t="str">
        <f>IF(F$371="","",('VOC &amp; S Gases'!$B118&amp;signum2('VOC &amp; S Gases'!J118,SigFig1,SigFig2,'VOC &amp; S Gases'!$B118)))</f>
        <v/>
      </c>
      <c r="H478" s="1322" t="str">
        <f>IF(F$371="","",(IF(F478="","",LessThan('VOC &amp; S Gases'!$B118,VND))&amp;SigNum3('VOC &amp; S Gases'!K118,SigFig1,SigFig2,'VOC &amp; S Gases'!$B118)))</f>
        <v/>
      </c>
      <c r="I478" s="1321" t="str">
        <f>IF(I$371="","",('VOC &amp; S Gases'!$E118&amp;signum2('VOC &amp; S Gases'!L118,SigFig1,SigFig2,'VOC &amp; S Gases'!$E118)))</f>
        <v/>
      </c>
      <c r="J478" s="1273" t="str">
        <f>IF(I$371="","",('VOC &amp; S Gases'!$E118&amp;signum2('VOC &amp; S Gases'!N118,SigFig1,SigFig2,'VOC &amp; S Gases'!$E118)))</f>
        <v/>
      </c>
      <c r="K478" s="1322" t="str">
        <f>IF(I$371="","",(IF(I478="","",LessThan('VOC &amp; S Gases'!$E118,VND))&amp;SigNum3('VOC &amp; S Gases'!O118,SigFig1,SigFig2,'VOC &amp; S Gases'!$E118)))</f>
        <v/>
      </c>
      <c r="L478" s="1321"/>
      <c r="M478" s="1322"/>
      <c r="N478" s="1272"/>
      <c r="O478" s="1319">
        <f t="shared" si="24"/>
        <v>0</v>
      </c>
      <c r="P478" s="1319">
        <f t="shared" si="25"/>
        <v>0</v>
      </c>
    </row>
    <row r="479" spans="1:16" hidden="1">
      <c r="A479" s="1267" t="str">
        <f>IF(AND('VOC &amp; S Gases'!C119="",'VOC &amp; S Gases'!F119=""),"",'VOC &amp; S Gases'!A119)</f>
        <v/>
      </c>
      <c r="B479" s="1259"/>
      <c r="C479" s="1321" t="str">
        <f>IF(C$371="","",('VOC &amp; S Gases'!$Q119&amp;signum2('VOC &amp; S Gases'!R119,SigFig1,SigFig2,'VOC &amp; S Gases'!$Q119)))</f>
        <v/>
      </c>
      <c r="D479" s="1273" t="str">
        <f>IF(C$371="","",('VOC &amp; S Gases'!$Q119&amp;signum2('VOC &amp; S Gases'!S119,SigFig1,SigFig2,'VOC &amp; S Gases'!$Q119)))</f>
        <v/>
      </c>
      <c r="E479" s="1322" t="str">
        <f>IF(C$371="","",(IF(C479="","",LessThan('VOC &amp; S Gases'!$Q119,VND))&amp;SigNum3('VOC &amp; S Gases'!T119,SigFig1,SigFig2,'VOC &amp; S Gases'!$Q119)))</f>
        <v/>
      </c>
      <c r="F479" s="1321" t="str">
        <f>IF(F$371="","",('VOC &amp; S Gases'!$B119&amp;signum2('VOC &amp; S Gases'!H119,SigFig1,SigFig2,'VOC &amp; S Gases'!$B119)))</f>
        <v/>
      </c>
      <c r="G479" s="1273" t="str">
        <f>IF(F$371="","",('VOC &amp; S Gases'!$B119&amp;signum2('VOC &amp; S Gases'!J119,SigFig1,SigFig2,'VOC &amp; S Gases'!$B119)))</f>
        <v/>
      </c>
      <c r="H479" s="1322" t="str">
        <f>IF(F$371="","",(IF(F479="","",LessThan('VOC &amp; S Gases'!$B119,VND))&amp;SigNum3('VOC &amp; S Gases'!K119,SigFig1,SigFig2,'VOC &amp; S Gases'!$B119)))</f>
        <v/>
      </c>
      <c r="I479" s="1321" t="str">
        <f>IF(I$371="","",('VOC &amp; S Gases'!$E119&amp;signum2('VOC &amp; S Gases'!L119,SigFig1,SigFig2,'VOC &amp; S Gases'!$E119)))</f>
        <v/>
      </c>
      <c r="J479" s="1273" t="str">
        <f>IF(I$371="","",('VOC &amp; S Gases'!$E119&amp;signum2('VOC &amp; S Gases'!N119,SigFig1,SigFig2,'VOC &amp; S Gases'!$E119)))</f>
        <v/>
      </c>
      <c r="K479" s="1322" t="str">
        <f>IF(I$371="","",(IF(I479="","",LessThan('VOC &amp; S Gases'!$E119,VND))&amp;SigNum3('VOC &amp; S Gases'!O119,SigFig1,SigFig2,'VOC &amp; S Gases'!$E119)))</f>
        <v/>
      </c>
      <c r="L479" s="1321"/>
      <c r="M479" s="1322"/>
      <c r="N479" s="1272"/>
      <c r="O479" s="1319">
        <f t="shared" si="24"/>
        <v>0</v>
      </c>
      <c r="P479" s="1319">
        <f t="shared" si="25"/>
        <v>0</v>
      </c>
    </row>
    <row r="480" spans="1:16" hidden="1">
      <c r="A480" s="1267" t="str">
        <f>IF(AND('VOC &amp; S Gases'!C120="",'VOC &amp; S Gases'!F120=""),"",'VOC &amp; S Gases'!A120)</f>
        <v/>
      </c>
      <c r="B480" s="1259"/>
      <c r="C480" s="1321" t="str">
        <f>IF(C$371="","",('VOC &amp; S Gases'!$Q120&amp;signum2('VOC &amp; S Gases'!R120,SigFig1,SigFig2,'VOC &amp; S Gases'!$Q120)))</f>
        <v/>
      </c>
      <c r="D480" s="1273" t="str">
        <f>IF(C$371="","",('VOC &amp; S Gases'!$Q120&amp;signum2('VOC &amp; S Gases'!S120,SigFig1,SigFig2,'VOC &amp; S Gases'!$Q120)))</f>
        <v/>
      </c>
      <c r="E480" s="1322" t="str">
        <f>IF(C$371="","",(IF(C480="","",LessThan('VOC &amp; S Gases'!$Q120,VND))&amp;SigNum3('VOC &amp; S Gases'!T120,SigFig1,SigFig2,'VOC &amp; S Gases'!$Q120)))</f>
        <v/>
      </c>
      <c r="F480" s="1321" t="str">
        <f>IF(F$371="","",('VOC &amp; S Gases'!$B120&amp;signum2('VOC &amp; S Gases'!H120,SigFig1,SigFig2,'VOC &amp; S Gases'!$B120)))</f>
        <v/>
      </c>
      <c r="G480" s="1273" t="str">
        <f>IF(F$371="","",('VOC &amp; S Gases'!$B120&amp;signum2('VOC &amp; S Gases'!J120,SigFig1,SigFig2,'VOC &amp; S Gases'!$B120)))</f>
        <v/>
      </c>
      <c r="H480" s="1322" t="str">
        <f>IF(F$371="","",(IF(F480="","",LessThan('VOC &amp; S Gases'!$B120,VND))&amp;SigNum3('VOC &amp; S Gases'!K120,SigFig1,SigFig2,'VOC &amp; S Gases'!$B120)))</f>
        <v/>
      </c>
      <c r="I480" s="1321" t="str">
        <f>IF(I$371="","",('VOC &amp; S Gases'!$E120&amp;signum2('VOC &amp; S Gases'!L120,SigFig1,SigFig2,'VOC &amp; S Gases'!$E120)))</f>
        <v/>
      </c>
      <c r="J480" s="1273" t="str">
        <f>IF(I$371="","",('VOC &amp; S Gases'!$E120&amp;signum2('VOC &amp; S Gases'!N120,SigFig1,SigFig2,'VOC &amp; S Gases'!$E120)))</f>
        <v/>
      </c>
      <c r="K480" s="1322" t="str">
        <f>IF(I$371="","",(IF(I480="","",LessThan('VOC &amp; S Gases'!$E120,VND))&amp;SigNum3('VOC &amp; S Gases'!O120,SigFig1,SigFig2,'VOC &amp; S Gases'!$E120)))</f>
        <v/>
      </c>
      <c r="L480" s="1321"/>
      <c r="M480" s="1322"/>
      <c r="N480" s="1272"/>
      <c r="O480" s="1319">
        <f t="shared" si="24"/>
        <v>0</v>
      </c>
      <c r="P480" s="1319">
        <f t="shared" si="25"/>
        <v>0</v>
      </c>
    </row>
    <row r="481" spans="1:16" hidden="1">
      <c r="A481" s="1267" t="str">
        <f>IF(AND('VOC &amp; S Gases'!C121="",'VOC &amp; S Gases'!F121=""),"",'VOC &amp; S Gases'!A121)</f>
        <v/>
      </c>
      <c r="B481" s="1259"/>
      <c r="C481" s="1321" t="str">
        <f>IF(C$371="","",('VOC &amp; S Gases'!$Q121&amp;signum2('VOC &amp; S Gases'!R121,SigFig1,SigFig2,'VOC &amp; S Gases'!$Q121)))</f>
        <v/>
      </c>
      <c r="D481" s="1273" t="str">
        <f>IF(C$371="","",('VOC &amp; S Gases'!$Q121&amp;signum2('VOC &amp; S Gases'!S121,SigFig1,SigFig2,'VOC &amp; S Gases'!$Q121)))</f>
        <v/>
      </c>
      <c r="E481" s="1322" t="str">
        <f>IF(C$371="","",(IF(C481="","",LessThan('VOC &amp; S Gases'!$Q121,VND))&amp;SigNum3('VOC &amp; S Gases'!T121,SigFig1,SigFig2,'VOC &amp; S Gases'!$Q121)))</f>
        <v/>
      </c>
      <c r="F481" s="1321" t="str">
        <f>IF(F$371="","",('VOC &amp; S Gases'!$B121&amp;signum2('VOC &amp; S Gases'!H121,SigFig1,SigFig2,'VOC &amp; S Gases'!$B121)))</f>
        <v/>
      </c>
      <c r="G481" s="1273" t="str">
        <f>IF(F$371="","",('VOC &amp; S Gases'!$B121&amp;signum2('VOC &amp; S Gases'!J121,SigFig1,SigFig2,'VOC &amp; S Gases'!$B121)))</f>
        <v/>
      </c>
      <c r="H481" s="1322" t="str">
        <f>IF(F$371="","",(IF(F481="","",LessThan('VOC &amp; S Gases'!$B121,VND))&amp;SigNum3('VOC &amp; S Gases'!K121,SigFig1,SigFig2,'VOC &amp; S Gases'!$B121)))</f>
        <v/>
      </c>
      <c r="I481" s="1321" t="str">
        <f>IF(I$371="","",('VOC &amp; S Gases'!$E121&amp;signum2('VOC &amp; S Gases'!L121,SigFig1,SigFig2,'VOC &amp; S Gases'!$E121)))</f>
        <v/>
      </c>
      <c r="J481" s="1273" t="str">
        <f>IF(I$371="","",('VOC &amp; S Gases'!$E121&amp;signum2('VOC &amp; S Gases'!N121,SigFig1,SigFig2,'VOC &amp; S Gases'!$E121)))</f>
        <v/>
      </c>
      <c r="K481" s="1322" t="str">
        <f>IF(I$371="","",(IF(I481="","",LessThan('VOC &amp; S Gases'!$E121,VND))&amp;SigNum3('VOC &amp; S Gases'!O121,SigFig1,SigFig2,'VOC &amp; S Gases'!$E121)))</f>
        <v/>
      </c>
      <c r="L481" s="1321"/>
      <c r="M481" s="1322"/>
      <c r="N481" s="1272"/>
      <c r="O481" s="1319">
        <f t="shared" si="24"/>
        <v>0</v>
      </c>
      <c r="P481" s="1319">
        <f t="shared" si="25"/>
        <v>0</v>
      </c>
    </row>
    <row r="482" spans="1:16" hidden="1">
      <c r="A482" s="1267" t="str">
        <f>IF(AND('VOC &amp; S Gases'!C122="",'VOC &amp; S Gases'!F122=""),"",'VOC &amp; S Gases'!A122)</f>
        <v/>
      </c>
      <c r="B482" s="1259"/>
      <c r="C482" s="1321" t="str">
        <f>IF(C$371="","",('VOC &amp; S Gases'!$Q122&amp;signum2('VOC &amp; S Gases'!R122,SigFig1,SigFig2,'VOC &amp; S Gases'!$Q122)))</f>
        <v/>
      </c>
      <c r="D482" s="1273" t="str">
        <f>IF(C$371="","",('VOC &amp; S Gases'!$Q122&amp;signum2('VOC &amp; S Gases'!S122,SigFig1,SigFig2,'VOC &amp; S Gases'!$Q122)))</f>
        <v/>
      </c>
      <c r="E482" s="1322" t="str">
        <f>IF(C$371="","",(IF(C482="","",LessThan('VOC &amp; S Gases'!$Q122,VND))&amp;SigNum3('VOC &amp; S Gases'!T122,SigFig1,SigFig2,'VOC &amp; S Gases'!$Q122)))</f>
        <v/>
      </c>
      <c r="F482" s="1321" t="str">
        <f>IF(F$371="","",('VOC &amp; S Gases'!$B122&amp;signum2('VOC &amp; S Gases'!H122,SigFig1,SigFig2,'VOC &amp; S Gases'!$B122)))</f>
        <v/>
      </c>
      <c r="G482" s="1273" t="str">
        <f>IF(F$371="","",('VOC &amp; S Gases'!$B122&amp;signum2('VOC &amp; S Gases'!J122,SigFig1,SigFig2,'VOC &amp; S Gases'!$B122)))</f>
        <v/>
      </c>
      <c r="H482" s="1322" t="str">
        <f>IF(F$371="","",(IF(F482="","",LessThan('VOC &amp; S Gases'!$B122,VND))&amp;SigNum3('VOC &amp; S Gases'!K122,SigFig1,SigFig2,'VOC &amp; S Gases'!$B122)))</f>
        <v/>
      </c>
      <c r="I482" s="1321" t="str">
        <f>IF(I$371="","",('VOC &amp; S Gases'!$E122&amp;signum2('VOC &amp; S Gases'!L122,SigFig1,SigFig2,'VOC &amp; S Gases'!$E122)))</f>
        <v/>
      </c>
      <c r="J482" s="1273" t="str">
        <f>IF(I$371="","",('VOC &amp; S Gases'!$E122&amp;signum2('VOC &amp; S Gases'!N122,SigFig1,SigFig2,'VOC &amp; S Gases'!$E122)))</f>
        <v/>
      </c>
      <c r="K482" s="1322" t="str">
        <f>IF(I$371="","",(IF(I482="","",LessThan('VOC &amp; S Gases'!$E122,VND))&amp;SigNum3('VOC &amp; S Gases'!O122,SigFig1,SigFig2,'VOC &amp; S Gases'!$E122)))</f>
        <v/>
      </c>
      <c r="L482" s="1321"/>
      <c r="M482" s="1322"/>
      <c r="N482" s="1272"/>
      <c r="O482" s="1319">
        <f t="shared" si="24"/>
        <v>0</v>
      </c>
      <c r="P482" s="1319">
        <f t="shared" si="25"/>
        <v>0</v>
      </c>
    </row>
    <row r="483" spans="1:16" hidden="1">
      <c r="A483" s="1267" t="str">
        <f>IF(AND('VOC &amp; S Gases'!C123="",'VOC &amp; S Gases'!F123=""),"",'VOC &amp; S Gases'!A123)</f>
        <v/>
      </c>
      <c r="B483" s="1259"/>
      <c r="C483" s="1321" t="str">
        <f>IF(C$371="","",('VOC &amp; S Gases'!$Q123&amp;signum2('VOC &amp; S Gases'!R123,SigFig1,SigFig2,'VOC &amp; S Gases'!$Q123)))</f>
        <v/>
      </c>
      <c r="D483" s="1273" t="str">
        <f>IF(C$371="","",('VOC &amp; S Gases'!$Q123&amp;signum2('VOC &amp; S Gases'!S123,SigFig1,SigFig2,'VOC &amp; S Gases'!$Q123)))</f>
        <v/>
      </c>
      <c r="E483" s="1322" t="str">
        <f>IF(C$371="","",(IF(C483="","",LessThan('VOC &amp; S Gases'!$Q123,VND))&amp;SigNum3('VOC &amp; S Gases'!T123,SigFig1,SigFig2,'VOC &amp; S Gases'!$Q123)))</f>
        <v/>
      </c>
      <c r="F483" s="1321" t="str">
        <f>IF(F$371="","",('VOC &amp; S Gases'!$B123&amp;signum2('VOC &amp; S Gases'!H123,SigFig1,SigFig2,'VOC &amp; S Gases'!$B123)))</f>
        <v/>
      </c>
      <c r="G483" s="1273" t="str">
        <f>IF(F$371="","",('VOC &amp; S Gases'!$B123&amp;signum2('VOC &amp; S Gases'!J123,SigFig1,SigFig2,'VOC &amp; S Gases'!$B123)))</f>
        <v/>
      </c>
      <c r="H483" s="1322" t="str">
        <f>IF(F$371="","",(IF(F483="","",LessThan('VOC &amp; S Gases'!$B123,VND))&amp;SigNum3('VOC &amp; S Gases'!K123,SigFig1,SigFig2,'VOC &amp; S Gases'!$B123)))</f>
        <v/>
      </c>
      <c r="I483" s="1321" t="str">
        <f>IF(I$371="","",('VOC &amp; S Gases'!$E123&amp;signum2('VOC &amp; S Gases'!L123,SigFig1,SigFig2,'VOC &amp; S Gases'!$E123)))</f>
        <v/>
      </c>
      <c r="J483" s="1273" t="str">
        <f>IF(I$371="","",('VOC &amp; S Gases'!$E123&amp;signum2('VOC &amp; S Gases'!N123,SigFig1,SigFig2,'VOC &amp; S Gases'!$E123)))</f>
        <v/>
      </c>
      <c r="K483" s="1322" t="str">
        <f>IF(I$371="","",(IF(I483="","",LessThan('VOC &amp; S Gases'!$E123,VND))&amp;SigNum3('VOC &amp; S Gases'!O123,SigFig1,SigFig2,'VOC &amp; S Gases'!$E123)))</f>
        <v/>
      </c>
      <c r="L483" s="1321"/>
      <c r="M483" s="1322"/>
      <c r="N483" s="1272"/>
      <c r="O483" s="1319">
        <f t="shared" si="24"/>
        <v>0</v>
      </c>
      <c r="P483" s="1319">
        <f t="shared" si="25"/>
        <v>0</v>
      </c>
    </row>
    <row r="484" spans="1:16" hidden="1">
      <c r="A484" s="1267" t="str">
        <f>IF(AND('VOC &amp; S Gases'!C124="",'VOC &amp; S Gases'!F124=""),"",'VOC &amp; S Gases'!A124)</f>
        <v/>
      </c>
      <c r="B484" s="1259"/>
      <c r="C484" s="1321" t="str">
        <f>IF(C$371="","",('VOC &amp; S Gases'!$Q124&amp;signum2('VOC &amp; S Gases'!R124,SigFig1,SigFig2,'VOC &amp; S Gases'!$Q124)))</f>
        <v/>
      </c>
      <c r="D484" s="1273" t="str">
        <f>IF(C$371="","",('VOC &amp; S Gases'!$Q124&amp;signum2('VOC &amp; S Gases'!S124,SigFig1,SigFig2,'VOC &amp; S Gases'!$Q124)))</f>
        <v/>
      </c>
      <c r="E484" s="1322" t="str">
        <f>IF(C$371="","",(IF(C484="","",LessThan('VOC &amp; S Gases'!$Q124,VND))&amp;SigNum3('VOC &amp; S Gases'!T124,SigFig1,SigFig2,'VOC &amp; S Gases'!$Q124)))</f>
        <v/>
      </c>
      <c r="F484" s="1321" t="str">
        <f>IF(F$371="","",('VOC &amp; S Gases'!$B124&amp;signum2('VOC &amp; S Gases'!H124,SigFig1,SigFig2,'VOC &amp; S Gases'!$B124)))</f>
        <v/>
      </c>
      <c r="G484" s="1273" t="str">
        <f>IF(F$371="","",('VOC &amp; S Gases'!$B124&amp;signum2('VOC &amp; S Gases'!J124,SigFig1,SigFig2,'VOC &amp; S Gases'!$B124)))</f>
        <v/>
      </c>
      <c r="H484" s="1322" t="str">
        <f>IF(F$371="","",(IF(F484="","",LessThan('VOC &amp; S Gases'!$B124,VND))&amp;SigNum3('VOC &amp; S Gases'!K124,SigFig1,SigFig2,'VOC &amp; S Gases'!$B124)))</f>
        <v/>
      </c>
      <c r="I484" s="1321" t="str">
        <f>IF(I$371="","",('VOC &amp; S Gases'!$E124&amp;signum2('VOC &amp; S Gases'!L124,SigFig1,SigFig2,'VOC &amp; S Gases'!$E124)))</f>
        <v/>
      </c>
      <c r="J484" s="1273" t="str">
        <f>IF(I$371="","",('VOC &amp; S Gases'!$E124&amp;signum2('VOC &amp; S Gases'!N124,SigFig1,SigFig2,'VOC &amp; S Gases'!$E124)))</f>
        <v/>
      </c>
      <c r="K484" s="1322" t="str">
        <f>IF(I$371="","",(IF(I484="","",LessThan('VOC &amp; S Gases'!$E124,VND))&amp;SigNum3('VOC &amp; S Gases'!O124,SigFig1,SigFig2,'VOC &amp; S Gases'!$E124)))</f>
        <v/>
      </c>
      <c r="L484" s="1321"/>
      <c r="M484" s="1322"/>
      <c r="N484" s="1272"/>
      <c r="O484" s="1319">
        <f t="shared" si="24"/>
        <v>0</v>
      </c>
      <c r="P484" s="1319">
        <f t="shared" si="25"/>
        <v>0</v>
      </c>
    </row>
    <row r="485" spans="1:16" hidden="1">
      <c r="A485" s="1267" t="str">
        <f>IF(AND('VOC &amp; S Gases'!C125="",'VOC &amp; S Gases'!F125=""),"",'VOC &amp; S Gases'!A125)</f>
        <v/>
      </c>
      <c r="B485" s="1259"/>
      <c r="C485" s="1321" t="str">
        <f>IF(C$371="","",('VOC &amp; S Gases'!$Q125&amp;signum2('VOC &amp; S Gases'!R125,SigFig1,SigFig2,'VOC &amp; S Gases'!$Q125)))</f>
        <v/>
      </c>
      <c r="D485" s="1273" t="str">
        <f>IF(C$371="","",('VOC &amp; S Gases'!$Q125&amp;signum2('VOC &amp; S Gases'!S125,SigFig1,SigFig2,'VOC &amp; S Gases'!$Q125)))</f>
        <v/>
      </c>
      <c r="E485" s="1322" t="str">
        <f>IF(C$371="","",(IF(C485="","",LessThan('VOC &amp; S Gases'!$Q125,VND))&amp;SigNum3('VOC &amp; S Gases'!T125,SigFig1,SigFig2,'VOC &amp; S Gases'!$Q125)))</f>
        <v/>
      </c>
      <c r="F485" s="1321" t="str">
        <f>IF(F$371="","",('VOC &amp; S Gases'!$B125&amp;signum2('VOC &amp; S Gases'!H125,SigFig1,SigFig2,'VOC &amp; S Gases'!$B125)))</f>
        <v/>
      </c>
      <c r="G485" s="1273" t="str">
        <f>IF(F$371="","",('VOC &amp; S Gases'!$B125&amp;signum2('VOC &amp; S Gases'!J125,SigFig1,SigFig2,'VOC &amp; S Gases'!$B125)))</f>
        <v/>
      </c>
      <c r="H485" s="1322" t="str">
        <f>IF(F$371="","",(IF(F485="","",LessThan('VOC &amp; S Gases'!$B125,VND))&amp;SigNum3('VOC &amp; S Gases'!K125,SigFig1,SigFig2,'VOC &amp; S Gases'!$B125)))</f>
        <v/>
      </c>
      <c r="I485" s="1321" t="str">
        <f>IF(I$371="","",('VOC &amp; S Gases'!$E125&amp;signum2('VOC &amp; S Gases'!L125,SigFig1,SigFig2,'VOC &amp; S Gases'!$E125)))</f>
        <v/>
      </c>
      <c r="J485" s="1273" t="str">
        <f>IF(I$371="","",('VOC &amp; S Gases'!$E125&amp;signum2('VOC &amp; S Gases'!N125,SigFig1,SigFig2,'VOC &amp; S Gases'!$E125)))</f>
        <v/>
      </c>
      <c r="K485" s="1322" t="str">
        <f>IF(I$371="","",(IF(I485="","",LessThan('VOC &amp; S Gases'!$E125,VND))&amp;SigNum3('VOC &amp; S Gases'!O125,SigFig1,SigFig2,'VOC &amp; S Gases'!$E125)))</f>
        <v/>
      </c>
      <c r="L485" s="1321"/>
      <c r="M485" s="1322"/>
      <c r="N485" s="1272"/>
      <c r="O485" s="1319">
        <f t="shared" si="24"/>
        <v>0</v>
      </c>
      <c r="P485" s="1319">
        <f t="shared" si="25"/>
        <v>0</v>
      </c>
    </row>
    <row r="486" spans="1:16" hidden="1">
      <c r="A486" s="1267" t="str">
        <f>IF(AND('VOC &amp; S Gases'!C126="",'VOC &amp; S Gases'!F126=""),"",'VOC &amp; S Gases'!A126)</f>
        <v/>
      </c>
      <c r="B486" s="1259"/>
      <c r="C486" s="1321" t="str">
        <f>IF(C$371="","",('VOC &amp; S Gases'!$Q126&amp;signum2('VOC &amp; S Gases'!R126,SigFig1,SigFig2,'VOC &amp; S Gases'!$Q126)))</f>
        <v/>
      </c>
      <c r="D486" s="1273" t="str">
        <f>IF(C$371="","",('VOC &amp; S Gases'!$Q126&amp;signum2('VOC &amp; S Gases'!S126,SigFig1,SigFig2,'VOC &amp; S Gases'!$Q126)))</f>
        <v/>
      </c>
      <c r="E486" s="1322" t="str">
        <f>IF(C$371="","",(IF(C486="","",LessThan('VOC &amp; S Gases'!$Q126,VND))&amp;SigNum3('VOC &amp; S Gases'!T126,SigFig1,SigFig2,'VOC &amp; S Gases'!$Q126)))</f>
        <v/>
      </c>
      <c r="F486" s="1321" t="str">
        <f>IF(F$371="","",('VOC &amp; S Gases'!$B126&amp;signum2('VOC &amp; S Gases'!H126,SigFig1,SigFig2,'VOC &amp; S Gases'!$B126)))</f>
        <v/>
      </c>
      <c r="G486" s="1273" t="str">
        <f>IF(F$371="","",('VOC &amp; S Gases'!$B126&amp;signum2('VOC &amp; S Gases'!J126,SigFig1,SigFig2,'VOC &amp; S Gases'!$B126)))</f>
        <v/>
      </c>
      <c r="H486" s="1322" t="str">
        <f>IF(F$371="","",(IF(F486="","",LessThan('VOC &amp; S Gases'!$B126,VND))&amp;SigNum3('VOC &amp; S Gases'!K126,SigFig1,SigFig2,'VOC &amp; S Gases'!$B126)))</f>
        <v/>
      </c>
      <c r="I486" s="1321" t="str">
        <f>IF(I$371="","",('VOC &amp; S Gases'!$E126&amp;signum2('VOC &amp; S Gases'!L126,SigFig1,SigFig2,'VOC &amp; S Gases'!$E126)))</f>
        <v/>
      </c>
      <c r="J486" s="1273" t="str">
        <f>IF(I$371="","",('VOC &amp; S Gases'!$E126&amp;signum2('VOC &amp; S Gases'!N126,SigFig1,SigFig2,'VOC &amp; S Gases'!$E126)))</f>
        <v/>
      </c>
      <c r="K486" s="1322" t="str">
        <f>IF(I$371="","",(IF(I486="","",LessThan('VOC &amp; S Gases'!$E126,VND))&amp;SigNum3('VOC &amp; S Gases'!O126,SigFig1,SigFig2,'VOC &amp; S Gases'!$E126)))</f>
        <v/>
      </c>
      <c r="L486" s="1321"/>
      <c r="M486" s="1322"/>
      <c r="N486" s="1272"/>
      <c r="O486" s="1319">
        <f t="shared" si="24"/>
        <v>0</v>
      </c>
      <c r="P486" s="1319">
        <f t="shared" si="25"/>
        <v>0</v>
      </c>
    </row>
    <row r="487" spans="1:16" hidden="1">
      <c r="A487" s="1267" t="str">
        <f>IF(AND('VOC &amp; S Gases'!C127="",'VOC &amp; S Gases'!F127=""),"",'VOC &amp; S Gases'!A127)</f>
        <v/>
      </c>
      <c r="B487" s="1259"/>
      <c r="C487" s="1321" t="str">
        <f>IF(C$371="","",('VOC &amp; S Gases'!$Q127&amp;signum2('VOC &amp; S Gases'!R127,SigFig1,SigFig2,'VOC &amp; S Gases'!$Q127)))</f>
        <v/>
      </c>
      <c r="D487" s="1273" t="str">
        <f>IF(C$371="","",('VOC &amp; S Gases'!$Q127&amp;signum2('VOC &amp; S Gases'!S127,SigFig1,SigFig2,'VOC &amp; S Gases'!$Q127)))</f>
        <v/>
      </c>
      <c r="E487" s="1322" t="str">
        <f>IF(C$371="","",(IF(C487="","",LessThan('VOC &amp; S Gases'!$Q127,VND))&amp;SigNum3('VOC &amp; S Gases'!T127,SigFig1,SigFig2,'VOC &amp; S Gases'!$Q127)))</f>
        <v/>
      </c>
      <c r="F487" s="1321" t="str">
        <f>IF(F$371="","",('VOC &amp; S Gases'!$B127&amp;signum2('VOC &amp; S Gases'!H127,SigFig1,SigFig2,'VOC &amp; S Gases'!$B127)))</f>
        <v/>
      </c>
      <c r="G487" s="1273" t="str">
        <f>IF(F$371="","",('VOC &amp; S Gases'!$B127&amp;signum2('VOC &amp; S Gases'!J127,SigFig1,SigFig2,'VOC &amp; S Gases'!$B127)))</f>
        <v/>
      </c>
      <c r="H487" s="1322" t="str">
        <f>IF(F$371="","",(IF(F487="","",LessThan('VOC &amp; S Gases'!$B127,VND))&amp;SigNum3('VOC &amp; S Gases'!K127,SigFig1,SigFig2,'VOC &amp; S Gases'!$B127)))</f>
        <v/>
      </c>
      <c r="I487" s="1321" t="str">
        <f>IF(I$371="","",('VOC &amp; S Gases'!$E127&amp;signum2('VOC &amp; S Gases'!L127,SigFig1,SigFig2,'VOC &amp; S Gases'!$E127)))</f>
        <v/>
      </c>
      <c r="J487" s="1273" t="str">
        <f>IF(I$371="","",('VOC &amp; S Gases'!$E127&amp;signum2('VOC &amp; S Gases'!N127,SigFig1,SigFig2,'VOC &amp; S Gases'!$E127)))</f>
        <v/>
      </c>
      <c r="K487" s="1322" t="str">
        <f>IF(I$371="","",(IF(I487="","",LessThan('VOC &amp; S Gases'!$E127,VND))&amp;SigNum3('VOC &amp; S Gases'!O127,SigFig1,SigFig2,'VOC &amp; S Gases'!$E127)))</f>
        <v/>
      </c>
      <c r="L487" s="1321"/>
      <c r="M487" s="1322"/>
      <c r="N487" s="1272"/>
      <c r="O487" s="1319">
        <f t="shared" si="24"/>
        <v>0</v>
      </c>
      <c r="P487" s="1319">
        <f t="shared" si="25"/>
        <v>0</v>
      </c>
    </row>
    <row r="488" spans="1:16" hidden="1">
      <c r="A488" s="1267" t="str">
        <f>IF(AND('VOC &amp; S Gases'!C128="",'VOC &amp; S Gases'!F128=""),"",'VOC &amp; S Gases'!A128)</f>
        <v/>
      </c>
      <c r="B488" s="1259"/>
      <c r="C488" s="1321" t="str">
        <f>IF(C$371="","",('VOC &amp; S Gases'!$Q128&amp;signum2('VOC &amp; S Gases'!R128,SigFig1,SigFig2,'VOC &amp; S Gases'!$Q128)))</f>
        <v/>
      </c>
      <c r="D488" s="1273" t="str">
        <f>IF(C$371="","",('VOC &amp; S Gases'!$Q128&amp;signum2('VOC &amp; S Gases'!S128,SigFig1,SigFig2,'VOC &amp; S Gases'!$Q128)))</f>
        <v/>
      </c>
      <c r="E488" s="1322" t="str">
        <f>IF(C$371="","",(IF(C488="","",LessThan('VOC &amp; S Gases'!$Q128,VND))&amp;SigNum3('VOC &amp; S Gases'!T128,SigFig1,SigFig2,'VOC &amp; S Gases'!$Q128)))</f>
        <v/>
      </c>
      <c r="F488" s="1321" t="str">
        <f>IF(F$371="","",('VOC &amp; S Gases'!$B128&amp;signum2('VOC &amp; S Gases'!H128,SigFig1,SigFig2,'VOC &amp; S Gases'!$B128)))</f>
        <v/>
      </c>
      <c r="G488" s="1273" t="str">
        <f>IF(F$371="","",('VOC &amp; S Gases'!$B128&amp;signum2('VOC &amp; S Gases'!J128,SigFig1,SigFig2,'VOC &amp; S Gases'!$B128)))</f>
        <v/>
      </c>
      <c r="H488" s="1322" t="str">
        <f>IF(F$371="","",(IF(F488="","",LessThan('VOC &amp; S Gases'!$B128,VND))&amp;SigNum3('VOC &amp; S Gases'!K128,SigFig1,SigFig2,'VOC &amp; S Gases'!$B128)))</f>
        <v/>
      </c>
      <c r="I488" s="1321" t="str">
        <f>IF(I$371="","",('VOC &amp; S Gases'!$E128&amp;signum2('VOC &amp; S Gases'!L128,SigFig1,SigFig2,'VOC &amp; S Gases'!$E128)))</f>
        <v/>
      </c>
      <c r="J488" s="1273" t="str">
        <f>IF(I$371="","",('VOC &amp; S Gases'!$E128&amp;signum2('VOC &amp; S Gases'!N128,SigFig1,SigFig2,'VOC &amp; S Gases'!$E128)))</f>
        <v/>
      </c>
      <c r="K488" s="1322" t="str">
        <f>IF(I$371="","",(IF(I488="","",LessThan('VOC &amp; S Gases'!$E128,VND))&amp;SigNum3('VOC &amp; S Gases'!O128,SigFig1,SigFig2,'VOC &amp; S Gases'!$E128)))</f>
        <v/>
      </c>
      <c r="L488" s="1321"/>
      <c r="M488" s="1322"/>
      <c r="N488" s="1272"/>
      <c r="O488" s="1319">
        <f t="shared" si="24"/>
        <v>0</v>
      </c>
      <c r="P488" s="1319">
        <f t="shared" si="25"/>
        <v>0</v>
      </c>
    </row>
    <row r="489" spans="1:16" hidden="1">
      <c r="A489" s="1267" t="str">
        <f>IF(AND('VOC &amp; S Gases'!C129="",'VOC &amp; S Gases'!F129=""),"",'VOC &amp; S Gases'!A129)</f>
        <v/>
      </c>
      <c r="B489" s="1259"/>
      <c r="C489" s="1321" t="str">
        <f>IF(C$371="","",('VOC &amp; S Gases'!$Q129&amp;signum2('VOC &amp; S Gases'!R129,SigFig1,SigFig2,'VOC &amp; S Gases'!$Q129)))</f>
        <v/>
      </c>
      <c r="D489" s="1273" t="str">
        <f>IF(C$371="","",('VOC &amp; S Gases'!$Q129&amp;signum2('VOC &amp; S Gases'!S129,SigFig1,SigFig2,'VOC &amp; S Gases'!$Q129)))</f>
        <v/>
      </c>
      <c r="E489" s="1322" t="str">
        <f>IF(C$371="","",(IF(C489="","",LessThan('VOC &amp; S Gases'!$Q129,VND))&amp;SigNum3('VOC &amp; S Gases'!T129,SigFig1,SigFig2,'VOC &amp; S Gases'!$Q129)))</f>
        <v/>
      </c>
      <c r="F489" s="1321" t="str">
        <f>IF(F$371="","",('VOC &amp; S Gases'!$B129&amp;signum2('VOC &amp; S Gases'!H129,SigFig1,SigFig2,'VOC &amp; S Gases'!$B129)))</f>
        <v/>
      </c>
      <c r="G489" s="1273" t="str">
        <f>IF(F$371="","",('VOC &amp; S Gases'!$B129&amp;signum2('VOC &amp; S Gases'!J129,SigFig1,SigFig2,'VOC &amp; S Gases'!$B129)))</f>
        <v/>
      </c>
      <c r="H489" s="1322" t="str">
        <f>IF(F$371="","",(IF(F489="","",LessThan('VOC &amp; S Gases'!$B129,VND))&amp;SigNum3('VOC &amp; S Gases'!K129,SigFig1,SigFig2,'VOC &amp; S Gases'!$B129)))</f>
        <v/>
      </c>
      <c r="I489" s="1321" t="str">
        <f>IF(I$371="","",('VOC &amp; S Gases'!$E129&amp;signum2('VOC &amp; S Gases'!L129,SigFig1,SigFig2,'VOC &amp; S Gases'!$E129)))</f>
        <v/>
      </c>
      <c r="J489" s="1273" t="str">
        <f>IF(I$371="","",('VOC &amp; S Gases'!$E129&amp;signum2('VOC &amp; S Gases'!N129,SigFig1,SigFig2,'VOC &amp; S Gases'!$E129)))</f>
        <v/>
      </c>
      <c r="K489" s="1322" t="str">
        <f>IF(I$371="","",(IF(I489="","",LessThan('VOC &amp; S Gases'!$E129,VND))&amp;SigNum3('VOC &amp; S Gases'!O129,SigFig1,SigFig2,'VOC &amp; S Gases'!$E129)))</f>
        <v/>
      </c>
      <c r="L489" s="1321"/>
      <c r="M489" s="1322"/>
      <c r="N489" s="1272"/>
      <c r="O489" s="1319">
        <f t="shared" si="24"/>
        <v>0</v>
      </c>
      <c r="P489" s="1319">
        <f t="shared" si="25"/>
        <v>0</v>
      </c>
    </row>
    <row r="490" spans="1:16" hidden="1">
      <c r="A490" s="1267" t="str">
        <f>IF(AND('VOC &amp; S Gases'!C130="",'VOC &amp; S Gases'!F130=""),"",'VOC &amp; S Gases'!A130)</f>
        <v/>
      </c>
      <c r="B490" s="1259"/>
      <c r="C490" s="1321" t="str">
        <f>IF(C$371="","",('VOC &amp; S Gases'!$Q130&amp;signum2('VOC &amp; S Gases'!R130,SigFig1,SigFig2,'VOC &amp; S Gases'!$Q130)))</f>
        <v/>
      </c>
      <c r="D490" s="1273" t="str">
        <f>IF(C$371="","",('VOC &amp; S Gases'!$Q130&amp;signum2('VOC &amp; S Gases'!S130,SigFig1,SigFig2,'VOC &amp; S Gases'!$Q130)))</f>
        <v/>
      </c>
      <c r="E490" s="1322" t="str">
        <f>IF(C$371="","",(IF(C490="","",LessThan('VOC &amp; S Gases'!$Q130,VND))&amp;SigNum3('VOC &amp; S Gases'!T130,SigFig1,SigFig2,'VOC &amp; S Gases'!$Q130)))</f>
        <v/>
      </c>
      <c r="F490" s="1321" t="str">
        <f>IF(F$371="","",('VOC &amp; S Gases'!$B130&amp;signum2('VOC &amp; S Gases'!H130,SigFig1,SigFig2,'VOC &amp; S Gases'!$B130)))</f>
        <v/>
      </c>
      <c r="G490" s="1273" t="str">
        <f>IF(F$371="","",('VOC &amp; S Gases'!$B130&amp;signum2('VOC &amp; S Gases'!J130,SigFig1,SigFig2,'VOC &amp; S Gases'!$B130)))</f>
        <v/>
      </c>
      <c r="H490" s="1322" t="str">
        <f>IF(F$371="","",(IF(F490="","",LessThan('VOC &amp; S Gases'!$B130,VND))&amp;SigNum3('VOC &amp; S Gases'!K130,SigFig1,SigFig2,'VOC &amp; S Gases'!$B130)))</f>
        <v/>
      </c>
      <c r="I490" s="1321" t="str">
        <f>IF(I$371="","",('VOC &amp; S Gases'!$E130&amp;signum2('VOC &amp; S Gases'!L130,SigFig1,SigFig2,'VOC &amp; S Gases'!$E130)))</f>
        <v/>
      </c>
      <c r="J490" s="1273" t="str">
        <f>IF(I$371="","",('VOC &amp; S Gases'!$E130&amp;signum2('VOC &amp; S Gases'!N130,SigFig1,SigFig2,'VOC &amp; S Gases'!$E130)))</f>
        <v/>
      </c>
      <c r="K490" s="1322" t="str">
        <f>IF(I$371="","",(IF(I490="","",LessThan('VOC &amp; S Gases'!$E130,VND))&amp;SigNum3('VOC &amp; S Gases'!O130,SigFig1,SigFig2,'VOC &amp; S Gases'!$E130)))</f>
        <v/>
      </c>
      <c r="L490" s="1321"/>
      <c r="M490" s="1322"/>
      <c r="N490" s="1272"/>
      <c r="O490" s="1319">
        <f t="shared" si="24"/>
        <v>0</v>
      </c>
      <c r="P490" s="1319">
        <f t="shared" si="25"/>
        <v>0</v>
      </c>
    </row>
    <row r="491" spans="1:16" hidden="1">
      <c r="A491" s="1267" t="str">
        <f>IF(AND('VOC &amp; S Gases'!C131="",'VOC &amp; S Gases'!F131=""),"",'VOC &amp; S Gases'!A131)</f>
        <v/>
      </c>
      <c r="B491" s="1259"/>
      <c r="C491" s="1321" t="str">
        <f>IF(C$371="","",('VOC &amp; S Gases'!$Q131&amp;signum2('VOC &amp; S Gases'!R131,SigFig1,SigFig2,'VOC &amp; S Gases'!$Q131)))</f>
        <v/>
      </c>
      <c r="D491" s="1273" t="str">
        <f>IF(C$371="","",('VOC &amp; S Gases'!$Q131&amp;signum2('VOC &amp; S Gases'!S131,SigFig1,SigFig2,'VOC &amp; S Gases'!$Q131)))</f>
        <v/>
      </c>
      <c r="E491" s="1322" t="str">
        <f>IF(C$371="","",(IF(C491="","",LessThan('VOC &amp; S Gases'!$Q131,VND))&amp;SigNum3('VOC &amp; S Gases'!T131,SigFig1,SigFig2,'VOC &amp; S Gases'!$Q131)))</f>
        <v/>
      </c>
      <c r="F491" s="1321" t="str">
        <f>IF(F$371="","",('VOC &amp; S Gases'!$B131&amp;signum2('VOC &amp; S Gases'!H131,SigFig1,SigFig2,'VOC &amp; S Gases'!$B131)))</f>
        <v/>
      </c>
      <c r="G491" s="1273" t="str">
        <f>IF(F$371="","",('VOC &amp; S Gases'!$B131&amp;signum2('VOC &amp; S Gases'!J131,SigFig1,SigFig2,'VOC &amp; S Gases'!$B131)))</f>
        <v/>
      </c>
      <c r="H491" s="1322" t="str">
        <f>IF(F$371="","",(IF(F491="","",LessThan('VOC &amp; S Gases'!$B131,VND))&amp;SigNum3('VOC &amp; S Gases'!K131,SigFig1,SigFig2,'VOC &amp; S Gases'!$B131)))</f>
        <v/>
      </c>
      <c r="I491" s="1321" t="str">
        <f>IF(I$371="","",('VOC &amp; S Gases'!$E131&amp;signum2('VOC &amp; S Gases'!L131,SigFig1,SigFig2,'VOC &amp; S Gases'!$E131)))</f>
        <v/>
      </c>
      <c r="J491" s="1273" t="str">
        <f>IF(I$371="","",('VOC &amp; S Gases'!$E131&amp;signum2('VOC &amp; S Gases'!N131,SigFig1,SigFig2,'VOC &amp; S Gases'!$E131)))</f>
        <v/>
      </c>
      <c r="K491" s="1322" t="str">
        <f>IF(I$371="","",(IF(I491="","",LessThan('VOC &amp; S Gases'!$E131,VND))&amp;SigNum3('VOC &amp; S Gases'!O131,SigFig1,SigFig2,'VOC &amp; S Gases'!$E131)))</f>
        <v/>
      </c>
      <c r="L491" s="1321"/>
      <c r="M491" s="1322"/>
      <c r="N491" s="1272"/>
      <c r="O491" s="1319">
        <f t="shared" si="24"/>
        <v>0</v>
      </c>
      <c r="P491" s="1319">
        <f t="shared" si="25"/>
        <v>0</v>
      </c>
    </row>
    <row r="492" spans="1:16" hidden="1">
      <c r="A492" s="1267" t="str">
        <f>IF(AND('VOC &amp; S Gases'!C132="",'VOC &amp; S Gases'!F132=""),"",'VOC &amp; S Gases'!A132)</f>
        <v/>
      </c>
      <c r="B492" s="1259"/>
      <c r="C492" s="1321" t="str">
        <f>IF(C$371="","",('VOC &amp; S Gases'!$Q132&amp;signum2('VOC &amp; S Gases'!R132,SigFig1,SigFig2,'VOC &amp; S Gases'!$Q132)))</f>
        <v/>
      </c>
      <c r="D492" s="1273" t="str">
        <f>IF(C$371="","",('VOC &amp; S Gases'!$Q132&amp;signum2('VOC &amp; S Gases'!S132,SigFig1,SigFig2,'VOC &amp; S Gases'!$Q132)))</f>
        <v/>
      </c>
      <c r="E492" s="1322" t="str">
        <f>IF(C$371="","",(IF(C492="","",LessThan('VOC &amp; S Gases'!$Q132,VND))&amp;SigNum3('VOC &amp; S Gases'!T132,SigFig1,SigFig2,'VOC &amp; S Gases'!$Q132)))</f>
        <v/>
      </c>
      <c r="F492" s="1321" t="str">
        <f>IF(F$371="","",('VOC &amp; S Gases'!$B132&amp;signum2('VOC &amp; S Gases'!H132,SigFig1,SigFig2,'VOC &amp; S Gases'!$B132)))</f>
        <v/>
      </c>
      <c r="G492" s="1273" t="str">
        <f>IF(F$371="","",('VOC &amp; S Gases'!$B132&amp;signum2('VOC &amp; S Gases'!J132,SigFig1,SigFig2,'VOC &amp; S Gases'!$B132)))</f>
        <v/>
      </c>
      <c r="H492" s="1322" t="str">
        <f>IF(F$371="","",(IF(F492="","",LessThan('VOC &amp; S Gases'!$B132,VND))&amp;SigNum3('VOC &amp; S Gases'!K132,SigFig1,SigFig2,'VOC &amp; S Gases'!$B132)))</f>
        <v/>
      </c>
      <c r="I492" s="1321" t="str">
        <f>IF(I$371="","",('VOC &amp; S Gases'!$E132&amp;signum2('VOC &amp; S Gases'!L132,SigFig1,SigFig2,'VOC &amp; S Gases'!$E132)))</f>
        <v/>
      </c>
      <c r="J492" s="1273" t="str">
        <f>IF(I$371="","",('VOC &amp; S Gases'!$E132&amp;signum2('VOC &amp; S Gases'!N132,SigFig1,SigFig2,'VOC &amp; S Gases'!$E132)))</f>
        <v/>
      </c>
      <c r="K492" s="1322" t="str">
        <f>IF(I$371="","",(IF(I492="","",LessThan('VOC &amp; S Gases'!$E132,VND))&amp;SigNum3('VOC &amp; S Gases'!O132,SigFig1,SigFig2,'VOC &amp; S Gases'!$E132)))</f>
        <v/>
      </c>
      <c r="L492" s="1321"/>
      <c r="M492" s="1322"/>
      <c r="N492" s="1272"/>
      <c r="O492" s="1319">
        <f t="shared" si="24"/>
        <v>0</v>
      </c>
      <c r="P492" s="1319">
        <f t="shared" si="25"/>
        <v>0</v>
      </c>
    </row>
    <row r="493" spans="1:16" hidden="1">
      <c r="A493" s="1267" t="str">
        <f>IF(AND('VOC &amp; S Gases'!C133="",'VOC &amp; S Gases'!F133=""),"",'VOC &amp; S Gases'!A133)</f>
        <v/>
      </c>
      <c r="B493" s="1259"/>
      <c r="C493" s="1321" t="str">
        <f>IF(C$371="","",('VOC &amp; S Gases'!$Q133&amp;signum2('VOC &amp; S Gases'!R133,SigFig1,SigFig2,'VOC &amp; S Gases'!$Q133)))</f>
        <v/>
      </c>
      <c r="D493" s="1273" t="str">
        <f>IF(C$371="","",('VOC &amp; S Gases'!$Q133&amp;signum2('VOC &amp; S Gases'!S133,SigFig1,SigFig2,'VOC &amp; S Gases'!$Q133)))</f>
        <v/>
      </c>
      <c r="E493" s="1322" t="str">
        <f>IF(C$371="","",(IF(C493="","",LessThan('VOC &amp; S Gases'!$Q133,VND))&amp;SigNum3('VOC &amp; S Gases'!T133,SigFig1,SigFig2,'VOC &amp; S Gases'!$Q133)))</f>
        <v/>
      </c>
      <c r="F493" s="1321" t="str">
        <f>IF(F$371="","",('VOC &amp; S Gases'!$B133&amp;signum2('VOC &amp; S Gases'!H133,SigFig1,SigFig2,'VOC &amp; S Gases'!$B133)))</f>
        <v/>
      </c>
      <c r="G493" s="1273" t="str">
        <f>IF(F$371="","",('VOC &amp; S Gases'!$B133&amp;signum2('VOC &amp; S Gases'!J133,SigFig1,SigFig2,'VOC &amp; S Gases'!$B133)))</f>
        <v/>
      </c>
      <c r="H493" s="1322" t="str">
        <f>IF(F$371="","",(IF(F493="","",LessThan('VOC &amp; S Gases'!$B133,VND))&amp;SigNum3('VOC &amp; S Gases'!K133,SigFig1,SigFig2,'VOC &amp; S Gases'!$B133)))</f>
        <v/>
      </c>
      <c r="I493" s="1321" t="str">
        <f>IF(I$371="","",('VOC &amp; S Gases'!$E133&amp;signum2('VOC &amp; S Gases'!L133,SigFig1,SigFig2,'VOC &amp; S Gases'!$E133)))</f>
        <v/>
      </c>
      <c r="J493" s="1273" t="str">
        <f>IF(I$371="","",('VOC &amp; S Gases'!$E133&amp;signum2('VOC &amp; S Gases'!N133,SigFig1,SigFig2,'VOC &amp; S Gases'!$E133)))</f>
        <v/>
      </c>
      <c r="K493" s="1322" t="str">
        <f>IF(I$371="","",(IF(I493="","",LessThan('VOC &amp; S Gases'!$E133,VND))&amp;SigNum3('VOC &amp; S Gases'!O133,SigFig1,SigFig2,'VOC &amp; S Gases'!$E133)))</f>
        <v/>
      </c>
      <c r="L493" s="1321"/>
      <c r="M493" s="1322"/>
      <c r="N493" s="1272"/>
      <c r="O493" s="1319">
        <f t="shared" si="24"/>
        <v>0</v>
      </c>
      <c r="P493" s="1319">
        <f t="shared" si="25"/>
        <v>0</v>
      </c>
    </row>
    <row r="494" spans="1:16" hidden="1">
      <c r="A494" s="1267" t="str">
        <f>IF(AND('VOC &amp; S Gases'!C134="",'VOC &amp; S Gases'!F134=""),"",'VOC &amp; S Gases'!A134)</f>
        <v/>
      </c>
      <c r="B494" s="1259"/>
      <c r="C494" s="1321" t="str">
        <f>IF(C$371="","",('VOC &amp; S Gases'!$Q134&amp;signum2('VOC &amp; S Gases'!R134,SigFig1,SigFig2,'VOC &amp; S Gases'!$Q134)))</f>
        <v/>
      </c>
      <c r="D494" s="1273" t="str">
        <f>IF(C$371="","",('VOC &amp; S Gases'!$Q134&amp;signum2('VOC &amp; S Gases'!S134,SigFig1,SigFig2,'VOC &amp; S Gases'!$Q134)))</f>
        <v/>
      </c>
      <c r="E494" s="1322" t="str">
        <f>IF(C$371="","",(IF(C494="","",LessThan('VOC &amp; S Gases'!$Q134,VND))&amp;SigNum3('VOC &amp; S Gases'!T134,SigFig1,SigFig2,'VOC &amp; S Gases'!$Q134)))</f>
        <v/>
      </c>
      <c r="F494" s="1321" t="str">
        <f>IF(F$371="","",('VOC &amp; S Gases'!$B134&amp;signum2('VOC &amp; S Gases'!H134,SigFig1,SigFig2,'VOC &amp; S Gases'!$B134)))</f>
        <v/>
      </c>
      <c r="G494" s="1273" t="str">
        <f>IF(F$371="","",('VOC &amp; S Gases'!$B134&amp;signum2('VOC &amp; S Gases'!J134,SigFig1,SigFig2,'VOC &amp; S Gases'!$B134)))</f>
        <v/>
      </c>
      <c r="H494" s="1322" t="str">
        <f>IF(F$371="","",(IF(F494="","",LessThan('VOC &amp; S Gases'!$B134,VND))&amp;SigNum3('VOC &amp; S Gases'!K134,SigFig1,SigFig2,'VOC &amp; S Gases'!$B134)))</f>
        <v/>
      </c>
      <c r="I494" s="1321" t="str">
        <f>IF(I$371="","",('VOC &amp; S Gases'!$E134&amp;signum2('VOC &amp; S Gases'!L134,SigFig1,SigFig2,'VOC &amp; S Gases'!$E134)))</f>
        <v/>
      </c>
      <c r="J494" s="1273" t="str">
        <f>IF(I$371="","",('VOC &amp; S Gases'!$E134&amp;signum2('VOC &amp; S Gases'!N134,SigFig1,SigFig2,'VOC &amp; S Gases'!$E134)))</f>
        <v/>
      </c>
      <c r="K494" s="1322" t="str">
        <f>IF(I$371="","",(IF(I494="","",LessThan('VOC &amp; S Gases'!$E134,VND))&amp;SigNum3('VOC &amp; S Gases'!O134,SigFig1,SigFig2,'VOC &amp; S Gases'!$E134)))</f>
        <v/>
      </c>
      <c r="L494" s="1321"/>
      <c r="M494" s="1322"/>
      <c r="N494" s="1272"/>
      <c r="O494" s="1319">
        <f t="shared" si="24"/>
        <v>0</v>
      </c>
      <c r="P494" s="1319">
        <f t="shared" si="25"/>
        <v>0</v>
      </c>
    </row>
    <row r="495" spans="1:16" hidden="1">
      <c r="A495" s="1267" t="str">
        <f>IF(AND('VOC &amp; S Gases'!C135="",'VOC &amp; S Gases'!F135=""),"",'VOC &amp; S Gases'!A135)</f>
        <v/>
      </c>
      <c r="B495" s="1259"/>
      <c r="C495" s="1321" t="str">
        <f>IF(C$371="","",('VOC &amp; S Gases'!$Q135&amp;signum2('VOC &amp; S Gases'!R135,SigFig1,SigFig2,'VOC &amp; S Gases'!$Q135)))</f>
        <v/>
      </c>
      <c r="D495" s="1273" t="str">
        <f>IF(C$371="","",('VOC &amp; S Gases'!$Q135&amp;signum2('VOC &amp; S Gases'!S135,SigFig1,SigFig2,'VOC &amp; S Gases'!$Q135)))</f>
        <v/>
      </c>
      <c r="E495" s="1322" t="str">
        <f>IF(C$371="","",(IF(C495="","",LessThan('VOC &amp; S Gases'!$Q135,VND))&amp;SigNum3('VOC &amp; S Gases'!T135,SigFig1,SigFig2,'VOC &amp; S Gases'!$Q135)))</f>
        <v/>
      </c>
      <c r="F495" s="1321" t="str">
        <f>IF(F$371="","",('VOC &amp; S Gases'!$B135&amp;signum2('VOC &amp; S Gases'!H135,SigFig1,SigFig2,'VOC &amp; S Gases'!$B135)))</f>
        <v/>
      </c>
      <c r="G495" s="1273" t="str">
        <f>IF(F$371="","",('VOC &amp; S Gases'!$B135&amp;signum2('VOC &amp; S Gases'!J135,SigFig1,SigFig2,'VOC &amp; S Gases'!$B135)))</f>
        <v/>
      </c>
      <c r="H495" s="1322" t="str">
        <f>IF(F$371="","",(IF(F495="","",LessThan('VOC &amp; S Gases'!$B135,VND))&amp;SigNum3('VOC &amp; S Gases'!K135,SigFig1,SigFig2,'VOC &amp; S Gases'!$B135)))</f>
        <v/>
      </c>
      <c r="I495" s="1321" t="str">
        <f>IF(I$371="","",('VOC &amp; S Gases'!$E135&amp;signum2('VOC &amp; S Gases'!L135,SigFig1,SigFig2,'VOC &amp; S Gases'!$E135)))</f>
        <v/>
      </c>
      <c r="J495" s="1273" t="str">
        <f>IF(I$371="","",('VOC &amp; S Gases'!$E135&amp;signum2('VOC &amp; S Gases'!N135,SigFig1,SigFig2,'VOC &amp; S Gases'!$E135)))</f>
        <v/>
      </c>
      <c r="K495" s="1322" t="str">
        <f>IF(I$371="","",(IF(I495="","",LessThan('VOC &amp; S Gases'!$E135,VND))&amp;SigNum3('VOC &amp; S Gases'!O135,SigFig1,SigFig2,'VOC &amp; S Gases'!$E135)))</f>
        <v/>
      </c>
      <c r="L495" s="1321"/>
      <c r="M495" s="1322"/>
      <c r="N495" s="1272"/>
      <c r="O495" s="1319">
        <f t="shared" si="24"/>
        <v>0</v>
      </c>
      <c r="P495" s="1319">
        <f t="shared" si="25"/>
        <v>0</v>
      </c>
    </row>
    <row r="496" spans="1:16" hidden="1">
      <c r="A496" s="1267" t="str">
        <f>IF(AND('VOC &amp; S Gases'!C136="",'VOC &amp; S Gases'!F136=""),"",'VOC &amp; S Gases'!A136)</f>
        <v/>
      </c>
      <c r="B496" s="1259"/>
      <c r="C496" s="1321" t="str">
        <f>IF(C$371="","",('VOC &amp; S Gases'!$Q136&amp;signum2('VOC &amp; S Gases'!R136,SigFig1,SigFig2,'VOC &amp; S Gases'!$Q136)))</f>
        <v/>
      </c>
      <c r="D496" s="1273" t="str">
        <f>IF(C$371="","",('VOC &amp; S Gases'!$Q136&amp;signum2('VOC &amp; S Gases'!S136,SigFig1,SigFig2,'VOC &amp; S Gases'!$Q136)))</f>
        <v/>
      </c>
      <c r="E496" s="1322" t="str">
        <f>IF(C$371="","",(IF(C496="","",LessThan('VOC &amp; S Gases'!$Q136,VND))&amp;SigNum3('VOC &amp; S Gases'!T136,SigFig1,SigFig2,'VOC &amp; S Gases'!$Q136)))</f>
        <v/>
      </c>
      <c r="F496" s="1321" t="str">
        <f>IF(F$371="","",('VOC &amp; S Gases'!$B136&amp;signum2('VOC &amp; S Gases'!H136,SigFig1,SigFig2,'VOC &amp; S Gases'!$B136)))</f>
        <v/>
      </c>
      <c r="G496" s="1273" t="str">
        <f>IF(F$371="","",('VOC &amp; S Gases'!$B136&amp;signum2('VOC &amp; S Gases'!J136,SigFig1,SigFig2,'VOC &amp; S Gases'!$B136)))</f>
        <v/>
      </c>
      <c r="H496" s="1322" t="str">
        <f>IF(F$371="","",(IF(F496="","",LessThan('VOC &amp; S Gases'!$B136,VND))&amp;SigNum3('VOC &amp; S Gases'!K136,SigFig1,SigFig2,'VOC &amp; S Gases'!$B136)))</f>
        <v/>
      </c>
      <c r="I496" s="1321" t="str">
        <f>IF(I$371="","",('VOC &amp; S Gases'!$E136&amp;signum2('VOC &amp; S Gases'!L136,SigFig1,SigFig2,'VOC &amp; S Gases'!$E136)))</f>
        <v/>
      </c>
      <c r="J496" s="1273" t="str">
        <f>IF(I$371="","",('VOC &amp; S Gases'!$E136&amp;signum2('VOC &amp; S Gases'!N136,SigFig1,SigFig2,'VOC &amp; S Gases'!$E136)))</f>
        <v/>
      </c>
      <c r="K496" s="1322" t="str">
        <f>IF(I$371="","",(IF(I496="","",LessThan('VOC &amp; S Gases'!$E136,VND))&amp;SigNum3('VOC &amp; S Gases'!O136,SigFig1,SigFig2,'VOC &amp; S Gases'!$E136)))</f>
        <v/>
      </c>
      <c r="L496" s="1321"/>
      <c r="M496" s="1322"/>
      <c r="N496" s="1272"/>
      <c r="O496" s="1319">
        <f t="shared" si="24"/>
        <v>0</v>
      </c>
      <c r="P496" s="1319">
        <f t="shared" si="25"/>
        <v>0</v>
      </c>
    </row>
    <row r="497" spans="1:16" hidden="1">
      <c r="A497" s="1267" t="str">
        <f>IF(AND('VOC &amp; S Gases'!C137="",'VOC &amp; S Gases'!F137=""),"",'VOC &amp; S Gases'!A137)</f>
        <v/>
      </c>
      <c r="B497" s="1259"/>
      <c r="C497" s="1321" t="str">
        <f>IF(C$371="","",('VOC &amp; S Gases'!$Q137&amp;signum2('VOC &amp; S Gases'!R137,SigFig1,SigFig2,'VOC &amp; S Gases'!$Q137)))</f>
        <v/>
      </c>
      <c r="D497" s="1273" t="str">
        <f>IF(C$371="","",('VOC &amp; S Gases'!$Q137&amp;signum2('VOC &amp; S Gases'!S137,SigFig1,SigFig2,'VOC &amp; S Gases'!$Q137)))</f>
        <v/>
      </c>
      <c r="E497" s="1322" t="str">
        <f>IF(C$371="","",(IF(C497="","",LessThan('VOC &amp; S Gases'!$Q137,VND))&amp;SigNum3('VOC &amp; S Gases'!T137,SigFig1,SigFig2,'VOC &amp; S Gases'!$Q137)))</f>
        <v/>
      </c>
      <c r="F497" s="1321" t="str">
        <f>IF(F$371="","",('VOC &amp; S Gases'!$B137&amp;signum2('VOC &amp; S Gases'!H137,SigFig1,SigFig2,'VOC &amp; S Gases'!$B137)))</f>
        <v/>
      </c>
      <c r="G497" s="1273" t="str">
        <f>IF(F$371="","",('VOC &amp; S Gases'!$B137&amp;signum2('VOC &amp; S Gases'!J137,SigFig1,SigFig2,'VOC &amp; S Gases'!$B137)))</f>
        <v/>
      </c>
      <c r="H497" s="1322" t="str">
        <f>IF(F$371="","",(IF(F497="","",LessThan('VOC &amp; S Gases'!$B137,VND))&amp;SigNum3('VOC &amp; S Gases'!K137,SigFig1,SigFig2,'VOC &amp; S Gases'!$B137)))</f>
        <v/>
      </c>
      <c r="I497" s="1321" t="str">
        <f>IF(I$371="","",('VOC &amp; S Gases'!$E137&amp;signum2('VOC &amp; S Gases'!L137,SigFig1,SigFig2,'VOC &amp; S Gases'!$E137)))</f>
        <v/>
      </c>
      <c r="J497" s="1273" t="str">
        <f>IF(I$371="","",('VOC &amp; S Gases'!$E137&amp;signum2('VOC &amp; S Gases'!N137,SigFig1,SigFig2,'VOC &amp; S Gases'!$E137)))</f>
        <v/>
      </c>
      <c r="K497" s="1322" t="str">
        <f>IF(I$371="","",(IF(I497="","",LessThan('VOC &amp; S Gases'!$E137,VND))&amp;SigNum3('VOC &amp; S Gases'!O137,SigFig1,SigFig2,'VOC &amp; S Gases'!$E137)))</f>
        <v/>
      </c>
      <c r="L497" s="1321"/>
      <c r="M497" s="1322"/>
      <c r="N497" s="1272"/>
      <c r="O497" s="1319">
        <f t="shared" si="24"/>
        <v>0</v>
      </c>
      <c r="P497" s="1319">
        <f t="shared" si="25"/>
        <v>0</v>
      </c>
    </row>
    <row r="498" spans="1:16" hidden="1">
      <c r="A498" s="1267" t="str">
        <f>IF(AND('VOC &amp; S Gases'!C138="",'VOC &amp; S Gases'!F138=""),"",'VOC &amp; S Gases'!A138)</f>
        <v/>
      </c>
      <c r="B498" s="1259"/>
      <c r="C498" s="1321" t="str">
        <f>IF(C$371="","",('VOC &amp; S Gases'!$Q138&amp;signum2('VOC &amp; S Gases'!R138,SigFig1,SigFig2,'VOC &amp; S Gases'!$Q138)))</f>
        <v/>
      </c>
      <c r="D498" s="1273" t="str">
        <f>IF(C$371="","",('VOC &amp; S Gases'!$Q138&amp;signum2('VOC &amp; S Gases'!S138,SigFig1,SigFig2,'VOC &amp; S Gases'!$Q138)))</f>
        <v/>
      </c>
      <c r="E498" s="1322" t="str">
        <f>IF(C$371="","",(IF(C498="","",LessThan('VOC &amp; S Gases'!$Q138,VND))&amp;SigNum3('VOC &amp; S Gases'!T138,SigFig1,SigFig2,'VOC &amp; S Gases'!$Q138)))</f>
        <v/>
      </c>
      <c r="F498" s="1321" t="str">
        <f>IF(F$371="","",('VOC &amp; S Gases'!$B138&amp;signum2('VOC &amp; S Gases'!H138,SigFig1,SigFig2,'VOC &amp; S Gases'!$B138)))</f>
        <v/>
      </c>
      <c r="G498" s="1273" t="str">
        <f>IF(F$371="","",('VOC &amp; S Gases'!$B138&amp;signum2('VOC &amp; S Gases'!J138,SigFig1,SigFig2,'VOC &amp; S Gases'!$B138)))</f>
        <v/>
      </c>
      <c r="H498" s="1322" t="str">
        <f>IF(F$371="","",(IF(F498="","",LessThan('VOC &amp; S Gases'!$B138,VND))&amp;SigNum3('VOC &amp; S Gases'!K138,SigFig1,SigFig2,'VOC &amp; S Gases'!$B138)))</f>
        <v/>
      </c>
      <c r="I498" s="1321" t="str">
        <f>IF(I$371="","",('VOC &amp; S Gases'!$E138&amp;signum2('VOC &amp; S Gases'!L138,SigFig1,SigFig2,'VOC &amp; S Gases'!$E138)))</f>
        <v/>
      </c>
      <c r="J498" s="1273" t="str">
        <f>IF(I$371="","",('VOC &amp; S Gases'!$E138&amp;signum2('VOC &amp; S Gases'!N138,SigFig1,SigFig2,'VOC &amp; S Gases'!$E138)))</f>
        <v/>
      </c>
      <c r="K498" s="1322" t="str">
        <f>IF(I$371="","",(IF(I498="","",LessThan('VOC &amp; S Gases'!$E138,VND))&amp;SigNum3('VOC &amp; S Gases'!O138,SigFig1,SigFig2,'VOC &amp; S Gases'!$E138)))</f>
        <v/>
      </c>
      <c r="L498" s="1321"/>
      <c r="M498" s="1322"/>
      <c r="N498" s="1272"/>
      <c r="O498" s="1319">
        <f t="shared" si="24"/>
        <v>0</v>
      </c>
      <c r="P498" s="1319">
        <f t="shared" si="25"/>
        <v>0</v>
      </c>
    </row>
    <row r="499" spans="1:16" hidden="1">
      <c r="A499" s="1267" t="str">
        <f>IF(AND('VOC &amp; S Gases'!C139="",'VOC &amp; S Gases'!F139=""),"",'VOC &amp; S Gases'!A139)</f>
        <v/>
      </c>
      <c r="B499" s="1259"/>
      <c r="C499" s="1321" t="str">
        <f>IF(C$371="","",('VOC &amp; S Gases'!$Q139&amp;signum2('VOC &amp; S Gases'!R139,SigFig1,SigFig2,'VOC &amp; S Gases'!$Q139)))</f>
        <v/>
      </c>
      <c r="D499" s="1273" t="str">
        <f>IF(C$371="","",('VOC &amp; S Gases'!$Q139&amp;signum2('VOC &amp; S Gases'!S139,SigFig1,SigFig2,'VOC &amp; S Gases'!$Q139)))</f>
        <v/>
      </c>
      <c r="E499" s="1322" t="str">
        <f>IF(C$371="","",(IF(C499="","",LessThan('VOC &amp; S Gases'!$Q139,VND))&amp;SigNum3('VOC &amp; S Gases'!T139,SigFig1,SigFig2,'VOC &amp; S Gases'!$Q139)))</f>
        <v/>
      </c>
      <c r="F499" s="1321" t="str">
        <f>IF(F$371="","",('VOC &amp; S Gases'!$B139&amp;signum2('VOC &amp; S Gases'!H139,SigFig1,SigFig2,'VOC &amp; S Gases'!$B139)))</f>
        <v/>
      </c>
      <c r="G499" s="1273" t="str">
        <f>IF(F$371="","",('VOC &amp; S Gases'!$B139&amp;signum2('VOC &amp; S Gases'!J139,SigFig1,SigFig2,'VOC &amp; S Gases'!$B139)))</f>
        <v/>
      </c>
      <c r="H499" s="1322" t="str">
        <f>IF(F$371="","",(IF(F499="","",LessThan('VOC &amp; S Gases'!$B139,VND))&amp;SigNum3('VOC &amp; S Gases'!K139,SigFig1,SigFig2,'VOC &amp; S Gases'!$B139)))</f>
        <v/>
      </c>
      <c r="I499" s="1321" t="str">
        <f>IF(I$371="","",('VOC &amp; S Gases'!$E139&amp;signum2('VOC &amp; S Gases'!L139,SigFig1,SigFig2,'VOC &amp; S Gases'!$E139)))</f>
        <v/>
      </c>
      <c r="J499" s="1273" t="str">
        <f>IF(I$371="","",('VOC &amp; S Gases'!$E139&amp;signum2('VOC &amp; S Gases'!N139,SigFig1,SigFig2,'VOC &amp; S Gases'!$E139)))</f>
        <v/>
      </c>
      <c r="K499" s="1322" t="str">
        <f>IF(I$371="","",(IF(I499="","",LessThan('VOC &amp; S Gases'!$E139,VND))&amp;SigNum3('VOC &amp; S Gases'!O139,SigFig1,SigFig2,'VOC &amp; S Gases'!$E139)))</f>
        <v/>
      </c>
      <c r="L499" s="1321"/>
      <c r="M499" s="1322"/>
      <c r="N499" s="1272"/>
      <c r="O499" s="1319">
        <f t="shared" si="24"/>
        <v>0</v>
      </c>
      <c r="P499" s="1319">
        <f t="shared" si="25"/>
        <v>0</v>
      </c>
    </row>
    <row r="500" spans="1:16" hidden="1">
      <c r="A500" s="1267" t="str">
        <f>IF(AND('VOC &amp; S Gases'!C140="",'VOC &amp; S Gases'!F140=""),"",'VOC &amp; S Gases'!A140)</f>
        <v/>
      </c>
      <c r="B500" s="1259"/>
      <c r="C500" s="1321" t="str">
        <f>IF(C$371="","",('VOC &amp; S Gases'!$Q140&amp;signum2('VOC &amp; S Gases'!R140,SigFig1,SigFig2,'VOC &amp; S Gases'!$Q140)))</f>
        <v/>
      </c>
      <c r="D500" s="1273" t="str">
        <f>IF(C$371="","",('VOC &amp; S Gases'!$Q140&amp;signum2('VOC &amp; S Gases'!S140,SigFig1,SigFig2,'VOC &amp; S Gases'!$Q140)))</f>
        <v/>
      </c>
      <c r="E500" s="1322" t="str">
        <f>IF(C$371="","",(IF(C500="","",LessThan('VOC &amp; S Gases'!$Q140,VND))&amp;SigNum3('VOC &amp; S Gases'!T140,SigFig1,SigFig2,'VOC &amp; S Gases'!$Q140)))</f>
        <v/>
      </c>
      <c r="F500" s="1321" t="str">
        <f>IF(F$371="","",('VOC &amp; S Gases'!$B140&amp;signum2('VOC &amp; S Gases'!H140,SigFig1,SigFig2,'VOC &amp; S Gases'!$B140)))</f>
        <v/>
      </c>
      <c r="G500" s="1273" t="str">
        <f>IF(F$371="","",('VOC &amp; S Gases'!$B140&amp;signum2('VOC &amp; S Gases'!J140,SigFig1,SigFig2,'VOC &amp; S Gases'!$B140)))</f>
        <v/>
      </c>
      <c r="H500" s="1322" t="str">
        <f>IF(F$371="","",(IF(F500="","",LessThan('VOC &amp; S Gases'!$B140,VND))&amp;SigNum3('VOC &amp; S Gases'!K140,SigFig1,SigFig2,'VOC &amp; S Gases'!$B140)))</f>
        <v/>
      </c>
      <c r="I500" s="1321" t="str">
        <f>IF(I$371="","",('VOC &amp; S Gases'!$E140&amp;signum2('VOC &amp; S Gases'!L140,SigFig1,SigFig2,'VOC &amp; S Gases'!$E140)))</f>
        <v/>
      </c>
      <c r="J500" s="1273" t="str">
        <f>IF(I$371="","",('VOC &amp; S Gases'!$E140&amp;signum2('VOC &amp; S Gases'!N140,SigFig1,SigFig2,'VOC &amp; S Gases'!$E140)))</f>
        <v/>
      </c>
      <c r="K500" s="1322" t="str">
        <f>IF(I$371="","",(IF(I500="","",LessThan('VOC &amp; S Gases'!$E140,VND))&amp;SigNum3('VOC &amp; S Gases'!O140,SigFig1,SigFig2,'VOC &amp; S Gases'!$E140)))</f>
        <v/>
      </c>
      <c r="L500" s="1321"/>
      <c r="M500" s="1322"/>
      <c r="N500" s="1272"/>
      <c r="O500" s="1319">
        <f t="shared" si="24"/>
        <v>0</v>
      </c>
      <c r="P500" s="1319">
        <f t="shared" si="25"/>
        <v>0</v>
      </c>
    </row>
    <row r="501" spans="1:16" hidden="1">
      <c r="A501" s="1267" t="str">
        <f>IF(AND('VOC &amp; S Gases'!C141="",'VOC &amp; S Gases'!F141=""),"",'VOC &amp; S Gases'!A141)</f>
        <v/>
      </c>
      <c r="B501" s="1259"/>
      <c r="C501" s="1321" t="str">
        <f>IF(C$371="","",('VOC &amp; S Gases'!$Q141&amp;signum2('VOC &amp; S Gases'!R141,SigFig1,SigFig2,'VOC &amp; S Gases'!$Q141)))</f>
        <v/>
      </c>
      <c r="D501" s="1273" t="str">
        <f>IF(C$371="","",('VOC &amp; S Gases'!$Q141&amp;signum2('VOC &amp; S Gases'!S141,SigFig1,SigFig2,'VOC &amp; S Gases'!$Q141)))</f>
        <v/>
      </c>
      <c r="E501" s="1322" t="str">
        <f>IF(C$371="","",(IF(C501="","",LessThan('VOC &amp; S Gases'!$Q141,VND))&amp;SigNum3('VOC &amp; S Gases'!T141,SigFig1,SigFig2,'VOC &amp; S Gases'!$Q141)))</f>
        <v/>
      </c>
      <c r="F501" s="1321" t="str">
        <f>IF(F$371="","",('VOC &amp; S Gases'!$B141&amp;signum2('VOC &amp; S Gases'!H141,SigFig1,SigFig2,'VOC &amp; S Gases'!$B141)))</f>
        <v/>
      </c>
      <c r="G501" s="1273" t="str">
        <f>IF(F$371="","",('VOC &amp; S Gases'!$B141&amp;signum2('VOC &amp; S Gases'!J141,SigFig1,SigFig2,'VOC &amp; S Gases'!$B141)))</f>
        <v/>
      </c>
      <c r="H501" s="1322" t="str">
        <f>IF(F$371="","",(IF(F501="","",LessThan('VOC &amp; S Gases'!$B141,VND))&amp;SigNum3('VOC &amp; S Gases'!K141,SigFig1,SigFig2,'VOC &amp; S Gases'!$B141)))</f>
        <v/>
      </c>
      <c r="I501" s="1321" t="str">
        <f>IF(I$371="","",('VOC &amp; S Gases'!$E141&amp;signum2('VOC &amp; S Gases'!L141,SigFig1,SigFig2,'VOC &amp; S Gases'!$E141)))</f>
        <v/>
      </c>
      <c r="J501" s="1273" t="str">
        <f>IF(I$371="","",('VOC &amp; S Gases'!$E141&amp;signum2('VOC &amp; S Gases'!N141,SigFig1,SigFig2,'VOC &amp; S Gases'!$E141)))</f>
        <v/>
      </c>
      <c r="K501" s="1322" t="str">
        <f>IF(I$371="","",(IF(I501="","",LessThan('VOC &amp; S Gases'!$E141,VND))&amp;SigNum3('VOC &amp; S Gases'!O141,SigFig1,SigFig2,'VOC &amp; S Gases'!$E141)))</f>
        <v/>
      </c>
      <c r="L501" s="1321"/>
      <c r="M501" s="1322"/>
      <c r="N501" s="1272"/>
      <c r="O501" s="1319">
        <f t="shared" si="24"/>
        <v>0</v>
      </c>
      <c r="P501" s="1319">
        <f t="shared" si="25"/>
        <v>0</v>
      </c>
    </row>
    <row r="502" spans="1:16" hidden="1">
      <c r="A502" s="1267" t="str">
        <f>IF(AND('VOC &amp; S Gases'!C142="",'VOC &amp; S Gases'!F142=""),"",'VOC &amp; S Gases'!A142)</f>
        <v/>
      </c>
      <c r="B502" s="1259"/>
      <c r="C502" s="1321" t="str">
        <f>IF(C$371="","",('VOC &amp; S Gases'!$Q142&amp;signum2('VOC &amp; S Gases'!R142,SigFig1,SigFig2,'VOC &amp; S Gases'!$Q142)))</f>
        <v/>
      </c>
      <c r="D502" s="1273" t="str">
        <f>IF(C$371="","",('VOC &amp; S Gases'!$Q142&amp;signum2('VOC &amp; S Gases'!S142,SigFig1,SigFig2,'VOC &amp; S Gases'!$Q142)))</f>
        <v/>
      </c>
      <c r="E502" s="1322" t="str">
        <f>IF(C$371="","",(IF(C502="","",LessThan('VOC &amp; S Gases'!$Q142,VND))&amp;SigNum3('VOC &amp; S Gases'!T142,SigFig1,SigFig2,'VOC &amp; S Gases'!$Q142)))</f>
        <v/>
      </c>
      <c r="F502" s="1321" t="str">
        <f>IF(F$371="","",('VOC &amp; S Gases'!$B142&amp;signum2('VOC &amp; S Gases'!H142,SigFig1,SigFig2,'VOC &amp; S Gases'!$B142)))</f>
        <v/>
      </c>
      <c r="G502" s="1273" t="str">
        <f>IF(F$371="","",('VOC &amp; S Gases'!$B142&amp;signum2('VOC &amp; S Gases'!J142,SigFig1,SigFig2,'VOC &amp; S Gases'!$B142)))</f>
        <v/>
      </c>
      <c r="H502" s="1322" t="str">
        <f>IF(F$371="","",(IF(F502="","",LessThan('VOC &amp; S Gases'!$B142,VND))&amp;SigNum3('VOC &amp; S Gases'!K142,SigFig1,SigFig2,'VOC &amp; S Gases'!$B142)))</f>
        <v/>
      </c>
      <c r="I502" s="1321" t="str">
        <f>IF(I$371="","",('VOC &amp; S Gases'!$E142&amp;signum2('VOC &amp; S Gases'!L142,SigFig1,SigFig2,'VOC &amp; S Gases'!$E142)))</f>
        <v/>
      </c>
      <c r="J502" s="1273" t="str">
        <f>IF(I$371="","",('VOC &amp; S Gases'!$E142&amp;signum2('VOC &amp; S Gases'!N142,SigFig1,SigFig2,'VOC &amp; S Gases'!$E142)))</f>
        <v/>
      </c>
      <c r="K502" s="1322" t="str">
        <f>IF(I$371="","",(IF(I502="","",LessThan('VOC &amp; S Gases'!$E142,VND))&amp;SigNum3('VOC &amp; S Gases'!O142,SigFig1,SigFig2,'VOC &amp; S Gases'!$E142)))</f>
        <v/>
      </c>
      <c r="L502" s="1321"/>
      <c r="M502" s="1322"/>
      <c r="N502" s="1272"/>
      <c r="O502" s="1319">
        <f t="shared" si="24"/>
        <v>0</v>
      </c>
      <c r="P502" s="1319">
        <f t="shared" si="25"/>
        <v>0</v>
      </c>
    </row>
    <row r="503" spans="1:16" hidden="1">
      <c r="A503" s="1267" t="str">
        <f>IF(AND('VOC &amp; S Gases'!C143="",'VOC &amp; S Gases'!F143=""),"",'VOC &amp; S Gases'!A143)</f>
        <v/>
      </c>
      <c r="B503" s="1259"/>
      <c r="C503" s="1321" t="str">
        <f>IF(C$371="","",('VOC &amp; S Gases'!$Q143&amp;signum2('VOC &amp; S Gases'!R143,SigFig1,SigFig2,'VOC &amp; S Gases'!$Q143)))</f>
        <v/>
      </c>
      <c r="D503" s="1273" t="str">
        <f>IF(C$371="","",('VOC &amp; S Gases'!$Q143&amp;signum2('VOC &amp; S Gases'!S143,SigFig1,SigFig2,'VOC &amp; S Gases'!$Q143)))</f>
        <v/>
      </c>
      <c r="E503" s="1322" t="str">
        <f>IF(C$371="","",(IF(C503="","",LessThan('VOC &amp; S Gases'!$Q143,VND))&amp;SigNum3('VOC &amp; S Gases'!T143,SigFig1,SigFig2,'VOC &amp; S Gases'!$Q143)))</f>
        <v/>
      </c>
      <c r="F503" s="1321" t="str">
        <f>IF(F$371="","",('VOC &amp; S Gases'!$B143&amp;signum2('VOC &amp; S Gases'!H143,SigFig1,SigFig2,'VOC &amp; S Gases'!$B143)))</f>
        <v/>
      </c>
      <c r="G503" s="1273" t="str">
        <f>IF(F$371="","",('VOC &amp; S Gases'!$B143&amp;signum2('VOC &amp; S Gases'!J143,SigFig1,SigFig2,'VOC &amp; S Gases'!$B143)))</f>
        <v/>
      </c>
      <c r="H503" s="1322" t="str">
        <f>IF(F$371="","",(IF(F503="","",LessThan('VOC &amp; S Gases'!$B143,VND))&amp;SigNum3('VOC &amp; S Gases'!K143,SigFig1,SigFig2,'VOC &amp; S Gases'!$B143)))</f>
        <v/>
      </c>
      <c r="I503" s="1321" t="str">
        <f>IF(I$371="","",('VOC &amp; S Gases'!$E143&amp;signum2('VOC &amp; S Gases'!L143,SigFig1,SigFig2,'VOC &amp; S Gases'!$E143)))</f>
        <v/>
      </c>
      <c r="J503" s="1273" t="str">
        <f>IF(I$371="","",('VOC &amp; S Gases'!$E143&amp;signum2('VOC &amp; S Gases'!N143,SigFig1,SigFig2,'VOC &amp; S Gases'!$E143)))</f>
        <v/>
      </c>
      <c r="K503" s="1322" t="str">
        <f>IF(I$371="","",(IF(I503="","",LessThan('VOC &amp; S Gases'!$E143,VND))&amp;SigNum3('VOC &amp; S Gases'!O143,SigFig1,SigFig2,'VOC &amp; S Gases'!$E143)))</f>
        <v/>
      </c>
      <c r="L503" s="1321"/>
      <c r="M503" s="1322"/>
      <c r="N503" s="1272"/>
      <c r="O503" s="1319">
        <f t="shared" si="24"/>
        <v>0</v>
      </c>
      <c r="P503" s="1319">
        <f t="shared" si="25"/>
        <v>0</v>
      </c>
    </row>
    <row r="504" spans="1:16" hidden="1">
      <c r="A504" s="1267" t="str">
        <f>IF(AND('VOC &amp; S Gases'!C144="",'VOC &amp; S Gases'!F144=""),"",'VOC &amp; S Gases'!A144)</f>
        <v/>
      </c>
      <c r="B504" s="1259"/>
      <c r="C504" s="1321" t="str">
        <f>IF(C$371="","",('VOC &amp; S Gases'!$Q144&amp;signum2('VOC &amp; S Gases'!R144,SigFig1,SigFig2,'VOC &amp; S Gases'!$Q144)))</f>
        <v/>
      </c>
      <c r="D504" s="1273" t="str">
        <f>IF(C$371="","",('VOC &amp; S Gases'!$Q144&amp;signum2('VOC &amp; S Gases'!S144,SigFig1,SigFig2,'VOC &amp; S Gases'!$Q144)))</f>
        <v/>
      </c>
      <c r="E504" s="1322" t="str">
        <f>IF(C$371="","",(IF(C504="","",LessThan('VOC &amp; S Gases'!$Q144,VND))&amp;SigNum3('VOC &amp; S Gases'!T144,SigFig1,SigFig2,'VOC &amp; S Gases'!$Q144)))</f>
        <v/>
      </c>
      <c r="F504" s="1321" t="str">
        <f>IF(F$371="","",('VOC &amp; S Gases'!$B144&amp;signum2('VOC &amp; S Gases'!H144,SigFig1,SigFig2,'VOC &amp; S Gases'!$B144)))</f>
        <v/>
      </c>
      <c r="G504" s="1273" t="str">
        <f>IF(F$371="","",('VOC &amp; S Gases'!$B144&amp;signum2('VOC &amp; S Gases'!J144,SigFig1,SigFig2,'VOC &amp; S Gases'!$B144)))</f>
        <v/>
      </c>
      <c r="H504" s="1322" t="str">
        <f>IF(F$371="","",(IF(F504="","",LessThan('VOC &amp; S Gases'!$B144,VND))&amp;SigNum3('VOC &amp; S Gases'!K144,SigFig1,SigFig2,'VOC &amp; S Gases'!$B144)))</f>
        <v/>
      </c>
      <c r="I504" s="1321" t="str">
        <f>IF(I$371="","",('VOC &amp; S Gases'!$E144&amp;signum2('VOC &amp; S Gases'!L144,SigFig1,SigFig2,'VOC &amp; S Gases'!$E144)))</f>
        <v/>
      </c>
      <c r="J504" s="1273" t="str">
        <f>IF(I$371="","",('VOC &amp; S Gases'!$E144&amp;signum2('VOC &amp; S Gases'!N144,SigFig1,SigFig2,'VOC &amp; S Gases'!$E144)))</f>
        <v/>
      </c>
      <c r="K504" s="1322" t="str">
        <f>IF(I$371="","",(IF(I504="","",LessThan('VOC &amp; S Gases'!$E144,VND))&amp;SigNum3('VOC &amp; S Gases'!O144,SigFig1,SigFig2,'VOC &amp; S Gases'!$E144)))</f>
        <v/>
      </c>
      <c r="L504" s="1321"/>
      <c r="M504" s="1322"/>
      <c r="N504" s="1272"/>
      <c r="O504" s="1319">
        <f t="shared" si="24"/>
        <v>0</v>
      </c>
      <c r="P504" s="1319">
        <f t="shared" si="25"/>
        <v>0</v>
      </c>
    </row>
    <row r="505" spans="1:16" hidden="1">
      <c r="A505" s="1267" t="str">
        <f>IF(AND('VOC &amp; S Gases'!C145="",'VOC &amp; S Gases'!F145=""),"",'VOC &amp; S Gases'!A145)</f>
        <v/>
      </c>
      <c r="B505" s="1259"/>
      <c r="C505" s="1321" t="str">
        <f>IF(C$371="","",('VOC &amp; S Gases'!$Q145&amp;signum2('VOC &amp; S Gases'!R145,SigFig1,SigFig2,'VOC &amp; S Gases'!$Q145)))</f>
        <v/>
      </c>
      <c r="D505" s="1273" t="str">
        <f>IF(C$371="","",('VOC &amp; S Gases'!$Q145&amp;signum2('VOC &amp; S Gases'!S145,SigFig1,SigFig2,'VOC &amp; S Gases'!$Q145)))</f>
        <v/>
      </c>
      <c r="E505" s="1322" t="str">
        <f>IF(C$371="","",(IF(C505="","",LessThan('VOC &amp; S Gases'!$Q145,VND))&amp;SigNum3('VOC &amp; S Gases'!T145,SigFig1,SigFig2,'VOC &amp; S Gases'!$Q145)))</f>
        <v/>
      </c>
      <c r="F505" s="1321" t="str">
        <f>IF(F$371="","",('VOC &amp; S Gases'!$B145&amp;signum2('VOC &amp; S Gases'!H145,SigFig1,SigFig2,'VOC &amp; S Gases'!$B145)))</f>
        <v/>
      </c>
      <c r="G505" s="1273" t="str">
        <f>IF(F$371="","",('VOC &amp; S Gases'!$B145&amp;signum2('VOC &amp; S Gases'!J145,SigFig1,SigFig2,'VOC &amp; S Gases'!$B145)))</f>
        <v/>
      </c>
      <c r="H505" s="1322" t="str">
        <f>IF(F$371="","",(IF(F505="","",LessThan('VOC &amp; S Gases'!$B145,VND))&amp;SigNum3('VOC &amp; S Gases'!K145,SigFig1,SigFig2,'VOC &amp; S Gases'!$B145)))</f>
        <v/>
      </c>
      <c r="I505" s="1321" t="str">
        <f>IF(I$371="","",('VOC &amp; S Gases'!$E145&amp;signum2('VOC &amp; S Gases'!L145,SigFig1,SigFig2,'VOC &amp; S Gases'!$E145)))</f>
        <v/>
      </c>
      <c r="J505" s="1273" t="str">
        <f>IF(I$371="","",('VOC &amp; S Gases'!$E145&amp;signum2('VOC &amp; S Gases'!N145,SigFig1,SigFig2,'VOC &amp; S Gases'!$E145)))</f>
        <v/>
      </c>
      <c r="K505" s="1322" t="str">
        <f>IF(I$371="","",(IF(I505="","",LessThan('VOC &amp; S Gases'!$E145,VND))&amp;SigNum3('VOC &amp; S Gases'!O145,SigFig1,SigFig2,'VOC &amp; S Gases'!$E145)))</f>
        <v/>
      </c>
      <c r="L505" s="1321"/>
      <c r="M505" s="1322"/>
      <c r="N505" s="1272"/>
      <c r="O505" s="1319">
        <f t="shared" si="24"/>
        <v>0</v>
      </c>
      <c r="P505" s="1319">
        <f t="shared" si="25"/>
        <v>0</v>
      </c>
    </row>
    <row r="506" spans="1:16" hidden="1">
      <c r="A506" s="1267" t="str">
        <f>IF(AND('VOC &amp; S Gases'!C146="",'VOC &amp; S Gases'!F146=""),"",'VOC &amp; S Gases'!A146)</f>
        <v/>
      </c>
      <c r="B506" s="1259"/>
      <c r="C506" s="1321" t="str">
        <f>IF(C$371="","",('VOC &amp; S Gases'!$Q146&amp;signum2('VOC &amp; S Gases'!R146,SigFig1,SigFig2,'VOC &amp; S Gases'!$Q146)))</f>
        <v/>
      </c>
      <c r="D506" s="1273" t="str">
        <f>IF(C$371="","",('VOC &amp; S Gases'!$Q146&amp;signum2('VOC &amp; S Gases'!S146,SigFig1,SigFig2,'VOC &amp; S Gases'!$Q146)))</f>
        <v/>
      </c>
      <c r="E506" s="1322" t="str">
        <f>IF(C$371="","",(IF(C506="","",LessThan('VOC &amp; S Gases'!$Q146,VND))&amp;SigNum3('VOC &amp; S Gases'!T146,SigFig1,SigFig2,'VOC &amp; S Gases'!$Q146)))</f>
        <v/>
      </c>
      <c r="F506" s="1321" t="str">
        <f>IF(F$371="","",('VOC &amp; S Gases'!$B146&amp;signum2('VOC &amp; S Gases'!H146,SigFig1,SigFig2,'VOC &amp; S Gases'!$B146)))</f>
        <v/>
      </c>
      <c r="G506" s="1273" t="str">
        <f>IF(F$371="","",('VOC &amp; S Gases'!$B146&amp;signum2('VOC &amp; S Gases'!J146,SigFig1,SigFig2,'VOC &amp; S Gases'!$B146)))</f>
        <v/>
      </c>
      <c r="H506" s="1322" t="str">
        <f>IF(F$371="","",(IF(F506="","",LessThan('VOC &amp; S Gases'!$B146,VND))&amp;SigNum3('VOC &amp; S Gases'!K146,SigFig1,SigFig2,'VOC &amp; S Gases'!$B146)))</f>
        <v/>
      </c>
      <c r="I506" s="1321" t="str">
        <f>IF(I$371="","",('VOC &amp; S Gases'!$E146&amp;signum2('VOC &amp; S Gases'!L146,SigFig1,SigFig2,'VOC &amp; S Gases'!$E146)))</f>
        <v/>
      </c>
      <c r="J506" s="1273" t="str">
        <f>IF(I$371="","",('VOC &amp; S Gases'!$E146&amp;signum2('VOC &amp; S Gases'!N146,SigFig1,SigFig2,'VOC &amp; S Gases'!$E146)))</f>
        <v/>
      </c>
      <c r="K506" s="1322" t="str">
        <f>IF(I$371="","",(IF(I506="","",LessThan('VOC &amp; S Gases'!$E146,VND))&amp;SigNum3('VOC &amp; S Gases'!O146,SigFig1,SigFig2,'VOC &amp; S Gases'!$E146)))</f>
        <v/>
      </c>
      <c r="L506" s="1321"/>
      <c r="M506" s="1322"/>
      <c r="N506" s="1272"/>
      <c r="O506" s="1319">
        <f t="shared" si="24"/>
        <v>0</v>
      </c>
      <c r="P506" s="1319">
        <f t="shared" si="25"/>
        <v>0</v>
      </c>
    </row>
    <row r="507" spans="1:16" hidden="1">
      <c r="A507" s="1267" t="str">
        <f>IF(AND('VOC &amp; S Gases'!C147="",'VOC &amp; S Gases'!F147=""),"",'VOC &amp; S Gases'!A147)</f>
        <v/>
      </c>
      <c r="B507" s="1259"/>
      <c r="C507" s="1321" t="str">
        <f>IF(C$371="","",('VOC &amp; S Gases'!$Q147&amp;signum2('VOC &amp; S Gases'!R147,SigFig1,SigFig2,'VOC &amp; S Gases'!$Q147)))</f>
        <v/>
      </c>
      <c r="D507" s="1273" t="str">
        <f>IF(C$371="","",('VOC &amp; S Gases'!$Q147&amp;signum2('VOC &amp; S Gases'!S147,SigFig1,SigFig2,'VOC &amp; S Gases'!$Q147)))</f>
        <v/>
      </c>
      <c r="E507" s="1322" t="str">
        <f>IF(C$371="","",(IF(C507="","",LessThan('VOC &amp; S Gases'!$Q147,VND))&amp;SigNum3('VOC &amp; S Gases'!T147,SigFig1,SigFig2,'VOC &amp; S Gases'!$Q147)))</f>
        <v/>
      </c>
      <c r="F507" s="1321" t="str">
        <f>IF(F$371="","",('VOC &amp; S Gases'!$B147&amp;signum2('VOC &amp; S Gases'!H147,SigFig1,SigFig2,'VOC &amp; S Gases'!$B147)))</f>
        <v/>
      </c>
      <c r="G507" s="1273" t="str">
        <f>IF(F$371="","",('VOC &amp; S Gases'!$B147&amp;signum2('VOC &amp; S Gases'!J147,SigFig1,SigFig2,'VOC &amp; S Gases'!$B147)))</f>
        <v/>
      </c>
      <c r="H507" s="1322" t="str">
        <f>IF(F$371="","",(IF(F507="","",LessThan('VOC &amp; S Gases'!$B147,VND))&amp;SigNum3('VOC &amp; S Gases'!K147,SigFig1,SigFig2,'VOC &amp; S Gases'!$B147)))</f>
        <v/>
      </c>
      <c r="I507" s="1321" t="str">
        <f>IF(I$371="","",('VOC &amp; S Gases'!$E147&amp;signum2('VOC &amp; S Gases'!L147,SigFig1,SigFig2,'VOC &amp; S Gases'!$E147)))</f>
        <v/>
      </c>
      <c r="J507" s="1273" t="str">
        <f>IF(I$371="","",('VOC &amp; S Gases'!$E147&amp;signum2('VOC &amp; S Gases'!N147,SigFig1,SigFig2,'VOC &amp; S Gases'!$E147)))</f>
        <v/>
      </c>
      <c r="K507" s="1322" t="str">
        <f>IF(I$371="","",(IF(I507="","",LessThan('VOC &amp; S Gases'!$E147,VND))&amp;SigNum3('VOC &amp; S Gases'!O147,SigFig1,SigFig2,'VOC &amp; S Gases'!$E147)))</f>
        <v/>
      </c>
      <c r="L507" s="1321"/>
      <c r="M507" s="1322"/>
      <c r="N507" s="1272"/>
      <c r="O507" s="1319">
        <f t="shared" si="24"/>
        <v>0</v>
      </c>
      <c r="P507" s="1319">
        <f t="shared" si="25"/>
        <v>0</v>
      </c>
    </row>
    <row r="508" spans="1:16" hidden="1">
      <c r="A508" s="1267" t="str">
        <f>IF(AND('VOC &amp; S Gases'!C148="",'VOC &amp; S Gases'!F148=""),"",'VOC &amp; S Gases'!A148)</f>
        <v/>
      </c>
      <c r="B508" s="1259"/>
      <c r="C508" s="1321" t="str">
        <f>IF(C$371="","",('VOC &amp; S Gases'!$Q148&amp;signum2('VOC &amp; S Gases'!R148,SigFig1,SigFig2,'VOC &amp; S Gases'!$Q148)))</f>
        <v/>
      </c>
      <c r="D508" s="1273" t="str">
        <f>IF(C$371="","",('VOC &amp; S Gases'!$Q148&amp;signum2('VOC &amp; S Gases'!S148,SigFig1,SigFig2,'VOC &amp; S Gases'!$Q148)))</f>
        <v/>
      </c>
      <c r="E508" s="1322" t="str">
        <f>IF(C$371="","",(IF(C508="","",LessThan('VOC &amp; S Gases'!$Q148,VND))&amp;SigNum3('VOC &amp; S Gases'!T148,SigFig1,SigFig2,'VOC &amp; S Gases'!$Q148)))</f>
        <v/>
      </c>
      <c r="F508" s="1321" t="str">
        <f>IF(F$371="","",('VOC &amp; S Gases'!$B148&amp;signum2('VOC &amp; S Gases'!H148,SigFig1,SigFig2,'VOC &amp; S Gases'!$B148)))</f>
        <v/>
      </c>
      <c r="G508" s="1273" t="str">
        <f>IF(F$371="","",('VOC &amp; S Gases'!$B148&amp;signum2('VOC &amp; S Gases'!J148,SigFig1,SigFig2,'VOC &amp; S Gases'!$B148)))</f>
        <v/>
      </c>
      <c r="H508" s="1322" t="str">
        <f>IF(F$371="","",(IF(F508="","",LessThan('VOC &amp; S Gases'!$B148,VND))&amp;SigNum3('VOC &amp; S Gases'!K148,SigFig1,SigFig2,'VOC &amp; S Gases'!$B148)))</f>
        <v/>
      </c>
      <c r="I508" s="1321" t="str">
        <f>IF(I$371="","",('VOC &amp; S Gases'!$E148&amp;signum2('VOC &amp; S Gases'!L148,SigFig1,SigFig2,'VOC &amp; S Gases'!$E148)))</f>
        <v/>
      </c>
      <c r="J508" s="1273" t="str">
        <f>IF(I$371="","",('VOC &amp; S Gases'!$E148&amp;signum2('VOC &amp; S Gases'!N148,SigFig1,SigFig2,'VOC &amp; S Gases'!$E148)))</f>
        <v/>
      </c>
      <c r="K508" s="1322" t="str">
        <f>IF(I$371="","",(IF(I508="","",LessThan('VOC &amp; S Gases'!$E148,VND))&amp;SigNum3('VOC &amp; S Gases'!O148,SigFig1,SigFig2,'VOC &amp; S Gases'!$E148)))</f>
        <v/>
      </c>
      <c r="L508" s="1321"/>
      <c r="M508" s="1322"/>
      <c r="N508" s="1272"/>
      <c r="O508" s="1319">
        <f t="shared" si="24"/>
        <v>0</v>
      </c>
      <c r="P508" s="1319">
        <f t="shared" si="25"/>
        <v>0</v>
      </c>
    </row>
    <row r="509" spans="1:16" hidden="1">
      <c r="A509" s="1267" t="str">
        <f>IF(AND('VOC &amp; S Gases'!C149="",'VOC &amp; S Gases'!F149=""),"",'VOC &amp; S Gases'!A149)</f>
        <v/>
      </c>
      <c r="B509" s="1259"/>
      <c r="C509" s="1321" t="str">
        <f>IF(C$371="","",('VOC &amp; S Gases'!$Q149&amp;signum2('VOC &amp; S Gases'!R149,SigFig1,SigFig2,'VOC &amp; S Gases'!$Q149)))</f>
        <v/>
      </c>
      <c r="D509" s="1273" t="str">
        <f>IF(C$371="","",('VOC &amp; S Gases'!$Q149&amp;signum2('VOC &amp; S Gases'!S149,SigFig1,SigFig2,'VOC &amp; S Gases'!$Q149)))</f>
        <v/>
      </c>
      <c r="E509" s="1322" t="str">
        <f>IF(C$371="","",(IF(C509="","",LessThan('VOC &amp; S Gases'!$Q149,VND))&amp;SigNum3('VOC &amp; S Gases'!T149,SigFig1,SigFig2,'VOC &amp; S Gases'!$Q149)))</f>
        <v/>
      </c>
      <c r="F509" s="1321" t="str">
        <f>IF(F$371="","",('VOC &amp; S Gases'!$B149&amp;signum2('VOC &amp; S Gases'!H149,SigFig1,SigFig2,'VOC &amp; S Gases'!$B149)))</f>
        <v/>
      </c>
      <c r="G509" s="1273" t="str">
        <f>IF(F$371="","",('VOC &amp; S Gases'!$B149&amp;signum2('VOC &amp; S Gases'!J149,SigFig1,SigFig2,'VOC &amp; S Gases'!$B149)))</f>
        <v/>
      </c>
      <c r="H509" s="1322" t="str">
        <f>IF(F$371="","",(IF(F509="","",LessThan('VOC &amp; S Gases'!$B149,VND))&amp;SigNum3('VOC &amp; S Gases'!K149,SigFig1,SigFig2,'VOC &amp; S Gases'!$B149)))</f>
        <v/>
      </c>
      <c r="I509" s="1321" t="str">
        <f>IF(I$371="","",('VOC &amp; S Gases'!$E149&amp;signum2('VOC &amp; S Gases'!L149,SigFig1,SigFig2,'VOC &amp; S Gases'!$E149)))</f>
        <v/>
      </c>
      <c r="J509" s="1273" t="str">
        <f>IF(I$371="","",('VOC &amp; S Gases'!$E149&amp;signum2('VOC &amp; S Gases'!N149,SigFig1,SigFig2,'VOC &amp; S Gases'!$E149)))</f>
        <v/>
      </c>
      <c r="K509" s="1322" t="str">
        <f>IF(I$371="","",(IF(I509="","",LessThan('VOC &amp; S Gases'!$E149,VND))&amp;SigNum3('VOC &amp; S Gases'!O149,SigFig1,SigFig2,'VOC &amp; S Gases'!$E149)))</f>
        <v/>
      </c>
      <c r="L509" s="1321"/>
      <c r="M509" s="1322"/>
      <c r="N509" s="1272"/>
      <c r="O509" s="1319">
        <f t="shared" si="24"/>
        <v>0</v>
      </c>
      <c r="P509" s="1319">
        <f t="shared" si="25"/>
        <v>0</v>
      </c>
    </row>
    <row r="510" spans="1:16" hidden="1">
      <c r="A510" s="1267" t="str">
        <f>IF(AND('VOC &amp; S Gases'!C150="",'VOC &amp; S Gases'!F150=""),"",'VOC &amp; S Gases'!A150)</f>
        <v/>
      </c>
      <c r="B510" s="1259"/>
      <c r="C510" s="1321" t="str">
        <f>IF(C$371="","",('VOC &amp; S Gases'!$Q150&amp;signum2('VOC &amp; S Gases'!R150,SigFig1,SigFig2,'VOC &amp; S Gases'!$Q150)))</f>
        <v/>
      </c>
      <c r="D510" s="1273" t="str">
        <f>IF(C$371="","",('VOC &amp; S Gases'!$Q150&amp;signum2('VOC &amp; S Gases'!S150,SigFig1,SigFig2,'VOC &amp; S Gases'!$Q150)))</f>
        <v/>
      </c>
      <c r="E510" s="1322" t="str">
        <f>IF(C$371="","",(IF(C510="","",LessThan('VOC &amp; S Gases'!$Q150,VND))&amp;SigNum3('VOC &amp; S Gases'!T150,SigFig1,SigFig2,'VOC &amp; S Gases'!$Q150)))</f>
        <v/>
      </c>
      <c r="F510" s="1321" t="str">
        <f>IF(F$371="","",('VOC &amp; S Gases'!$B150&amp;signum2('VOC &amp; S Gases'!H150,SigFig1,SigFig2,'VOC &amp; S Gases'!$B150)))</f>
        <v/>
      </c>
      <c r="G510" s="1273" t="str">
        <f>IF(F$371="","",('VOC &amp; S Gases'!$B150&amp;signum2('VOC &amp; S Gases'!J150,SigFig1,SigFig2,'VOC &amp; S Gases'!$B150)))</f>
        <v/>
      </c>
      <c r="H510" s="1322" t="str">
        <f>IF(F$371="","",(IF(F510="","",LessThan('VOC &amp; S Gases'!$B150,VND))&amp;SigNum3('VOC &amp; S Gases'!K150,SigFig1,SigFig2,'VOC &amp; S Gases'!$B150)))</f>
        <v/>
      </c>
      <c r="I510" s="1321" t="str">
        <f>IF(I$371="","",('VOC &amp; S Gases'!$E150&amp;signum2('VOC &amp; S Gases'!L150,SigFig1,SigFig2,'VOC &amp; S Gases'!$E150)))</f>
        <v/>
      </c>
      <c r="J510" s="1273" t="str">
        <f>IF(I$371="","",('VOC &amp; S Gases'!$E150&amp;signum2('VOC &amp; S Gases'!N150,SigFig1,SigFig2,'VOC &amp; S Gases'!$E150)))</f>
        <v/>
      </c>
      <c r="K510" s="1322" t="str">
        <f>IF(I$371="","",(IF(I510="","",LessThan('VOC &amp; S Gases'!$E150,VND))&amp;SigNum3('VOC &amp; S Gases'!O150,SigFig1,SigFig2,'VOC &amp; S Gases'!$E150)))</f>
        <v/>
      </c>
      <c r="L510" s="1321"/>
      <c r="M510" s="1322"/>
      <c r="N510" s="1272"/>
      <c r="O510" s="1319">
        <f t="shared" si="24"/>
        <v>0</v>
      </c>
      <c r="P510" s="1319">
        <f t="shared" si="25"/>
        <v>0</v>
      </c>
    </row>
    <row r="511" spans="1:16" hidden="1">
      <c r="A511" s="1267" t="str">
        <f>IF(AND('VOC &amp; S Gases'!C151="",'VOC &amp; S Gases'!F151=""),"",'VOC &amp; S Gases'!A151)</f>
        <v/>
      </c>
      <c r="B511" s="1259"/>
      <c r="C511" s="1321" t="str">
        <f>IF(C$371="","",('VOC &amp; S Gases'!$Q151&amp;signum2('VOC &amp; S Gases'!R151,SigFig1,SigFig2,'VOC &amp; S Gases'!$Q151)))</f>
        <v/>
      </c>
      <c r="D511" s="1273" t="str">
        <f>IF(C$371="","",('VOC &amp; S Gases'!$Q151&amp;signum2('VOC &amp; S Gases'!S151,SigFig1,SigFig2,'VOC &amp; S Gases'!$Q151)))</f>
        <v/>
      </c>
      <c r="E511" s="1322" t="str">
        <f>IF(C$371="","",(IF(C511="","",LessThan('VOC &amp; S Gases'!$Q151,VND))&amp;SigNum3('VOC &amp; S Gases'!T151,SigFig1,SigFig2,'VOC &amp; S Gases'!$Q151)))</f>
        <v/>
      </c>
      <c r="F511" s="1321" t="str">
        <f>IF(F$371="","",('VOC &amp; S Gases'!$B151&amp;signum2('VOC &amp; S Gases'!H151,SigFig1,SigFig2,'VOC &amp; S Gases'!$B151)))</f>
        <v/>
      </c>
      <c r="G511" s="1273" t="str">
        <f>IF(F$371="","",('VOC &amp; S Gases'!$B151&amp;signum2('VOC &amp; S Gases'!J151,SigFig1,SigFig2,'VOC &amp; S Gases'!$B151)))</f>
        <v/>
      </c>
      <c r="H511" s="1322" t="str">
        <f>IF(F$371="","",(IF(F511="","",LessThan('VOC &amp; S Gases'!$B151,VND))&amp;SigNum3('VOC &amp; S Gases'!K151,SigFig1,SigFig2,'VOC &amp; S Gases'!$B151)))</f>
        <v/>
      </c>
      <c r="I511" s="1321" t="str">
        <f>IF(I$371="","",('VOC &amp; S Gases'!$E151&amp;signum2('VOC &amp; S Gases'!L151,SigFig1,SigFig2,'VOC &amp; S Gases'!$E151)))</f>
        <v/>
      </c>
      <c r="J511" s="1273" t="str">
        <f>IF(I$371="","",('VOC &amp; S Gases'!$E151&amp;signum2('VOC &amp; S Gases'!N151,SigFig1,SigFig2,'VOC &amp; S Gases'!$E151)))</f>
        <v/>
      </c>
      <c r="K511" s="1322" t="str">
        <f>IF(I$371="","",(IF(I511="","",LessThan('VOC &amp; S Gases'!$E151,VND))&amp;SigNum3('VOC &amp; S Gases'!O151,SigFig1,SigFig2,'VOC &amp; S Gases'!$E151)))</f>
        <v/>
      </c>
      <c r="L511" s="1321"/>
      <c r="M511" s="1322"/>
      <c r="N511" s="1272"/>
      <c r="O511" s="1319">
        <f t="shared" si="24"/>
        <v>0</v>
      </c>
      <c r="P511" s="1319">
        <f t="shared" si="25"/>
        <v>0</v>
      </c>
    </row>
    <row r="512" spans="1:16" hidden="1">
      <c r="A512" s="1267" t="str">
        <f>IF(AND('VOC &amp; S Gases'!C152="",'VOC &amp; S Gases'!F152=""),"",'VOC &amp; S Gases'!A152)</f>
        <v/>
      </c>
      <c r="B512" s="1259"/>
      <c r="C512" s="1321" t="str">
        <f>IF(C$371="","",('VOC &amp; S Gases'!$Q152&amp;signum2('VOC &amp; S Gases'!R152,SigFig1,SigFig2,'VOC &amp; S Gases'!$Q152)))</f>
        <v/>
      </c>
      <c r="D512" s="1273" t="str">
        <f>IF(C$371="","",('VOC &amp; S Gases'!$Q152&amp;signum2('VOC &amp; S Gases'!S152,SigFig1,SigFig2,'VOC &amp; S Gases'!$Q152)))</f>
        <v/>
      </c>
      <c r="E512" s="1322" t="str">
        <f>IF(C$371="","",(IF(C512="","",LessThan('VOC &amp; S Gases'!$Q152,VND))&amp;SigNum3('VOC &amp; S Gases'!T152,SigFig1,SigFig2,'VOC &amp; S Gases'!$Q152)))</f>
        <v/>
      </c>
      <c r="F512" s="1321" t="str">
        <f>IF(F$371="","",('VOC &amp; S Gases'!$B152&amp;signum2('VOC &amp; S Gases'!H152,SigFig1,SigFig2,'VOC &amp; S Gases'!$B152)))</f>
        <v/>
      </c>
      <c r="G512" s="1273" t="str">
        <f>IF(F$371="","",('VOC &amp; S Gases'!$B152&amp;signum2('VOC &amp; S Gases'!J152,SigFig1,SigFig2,'VOC &amp; S Gases'!$B152)))</f>
        <v/>
      </c>
      <c r="H512" s="1322" t="str">
        <f>IF(F$371="","",(IF(F512="","",LessThan('VOC &amp; S Gases'!$B152,VND))&amp;SigNum3('VOC &amp; S Gases'!K152,SigFig1,SigFig2,'VOC &amp; S Gases'!$B152)))</f>
        <v/>
      </c>
      <c r="I512" s="1321" t="str">
        <f>IF(I$371="","",('VOC &amp; S Gases'!$E152&amp;signum2('VOC &amp; S Gases'!L152,SigFig1,SigFig2,'VOC &amp; S Gases'!$E152)))</f>
        <v/>
      </c>
      <c r="J512" s="1273" t="str">
        <f>IF(I$371="","",('VOC &amp; S Gases'!$E152&amp;signum2('VOC &amp; S Gases'!N152,SigFig1,SigFig2,'VOC &amp; S Gases'!$E152)))</f>
        <v/>
      </c>
      <c r="K512" s="1322" t="str">
        <f>IF(I$371="","",(IF(I512="","",LessThan('VOC &amp; S Gases'!$E152,VND))&amp;SigNum3('VOC &amp; S Gases'!O152,SigFig1,SigFig2,'VOC &amp; S Gases'!$E152)))</f>
        <v/>
      </c>
      <c r="L512" s="1321"/>
      <c r="M512" s="1322"/>
      <c r="N512" s="1272"/>
      <c r="O512" s="1319">
        <f t="shared" si="24"/>
        <v>0</v>
      </c>
      <c r="P512" s="1319">
        <f t="shared" si="25"/>
        <v>0</v>
      </c>
    </row>
    <row r="513" spans="1:16" hidden="1">
      <c r="A513" s="1267" t="str">
        <f>IF(AND('VOC &amp; S Gases'!C153="",'VOC &amp; S Gases'!F153=""),"",'VOC &amp; S Gases'!A153)</f>
        <v/>
      </c>
      <c r="B513" s="1259"/>
      <c r="C513" s="1321" t="str">
        <f>IF(C$371="","",('VOC &amp; S Gases'!$Q153&amp;signum2('VOC &amp; S Gases'!R153,SigFig1,SigFig2,'VOC &amp; S Gases'!$Q153)))</f>
        <v/>
      </c>
      <c r="D513" s="1273" t="str">
        <f>IF(C$371="","",('VOC &amp; S Gases'!$Q153&amp;signum2('VOC &amp; S Gases'!S153,SigFig1,SigFig2,'VOC &amp; S Gases'!$Q153)))</f>
        <v/>
      </c>
      <c r="E513" s="1322" t="str">
        <f>IF(C$371="","",(IF(C513="","",LessThan('VOC &amp; S Gases'!$Q153,VND))&amp;SigNum3('VOC &amp; S Gases'!T153,SigFig1,SigFig2,'VOC &amp; S Gases'!$Q153)))</f>
        <v/>
      </c>
      <c r="F513" s="1321" t="str">
        <f>IF(F$371="","",('VOC &amp; S Gases'!$B153&amp;signum2('VOC &amp; S Gases'!H153,SigFig1,SigFig2,'VOC &amp; S Gases'!$B153)))</f>
        <v/>
      </c>
      <c r="G513" s="1273" t="str">
        <f>IF(F$371="","",('VOC &amp; S Gases'!$B153&amp;signum2('VOC &amp; S Gases'!J153,SigFig1,SigFig2,'VOC &amp; S Gases'!$B153)))</f>
        <v/>
      </c>
      <c r="H513" s="1322" t="str">
        <f>IF(F$371="","",(IF(F513="","",LessThan('VOC &amp; S Gases'!$B153,VND))&amp;SigNum3('VOC &amp; S Gases'!K153,SigFig1,SigFig2,'VOC &amp; S Gases'!$B153)))</f>
        <v/>
      </c>
      <c r="I513" s="1321" t="str">
        <f>IF(I$371="","",('VOC &amp; S Gases'!$E153&amp;signum2('VOC &amp; S Gases'!L153,SigFig1,SigFig2,'VOC &amp; S Gases'!$E153)))</f>
        <v/>
      </c>
      <c r="J513" s="1273" t="str">
        <f>IF(I$371="","",('VOC &amp; S Gases'!$E153&amp;signum2('VOC &amp; S Gases'!N153,SigFig1,SigFig2,'VOC &amp; S Gases'!$E153)))</f>
        <v/>
      </c>
      <c r="K513" s="1322" t="str">
        <f>IF(I$371="","",(IF(I513="","",LessThan('VOC &amp; S Gases'!$E153,VND))&amp;SigNum3('VOC &amp; S Gases'!O153,SigFig1,SigFig2,'VOC &amp; S Gases'!$E153)))</f>
        <v/>
      </c>
      <c r="L513" s="1321"/>
      <c r="M513" s="1322"/>
      <c r="N513" s="1272"/>
      <c r="O513" s="1319">
        <f t="shared" si="24"/>
        <v>0</v>
      </c>
      <c r="P513" s="1319">
        <f t="shared" si="25"/>
        <v>0</v>
      </c>
    </row>
    <row r="514" spans="1:16" hidden="1">
      <c r="A514" s="1267" t="str">
        <f>IF(AND('VOC &amp; S Gases'!C154="",'VOC &amp; S Gases'!F154=""),"",'VOC &amp; S Gases'!A154)</f>
        <v/>
      </c>
      <c r="B514" s="1259"/>
      <c r="C514" s="1321" t="str">
        <f>IF(C$371="","",('VOC &amp; S Gases'!$Q154&amp;signum2('VOC &amp; S Gases'!R154,SigFig1,SigFig2,'VOC &amp; S Gases'!$Q154)))</f>
        <v/>
      </c>
      <c r="D514" s="1273" t="str">
        <f>IF(C$371="","",('VOC &amp; S Gases'!$Q154&amp;signum2('VOC &amp; S Gases'!S154,SigFig1,SigFig2,'VOC &amp; S Gases'!$Q154)))</f>
        <v/>
      </c>
      <c r="E514" s="1322" t="str">
        <f>IF(C$371="","",(IF(C514="","",LessThan('VOC &amp; S Gases'!$Q154,VND))&amp;SigNum3('VOC &amp; S Gases'!T154,SigFig1,SigFig2,'VOC &amp; S Gases'!$Q154)))</f>
        <v/>
      </c>
      <c r="F514" s="1321" t="str">
        <f>IF(F$371="","",('VOC &amp; S Gases'!$B154&amp;signum2('VOC &amp; S Gases'!H154,SigFig1,SigFig2,'VOC &amp; S Gases'!$B154)))</f>
        <v/>
      </c>
      <c r="G514" s="1273" t="str">
        <f>IF(F$371="","",('VOC &amp; S Gases'!$B154&amp;signum2('VOC &amp; S Gases'!J154,SigFig1,SigFig2,'VOC &amp; S Gases'!$B154)))</f>
        <v/>
      </c>
      <c r="H514" s="1322" t="str">
        <f>IF(F$371="","",(IF(F514="","",LessThan('VOC &amp; S Gases'!$B154,VND))&amp;SigNum3('VOC &amp; S Gases'!K154,SigFig1,SigFig2,'VOC &amp; S Gases'!$B154)))</f>
        <v/>
      </c>
      <c r="I514" s="1321" t="str">
        <f>IF(I$371="","",('VOC &amp; S Gases'!$E154&amp;signum2('VOC &amp; S Gases'!L154,SigFig1,SigFig2,'VOC &amp; S Gases'!$E154)))</f>
        <v/>
      </c>
      <c r="J514" s="1273" t="str">
        <f>IF(I$371="","",('VOC &amp; S Gases'!$E154&amp;signum2('VOC &amp; S Gases'!N154,SigFig1,SigFig2,'VOC &amp; S Gases'!$E154)))</f>
        <v/>
      </c>
      <c r="K514" s="1322" t="str">
        <f>IF(I$371="","",(IF(I514="","",LessThan('VOC &amp; S Gases'!$E154,VND))&amp;SigNum3('VOC &amp; S Gases'!O154,SigFig1,SigFig2,'VOC &amp; S Gases'!$E154)))</f>
        <v/>
      </c>
      <c r="L514" s="1321"/>
      <c r="M514" s="1322"/>
      <c r="N514" s="1272"/>
      <c r="O514" s="1319">
        <f t="shared" si="24"/>
        <v>0</v>
      </c>
      <c r="P514" s="1319">
        <f t="shared" si="25"/>
        <v>0</v>
      </c>
    </row>
    <row r="515" spans="1:16" hidden="1">
      <c r="A515" s="1267" t="str">
        <f>IF(AND('VOC &amp; S Gases'!C155="",'VOC &amp; S Gases'!F155=""),"",'VOC &amp; S Gases'!A155)</f>
        <v/>
      </c>
      <c r="B515" s="1259"/>
      <c r="C515" s="1321" t="str">
        <f>IF(C$371="","",('VOC &amp; S Gases'!$Q155&amp;signum2('VOC &amp; S Gases'!R155,SigFig1,SigFig2,'VOC &amp; S Gases'!$Q155)))</f>
        <v/>
      </c>
      <c r="D515" s="1273" t="str">
        <f>IF(C$371="","",('VOC &amp; S Gases'!$Q155&amp;signum2('VOC &amp; S Gases'!S155,SigFig1,SigFig2,'VOC &amp; S Gases'!$Q155)))</f>
        <v/>
      </c>
      <c r="E515" s="1322" t="str">
        <f>IF(C$371="","",(IF(C515="","",LessThan('VOC &amp; S Gases'!$Q155,VND))&amp;SigNum3('VOC &amp; S Gases'!T155,SigFig1,SigFig2,'VOC &amp; S Gases'!$Q155)))</f>
        <v/>
      </c>
      <c r="F515" s="1321" t="str">
        <f>IF(F$371="","",('VOC &amp; S Gases'!$B155&amp;signum2('VOC &amp; S Gases'!H155,SigFig1,SigFig2,'VOC &amp; S Gases'!$B155)))</f>
        <v/>
      </c>
      <c r="G515" s="1273" t="str">
        <f>IF(F$371="","",('VOC &amp; S Gases'!$B155&amp;signum2('VOC &amp; S Gases'!J155,SigFig1,SigFig2,'VOC &amp; S Gases'!$B155)))</f>
        <v/>
      </c>
      <c r="H515" s="1322" t="str">
        <f>IF(F$371="","",(IF(F515="","",LessThan('VOC &amp; S Gases'!$B155,VND))&amp;SigNum3('VOC &amp; S Gases'!K155,SigFig1,SigFig2,'VOC &amp; S Gases'!$B155)))</f>
        <v/>
      </c>
      <c r="I515" s="1321" t="str">
        <f>IF(I$371="","",('VOC &amp; S Gases'!$E155&amp;signum2('VOC &amp; S Gases'!L155,SigFig1,SigFig2,'VOC &amp; S Gases'!$E155)))</f>
        <v/>
      </c>
      <c r="J515" s="1273" t="str">
        <f>IF(I$371="","",('VOC &amp; S Gases'!$E155&amp;signum2('VOC &amp; S Gases'!N155,SigFig1,SigFig2,'VOC &amp; S Gases'!$E155)))</f>
        <v/>
      </c>
      <c r="K515" s="1322" t="str">
        <f>IF(I$371="","",(IF(I515="","",LessThan('VOC &amp; S Gases'!$E155,VND))&amp;SigNum3('VOC &amp; S Gases'!O155,SigFig1,SigFig2,'VOC &amp; S Gases'!$E155)))</f>
        <v/>
      </c>
      <c r="L515" s="1321"/>
      <c r="M515" s="1322"/>
      <c r="N515" s="1272"/>
      <c r="O515" s="1319">
        <f t="shared" si="24"/>
        <v>0</v>
      </c>
      <c r="P515" s="1319">
        <f t="shared" si="25"/>
        <v>0</v>
      </c>
    </row>
    <row r="516" spans="1:16" hidden="1">
      <c r="A516" s="1267" t="str">
        <f>IF(AND('VOC &amp; S Gases'!C156="",'VOC &amp; S Gases'!F156=""),"",'VOC &amp; S Gases'!A156)</f>
        <v/>
      </c>
      <c r="B516" s="1259"/>
      <c r="C516" s="1321" t="str">
        <f>IF(C$371="","",('VOC &amp; S Gases'!$Q156&amp;signum2('VOC &amp; S Gases'!R156,SigFig1,SigFig2,'VOC &amp; S Gases'!$Q156)))</f>
        <v/>
      </c>
      <c r="D516" s="1273" t="str">
        <f>IF(C$371="","",('VOC &amp; S Gases'!$Q156&amp;signum2('VOC &amp; S Gases'!S156,SigFig1,SigFig2,'VOC &amp; S Gases'!$Q156)))</f>
        <v/>
      </c>
      <c r="E516" s="1322" t="str">
        <f>IF(C$371="","",(IF(C516="","",LessThan('VOC &amp; S Gases'!$Q156,VND))&amp;SigNum3('VOC &amp; S Gases'!T156,SigFig1,SigFig2,'VOC &amp; S Gases'!$Q156)))</f>
        <v/>
      </c>
      <c r="F516" s="1321" t="str">
        <f>IF(F$371="","",('VOC &amp; S Gases'!$B156&amp;signum2('VOC &amp; S Gases'!H156,SigFig1,SigFig2,'VOC &amp; S Gases'!$B156)))</f>
        <v/>
      </c>
      <c r="G516" s="1273" t="str">
        <f>IF(F$371="","",('VOC &amp; S Gases'!$B156&amp;signum2('VOC &amp; S Gases'!J156,SigFig1,SigFig2,'VOC &amp; S Gases'!$B156)))</f>
        <v/>
      </c>
      <c r="H516" s="1322" t="str">
        <f>IF(F$371="","",(IF(F516="","",LessThan('VOC &amp; S Gases'!$B156,VND))&amp;SigNum3('VOC &amp; S Gases'!K156,SigFig1,SigFig2,'VOC &amp; S Gases'!$B156)))</f>
        <v/>
      </c>
      <c r="I516" s="1321" t="str">
        <f>IF(I$371="","",('VOC &amp; S Gases'!$E156&amp;signum2('VOC &amp; S Gases'!L156,SigFig1,SigFig2,'VOC &amp; S Gases'!$E156)))</f>
        <v/>
      </c>
      <c r="J516" s="1273" t="str">
        <f>IF(I$371="","",('VOC &amp; S Gases'!$E156&amp;signum2('VOC &amp; S Gases'!N156,SigFig1,SigFig2,'VOC &amp; S Gases'!$E156)))</f>
        <v/>
      </c>
      <c r="K516" s="1322" t="str">
        <f>IF(I$371="","",(IF(I516="","",LessThan('VOC &amp; S Gases'!$E156,VND))&amp;SigNum3('VOC &amp; S Gases'!O156,SigFig1,SigFig2,'VOC &amp; S Gases'!$E156)))</f>
        <v/>
      </c>
      <c r="L516" s="1321"/>
      <c r="M516" s="1322"/>
      <c r="N516" s="1272"/>
      <c r="O516" s="1319">
        <f t="shared" si="24"/>
        <v>0</v>
      </c>
      <c r="P516" s="1319">
        <f t="shared" si="25"/>
        <v>0</v>
      </c>
    </row>
    <row r="517" spans="1:16" hidden="1">
      <c r="A517" s="1267" t="str">
        <f>IF(AND('VOC &amp; S Gases'!C157="",'VOC &amp; S Gases'!F157=""),"",'VOC &amp; S Gases'!A157)</f>
        <v/>
      </c>
      <c r="B517" s="1259"/>
      <c r="C517" s="1321" t="str">
        <f>IF(C$371="","",('VOC &amp; S Gases'!$Q157&amp;signum2('VOC &amp; S Gases'!R157,SigFig1,SigFig2,'VOC &amp; S Gases'!$Q157)))</f>
        <v/>
      </c>
      <c r="D517" s="1273" t="str">
        <f>IF(C$371="","",('VOC &amp; S Gases'!$Q157&amp;signum2('VOC &amp; S Gases'!S157,SigFig1,SigFig2,'VOC &amp; S Gases'!$Q157)))</f>
        <v/>
      </c>
      <c r="E517" s="1322" t="str">
        <f>IF(C$371="","",(IF(C517="","",LessThan('VOC &amp; S Gases'!$Q157,VND))&amp;SigNum3('VOC &amp; S Gases'!T157,SigFig1,SigFig2,'VOC &amp; S Gases'!$Q157)))</f>
        <v/>
      </c>
      <c r="F517" s="1321" t="str">
        <f>IF(F$371="","",('VOC &amp; S Gases'!$B157&amp;signum2('VOC &amp; S Gases'!H157,SigFig1,SigFig2,'VOC &amp; S Gases'!$B157)))</f>
        <v/>
      </c>
      <c r="G517" s="1273" t="str">
        <f>IF(F$371="","",('VOC &amp; S Gases'!$B157&amp;signum2('VOC &amp; S Gases'!J157,SigFig1,SigFig2,'VOC &amp; S Gases'!$B157)))</f>
        <v/>
      </c>
      <c r="H517" s="1322" t="str">
        <f>IF(F$371="","",(IF(F517="","",LessThan('VOC &amp; S Gases'!$B157,VND))&amp;SigNum3('VOC &amp; S Gases'!K157,SigFig1,SigFig2,'VOC &amp; S Gases'!$B157)))</f>
        <v/>
      </c>
      <c r="I517" s="1321" t="str">
        <f>IF(I$371="","",('VOC &amp; S Gases'!$E157&amp;signum2('VOC &amp; S Gases'!L157,SigFig1,SigFig2,'VOC &amp; S Gases'!$E157)))</f>
        <v/>
      </c>
      <c r="J517" s="1273" t="str">
        <f>IF(I$371="","",('VOC &amp; S Gases'!$E157&amp;signum2('VOC &amp; S Gases'!N157,SigFig1,SigFig2,'VOC &amp; S Gases'!$E157)))</f>
        <v/>
      </c>
      <c r="K517" s="1322" t="str">
        <f>IF(I$371="","",(IF(I517="","",LessThan('VOC &amp; S Gases'!$E157,VND))&amp;SigNum3('VOC &amp; S Gases'!O157,SigFig1,SigFig2,'VOC &amp; S Gases'!$E157)))</f>
        <v/>
      </c>
      <c r="L517" s="1321"/>
      <c r="M517" s="1322"/>
      <c r="N517" s="1272"/>
      <c r="O517" s="1319">
        <f t="shared" si="24"/>
        <v>0</v>
      </c>
      <c r="P517" s="1319">
        <f t="shared" si="25"/>
        <v>0</v>
      </c>
    </row>
    <row r="518" spans="1:16" hidden="1">
      <c r="A518" s="1267" t="str">
        <f>IF(AND('VOC &amp; S Gases'!C158="",'VOC &amp; S Gases'!F158=""),"",'VOC &amp; S Gases'!A158)</f>
        <v/>
      </c>
      <c r="B518" s="1259"/>
      <c r="C518" s="1321" t="str">
        <f>IF(C$371="","",('VOC &amp; S Gases'!$Q158&amp;signum2('VOC &amp; S Gases'!R158,SigFig1,SigFig2,'VOC &amp; S Gases'!$Q158)))</f>
        <v/>
      </c>
      <c r="D518" s="1273" t="str">
        <f>IF(C$371="","",('VOC &amp; S Gases'!$Q158&amp;signum2('VOC &amp; S Gases'!S158,SigFig1,SigFig2,'VOC &amp; S Gases'!$Q158)))</f>
        <v/>
      </c>
      <c r="E518" s="1322" t="str">
        <f>IF(C$371="","",(IF(C518="","",LessThan('VOC &amp; S Gases'!$Q158,VND))&amp;SigNum3('VOC &amp; S Gases'!T158,SigFig1,SigFig2,'VOC &amp; S Gases'!$Q158)))</f>
        <v/>
      </c>
      <c r="F518" s="1321" t="str">
        <f>IF(F$371="","",('VOC &amp; S Gases'!$B158&amp;signum2('VOC &amp; S Gases'!H158,SigFig1,SigFig2,'VOC &amp; S Gases'!$B158)))</f>
        <v/>
      </c>
      <c r="G518" s="1273" t="str">
        <f>IF(F$371="","",('VOC &amp; S Gases'!$B158&amp;signum2('VOC &amp; S Gases'!J158,SigFig1,SigFig2,'VOC &amp; S Gases'!$B158)))</f>
        <v/>
      </c>
      <c r="H518" s="1322" t="str">
        <f>IF(F$371="","",(IF(F518="","",LessThan('VOC &amp; S Gases'!$B158,VND))&amp;SigNum3('VOC &amp; S Gases'!K158,SigFig1,SigFig2,'VOC &amp; S Gases'!$B158)))</f>
        <v/>
      </c>
      <c r="I518" s="1321" t="str">
        <f>IF(I$371="","",('VOC &amp; S Gases'!$E158&amp;signum2('VOC &amp; S Gases'!L158,SigFig1,SigFig2,'VOC &amp; S Gases'!$E158)))</f>
        <v/>
      </c>
      <c r="J518" s="1273" t="str">
        <f>IF(I$371="","",('VOC &amp; S Gases'!$E158&amp;signum2('VOC &amp; S Gases'!N158,SigFig1,SigFig2,'VOC &amp; S Gases'!$E158)))</f>
        <v/>
      </c>
      <c r="K518" s="1322" t="str">
        <f>IF(I$371="","",(IF(I518="","",LessThan('VOC &amp; S Gases'!$E158,VND))&amp;SigNum3('VOC &amp; S Gases'!O158,SigFig1,SigFig2,'VOC &amp; S Gases'!$E158)))</f>
        <v/>
      </c>
      <c r="L518" s="1321"/>
      <c r="M518" s="1322"/>
      <c r="N518" s="1272"/>
      <c r="O518" s="1319">
        <f t="shared" si="24"/>
        <v>0</v>
      </c>
      <c r="P518" s="1319">
        <f t="shared" si="25"/>
        <v>0</v>
      </c>
    </row>
    <row r="519" spans="1:16" hidden="1">
      <c r="A519" s="1267" t="str">
        <f>IF(AND('VOC &amp; S Gases'!C159="",'VOC &amp; S Gases'!F159=""),"",'VOC &amp; S Gases'!A159)</f>
        <v/>
      </c>
      <c r="B519" s="1259"/>
      <c r="C519" s="1321" t="str">
        <f>IF(C$371="","",('VOC &amp; S Gases'!$Q159&amp;signum2('VOC &amp; S Gases'!R159,SigFig1,SigFig2,'VOC &amp; S Gases'!$Q159)))</f>
        <v/>
      </c>
      <c r="D519" s="1273" t="str">
        <f>IF(C$371="","",('VOC &amp; S Gases'!$Q159&amp;signum2('VOC &amp; S Gases'!S159,SigFig1,SigFig2,'VOC &amp; S Gases'!$Q159)))</f>
        <v/>
      </c>
      <c r="E519" s="1322" t="str">
        <f>IF(C$371="","",(IF(C519="","",LessThan('VOC &amp; S Gases'!$Q159,VND))&amp;SigNum3('VOC &amp; S Gases'!T159,SigFig1,SigFig2,'VOC &amp; S Gases'!$Q159)))</f>
        <v/>
      </c>
      <c r="F519" s="1321" t="str">
        <f>IF(F$371="","",('VOC &amp; S Gases'!$B159&amp;signum2('VOC &amp; S Gases'!H159,SigFig1,SigFig2,'VOC &amp; S Gases'!$B159)))</f>
        <v/>
      </c>
      <c r="G519" s="1273" t="str">
        <f>IF(F$371="","",('VOC &amp; S Gases'!$B159&amp;signum2('VOC &amp; S Gases'!J159,SigFig1,SigFig2,'VOC &amp; S Gases'!$B159)))</f>
        <v/>
      </c>
      <c r="H519" s="1322" t="str">
        <f>IF(F$371="","",(IF(F519="","",LessThan('VOC &amp; S Gases'!$B159,VND))&amp;SigNum3('VOC &amp; S Gases'!K159,SigFig1,SigFig2,'VOC &amp; S Gases'!$B159)))</f>
        <v/>
      </c>
      <c r="I519" s="1321" t="str">
        <f>IF(I$371="","",('VOC &amp; S Gases'!$E159&amp;signum2('VOC &amp; S Gases'!L159,SigFig1,SigFig2,'VOC &amp; S Gases'!$E159)))</f>
        <v/>
      </c>
      <c r="J519" s="1273" t="str">
        <f>IF(I$371="","",('VOC &amp; S Gases'!$E159&amp;signum2('VOC &amp; S Gases'!N159,SigFig1,SigFig2,'VOC &amp; S Gases'!$E159)))</f>
        <v/>
      </c>
      <c r="K519" s="1322" t="str">
        <f>IF(I$371="","",(IF(I519="","",LessThan('VOC &amp; S Gases'!$E159,VND))&amp;SigNum3('VOC &amp; S Gases'!O159,SigFig1,SigFig2,'VOC &amp; S Gases'!$E159)))</f>
        <v/>
      </c>
      <c r="L519" s="1321"/>
      <c r="M519" s="1322"/>
      <c r="N519" s="1272"/>
      <c r="O519" s="1319">
        <f t="shared" si="24"/>
        <v>0</v>
      </c>
      <c r="P519" s="1319">
        <f t="shared" si="25"/>
        <v>0</v>
      </c>
    </row>
    <row r="520" spans="1:16" hidden="1">
      <c r="A520" s="1267" t="str">
        <f>IF(AND('VOC &amp; S Gases'!C160="",'VOC &amp; S Gases'!F160=""),"",'VOC &amp; S Gases'!A160)</f>
        <v/>
      </c>
      <c r="B520" s="1259"/>
      <c r="C520" s="1321" t="str">
        <f>IF(C$371="","",('VOC &amp; S Gases'!$Q160&amp;signum2('VOC &amp; S Gases'!R160,SigFig1,SigFig2,'VOC &amp; S Gases'!$Q160)))</f>
        <v/>
      </c>
      <c r="D520" s="1273" t="str">
        <f>IF(C$371="","",('VOC &amp; S Gases'!$Q160&amp;signum2('VOC &amp; S Gases'!S160,SigFig1,SigFig2,'VOC &amp; S Gases'!$Q160)))</f>
        <v/>
      </c>
      <c r="E520" s="1322" t="str">
        <f>IF(C$371="","",(IF(C520="","",LessThan('VOC &amp; S Gases'!$Q160,VND))&amp;SigNum3('VOC &amp; S Gases'!T160,SigFig1,SigFig2,'VOC &amp; S Gases'!$Q160)))</f>
        <v/>
      </c>
      <c r="F520" s="1321" t="str">
        <f>IF(F$371="","",('VOC &amp; S Gases'!$B160&amp;signum2('VOC &amp; S Gases'!H160,SigFig1,SigFig2,'VOC &amp; S Gases'!$B160)))</f>
        <v/>
      </c>
      <c r="G520" s="1273" t="str">
        <f>IF(F$371="","",('VOC &amp; S Gases'!$B160&amp;signum2('VOC &amp; S Gases'!J160,SigFig1,SigFig2,'VOC &amp; S Gases'!$B160)))</f>
        <v/>
      </c>
      <c r="H520" s="1322" t="str">
        <f>IF(F$371="","",(IF(F520="","",LessThan('VOC &amp; S Gases'!$B160,VND))&amp;SigNum3('VOC &amp; S Gases'!K160,SigFig1,SigFig2,'VOC &amp; S Gases'!$B160)))</f>
        <v/>
      </c>
      <c r="I520" s="1321" t="str">
        <f>IF(I$371="","",('VOC &amp; S Gases'!$E160&amp;signum2('VOC &amp; S Gases'!L160,SigFig1,SigFig2,'VOC &amp; S Gases'!$E160)))</f>
        <v/>
      </c>
      <c r="J520" s="1273" t="str">
        <f>IF(I$371="","",('VOC &amp; S Gases'!$E160&amp;signum2('VOC &amp; S Gases'!N160,SigFig1,SigFig2,'VOC &amp; S Gases'!$E160)))</f>
        <v/>
      </c>
      <c r="K520" s="1322" t="str">
        <f>IF(I$371="","",(IF(I520="","",LessThan('VOC &amp; S Gases'!$E160,VND))&amp;SigNum3('VOC &amp; S Gases'!O160,SigFig1,SigFig2,'VOC &amp; S Gases'!$E160)))</f>
        <v/>
      </c>
      <c r="L520" s="1321"/>
      <c r="M520" s="1322"/>
      <c r="N520" s="1272"/>
      <c r="O520" s="1319">
        <f t="shared" si="24"/>
        <v>0</v>
      </c>
      <c r="P520" s="1319">
        <f t="shared" si="25"/>
        <v>0</v>
      </c>
    </row>
    <row r="521" spans="1:16" hidden="1">
      <c r="A521" s="1267" t="str">
        <f>IF(AND('VOC &amp; S Gases'!C161="",'VOC &amp; S Gases'!F161=""),"",'VOC &amp; S Gases'!A161)</f>
        <v/>
      </c>
      <c r="B521" s="1259"/>
      <c r="C521" s="1321" t="str">
        <f>IF(C$371="","",('VOC &amp; S Gases'!$Q161&amp;signum2('VOC &amp; S Gases'!R161,SigFig1,SigFig2,'VOC &amp; S Gases'!$Q161)))</f>
        <v/>
      </c>
      <c r="D521" s="1273" t="str">
        <f>IF(C$371="","",('VOC &amp; S Gases'!$Q161&amp;signum2('VOC &amp; S Gases'!S161,SigFig1,SigFig2,'VOC &amp; S Gases'!$Q161)))</f>
        <v/>
      </c>
      <c r="E521" s="1322" t="str">
        <f>IF(C$371="","",(IF(C521="","",LessThan('VOC &amp; S Gases'!$Q161,VND))&amp;SigNum3('VOC &amp; S Gases'!T161,SigFig1,SigFig2,'VOC &amp; S Gases'!$Q161)))</f>
        <v/>
      </c>
      <c r="F521" s="1321" t="str">
        <f>IF(F$371="","",('VOC &amp; S Gases'!$B161&amp;signum2('VOC &amp; S Gases'!H161,SigFig1,SigFig2,'VOC &amp; S Gases'!$B161)))</f>
        <v/>
      </c>
      <c r="G521" s="1273" t="str">
        <f>IF(F$371="","",('VOC &amp; S Gases'!$B161&amp;signum2('VOC &amp; S Gases'!J161,SigFig1,SigFig2,'VOC &amp; S Gases'!$B161)))</f>
        <v/>
      </c>
      <c r="H521" s="1322" t="str">
        <f>IF(F$371="","",(IF(F521="","",LessThan('VOC &amp; S Gases'!$B161,VND))&amp;SigNum3('VOC &amp; S Gases'!K161,SigFig1,SigFig2,'VOC &amp; S Gases'!$B161)))</f>
        <v/>
      </c>
      <c r="I521" s="1321" t="str">
        <f>IF(I$371="","",('VOC &amp; S Gases'!$E161&amp;signum2('VOC &amp; S Gases'!L161,SigFig1,SigFig2,'VOC &amp; S Gases'!$E161)))</f>
        <v/>
      </c>
      <c r="J521" s="1273" t="str">
        <f>IF(I$371="","",('VOC &amp; S Gases'!$E161&amp;signum2('VOC &amp; S Gases'!N161,SigFig1,SigFig2,'VOC &amp; S Gases'!$E161)))</f>
        <v/>
      </c>
      <c r="K521" s="1322" t="str">
        <f>IF(I$371="","",(IF(I521="","",LessThan('VOC &amp; S Gases'!$E161,VND))&amp;SigNum3('VOC &amp; S Gases'!O161,SigFig1,SigFig2,'VOC &amp; S Gases'!$E161)))</f>
        <v/>
      </c>
      <c r="L521" s="1321"/>
      <c r="M521" s="1322"/>
      <c r="N521" s="1272"/>
      <c r="O521" s="1319">
        <f t="shared" si="24"/>
        <v>0</v>
      </c>
      <c r="P521" s="1319">
        <f t="shared" si="25"/>
        <v>0</v>
      </c>
    </row>
    <row r="522" spans="1:16" hidden="1">
      <c r="A522" s="1267" t="str">
        <f>IF(AND('VOC &amp; S Gases'!C162="",'VOC &amp; S Gases'!F162=""),"",'VOC &amp; S Gases'!A162)</f>
        <v/>
      </c>
      <c r="B522" s="1259"/>
      <c r="C522" s="1321" t="str">
        <f>IF(C$371="","",('VOC &amp; S Gases'!$Q162&amp;signum2('VOC &amp; S Gases'!R162,SigFig1,SigFig2,'VOC &amp; S Gases'!$Q162)))</f>
        <v/>
      </c>
      <c r="D522" s="1273" t="str">
        <f>IF(C$371="","",('VOC &amp; S Gases'!$Q162&amp;signum2('VOC &amp; S Gases'!S162,SigFig1,SigFig2,'VOC &amp; S Gases'!$Q162)))</f>
        <v/>
      </c>
      <c r="E522" s="1322" t="str">
        <f>IF(C$371="","",(IF(C522="","",LessThan('VOC &amp; S Gases'!$Q162,VND))&amp;SigNum3('VOC &amp; S Gases'!T162,SigFig1,SigFig2,'VOC &amp; S Gases'!$Q162)))</f>
        <v/>
      </c>
      <c r="F522" s="1321" t="str">
        <f>IF(F$371="","",('VOC &amp; S Gases'!$B162&amp;signum2('VOC &amp; S Gases'!H162,SigFig1,SigFig2,'VOC &amp; S Gases'!$B162)))</f>
        <v/>
      </c>
      <c r="G522" s="1273" t="str">
        <f>IF(F$371="","",('VOC &amp; S Gases'!$B162&amp;signum2('VOC &amp; S Gases'!J162,SigFig1,SigFig2,'VOC &amp; S Gases'!$B162)))</f>
        <v/>
      </c>
      <c r="H522" s="1322" t="str">
        <f>IF(F$371="","",(IF(F522="","",LessThan('VOC &amp; S Gases'!$B162,VND))&amp;SigNum3('VOC &amp; S Gases'!K162,SigFig1,SigFig2,'VOC &amp; S Gases'!$B162)))</f>
        <v/>
      </c>
      <c r="I522" s="1321" t="str">
        <f>IF(I$371="","",('VOC &amp; S Gases'!$E162&amp;signum2('VOC &amp; S Gases'!L162,SigFig1,SigFig2,'VOC &amp; S Gases'!$E162)))</f>
        <v/>
      </c>
      <c r="J522" s="1273" t="str">
        <f>IF(I$371="","",('VOC &amp; S Gases'!$E162&amp;signum2('VOC &amp; S Gases'!N162,SigFig1,SigFig2,'VOC &amp; S Gases'!$E162)))</f>
        <v/>
      </c>
      <c r="K522" s="1322" t="str">
        <f>IF(I$371="","",(IF(I522="","",LessThan('VOC &amp; S Gases'!$E162,VND))&amp;SigNum3('VOC &amp; S Gases'!O162,SigFig1,SigFig2,'VOC &amp; S Gases'!$E162)))</f>
        <v/>
      </c>
      <c r="L522" s="1321"/>
      <c r="M522" s="1322"/>
      <c r="N522" s="1272"/>
      <c r="O522" s="1319">
        <f t="shared" si="24"/>
        <v>0</v>
      </c>
      <c r="P522" s="1319">
        <f t="shared" si="25"/>
        <v>0</v>
      </c>
    </row>
    <row r="523" spans="1:16" hidden="1">
      <c r="A523" s="1267" t="str">
        <f>IF(AND('VOC &amp; S Gases'!C163="",'VOC &amp; S Gases'!F163=""),"",'VOC &amp; S Gases'!A163)</f>
        <v/>
      </c>
      <c r="B523" s="1259"/>
      <c r="C523" s="1321" t="str">
        <f>IF(C$371="","",('VOC &amp; S Gases'!$Q163&amp;signum2('VOC &amp; S Gases'!R163,SigFig1,SigFig2,'VOC &amp; S Gases'!$Q163)))</f>
        <v/>
      </c>
      <c r="D523" s="1273" t="str">
        <f>IF(C$371="","",('VOC &amp; S Gases'!$Q163&amp;signum2('VOC &amp; S Gases'!S163,SigFig1,SigFig2,'VOC &amp; S Gases'!$Q163)))</f>
        <v/>
      </c>
      <c r="E523" s="1322" t="str">
        <f>IF(C$371="","",(IF(C523="","",LessThan('VOC &amp; S Gases'!$Q163,VND))&amp;SigNum3('VOC &amp; S Gases'!T163,SigFig1,SigFig2,'VOC &amp; S Gases'!$Q163)))</f>
        <v/>
      </c>
      <c r="F523" s="1321" t="str">
        <f>IF(F$371="","",('VOC &amp; S Gases'!$B163&amp;signum2('VOC &amp; S Gases'!H163,SigFig1,SigFig2,'VOC &amp; S Gases'!$B163)))</f>
        <v/>
      </c>
      <c r="G523" s="1273" t="str">
        <f>IF(F$371="","",('VOC &amp; S Gases'!$B163&amp;signum2('VOC &amp; S Gases'!J163,SigFig1,SigFig2,'VOC &amp; S Gases'!$B163)))</f>
        <v/>
      </c>
      <c r="H523" s="1322" t="str">
        <f>IF(F$371="","",(IF(F523="","",LessThan('VOC &amp; S Gases'!$B163,VND))&amp;SigNum3('VOC &amp; S Gases'!K163,SigFig1,SigFig2,'VOC &amp; S Gases'!$B163)))</f>
        <v/>
      </c>
      <c r="I523" s="1321" t="str">
        <f>IF(I$371="","",('VOC &amp; S Gases'!$E163&amp;signum2('VOC &amp; S Gases'!L163,SigFig1,SigFig2,'VOC &amp; S Gases'!$E163)))</f>
        <v/>
      </c>
      <c r="J523" s="1273" t="str">
        <f>IF(I$371="","",('VOC &amp; S Gases'!$E163&amp;signum2('VOC &amp; S Gases'!N163,SigFig1,SigFig2,'VOC &amp; S Gases'!$E163)))</f>
        <v/>
      </c>
      <c r="K523" s="1322" t="str">
        <f>IF(I$371="","",(IF(I523="","",LessThan('VOC &amp; S Gases'!$E163,VND))&amp;SigNum3('VOC &amp; S Gases'!O163,SigFig1,SigFig2,'VOC &amp; S Gases'!$E163)))</f>
        <v/>
      </c>
      <c r="L523" s="1321"/>
      <c r="M523" s="1322"/>
      <c r="N523" s="1272"/>
      <c r="O523" s="1319">
        <f t="shared" si="24"/>
        <v>0</v>
      </c>
      <c r="P523" s="1319">
        <f t="shared" si="25"/>
        <v>0</v>
      </c>
    </row>
    <row r="524" spans="1:16" hidden="1">
      <c r="A524" s="1267" t="str">
        <f>IF(AND('VOC &amp; S Gases'!C164="",'VOC &amp; S Gases'!F164=""),"",'VOC &amp; S Gases'!A164)</f>
        <v/>
      </c>
      <c r="B524" s="1259"/>
      <c r="C524" s="1321" t="str">
        <f>IF(C$371="","",('VOC &amp; S Gases'!$Q164&amp;signum2('VOC &amp; S Gases'!R164,SigFig1,SigFig2,'VOC &amp; S Gases'!$Q164)))</f>
        <v/>
      </c>
      <c r="D524" s="1273" t="str">
        <f>IF(C$371="","",('VOC &amp; S Gases'!$Q164&amp;signum2('VOC &amp; S Gases'!S164,SigFig1,SigFig2,'VOC &amp; S Gases'!$Q164)))</f>
        <v/>
      </c>
      <c r="E524" s="1322" t="str">
        <f>IF(C$371="","",(IF(C524="","",LessThan('VOC &amp; S Gases'!$Q164,VND))&amp;SigNum3('VOC &amp; S Gases'!T164,SigFig1,SigFig2,'VOC &amp; S Gases'!$Q164)))</f>
        <v/>
      </c>
      <c r="F524" s="1321" t="str">
        <f>IF(F$371="","",('VOC &amp; S Gases'!$B164&amp;signum2('VOC &amp; S Gases'!H164,SigFig1,SigFig2,'VOC &amp; S Gases'!$B164)))</f>
        <v/>
      </c>
      <c r="G524" s="1273" t="str">
        <f>IF(F$371="","",('VOC &amp; S Gases'!$B164&amp;signum2('VOC &amp; S Gases'!J164,SigFig1,SigFig2,'VOC &amp; S Gases'!$B164)))</f>
        <v/>
      </c>
      <c r="H524" s="1322" t="str">
        <f>IF(F$371="","",(IF(F524="","",LessThan('VOC &amp; S Gases'!$B164,VND))&amp;SigNum3('VOC &amp; S Gases'!K164,SigFig1,SigFig2,'VOC &amp; S Gases'!$B164)))</f>
        <v/>
      </c>
      <c r="I524" s="1321" t="str">
        <f>IF(I$371="","",('VOC &amp; S Gases'!$E164&amp;signum2('VOC &amp; S Gases'!L164,SigFig1,SigFig2,'VOC &amp; S Gases'!$E164)))</f>
        <v/>
      </c>
      <c r="J524" s="1273" t="str">
        <f>IF(I$371="","",('VOC &amp; S Gases'!$E164&amp;signum2('VOC &amp; S Gases'!N164,SigFig1,SigFig2,'VOC &amp; S Gases'!$E164)))</f>
        <v/>
      </c>
      <c r="K524" s="1322" t="str">
        <f>IF(I$371="","",(IF(I524="","",LessThan('VOC &amp; S Gases'!$E164,VND))&amp;SigNum3('VOC &amp; S Gases'!O164,SigFig1,SigFig2,'VOC &amp; S Gases'!$E164)))</f>
        <v/>
      </c>
      <c r="L524" s="1321"/>
      <c r="M524" s="1322"/>
      <c r="N524" s="1272"/>
      <c r="O524" s="1319">
        <f t="shared" si="24"/>
        <v>0</v>
      </c>
      <c r="P524" s="1319">
        <f t="shared" si="25"/>
        <v>0</v>
      </c>
    </row>
    <row r="525" spans="1:16" hidden="1">
      <c r="A525" s="1267" t="str">
        <f>IF(AND('VOC &amp; S Gases'!C165="",'VOC &amp; S Gases'!F165=""),"",'VOC &amp; S Gases'!A165)</f>
        <v/>
      </c>
      <c r="B525" s="1259"/>
      <c r="C525" s="1321" t="str">
        <f>IF(C$371="","",('VOC &amp; S Gases'!$Q165&amp;signum2('VOC &amp; S Gases'!R165,SigFig1,SigFig2,'VOC &amp; S Gases'!$Q165)))</f>
        <v/>
      </c>
      <c r="D525" s="1273" t="str">
        <f>IF(C$371="","",('VOC &amp; S Gases'!$Q165&amp;signum2('VOC &amp; S Gases'!S165,SigFig1,SigFig2,'VOC &amp; S Gases'!$Q165)))</f>
        <v/>
      </c>
      <c r="E525" s="1322" t="str">
        <f>IF(C$371="","",(IF(C525="","",LessThan('VOC &amp; S Gases'!$Q165,VND))&amp;SigNum3('VOC &amp; S Gases'!T165,SigFig1,SigFig2,'VOC &amp; S Gases'!$Q165)))</f>
        <v/>
      </c>
      <c r="F525" s="1321" t="str">
        <f>IF(F$371="","",('VOC &amp; S Gases'!$B165&amp;signum2('VOC &amp; S Gases'!H165,SigFig1,SigFig2,'VOC &amp; S Gases'!$B165)))</f>
        <v/>
      </c>
      <c r="G525" s="1273" t="str">
        <f>IF(F$371="","",('VOC &amp; S Gases'!$B165&amp;signum2('VOC &amp; S Gases'!J165,SigFig1,SigFig2,'VOC &amp; S Gases'!$B165)))</f>
        <v/>
      </c>
      <c r="H525" s="1322" t="str">
        <f>IF(F$371="","",(IF(F525="","",LessThan('VOC &amp; S Gases'!$B165,VND))&amp;SigNum3('VOC &amp; S Gases'!K165,SigFig1,SigFig2,'VOC &amp; S Gases'!$B165)))</f>
        <v/>
      </c>
      <c r="I525" s="1321" t="str">
        <f>IF(I$371="","",('VOC &amp; S Gases'!$E165&amp;signum2('VOC &amp; S Gases'!L165,SigFig1,SigFig2,'VOC &amp; S Gases'!$E165)))</f>
        <v/>
      </c>
      <c r="J525" s="1273" t="str">
        <f>IF(I$371="","",('VOC &amp; S Gases'!$E165&amp;signum2('VOC &amp; S Gases'!N165,SigFig1,SigFig2,'VOC &amp; S Gases'!$E165)))</f>
        <v/>
      </c>
      <c r="K525" s="1322" t="str">
        <f>IF(I$371="","",(IF(I525="","",LessThan('VOC &amp; S Gases'!$E165,VND))&amp;SigNum3('VOC &amp; S Gases'!O165,SigFig1,SigFig2,'VOC &amp; S Gases'!$E165)))</f>
        <v/>
      </c>
      <c r="L525" s="1321"/>
      <c r="M525" s="1322"/>
      <c r="N525" s="1272"/>
      <c r="O525" s="1319">
        <f t="shared" si="24"/>
        <v>0</v>
      </c>
      <c r="P525" s="1319">
        <f t="shared" si="25"/>
        <v>0</v>
      </c>
    </row>
    <row r="526" spans="1:16" hidden="1">
      <c r="A526" s="1267" t="str">
        <f>IF(AND('VOC &amp; S Gases'!C166="",'VOC &amp; S Gases'!F166=""),"",'VOC &amp; S Gases'!A166)</f>
        <v/>
      </c>
      <c r="B526" s="1259"/>
      <c r="C526" s="1321" t="str">
        <f>IF(C$371="","",('VOC &amp; S Gases'!$Q166&amp;signum2('VOC &amp; S Gases'!R166,SigFig1,SigFig2,'VOC &amp; S Gases'!$Q166)))</f>
        <v/>
      </c>
      <c r="D526" s="1273" t="str">
        <f>IF(C$371="","",('VOC &amp; S Gases'!$Q166&amp;signum2('VOC &amp; S Gases'!S166,SigFig1,SigFig2,'VOC &amp; S Gases'!$Q166)))</f>
        <v/>
      </c>
      <c r="E526" s="1322" t="str">
        <f>IF(C$371="","",(IF(C526="","",LessThan('VOC &amp; S Gases'!$Q166,VND))&amp;SigNum3('VOC &amp; S Gases'!T166,SigFig1,SigFig2,'VOC &amp; S Gases'!$Q166)))</f>
        <v/>
      </c>
      <c r="F526" s="1321" t="str">
        <f>IF(F$371="","",('VOC &amp; S Gases'!$B166&amp;signum2('VOC &amp; S Gases'!H166,SigFig1,SigFig2,'VOC &amp; S Gases'!$B166)))</f>
        <v/>
      </c>
      <c r="G526" s="1273" t="str">
        <f>IF(F$371="","",('VOC &amp; S Gases'!$B166&amp;signum2('VOC &amp; S Gases'!J166,SigFig1,SigFig2,'VOC &amp; S Gases'!$B166)))</f>
        <v/>
      </c>
      <c r="H526" s="1322" t="str">
        <f>IF(F$371="","",(IF(F526="","",LessThan('VOC &amp; S Gases'!$B166,VND))&amp;SigNum3('VOC &amp; S Gases'!K166,SigFig1,SigFig2,'VOC &amp; S Gases'!$B166)))</f>
        <v/>
      </c>
      <c r="I526" s="1321" t="str">
        <f>IF(I$371="","",('VOC &amp; S Gases'!$E166&amp;signum2('VOC &amp; S Gases'!L166,SigFig1,SigFig2,'VOC &amp; S Gases'!$E166)))</f>
        <v/>
      </c>
      <c r="J526" s="1273" t="str">
        <f>IF(I$371="","",('VOC &amp; S Gases'!$E166&amp;signum2('VOC &amp; S Gases'!N166,SigFig1,SigFig2,'VOC &amp; S Gases'!$E166)))</f>
        <v/>
      </c>
      <c r="K526" s="1322" t="str">
        <f>IF(I$371="","",(IF(I526="","",LessThan('VOC &amp; S Gases'!$E166,VND))&amp;SigNum3('VOC &amp; S Gases'!O166,SigFig1,SigFig2,'VOC &amp; S Gases'!$E166)))</f>
        <v/>
      </c>
      <c r="L526" s="1321"/>
      <c r="M526" s="1322"/>
      <c r="N526" s="1272"/>
      <c r="O526" s="1319">
        <f t="shared" si="24"/>
        <v>0</v>
      </c>
      <c r="P526" s="1319">
        <f t="shared" si="25"/>
        <v>0</v>
      </c>
    </row>
    <row r="527" spans="1:16" hidden="1">
      <c r="A527" s="1267" t="str">
        <f>IF(AND('VOC &amp; S Gases'!C167="",'VOC &amp; S Gases'!F167=""),"",'VOC &amp; S Gases'!A167)</f>
        <v/>
      </c>
      <c r="B527" s="1259"/>
      <c r="C527" s="1321" t="str">
        <f>IF(C$371="","",('VOC &amp; S Gases'!$Q167&amp;signum2('VOC &amp; S Gases'!R167,SigFig1,SigFig2,'VOC &amp; S Gases'!$Q167)))</f>
        <v/>
      </c>
      <c r="D527" s="1273" t="str">
        <f>IF(C$371="","",('VOC &amp; S Gases'!$Q167&amp;signum2('VOC &amp; S Gases'!S167,SigFig1,SigFig2,'VOC &amp; S Gases'!$Q167)))</f>
        <v/>
      </c>
      <c r="E527" s="1322" t="str">
        <f>IF(C$371="","",(IF(C527="","",LessThan('VOC &amp; S Gases'!$Q167,VND))&amp;SigNum3('VOC &amp; S Gases'!T167,SigFig1,SigFig2,'VOC &amp; S Gases'!$Q167)))</f>
        <v/>
      </c>
      <c r="F527" s="1321" t="str">
        <f>IF(F$371="","",('VOC &amp; S Gases'!$B167&amp;signum2('VOC &amp; S Gases'!H167,SigFig1,SigFig2,'VOC &amp; S Gases'!$B167)))</f>
        <v/>
      </c>
      <c r="G527" s="1273" t="str">
        <f>IF(F$371="","",('VOC &amp; S Gases'!$B167&amp;signum2('VOC &amp; S Gases'!J167,SigFig1,SigFig2,'VOC &amp; S Gases'!$B167)))</f>
        <v/>
      </c>
      <c r="H527" s="1322" t="str">
        <f>IF(F$371="","",(IF(F527="","",LessThan('VOC &amp; S Gases'!$B167,VND))&amp;SigNum3('VOC &amp; S Gases'!K167,SigFig1,SigFig2,'VOC &amp; S Gases'!$B167)))</f>
        <v/>
      </c>
      <c r="I527" s="1321" t="str">
        <f>IF(I$371="","",('VOC &amp; S Gases'!$E167&amp;signum2('VOC &amp; S Gases'!L167,SigFig1,SigFig2,'VOC &amp; S Gases'!$E167)))</f>
        <v/>
      </c>
      <c r="J527" s="1273" t="str">
        <f>IF(I$371="","",('VOC &amp; S Gases'!$E167&amp;signum2('VOC &amp; S Gases'!N167,SigFig1,SigFig2,'VOC &amp; S Gases'!$E167)))</f>
        <v/>
      </c>
      <c r="K527" s="1322" t="str">
        <f>IF(I$371="","",(IF(I527="","",LessThan('VOC &amp; S Gases'!$E167,VND))&amp;SigNum3('VOC &amp; S Gases'!O167,SigFig1,SigFig2,'VOC &amp; S Gases'!$E167)))</f>
        <v/>
      </c>
      <c r="L527" s="1321"/>
      <c r="M527" s="1322"/>
      <c r="N527" s="1272"/>
      <c r="O527" s="1319">
        <f t="shared" si="24"/>
        <v>0</v>
      </c>
      <c r="P527" s="1319">
        <f t="shared" si="25"/>
        <v>0</v>
      </c>
    </row>
    <row r="528" spans="1:16" hidden="1">
      <c r="A528" s="1267" t="str">
        <f>IF(AND('VOC &amp; S Gases'!C168="",'VOC &amp; S Gases'!F168=""),"",'VOC &amp; S Gases'!A168)</f>
        <v/>
      </c>
      <c r="B528" s="1259"/>
      <c r="C528" s="1321" t="str">
        <f>IF(C$371="","",('VOC &amp; S Gases'!$Q168&amp;signum2('VOC &amp; S Gases'!R168,SigFig1,SigFig2,'VOC &amp; S Gases'!$Q168)))</f>
        <v/>
      </c>
      <c r="D528" s="1273" t="str">
        <f>IF(C$371="","",('VOC &amp; S Gases'!$Q168&amp;signum2('VOC &amp; S Gases'!S168,SigFig1,SigFig2,'VOC &amp; S Gases'!$Q168)))</f>
        <v/>
      </c>
      <c r="E528" s="1322" t="str">
        <f>IF(C$371="","",(IF(C528="","",LessThan('VOC &amp; S Gases'!$Q168,VND))&amp;SigNum3('VOC &amp; S Gases'!T168,SigFig1,SigFig2,'VOC &amp; S Gases'!$Q168)))</f>
        <v/>
      </c>
      <c r="F528" s="1321" t="str">
        <f>IF(F$371="","",('VOC &amp; S Gases'!$B168&amp;signum2('VOC &amp; S Gases'!H168,SigFig1,SigFig2,'VOC &amp; S Gases'!$B168)))</f>
        <v/>
      </c>
      <c r="G528" s="1273" t="str">
        <f>IF(F$371="","",('VOC &amp; S Gases'!$B168&amp;signum2('VOC &amp; S Gases'!J168,SigFig1,SigFig2,'VOC &amp; S Gases'!$B168)))</f>
        <v/>
      </c>
      <c r="H528" s="1322" t="str">
        <f>IF(F$371="","",(IF(F528="","",LessThan('VOC &amp; S Gases'!$B168,VND))&amp;SigNum3('VOC &amp; S Gases'!K168,SigFig1,SigFig2,'VOC &amp; S Gases'!$B168)))</f>
        <v/>
      </c>
      <c r="I528" s="1321" t="str">
        <f>IF(I$371="","",('VOC &amp; S Gases'!$E168&amp;signum2('VOC &amp; S Gases'!L168,SigFig1,SigFig2,'VOC &amp; S Gases'!$E168)))</f>
        <v/>
      </c>
      <c r="J528" s="1273" t="str">
        <f>IF(I$371="","",('VOC &amp; S Gases'!$E168&amp;signum2('VOC &amp; S Gases'!N168,SigFig1,SigFig2,'VOC &amp; S Gases'!$E168)))</f>
        <v/>
      </c>
      <c r="K528" s="1322" t="str">
        <f>IF(I$371="","",(IF(I528="","",LessThan('VOC &amp; S Gases'!$E168,VND))&amp;SigNum3('VOC &amp; S Gases'!O168,SigFig1,SigFig2,'VOC &amp; S Gases'!$E168)))</f>
        <v/>
      </c>
      <c r="L528" s="1321"/>
      <c r="M528" s="1322"/>
      <c r="N528" s="1272"/>
      <c r="O528" s="1319">
        <f t="shared" si="24"/>
        <v>0</v>
      </c>
      <c r="P528" s="1319">
        <f t="shared" si="25"/>
        <v>0</v>
      </c>
    </row>
    <row r="529" spans="1:16" hidden="1">
      <c r="A529" s="1267" t="str">
        <f>IF(AND('VOC &amp; S Gases'!C169="",'VOC &amp; S Gases'!F169=""),"",'VOC &amp; S Gases'!A169)</f>
        <v/>
      </c>
      <c r="B529" s="1259"/>
      <c r="C529" s="1321" t="str">
        <f>IF(C$371="","",('VOC &amp; S Gases'!$Q169&amp;signum2('VOC &amp; S Gases'!R169,SigFig1,SigFig2,'VOC &amp; S Gases'!$Q169)))</f>
        <v/>
      </c>
      <c r="D529" s="1273" t="str">
        <f>IF(C$371="","",('VOC &amp; S Gases'!$Q169&amp;signum2('VOC &amp; S Gases'!S169,SigFig1,SigFig2,'VOC &amp; S Gases'!$Q169)))</f>
        <v/>
      </c>
      <c r="E529" s="1322" t="str">
        <f>IF(C$371="","",(IF(C529="","",LessThan('VOC &amp; S Gases'!$Q169,VND))&amp;SigNum3('VOC &amp; S Gases'!T169,SigFig1,SigFig2,'VOC &amp; S Gases'!$Q169)))</f>
        <v/>
      </c>
      <c r="F529" s="1321" t="str">
        <f>IF(F$371="","",('VOC &amp; S Gases'!$B169&amp;signum2('VOC &amp; S Gases'!H169,SigFig1,SigFig2,'VOC &amp; S Gases'!$B169)))</f>
        <v/>
      </c>
      <c r="G529" s="1273" t="str">
        <f>IF(F$371="","",('VOC &amp; S Gases'!$B169&amp;signum2('VOC &amp; S Gases'!J169,SigFig1,SigFig2,'VOC &amp; S Gases'!$B169)))</f>
        <v/>
      </c>
      <c r="H529" s="1322" t="str">
        <f>IF(F$371="","",(IF(F529="","",LessThan('VOC &amp; S Gases'!$B169,VND))&amp;SigNum3('VOC &amp; S Gases'!K169,SigFig1,SigFig2,'VOC &amp; S Gases'!$B169)))</f>
        <v/>
      </c>
      <c r="I529" s="1321" t="str">
        <f>IF(I$371="","",('VOC &amp; S Gases'!$E169&amp;signum2('VOC &amp; S Gases'!L169,SigFig1,SigFig2,'VOC &amp; S Gases'!$E169)))</f>
        <v/>
      </c>
      <c r="J529" s="1273" t="str">
        <f>IF(I$371="","",('VOC &amp; S Gases'!$E169&amp;signum2('VOC &amp; S Gases'!N169,SigFig1,SigFig2,'VOC &amp; S Gases'!$E169)))</f>
        <v/>
      </c>
      <c r="K529" s="1322" t="str">
        <f>IF(I$371="","",(IF(I529="","",LessThan('VOC &amp; S Gases'!$E169,VND))&amp;SigNum3('VOC &amp; S Gases'!O169,SigFig1,SigFig2,'VOC &amp; S Gases'!$E169)))</f>
        <v/>
      </c>
      <c r="L529" s="1321"/>
      <c r="M529" s="1322"/>
      <c r="N529" s="1272"/>
      <c r="O529" s="1319">
        <f t="shared" si="24"/>
        <v>0</v>
      </c>
      <c r="P529" s="1319">
        <f t="shared" si="25"/>
        <v>0</v>
      </c>
    </row>
    <row r="530" spans="1:16" hidden="1">
      <c r="A530" s="1267" t="str">
        <f>IF(AND('VOC &amp; S Gases'!C170="",'VOC &amp; S Gases'!F170=""),"",'VOC &amp; S Gases'!A170)</f>
        <v/>
      </c>
      <c r="B530" s="1259"/>
      <c r="C530" s="1321" t="str">
        <f>IF(C$371="","",('VOC &amp; S Gases'!$Q170&amp;signum2('VOC &amp; S Gases'!R170,SigFig1,SigFig2,'VOC &amp; S Gases'!$Q170)))</f>
        <v/>
      </c>
      <c r="D530" s="1273" t="str">
        <f>IF(C$371="","",('VOC &amp; S Gases'!$Q170&amp;signum2('VOC &amp; S Gases'!S170,SigFig1,SigFig2,'VOC &amp; S Gases'!$Q170)))</f>
        <v/>
      </c>
      <c r="E530" s="1322" t="str">
        <f>IF(C$371="","",(IF(C530="","",LessThan('VOC &amp; S Gases'!$Q170,VND))&amp;SigNum3('VOC &amp; S Gases'!T170,SigFig1,SigFig2,'VOC &amp; S Gases'!$Q170)))</f>
        <v/>
      </c>
      <c r="F530" s="1321" t="str">
        <f>IF(F$371="","",('VOC &amp; S Gases'!$B170&amp;signum2('VOC &amp; S Gases'!H170,SigFig1,SigFig2,'VOC &amp; S Gases'!$B170)))</f>
        <v/>
      </c>
      <c r="G530" s="1273" t="str">
        <f>IF(F$371="","",('VOC &amp; S Gases'!$B170&amp;signum2('VOC &amp; S Gases'!J170,SigFig1,SigFig2,'VOC &amp; S Gases'!$B170)))</f>
        <v/>
      </c>
      <c r="H530" s="1322" t="str">
        <f>IF(F$371="","",(IF(F530="","",LessThan('VOC &amp; S Gases'!$B170,VND))&amp;SigNum3('VOC &amp; S Gases'!K170,SigFig1,SigFig2,'VOC &amp; S Gases'!$B170)))</f>
        <v/>
      </c>
      <c r="I530" s="1321" t="str">
        <f>IF(I$371="","",('VOC &amp; S Gases'!$E170&amp;signum2('VOC &amp; S Gases'!L170,SigFig1,SigFig2,'VOC &amp; S Gases'!$E170)))</f>
        <v/>
      </c>
      <c r="J530" s="1273" t="str">
        <f>IF(I$371="","",('VOC &amp; S Gases'!$E170&amp;signum2('VOC &amp; S Gases'!N170,SigFig1,SigFig2,'VOC &amp; S Gases'!$E170)))</f>
        <v/>
      </c>
      <c r="K530" s="1322" t="str">
        <f>IF(I$371="","",(IF(I530="","",LessThan('VOC &amp; S Gases'!$E170,VND))&amp;SigNum3('VOC &amp; S Gases'!O170,SigFig1,SigFig2,'VOC &amp; S Gases'!$E170)))</f>
        <v/>
      </c>
      <c r="L530" s="1321"/>
      <c r="M530" s="1322"/>
      <c r="N530" s="1272"/>
      <c r="O530" s="1319">
        <f t="shared" si="24"/>
        <v>0</v>
      </c>
      <c r="P530" s="1319">
        <f t="shared" si="25"/>
        <v>0</v>
      </c>
    </row>
    <row r="531" spans="1:16" hidden="1">
      <c r="A531" s="1267" t="str">
        <f>IF(AND('VOC &amp; S Gases'!C171="",'VOC &amp; S Gases'!F171=""),"",'VOC &amp; S Gases'!A171)</f>
        <v/>
      </c>
      <c r="B531" s="1259"/>
      <c r="C531" s="1321" t="str">
        <f>IF(C$371="","",('VOC &amp; S Gases'!$Q171&amp;signum2('VOC &amp; S Gases'!R171,SigFig1,SigFig2,'VOC &amp; S Gases'!$Q171)))</f>
        <v/>
      </c>
      <c r="D531" s="1273" t="str">
        <f>IF(C$371="","",('VOC &amp; S Gases'!$Q171&amp;signum2('VOC &amp; S Gases'!S171,SigFig1,SigFig2,'VOC &amp; S Gases'!$Q171)))</f>
        <v/>
      </c>
      <c r="E531" s="1322" t="str">
        <f>IF(C$371="","",(IF(C531="","",LessThan('VOC &amp; S Gases'!$Q171,VND))&amp;SigNum3('VOC &amp; S Gases'!T171,SigFig1,SigFig2,'VOC &amp; S Gases'!$Q171)))</f>
        <v/>
      </c>
      <c r="F531" s="1321" t="str">
        <f>IF(F$371="","",('VOC &amp; S Gases'!$B171&amp;signum2('VOC &amp; S Gases'!H171,SigFig1,SigFig2,'VOC &amp; S Gases'!$B171)))</f>
        <v/>
      </c>
      <c r="G531" s="1273" t="str">
        <f>IF(F$371="","",('VOC &amp; S Gases'!$B171&amp;signum2('VOC &amp; S Gases'!J171,SigFig1,SigFig2,'VOC &amp; S Gases'!$B171)))</f>
        <v/>
      </c>
      <c r="H531" s="1322" t="str">
        <f>IF(F$371="","",(IF(F531="","",LessThan('VOC &amp; S Gases'!$B171,VND))&amp;SigNum3('VOC &amp; S Gases'!K171,SigFig1,SigFig2,'VOC &amp; S Gases'!$B171)))</f>
        <v/>
      </c>
      <c r="I531" s="1321" t="str">
        <f>IF(I$371="","",('VOC &amp; S Gases'!$E171&amp;signum2('VOC &amp; S Gases'!L171,SigFig1,SigFig2,'VOC &amp; S Gases'!$E171)))</f>
        <v/>
      </c>
      <c r="J531" s="1273" t="str">
        <f>IF(I$371="","",('VOC &amp; S Gases'!$E171&amp;signum2('VOC &amp; S Gases'!N171,SigFig1,SigFig2,'VOC &amp; S Gases'!$E171)))</f>
        <v/>
      </c>
      <c r="K531" s="1322" t="str">
        <f>IF(I$371="","",(IF(I531="","",LessThan('VOC &amp; S Gases'!$E171,VND))&amp;SigNum3('VOC &amp; S Gases'!O171,SigFig1,SigFig2,'VOC &amp; S Gases'!$E171)))</f>
        <v/>
      </c>
      <c r="L531" s="1321"/>
      <c r="M531" s="1322"/>
      <c r="N531" s="1272"/>
      <c r="O531" s="1319">
        <f t="shared" si="24"/>
        <v>0</v>
      </c>
      <c r="P531" s="1319">
        <f t="shared" si="25"/>
        <v>0</v>
      </c>
    </row>
    <row r="532" spans="1:16" hidden="1">
      <c r="A532" s="1267" t="str">
        <f>IF(AND('VOC &amp; S Gases'!C172="",'VOC &amp; S Gases'!F172=""),"",'VOC &amp; S Gases'!A172)</f>
        <v/>
      </c>
      <c r="B532" s="1259"/>
      <c r="C532" s="1321" t="str">
        <f>IF(C$371="","",('VOC &amp; S Gases'!$Q172&amp;signum2('VOC &amp; S Gases'!R172,SigFig1,SigFig2,'VOC &amp; S Gases'!$Q172)))</f>
        <v/>
      </c>
      <c r="D532" s="1273" t="str">
        <f>IF(C$371="","",('VOC &amp; S Gases'!$Q172&amp;signum2('VOC &amp; S Gases'!S172,SigFig1,SigFig2,'VOC &amp; S Gases'!$Q172)))</f>
        <v/>
      </c>
      <c r="E532" s="1322" t="str">
        <f>IF(C$371="","",(IF(C532="","",LessThan('VOC &amp; S Gases'!$Q172,VND))&amp;SigNum3('VOC &amp; S Gases'!T172,SigFig1,SigFig2,'VOC &amp; S Gases'!$Q172)))</f>
        <v/>
      </c>
      <c r="F532" s="1321" t="str">
        <f>IF(F$371="","",('VOC &amp; S Gases'!$B172&amp;signum2('VOC &amp; S Gases'!H172,SigFig1,SigFig2,'VOC &amp; S Gases'!$B172)))</f>
        <v/>
      </c>
      <c r="G532" s="1273" t="str">
        <f>IF(F$371="","",('VOC &amp; S Gases'!$B172&amp;signum2('VOC &amp; S Gases'!J172,SigFig1,SigFig2,'VOC &amp; S Gases'!$B172)))</f>
        <v/>
      </c>
      <c r="H532" s="1322" t="str">
        <f>IF(F$371="","",(IF(F532="","",LessThan('VOC &amp; S Gases'!$B172,VND))&amp;SigNum3('VOC &amp; S Gases'!K172,SigFig1,SigFig2,'VOC &amp; S Gases'!$B172)))</f>
        <v/>
      </c>
      <c r="I532" s="1321" t="str">
        <f>IF(I$371="","",('VOC &amp; S Gases'!$E172&amp;signum2('VOC &amp; S Gases'!L172,SigFig1,SigFig2,'VOC &amp; S Gases'!$E172)))</f>
        <v/>
      </c>
      <c r="J532" s="1273" t="str">
        <f>IF(I$371="","",('VOC &amp; S Gases'!$E172&amp;signum2('VOC &amp; S Gases'!N172,SigFig1,SigFig2,'VOC &amp; S Gases'!$E172)))</f>
        <v/>
      </c>
      <c r="K532" s="1322" t="str">
        <f>IF(I$371="","",(IF(I532="","",LessThan('VOC &amp; S Gases'!$E172,VND))&amp;SigNum3('VOC &amp; S Gases'!O172,SigFig1,SigFig2,'VOC &amp; S Gases'!$E172)))</f>
        <v/>
      </c>
      <c r="L532" s="1321"/>
      <c r="M532" s="1322"/>
      <c r="N532" s="1272"/>
      <c r="O532" s="1319">
        <f t="shared" si="24"/>
        <v>0</v>
      </c>
      <c r="P532" s="1319">
        <f t="shared" si="25"/>
        <v>0</v>
      </c>
    </row>
    <row r="533" spans="1:16" hidden="1">
      <c r="A533" s="1267" t="str">
        <f>IF(AND('VOC &amp; S Gases'!C173="",'VOC &amp; S Gases'!F173=""),"",'VOC &amp; S Gases'!A173)</f>
        <v/>
      </c>
      <c r="B533" s="1259"/>
      <c r="C533" s="1321" t="str">
        <f>IF(C$371="","",('VOC &amp; S Gases'!$Q173&amp;signum2('VOC &amp; S Gases'!R173,SigFig1,SigFig2,'VOC &amp; S Gases'!$Q173)))</f>
        <v/>
      </c>
      <c r="D533" s="1273" t="str">
        <f>IF(C$371="","",('VOC &amp; S Gases'!$Q173&amp;signum2('VOC &amp; S Gases'!S173,SigFig1,SigFig2,'VOC &amp; S Gases'!$Q173)))</f>
        <v/>
      </c>
      <c r="E533" s="1322" t="str">
        <f>IF(C$371="","",(IF(C533="","",LessThan('VOC &amp; S Gases'!$Q173,VND))&amp;SigNum3('VOC &amp; S Gases'!T173,SigFig1,SigFig2,'VOC &amp; S Gases'!$Q173)))</f>
        <v/>
      </c>
      <c r="F533" s="1321" t="str">
        <f>IF(F$371="","",('VOC &amp; S Gases'!$B173&amp;signum2('VOC &amp; S Gases'!H173,SigFig1,SigFig2,'VOC &amp; S Gases'!$B173)))</f>
        <v/>
      </c>
      <c r="G533" s="1273" t="str">
        <f>IF(F$371="","",('VOC &amp; S Gases'!$B173&amp;signum2('VOC &amp; S Gases'!J173,SigFig1,SigFig2,'VOC &amp; S Gases'!$B173)))</f>
        <v/>
      </c>
      <c r="H533" s="1322" t="str">
        <f>IF(F$371="","",(IF(F533="","",LessThan('VOC &amp; S Gases'!$B173,VND))&amp;SigNum3('VOC &amp; S Gases'!K173,SigFig1,SigFig2,'VOC &amp; S Gases'!$B173)))</f>
        <v/>
      </c>
      <c r="I533" s="1321" t="str">
        <f>IF(I$371="","",('VOC &amp; S Gases'!$E173&amp;signum2('VOC &amp; S Gases'!L173,SigFig1,SigFig2,'VOC &amp; S Gases'!$E173)))</f>
        <v/>
      </c>
      <c r="J533" s="1273" t="str">
        <f>IF(I$371="","",('VOC &amp; S Gases'!$E173&amp;signum2('VOC &amp; S Gases'!N173,SigFig1,SigFig2,'VOC &amp; S Gases'!$E173)))</f>
        <v/>
      </c>
      <c r="K533" s="1322" t="str">
        <f>IF(I$371="","",(IF(I533="","",LessThan('VOC &amp; S Gases'!$E173,VND))&amp;SigNum3('VOC &amp; S Gases'!O173,SigFig1,SigFig2,'VOC &amp; S Gases'!$E173)))</f>
        <v/>
      </c>
      <c r="L533" s="1321"/>
      <c r="M533" s="1322"/>
      <c r="N533" s="1272"/>
      <c r="O533" s="1319">
        <f t="shared" si="24"/>
        <v>0</v>
      </c>
      <c r="P533" s="1319">
        <f t="shared" si="25"/>
        <v>0</v>
      </c>
    </row>
    <row r="534" spans="1:16" hidden="1">
      <c r="A534" s="1267" t="str">
        <f>IF(AND('VOC &amp; S Gases'!C174="",'VOC &amp; S Gases'!F174=""),"",'VOC &amp; S Gases'!A174)</f>
        <v/>
      </c>
      <c r="B534" s="1259"/>
      <c r="C534" s="1321" t="str">
        <f>IF(C$371="","",('VOC &amp; S Gases'!$Q174&amp;signum2('VOC &amp; S Gases'!R174,SigFig1,SigFig2,'VOC &amp; S Gases'!$Q174)))</f>
        <v/>
      </c>
      <c r="D534" s="1273" t="str">
        <f>IF(C$371="","",('VOC &amp; S Gases'!$Q174&amp;signum2('VOC &amp; S Gases'!S174,SigFig1,SigFig2,'VOC &amp; S Gases'!$Q174)))</f>
        <v/>
      </c>
      <c r="E534" s="1322" t="str">
        <f>IF(C$371="","",(IF(C534="","",LessThan('VOC &amp; S Gases'!$Q174,VND))&amp;SigNum3('VOC &amp; S Gases'!T174,SigFig1,SigFig2,'VOC &amp; S Gases'!$Q174)))</f>
        <v/>
      </c>
      <c r="F534" s="1321" t="str">
        <f>IF(F$371="","",('VOC &amp; S Gases'!$B174&amp;signum2('VOC &amp; S Gases'!H174,SigFig1,SigFig2,'VOC &amp; S Gases'!$B174)))</f>
        <v/>
      </c>
      <c r="G534" s="1273" t="str">
        <f>IF(F$371="","",('VOC &amp; S Gases'!$B174&amp;signum2('VOC &amp; S Gases'!J174,SigFig1,SigFig2,'VOC &amp; S Gases'!$B174)))</f>
        <v/>
      </c>
      <c r="H534" s="1322" t="str">
        <f>IF(F$371="","",(IF(F534="","",LessThan('VOC &amp; S Gases'!$B174,VND))&amp;SigNum3('VOC &amp; S Gases'!K174,SigFig1,SigFig2,'VOC &amp; S Gases'!$B174)))</f>
        <v/>
      </c>
      <c r="I534" s="1321" t="str">
        <f>IF(I$371="","",('VOC &amp; S Gases'!$E174&amp;signum2('VOC &amp; S Gases'!L174,SigFig1,SigFig2,'VOC &amp; S Gases'!$E174)))</f>
        <v/>
      </c>
      <c r="J534" s="1273" t="str">
        <f>IF(I$371="","",('VOC &amp; S Gases'!$E174&amp;signum2('VOC &amp; S Gases'!N174,SigFig1,SigFig2,'VOC &amp; S Gases'!$E174)))</f>
        <v/>
      </c>
      <c r="K534" s="1322" t="str">
        <f>IF(I$371="","",(IF(I534="","",LessThan('VOC &amp; S Gases'!$E174,VND))&amp;SigNum3('VOC &amp; S Gases'!O174,SigFig1,SigFig2,'VOC &amp; S Gases'!$E174)))</f>
        <v/>
      </c>
      <c r="L534" s="1321"/>
      <c r="M534" s="1322"/>
      <c r="N534" s="1272"/>
      <c r="O534" s="1319">
        <f t="shared" si="24"/>
        <v>0</v>
      </c>
      <c r="P534" s="1319">
        <f t="shared" si="25"/>
        <v>0</v>
      </c>
    </row>
    <row r="535" spans="1:16" hidden="1">
      <c r="A535" s="1267" t="str">
        <f>IF(AND('VOC &amp; S Gases'!C175="",'VOC &amp; S Gases'!F175=""),"",'VOC &amp; S Gases'!A175)</f>
        <v/>
      </c>
      <c r="B535" s="1259"/>
      <c r="C535" s="1321" t="str">
        <f>IF(C$371="","",('VOC &amp; S Gases'!$Q175&amp;signum2('VOC &amp; S Gases'!R175,SigFig1,SigFig2,'VOC &amp; S Gases'!$Q175)))</f>
        <v/>
      </c>
      <c r="D535" s="1273" t="str">
        <f>IF(C$371="","",('VOC &amp; S Gases'!$Q175&amp;signum2('VOC &amp; S Gases'!S175,SigFig1,SigFig2,'VOC &amp; S Gases'!$Q175)))</f>
        <v/>
      </c>
      <c r="E535" s="1322" t="str">
        <f>IF(C$371="","",(IF(C535="","",LessThan('VOC &amp; S Gases'!$Q175,VND))&amp;SigNum3('VOC &amp; S Gases'!T175,SigFig1,SigFig2,'VOC &amp; S Gases'!$Q175)))</f>
        <v/>
      </c>
      <c r="F535" s="1321" t="str">
        <f>IF(F$371="","",('VOC &amp; S Gases'!$B175&amp;signum2('VOC &amp; S Gases'!H175,SigFig1,SigFig2,'VOC &amp; S Gases'!$B175)))</f>
        <v/>
      </c>
      <c r="G535" s="1273" t="str">
        <f>IF(F$371="","",('VOC &amp; S Gases'!$B175&amp;signum2('VOC &amp; S Gases'!J175,SigFig1,SigFig2,'VOC &amp; S Gases'!$B175)))</f>
        <v/>
      </c>
      <c r="H535" s="1322" t="str">
        <f>IF(F$371="","",(IF(F535="","",LessThan('VOC &amp; S Gases'!$B175,VND))&amp;SigNum3('VOC &amp; S Gases'!K175,SigFig1,SigFig2,'VOC &amp; S Gases'!$B175)))</f>
        <v/>
      </c>
      <c r="I535" s="1321" t="str">
        <f>IF(I$371="","",('VOC &amp; S Gases'!$E175&amp;signum2('VOC &amp; S Gases'!L175,SigFig1,SigFig2,'VOC &amp; S Gases'!$E175)))</f>
        <v/>
      </c>
      <c r="J535" s="1273" t="str">
        <f>IF(I$371="","",('VOC &amp; S Gases'!$E175&amp;signum2('VOC &amp; S Gases'!N175,SigFig1,SigFig2,'VOC &amp; S Gases'!$E175)))</f>
        <v/>
      </c>
      <c r="K535" s="1322" t="str">
        <f>IF(I$371="","",(IF(I535="","",LessThan('VOC &amp; S Gases'!$E175,VND))&amp;SigNum3('VOC &amp; S Gases'!O175,SigFig1,SigFig2,'VOC &amp; S Gases'!$E175)))</f>
        <v/>
      </c>
      <c r="L535" s="1321"/>
      <c r="M535" s="1322"/>
      <c r="N535" s="1272"/>
      <c r="O535" s="1319">
        <f t="shared" si="24"/>
        <v>0</v>
      </c>
      <c r="P535" s="1319">
        <f t="shared" si="25"/>
        <v>0</v>
      </c>
    </row>
    <row r="536" spans="1:16" hidden="1">
      <c r="A536" s="1267" t="str">
        <f>IF(AND('VOC &amp; S Gases'!C176="",'VOC &amp; S Gases'!F176=""),"",'VOC &amp; S Gases'!A176)</f>
        <v/>
      </c>
      <c r="B536" s="1259"/>
      <c r="C536" s="1321" t="str">
        <f>IF(C$371="","",('VOC &amp; S Gases'!$Q176&amp;signum2('VOC &amp; S Gases'!R176,SigFig1,SigFig2,'VOC &amp; S Gases'!$Q176)))</f>
        <v/>
      </c>
      <c r="D536" s="1273" t="str">
        <f>IF(C$371="","",('VOC &amp; S Gases'!$Q176&amp;signum2('VOC &amp; S Gases'!S176,SigFig1,SigFig2,'VOC &amp; S Gases'!$Q176)))</f>
        <v/>
      </c>
      <c r="E536" s="1322" t="str">
        <f>IF(C$371="","",(IF(C536="","",LessThan('VOC &amp; S Gases'!$Q176,VND))&amp;SigNum3('VOC &amp; S Gases'!T176,SigFig1,SigFig2,'VOC &amp; S Gases'!$Q176)))</f>
        <v/>
      </c>
      <c r="F536" s="1321" t="str">
        <f>IF(F$371="","",('VOC &amp; S Gases'!$B176&amp;signum2('VOC &amp; S Gases'!H176,SigFig1,SigFig2,'VOC &amp; S Gases'!$B176)))</f>
        <v/>
      </c>
      <c r="G536" s="1273" t="str">
        <f>IF(F$371="","",('VOC &amp; S Gases'!$B176&amp;signum2('VOC &amp; S Gases'!J176,SigFig1,SigFig2,'VOC &amp; S Gases'!$B176)))</f>
        <v/>
      </c>
      <c r="H536" s="1322" t="str">
        <f>IF(F$371="","",(IF(F536="","",LessThan('VOC &amp; S Gases'!$B176,VND))&amp;SigNum3('VOC &amp; S Gases'!K176,SigFig1,SigFig2,'VOC &amp; S Gases'!$B176)))</f>
        <v/>
      </c>
      <c r="I536" s="1321" t="str">
        <f>IF(I$371="","",('VOC &amp; S Gases'!$E176&amp;signum2('VOC &amp; S Gases'!L176,SigFig1,SigFig2,'VOC &amp; S Gases'!$E176)))</f>
        <v/>
      </c>
      <c r="J536" s="1273" t="str">
        <f>IF(I$371="","",('VOC &amp; S Gases'!$E176&amp;signum2('VOC &amp; S Gases'!N176,SigFig1,SigFig2,'VOC &amp; S Gases'!$E176)))</f>
        <v/>
      </c>
      <c r="K536" s="1322" t="str">
        <f>IF(I$371="","",(IF(I536="","",LessThan('VOC &amp; S Gases'!$E176,VND))&amp;SigNum3('VOC &amp; S Gases'!O176,SigFig1,SigFig2,'VOC &amp; S Gases'!$E176)))</f>
        <v/>
      </c>
      <c r="L536" s="1321"/>
      <c r="M536" s="1322"/>
      <c r="N536" s="1272"/>
      <c r="O536" s="1319">
        <f t="shared" si="24"/>
        <v>0</v>
      </c>
      <c r="P536" s="1319">
        <f t="shared" si="25"/>
        <v>0</v>
      </c>
    </row>
    <row r="537" spans="1:16" hidden="1">
      <c r="A537" s="1267" t="str">
        <f>IF(AND('VOC &amp; S Gases'!C177="",'VOC &amp; S Gases'!F177=""),"",'VOC &amp; S Gases'!A177)</f>
        <v/>
      </c>
      <c r="B537" s="1259"/>
      <c r="C537" s="1321" t="str">
        <f>IF(C$371="","",('VOC &amp; S Gases'!$Q177&amp;signum2('VOC &amp; S Gases'!R177,SigFig1,SigFig2,'VOC &amp; S Gases'!$Q177)))</f>
        <v/>
      </c>
      <c r="D537" s="1273" t="str">
        <f>IF(C$371="","",('VOC &amp; S Gases'!$Q177&amp;signum2('VOC &amp; S Gases'!S177,SigFig1,SigFig2,'VOC &amp; S Gases'!$Q177)))</f>
        <v/>
      </c>
      <c r="E537" s="1322" t="str">
        <f>IF(C$371="","",(IF(C537="","",LessThan('VOC &amp; S Gases'!$Q177,VND))&amp;SigNum3('VOC &amp; S Gases'!T177,SigFig1,SigFig2,'VOC &amp; S Gases'!$Q177)))</f>
        <v/>
      </c>
      <c r="F537" s="1321" t="str">
        <f>IF(F$371="","",('VOC &amp; S Gases'!$B177&amp;signum2('VOC &amp; S Gases'!H177,SigFig1,SigFig2,'VOC &amp; S Gases'!$B177)))</f>
        <v/>
      </c>
      <c r="G537" s="1273" t="str">
        <f>IF(F$371="","",('VOC &amp; S Gases'!$B177&amp;signum2('VOC &amp; S Gases'!J177,SigFig1,SigFig2,'VOC &amp; S Gases'!$B177)))</f>
        <v/>
      </c>
      <c r="H537" s="1322" t="str">
        <f>IF(F$371="","",(IF(F537="","",LessThan('VOC &amp; S Gases'!$B177,VND))&amp;SigNum3('VOC &amp; S Gases'!K177,SigFig1,SigFig2,'VOC &amp; S Gases'!$B177)))</f>
        <v/>
      </c>
      <c r="I537" s="1321" t="str">
        <f>IF(I$371="","",('VOC &amp; S Gases'!$E177&amp;signum2('VOC &amp; S Gases'!L177,SigFig1,SigFig2,'VOC &amp; S Gases'!$E177)))</f>
        <v/>
      </c>
      <c r="J537" s="1273" t="str">
        <f>IF(I$371="","",('VOC &amp; S Gases'!$E177&amp;signum2('VOC &amp; S Gases'!N177,SigFig1,SigFig2,'VOC &amp; S Gases'!$E177)))</f>
        <v/>
      </c>
      <c r="K537" s="1322" t="str">
        <f>IF(I$371="","",(IF(I537="","",LessThan('VOC &amp; S Gases'!$E177,VND))&amp;SigNum3('VOC &amp; S Gases'!O177,SigFig1,SigFig2,'VOC &amp; S Gases'!$E177)))</f>
        <v/>
      </c>
      <c r="L537" s="1321"/>
      <c r="M537" s="1322"/>
      <c r="N537" s="1272"/>
      <c r="O537" s="1319">
        <f t="shared" si="24"/>
        <v>0</v>
      </c>
      <c r="P537" s="1319">
        <f t="shared" si="25"/>
        <v>0</v>
      </c>
    </row>
    <row r="538" spans="1:16" hidden="1">
      <c r="A538" s="1267" t="str">
        <f>IF(AND('VOC &amp; S Gases'!C178="",'VOC &amp; S Gases'!F178=""),"",'VOC &amp; S Gases'!A178)</f>
        <v/>
      </c>
      <c r="B538" s="1259"/>
      <c r="C538" s="1321" t="str">
        <f>IF(C$371="","",('VOC &amp; S Gases'!$Q178&amp;signum2('VOC &amp; S Gases'!R178,SigFig1,SigFig2,'VOC &amp; S Gases'!$Q178)))</f>
        <v/>
      </c>
      <c r="D538" s="1273" t="str">
        <f>IF(C$371="","",('VOC &amp; S Gases'!$Q178&amp;signum2('VOC &amp; S Gases'!S178,SigFig1,SigFig2,'VOC &amp; S Gases'!$Q178)))</f>
        <v/>
      </c>
      <c r="E538" s="1322" t="str">
        <f>IF(C$371="","",(IF(C538="","",LessThan('VOC &amp; S Gases'!$Q178,VND))&amp;SigNum3('VOC &amp; S Gases'!T178,SigFig1,SigFig2,'VOC &amp; S Gases'!$Q178)))</f>
        <v/>
      </c>
      <c r="F538" s="1321" t="str">
        <f>IF(F$371="","",('VOC &amp; S Gases'!$B178&amp;signum2('VOC &amp; S Gases'!H178,SigFig1,SigFig2,'VOC &amp; S Gases'!$B178)))</f>
        <v/>
      </c>
      <c r="G538" s="1273" t="str">
        <f>IF(F$371="","",('VOC &amp; S Gases'!$B178&amp;signum2('VOC &amp; S Gases'!J178,SigFig1,SigFig2,'VOC &amp; S Gases'!$B178)))</f>
        <v/>
      </c>
      <c r="H538" s="1322" t="str">
        <f>IF(F$371="","",(IF(F538="","",LessThan('VOC &amp; S Gases'!$B178,VND))&amp;SigNum3('VOC &amp; S Gases'!K178,SigFig1,SigFig2,'VOC &amp; S Gases'!$B178)))</f>
        <v/>
      </c>
      <c r="I538" s="1321" t="str">
        <f>IF(I$371="","",('VOC &amp; S Gases'!$E178&amp;signum2('VOC &amp; S Gases'!L178,SigFig1,SigFig2,'VOC &amp; S Gases'!$E178)))</f>
        <v/>
      </c>
      <c r="J538" s="1273" t="str">
        <f>IF(I$371="","",('VOC &amp; S Gases'!$E178&amp;signum2('VOC &amp; S Gases'!N178,SigFig1,SigFig2,'VOC &amp; S Gases'!$E178)))</f>
        <v/>
      </c>
      <c r="K538" s="1322" t="str">
        <f>IF(I$371="","",(IF(I538="","",LessThan('VOC &amp; S Gases'!$E178,VND))&amp;SigNum3('VOC &amp; S Gases'!O178,SigFig1,SigFig2,'VOC &amp; S Gases'!$E178)))</f>
        <v/>
      </c>
      <c r="L538" s="1321"/>
      <c r="M538" s="1322"/>
      <c r="N538" s="1272"/>
      <c r="O538" s="1319">
        <f t="shared" si="24"/>
        <v>0</v>
      </c>
      <c r="P538" s="1319">
        <f t="shared" si="25"/>
        <v>0</v>
      </c>
    </row>
    <row r="539" spans="1:16" hidden="1">
      <c r="A539" s="1267" t="str">
        <f>IF(AND('VOC &amp; S Gases'!C179="",'VOC &amp; S Gases'!F179=""),"",'VOC &amp; S Gases'!A179)</f>
        <v/>
      </c>
      <c r="B539" s="1259"/>
      <c r="C539" s="1321" t="str">
        <f>IF(C$371="","",('VOC &amp; S Gases'!$Q179&amp;signum2('VOC &amp; S Gases'!R179,SigFig1,SigFig2,'VOC &amp; S Gases'!$Q179)))</f>
        <v/>
      </c>
      <c r="D539" s="1273" t="str">
        <f>IF(C$371="","",('VOC &amp; S Gases'!$Q179&amp;signum2('VOC &amp; S Gases'!S179,SigFig1,SigFig2,'VOC &amp; S Gases'!$Q179)))</f>
        <v/>
      </c>
      <c r="E539" s="1322" t="str">
        <f>IF(C$371="","",(IF(C539="","",LessThan('VOC &amp; S Gases'!$Q179,VND))&amp;SigNum3('VOC &amp; S Gases'!T179,SigFig1,SigFig2,'VOC &amp; S Gases'!$Q179)))</f>
        <v/>
      </c>
      <c r="F539" s="1321" t="str">
        <f>IF(F$371="","",('VOC &amp; S Gases'!$B179&amp;signum2('VOC &amp; S Gases'!H179,SigFig1,SigFig2,'VOC &amp; S Gases'!$B179)))</f>
        <v/>
      </c>
      <c r="G539" s="1273" t="str">
        <f>IF(F$371="","",('VOC &amp; S Gases'!$B179&amp;signum2('VOC &amp; S Gases'!J179,SigFig1,SigFig2,'VOC &amp; S Gases'!$B179)))</f>
        <v/>
      </c>
      <c r="H539" s="1322" t="str">
        <f>IF(F$371="","",(IF(F539="","",LessThan('VOC &amp; S Gases'!$B179,VND))&amp;SigNum3('VOC &amp; S Gases'!K179,SigFig1,SigFig2,'VOC &amp; S Gases'!$B179)))</f>
        <v/>
      </c>
      <c r="I539" s="1321" t="str">
        <f>IF(I$371="","",('VOC &amp; S Gases'!$E179&amp;signum2('VOC &amp; S Gases'!L179,SigFig1,SigFig2,'VOC &amp; S Gases'!$E179)))</f>
        <v/>
      </c>
      <c r="J539" s="1273" t="str">
        <f>IF(I$371="","",('VOC &amp; S Gases'!$E179&amp;signum2('VOC &amp; S Gases'!N179,SigFig1,SigFig2,'VOC &amp; S Gases'!$E179)))</f>
        <v/>
      </c>
      <c r="K539" s="1322" t="str">
        <f>IF(I$371="","",(IF(I539="","",LessThan('VOC &amp; S Gases'!$E179,VND))&amp;SigNum3('VOC &amp; S Gases'!O179,SigFig1,SigFig2,'VOC &amp; S Gases'!$E179)))</f>
        <v/>
      </c>
      <c r="L539" s="1321"/>
      <c r="M539" s="1322"/>
      <c r="N539" s="1272"/>
      <c r="O539" s="1319">
        <f t="shared" si="24"/>
        <v>0</v>
      </c>
      <c r="P539" s="1319">
        <f t="shared" si="25"/>
        <v>0</v>
      </c>
    </row>
    <row r="540" spans="1:16" hidden="1">
      <c r="A540" s="1267" t="str">
        <f>IF(AND('VOC &amp; S Gases'!C180="",'VOC &amp; S Gases'!F180=""),"",'VOC &amp; S Gases'!A180)</f>
        <v/>
      </c>
      <c r="B540" s="1259"/>
      <c r="C540" s="1321" t="str">
        <f>IF(C$371="","",('VOC &amp; S Gases'!$Q180&amp;signum2('VOC &amp; S Gases'!R180,SigFig1,SigFig2,'VOC &amp; S Gases'!$Q180)))</f>
        <v/>
      </c>
      <c r="D540" s="1273" t="str">
        <f>IF(C$371="","",('VOC &amp; S Gases'!$Q180&amp;signum2('VOC &amp; S Gases'!S180,SigFig1,SigFig2,'VOC &amp; S Gases'!$Q180)))</f>
        <v/>
      </c>
      <c r="E540" s="1322" t="str">
        <f>IF(C$371="","",(IF(C540="","",LessThan('VOC &amp; S Gases'!$Q180,VND))&amp;SigNum3('VOC &amp; S Gases'!T180,SigFig1,SigFig2,'VOC &amp; S Gases'!$Q180)))</f>
        <v/>
      </c>
      <c r="F540" s="1321" t="str">
        <f>IF(F$371="","",('VOC &amp; S Gases'!$B180&amp;signum2('VOC &amp; S Gases'!H180,SigFig1,SigFig2,'VOC &amp; S Gases'!$B180)))</f>
        <v/>
      </c>
      <c r="G540" s="1273" t="str">
        <f>IF(F$371="","",('VOC &amp; S Gases'!$B180&amp;signum2('VOC &amp; S Gases'!J180,SigFig1,SigFig2,'VOC &amp; S Gases'!$B180)))</f>
        <v/>
      </c>
      <c r="H540" s="1322" t="str">
        <f>IF(F$371="","",(IF(F540="","",LessThan('VOC &amp; S Gases'!$B180,VND))&amp;SigNum3('VOC &amp; S Gases'!K180,SigFig1,SigFig2,'VOC &amp; S Gases'!$B180)))</f>
        <v/>
      </c>
      <c r="I540" s="1321" t="str">
        <f>IF(I$371="","",('VOC &amp; S Gases'!$E180&amp;signum2('VOC &amp; S Gases'!L180,SigFig1,SigFig2,'VOC &amp; S Gases'!$E180)))</f>
        <v/>
      </c>
      <c r="J540" s="1273" t="str">
        <f>IF(I$371="","",('VOC &amp; S Gases'!$E180&amp;signum2('VOC &amp; S Gases'!N180,SigFig1,SigFig2,'VOC &amp; S Gases'!$E180)))</f>
        <v/>
      </c>
      <c r="K540" s="1322" t="str">
        <f>IF(I$371="","",(IF(I540="","",LessThan('VOC &amp; S Gases'!$E180,VND))&amp;SigNum3('VOC &amp; S Gases'!O180,SigFig1,SigFig2,'VOC &amp; S Gases'!$E180)))</f>
        <v/>
      </c>
      <c r="L540" s="1321"/>
      <c r="M540" s="1322"/>
      <c r="N540" s="1272"/>
      <c r="O540" s="1319">
        <f t="shared" si="24"/>
        <v>0</v>
      </c>
      <c r="P540" s="1319">
        <f t="shared" si="25"/>
        <v>0</v>
      </c>
    </row>
    <row r="541" spans="1:16" hidden="1">
      <c r="A541" s="1267" t="str">
        <f>IF(AND('VOC &amp; S Gases'!C181="",'VOC &amp; S Gases'!F181=""),"",'VOC &amp; S Gases'!A181)</f>
        <v/>
      </c>
      <c r="B541" s="1259"/>
      <c r="C541" s="1321" t="str">
        <f>IF(C$371="","",('VOC &amp; S Gases'!$Q181&amp;signum2('VOC &amp; S Gases'!R181,SigFig1,SigFig2,'VOC &amp; S Gases'!$Q181)))</f>
        <v/>
      </c>
      <c r="D541" s="1273" t="str">
        <f>IF(C$371="","",('VOC &amp; S Gases'!$Q181&amp;signum2('VOC &amp; S Gases'!S181,SigFig1,SigFig2,'VOC &amp; S Gases'!$Q181)))</f>
        <v/>
      </c>
      <c r="E541" s="1322" t="str">
        <f>IF(C$371="","",(IF(C541="","",LessThan('VOC &amp; S Gases'!$Q181,VND))&amp;SigNum3('VOC &amp; S Gases'!T181,SigFig1,SigFig2,'VOC &amp; S Gases'!$Q181)))</f>
        <v/>
      </c>
      <c r="F541" s="1321" t="str">
        <f>IF(F$371="","",('VOC &amp; S Gases'!$B181&amp;signum2('VOC &amp; S Gases'!H181,SigFig1,SigFig2,'VOC &amp; S Gases'!$B181)))</f>
        <v/>
      </c>
      <c r="G541" s="1273" t="str">
        <f>IF(F$371="","",('VOC &amp; S Gases'!$B181&amp;signum2('VOC &amp; S Gases'!J181,SigFig1,SigFig2,'VOC &amp; S Gases'!$B181)))</f>
        <v/>
      </c>
      <c r="H541" s="1322" t="str">
        <f>IF(F$371="","",(IF(F541="","",LessThan('VOC &amp; S Gases'!$B181,VND))&amp;SigNum3('VOC &amp; S Gases'!K181,SigFig1,SigFig2,'VOC &amp; S Gases'!$B181)))</f>
        <v/>
      </c>
      <c r="I541" s="1321" t="str">
        <f>IF(I$371="","",('VOC &amp; S Gases'!$E181&amp;signum2('VOC &amp; S Gases'!L181,SigFig1,SigFig2,'VOC &amp; S Gases'!$E181)))</f>
        <v/>
      </c>
      <c r="J541" s="1273" t="str">
        <f>IF(I$371="","",('VOC &amp; S Gases'!$E181&amp;signum2('VOC &amp; S Gases'!N181,SigFig1,SigFig2,'VOC &amp; S Gases'!$E181)))</f>
        <v/>
      </c>
      <c r="K541" s="1322" t="str">
        <f>IF(I$371="","",(IF(I541="","",LessThan('VOC &amp; S Gases'!$E181,VND))&amp;SigNum3('VOC &amp; S Gases'!O181,SigFig1,SigFig2,'VOC &amp; S Gases'!$E181)))</f>
        <v/>
      </c>
      <c r="L541" s="1321"/>
      <c r="M541" s="1322"/>
      <c r="N541" s="1272"/>
      <c r="O541" s="1319">
        <f t="shared" ref="O541:O571" si="26">MAX(IF(ISERROR(VALUE($C541)),0,VALUE($C541)),IF(ISERROR(VALUE($F541)),0,VALUE($F541)),IF(ISERROR(VALUE($I541)),0,VALUE($I541)))</f>
        <v>0</v>
      </c>
      <c r="P541" s="1319">
        <f t="shared" ref="P541:P571" si="27">MAX(IF(ISERROR(VALUE($E541)),0,VALUE($E541)),IF(ISERROR(VALUE($H541)),0,VALUE($H541)),IF(ISERROR(VALUE($K541)),0,VALUE($K541)))</f>
        <v>0</v>
      </c>
    </row>
    <row r="542" spans="1:16" hidden="1">
      <c r="A542" s="1267" t="str">
        <f>IF(AND('VOC &amp; S Gases'!C182="",'VOC &amp; S Gases'!F182=""),"",'VOC &amp; S Gases'!A182)</f>
        <v/>
      </c>
      <c r="B542" s="1259"/>
      <c r="C542" s="1321" t="str">
        <f>IF(C$371="","",('VOC &amp; S Gases'!$Q182&amp;signum2('VOC &amp; S Gases'!R182,SigFig1,SigFig2,'VOC &amp; S Gases'!$Q182)))</f>
        <v/>
      </c>
      <c r="D542" s="1273" t="str">
        <f>IF(C$371="","",('VOC &amp; S Gases'!$Q182&amp;signum2('VOC &amp; S Gases'!S182,SigFig1,SigFig2,'VOC &amp; S Gases'!$Q182)))</f>
        <v/>
      </c>
      <c r="E542" s="1322" t="str">
        <f>IF(C$371="","",(IF(C542="","",LessThan('VOC &amp; S Gases'!$Q182,VND))&amp;SigNum3('VOC &amp; S Gases'!T182,SigFig1,SigFig2,'VOC &amp; S Gases'!$Q182)))</f>
        <v/>
      </c>
      <c r="F542" s="1321" t="str">
        <f>IF(F$371="","",('VOC &amp; S Gases'!$B182&amp;signum2('VOC &amp; S Gases'!H182,SigFig1,SigFig2,'VOC &amp; S Gases'!$B182)))</f>
        <v/>
      </c>
      <c r="G542" s="1273" t="str">
        <f>IF(F$371="","",('VOC &amp; S Gases'!$B182&amp;signum2('VOC &amp; S Gases'!J182,SigFig1,SigFig2,'VOC &amp; S Gases'!$B182)))</f>
        <v/>
      </c>
      <c r="H542" s="1322" t="str">
        <f>IF(F$371="","",(IF(F542="","",LessThan('VOC &amp; S Gases'!$B182,VND))&amp;SigNum3('VOC &amp; S Gases'!K182,SigFig1,SigFig2,'VOC &amp; S Gases'!$B182)))</f>
        <v/>
      </c>
      <c r="I542" s="1321" t="str">
        <f>IF(I$371="","",('VOC &amp; S Gases'!$E182&amp;signum2('VOC &amp; S Gases'!L182,SigFig1,SigFig2,'VOC &amp; S Gases'!$E182)))</f>
        <v/>
      </c>
      <c r="J542" s="1273" t="str">
        <f>IF(I$371="","",('VOC &amp; S Gases'!$E182&amp;signum2('VOC &amp; S Gases'!N182,SigFig1,SigFig2,'VOC &amp; S Gases'!$E182)))</f>
        <v/>
      </c>
      <c r="K542" s="1322" t="str">
        <f>IF(I$371="","",(IF(I542="","",LessThan('VOC &amp; S Gases'!$E182,VND))&amp;SigNum3('VOC &amp; S Gases'!O182,SigFig1,SigFig2,'VOC &amp; S Gases'!$E182)))</f>
        <v/>
      </c>
      <c r="L542" s="1321"/>
      <c r="M542" s="1322"/>
      <c r="N542" s="1272"/>
      <c r="O542" s="1319">
        <f t="shared" si="26"/>
        <v>0</v>
      </c>
      <c r="P542" s="1319">
        <f t="shared" si="27"/>
        <v>0</v>
      </c>
    </row>
    <row r="543" spans="1:16" hidden="1">
      <c r="A543" s="1267" t="str">
        <f>IF(AND('VOC &amp; S Gases'!C183="",'VOC &amp; S Gases'!F183=""),"",'VOC &amp; S Gases'!A183)</f>
        <v/>
      </c>
      <c r="B543" s="1259"/>
      <c r="C543" s="1321" t="str">
        <f>IF(C$371="","",('VOC &amp; S Gases'!$Q183&amp;signum2('VOC &amp; S Gases'!R183,SigFig1,SigFig2,'VOC &amp; S Gases'!$Q183)))</f>
        <v/>
      </c>
      <c r="D543" s="1273" t="str">
        <f>IF(C$371="","",('VOC &amp; S Gases'!$Q183&amp;signum2('VOC &amp; S Gases'!S183,SigFig1,SigFig2,'VOC &amp; S Gases'!$Q183)))</f>
        <v/>
      </c>
      <c r="E543" s="1322" t="str">
        <f>IF(C$371="","",(IF(C543="","",LessThan('VOC &amp; S Gases'!$Q183,VND))&amp;SigNum3('VOC &amp; S Gases'!T183,SigFig1,SigFig2,'VOC &amp; S Gases'!$Q183)))</f>
        <v/>
      </c>
      <c r="F543" s="1321" t="str">
        <f>IF(F$371="","",('VOC &amp; S Gases'!$B183&amp;signum2('VOC &amp; S Gases'!H183,SigFig1,SigFig2,'VOC &amp; S Gases'!$B183)))</f>
        <v/>
      </c>
      <c r="G543" s="1273" t="str">
        <f>IF(F$371="","",('VOC &amp; S Gases'!$B183&amp;signum2('VOC &amp; S Gases'!J183,SigFig1,SigFig2,'VOC &amp; S Gases'!$B183)))</f>
        <v/>
      </c>
      <c r="H543" s="1322" t="str">
        <f>IF(F$371="","",(IF(F543="","",LessThan('VOC &amp; S Gases'!$B183,VND))&amp;SigNum3('VOC &amp; S Gases'!K183,SigFig1,SigFig2,'VOC &amp; S Gases'!$B183)))</f>
        <v/>
      </c>
      <c r="I543" s="1321" t="str">
        <f>IF(I$371="","",('VOC &amp; S Gases'!$E183&amp;signum2('VOC &amp; S Gases'!L183,SigFig1,SigFig2,'VOC &amp; S Gases'!$E183)))</f>
        <v/>
      </c>
      <c r="J543" s="1273" t="str">
        <f>IF(I$371="","",('VOC &amp; S Gases'!$E183&amp;signum2('VOC &amp; S Gases'!N183,SigFig1,SigFig2,'VOC &amp; S Gases'!$E183)))</f>
        <v/>
      </c>
      <c r="K543" s="1322" t="str">
        <f>IF(I$371="","",(IF(I543="","",LessThan('VOC &amp; S Gases'!$E183,VND))&amp;SigNum3('VOC &amp; S Gases'!O183,SigFig1,SigFig2,'VOC &amp; S Gases'!$E183)))</f>
        <v/>
      </c>
      <c r="L543" s="1321"/>
      <c r="M543" s="1322"/>
      <c r="N543" s="1272"/>
      <c r="O543" s="1319">
        <f t="shared" si="26"/>
        <v>0</v>
      </c>
      <c r="P543" s="1319">
        <f t="shared" si="27"/>
        <v>0</v>
      </c>
    </row>
    <row r="544" spans="1:16" hidden="1">
      <c r="A544" s="1267" t="str">
        <f>IF(AND('VOC &amp; S Gases'!C184="",'VOC &amp; S Gases'!F184=""),"",'VOC &amp; S Gases'!A184)</f>
        <v/>
      </c>
      <c r="B544" s="1259"/>
      <c r="C544" s="1321" t="str">
        <f>IF(C$371="","",('VOC &amp; S Gases'!$Q184&amp;signum2('VOC &amp; S Gases'!R184,SigFig1,SigFig2,'VOC &amp; S Gases'!$Q184)))</f>
        <v/>
      </c>
      <c r="D544" s="1273" t="str">
        <f>IF(C$371="","",('VOC &amp; S Gases'!$Q184&amp;signum2('VOC &amp; S Gases'!S184,SigFig1,SigFig2,'VOC &amp; S Gases'!$Q184)))</f>
        <v/>
      </c>
      <c r="E544" s="1322" t="str">
        <f>IF(C$371="","",(IF(C544="","",LessThan('VOC &amp; S Gases'!$Q184,VND))&amp;SigNum3('VOC &amp; S Gases'!T184,SigFig1,SigFig2,'VOC &amp; S Gases'!$Q184)))</f>
        <v/>
      </c>
      <c r="F544" s="1321" t="str">
        <f>IF(F$371="","",('VOC &amp; S Gases'!$B184&amp;signum2('VOC &amp; S Gases'!H184,SigFig1,SigFig2,'VOC &amp; S Gases'!$B184)))</f>
        <v/>
      </c>
      <c r="G544" s="1273" t="str">
        <f>IF(F$371="","",('VOC &amp; S Gases'!$B184&amp;signum2('VOC &amp; S Gases'!J184,SigFig1,SigFig2,'VOC &amp; S Gases'!$B184)))</f>
        <v/>
      </c>
      <c r="H544" s="1322" t="str">
        <f>IF(F$371="","",(IF(F544="","",LessThan('VOC &amp; S Gases'!$B184,VND))&amp;SigNum3('VOC &amp; S Gases'!K184,SigFig1,SigFig2,'VOC &amp; S Gases'!$B184)))</f>
        <v/>
      </c>
      <c r="I544" s="1321" t="str">
        <f>IF(I$371="","",('VOC &amp; S Gases'!$E184&amp;signum2('VOC &amp; S Gases'!L184,SigFig1,SigFig2,'VOC &amp; S Gases'!$E184)))</f>
        <v/>
      </c>
      <c r="J544" s="1273" t="str">
        <f>IF(I$371="","",('VOC &amp; S Gases'!$E184&amp;signum2('VOC &amp; S Gases'!N184,SigFig1,SigFig2,'VOC &amp; S Gases'!$E184)))</f>
        <v/>
      </c>
      <c r="K544" s="1322" t="str">
        <f>IF(I$371="","",(IF(I544="","",LessThan('VOC &amp; S Gases'!$E184,VND))&amp;SigNum3('VOC &amp; S Gases'!O184,SigFig1,SigFig2,'VOC &amp; S Gases'!$E184)))</f>
        <v/>
      </c>
      <c r="L544" s="1321"/>
      <c r="M544" s="1322"/>
      <c r="N544" s="1272"/>
      <c r="O544" s="1319">
        <f t="shared" si="26"/>
        <v>0</v>
      </c>
      <c r="P544" s="1319">
        <f t="shared" si="27"/>
        <v>0</v>
      </c>
    </row>
    <row r="545" spans="1:16" hidden="1">
      <c r="A545" s="1267" t="str">
        <f>IF(AND('VOC &amp; S Gases'!C185="",'VOC &amp; S Gases'!F185=""),"",'VOC &amp; S Gases'!A185)</f>
        <v/>
      </c>
      <c r="B545" s="1259"/>
      <c r="C545" s="1321" t="str">
        <f>IF(C$371="","",('VOC &amp; S Gases'!$Q185&amp;signum2('VOC &amp; S Gases'!R185,SigFig1,SigFig2,'VOC &amp; S Gases'!$Q185)))</f>
        <v/>
      </c>
      <c r="D545" s="1273" t="str">
        <f>IF(C$371="","",('VOC &amp; S Gases'!$Q185&amp;signum2('VOC &amp; S Gases'!S185,SigFig1,SigFig2,'VOC &amp; S Gases'!$Q185)))</f>
        <v/>
      </c>
      <c r="E545" s="1322" t="str">
        <f>IF(C$371="","",(IF(C545="","",LessThan('VOC &amp; S Gases'!$Q185,VND))&amp;SigNum3('VOC &amp; S Gases'!T185,SigFig1,SigFig2,'VOC &amp; S Gases'!$Q185)))</f>
        <v/>
      </c>
      <c r="F545" s="1321" t="str">
        <f>IF(F$371="","",('VOC &amp; S Gases'!$B185&amp;signum2('VOC &amp; S Gases'!H185,SigFig1,SigFig2,'VOC &amp; S Gases'!$B185)))</f>
        <v/>
      </c>
      <c r="G545" s="1273" t="str">
        <f>IF(F$371="","",('VOC &amp; S Gases'!$B185&amp;signum2('VOC &amp; S Gases'!J185,SigFig1,SigFig2,'VOC &amp; S Gases'!$B185)))</f>
        <v/>
      </c>
      <c r="H545" s="1322" t="str">
        <f>IF(F$371="","",(IF(F545="","",LessThan('VOC &amp; S Gases'!$B185,VND))&amp;SigNum3('VOC &amp; S Gases'!K185,SigFig1,SigFig2,'VOC &amp; S Gases'!$B185)))</f>
        <v/>
      </c>
      <c r="I545" s="1321" t="str">
        <f>IF(I$371="","",('VOC &amp; S Gases'!$E185&amp;signum2('VOC &amp; S Gases'!L185,SigFig1,SigFig2,'VOC &amp; S Gases'!$E185)))</f>
        <v/>
      </c>
      <c r="J545" s="1273" t="str">
        <f>IF(I$371="","",('VOC &amp; S Gases'!$E185&amp;signum2('VOC &amp; S Gases'!N185,SigFig1,SigFig2,'VOC &amp; S Gases'!$E185)))</f>
        <v/>
      </c>
      <c r="K545" s="1322" t="str">
        <f>IF(I$371="","",(IF(I545="","",LessThan('VOC &amp; S Gases'!$E185,VND))&amp;SigNum3('VOC &amp; S Gases'!O185,SigFig1,SigFig2,'VOC &amp; S Gases'!$E185)))</f>
        <v/>
      </c>
      <c r="L545" s="1321"/>
      <c r="M545" s="1322"/>
      <c r="N545" s="1272"/>
      <c r="O545" s="1319">
        <f t="shared" si="26"/>
        <v>0</v>
      </c>
      <c r="P545" s="1319">
        <f t="shared" si="27"/>
        <v>0</v>
      </c>
    </row>
    <row r="546" spans="1:16" hidden="1">
      <c r="A546" s="1267" t="str">
        <f>IF(AND('VOC &amp; S Gases'!C186="",'VOC &amp; S Gases'!F186=""),"",'VOC &amp; S Gases'!A186)</f>
        <v/>
      </c>
      <c r="B546" s="1259"/>
      <c r="C546" s="1321" t="str">
        <f>IF(C$371="","",('VOC &amp; S Gases'!$Q186&amp;signum2('VOC &amp; S Gases'!R186,SigFig1,SigFig2,'VOC &amp; S Gases'!$Q186)))</f>
        <v/>
      </c>
      <c r="D546" s="1273" t="str">
        <f>IF(C$371="","",('VOC &amp; S Gases'!$Q186&amp;signum2('VOC &amp; S Gases'!S186,SigFig1,SigFig2,'VOC &amp; S Gases'!$Q186)))</f>
        <v/>
      </c>
      <c r="E546" s="1322" t="str">
        <f>IF(C$371="","",(IF(C546="","",LessThan('VOC &amp; S Gases'!$Q186,VND))&amp;SigNum3('VOC &amp; S Gases'!T186,SigFig1,SigFig2,'VOC &amp; S Gases'!$Q186)))</f>
        <v/>
      </c>
      <c r="F546" s="1321" t="str">
        <f>IF(F$371="","",('VOC &amp; S Gases'!$B186&amp;signum2('VOC &amp; S Gases'!H186,SigFig1,SigFig2,'VOC &amp; S Gases'!$B186)))</f>
        <v/>
      </c>
      <c r="G546" s="1273" t="str">
        <f>IF(F$371="","",('VOC &amp; S Gases'!$B186&amp;signum2('VOC &amp; S Gases'!J186,SigFig1,SigFig2,'VOC &amp; S Gases'!$B186)))</f>
        <v/>
      </c>
      <c r="H546" s="1322" t="str">
        <f>IF(F$371="","",(IF(F546="","",LessThan('VOC &amp; S Gases'!$B186,VND))&amp;SigNum3('VOC &amp; S Gases'!K186,SigFig1,SigFig2,'VOC &amp; S Gases'!$B186)))</f>
        <v/>
      </c>
      <c r="I546" s="1321" t="str">
        <f>IF(I$371="","",('VOC &amp; S Gases'!$E186&amp;signum2('VOC &amp; S Gases'!L186,SigFig1,SigFig2,'VOC &amp; S Gases'!$E186)))</f>
        <v/>
      </c>
      <c r="J546" s="1273" t="str">
        <f>IF(I$371="","",('VOC &amp; S Gases'!$E186&amp;signum2('VOC &amp; S Gases'!N186,SigFig1,SigFig2,'VOC &amp; S Gases'!$E186)))</f>
        <v/>
      </c>
      <c r="K546" s="1322" t="str">
        <f>IF(I$371="","",(IF(I546="","",LessThan('VOC &amp; S Gases'!$E186,VND))&amp;SigNum3('VOC &amp; S Gases'!O186,SigFig1,SigFig2,'VOC &amp; S Gases'!$E186)))</f>
        <v/>
      </c>
      <c r="L546" s="1321"/>
      <c r="M546" s="1322"/>
      <c r="N546" s="1272"/>
      <c r="O546" s="1319">
        <f t="shared" si="26"/>
        <v>0</v>
      </c>
      <c r="P546" s="1319">
        <f t="shared" si="27"/>
        <v>0</v>
      </c>
    </row>
    <row r="547" spans="1:16" hidden="1">
      <c r="A547" s="1267" t="str">
        <f>IF(AND('VOC &amp; S Gases'!C187="",'VOC &amp; S Gases'!F187=""),"",'VOC &amp; S Gases'!A187)</f>
        <v/>
      </c>
      <c r="B547" s="1259"/>
      <c r="C547" s="1321" t="str">
        <f>IF(C$371="","",('VOC &amp; S Gases'!$Q187&amp;signum2('VOC &amp; S Gases'!R187,SigFig1,SigFig2,'VOC &amp; S Gases'!$Q187)))</f>
        <v/>
      </c>
      <c r="D547" s="1273" t="str">
        <f>IF(C$371="","",('VOC &amp; S Gases'!$Q187&amp;signum2('VOC &amp; S Gases'!S187,SigFig1,SigFig2,'VOC &amp; S Gases'!$Q187)))</f>
        <v/>
      </c>
      <c r="E547" s="1322" t="str">
        <f>IF(C$371="","",(IF(C547="","",LessThan('VOC &amp; S Gases'!$Q187,VND))&amp;SigNum3('VOC &amp; S Gases'!T187,SigFig1,SigFig2,'VOC &amp; S Gases'!$Q187)))</f>
        <v/>
      </c>
      <c r="F547" s="1321" t="str">
        <f>IF(F$371="","",('VOC &amp; S Gases'!$B187&amp;signum2('VOC &amp; S Gases'!H187,SigFig1,SigFig2,'VOC &amp; S Gases'!$B187)))</f>
        <v/>
      </c>
      <c r="G547" s="1273" t="str">
        <f>IF(F$371="","",('VOC &amp; S Gases'!$B187&amp;signum2('VOC &amp; S Gases'!J187,SigFig1,SigFig2,'VOC &amp; S Gases'!$B187)))</f>
        <v/>
      </c>
      <c r="H547" s="1322" t="str">
        <f>IF(F$371="","",(IF(F547="","",LessThan('VOC &amp; S Gases'!$B187,VND))&amp;SigNum3('VOC &amp; S Gases'!K187,SigFig1,SigFig2,'VOC &amp; S Gases'!$B187)))</f>
        <v/>
      </c>
      <c r="I547" s="1321" t="str">
        <f>IF(I$371="","",('VOC &amp; S Gases'!$E187&amp;signum2('VOC &amp; S Gases'!L187,SigFig1,SigFig2,'VOC &amp; S Gases'!$E187)))</f>
        <v/>
      </c>
      <c r="J547" s="1273" t="str">
        <f>IF(I$371="","",('VOC &amp; S Gases'!$E187&amp;signum2('VOC &amp; S Gases'!N187,SigFig1,SigFig2,'VOC &amp; S Gases'!$E187)))</f>
        <v/>
      </c>
      <c r="K547" s="1322" t="str">
        <f>IF(I$371="","",(IF(I547="","",LessThan('VOC &amp; S Gases'!$E187,VND))&amp;SigNum3('VOC &amp; S Gases'!O187,SigFig1,SigFig2,'VOC &amp; S Gases'!$E187)))</f>
        <v/>
      </c>
      <c r="L547" s="1321"/>
      <c r="M547" s="1322"/>
      <c r="N547" s="1272"/>
      <c r="O547" s="1319">
        <f t="shared" si="26"/>
        <v>0</v>
      </c>
      <c r="P547" s="1319">
        <f t="shared" si="27"/>
        <v>0</v>
      </c>
    </row>
    <row r="548" spans="1:16" hidden="1">
      <c r="A548" s="1267" t="str">
        <f>IF(AND('VOC &amp; S Gases'!C188="",'VOC &amp; S Gases'!F188=""),"",'VOC &amp; S Gases'!A188)</f>
        <v/>
      </c>
      <c r="B548" s="1259"/>
      <c r="C548" s="1321" t="str">
        <f>IF(C$371="","",('VOC &amp; S Gases'!$Q188&amp;signum2('VOC &amp; S Gases'!R188,SigFig1,SigFig2,'VOC &amp; S Gases'!$Q188)))</f>
        <v/>
      </c>
      <c r="D548" s="1273" t="str">
        <f>IF(C$371="","",('VOC &amp; S Gases'!$Q188&amp;signum2('VOC &amp; S Gases'!S188,SigFig1,SigFig2,'VOC &amp; S Gases'!$Q188)))</f>
        <v/>
      </c>
      <c r="E548" s="1322" t="str">
        <f>IF(C$371="","",(IF(C548="","",LessThan('VOC &amp; S Gases'!$Q188,VND))&amp;SigNum3('VOC &amp; S Gases'!T188,SigFig1,SigFig2,'VOC &amp; S Gases'!$Q188)))</f>
        <v/>
      </c>
      <c r="F548" s="1321" t="str">
        <f>IF(F$371="","",('VOC &amp; S Gases'!$B188&amp;signum2('VOC &amp; S Gases'!H188,SigFig1,SigFig2,'VOC &amp; S Gases'!$B188)))</f>
        <v/>
      </c>
      <c r="G548" s="1273" t="str">
        <f>IF(F$371="","",('VOC &amp; S Gases'!$B188&amp;signum2('VOC &amp; S Gases'!J188,SigFig1,SigFig2,'VOC &amp; S Gases'!$B188)))</f>
        <v/>
      </c>
      <c r="H548" s="1322" t="str">
        <f>IF(F$371="","",(IF(F548="","",LessThan('VOC &amp; S Gases'!$B188,VND))&amp;SigNum3('VOC &amp; S Gases'!K188,SigFig1,SigFig2,'VOC &amp; S Gases'!$B188)))</f>
        <v/>
      </c>
      <c r="I548" s="1321" t="str">
        <f>IF(I$371="","",('VOC &amp; S Gases'!$E188&amp;signum2('VOC &amp; S Gases'!L188,SigFig1,SigFig2,'VOC &amp; S Gases'!$E188)))</f>
        <v/>
      </c>
      <c r="J548" s="1273" t="str">
        <f>IF(I$371="","",('VOC &amp; S Gases'!$E188&amp;signum2('VOC &amp; S Gases'!N188,SigFig1,SigFig2,'VOC &amp; S Gases'!$E188)))</f>
        <v/>
      </c>
      <c r="K548" s="1322" t="str">
        <f>IF(I$371="","",(IF(I548="","",LessThan('VOC &amp; S Gases'!$E188,VND))&amp;SigNum3('VOC &amp; S Gases'!O188,SigFig1,SigFig2,'VOC &amp; S Gases'!$E188)))</f>
        <v/>
      </c>
      <c r="L548" s="1321"/>
      <c r="M548" s="1322"/>
      <c r="N548" s="1272"/>
      <c r="O548" s="1319">
        <f t="shared" si="26"/>
        <v>0</v>
      </c>
      <c r="P548" s="1319">
        <f t="shared" si="27"/>
        <v>0</v>
      </c>
    </row>
    <row r="549" spans="1:16" hidden="1">
      <c r="A549" s="1267" t="str">
        <f>IF(AND('VOC &amp; S Gases'!C189="",'VOC &amp; S Gases'!F189=""),"",'VOC &amp; S Gases'!A189)</f>
        <v/>
      </c>
      <c r="B549" s="1259"/>
      <c r="C549" s="1321" t="str">
        <f>IF(C$371="","",('VOC &amp; S Gases'!$Q189&amp;signum2('VOC &amp; S Gases'!R189,SigFig1,SigFig2,'VOC &amp; S Gases'!$Q189)))</f>
        <v/>
      </c>
      <c r="D549" s="1273" t="str">
        <f>IF(C$371="","",('VOC &amp; S Gases'!$Q189&amp;signum2('VOC &amp; S Gases'!S189,SigFig1,SigFig2,'VOC &amp; S Gases'!$Q189)))</f>
        <v/>
      </c>
      <c r="E549" s="1322" t="str">
        <f>IF(C$371="","",(IF(C549="","",LessThan('VOC &amp; S Gases'!$Q189,VND))&amp;SigNum3('VOC &amp; S Gases'!T189,SigFig1,SigFig2,'VOC &amp; S Gases'!$Q189)))</f>
        <v/>
      </c>
      <c r="F549" s="1321" t="str">
        <f>IF(F$371="","",('VOC &amp; S Gases'!$B189&amp;signum2('VOC &amp; S Gases'!H189,SigFig1,SigFig2,'VOC &amp; S Gases'!$B189)))</f>
        <v/>
      </c>
      <c r="G549" s="1273" t="str">
        <f>IF(F$371="","",('VOC &amp; S Gases'!$B189&amp;signum2('VOC &amp; S Gases'!J189,SigFig1,SigFig2,'VOC &amp; S Gases'!$B189)))</f>
        <v/>
      </c>
      <c r="H549" s="1322" t="str">
        <f>IF(F$371="","",(IF(F549="","",LessThan('VOC &amp; S Gases'!$B189,VND))&amp;SigNum3('VOC &amp; S Gases'!K189,SigFig1,SigFig2,'VOC &amp; S Gases'!$B189)))</f>
        <v/>
      </c>
      <c r="I549" s="1321" t="str">
        <f>IF(I$371="","",('VOC &amp; S Gases'!$E189&amp;signum2('VOC &amp; S Gases'!L189,SigFig1,SigFig2,'VOC &amp; S Gases'!$E189)))</f>
        <v/>
      </c>
      <c r="J549" s="1273" t="str">
        <f>IF(I$371="","",('VOC &amp; S Gases'!$E189&amp;signum2('VOC &amp; S Gases'!N189,SigFig1,SigFig2,'VOC &amp; S Gases'!$E189)))</f>
        <v/>
      </c>
      <c r="K549" s="1322" t="str">
        <f>IF(I$371="","",(IF(I549="","",LessThan('VOC &amp; S Gases'!$E189,VND))&amp;SigNum3('VOC &amp; S Gases'!O189,SigFig1,SigFig2,'VOC &amp; S Gases'!$E189)))</f>
        <v/>
      </c>
      <c r="L549" s="1321"/>
      <c r="M549" s="1322"/>
      <c r="N549" s="1272"/>
      <c r="O549" s="1319">
        <f t="shared" si="26"/>
        <v>0</v>
      </c>
      <c r="P549" s="1319">
        <f t="shared" si="27"/>
        <v>0</v>
      </c>
    </row>
    <row r="550" spans="1:16" hidden="1">
      <c r="A550" s="1267" t="str">
        <f>IF(AND('VOC &amp; S Gases'!C190="",'VOC &amp; S Gases'!F190=""),"",'VOC &amp; S Gases'!A190)</f>
        <v/>
      </c>
      <c r="B550" s="1259"/>
      <c r="C550" s="1321" t="str">
        <f>IF(C$371="","",('VOC &amp; S Gases'!$Q190&amp;signum2('VOC &amp; S Gases'!R190,SigFig1,SigFig2,'VOC &amp; S Gases'!$Q190)))</f>
        <v/>
      </c>
      <c r="D550" s="1273" t="str">
        <f>IF(C$371="","",('VOC &amp; S Gases'!$Q190&amp;signum2('VOC &amp; S Gases'!S190,SigFig1,SigFig2,'VOC &amp; S Gases'!$Q190)))</f>
        <v/>
      </c>
      <c r="E550" s="1322" t="str">
        <f>IF(C$371="","",(IF(C550="","",LessThan('VOC &amp; S Gases'!$Q190,VND))&amp;SigNum3('VOC &amp; S Gases'!T190,SigFig1,SigFig2,'VOC &amp; S Gases'!$Q190)))</f>
        <v/>
      </c>
      <c r="F550" s="1321" t="str">
        <f>IF(F$371="","",('VOC &amp; S Gases'!$B190&amp;signum2('VOC &amp; S Gases'!H190,SigFig1,SigFig2,'VOC &amp; S Gases'!$B190)))</f>
        <v/>
      </c>
      <c r="G550" s="1273" t="str">
        <f>IF(F$371="","",('VOC &amp; S Gases'!$B190&amp;signum2('VOC &amp; S Gases'!J190,SigFig1,SigFig2,'VOC &amp; S Gases'!$B190)))</f>
        <v/>
      </c>
      <c r="H550" s="1322" t="str">
        <f>IF(F$371="","",(IF(F550="","",LessThan('VOC &amp; S Gases'!$B190,VND))&amp;SigNum3('VOC &amp; S Gases'!K190,SigFig1,SigFig2,'VOC &amp; S Gases'!$B190)))</f>
        <v/>
      </c>
      <c r="I550" s="1321" t="str">
        <f>IF(I$371="","",('VOC &amp; S Gases'!$E190&amp;signum2('VOC &amp; S Gases'!L190,SigFig1,SigFig2,'VOC &amp; S Gases'!$E190)))</f>
        <v/>
      </c>
      <c r="J550" s="1273" t="str">
        <f>IF(I$371="","",('VOC &amp; S Gases'!$E190&amp;signum2('VOC &amp; S Gases'!N190,SigFig1,SigFig2,'VOC &amp; S Gases'!$E190)))</f>
        <v/>
      </c>
      <c r="K550" s="1322" t="str">
        <f>IF(I$371="","",(IF(I550="","",LessThan('VOC &amp; S Gases'!$E190,VND))&amp;SigNum3('VOC &amp; S Gases'!O190,SigFig1,SigFig2,'VOC &amp; S Gases'!$E190)))</f>
        <v/>
      </c>
      <c r="L550" s="1321"/>
      <c r="M550" s="1322"/>
      <c r="N550" s="1272"/>
      <c r="O550" s="1319">
        <f t="shared" si="26"/>
        <v>0</v>
      </c>
      <c r="P550" s="1319">
        <f t="shared" si="27"/>
        <v>0</v>
      </c>
    </row>
    <row r="551" spans="1:16" hidden="1">
      <c r="A551" s="1267" t="str">
        <f>IF(AND('VOC &amp; S Gases'!C191="",'VOC &amp; S Gases'!F191=""),"",'VOC &amp; S Gases'!A191)</f>
        <v/>
      </c>
      <c r="B551" s="1259"/>
      <c r="C551" s="1321" t="str">
        <f>IF(C$371="","",('VOC &amp; S Gases'!$Q191&amp;signum2('VOC &amp; S Gases'!R191,SigFig1,SigFig2,'VOC &amp; S Gases'!$Q191)))</f>
        <v/>
      </c>
      <c r="D551" s="1273" t="str">
        <f>IF(C$371="","",('VOC &amp; S Gases'!$Q191&amp;signum2('VOC &amp; S Gases'!S191,SigFig1,SigFig2,'VOC &amp; S Gases'!$Q191)))</f>
        <v/>
      </c>
      <c r="E551" s="1322" t="str">
        <f>IF(C$371="","",(IF(C551="","",LessThan('VOC &amp; S Gases'!$Q191,VND))&amp;SigNum3('VOC &amp; S Gases'!T191,SigFig1,SigFig2,'VOC &amp; S Gases'!$Q191)))</f>
        <v/>
      </c>
      <c r="F551" s="1321" t="str">
        <f>IF(F$371="","",('VOC &amp; S Gases'!$B191&amp;signum2('VOC &amp; S Gases'!H191,SigFig1,SigFig2,'VOC &amp; S Gases'!$B191)))</f>
        <v/>
      </c>
      <c r="G551" s="1273" t="str">
        <f>IF(F$371="","",('VOC &amp; S Gases'!$B191&amp;signum2('VOC &amp; S Gases'!J191,SigFig1,SigFig2,'VOC &amp; S Gases'!$B191)))</f>
        <v/>
      </c>
      <c r="H551" s="1322" t="str">
        <f>IF(F$371="","",(IF(F551="","",LessThan('VOC &amp; S Gases'!$B191,VND))&amp;SigNum3('VOC &amp; S Gases'!K191,SigFig1,SigFig2,'VOC &amp; S Gases'!$B191)))</f>
        <v/>
      </c>
      <c r="I551" s="1321" t="str">
        <f>IF(I$371="","",('VOC &amp; S Gases'!$E191&amp;signum2('VOC &amp; S Gases'!L191,SigFig1,SigFig2,'VOC &amp; S Gases'!$E191)))</f>
        <v/>
      </c>
      <c r="J551" s="1273" t="str">
        <f>IF(I$371="","",('VOC &amp; S Gases'!$E191&amp;signum2('VOC &amp; S Gases'!N191,SigFig1,SigFig2,'VOC &amp; S Gases'!$E191)))</f>
        <v/>
      </c>
      <c r="K551" s="1322" t="str">
        <f>IF(I$371="","",(IF(I551="","",LessThan('VOC &amp; S Gases'!$E191,VND))&amp;SigNum3('VOC &amp; S Gases'!O191,SigFig1,SigFig2,'VOC &amp; S Gases'!$E191)))</f>
        <v/>
      </c>
      <c r="L551" s="1321"/>
      <c r="M551" s="1322"/>
      <c r="N551" s="1272"/>
      <c r="O551" s="1319">
        <f t="shared" si="26"/>
        <v>0</v>
      </c>
      <c r="P551" s="1319">
        <f t="shared" si="27"/>
        <v>0</v>
      </c>
    </row>
    <row r="552" spans="1:16" hidden="1">
      <c r="A552" s="1267" t="str">
        <f>IF(AND('VOC &amp; S Gases'!C192="",'VOC &amp; S Gases'!F192=""),"",'VOC &amp; S Gases'!A192)</f>
        <v/>
      </c>
      <c r="B552" s="1259"/>
      <c r="C552" s="1321" t="str">
        <f>IF(C$371="","",('VOC &amp; S Gases'!$Q192&amp;signum2('VOC &amp; S Gases'!R192,SigFig1,SigFig2,'VOC &amp; S Gases'!$Q192)))</f>
        <v/>
      </c>
      <c r="D552" s="1273" t="str">
        <f>IF(C$371="","",('VOC &amp; S Gases'!$Q192&amp;signum2('VOC &amp; S Gases'!S192,SigFig1,SigFig2,'VOC &amp; S Gases'!$Q192)))</f>
        <v/>
      </c>
      <c r="E552" s="1322" t="str">
        <f>IF(C$371="","",(IF(C552="","",LessThan('VOC &amp; S Gases'!$Q192,VND))&amp;SigNum3('VOC &amp; S Gases'!T192,SigFig1,SigFig2,'VOC &amp; S Gases'!$Q192)))</f>
        <v/>
      </c>
      <c r="F552" s="1321" t="str">
        <f>IF(F$371="","",('VOC &amp; S Gases'!$B192&amp;signum2('VOC &amp; S Gases'!H192,SigFig1,SigFig2,'VOC &amp; S Gases'!$B192)))</f>
        <v/>
      </c>
      <c r="G552" s="1273" t="str">
        <f>IF(F$371="","",('VOC &amp; S Gases'!$B192&amp;signum2('VOC &amp; S Gases'!J192,SigFig1,SigFig2,'VOC &amp; S Gases'!$B192)))</f>
        <v/>
      </c>
      <c r="H552" s="1322" t="str">
        <f>IF(F$371="","",(IF(F552="","",LessThan('VOC &amp; S Gases'!$B192,VND))&amp;SigNum3('VOC &amp; S Gases'!K192,SigFig1,SigFig2,'VOC &amp; S Gases'!$B192)))</f>
        <v/>
      </c>
      <c r="I552" s="1321" t="str">
        <f>IF(I$371="","",('VOC &amp; S Gases'!$E192&amp;signum2('VOC &amp; S Gases'!L192,SigFig1,SigFig2,'VOC &amp; S Gases'!$E192)))</f>
        <v/>
      </c>
      <c r="J552" s="1273" t="str">
        <f>IF(I$371="","",('VOC &amp; S Gases'!$E192&amp;signum2('VOC &amp; S Gases'!N192,SigFig1,SigFig2,'VOC &amp; S Gases'!$E192)))</f>
        <v/>
      </c>
      <c r="K552" s="1322" t="str">
        <f>IF(I$371="","",(IF(I552="","",LessThan('VOC &amp; S Gases'!$E192,VND))&amp;SigNum3('VOC &amp; S Gases'!O192,SigFig1,SigFig2,'VOC &amp; S Gases'!$E192)))</f>
        <v/>
      </c>
      <c r="L552" s="1321"/>
      <c r="M552" s="1322"/>
      <c r="N552" s="1272"/>
      <c r="O552" s="1319">
        <f t="shared" si="26"/>
        <v>0</v>
      </c>
      <c r="P552" s="1319">
        <f t="shared" si="27"/>
        <v>0</v>
      </c>
    </row>
    <row r="553" spans="1:16" hidden="1">
      <c r="A553" s="1267" t="str">
        <f>IF(AND('VOC &amp; S Gases'!C193="",'VOC &amp; S Gases'!F193=""),"",'VOC &amp; S Gases'!A193)</f>
        <v/>
      </c>
      <c r="B553" s="1259"/>
      <c r="C553" s="1321" t="str">
        <f>IF(C$371="","",('VOC &amp; S Gases'!$Q193&amp;signum2('VOC &amp; S Gases'!R193,SigFig1,SigFig2,'VOC &amp; S Gases'!$Q193)))</f>
        <v/>
      </c>
      <c r="D553" s="1273" t="str">
        <f>IF(C$371="","",('VOC &amp; S Gases'!$Q193&amp;signum2('VOC &amp; S Gases'!S193,SigFig1,SigFig2,'VOC &amp; S Gases'!$Q193)))</f>
        <v/>
      </c>
      <c r="E553" s="1322" t="str">
        <f>IF(C$371="","",(IF(C553="","",LessThan('VOC &amp; S Gases'!$Q193,VND))&amp;SigNum3('VOC &amp; S Gases'!T193,SigFig1,SigFig2,'VOC &amp; S Gases'!$Q193)))</f>
        <v/>
      </c>
      <c r="F553" s="1321" t="str">
        <f>IF(F$371="","",('VOC &amp; S Gases'!$B193&amp;signum2('VOC &amp; S Gases'!H193,SigFig1,SigFig2,'VOC &amp; S Gases'!$B193)))</f>
        <v/>
      </c>
      <c r="G553" s="1273" t="str">
        <f>IF(F$371="","",('VOC &amp; S Gases'!$B193&amp;signum2('VOC &amp; S Gases'!J193,SigFig1,SigFig2,'VOC &amp; S Gases'!$B193)))</f>
        <v/>
      </c>
      <c r="H553" s="1322" t="str">
        <f>IF(F$371="","",(IF(F553="","",LessThan('VOC &amp; S Gases'!$B193,VND))&amp;SigNum3('VOC &amp; S Gases'!K193,SigFig1,SigFig2,'VOC &amp; S Gases'!$B193)))</f>
        <v/>
      </c>
      <c r="I553" s="1321" t="str">
        <f>IF(I$371="","",('VOC &amp; S Gases'!$E193&amp;signum2('VOC &amp; S Gases'!L193,SigFig1,SigFig2,'VOC &amp; S Gases'!$E193)))</f>
        <v/>
      </c>
      <c r="J553" s="1273" t="str">
        <f>IF(I$371="","",('VOC &amp; S Gases'!$E193&amp;signum2('VOC &amp; S Gases'!N193,SigFig1,SigFig2,'VOC &amp; S Gases'!$E193)))</f>
        <v/>
      </c>
      <c r="K553" s="1322" t="str">
        <f>IF(I$371="","",(IF(I553="","",LessThan('VOC &amp; S Gases'!$E193,VND))&amp;SigNum3('VOC &amp; S Gases'!O193,SigFig1,SigFig2,'VOC &amp; S Gases'!$E193)))</f>
        <v/>
      </c>
      <c r="L553" s="1321"/>
      <c r="M553" s="1322"/>
      <c r="N553" s="1272"/>
      <c r="O553" s="1319">
        <f t="shared" si="26"/>
        <v>0</v>
      </c>
      <c r="P553" s="1319">
        <f t="shared" si="27"/>
        <v>0</v>
      </c>
    </row>
    <row r="554" spans="1:16" hidden="1">
      <c r="A554" s="1267" t="str">
        <f>IF(AND('VOC &amp; S Gases'!C194="",'VOC &amp; S Gases'!F194=""),"",'VOC &amp; S Gases'!A194)</f>
        <v/>
      </c>
      <c r="B554" s="1259"/>
      <c r="C554" s="1321" t="str">
        <f>IF(C$371="","",('VOC &amp; S Gases'!$Q194&amp;signum2('VOC &amp; S Gases'!R194,SigFig1,SigFig2,'VOC &amp; S Gases'!$Q194)))</f>
        <v/>
      </c>
      <c r="D554" s="1273" t="str">
        <f>IF(C$371="","",('VOC &amp; S Gases'!$Q194&amp;signum2('VOC &amp; S Gases'!S194,SigFig1,SigFig2,'VOC &amp; S Gases'!$Q194)))</f>
        <v/>
      </c>
      <c r="E554" s="1322" t="str">
        <f>IF(C$371="","",(IF(C554="","",LessThan('VOC &amp; S Gases'!$Q194,VND))&amp;SigNum3('VOC &amp; S Gases'!T194,SigFig1,SigFig2,'VOC &amp; S Gases'!$Q194)))</f>
        <v/>
      </c>
      <c r="F554" s="1321" t="str">
        <f>IF(F$371="","",('VOC &amp; S Gases'!$B194&amp;signum2('VOC &amp; S Gases'!H194,SigFig1,SigFig2,'VOC &amp; S Gases'!$B194)))</f>
        <v/>
      </c>
      <c r="G554" s="1273" t="str">
        <f>IF(F$371="","",('VOC &amp; S Gases'!$B194&amp;signum2('VOC &amp; S Gases'!J194,SigFig1,SigFig2,'VOC &amp; S Gases'!$B194)))</f>
        <v/>
      </c>
      <c r="H554" s="1322" t="str">
        <f>IF(F$371="","",(IF(F554="","",LessThan('VOC &amp; S Gases'!$B194,VND))&amp;SigNum3('VOC &amp; S Gases'!K194,SigFig1,SigFig2,'VOC &amp; S Gases'!$B194)))</f>
        <v/>
      </c>
      <c r="I554" s="1321" t="str">
        <f>IF(I$371="","",('VOC &amp; S Gases'!$E194&amp;signum2('VOC &amp; S Gases'!L194,SigFig1,SigFig2,'VOC &amp; S Gases'!$E194)))</f>
        <v/>
      </c>
      <c r="J554" s="1273" t="str">
        <f>IF(I$371="","",('VOC &amp; S Gases'!$E194&amp;signum2('VOC &amp; S Gases'!N194,SigFig1,SigFig2,'VOC &amp; S Gases'!$E194)))</f>
        <v/>
      </c>
      <c r="K554" s="1322" t="str">
        <f>IF(I$371="","",(IF(I554="","",LessThan('VOC &amp; S Gases'!$E194,VND))&amp;SigNum3('VOC &amp; S Gases'!O194,SigFig1,SigFig2,'VOC &amp; S Gases'!$E194)))</f>
        <v/>
      </c>
      <c r="L554" s="1321"/>
      <c r="M554" s="1322"/>
      <c r="N554" s="1272"/>
      <c r="O554" s="1319">
        <f t="shared" si="26"/>
        <v>0</v>
      </c>
      <c r="P554" s="1319">
        <f t="shared" si="27"/>
        <v>0</v>
      </c>
    </row>
    <row r="555" spans="1:16" hidden="1">
      <c r="A555" s="1267" t="str">
        <f>IF(AND('VOC &amp; S Gases'!C195="",'VOC &amp; S Gases'!F195=""),"",'VOC &amp; S Gases'!A195)</f>
        <v/>
      </c>
      <c r="B555" s="1259"/>
      <c r="C555" s="1321" t="str">
        <f>IF(C$371="","",('VOC &amp; S Gases'!$Q195&amp;signum2('VOC &amp; S Gases'!R195,SigFig1,SigFig2,'VOC &amp; S Gases'!$Q195)))</f>
        <v/>
      </c>
      <c r="D555" s="1273" t="str">
        <f>IF(C$371="","",('VOC &amp; S Gases'!$Q195&amp;signum2('VOC &amp; S Gases'!S195,SigFig1,SigFig2,'VOC &amp; S Gases'!$Q195)))</f>
        <v/>
      </c>
      <c r="E555" s="1322" t="str">
        <f>IF(C$371="","",(IF(C555="","",LessThan('VOC &amp; S Gases'!$Q195,VND))&amp;SigNum3('VOC &amp; S Gases'!T195,SigFig1,SigFig2,'VOC &amp; S Gases'!$Q195)))</f>
        <v/>
      </c>
      <c r="F555" s="1321" t="str">
        <f>IF(F$371="","",('VOC &amp; S Gases'!$B195&amp;signum2('VOC &amp; S Gases'!H195,SigFig1,SigFig2,'VOC &amp; S Gases'!$B195)))</f>
        <v/>
      </c>
      <c r="G555" s="1273" t="str">
        <f>IF(F$371="","",('VOC &amp; S Gases'!$B195&amp;signum2('VOC &amp; S Gases'!J195,SigFig1,SigFig2,'VOC &amp; S Gases'!$B195)))</f>
        <v/>
      </c>
      <c r="H555" s="1322" t="str">
        <f>IF(F$371="","",(IF(F555="","",LessThan('VOC &amp; S Gases'!$B195,VND))&amp;SigNum3('VOC &amp; S Gases'!K195,SigFig1,SigFig2,'VOC &amp; S Gases'!$B195)))</f>
        <v/>
      </c>
      <c r="I555" s="1321" t="str">
        <f>IF(I$371="","",('VOC &amp; S Gases'!$E195&amp;signum2('VOC &amp; S Gases'!L195,SigFig1,SigFig2,'VOC &amp; S Gases'!$E195)))</f>
        <v/>
      </c>
      <c r="J555" s="1273" t="str">
        <f>IF(I$371="","",('VOC &amp; S Gases'!$E195&amp;signum2('VOC &amp; S Gases'!N195,SigFig1,SigFig2,'VOC &amp; S Gases'!$E195)))</f>
        <v/>
      </c>
      <c r="K555" s="1322" t="str">
        <f>IF(I$371="","",(IF(I555="","",LessThan('VOC &amp; S Gases'!$E195,VND))&amp;SigNum3('VOC &amp; S Gases'!O195,SigFig1,SigFig2,'VOC &amp; S Gases'!$E195)))</f>
        <v/>
      </c>
      <c r="L555" s="1321"/>
      <c r="M555" s="1322"/>
      <c r="N555" s="1272"/>
      <c r="O555" s="1319">
        <f t="shared" si="26"/>
        <v>0</v>
      </c>
      <c r="P555" s="1319">
        <f t="shared" si="27"/>
        <v>0</v>
      </c>
    </row>
    <row r="556" spans="1:16" hidden="1">
      <c r="A556" s="1267" t="str">
        <f>IF(AND('VOC &amp; S Gases'!C196="",'VOC &amp; S Gases'!F196=""),"",'VOC &amp; S Gases'!A196)</f>
        <v/>
      </c>
      <c r="B556" s="1259"/>
      <c r="C556" s="1321" t="str">
        <f>IF(C$371="","",('VOC &amp; S Gases'!$Q196&amp;signum2('VOC &amp; S Gases'!R196,SigFig1,SigFig2,'VOC &amp; S Gases'!$Q196)))</f>
        <v/>
      </c>
      <c r="D556" s="1273" t="str">
        <f>IF(C$371="","",('VOC &amp; S Gases'!$Q196&amp;signum2('VOC &amp; S Gases'!S196,SigFig1,SigFig2,'VOC &amp; S Gases'!$Q196)))</f>
        <v/>
      </c>
      <c r="E556" s="1322" t="str">
        <f>IF(C$371="","",(IF(C556="","",LessThan('VOC &amp; S Gases'!$Q196,VND))&amp;SigNum3('VOC &amp; S Gases'!T196,SigFig1,SigFig2,'VOC &amp; S Gases'!$Q196)))</f>
        <v/>
      </c>
      <c r="F556" s="1321" t="str">
        <f>IF(F$371="","",('VOC &amp; S Gases'!$B196&amp;signum2('VOC &amp; S Gases'!H196,SigFig1,SigFig2,'VOC &amp; S Gases'!$B196)))</f>
        <v/>
      </c>
      <c r="G556" s="1273" t="str">
        <f>IF(F$371="","",('VOC &amp; S Gases'!$B196&amp;signum2('VOC &amp; S Gases'!J196,SigFig1,SigFig2,'VOC &amp; S Gases'!$B196)))</f>
        <v/>
      </c>
      <c r="H556" s="1322" t="str">
        <f>IF(F$371="","",(IF(F556="","",LessThan('VOC &amp; S Gases'!$B196,VND))&amp;SigNum3('VOC &amp; S Gases'!K196,SigFig1,SigFig2,'VOC &amp; S Gases'!$B196)))</f>
        <v/>
      </c>
      <c r="I556" s="1321" t="str">
        <f>IF(I$371="","",('VOC &amp; S Gases'!$E196&amp;signum2('VOC &amp; S Gases'!L196,SigFig1,SigFig2,'VOC &amp; S Gases'!$E196)))</f>
        <v/>
      </c>
      <c r="J556" s="1273" t="str">
        <f>IF(I$371="","",('VOC &amp; S Gases'!$E196&amp;signum2('VOC &amp; S Gases'!N196,SigFig1,SigFig2,'VOC &amp; S Gases'!$E196)))</f>
        <v/>
      </c>
      <c r="K556" s="1322" t="str">
        <f>IF(I$371="","",(IF(I556="","",LessThan('VOC &amp; S Gases'!$E196,VND))&amp;SigNum3('VOC &amp; S Gases'!O196,SigFig1,SigFig2,'VOC &amp; S Gases'!$E196)))</f>
        <v/>
      </c>
      <c r="L556" s="1321"/>
      <c r="M556" s="1322"/>
      <c r="N556" s="1272"/>
      <c r="O556" s="1319">
        <f t="shared" si="26"/>
        <v>0</v>
      </c>
      <c r="P556" s="1319">
        <f t="shared" si="27"/>
        <v>0</v>
      </c>
    </row>
    <row r="557" spans="1:16" hidden="1">
      <c r="A557" s="1267" t="str">
        <f>IF(AND('VOC &amp; S Gases'!C197="",'VOC &amp; S Gases'!F197=""),"",'VOC &amp; S Gases'!A197)</f>
        <v/>
      </c>
      <c r="B557" s="1259"/>
      <c r="C557" s="1321" t="str">
        <f>IF(C$371="","",('VOC &amp; S Gases'!$Q197&amp;signum2('VOC &amp; S Gases'!R197,SigFig1,SigFig2,'VOC &amp; S Gases'!$Q197)))</f>
        <v/>
      </c>
      <c r="D557" s="1273" t="str">
        <f>IF(C$371="","",('VOC &amp; S Gases'!$Q197&amp;signum2('VOC &amp; S Gases'!S197,SigFig1,SigFig2,'VOC &amp; S Gases'!$Q197)))</f>
        <v/>
      </c>
      <c r="E557" s="1322" t="str">
        <f>IF(C$371="","",(IF(C557="","",LessThan('VOC &amp; S Gases'!$Q197,VND))&amp;SigNum3('VOC &amp; S Gases'!T197,SigFig1,SigFig2,'VOC &amp; S Gases'!$Q197)))</f>
        <v/>
      </c>
      <c r="F557" s="1321" t="str">
        <f>IF(F$371="","",('VOC &amp; S Gases'!$B197&amp;signum2('VOC &amp; S Gases'!H197,SigFig1,SigFig2,'VOC &amp; S Gases'!$B197)))</f>
        <v/>
      </c>
      <c r="G557" s="1273" t="str">
        <f>IF(F$371="","",('VOC &amp; S Gases'!$B197&amp;signum2('VOC &amp; S Gases'!J197,SigFig1,SigFig2,'VOC &amp; S Gases'!$B197)))</f>
        <v/>
      </c>
      <c r="H557" s="1322" t="str">
        <f>IF(F$371="","",(IF(F557="","",LessThan('VOC &amp; S Gases'!$B197,VND))&amp;SigNum3('VOC &amp; S Gases'!K197,SigFig1,SigFig2,'VOC &amp; S Gases'!$B197)))</f>
        <v/>
      </c>
      <c r="I557" s="1321" t="str">
        <f>IF(I$371="","",('VOC &amp; S Gases'!$E197&amp;signum2('VOC &amp; S Gases'!L197,SigFig1,SigFig2,'VOC &amp; S Gases'!$E197)))</f>
        <v/>
      </c>
      <c r="J557" s="1273" t="str">
        <f>IF(I$371="","",('VOC &amp; S Gases'!$E197&amp;signum2('VOC &amp; S Gases'!N197,SigFig1,SigFig2,'VOC &amp; S Gases'!$E197)))</f>
        <v/>
      </c>
      <c r="K557" s="1322" t="str">
        <f>IF(I$371="","",(IF(I557="","",LessThan('VOC &amp; S Gases'!$E197,VND))&amp;SigNum3('VOC &amp; S Gases'!O197,SigFig1,SigFig2,'VOC &amp; S Gases'!$E197)))</f>
        <v/>
      </c>
      <c r="L557" s="1321"/>
      <c r="M557" s="1322"/>
      <c r="N557" s="1272"/>
      <c r="O557" s="1319">
        <f t="shared" si="26"/>
        <v>0</v>
      </c>
      <c r="P557" s="1319">
        <f t="shared" si="27"/>
        <v>0</v>
      </c>
    </row>
    <row r="558" spans="1:16" hidden="1">
      <c r="A558" s="1267" t="str">
        <f>IF(AND('VOC &amp; S Gases'!C198="",'VOC &amp; S Gases'!F198=""),"",'VOC &amp; S Gases'!A198)</f>
        <v/>
      </c>
      <c r="B558" s="1259"/>
      <c r="C558" s="1321" t="str">
        <f>IF(C$371="","",('VOC &amp; S Gases'!$Q198&amp;signum2('VOC &amp; S Gases'!R198,SigFig1,SigFig2,'VOC &amp; S Gases'!$Q198)))</f>
        <v/>
      </c>
      <c r="D558" s="1273" t="str">
        <f>IF(C$371="","",('VOC &amp; S Gases'!$Q198&amp;signum2('VOC &amp; S Gases'!S198,SigFig1,SigFig2,'VOC &amp; S Gases'!$Q198)))</f>
        <v/>
      </c>
      <c r="E558" s="1322" t="str">
        <f>IF(C$371="","",(IF(C558="","",LessThan('VOC &amp; S Gases'!$Q198,VND))&amp;SigNum3('VOC &amp; S Gases'!T198,SigFig1,SigFig2,'VOC &amp; S Gases'!$Q198)))</f>
        <v/>
      </c>
      <c r="F558" s="1321" t="str">
        <f>IF(F$371="","",('VOC &amp; S Gases'!$B198&amp;signum2('VOC &amp; S Gases'!H198,SigFig1,SigFig2,'VOC &amp; S Gases'!$B198)))</f>
        <v/>
      </c>
      <c r="G558" s="1273" t="str">
        <f>IF(F$371="","",('VOC &amp; S Gases'!$B198&amp;signum2('VOC &amp; S Gases'!J198,SigFig1,SigFig2,'VOC &amp; S Gases'!$B198)))</f>
        <v/>
      </c>
      <c r="H558" s="1322" t="str">
        <f>IF(F$371="","",(IF(F558="","",LessThan('VOC &amp; S Gases'!$B198,VND))&amp;SigNum3('VOC &amp; S Gases'!K198,SigFig1,SigFig2,'VOC &amp; S Gases'!$B198)))</f>
        <v/>
      </c>
      <c r="I558" s="1321" t="str">
        <f>IF(I$371="","",('VOC &amp; S Gases'!$E198&amp;signum2('VOC &amp; S Gases'!L198,SigFig1,SigFig2,'VOC &amp; S Gases'!$E198)))</f>
        <v/>
      </c>
      <c r="J558" s="1273" t="str">
        <f>IF(I$371="","",('VOC &amp; S Gases'!$E198&amp;signum2('VOC &amp; S Gases'!N198,SigFig1,SigFig2,'VOC &amp; S Gases'!$E198)))</f>
        <v/>
      </c>
      <c r="K558" s="1322" t="str">
        <f>IF(I$371="","",(IF(I558="","",LessThan('VOC &amp; S Gases'!$E198,VND))&amp;SigNum3('VOC &amp; S Gases'!O198,SigFig1,SigFig2,'VOC &amp; S Gases'!$E198)))</f>
        <v/>
      </c>
      <c r="L558" s="1321"/>
      <c r="M558" s="1322"/>
      <c r="N558" s="1272"/>
      <c r="O558" s="1319">
        <f t="shared" si="26"/>
        <v>0</v>
      </c>
      <c r="P558" s="1319">
        <f t="shared" si="27"/>
        <v>0</v>
      </c>
    </row>
    <row r="559" spans="1:16" hidden="1">
      <c r="A559" s="1267" t="str">
        <f>IF(AND('VOC &amp; S Gases'!C199="",'VOC &amp; S Gases'!F199=""),"",'VOC &amp; S Gases'!A199)</f>
        <v/>
      </c>
      <c r="B559" s="1259"/>
      <c r="C559" s="1321" t="str">
        <f>IF(C$371="","",('VOC &amp; S Gases'!$Q199&amp;signum2('VOC &amp; S Gases'!R199,SigFig1,SigFig2,'VOC &amp; S Gases'!$Q199)))</f>
        <v/>
      </c>
      <c r="D559" s="1273" t="str">
        <f>IF(C$371="","",('VOC &amp; S Gases'!$Q199&amp;signum2('VOC &amp; S Gases'!S199,SigFig1,SigFig2,'VOC &amp; S Gases'!$Q199)))</f>
        <v/>
      </c>
      <c r="E559" s="1322" t="str">
        <f>IF(C$371="","",(IF(C559="","",LessThan('VOC &amp; S Gases'!$Q199,VND))&amp;SigNum3('VOC &amp; S Gases'!T199,SigFig1,SigFig2,'VOC &amp; S Gases'!$Q199)))</f>
        <v/>
      </c>
      <c r="F559" s="1321" t="str">
        <f>IF(F$371="","",('VOC &amp; S Gases'!$B199&amp;signum2('VOC &amp; S Gases'!H199,SigFig1,SigFig2,'VOC &amp; S Gases'!$B199)))</f>
        <v/>
      </c>
      <c r="G559" s="1273" t="str">
        <f>IF(F$371="","",('VOC &amp; S Gases'!$B199&amp;signum2('VOC &amp; S Gases'!J199,SigFig1,SigFig2,'VOC &amp; S Gases'!$B199)))</f>
        <v/>
      </c>
      <c r="H559" s="1322" t="str">
        <f>IF(F$371="","",(IF(F559="","",LessThan('VOC &amp; S Gases'!$B199,VND))&amp;SigNum3('VOC &amp; S Gases'!K199,SigFig1,SigFig2,'VOC &amp; S Gases'!$B199)))</f>
        <v/>
      </c>
      <c r="I559" s="1321" t="str">
        <f>IF(I$371="","",('VOC &amp; S Gases'!$E199&amp;signum2('VOC &amp; S Gases'!L199,SigFig1,SigFig2,'VOC &amp; S Gases'!$E199)))</f>
        <v/>
      </c>
      <c r="J559" s="1273" t="str">
        <f>IF(I$371="","",('VOC &amp; S Gases'!$E199&amp;signum2('VOC &amp; S Gases'!N199,SigFig1,SigFig2,'VOC &amp; S Gases'!$E199)))</f>
        <v/>
      </c>
      <c r="K559" s="1322" t="str">
        <f>IF(I$371="","",(IF(I559="","",LessThan('VOC &amp; S Gases'!$E199,VND))&amp;SigNum3('VOC &amp; S Gases'!O199,SigFig1,SigFig2,'VOC &amp; S Gases'!$E199)))</f>
        <v/>
      </c>
      <c r="L559" s="1321"/>
      <c r="M559" s="1322"/>
      <c r="N559" s="1272"/>
      <c r="O559" s="1319">
        <f t="shared" si="26"/>
        <v>0</v>
      </c>
      <c r="P559" s="1319">
        <f t="shared" si="27"/>
        <v>0</v>
      </c>
    </row>
    <row r="560" spans="1:16" hidden="1">
      <c r="A560" s="1267" t="str">
        <f>IF(AND('VOC &amp; S Gases'!C200="",'VOC &amp; S Gases'!F200=""),"",'VOC &amp; S Gases'!A200)</f>
        <v/>
      </c>
      <c r="B560" s="1259"/>
      <c r="C560" s="1321" t="str">
        <f>IF(C$371="","",('VOC &amp; S Gases'!$Q200&amp;signum2('VOC &amp; S Gases'!R200,SigFig1,SigFig2,'VOC &amp; S Gases'!$Q200)))</f>
        <v/>
      </c>
      <c r="D560" s="1273" t="str">
        <f>IF(C$371="","",('VOC &amp; S Gases'!$Q200&amp;signum2('VOC &amp; S Gases'!S200,SigFig1,SigFig2,'VOC &amp; S Gases'!$Q200)))</f>
        <v/>
      </c>
      <c r="E560" s="1322" t="str">
        <f>IF(C$371="","",(IF(C560="","",LessThan('VOC &amp; S Gases'!$Q200,VND))&amp;SigNum3('VOC &amp; S Gases'!T200,SigFig1,SigFig2,'VOC &amp; S Gases'!$Q200)))</f>
        <v/>
      </c>
      <c r="F560" s="1321" t="str">
        <f>IF(F$371="","",('VOC &amp; S Gases'!$B200&amp;signum2('VOC &amp; S Gases'!H200,SigFig1,SigFig2,'VOC &amp; S Gases'!$B200)))</f>
        <v/>
      </c>
      <c r="G560" s="1273" t="str">
        <f>IF(F$371="","",('VOC &amp; S Gases'!$B200&amp;signum2('VOC &amp; S Gases'!J200,SigFig1,SigFig2,'VOC &amp; S Gases'!$B200)))</f>
        <v/>
      </c>
      <c r="H560" s="1322" t="str">
        <f>IF(F$371="","",(IF(F560="","",LessThan('VOC &amp; S Gases'!$B200,VND))&amp;SigNum3('VOC &amp; S Gases'!K200,SigFig1,SigFig2,'VOC &amp; S Gases'!$B200)))</f>
        <v/>
      </c>
      <c r="I560" s="1321" t="str">
        <f>IF(I$371="","",('VOC &amp; S Gases'!$E200&amp;signum2('VOC &amp; S Gases'!L200,SigFig1,SigFig2,'VOC &amp; S Gases'!$E200)))</f>
        <v/>
      </c>
      <c r="J560" s="1273" t="str">
        <f>IF(I$371="","",('VOC &amp; S Gases'!$E200&amp;signum2('VOC &amp; S Gases'!N200,SigFig1,SigFig2,'VOC &amp; S Gases'!$E200)))</f>
        <v/>
      </c>
      <c r="K560" s="1322" t="str">
        <f>IF(I$371="","",(IF(I560="","",LessThan('VOC &amp; S Gases'!$E200,VND))&amp;SigNum3('VOC &amp; S Gases'!O200,SigFig1,SigFig2,'VOC &amp; S Gases'!$E200)))</f>
        <v/>
      </c>
      <c r="L560" s="1321"/>
      <c r="M560" s="1322"/>
      <c r="N560" s="1272"/>
      <c r="O560" s="1319">
        <f t="shared" si="26"/>
        <v>0</v>
      </c>
      <c r="P560" s="1319">
        <f t="shared" si="27"/>
        <v>0</v>
      </c>
    </row>
    <row r="561" spans="1:28" hidden="1">
      <c r="A561" s="1267" t="str">
        <f>IF(AND('VOC &amp; S Gases'!C201="",'VOC &amp; S Gases'!F201=""),"",'VOC &amp; S Gases'!A201)</f>
        <v/>
      </c>
      <c r="B561" s="1259"/>
      <c r="C561" s="1321" t="str">
        <f>IF(C$371="","",('VOC &amp; S Gases'!$Q201&amp;signum2('VOC &amp; S Gases'!R201,SigFig1,SigFig2,'VOC &amp; S Gases'!$Q201)))</f>
        <v/>
      </c>
      <c r="D561" s="1273" t="str">
        <f>IF(C$371="","",('VOC &amp; S Gases'!$Q201&amp;signum2('VOC &amp; S Gases'!S201,SigFig1,SigFig2,'VOC &amp; S Gases'!$Q201)))</f>
        <v/>
      </c>
      <c r="E561" s="1322" t="str">
        <f>IF(C$371="","",(IF(C561="","",LessThan('VOC &amp; S Gases'!$Q201,VND))&amp;SigNum3('VOC &amp; S Gases'!T201,SigFig1,SigFig2,'VOC &amp; S Gases'!$Q201)))</f>
        <v/>
      </c>
      <c r="F561" s="1321" t="str">
        <f>IF(F$371="","",('VOC &amp; S Gases'!$B201&amp;signum2('VOC &amp; S Gases'!H201,SigFig1,SigFig2,'VOC &amp; S Gases'!$B201)))</f>
        <v/>
      </c>
      <c r="G561" s="1273" t="str">
        <f>IF(F$371="","",('VOC &amp; S Gases'!$B201&amp;signum2('VOC &amp; S Gases'!J201,SigFig1,SigFig2,'VOC &amp; S Gases'!$B201)))</f>
        <v/>
      </c>
      <c r="H561" s="1322" t="str">
        <f>IF(F$371="","",(IF(F561="","",LessThan('VOC &amp; S Gases'!$B201,VND))&amp;SigNum3('VOC &amp; S Gases'!K201,SigFig1,SigFig2,'VOC &amp; S Gases'!$B201)))</f>
        <v/>
      </c>
      <c r="I561" s="1321" t="str">
        <f>IF(I$371="","",('VOC &amp; S Gases'!$E201&amp;signum2('VOC &amp; S Gases'!L201,SigFig1,SigFig2,'VOC &amp; S Gases'!$E201)))</f>
        <v/>
      </c>
      <c r="J561" s="1273" t="str">
        <f>IF(I$371="","",('VOC &amp; S Gases'!$E201&amp;signum2('VOC &amp; S Gases'!N201,SigFig1,SigFig2,'VOC &amp; S Gases'!$E201)))</f>
        <v/>
      </c>
      <c r="K561" s="1322" t="str">
        <f>IF(I$371="","",(IF(I561="","",LessThan('VOC &amp; S Gases'!$E201,VND))&amp;SigNum3('VOC &amp; S Gases'!O201,SigFig1,SigFig2,'VOC &amp; S Gases'!$E201)))</f>
        <v/>
      </c>
      <c r="L561" s="1321"/>
      <c r="M561" s="1322"/>
      <c r="N561" s="1272"/>
      <c r="O561" s="1319">
        <f t="shared" si="26"/>
        <v>0</v>
      </c>
      <c r="P561" s="1319">
        <f t="shared" si="27"/>
        <v>0</v>
      </c>
    </row>
    <row r="562" spans="1:28" hidden="1">
      <c r="A562" s="1267" t="str">
        <f>IF(AND('VOC &amp; S Gases'!C202="",'VOC &amp; S Gases'!F202=""),"",'VOC &amp; S Gases'!A202)</f>
        <v/>
      </c>
      <c r="B562" s="1259"/>
      <c r="C562" s="1321" t="str">
        <f>IF(C$371="","",('VOC &amp; S Gases'!$Q202&amp;signum2('VOC &amp; S Gases'!R202,SigFig1,SigFig2,'VOC &amp; S Gases'!$Q202)))</f>
        <v/>
      </c>
      <c r="D562" s="1273" t="str">
        <f>IF(C$371="","",('VOC &amp; S Gases'!$Q202&amp;signum2('VOC &amp; S Gases'!S202,SigFig1,SigFig2,'VOC &amp; S Gases'!$Q202)))</f>
        <v/>
      </c>
      <c r="E562" s="1322" t="str">
        <f>IF(C$371="","",(IF(C562="","",LessThan('VOC &amp; S Gases'!$Q202,VND))&amp;SigNum3('VOC &amp; S Gases'!T202,SigFig1,SigFig2,'VOC &amp; S Gases'!$Q202)))</f>
        <v/>
      </c>
      <c r="F562" s="1321" t="str">
        <f>IF(F$371="","",('VOC &amp; S Gases'!$B202&amp;signum2('VOC &amp; S Gases'!H202,SigFig1,SigFig2,'VOC &amp; S Gases'!$B202)))</f>
        <v/>
      </c>
      <c r="G562" s="1273" t="str">
        <f>IF(F$371="","",('VOC &amp; S Gases'!$B202&amp;signum2('VOC &amp; S Gases'!J202,SigFig1,SigFig2,'VOC &amp; S Gases'!$B202)))</f>
        <v/>
      </c>
      <c r="H562" s="1322" t="str">
        <f>IF(F$371="","",(IF(F562="","",LessThan('VOC &amp; S Gases'!$B202,VND))&amp;SigNum3('VOC &amp; S Gases'!K202,SigFig1,SigFig2,'VOC &amp; S Gases'!$B202)))</f>
        <v/>
      </c>
      <c r="I562" s="1321" t="str">
        <f>IF(I$371="","",('VOC &amp; S Gases'!$E202&amp;signum2('VOC &amp; S Gases'!L202,SigFig1,SigFig2,'VOC &amp; S Gases'!$E202)))</f>
        <v/>
      </c>
      <c r="J562" s="1273" t="str">
        <f>IF(I$371="","",('VOC &amp; S Gases'!$E202&amp;signum2('VOC &amp; S Gases'!N202,SigFig1,SigFig2,'VOC &amp; S Gases'!$E202)))</f>
        <v/>
      </c>
      <c r="K562" s="1322" t="str">
        <f>IF(I$371="","",(IF(I562="","",LessThan('VOC &amp; S Gases'!$E202,VND))&amp;SigNum3('VOC &amp; S Gases'!O202,SigFig1,SigFig2,'VOC &amp; S Gases'!$E202)))</f>
        <v/>
      </c>
      <c r="L562" s="1321"/>
      <c r="M562" s="1322"/>
      <c r="N562" s="1272"/>
      <c r="O562" s="1319">
        <f t="shared" si="26"/>
        <v>0</v>
      </c>
      <c r="P562" s="1319">
        <f t="shared" si="27"/>
        <v>0</v>
      </c>
    </row>
    <row r="563" spans="1:28" hidden="1">
      <c r="A563" s="1267" t="str">
        <f>IF(AND('VOC &amp; S Gases'!C203="",'VOC &amp; S Gases'!F203=""),"",'VOC &amp; S Gases'!A203)</f>
        <v/>
      </c>
      <c r="B563" s="1259"/>
      <c r="C563" s="1321" t="str">
        <f>IF(C$371="","",('VOC &amp; S Gases'!$Q203&amp;signum2('VOC &amp; S Gases'!R203,SigFig1,SigFig2,'VOC &amp; S Gases'!$Q203)))</f>
        <v/>
      </c>
      <c r="D563" s="1273" t="str">
        <f>IF(C$371="","",('VOC &amp; S Gases'!$Q203&amp;signum2('VOC &amp; S Gases'!S203,SigFig1,SigFig2,'VOC &amp; S Gases'!$Q203)))</f>
        <v/>
      </c>
      <c r="E563" s="1322" t="str">
        <f>IF(C$371="","",(IF(C563="","",LessThan('VOC &amp; S Gases'!$Q203,VND))&amp;SigNum3('VOC &amp; S Gases'!T203,SigFig1,SigFig2,'VOC &amp; S Gases'!$Q203)))</f>
        <v/>
      </c>
      <c r="F563" s="1321" t="str">
        <f>IF(F$371="","",('VOC &amp; S Gases'!$B203&amp;signum2('VOC &amp; S Gases'!H203,SigFig1,SigFig2,'VOC &amp; S Gases'!$B203)))</f>
        <v/>
      </c>
      <c r="G563" s="1273" t="str">
        <f>IF(F$371="","",('VOC &amp; S Gases'!$B203&amp;signum2('VOC &amp; S Gases'!J203,SigFig1,SigFig2,'VOC &amp; S Gases'!$B203)))</f>
        <v/>
      </c>
      <c r="H563" s="1322" t="str">
        <f>IF(F$371="","",(IF(F563="","",LessThan('VOC &amp; S Gases'!$B203,VND))&amp;SigNum3('VOC &amp; S Gases'!K203,SigFig1,SigFig2,'VOC &amp; S Gases'!$B203)))</f>
        <v/>
      </c>
      <c r="I563" s="1321" t="str">
        <f>IF(I$371="","",('VOC &amp; S Gases'!$E203&amp;signum2('VOC &amp; S Gases'!L203,SigFig1,SigFig2,'VOC &amp; S Gases'!$E203)))</f>
        <v/>
      </c>
      <c r="J563" s="1273" t="str">
        <f>IF(I$371="","",('VOC &amp; S Gases'!$E203&amp;signum2('VOC &amp; S Gases'!N203,SigFig1,SigFig2,'VOC &amp; S Gases'!$E203)))</f>
        <v/>
      </c>
      <c r="K563" s="1322" t="str">
        <f>IF(I$371="","",(IF(I563="","",LessThan('VOC &amp; S Gases'!$E203,VND))&amp;SigNum3('VOC &amp; S Gases'!O203,SigFig1,SigFig2,'VOC &amp; S Gases'!$E203)))</f>
        <v/>
      </c>
      <c r="L563" s="1321"/>
      <c r="M563" s="1322"/>
      <c r="N563" s="1272"/>
      <c r="O563" s="1319">
        <f t="shared" si="26"/>
        <v>0</v>
      </c>
      <c r="P563" s="1319">
        <f t="shared" si="27"/>
        <v>0</v>
      </c>
    </row>
    <row r="564" spans="1:28" hidden="1">
      <c r="A564" s="1267" t="str">
        <f>IF(AND('VOC &amp; S Gases'!C204="",'VOC &amp; S Gases'!F204=""),"",'VOC &amp; S Gases'!A204)</f>
        <v/>
      </c>
      <c r="B564" s="1259"/>
      <c r="C564" s="1321" t="str">
        <f>IF(C$371="","",('VOC &amp; S Gases'!$Q204&amp;signum2('VOC &amp; S Gases'!R204,SigFig1,SigFig2,'VOC &amp; S Gases'!$Q204)))</f>
        <v/>
      </c>
      <c r="D564" s="1273" t="str">
        <f>IF(C$371="","",('VOC &amp; S Gases'!$Q204&amp;signum2('VOC &amp; S Gases'!S204,SigFig1,SigFig2,'VOC &amp; S Gases'!$Q204)))</f>
        <v/>
      </c>
      <c r="E564" s="1322" t="str">
        <f>IF(C$371="","",(IF(C564="","",LessThan('VOC &amp; S Gases'!$Q204,VND))&amp;SigNum3('VOC &amp; S Gases'!T204,SigFig1,SigFig2,'VOC &amp; S Gases'!$Q204)))</f>
        <v/>
      </c>
      <c r="F564" s="1321" t="str">
        <f>IF(F$371="","",('VOC &amp; S Gases'!$B204&amp;signum2('VOC &amp; S Gases'!H204,SigFig1,SigFig2,'VOC &amp; S Gases'!$B204)))</f>
        <v/>
      </c>
      <c r="G564" s="1273" t="str">
        <f>IF(F$371="","",('VOC &amp; S Gases'!$B204&amp;signum2('VOC &amp; S Gases'!J204,SigFig1,SigFig2,'VOC &amp; S Gases'!$B204)))</f>
        <v/>
      </c>
      <c r="H564" s="1322" t="str">
        <f>IF(F$371="","",(IF(F564="","",LessThan('VOC &amp; S Gases'!$B204,VND))&amp;SigNum3('VOC &amp; S Gases'!K204,SigFig1,SigFig2,'VOC &amp; S Gases'!$B204)))</f>
        <v/>
      </c>
      <c r="I564" s="1321" t="str">
        <f>IF(I$371="","",('VOC &amp; S Gases'!$E204&amp;signum2('VOC &amp; S Gases'!L204,SigFig1,SigFig2,'VOC &amp; S Gases'!$E204)))</f>
        <v/>
      </c>
      <c r="J564" s="1273" t="str">
        <f>IF(I$371="","",('VOC &amp; S Gases'!$E204&amp;signum2('VOC &amp; S Gases'!N204,SigFig1,SigFig2,'VOC &amp; S Gases'!$E204)))</f>
        <v/>
      </c>
      <c r="K564" s="1322" t="str">
        <f>IF(I$371="","",(IF(I564="","",LessThan('VOC &amp; S Gases'!$E204,VND))&amp;SigNum3('VOC &amp; S Gases'!O204,SigFig1,SigFig2,'VOC &amp; S Gases'!$E204)))</f>
        <v/>
      </c>
      <c r="L564" s="1321"/>
      <c r="M564" s="1322"/>
      <c r="N564" s="1272"/>
      <c r="O564" s="1319">
        <f t="shared" si="26"/>
        <v>0</v>
      </c>
      <c r="P564" s="1319">
        <f t="shared" si="27"/>
        <v>0</v>
      </c>
    </row>
    <row r="565" spans="1:28" hidden="1">
      <c r="A565" s="1267" t="str">
        <f>IF(AND('VOC &amp; S Gases'!C205="",'VOC &amp; S Gases'!F205=""),"",'VOC &amp; S Gases'!A205)</f>
        <v/>
      </c>
      <c r="B565" s="1259"/>
      <c r="C565" s="1321" t="str">
        <f>IF(C$371="","",('VOC &amp; S Gases'!$Q205&amp;signum2('VOC &amp; S Gases'!R205,SigFig1,SigFig2,'VOC &amp; S Gases'!$Q205)))</f>
        <v/>
      </c>
      <c r="D565" s="1273" t="str">
        <f>IF(C$371="","",('VOC &amp; S Gases'!$Q205&amp;signum2('VOC &amp; S Gases'!S205,SigFig1,SigFig2,'VOC &amp; S Gases'!$Q205)))</f>
        <v/>
      </c>
      <c r="E565" s="1322" t="str">
        <f>IF(C$371="","",(IF(C565="","",LessThan('VOC &amp; S Gases'!$Q205,VND))&amp;SigNum3('VOC &amp; S Gases'!T205,SigFig1,SigFig2,'VOC &amp; S Gases'!$Q205)))</f>
        <v/>
      </c>
      <c r="F565" s="1321" t="str">
        <f>IF(F$371="","",('VOC &amp; S Gases'!$B205&amp;signum2('VOC &amp; S Gases'!H205,SigFig1,SigFig2,'VOC &amp; S Gases'!$B205)))</f>
        <v/>
      </c>
      <c r="G565" s="1273" t="str">
        <f>IF(F$371="","",('VOC &amp; S Gases'!$B205&amp;signum2('VOC &amp; S Gases'!J205,SigFig1,SigFig2,'VOC &amp; S Gases'!$B205)))</f>
        <v/>
      </c>
      <c r="H565" s="1322" t="str">
        <f>IF(F$371="","",(IF(F565="","",LessThan('VOC &amp; S Gases'!$B205,VND))&amp;SigNum3('VOC &amp; S Gases'!K205,SigFig1,SigFig2,'VOC &amp; S Gases'!$B205)))</f>
        <v/>
      </c>
      <c r="I565" s="1321" t="str">
        <f>IF(I$371="","",('VOC &amp; S Gases'!$E205&amp;signum2('VOC &amp; S Gases'!L205,SigFig1,SigFig2,'VOC &amp; S Gases'!$E205)))</f>
        <v/>
      </c>
      <c r="J565" s="1273" t="str">
        <f>IF(I$371="","",('VOC &amp; S Gases'!$E205&amp;signum2('VOC &amp; S Gases'!N205,SigFig1,SigFig2,'VOC &amp; S Gases'!$E205)))</f>
        <v/>
      </c>
      <c r="K565" s="1322" t="str">
        <f>IF(I$371="","",(IF(I565="","",LessThan('VOC &amp; S Gases'!$E205,VND))&amp;SigNum3('VOC &amp; S Gases'!O205,SigFig1,SigFig2,'VOC &amp; S Gases'!$E205)))</f>
        <v/>
      </c>
      <c r="L565" s="1321"/>
      <c r="M565" s="1322"/>
      <c r="N565" s="1272"/>
      <c r="O565" s="1319">
        <f t="shared" si="26"/>
        <v>0</v>
      </c>
      <c r="P565" s="1319">
        <f t="shared" si="27"/>
        <v>0</v>
      </c>
    </row>
    <row r="566" spans="1:28" hidden="1">
      <c r="A566" s="1267" t="str">
        <f>IF(AND('VOC &amp; S Gases'!C206="",'VOC &amp; S Gases'!F206=""),"",'VOC &amp; S Gases'!A206)</f>
        <v/>
      </c>
      <c r="B566" s="1259"/>
      <c r="C566" s="1321" t="str">
        <f>IF(C$371="","",('VOC &amp; S Gases'!$Q206&amp;signum2('VOC &amp; S Gases'!R206,SigFig1,SigFig2,'VOC &amp; S Gases'!$Q206)))</f>
        <v/>
      </c>
      <c r="D566" s="1273" t="str">
        <f>IF(C$371="","",('VOC &amp; S Gases'!$Q206&amp;signum2('VOC &amp; S Gases'!S206,SigFig1,SigFig2,'VOC &amp; S Gases'!$Q206)))</f>
        <v/>
      </c>
      <c r="E566" s="1322" t="str">
        <f>IF(C$371="","",(IF(C566="","",LessThan('VOC &amp; S Gases'!$Q206,VND))&amp;SigNum3('VOC &amp; S Gases'!T206,SigFig1,SigFig2,'VOC &amp; S Gases'!$Q206)))</f>
        <v/>
      </c>
      <c r="F566" s="1321" t="str">
        <f>IF(F$371="","",('VOC &amp; S Gases'!$B206&amp;signum2('VOC &amp; S Gases'!H206,SigFig1,SigFig2,'VOC &amp; S Gases'!$B206)))</f>
        <v/>
      </c>
      <c r="G566" s="1273" t="str">
        <f>IF(F$371="","",('VOC &amp; S Gases'!$B206&amp;signum2('VOC &amp; S Gases'!J206,SigFig1,SigFig2,'VOC &amp; S Gases'!$B206)))</f>
        <v/>
      </c>
      <c r="H566" s="1322" t="str">
        <f>IF(F$371="","",(IF(F566="","",LessThan('VOC &amp; S Gases'!$B206,VND))&amp;SigNum3('VOC &amp; S Gases'!K206,SigFig1,SigFig2,'VOC &amp; S Gases'!$B206)))</f>
        <v/>
      </c>
      <c r="I566" s="1321" t="str">
        <f>IF(I$371="","",('VOC &amp; S Gases'!$E206&amp;signum2('VOC &amp; S Gases'!L206,SigFig1,SigFig2,'VOC &amp; S Gases'!$E206)))</f>
        <v/>
      </c>
      <c r="J566" s="1273" t="str">
        <f>IF(I$371="","",('VOC &amp; S Gases'!$E206&amp;signum2('VOC &amp; S Gases'!N206,SigFig1,SigFig2,'VOC &amp; S Gases'!$E206)))</f>
        <v/>
      </c>
      <c r="K566" s="1322" t="str">
        <f>IF(I$371="","",(IF(I566="","",LessThan('VOC &amp; S Gases'!$E206,VND))&amp;SigNum3('VOC &amp; S Gases'!O206,SigFig1,SigFig2,'VOC &amp; S Gases'!$E206)))</f>
        <v/>
      </c>
      <c r="L566" s="1321"/>
      <c r="M566" s="1322"/>
      <c r="N566" s="1272"/>
      <c r="O566" s="1319">
        <f t="shared" si="26"/>
        <v>0</v>
      </c>
      <c r="P566" s="1319">
        <f t="shared" si="27"/>
        <v>0</v>
      </c>
    </row>
    <row r="567" spans="1:28" hidden="1">
      <c r="A567" s="1267" t="str">
        <f>IF(AND('VOC &amp; S Gases'!C207="",'VOC &amp; S Gases'!F207=""),"",'VOC &amp; S Gases'!A207)</f>
        <v/>
      </c>
      <c r="B567" s="1259"/>
      <c r="C567" s="1321" t="str">
        <f>IF(C$371="","",('VOC &amp; S Gases'!$Q207&amp;signum2('VOC &amp; S Gases'!R207,SigFig1,SigFig2,'VOC &amp; S Gases'!$Q207)))</f>
        <v/>
      </c>
      <c r="D567" s="1273" t="str">
        <f>IF(C$371="","",('VOC &amp; S Gases'!$Q207&amp;signum2('VOC &amp; S Gases'!S207,SigFig1,SigFig2,'VOC &amp; S Gases'!$Q207)))</f>
        <v/>
      </c>
      <c r="E567" s="1322" t="str">
        <f>IF(C$371="","",(IF(C567="","",LessThan('VOC &amp; S Gases'!$Q207,VND))&amp;SigNum3('VOC &amp; S Gases'!T207,SigFig1,SigFig2,'VOC &amp; S Gases'!$Q207)))</f>
        <v/>
      </c>
      <c r="F567" s="1321" t="str">
        <f>IF(F$371="","",('VOC &amp; S Gases'!$B207&amp;signum2('VOC &amp; S Gases'!H207,SigFig1,SigFig2,'VOC &amp; S Gases'!$B207)))</f>
        <v/>
      </c>
      <c r="G567" s="1273" t="str">
        <f>IF(F$371="","",('VOC &amp; S Gases'!$B207&amp;signum2('VOC &amp; S Gases'!J207,SigFig1,SigFig2,'VOC &amp; S Gases'!$B207)))</f>
        <v/>
      </c>
      <c r="H567" s="1322" t="str">
        <f>IF(F$371="","",(IF(F567="","",LessThan('VOC &amp; S Gases'!$B207,VND))&amp;SigNum3('VOC &amp; S Gases'!K207,SigFig1,SigFig2,'VOC &amp; S Gases'!$B207)))</f>
        <v/>
      </c>
      <c r="I567" s="1321" t="str">
        <f>IF(I$371="","",('VOC &amp; S Gases'!$E207&amp;signum2('VOC &amp; S Gases'!L207,SigFig1,SigFig2,'VOC &amp; S Gases'!$E207)))</f>
        <v/>
      </c>
      <c r="J567" s="1273" t="str">
        <f>IF(I$371="","",('VOC &amp; S Gases'!$E207&amp;signum2('VOC &amp; S Gases'!N207,SigFig1,SigFig2,'VOC &amp; S Gases'!$E207)))</f>
        <v/>
      </c>
      <c r="K567" s="1322" t="str">
        <f>IF(I$371="","",(IF(I567="","",LessThan('VOC &amp; S Gases'!$E207,VND))&amp;SigNum3('VOC &amp; S Gases'!O207,SigFig1,SigFig2,'VOC &amp; S Gases'!$E207)))</f>
        <v/>
      </c>
      <c r="L567" s="1321"/>
      <c r="M567" s="1322"/>
      <c r="N567" s="1272"/>
      <c r="O567" s="1319">
        <f t="shared" si="26"/>
        <v>0</v>
      </c>
      <c r="P567" s="1319">
        <f t="shared" si="27"/>
        <v>0</v>
      </c>
    </row>
    <row r="568" spans="1:28" hidden="1">
      <c r="A568" s="1267" t="str">
        <f>IF(AND('VOC &amp; S Gases'!C208="",'VOC &amp; S Gases'!F208=""),"",'VOC &amp; S Gases'!A208)</f>
        <v/>
      </c>
      <c r="B568" s="1259"/>
      <c r="C568" s="1321" t="str">
        <f>IF(C$371="","",('VOC &amp; S Gases'!$Q208&amp;signum2('VOC &amp; S Gases'!R208,SigFig1,SigFig2,'VOC &amp; S Gases'!$Q208)))</f>
        <v/>
      </c>
      <c r="D568" s="1273" t="str">
        <f>IF(C$371="","",('VOC &amp; S Gases'!$Q208&amp;signum2('VOC &amp; S Gases'!S208,SigFig1,SigFig2,'VOC &amp; S Gases'!$Q208)))</f>
        <v/>
      </c>
      <c r="E568" s="1322" t="str">
        <f>IF(C$371="","",(IF(C568="","",LessThan('VOC &amp; S Gases'!$Q208,VND))&amp;SigNum3('VOC &amp; S Gases'!T208,SigFig1,SigFig2,'VOC &amp; S Gases'!$Q208)))</f>
        <v/>
      </c>
      <c r="F568" s="1321" t="str">
        <f>IF(F$371="","",('VOC &amp; S Gases'!$B208&amp;signum2('VOC &amp; S Gases'!H208,SigFig1,SigFig2,'VOC &amp; S Gases'!$B208)))</f>
        <v/>
      </c>
      <c r="G568" s="1273" t="str">
        <f>IF(F$371="","",('VOC &amp; S Gases'!$B208&amp;signum2('VOC &amp; S Gases'!J208,SigFig1,SigFig2,'VOC &amp; S Gases'!$B208)))</f>
        <v/>
      </c>
      <c r="H568" s="1322" t="str">
        <f>IF(F$371="","",(IF(F568="","",LessThan('VOC &amp; S Gases'!$B208,VND))&amp;SigNum3('VOC &amp; S Gases'!K208,SigFig1,SigFig2,'VOC &amp; S Gases'!$B208)))</f>
        <v/>
      </c>
      <c r="I568" s="1321" t="str">
        <f>IF(I$371="","",('VOC &amp; S Gases'!$E208&amp;signum2('VOC &amp; S Gases'!L208,SigFig1,SigFig2,'VOC &amp; S Gases'!$E208)))</f>
        <v/>
      </c>
      <c r="J568" s="1273" t="str">
        <f>IF(I$371="","",('VOC &amp; S Gases'!$E208&amp;signum2('VOC &amp; S Gases'!N208,SigFig1,SigFig2,'VOC &amp; S Gases'!$E208)))</f>
        <v/>
      </c>
      <c r="K568" s="1322" t="str">
        <f>IF(I$371="","",(IF(I568="","",LessThan('VOC &amp; S Gases'!$E208,VND))&amp;SigNum3('VOC &amp; S Gases'!O208,SigFig1,SigFig2,'VOC &amp; S Gases'!$E208)))</f>
        <v/>
      </c>
      <c r="L568" s="1321"/>
      <c r="M568" s="1322"/>
      <c r="N568" s="1272"/>
      <c r="O568" s="1319">
        <f t="shared" si="26"/>
        <v>0</v>
      </c>
      <c r="P568" s="1319">
        <f t="shared" si="27"/>
        <v>0</v>
      </c>
    </row>
    <row r="569" spans="1:28" hidden="1">
      <c r="A569" s="1267" t="str">
        <f>IF(AND('VOC &amp; S Gases'!C209="",'VOC &amp; S Gases'!F209=""),"",'VOC &amp; S Gases'!A209)</f>
        <v/>
      </c>
      <c r="B569" s="1259"/>
      <c r="C569" s="1321" t="str">
        <f>IF(C$371="","",('VOC &amp; S Gases'!$Q209&amp;signum2('VOC &amp; S Gases'!R209,SigFig1,SigFig2,'VOC &amp; S Gases'!$Q209)))</f>
        <v/>
      </c>
      <c r="D569" s="1273" t="str">
        <f>IF(C$371="","",('VOC &amp; S Gases'!$Q209&amp;signum2('VOC &amp; S Gases'!S209,SigFig1,SigFig2,'VOC &amp; S Gases'!$Q209)))</f>
        <v/>
      </c>
      <c r="E569" s="1322" t="str">
        <f>IF(C$371="","",(IF(C569="","",LessThan('VOC &amp; S Gases'!$Q209,VND))&amp;SigNum3('VOC &amp; S Gases'!T209,SigFig1,SigFig2,'VOC &amp; S Gases'!$Q209)))</f>
        <v/>
      </c>
      <c r="F569" s="1321" t="str">
        <f>IF(F$371="","",('VOC &amp; S Gases'!$B209&amp;signum2('VOC &amp; S Gases'!H209,SigFig1,SigFig2,'VOC &amp; S Gases'!$B209)))</f>
        <v/>
      </c>
      <c r="G569" s="1273" t="str">
        <f>IF(F$371="","",('VOC &amp; S Gases'!$B209&amp;signum2('VOC &amp; S Gases'!J209,SigFig1,SigFig2,'VOC &amp; S Gases'!$B209)))</f>
        <v/>
      </c>
      <c r="H569" s="1322" t="str">
        <f>IF(F$371="","",(IF(F569="","",LessThan('VOC &amp; S Gases'!$B209,VND))&amp;SigNum3('VOC &amp; S Gases'!K209,SigFig1,SigFig2,'VOC &amp; S Gases'!$B209)))</f>
        <v/>
      </c>
      <c r="I569" s="1321" t="str">
        <f>IF(I$371="","",('VOC &amp; S Gases'!$E209&amp;signum2('VOC &amp; S Gases'!L209,SigFig1,SigFig2,'VOC &amp; S Gases'!$E209)))</f>
        <v/>
      </c>
      <c r="J569" s="1273" t="str">
        <f>IF(I$371="","",('VOC &amp; S Gases'!$E209&amp;signum2('VOC &amp; S Gases'!N209,SigFig1,SigFig2,'VOC &amp; S Gases'!$E209)))</f>
        <v/>
      </c>
      <c r="K569" s="1322" t="str">
        <f>IF(I$371="","",(IF(I569="","",LessThan('VOC &amp; S Gases'!$E209,VND))&amp;SigNum3('VOC &amp; S Gases'!O209,SigFig1,SigFig2,'VOC &amp; S Gases'!$E209)))</f>
        <v/>
      </c>
      <c r="L569" s="1321"/>
      <c r="M569" s="1322"/>
      <c r="N569" s="1272"/>
      <c r="O569" s="1319">
        <f t="shared" si="26"/>
        <v>0</v>
      </c>
      <c r="P569" s="1319">
        <f t="shared" si="27"/>
        <v>0</v>
      </c>
    </row>
    <row r="570" spans="1:28" hidden="1">
      <c r="A570" s="1267" t="str">
        <f>IF(AND('VOC &amp; S Gases'!C210="",'VOC &amp; S Gases'!F210=""),"",'VOC &amp; S Gases'!A210)</f>
        <v/>
      </c>
      <c r="B570" s="1259"/>
      <c r="C570" s="1321" t="str">
        <f>IF(C$371="","",('VOC &amp; S Gases'!$Q210&amp;signum2('VOC &amp; S Gases'!R210,SigFig1,SigFig2,'VOC &amp; S Gases'!$Q210)))</f>
        <v/>
      </c>
      <c r="D570" s="1273" t="str">
        <f>IF(C$371="","",('VOC &amp; S Gases'!$Q210&amp;signum2('VOC &amp; S Gases'!S210,SigFig1,SigFig2,'VOC &amp; S Gases'!$Q210)))</f>
        <v/>
      </c>
      <c r="E570" s="1322" t="str">
        <f>IF(C$371="","",(IF(C570="","",LessThan('VOC &amp; S Gases'!$Q210,VND))&amp;SigNum3('VOC &amp; S Gases'!T210,SigFig1,SigFig2,'VOC &amp; S Gases'!$Q210)))</f>
        <v/>
      </c>
      <c r="F570" s="1321" t="str">
        <f>IF(F$371="","",('VOC &amp; S Gases'!$B210&amp;signum2('VOC &amp; S Gases'!H210,SigFig1,SigFig2,'VOC &amp; S Gases'!$B210)))</f>
        <v/>
      </c>
      <c r="G570" s="1273" t="str">
        <f>IF(F$371="","",('VOC &amp; S Gases'!$B210&amp;signum2('VOC &amp; S Gases'!J210,SigFig1,SigFig2,'VOC &amp; S Gases'!$B210)))</f>
        <v/>
      </c>
      <c r="H570" s="1322" t="str">
        <f>IF(F$371="","",(IF(F570="","",LessThan('VOC &amp; S Gases'!$B210,VND))&amp;SigNum3('VOC &amp; S Gases'!K210,SigFig1,SigFig2,'VOC &amp; S Gases'!$B210)))</f>
        <v/>
      </c>
      <c r="I570" s="1321" t="str">
        <f>IF(I$371="","",('VOC &amp; S Gases'!$E210&amp;signum2('VOC &amp; S Gases'!L210,SigFig1,SigFig2,'VOC &amp; S Gases'!$E210)))</f>
        <v/>
      </c>
      <c r="J570" s="1273" t="str">
        <f>IF(I$371="","",('VOC &amp; S Gases'!$E210&amp;signum2('VOC &amp; S Gases'!N210,SigFig1,SigFig2,'VOC &amp; S Gases'!$E210)))</f>
        <v/>
      </c>
      <c r="K570" s="1322" t="str">
        <f>IF(I$371="","",(IF(I570="","",LessThan('VOC &amp; S Gases'!$E210,VND))&amp;SigNum3('VOC &amp; S Gases'!O210,SigFig1,SigFig2,'VOC &amp; S Gases'!$E210)))</f>
        <v/>
      </c>
      <c r="L570" s="1321"/>
      <c r="M570" s="1322"/>
      <c r="N570" s="1272"/>
      <c r="O570" s="1319">
        <f t="shared" si="26"/>
        <v>0</v>
      </c>
      <c r="P570" s="1319">
        <f t="shared" si="27"/>
        <v>0</v>
      </c>
    </row>
    <row r="571" spans="1:28" hidden="1">
      <c r="A571" s="1309" t="str">
        <f>IF(AND('VOC &amp; S Gases'!C211="",'VOC &amp; S Gases'!F211=""),"",'VOC &amp; S Gases'!A211)</f>
        <v/>
      </c>
      <c r="B571" s="1261"/>
      <c r="C571" s="1350" t="str">
        <f>IF(C$371="","",('VOC &amp; S Gases'!$Q211&amp;signum2('VOC &amp; S Gases'!R211,SigFig1,SigFig2,'VOC &amp; S Gases'!$Q211)))</f>
        <v/>
      </c>
      <c r="D571" s="1275" t="str">
        <f>IF(C$371="","",('VOC &amp; S Gases'!$Q211&amp;signum2('VOC &amp; S Gases'!S211,SigFig1,SigFig2,'VOC &amp; S Gases'!$Q211)))</f>
        <v/>
      </c>
      <c r="E571" s="1337" t="str">
        <f>IF(C$371="","",(IF(C571="","",LessThan('VOC &amp; S Gases'!$Q211,VND))&amp;SigNum3('VOC &amp; S Gases'!T211,SigFig1,SigFig2,'VOC &amp; S Gases'!$Q211)))</f>
        <v/>
      </c>
      <c r="F571" s="1350" t="str">
        <f>IF(F$371="","",('VOC &amp; S Gases'!$B211&amp;signum2('VOC &amp; S Gases'!H211,SigFig1,SigFig2,'VOC &amp; S Gases'!$B211)))</f>
        <v/>
      </c>
      <c r="G571" s="1275" t="str">
        <f>IF(F$371="","",('VOC &amp; S Gases'!$B211&amp;signum2('VOC &amp; S Gases'!J211,SigFig1,SigFig2,'VOC &amp; S Gases'!$B211)))</f>
        <v/>
      </c>
      <c r="H571" s="1337" t="str">
        <f>IF(F$371="","",(IF(F571="","",LessThan('VOC &amp; S Gases'!$B211,VND))&amp;SigNum3('VOC &amp; S Gases'!K211,SigFig1,SigFig2,'VOC &amp; S Gases'!$B211)))</f>
        <v/>
      </c>
      <c r="I571" s="1350" t="str">
        <f>IF(I$371="","",('VOC &amp; S Gases'!$E211&amp;signum2('VOC &amp; S Gases'!L211,SigFig1,SigFig2,'VOC &amp; S Gases'!$E211)))</f>
        <v/>
      </c>
      <c r="J571" s="1275" t="str">
        <f>IF(I$371="","",('VOC &amp; S Gases'!$E211&amp;signum2('VOC &amp; S Gases'!N211,SigFig1,SigFig2,'VOC &amp; S Gases'!$E211)))</f>
        <v/>
      </c>
      <c r="K571" s="1337" t="str">
        <f>IF(I$371="","",(IF(I571="","",LessThan('VOC &amp; S Gases'!$E211,VND))&amp;SigNum3('VOC &amp; S Gases'!O211,SigFig1,SigFig2,'VOC &amp; S Gases'!$E211)))</f>
        <v/>
      </c>
      <c r="L571" s="1321"/>
      <c r="M571" s="1322"/>
      <c r="N571" s="1272"/>
      <c r="O571" s="1319">
        <f t="shared" si="26"/>
        <v>0</v>
      </c>
      <c r="P571" s="1319">
        <f t="shared" si="27"/>
        <v>0</v>
      </c>
    </row>
    <row r="572" spans="1:28" hidden="1">
      <c r="A572" s="1371" t="s">
        <v>41</v>
      </c>
      <c r="B572" s="1371" t="s">
        <v>41</v>
      </c>
      <c r="C572" s="1371" t="s">
        <v>41</v>
      </c>
      <c r="D572" s="1371" t="s">
        <v>41</v>
      </c>
      <c r="E572" s="1371" t="s">
        <v>41</v>
      </c>
      <c r="F572" s="1371" t="s">
        <v>41</v>
      </c>
      <c r="G572" s="1371" t="s">
        <v>41</v>
      </c>
      <c r="H572" s="1371" t="s">
        <v>41</v>
      </c>
      <c r="I572" s="1371" t="s">
        <v>41</v>
      </c>
      <c r="J572" s="1371" t="s">
        <v>41</v>
      </c>
      <c r="K572" s="1371" t="s">
        <v>41</v>
      </c>
      <c r="L572" s="1325" t="s">
        <v>41</v>
      </c>
      <c r="M572" s="1325" t="s">
        <v>41</v>
      </c>
      <c r="N572" s="1272"/>
      <c r="P572" s="1378" t="s">
        <v>1618</v>
      </c>
    </row>
    <row r="573" spans="1:28" s="1311" customFormat="1" ht="12.75" hidden="1" customHeight="1">
      <c r="A573" s="1310" t="s">
        <v>420</v>
      </c>
      <c r="B573" s="1310"/>
      <c r="C573" s="1310"/>
      <c r="D573" s="1310"/>
      <c r="E573" s="1310"/>
      <c r="F573" s="1310"/>
      <c r="G573" s="1310"/>
      <c r="H573" s="1310"/>
      <c r="I573" s="1310"/>
      <c r="J573" s="1310"/>
      <c r="K573" s="1310"/>
      <c r="L573" s="1310"/>
      <c r="M573" s="1310"/>
      <c r="P573" s="2517" t="str">
        <f>CONCATENATE('Compound Lists'!M24,'Compound Lists'!M25,'Compound Lists'!M26,'Compound Lists'!M27,'Compound Lists'!M28,'Compound Lists'!M29,'Compound Lists'!M30,'Compound Lists'!M31,'Compound Lists'!M32,'Compound Lists'!M33,'Compound Lists'!M34,'Compound Lists'!M35,'Compound Lists'!M36,'Compound Lists'!M37,'Compound Lists'!M38,'Compound Lists'!M39,'Compound Lists'!M40)</f>
        <v>Ethanol, Isopropanol, Isobutanol, Butanol, 1-Methoxy-2-propanol, Cyclohexanol, 2-Butoxyethanol</v>
      </c>
      <c r="Q573" s="2517"/>
      <c r="R573" s="2517"/>
      <c r="S573" s="2517"/>
      <c r="T573" s="2517"/>
      <c r="U573" s="2517"/>
      <c r="V573" s="2517"/>
      <c r="W573" s="2517"/>
      <c r="X573" s="2517"/>
      <c r="Y573" s="2517"/>
      <c r="Z573" s="2517"/>
      <c r="AA573" s="2517"/>
      <c r="AB573" s="2517"/>
    </row>
    <row r="574" spans="1:28" s="1311" customFormat="1" ht="9" hidden="1" customHeight="1">
      <c r="A574" s="2555" t="str">
        <f>CONCATENATE(VOCstd1,", ",VOCstd2,", ",VOCstd3,", ",VOCstd4,", ",VOCstd5,", ",VOCstd6)</f>
        <v>Ethanol, Isopropanol, Isobutanol, Butanol, 1-Methoxy-2-propanol, Cyclohexanol, 2-Butoxyethanol, Pentane, Hexane, Heptane, Octane, Nonane, Decane, Undecane, Dodecane, Tridecane, Tetradecane, Cyclohexane, 2-Methylhexane, 2,3-Dimethylpentane, 3-Methylhexane, Isooctane, Methylcyclohexane, alpha-Pinene, beta-Pinene, d-Limonene, 3-Carene, Acetone, Methyl ethyl ketone, Ethyl acetate, Isopropyl acetate, Propyl acetate, MIBK, 2-Hexanone, Butyl acetate, 1-Methoxy-2-propyl acetate, Cyclohexanone, Cellosolve acetate, 2-Butoxyethyl acetate, Ethyldiglycol acetate, Diacetone alcohol, Isophorone, Benzene, Toluene, Ethylbenzene, m+p-Xylene, Styrene, o-Xylene, Isopropylbenzene, Propylbenzene, 1,3,5-Trimethylbenzene, alpha-Methylstyrene, tert-Butylbenzene, 1,2,4-Trimethylbenzene, 1,2,3-Trimethylbenzene, m-Diethylbenzene, o-Diethylbenzene, p-Diethylbenzene, Dichloromethane, Chloroform, 1,1,1-Trichloroethane, 1,2-Dichloroethane, Carbon tetrachloride, 1,1-Dichloroethene, cis-1,2-Dichloroethene, trans-1,2-Dichloroethene, Trichloroethene, Tetrachloroethene, 1,1,2-Trichloroethane, 1,1,2,2-Tetrachloroethane, Chlorobenzene, Fluorobenzene</v>
      </c>
      <c r="B574" s="2555"/>
      <c r="C574" s="2555"/>
      <c r="D574" s="2555"/>
      <c r="E574" s="2555"/>
      <c r="F574" s="2555"/>
      <c r="G574" s="2555"/>
      <c r="H574" s="2555"/>
      <c r="I574" s="2555"/>
      <c r="J574" s="2555"/>
      <c r="K574" s="2555"/>
      <c r="P574" s="2517" t="str">
        <f>CONCATENATE('Compound Lists'!N24,'Compound Lists'!N25,'Compound Lists'!N26,'Compound Lists'!N27,'Compound Lists'!N28,'Compound Lists'!N29,'Compound Lists'!N30,'Compound Lists'!N31,'Compound Lists'!N32,'Compound Lists'!N33,'Compound Lists'!N34,'Compound Lists'!N35,'Compound Lists'!N36,'Compound Lists'!N37,'Compound Lists'!N38,'Compound Lists'!N39,'Compound Lists'!N40,'Compound Lists'!N41)</f>
        <v>Pentane, Hexane, Heptane, Octane, Nonane, Decane, Undecane, Dodecane, Tridecane, Tetradecane</v>
      </c>
      <c r="Q574" s="2517"/>
      <c r="R574" s="2517"/>
      <c r="S574" s="2517"/>
      <c r="T574" s="2517"/>
      <c r="U574" s="2517"/>
      <c r="V574" s="2517"/>
      <c r="W574" s="2517"/>
      <c r="X574" s="2517"/>
      <c r="Y574" s="2517"/>
      <c r="Z574" s="2517"/>
      <c r="AA574" s="2517"/>
      <c r="AB574" s="2517"/>
    </row>
    <row r="575" spans="1:28" s="1311" customFormat="1" ht="9" hidden="1" customHeight="1">
      <c r="A575" s="2555"/>
      <c r="B575" s="2555"/>
      <c r="C575" s="2555"/>
      <c r="D575" s="2555"/>
      <c r="E575" s="2555"/>
      <c r="F575" s="2555"/>
      <c r="G575" s="2555"/>
      <c r="H575" s="2555"/>
      <c r="I575" s="2555"/>
      <c r="J575" s="2555"/>
      <c r="K575" s="2555"/>
      <c r="P575" s="2517" t="str">
        <f>CONCATENATE('Compound Lists'!O24,'Compound Lists'!O25,'Compound Lists'!O26,'Compound Lists'!O27,'Compound Lists'!O28,'Compound Lists'!O29,'Compound Lists'!O30,'Compound Lists'!O31,'Compound Lists'!O32,'Compound Lists'!O33,'Compound Lists'!O34,'Compound Lists'!O35,'Compound Lists'!O36,'Compound Lists'!O37,'Compound Lists'!O38,'Compound Lists'!O39,'Compound Lists'!O40,'Compound Lists'!O41)</f>
        <v>Cyclohexane, 2-Methylhexane, 2,3-Dimethylpentane, 3-Methylhexane, Isooctane, Methylcyclohexane, alpha-Pinene, beta-Pinene, d-Limonene, 3-Carene</v>
      </c>
      <c r="Q575" s="2517"/>
      <c r="R575" s="2517"/>
      <c r="S575" s="2517"/>
      <c r="T575" s="2517"/>
      <c r="U575" s="2517"/>
      <c r="V575" s="2517"/>
      <c r="W575" s="2517"/>
      <c r="X575" s="2517"/>
      <c r="Y575" s="2517"/>
      <c r="Z575" s="2517"/>
      <c r="AA575" s="2517"/>
      <c r="AB575" s="2517"/>
    </row>
    <row r="576" spans="1:28" s="1311" customFormat="1" ht="18" hidden="1" customHeight="1">
      <c r="A576" s="2555"/>
      <c r="B576" s="2555"/>
      <c r="C576" s="2555"/>
      <c r="D576" s="2555"/>
      <c r="E576" s="2555"/>
      <c r="F576" s="2555"/>
      <c r="G576" s="2555"/>
      <c r="H576" s="2555"/>
      <c r="I576" s="2555"/>
      <c r="J576" s="2555"/>
      <c r="K576" s="2555"/>
      <c r="P576" s="2517" t="str">
        <f>CONCATENATE('Compound Lists'!P24,'Compound Lists'!P25,'Compound Lists'!P26,'Compound Lists'!P27,'Compound Lists'!P28,'Compound Lists'!P29,'Compound Lists'!P30,'Compound Lists'!P31,'Compound Lists'!P32,'Compound Lists'!P33,'Compound Lists'!P34,'Compound Lists'!P35,'Compound Lists'!P36,'Compound Lists'!P37,'Compound Lists'!P38,'Compound Lists'!P39,'Compound Lists'!P40,'Compound Lists'!P41)</f>
        <v>Acetone, Methyl ethyl ketone, Ethyl acetate, Isopropyl acetate, Propyl acetate, MIBK, 2-Hexanone, Butyl acetate, 1-Methoxy-2-propyl acetate, Cyclohexanone, Cellosolve acetate, 2-Butoxyethyl acetate, Ethyldiglycol acetate, Diacetone alcohol, Isophorone</v>
      </c>
      <c r="Q576" s="2517"/>
      <c r="R576" s="2517"/>
      <c r="S576" s="2517"/>
      <c r="T576" s="2517"/>
      <c r="U576" s="2517"/>
      <c r="V576" s="2517"/>
      <c r="W576" s="2517"/>
      <c r="X576" s="2517"/>
      <c r="Y576" s="2517"/>
      <c r="Z576" s="2517"/>
      <c r="AA576" s="2517"/>
      <c r="AB576" s="2517"/>
    </row>
    <row r="577" spans="1:28" s="1311" customFormat="1" ht="18" hidden="1" customHeight="1">
      <c r="A577" s="2555"/>
      <c r="B577" s="2555"/>
      <c r="C577" s="2555"/>
      <c r="D577" s="2555"/>
      <c r="E577" s="2555"/>
      <c r="F577" s="2555"/>
      <c r="G577" s="2555"/>
      <c r="H577" s="2555"/>
      <c r="I577" s="2555"/>
      <c r="J577" s="2555"/>
      <c r="K577" s="2555"/>
      <c r="P577" s="2517" t="str">
        <f>CONCATENATE('Compound Lists'!Q24,'Compound Lists'!Q25,'Compound Lists'!Q26,'Compound Lists'!Q27,'Compound Lists'!Q28,'Compound Lists'!Q29,'Compound Lists'!Q30,'Compound Lists'!Q31,'Compound Lists'!Q32,'Compound Lists'!Q33,'Compound Lists'!Q34,'Compound Lists'!Q35,'Compound Lists'!Q36,'Compound Lists'!Q37,'Compound Lists'!Q38,'Compound Lists'!Q39,'Compound Lists'!Q40,'Compound Lists'!Q41)</f>
        <v>Benzene, Toluene, Ethylbenzene, m+p-Xylene, Styrene, o-Xylene, Isopropylbenzene, Propylbenzene, 1,3,5-Trimethylbenzene, alpha-Methylstyrene, tert-Butylbenzene, 1,2,4-Trimethylbenzene, 1,2,3-Trimethylbenzene, m-Diethylbenzene, o-Diethylbenzene, p-Diethylbenzene</v>
      </c>
      <c r="Q577" s="2517"/>
      <c r="R577" s="2517"/>
      <c r="S577" s="2517"/>
      <c r="T577" s="2517"/>
      <c r="U577" s="2517"/>
      <c r="V577" s="2517"/>
      <c r="W577" s="2517"/>
      <c r="X577" s="2517"/>
      <c r="Y577" s="2517"/>
      <c r="Z577" s="2517"/>
      <c r="AA577" s="2517"/>
      <c r="AB577" s="2517"/>
    </row>
    <row r="578" spans="1:28" s="1311" customFormat="1" ht="18.75" hidden="1" customHeight="1">
      <c r="A578" s="2555"/>
      <c r="B578" s="2555"/>
      <c r="C578" s="2555"/>
      <c r="D578" s="2555"/>
      <c r="E578" s="2555"/>
      <c r="F578" s="2555"/>
      <c r="G578" s="2555"/>
      <c r="H578" s="2555"/>
      <c r="I578" s="2555"/>
      <c r="J578" s="2555"/>
      <c r="K578" s="2555"/>
      <c r="P578" s="2517" t="str">
        <f>CONCATENATE('Compound Lists'!R24,'Compound Lists'!R25,'Compound Lists'!R26,'Compound Lists'!R27,'Compound Lists'!R28,'Compound Lists'!R29,'Compound Lists'!R30,'Compound Lists'!R31,'Compound Lists'!R32,'Compound Lists'!R33,'Compound Lists'!R34,'Compound Lists'!R35,'Compound Lists'!R36,'Compound Lists'!R37,'Compound Lists'!R38,'Compound Lists'!R39,'Compound Lists'!R40,'Compound Lists'!R41)</f>
        <v>Dichloromethane, Chloroform, 1,1,1-Trichloroethane, 1,2-Dichloroethane, Carbon tetrachloride, 1,1-Dichloroethene, cis-1,2-Dichloroethene, trans-1,2-Dichloroethene, Trichloroethene, Tetrachloroethene, 1,1,2-Trichloroethane, 1,1,2,2-Tetrachloroethane, Chlorobenzene, Fluorobenzene</v>
      </c>
      <c r="Q578" s="2517"/>
      <c r="R578" s="2517"/>
      <c r="S578" s="2517"/>
      <c r="T578" s="2517"/>
      <c r="U578" s="2517"/>
      <c r="V578" s="2517"/>
      <c r="W578" s="2517"/>
      <c r="X578" s="2517"/>
      <c r="Y578" s="2517"/>
      <c r="Z578" s="2517"/>
      <c r="AA578" s="2517"/>
      <c r="AB578" s="2517"/>
    </row>
    <row r="579" spans="1:28" s="1311" customFormat="1" ht="21.75" hidden="1" customHeight="1">
      <c r="A579" s="2555"/>
      <c r="B579" s="2555"/>
      <c r="C579" s="2555"/>
      <c r="D579" s="2555"/>
      <c r="E579" s="2555"/>
      <c r="F579" s="2555"/>
      <c r="G579" s="2555"/>
      <c r="H579" s="2555"/>
      <c r="I579" s="2555"/>
      <c r="J579" s="2555"/>
      <c r="K579" s="2555"/>
      <c r="P579" s="1377"/>
      <c r="Q579" s="1377"/>
      <c r="R579" s="1377"/>
      <c r="S579" s="1377"/>
      <c r="T579" s="1377"/>
      <c r="U579" s="1377"/>
      <c r="V579" s="1377"/>
      <c r="W579" s="1377"/>
    </row>
    <row r="580" spans="1:28" hidden="1">
      <c r="A580" s="1376"/>
      <c r="B580" s="1376"/>
      <c r="C580" s="1376"/>
      <c r="D580" s="1376"/>
      <c r="E580" s="1376"/>
      <c r="F580" s="1376"/>
      <c r="G580" s="1376"/>
      <c r="H580" s="1376"/>
      <c r="I580" s="1376"/>
      <c r="J580" s="1376"/>
      <c r="K580" s="1376"/>
      <c r="L580" s="1326" t="s">
        <v>41</v>
      </c>
      <c r="M580" s="1326" t="s">
        <v>41</v>
      </c>
      <c r="P580" s="1377"/>
      <c r="Q580" s="1377"/>
      <c r="R580" s="1377"/>
      <c r="S580" s="1377"/>
      <c r="T580" s="1377"/>
      <c r="U580" s="1377"/>
      <c r="V580" s="1377"/>
      <c r="W580" s="1377"/>
    </row>
    <row r="581" spans="1:28" s="1311" customFormat="1" ht="18" hidden="1" customHeight="1">
      <c r="A581" s="1310" t="s">
        <v>425</v>
      </c>
      <c r="B581" s="1310"/>
      <c r="C581" s="1310"/>
      <c r="D581" s="1310"/>
      <c r="E581" s="1310"/>
      <c r="F581" s="1310"/>
      <c r="G581" s="1310"/>
      <c r="H581" s="1310"/>
      <c r="I581" s="1310"/>
      <c r="J581" s="1310"/>
      <c r="K581" s="1310"/>
      <c r="L581" s="1310"/>
      <c r="M581" s="1310"/>
      <c r="P581" s="1378" t="s">
        <v>1618</v>
      </c>
    </row>
    <row r="582" spans="1:28" s="1311" customFormat="1" ht="9" hidden="1" customHeight="1">
      <c r="A582" s="2518" t="str">
        <f>CONCATENATE(PermgasStd,", ",HCgasStd,", ",SgasStd,", ",MiscStd,", ",AldehydeStd,", ",PhenolStd,", ",AmineStd,", ",IsocyanateStd)</f>
        <v>Hydrogen, Helium, Oxygen, Argon, Nitrogen, Methane, Carbon monoxide, Carbon dioxide, Methane, Ethane, Ethylene, Propane, Cyclopropane, Propylene, Isobutane, Butane, Propadiene, Acetylene, 1-Butene, cis-2-Butene, trans-2-Butene, 1,3-Butadiene, Propyne, Hydrogen sulfide, Sulfur dioxide, Carbonyl sulfide, Dimethyl sulfide, Carbon disulfide, Dimethyl disulfide, Methyl mercaptan, Ethyl mercaptan, Propyl mercaptan, Isopropyl mercaptan, Vinyl chloride, Dimethyl ether, Formaldehyde, Acetaldehyde, Acrolein, Propionaldehyde, Butyraldehyde, Valeraldehyde, Hexaldehyde, Phenol, Resorcinol, m+p-Cresol, o-Cresol, Isopropylamine, Dimethylamine, Diethylamine, Triethylamine, Methylene bisphenyl isocyanate, 2,4-Toluene diisocyanate, 2,6-Toluene diisocyanate, 1,6-Hexamethylene diisocyanate</v>
      </c>
      <c r="B582" s="2518"/>
      <c r="C582" s="2518"/>
      <c r="D582" s="2518"/>
      <c r="E582" s="2518"/>
      <c r="F582" s="2518"/>
      <c r="G582" s="2518"/>
      <c r="H582" s="2518"/>
      <c r="I582" s="2518"/>
      <c r="J582" s="2518"/>
      <c r="K582" s="2518"/>
      <c r="P582" s="2510" t="str">
        <f>CONCATENATE('Compound Lists'!M3,'Compound Lists'!M4,'Compound Lists'!M5,'Compound Lists'!M6,'Compound Lists'!M7,'Compound Lists'!M8,'Compound Lists'!M9,'Compound Lists'!M10,'Compound Lists'!M11,'Compound Lists'!M12,'Compound Lists'!M13,'Compound Lists'!M14,'Compound Lists'!M15,'Compound Lists'!M16,'Compound Lists'!M17,'Compound Lists'!M19,'Compound Lists'!M20)</f>
        <v>Hydrogen, Helium, Oxygen, Argon, Nitrogen, Methane, Carbon monoxide, Carbon dioxide</v>
      </c>
      <c r="Q582" s="2510"/>
      <c r="R582" s="2510"/>
      <c r="S582" s="2510"/>
      <c r="T582" s="2510"/>
      <c r="U582" s="2510"/>
      <c r="V582" s="2510"/>
      <c r="W582" s="2510"/>
      <c r="X582" s="2510"/>
      <c r="Y582" s="2510"/>
      <c r="Z582" s="2510"/>
      <c r="AA582" s="2510"/>
      <c r="AB582" s="2510"/>
    </row>
    <row r="583" spans="1:28" s="1311" customFormat="1" ht="18" hidden="1" customHeight="1">
      <c r="A583" s="2518"/>
      <c r="B583" s="2518"/>
      <c r="C583" s="2518"/>
      <c r="D583" s="2518"/>
      <c r="E583" s="2518"/>
      <c r="F583" s="2518"/>
      <c r="G583" s="2518"/>
      <c r="H583" s="2518"/>
      <c r="I583" s="2518"/>
      <c r="J583" s="2518"/>
      <c r="K583" s="2518"/>
      <c r="P583" s="2510" t="str">
        <f>CONCATENATE('Compound Lists'!N3,'Compound Lists'!N4,'Compound Lists'!N5,'Compound Lists'!N6,'Compound Lists'!N7,'Compound Lists'!N8,'Compound Lists'!N9,'Compound Lists'!N10,'Compound Lists'!N11,'Compound Lists'!N12,'Compound Lists'!N13,'Compound Lists'!N14,'Compound Lists'!N15,'Compound Lists'!N16,'Compound Lists'!N17,'Compound Lists'!N19,'Compound Lists'!N20)</f>
        <v>Methane, Ethane, Ethylene, Propane, Cyclopropane, Propylene, Isobutane, Butane, Propadiene, Acetylene, 1-Butene, cis-2-Butene, trans-2-Butene, 1,3-Butadiene, Propyne</v>
      </c>
      <c r="Q583" s="2510"/>
      <c r="R583" s="2510"/>
      <c r="S583" s="2510"/>
      <c r="T583" s="2510"/>
      <c r="U583" s="2510"/>
      <c r="V583" s="2510"/>
      <c r="W583" s="2510"/>
      <c r="X583" s="2510"/>
      <c r="Y583" s="2510"/>
      <c r="Z583" s="2510"/>
      <c r="AA583" s="2510"/>
      <c r="AB583" s="2510"/>
    </row>
    <row r="584" spans="1:28" s="1311" customFormat="1" ht="18" hidden="1" customHeight="1">
      <c r="A584" s="2518"/>
      <c r="B584" s="2518"/>
      <c r="C584" s="2518"/>
      <c r="D584" s="2518"/>
      <c r="E584" s="2518"/>
      <c r="F584" s="2518"/>
      <c r="G584" s="2518"/>
      <c r="H584" s="2518"/>
      <c r="I584" s="2518"/>
      <c r="J584" s="2518"/>
      <c r="K584" s="2518"/>
      <c r="P584" s="2510" t="str">
        <f>CONCATENATE('Compound Lists'!O3,'Compound Lists'!O4,'Compound Lists'!O5,'Compound Lists'!O6,'Compound Lists'!O7,'Compound Lists'!O8,'Compound Lists'!O9,'Compound Lists'!O10,'Compound Lists'!O11,'Compound Lists'!O12,'Compound Lists'!O13,'Compound Lists'!O14,'Compound Lists'!O15,'Compound Lists'!O16,'Compound Lists'!O17,'Compound Lists'!O19,'Compound Lists'!O20)</f>
        <v>Hydrogen sulfide, Sulfur dioxide, Carbonyl sulfide, Dimethyl sulfide, Carbon disulfide, Dimethyl disulfide, Methyl mercaptan, Ethyl mercaptan, Propyl mercaptan, Isopropyl mercaptan</v>
      </c>
      <c r="Q584" s="2510"/>
      <c r="R584" s="2510"/>
      <c r="S584" s="2510"/>
      <c r="T584" s="2510"/>
      <c r="U584" s="2510"/>
      <c r="V584" s="2510"/>
      <c r="W584" s="2510"/>
      <c r="X584" s="2510"/>
      <c r="Y584" s="2510"/>
      <c r="Z584" s="2510"/>
      <c r="AA584" s="2510"/>
      <c r="AB584" s="2510"/>
    </row>
    <row r="585" spans="1:28" ht="9" hidden="1" customHeight="1">
      <c r="A585" s="2518"/>
      <c r="B585" s="2518"/>
      <c r="C585" s="2518"/>
      <c r="D585" s="2518"/>
      <c r="E585" s="2518"/>
      <c r="F585" s="2518"/>
      <c r="G585" s="2518"/>
      <c r="H585" s="2518"/>
      <c r="I585" s="2518"/>
      <c r="J585" s="2518"/>
      <c r="K585" s="2518"/>
      <c r="P585" s="2510" t="str">
        <f>CONCATENATE('Compound Lists'!P3,'Compound Lists'!P4,'Compound Lists'!P5,'Compound Lists'!P6,'Compound Lists'!P7,'Compound Lists'!P8,'Compound Lists'!P9,'Compound Lists'!P10,'Compound Lists'!P11,'Compound Lists'!P12,'Compound Lists'!P13,'Compound Lists'!P14,'Compound Lists'!P15,'Compound Lists'!P16,'Compound Lists'!P17,'Compound Lists'!P19,'Compound Lists'!P20)</f>
        <v>Vinyl chloride, Dimethyl ether</v>
      </c>
      <c r="Q585" s="2510"/>
      <c r="R585" s="2510"/>
      <c r="S585" s="2510"/>
      <c r="T585" s="2510"/>
      <c r="U585" s="2510"/>
      <c r="V585" s="2510"/>
      <c r="W585" s="2510"/>
      <c r="X585" s="2510"/>
      <c r="Y585" s="2510"/>
      <c r="Z585" s="2510"/>
      <c r="AA585" s="2510"/>
      <c r="AB585" s="2510"/>
    </row>
    <row r="586" spans="1:28" ht="9" hidden="1" customHeight="1">
      <c r="A586" s="2518"/>
      <c r="B586" s="2518"/>
      <c r="C586" s="2518"/>
      <c r="D586" s="2518"/>
      <c r="E586" s="2518"/>
      <c r="F586" s="2518"/>
      <c r="G586" s="2518"/>
      <c r="H586" s="2518"/>
      <c r="I586" s="2518"/>
      <c r="J586" s="2518"/>
      <c r="K586" s="2518"/>
      <c r="P586" s="2510" t="str">
        <f>CONCATENATE('Compound Lists'!Q3,'Compound Lists'!Q4,'Compound Lists'!Q5,'Compound Lists'!Q6,'Compound Lists'!Q7,'Compound Lists'!Q8,'Compound Lists'!Q9,'Compound Lists'!Q10,'Compound Lists'!Q11,'Compound Lists'!Q12,'Compound Lists'!Q13,'Compound Lists'!Q14,'Compound Lists'!Q15,'Compound Lists'!Q16,'Compound Lists'!Q17,'Compound Lists'!Q19,'Compound Lists'!Q20)</f>
        <v>Formaldehyde, Acetaldehyde, Acrolein, Propionaldehyde, Butyraldehyde, Valeraldehyde, Hexaldehyde</v>
      </c>
      <c r="Q586" s="2510"/>
      <c r="R586" s="2510"/>
      <c r="S586" s="2510"/>
      <c r="T586" s="2510"/>
      <c r="U586" s="2510"/>
      <c r="V586" s="2510"/>
      <c r="W586" s="2510"/>
      <c r="X586" s="2510"/>
      <c r="Y586" s="2510"/>
      <c r="Z586" s="2510"/>
      <c r="AA586" s="2510"/>
      <c r="AB586" s="2510"/>
    </row>
    <row r="587" spans="1:28" ht="9" hidden="1" customHeight="1">
      <c r="A587" s="2518"/>
      <c r="B587" s="2518"/>
      <c r="C587" s="2518"/>
      <c r="D587" s="2518"/>
      <c r="E587" s="2518"/>
      <c r="F587" s="2518"/>
      <c r="G587" s="2518"/>
      <c r="H587" s="2518"/>
      <c r="I587" s="2518"/>
      <c r="J587" s="2518"/>
      <c r="K587" s="2518"/>
      <c r="P587" s="2510" t="str">
        <f>CONCATENATE('Compound Lists'!R3,'Compound Lists'!R4,'Compound Lists'!R5,'Compound Lists'!R6,'Compound Lists'!R7,'Compound Lists'!R8,'Compound Lists'!R9,'Compound Lists'!R10,'Compound Lists'!R11,'Compound Lists'!R12,'Compound Lists'!R13,'Compound Lists'!R14,'Compound Lists'!R15,'Compound Lists'!R16,'Compound Lists'!R17,'Compound Lists'!R19,'Compound Lists'!R20)</f>
        <v>Phenol, Resorcinol, m+p-Cresol, o-Cresol</v>
      </c>
      <c r="Q587" s="2510"/>
      <c r="R587" s="2510"/>
      <c r="S587" s="2510"/>
      <c r="T587" s="2510"/>
      <c r="U587" s="2510"/>
      <c r="V587" s="2510"/>
      <c r="W587" s="2510"/>
      <c r="X587" s="2510"/>
      <c r="Y587" s="2510"/>
      <c r="Z587" s="2510"/>
      <c r="AA587" s="2510"/>
      <c r="AB587" s="2510"/>
    </row>
    <row r="588" spans="1:28" ht="9" hidden="1" customHeight="1">
      <c r="A588" s="2518"/>
      <c r="B588" s="2518"/>
      <c r="C588" s="2518"/>
      <c r="D588" s="2518"/>
      <c r="E588" s="2518"/>
      <c r="F588" s="2518"/>
      <c r="G588" s="2518"/>
      <c r="H588" s="2518"/>
      <c r="I588" s="2518"/>
      <c r="J588" s="2518"/>
      <c r="K588" s="2518"/>
      <c r="P588" s="2510" t="str">
        <f>CONCATENATE('Compound Lists'!S3,'Compound Lists'!S4,'Compound Lists'!S5,'Compound Lists'!S6,'Compound Lists'!S7,'Compound Lists'!S8,'Compound Lists'!S9,'Compound Lists'!S10,'Compound Lists'!S11,'Compound Lists'!S12,'Compound Lists'!S13,'Compound Lists'!S14,'Compound Lists'!S15,'Compound Lists'!S16,'Compound Lists'!S17,'Compound Lists'!S19,'Compound Lists'!S20)</f>
        <v>Isopropylamine, Dimethylamine, Diethylamine, Triethylamine</v>
      </c>
      <c r="Q588" s="2510"/>
      <c r="R588" s="2510"/>
      <c r="S588" s="2510"/>
      <c r="T588" s="2510"/>
      <c r="U588" s="2510"/>
      <c r="V588" s="2510"/>
      <c r="W588" s="2510"/>
      <c r="X588" s="2510"/>
      <c r="Y588" s="2510"/>
      <c r="Z588" s="2510"/>
      <c r="AA588" s="2510"/>
      <c r="AB588" s="2510"/>
    </row>
    <row r="589" spans="1:28" hidden="1">
      <c r="A589" s="2518"/>
      <c r="B589" s="2518"/>
      <c r="C589" s="2518"/>
      <c r="D589" s="2518"/>
      <c r="E589" s="2518"/>
      <c r="F589" s="2518"/>
      <c r="G589" s="2518"/>
      <c r="H589" s="2518"/>
      <c r="I589" s="2518"/>
      <c r="J589" s="2518"/>
      <c r="K589" s="2518"/>
      <c r="P589" s="2510" t="str">
        <f>CONCATENATE('Compound Lists'!T3,'Compound Lists'!T4,'Compound Lists'!T5,'Compound Lists'!T6,'Compound Lists'!T7,'Compound Lists'!T8,'Compound Lists'!T9,'Compound Lists'!T10,'Compound Lists'!T11,'Compound Lists'!T12,'Compound Lists'!T13,'Compound Lists'!T14,'Compound Lists'!T15,'Compound Lists'!T16,'Compound Lists'!T17,'Compound Lists'!T19,'Compound Lists'!T20)</f>
        <v>Methylene bisphenyl isocyanate, 2,4-Toluene diisocyanate, 2,6-Toluene diisocyanate, 1,6-Hexamethylene diisocyanate</v>
      </c>
      <c r="Q589" s="2510"/>
      <c r="R589" s="2510"/>
      <c r="S589" s="2510"/>
      <c r="T589" s="2510"/>
      <c r="U589" s="2510"/>
      <c r="V589" s="2510"/>
      <c r="W589" s="2510"/>
      <c r="X589" s="2510"/>
      <c r="Y589" s="2510"/>
      <c r="Z589" s="2510"/>
      <c r="AA589" s="2510"/>
      <c r="AB589" s="2510"/>
    </row>
  </sheetData>
  <mergeCells count="193">
    <mergeCell ref="A370:K370"/>
    <mergeCell ref="A22:K22"/>
    <mergeCell ref="A23:K23"/>
    <mergeCell ref="A24:K24"/>
    <mergeCell ref="A25:K25"/>
    <mergeCell ref="A26:K26"/>
    <mergeCell ref="C356:E356"/>
    <mergeCell ref="F359:H359"/>
    <mergeCell ref="F360:H360"/>
    <mergeCell ref="F361:H361"/>
    <mergeCell ref="C348:E348"/>
    <mergeCell ref="F348:H348"/>
    <mergeCell ref="C346:E346"/>
    <mergeCell ref="C349:E349"/>
    <mergeCell ref="C350:E350"/>
    <mergeCell ref="C347:E347"/>
    <mergeCell ref="F347:H347"/>
    <mergeCell ref="I347:K347"/>
    <mergeCell ref="I342:K342"/>
    <mergeCell ref="I343:K343"/>
    <mergeCell ref="I349:K349"/>
    <mergeCell ref="I350:K350"/>
    <mergeCell ref="I248:K248"/>
    <mergeCell ref="I234:K234"/>
    <mergeCell ref="C345:E345"/>
    <mergeCell ref="C344:E344"/>
    <mergeCell ref="F94:H94"/>
    <mergeCell ref="F136:H136"/>
    <mergeCell ref="F248:H248"/>
    <mergeCell ref="F276:H276"/>
    <mergeCell ref="C247:E247"/>
    <mergeCell ref="C195:E195"/>
    <mergeCell ref="F234:H234"/>
    <mergeCell ref="F344:H344"/>
    <mergeCell ref="F345:H345"/>
    <mergeCell ref="F342:H342"/>
    <mergeCell ref="F343:H343"/>
    <mergeCell ref="C227:E227"/>
    <mergeCell ref="F228:H228"/>
    <mergeCell ref="C230:E230"/>
    <mergeCell ref="F196:H196"/>
    <mergeCell ref="C172:E172"/>
    <mergeCell ref="F172:H172"/>
    <mergeCell ref="C261:E261"/>
    <mergeCell ref="C233:E233"/>
    <mergeCell ref="C317:E317"/>
    <mergeCell ref="F303:H303"/>
    <mergeCell ref="F289:H289"/>
    <mergeCell ref="I233:K233"/>
    <mergeCell ref="F230:H230"/>
    <mergeCell ref="L50:M50"/>
    <mergeCell ref="L85:M85"/>
    <mergeCell ref="L135:M135"/>
    <mergeCell ref="I85:K85"/>
    <mergeCell ref="I86:K86"/>
    <mergeCell ref="L51:M51"/>
    <mergeCell ref="L60:M60"/>
    <mergeCell ref="I135:K135"/>
    <mergeCell ref="I94:K94"/>
    <mergeCell ref="C303:E303"/>
    <mergeCell ref="C289:E289"/>
    <mergeCell ref="F261:H261"/>
    <mergeCell ref="F304:H304"/>
    <mergeCell ref="F262:H262"/>
    <mergeCell ref="F290:H290"/>
    <mergeCell ref="C275:E275"/>
    <mergeCell ref="F275:H275"/>
    <mergeCell ref="F317:H317"/>
    <mergeCell ref="C363:E363"/>
    <mergeCell ref="C318:E318"/>
    <mergeCell ref="C472:E472"/>
    <mergeCell ref="F472:H472"/>
    <mergeCell ref="F473:H473"/>
    <mergeCell ref="I473:K473"/>
    <mergeCell ref="P578:AB578"/>
    <mergeCell ref="P577:AB577"/>
    <mergeCell ref="L332:M332"/>
    <mergeCell ref="I332:K332"/>
    <mergeCell ref="I346:K346"/>
    <mergeCell ref="A574:K579"/>
    <mergeCell ref="P576:AB576"/>
    <mergeCell ref="O335:P335"/>
    <mergeCell ref="O363:P363"/>
    <mergeCell ref="C332:E332"/>
    <mergeCell ref="F332:H332"/>
    <mergeCell ref="F363:H363"/>
    <mergeCell ref="C336:E336"/>
    <mergeCell ref="C337:E337"/>
    <mergeCell ref="F318:H318"/>
    <mergeCell ref="O346:P346"/>
    <mergeCell ref="I344:K344"/>
    <mergeCell ref="I345:K345"/>
    <mergeCell ref="B2:C2"/>
    <mergeCell ref="B3:C3"/>
    <mergeCell ref="F135:H135"/>
    <mergeCell ref="F85:H85"/>
    <mergeCell ref="B4:C4"/>
    <mergeCell ref="C135:E135"/>
    <mergeCell ref="I93:K93"/>
    <mergeCell ref="F93:H93"/>
    <mergeCell ref="C85:E85"/>
    <mergeCell ref="E13:F13"/>
    <mergeCell ref="E19:F19"/>
    <mergeCell ref="E9:F9"/>
    <mergeCell ref="E10:F10"/>
    <mergeCell ref="E12:F12"/>
    <mergeCell ref="E11:F11"/>
    <mergeCell ref="O85:P85"/>
    <mergeCell ref="O233:P233"/>
    <mergeCell ref="O247:P247"/>
    <mergeCell ref="I195:K195"/>
    <mergeCell ref="L195:M195"/>
    <mergeCell ref="F233:H233"/>
    <mergeCell ref="I230:K230"/>
    <mergeCell ref="F247:H247"/>
    <mergeCell ref="O135:P135"/>
    <mergeCell ref="F86:H86"/>
    <mergeCell ref="O195:P195"/>
    <mergeCell ref="O172:P172"/>
    <mergeCell ref="I136:K136"/>
    <mergeCell ref="L233:M233"/>
    <mergeCell ref="L247:M247"/>
    <mergeCell ref="I247:K247"/>
    <mergeCell ref="I227:K227"/>
    <mergeCell ref="I196:K196"/>
    <mergeCell ref="I228:K228"/>
    <mergeCell ref="I172:K172"/>
    <mergeCell ref="F173:H173"/>
    <mergeCell ref="I173:K173"/>
    <mergeCell ref="F227:H227"/>
    <mergeCell ref="F195:H195"/>
    <mergeCell ref="O261:P261"/>
    <mergeCell ref="L261:M261"/>
    <mergeCell ref="L275:M275"/>
    <mergeCell ref="L230:M230"/>
    <mergeCell ref="L227:M227"/>
    <mergeCell ref="L228:M228"/>
    <mergeCell ref="L172:M172"/>
    <mergeCell ref="I318:K318"/>
    <mergeCell ref="I276:K276"/>
    <mergeCell ref="I304:K304"/>
    <mergeCell ref="I275:K275"/>
    <mergeCell ref="I317:K317"/>
    <mergeCell ref="I303:K303"/>
    <mergeCell ref="I262:K262"/>
    <mergeCell ref="I261:K261"/>
    <mergeCell ref="L303:M303"/>
    <mergeCell ref="L317:M317"/>
    <mergeCell ref="L289:M289"/>
    <mergeCell ref="I290:K290"/>
    <mergeCell ref="I289:K289"/>
    <mergeCell ref="O289:P289"/>
    <mergeCell ref="O303:P303"/>
    <mergeCell ref="O317:P317"/>
    <mergeCell ref="O275:P275"/>
    <mergeCell ref="I363:K363"/>
    <mergeCell ref="L363:M363"/>
    <mergeCell ref="F336:H336"/>
    <mergeCell ref="F337:H337"/>
    <mergeCell ref="I336:K336"/>
    <mergeCell ref="I337:K337"/>
    <mergeCell ref="F353:H353"/>
    <mergeCell ref="I353:K353"/>
    <mergeCell ref="I354:K354"/>
    <mergeCell ref="F354:H354"/>
    <mergeCell ref="I348:K348"/>
    <mergeCell ref="F346:H346"/>
    <mergeCell ref="F349:H349"/>
    <mergeCell ref="F350:H350"/>
    <mergeCell ref="P587:AB587"/>
    <mergeCell ref="P588:AB588"/>
    <mergeCell ref="I371:K371"/>
    <mergeCell ref="I364:K364"/>
    <mergeCell ref="I372:K372"/>
    <mergeCell ref="P574:AB574"/>
    <mergeCell ref="P583:AB583"/>
    <mergeCell ref="P573:AB573"/>
    <mergeCell ref="P575:AB575"/>
    <mergeCell ref="P585:AB585"/>
    <mergeCell ref="P586:AB586"/>
    <mergeCell ref="P584:AB584"/>
    <mergeCell ref="P582:AB582"/>
    <mergeCell ref="A582:K589"/>
    <mergeCell ref="P589:AB589"/>
    <mergeCell ref="C371:E371"/>
    <mergeCell ref="L371:M371"/>
    <mergeCell ref="F371:H371"/>
    <mergeCell ref="F364:H364"/>
    <mergeCell ref="O371:P371"/>
    <mergeCell ref="I472:K472"/>
    <mergeCell ref="L472:M472"/>
    <mergeCell ref="O472:P472"/>
    <mergeCell ref="F372:H372"/>
  </mergeCells>
  <phoneticPr fontId="25" type="noConversion"/>
  <conditionalFormatting sqref="L89:L92 L307:L315 L321:L325 L176:L193 L367:L369 L199 L375:L470 L476:L571 L170 L95:L133 L139:L167 L329 L251:L259 L265:L273 L279:L287 L293:L301 L237:L245">
    <cfRule type="cellIs" dxfId="210" priority="10" stopIfTrue="1" operator="lessThan">
      <formula>$O89</formula>
    </cfRule>
  </conditionalFormatting>
  <conditionalFormatting sqref="M199 M307:M315 M321:M325 M176:M193 M367:M369 M89:M92 M375:M470 M476:M571 M170 M95:M133 M139:M167 M329 M251:M259 M265:M273 M279:M287 M293:M301 M237:M245">
    <cfRule type="cellIs" dxfId="209" priority="11" stopIfTrue="1" operator="lessThan">
      <formula>$P89</formula>
    </cfRule>
  </conditionalFormatting>
  <conditionalFormatting sqref="F342">
    <cfRule type="cellIs" dxfId="208" priority="16" stopIfTrue="1" operator="greaterThan">
      <formula>30</formula>
    </cfRule>
  </conditionalFormatting>
  <conditionalFormatting sqref="L341">
    <cfRule type="cellIs" dxfId="207" priority="19" stopIfTrue="1" operator="lessThan">
      <formula>$O339</formula>
    </cfRule>
  </conditionalFormatting>
  <conditionalFormatting sqref="M341">
    <cfRule type="cellIs" dxfId="206" priority="20" stopIfTrue="1" operator="lessThan">
      <formula>$P339</formula>
    </cfRule>
  </conditionalFormatting>
  <conditionalFormatting sqref="L352">
    <cfRule type="cellIs" dxfId="205" priority="8" stopIfTrue="1" operator="lessThan">
      <formula>$O350</formula>
    </cfRule>
  </conditionalFormatting>
  <conditionalFormatting sqref="M352">
    <cfRule type="cellIs" dxfId="204" priority="9" stopIfTrue="1" operator="lessThan">
      <formula>$P350</formula>
    </cfRule>
  </conditionalFormatting>
  <conditionalFormatting sqref="L330">
    <cfRule type="cellIs" dxfId="203" priority="21" stopIfTrue="1" operator="lessThan">
      <formula>$O326</formula>
    </cfRule>
  </conditionalFormatting>
  <conditionalFormatting sqref="M330">
    <cfRule type="cellIs" dxfId="202" priority="22" stopIfTrue="1" operator="lessThan">
      <formula>$P326</formula>
    </cfRule>
  </conditionalFormatting>
  <conditionalFormatting sqref="I342">
    <cfRule type="cellIs" dxfId="201" priority="4" stopIfTrue="1" operator="greaterThan">
      <formula>30</formula>
    </cfRule>
  </conditionalFormatting>
  <conditionalFormatting sqref="A370:K370">
    <cfRule type="cellIs" dxfId="200" priority="3" operator="equal">
      <formula>"space"</formula>
    </cfRule>
  </conditionalFormatting>
  <conditionalFormatting sqref="F353">
    <cfRule type="cellIs" dxfId="199" priority="2" stopIfTrue="1" operator="greaterThan">
      <formula>30</formula>
    </cfRule>
  </conditionalFormatting>
  <conditionalFormatting sqref="I353">
    <cfRule type="cellIs" dxfId="198" priority="1" stopIfTrue="1" operator="greaterThan">
      <formula>30</formula>
    </cfRule>
  </conditionalFormatting>
  <printOptions horizontalCentered="1"/>
  <pageMargins left="0.19685039370078741" right="0.19685039370078741" top="1.1811023622047245" bottom="0.39370078740157483" header="0.59055118110236227" footer="0.19685039370078741"/>
  <pageSetup paperSize="9" orientation="portrait" horizontalDpi="300" verticalDpi="300"/>
  <headerFooter alignWithMargins="0">
    <oddHeader>&amp;C&amp;"MS Sans Serif,Bold"&amp;16Preliminary Report</oddHeader>
    <oddFooter>&amp;C&amp;8&amp;Z&amp;F&amp;R&amp;8&amp;D  &amp;T</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25" r:id="rId3" name="Button 5">
              <controlPr defaultSize="0" print="0" autoFill="0" autoPict="0" macro="[0]!HideRowsUnused">
                <anchor moveWithCells="1" sizeWithCells="1">
                  <from>
                    <xdr:col>13</xdr:col>
                    <xdr:colOff>76200</xdr:colOff>
                    <xdr:row>0</xdr:row>
                    <xdr:rowOff>152400</xdr:rowOff>
                  </from>
                  <to>
                    <xdr:col>14</xdr:col>
                    <xdr:colOff>406400</xdr:colOff>
                    <xdr:row>3</xdr:row>
                    <xdr:rowOff>12700</xdr:rowOff>
                  </to>
                </anchor>
              </controlPr>
            </control>
          </mc:Choice>
          <mc:Fallback/>
        </mc:AlternateContent>
        <mc:AlternateContent xmlns:mc="http://schemas.openxmlformats.org/markup-compatibility/2006">
          <mc:Choice Requires="x14">
            <control shapeId="30726" r:id="rId4" name="Button 6">
              <controlPr defaultSize="0" print="0" autoFill="0" autoPict="0" macro="[0]!HideRowsZero">
                <anchor moveWithCells="1" sizeWithCells="1">
                  <from>
                    <xdr:col>13</xdr:col>
                    <xdr:colOff>76200</xdr:colOff>
                    <xdr:row>3</xdr:row>
                    <xdr:rowOff>114300</xdr:rowOff>
                  </from>
                  <to>
                    <xdr:col>14</xdr:col>
                    <xdr:colOff>406400</xdr:colOff>
                    <xdr:row>5</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43"/>
  </sheetPr>
  <dimension ref="A1:Y117"/>
  <sheetViews>
    <sheetView workbookViewId="0">
      <selection activeCell="A22" sqref="A22"/>
    </sheetView>
  </sheetViews>
  <sheetFormatPr baseColWidth="10" defaultColWidth="8.7109375" defaultRowHeight="10.5" customHeight="1" outlineLevelRow="1" x14ac:dyDescent="0"/>
  <cols>
    <col min="1" max="1" width="17.85546875" style="107" customWidth="1"/>
    <col min="2" max="2" width="8.7109375" style="107" customWidth="1"/>
    <col min="3" max="7" width="8.28515625" style="107" customWidth="1"/>
    <col min="8" max="8" width="8.42578125" style="107" customWidth="1"/>
    <col min="9" max="11" width="8.28515625" style="107" customWidth="1"/>
    <col min="12" max="12" width="8.42578125" style="107" customWidth="1"/>
    <col min="13" max="18" width="8.7109375" style="107"/>
    <col min="19" max="19" width="13" style="670" customWidth="1"/>
    <col min="20" max="16384" width="8.7109375" style="107"/>
  </cols>
  <sheetData>
    <row r="1" spans="1:19" ht="10.5" customHeight="1">
      <c r="A1" s="1426"/>
      <c r="B1" s="2610" t="s">
        <v>4</v>
      </c>
      <c r="C1" s="2610"/>
      <c r="D1" s="2611" t="str">
        <f>'PM10 &amp; 2.5'!L8</f>
        <v>PM10&amp;2.5</v>
      </c>
      <c r="E1" s="2611"/>
      <c r="F1" s="1956"/>
      <c r="G1" s="1957" t="s">
        <v>1343</v>
      </c>
      <c r="H1" s="1958">
        <f>Client</f>
        <v>0</v>
      </c>
      <c r="I1" s="1959"/>
      <c r="J1" s="1959"/>
      <c r="K1" s="1960"/>
      <c r="N1" s="225"/>
    </row>
    <row r="2" spans="1:19" ht="10.5" customHeight="1">
      <c r="A2" s="1125"/>
      <c r="B2" s="1936" t="s">
        <v>8</v>
      </c>
      <c r="C2" s="1936" t="s">
        <v>9</v>
      </c>
      <c r="D2" s="1936" t="s">
        <v>8</v>
      </c>
      <c r="E2" s="1936" t="s">
        <v>9</v>
      </c>
      <c r="F2" s="1145"/>
      <c r="G2" s="1961" t="s">
        <v>1204</v>
      </c>
      <c r="H2" s="1962">
        <f>StackID</f>
        <v>0</v>
      </c>
      <c r="I2" s="1145"/>
      <c r="J2" s="1145"/>
      <c r="K2" s="1146"/>
      <c r="N2" s="670"/>
    </row>
    <row r="3" spans="1:19" ht="10.5" customHeight="1">
      <c r="A3" s="1131" t="s">
        <v>5</v>
      </c>
      <c r="B3" s="1930">
        <f>'Flows &amp; Isokinetics'!J7</f>
        <v>0</v>
      </c>
      <c r="C3" s="1930">
        <f>'Flows &amp; Isokinetics'!K7</f>
        <v>0</v>
      </c>
      <c r="D3" s="1506">
        <f>'PM10 &amp; 2.5'!G5</f>
        <v>0</v>
      </c>
      <c r="E3" s="1506">
        <f>'PM10 &amp; 2.5'!H5</f>
        <v>0</v>
      </c>
      <c r="F3" s="1499" t="s">
        <v>1266</v>
      </c>
      <c r="G3" s="1924" t="s">
        <v>1196</v>
      </c>
      <c r="H3" s="1963">
        <f>Date</f>
        <v>0</v>
      </c>
      <c r="I3" s="1145"/>
      <c r="J3" s="1145"/>
      <c r="K3" s="1146"/>
      <c r="N3" s="670"/>
    </row>
    <row r="4" spans="1:19" ht="10.5" customHeight="1">
      <c r="A4" s="1131" t="s">
        <v>6</v>
      </c>
      <c r="B4" s="1930">
        <f>'Flows &amp; Isokinetics'!J8</f>
        <v>0</v>
      </c>
      <c r="C4" s="1930">
        <f>'Flows &amp; Isokinetics'!K8</f>
        <v>0</v>
      </c>
      <c r="D4" s="1506">
        <f>'PM10 &amp; 2.5'!G6</f>
        <v>0</v>
      </c>
      <c r="E4" s="1506">
        <f>'PM10 &amp; 2.5'!H6</f>
        <v>0</v>
      </c>
      <c r="F4" s="1499" t="s">
        <v>1266</v>
      </c>
      <c r="G4" s="1430"/>
      <c r="H4" s="1145"/>
      <c r="I4" s="1440" t="s">
        <v>8</v>
      </c>
      <c r="J4" s="1936" t="s">
        <v>9</v>
      </c>
      <c r="K4" s="1146"/>
      <c r="N4" s="670"/>
    </row>
    <row r="5" spans="1:19" ht="10.5" customHeight="1">
      <c r="A5" s="1131" t="s">
        <v>1283</v>
      </c>
      <c r="B5" s="1931">
        <f>IF(ISNUMBER(MeterTempAvg1),MeterTempAvg1,MeterTemp1)</f>
        <v>0</v>
      </c>
      <c r="C5" s="1931">
        <f>IF(ISNUMBER(MeterTempAvg2),MeterTempAvg2,MeterTemp2)</f>
        <v>0</v>
      </c>
      <c r="D5" s="1931" t="e">
        <f>IF(ISNUMBER(MeterTempAvg3),MeterTempAvg3,MeterTempAvg3)</f>
        <v>#DIV/0!</v>
      </c>
      <c r="E5" s="1931" t="e">
        <f>IF(ISNUMBER(MeterTempAvg4),MeterTempAvg4,MeterTempAvg4)</f>
        <v>#DIV/0!</v>
      </c>
      <c r="F5" s="1499" t="str">
        <f>TU</f>
        <v>°C</v>
      </c>
      <c r="G5" s="1145"/>
      <c r="H5" s="1924" t="s">
        <v>1292</v>
      </c>
      <c r="I5" s="1931" t="e">
        <f>AverageStackTemp1</f>
        <v>#DIV/0!</v>
      </c>
      <c r="J5" s="1931" t="e">
        <f>AverageStackTemp2</f>
        <v>#DIV/0!</v>
      </c>
      <c r="K5" s="1937" t="str">
        <f>TU</f>
        <v>°C</v>
      </c>
      <c r="N5" s="670"/>
    </row>
    <row r="6" spans="1:19" ht="10.5" customHeight="1">
      <c r="A6" s="1131" t="s">
        <v>7</v>
      </c>
      <c r="B6" s="1931" t="e">
        <f>IF(ISNUMBER(B3),(B4-B3)*Mratio1,"")</f>
        <v>#N/A</v>
      </c>
      <c r="C6" s="1931" t="e">
        <f>IF(ISNUMBER(C3),(C4-C3)*Mratio2,"")</f>
        <v>#N/A</v>
      </c>
      <c r="D6" s="1931" t="e">
        <f>IF(ISNUMBER(D3),(D4-D3)*Mratio3,"")</f>
        <v>#N/A</v>
      </c>
      <c r="E6" s="1931" t="e">
        <f>IF(ISNUMBER(E3),(E4-E3)*Mratio4,"")</f>
        <v>#N/A</v>
      </c>
      <c r="F6" s="1145" t="s">
        <v>1266</v>
      </c>
      <c r="G6" s="1145"/>
      <c r="H6" s="1924" t="s">
        <v>1276</v>
      </c>
      <c r="I6" s="1938" t="e">
        <f>AverageFlowDry1</f>
        <v>#DIV/0!</v>
      </c>
      <c r="J6" s="1938" t="e">
        <f>AverageFlowDry2</f>
        <v>#DIV/0!</v>
      </c>
      <c r="K6" s="1939" t="str">
        <f>FU</f>
        <v>m³/min</v>
      </c>
    </row>
    <row r="7" spans="1:19" ht="10.5" customHeight="1">
      <c r="A7" s="1131" t="str">
        <f>NTPSTP&amp;" volume"</f>
        <v>STP volume</v>
      </c>
      <c r="B7" s="1931" t="e">
        <f>IF(ISNUMBER(B3),B6*(TVC+273.15)/(B5+273.15)*(BaroPress1+MeterPressAvg1*10)/1013.25,"")</f>
        <v>#N/A</v>
      </c>
      <c r="C7" s="1931" t="e">
        <f>IF(ISNUMBER(C3),C6*(TVC+273.15)/(C5+273.15)*(BaroPress2+MeterPressAvg2*10)/1013.25,"")</f>
        <v>#N/A</v>
      </c>
      <c r="D7" s="1931" t="e">
        <f>IF(ISNUMBER(D3),D6*(TVC+273.15)/(D5+273.15)*(BaroPress3+MeterPressAvg3*10)/1013.25,"")</f>
        <v>#N/A</v>
      </c>
      <c r="E7" s="1931" t="e">
        <f>IF(ISNUMBER(E3),E6*(TVC+273.15)/(E5+273.15)*(BaroPress4+MeterPressAvg4*10)/1013.25,"")</f>
        <v>#N/A</v>
      </c>
      <c r="F7" s="1145" t="s">
        <v>1266</v>
      </c>
      <c r="G7" s="1145"/>
      <c r="H7" s="1924" t="s">
        <v>493</v>
      </c>
      <c r="I7" s="470" t="e">
        <f>IF(VolumeNTP1="",VolumeNTP3,VolumeNTP1)</f>
        <v>#N/A</v>
      </c>
      <c r="J7" s="470" t="e">
        <f>IF(VolumeNTP2="",VolumeNTP4,VolumeNTP2)</f>
        <v>#N/A</v>
      </c>
      <c r="K7" s="1504" t="s">
        <v>1266</v>
      </c>
    </row>
    <row r="8" spans="1:19" ht="10.5" customHeight="1" thickBot="1">
      <c r="A8" s="1932"/>
      <c r="B8" s="1933"/>
      <c r="C8" s="1933"/>
      <c r="D8" s="1933"/>
      <c r="E8" s="1933"/>
      <c r="F8" s="1934"/>
      <c r="G8" s="1934"/>
      <c r="H8" s="1935" t="s">
        <v>1834</v>
      </c>
      <c r="I8" s="1941" t="e">
        <f>IF(PSACheck=TRUE,AverageFlowDry1,AverageFlowDry3)</f>
        <v>#DIV/0!</v>
      </c>
      <c r="J8" s="1941" t="e">
        <f>IF(PSACheck=TRUE,AverageFlowDry2,AverageFlowDry4)</f>
        <v>#DIV/0!</v>
      </c>
      <c r="K8" s="1940"/>
    </row>
    <row r="9" spans="1:19" ht="12.75" customHeight="1" thickBot="1">
      <c r="A9" s="2596" t="s">
        <v>8</v>
      </c>
      <c r="B9" s="2596"/>
      <c r="C9" s="2596"/>
      <c r="D9" s="2596"/>
      <c r="E9" s="2596"/>
      <c r="F9" s="2596"/>
      <c r="G9" s="2596"/>
      <c r="H9" s="2596"/>
      <c r="I9" s="2596"/>
      <c r="J9" s="2596"/>
      <c r="K9" s="2596"/>
      <c r="M9" s="2596" t="s">
        <v>1242</v>
      </c>
      <c r="N9" s="2596"/>
      <c r="O9" s="2596"/>
      <c r="P9" s="2596"/>
    </row>
    <row r="10" spans="1:19" s="133" customFormat="1" ht="10.5" customHeight="1">
      <c r="A10" s="1942" t="s">
        <v>1275</v>
      </c>
      <c r="B10" s="1943" t="s">
        <v>1333</v>
      </c>
      <c r="C10" s="1944" t="s">
        <v>1430</v>
      </c>
      <c r="D10" s="1944" t="s">
        <v>1429</v>
      </c>
      <c r="E10" s="1944" t="s">
        <v>291</v>
      </c>
      <c r="F10" s="1944" t="s">
        <v>292</v>
      </c>
      <c r="G10" s="1944" t="s">
        <v>293</v>
      </c>
      <c r="H10" s="1944" t="s">
        <v>1325</v>
      </c>
      <c r="I10" s="1944" t="s">
        <v>1397</v>
      </c>
      <c r="J10" s="1944" t="s">
        <v>97</v>
      </c>
      <c r="K10" s="1945" t="s">
        <v>1329</v>
      </c>
      <c r="M10" s="1955" t="s">
        <v>1333</v>
      </c>
      <c r="N10" s="1944" t="s">
        <v>1397</v>
      </c>
      <c r="O10" s="1944" t="s">
        <v>97</v>
      </c>
      <c r="P10" s="1945" t="s">
        <v>1329</v>
      </c>
      <c r="S10" s="670"/>
    </row>
    <row r="11" spans="1:19" s="133" customFormat="1" ht="10.5" customHeight="1">
      <c r="A11" s="1114"/>
      <c r="B11" s="1440"/>
      <c r="C11" s="470" t="s">
        <v>1355</v>
      </c>
      <c r="D11" s="1440" t="str">
        <f>$C11</f>
        <v>mg</v>
      </c>
      <c r="E11" s="1440" t="str">
        <f>$C11</f>
        <v>mg</v>
      </c>
      <c r="F11" s="1440" t="str">
        <f>$C11</f>
        <v>mg</v>
      </c>
      <c r="G11" s="1440" t="str">
        <f>$C11</f>
        <v>mg</v>
      </c>
      <c r="H11" s="1440"/>
      <c r="I11" s="1440" t="str">
        <f>CU</f>
        <v>mg/m³</v>
      </c>
      <c r="J11" s="1440" t="str">
        <f>CU</f>
        <v>mg/m³</v>
      </c>
      <c r="K11" s="1946" t="str">
        <f>MRU</f>
        <v>g/min</v>
      </c>
      <c r="M11" s="1134"/>
      <c r="N11" s="1440" t="str">
        <f>CU</f>
        <v>mg/m³</v>
      </c>
      <c r="O11" s="1440" t="str">
        <f>CU</f>
        <v>mg/m³</v>
      </c>
      <c r="P11" s="1946" t="str">
        <f>MRU</f>
        <v>g/min</v>
      </c>
      <c r="S11" s="670"/>
    </row>
    <row r="12" spans="1:19" s="133" customFormat="1" ht="10.5" hidden="1" customHeight="1">
      <c r="A12" s="60"/>
      <c r="B12" s="134"/>
      <c r="C12" s="561">
        <f>VLOOKUP(C11,MassTable,2,FALSE)</f>
        <v>1000</v>
      </c>
      <c r="D12" s="134"/>
      <c r="E12" s="134"/>
      <c r="F12" s="134"/>
      <c r="G12" s="134"/>
      <c r="H12" s="134"/>
      <c r="I12" s="134"/>
      <c r="J12" s="134"/>
      <c r="K12" s="135"/>
      <c r="M12" s="61"/>
      <c r="N12" s="1952"/>
      <c r="O12" s="1952"/>
      <c r="P12" s="1953"/>
      <c r="S12" s="670"/>
    </row>
    <row r="13" spans="1:19" ht="10.5" customHeight="1">
      <c r="A13" s="255" t="str">
        <f>IF('Flows &amp; Isokinetics'!J2="","","TPM")</f>
        <v/>
      </c>
      <c r="B13" s="136"/>
      <c r="C13" s="137"/>
      <c r="D13" s="137"/>
      <c r="E13" s="137"/>
      <c r="F13" s="137"/>
      <c r="G13" s="137"/>
      <c r="H13" s="1928" t="str">
        <f>IF(A13="","",'Flows &amp; Isokinetics'!J$2)</f>
        <v/>
      </c>
      <c r="I13" s="1947" t="str">
        <f>IF(COUNT(C13:G13)&gt;0,SUM(C13:G13)/VolumeNTP1/C$12/VoF*CF,"")</f>
        <v/>
      </c>
      <c r="J13" s="1947" t="str">
        <f>IF(ISNUMBER(ConcPM1),ConcPM1*O2correction*CO2correction,"")</f>
        <v/>
      </c>
      <c r="K13" s="1948" t="str">
        <f>IF(ISNUMBER(ConcPM1),ConcPM1*AverageFlowDry1/CF/FF*MRF*1000,"")</f>
        <v/>
      </c>
      <c r="M13" s="635" t="str">
        <f>IF(AND(ISTEXT(B13),ISTEXT(B66)),"&lt;",IF(OR(ISTEXT(B13),ISTEXT(B66)),"≤",""))</f>
        <v/>
      </c>
      <c r="N13" s="1947" t="str">
        <f>IF(AND(ISNUMBER(ConcPM1),ISNUMBER(ConcPM2)),AVERAGE(ConcPM1,ConcPM2),ConcPM1)</f>
        <v/>
      </c>
      <c r="O13" s="1947" t="str">
        <f t="shared" ref="O13:P16" si="0">IF(AND(ISNUMBER(J13),ISNUMBER(J66)),AVERAGE(J13,J66),J13)</f>
        <v/>
      </c>
      <c r="P13" s="1948" t="str">
        <f t="shared" si="0"/>
        <v/>
      </c>
    </row>
    <row r="14" spans="1:19" ht="10.5" customHeight="1">
      <c r="A14" s="255" t="str">
        <f>IF('PM10 &amp; 2.5'!$G$2="","",TPMlabel(PMtest3))</f>
        <v/>
      </c>
      <c r="B14" s="136"/>
      <c r="C14" s="137"/>
      <c r="D14" s="137"/>
      <c r="E14" s="137"/>
      <c r="F14" s="137"/>
      <c r="G14" s="137"/>
      <c r="H14" s="1928" t="str">
        <f>IF(A14="","",IF('PM10 &amp; 2.5'!G$2="","",'PM10 &amp; 2.5'!G$2))</f>
        <v/>
      </c>
      <c r="I14" s="1947" t="str">
        <f>IF(COUNT(C14:G14)&gt;0,SUM(C14:G14)/VolumeNTP3/C$12/VoF*CF,"")</f>
        <v/>
      </c>
      <c r="J14" s="1947" t="str">
        <f>IF(ISNUMBER(ConcPM1b),ConcPM1b*O2correction*CO2correction,"")</f>
        <v/>
      </c>
      <c r="K14" s="1948" t="str">
        <f>IF(ISNUMBER(ConcPM1b),ConcPM1b*AverageFlowDry3/CF/FF*MRF*1000,"")</f>
        <v/>
      </c>
      <c r="M14" s="177" t="str">
        <f>IF(AND(ISTEXT(B14),ISTEXT(B67)),"&lt;",IF(OR(ISTEXT(B14),ISTEXT(B67)),"≤",""))</f>
        <v/>
      </c>
      <c r="N14" s="1947" t="str">
        <f>IF(AND(ISNUMBER(ConcPM1b),ISNUMBER(ConcPM2b)),AVERAGE(ConcPM1b,ConcPM2b),ConcPM1b)</f>
        <v/>
      </c>
      <c r="O14" s="1947" t="str">
        <f t="shared" si="0"/>
        <v/>
      </c>
      <c r="P14" s="1948" t="str">
        <f t="shared" si="0"/>
        <v/>
      </c>
    </row>
    <row r="15" spans="1:19" ht="10.5" customHeight="1">
      <c r="A15" s="255" t="str">
        <f>IF('PM10 &amp; 2.5'!$G$2="","",PM10label(PMtest3))</f>
        <v/>
      </c>
      <c r="B15" s="136"/>
      <c r="C15" s="137"/>
      <c r="D15" s="137"/>
      <c r="E15" s="137"/>
      <c r="F15" s="137"/>
      <c r="G15" s="137"/>
      <c r="H15" s="1928" t="str">
        <f>IF(A15="","",IF('PM10 &amp; 2.5'!G$2="","",'PM10 &amp; 2.5'!G$2))</f>
        <v/>
      </c>
      <c r="I15" s="1947" t="str">
        <f>IF(PSACheck=TRUE,IF(C17="","",C17*ConcPM1),IF(COUNT(C15:G15)&gt;0,SUM(C15:G15)/VolumeNTP3/C$12/VoF*CF,""))</f>
        <v/>
      </c>
      <c r="J15" s="1947" t="str">
        <f>IF(ISNUMBER(ConcPM3),ConcPM3*O2correction*CO2correction,"")</f>
        <v/>
      </c>
      <c r="K15" s="1948" t="str">
        <f>IF(ISNUMBER(ConcPM3),ConcPM3*I8/CF/FF*MRF*1000,"")</f>
        <v/>
      </c>
      <c r="L15" s="1832" t="str">
        <f>IF(PSACheck=TRUE,"PSA","")</f>
        <v/>
      </c>
      <c r="M15" s="177" t="str">
        <f>IF(AND(ISTEXT(B15),ISTEXT(B68)),"&lt;",IF(OR(ISTEXT(B15),ISTEXT(B68)),"≤",""))</f>
        <v/>
      </c>
      <c r="N15" s="1947" t="str">
        <f>IF(AND(ISNUMBER(ConcPM3),ISNUMBER(ConcPM4)),AVERAGE(ConcPM3,ConcPM4),ConcPM3)</f>
        <v/>
      </c>
      <c r="O15" s="1947" t="str">
        <f t="shared" si="0"/>
        <v/>
      </c>
      <c r="P15" s="1948" t="str">
        <f t="shared" si="0"/>
        <v/>
      </c>
    </row>
    <row r="16" spans="1:19" ht="10.5" customHeight="1">
      <c r="A16" s="255" t="str">
        <f>IF('PM10 &amp; 2.5'!$G$2="","",PM25label(PMtest3))</f>
        <v/>
      </c>
      <c r="B16" s="136"/>
      <c r="C16" s="137"/>
      <c r="D16" s="137"/>
      <c r="E16" s="137"/>
      <c r="F16" s="137"/>
      <c r="G16" s="137"/>
      <c r="H16" s="1928" t="str">
        <f>IF(A16="","",IF('PM10 &amp; 2.5'!G$2="","",'PM10 &amp; 2.5'!G$2))</f>
        <v/>
      </c>
      <c r="I16" s="1947" t="str">
        <f>IF(PSACheck=TRUE,IF(C18="","",C18*ConcPM1),IF(COUNT(C16:G16)&gt;0,SUM(C16:G16)/VolumeNTP3/C$12/VoF*CF,""))</f>
        <v/>
      </c>
      <c r="J16" s="1947" t="str">
        <f>IF(ISNUMBER(ConcPM5),ConcPM5*O2correction*CO2correction,"")</f>
        <v/>
      </c>
      <c r="K16" s="1948" t="str">
        <f>IF(ISNUMBER(ConcPM5),ConcPM5*I8/CF/FF*MRF*1000,"")</f>
        <v/>
      </c>
      <c r="L16" s="1832" t="str">
        <f>IF(PSACheck=TRUE,"PSA","")</f>
        <v/>
      </c>
      <c r="M16" s="177" t="str">
        <f>IF(AND(ISTEXT(B16),ISTEXT(B69)),"&lt;",IF(OR(ISTEXT(B16),ISTEXT(B69)),"≤",""))</f>
        <v/>
      </c>
      <c r="N16" s="1947" t="str">
        <f>IF(AND(ISNUMBER(ConcPM5),ISNUMBER(ConcPM6)),AVERAGE(ConcPM5,ConcPM6),ConcPM5)</f>
        <v/>
      </c>
      <c r="O16" s="1947" t="str">
        <f t="shared" si="0"/>
        <v/>
      </c>
      <c r="P16" s="1948" t="str">
        <f t="shared" si="0"/>
        <v/>
      </c>
    </row>
    <row r="17" spans="1:25" ht="10.5" customHeight="1">
      <c r="A17" s="255" t="str">
        <f>IF(PSACheck=TRUE,"PM10 PSA","")</f>
        <v/>
      </c>
      <c r="B17" s="1496" t="s">
        <v>1201</v>
      </c>
      <c r="C17" s="1834"/>
      <c r="D17" s="1949"/>
      <c r="E17" s="1949"/>
      <c r="F17" s="1949"/>
      <c r="G17" s="1949"/>
      <c r="H17" s="1949"/>
      <c r="I17" s="1949"/>
      <c r="J17" s="1949"/>
      <c r="K17" s="1950"/>
      <c r="M17" s="1134"/>
      <c r="N17" s="1949"/>
      <c r="O17" s="1949"/>
      <c r="P17" s="1950"/>
    </row>
    <row r="18" spans="1:25" ht="10.5" customHeight="1">
      <c r="A18" s="255" t="str">
        <f>IF(PSACheck=TRUE,"PM2.5 PSA ","")</f>
        <v/>
      </c>
      <c r="B18" s="1496" t="s">
        <v>1201</v>
      </c>
      <c r="C18" s="1834"/>
      <c r="D18" s="1949"/>
      <c r="E18" s="1949"/>
      <c r="F18" s="1949"/>
      <c r="G18" s="1949"/>
      <c r="H18" s="1949"/>
      <c r="I18" s="1949"/>
      <c r="J18" s="1949"/>
      <c r="K18" s="1950"/>
      <c r="M18" s="1134"/>
      <c r="N18" s="1949"/>
      <c r="O18" s="1949"/>
      <c r="P18" s="1950"/>
    </row>
    <row r="19" spans="1:25" ht="10.5" customHeight="1">
      <c r="A19" s="1954" t="s">
        <v>1437</v>
      </c>
      <c r="B19" s="1440" t="s">
        <v>1333</v>
      </c>
      <c r="C19" s="1436" t="s">
        <v>1435</v>
      </c>
      <c r="D19" s="1436" t="s">
        <v>1428</v>
      </c>
      <c r="E19" s="1436" t="s">
        <v>1431</v>
      </c>
      <c r="F19" s="1436" t="s">
        <v>1432</v>
      </c>
      <c r="G19" s="1436" t="s">
        <v>1433</v>
      </c>
      <c r="H19" s="1436" t="s">
        <v>1434</v>
      </c>
      <c r="I19" s="1436" t="s">
        <v>1397</v>
      </c>
      <c r="J19" s="1436" t="s">
        <v>97</v>
      </c>
      <c r="K19" s="1951" t="s">
        <v>1329</v>
      </c>
      <c r="M19" s="1134" t="s">
        <v>1333</v>
      </c>
      <c r="N19" s="1436" t="s">
        <v>1397</v>
      </c>
      <c r="O19" s="1436" t="s">
        <v>97</v>
      </c>
      <c r="P19" s="1951" t="s">
        <v>1329</v>
      </c>
    </row>
    <row r="20" spans="1:25" ht="10.5" customHeight="1">
      <c r="A20" s="1114"/>
      <c r="B20" s="1440"/>
      <c r="C20" s="470" t="s">
        <v>1427</v>
      </c>
      <c r="D20" s="1440" t="str">
        <f>$C20</f>
        <v>µg</v>
      </c>
      <c r="E20" s="1440" t="str">
        <f>$C20</f>
        <v>µg</v>
      </c>
      <c r="F20" s="1440" t="str">
        <f>$C20</f>
        <v>µg</v>
      </c>
      <c r="G20" s="1440" t="str">
        <f>$C20</f>
        <v>µg</v>
      </c>
      <c r="H20" s="1440" t="str">
        <f>$C20</f>
        <v>µg</v>
      </c>
      <c r="I20" s="1440" t="str">
        <f>CU</f>
        <v>mg/m³</v>
      </c>
      <c r="J20" s="1440" t="str">
        <f>CU</f>
        <v>mg/m³</v>
      </c>
      <c r="K20" s="1946" t="str">
        <f>MRU</f>
        <v>g/min</v>
      </c>
      <c r="L20" s="133"/>
      <c r="M20" s="1134"/>
      <c r="N20" s="1440" t="str">
        <f>CU</f>
        <v>mg/m³</v>
      </c>
      <c r="O20" s="1440" t="str">
        <f>CU</f>
        <v>mg/m³</v>
      </c>
      <c r="P20" s="1946" t="str">
        <f>MRU</f>
        <v>g/min</v>
      </c>
    </row>
    <row r="21" spans="1:25" ht="10.5" hidden="1" customHeight="1">
      <c r="A21" s="60"/>
      <c r="B21" s="134"/>
      <c r="C21" s="561">
        <f>VLOOKUP(C20,MassTable,2,FALSE)</f>
        <v>1000000</v>
      </c>
      <c r="D21" s="134"/>
      <c r="E21" s="134"/>
      <c r="F21" s="134"/>
      <c r="G21" s="134"/>
      <c r="H21" s="134"/>
      <c r="I21" s="1952"/>
      <c r="J21" s="1952"/>
      <c r="K21" s="1953"/>
      <c r="L21" s="133"/>
      <c r="M21" s="61"/>
      <c r="N21" s="1440"/>
      <c r="O21" s="1440"/>
      <c r="P21" s="1946"/>
    </row>
    <row r="22" spans="1:25" ht="10.5" customHeight="1">
      <c r="A22" s="140"/>
      <c r="B22" s="136"/>
      <c r="C22" s="137"/>
      <c r="D22" s="137"/>
      <c r="E22" s="141"/>
      <c r="F22" s="137"/>
      <c r="G22" s="137"/>
      <c r="H22" s="137"/>
      <c r="I22" s="1947" t="str">
        <f>IF(COUNT(C22:H22)&gt;0,SUM(C22:H22)/VolumeT1/C$21/VoF*CF,"")</f>
        <v/>
      </c>
      <c r="J22" s="1947" t="str">
        <f t="shared" ref="J22:J57" si="1">IF(I22="","",I22*O2correction*CO2correction)</f>
        <v/>
      </c>
      <c r="K22" s="1948" t="str">
        <f>IF(I22="","",I22*AverageFlowDry1/CF/FF*MRF*1000)</f>
        <v/>
      </c>
      <c r="M22" s="177" t="str">
        <f t="shared" ref="M22:M31" si="2">IF(AND(ISTEXT(B22),ISTEXT(B75)),"&lt;",IF(OR(ISTEXT(B22),ISTEXT(B75)),"≤",""))</f>
        <v/>
      </c>
      <c r="N22" s="1947" t="str">
        <f t="shared" ref="N22:N57" si="3">IF(AND(ISNUMBER(I22),ISNUMBER(I75)),AVERAGE(I22,I75),I22)</f>
        <v/>
      </c>
      <c r="O22" s="1947" t="str">
        <f t="shared" ref="O22:O57" si="4">IF(AND(ISNUMBER(J22),ISNUMBER(J75)),AVERAGE(J22,J75),J22)</f>
        <v/>
      </c>
      <c r="P22" s="1948" t="str">
        <f t="shared" ref="P22:P57" si="5">IF(AND(ISNUMBER(K22),ISNUMBER(K75)),AVERAGE(K22,K75),K22)</f>
        <v/>
      </c>
      <c r="V22" s="1813"/>
      <c r="W22" s="1813"/>
      <c r="X22" s="1813"/>
      <c r="Y22" s="1813"/>
    </row>
    <row r="23" spans="1:25" ht="10.5" customHeight="1">
      <c r="A23" s="140"/>
      <c r="B23" s="136"/>
      <c r="C23" s="137"/>
      <c r="D23" s="137"/>
      <c r="E23" s="141"/>
      <c r="F23" s="137"/>
      <c r="G23" s="137"/>
      <c r="H23" s="137"/>
      <c r="I23" s="1947" t="str">
        <f>IF(COUNT(C23:H23)&gt;0,SUM(C23:H23)/VolumeT1/C$21/VoF*CF,"")</f>
        <v/>
      </c>
      <c r="J23" s="1947" t="str">
        <f t="shared" si="1"/>
        <v/>
      </c>
      <c r="K23" s="1948" t="str">
        <f>IF(I23="","",I23*AverageFlowDry1/CF/FF*MRF*1000)</f>
        <v/>
      </c>
      <c r="M23" s="177" t="str">
        <f t="shared" si="2"/>
        <v/>
      </c>
      <c r="N23" s="1947" t="str">
        <f t="shared" si="3"/>
        <v/>
      </c>
      <c r="O23" s="1947" t="str">
        <f t="shared" si="4"/>
        <v/>
      </c>
      <c r="P23" s="1948" t="str">
        <f t="shared" si="5"/>
        <v/>
      </c>
      <c r="V23" s="2012"/>
      <c r="W23" s="2011"/>
      <c r="X23" s="2012"/>
      <c r="Y23" s="2012"/>
    </row>
    <row r="24" spans="1:25" ht="10.5" customHeight="1">
      <c r="A24" s="140"/>
      <c r="B24" s="136"/>
      <c r="C24" s="137"/>
      <c r="D24" s="137"/>
      <c r="E24" s="141"/>
      <c r="F24" s="137"/>
      <c r="G24" s="137"/>
      <c r="H24" s="137"/>
      <c r="I24" s="1947" t="str">
        <f t="shared" ref="I24:I38" si="6">IF(COUNT(C24:H24)&gt;0,SUM(C24:H24)/VolumeT1/C$21/VoF*CF,"")</f>
        <v/>
      </c>
      <c r="J24" s="1947" t="str">
        <f t="shared" si="1"/>
        <v/>
      </c>
      <c r="K24" s="1948" t="str">
        <f t="shared" ref="K24:K38" si="7">IF(I24="","",I24*AverageFlowDry1/CF/FF*MRF*1000)</f>
        <v/>
      </c>
      <c r="M24" s="177" t="str">
        <f t="shared" si="2"/>
        <v/>
      </c>
      <c r="N24" s="1947" t="str">
        <f t="shared" si="3"/>
        <v/>
      </c>
      <c r="O24" s="1947" t="str">
        <f t="shared" si="4"/>
        <v/>
      </c>
      <c r="P24" s="1948" t="str">
        <f t="shared" si="5"/>
        <v/>
      </c>
      <c r="V24" s="2010"/>
      <c r="W24" s="2010"/>
      <c r="X24" s="2010"/>
      <c r="Y24" s="2010"/>
    </row>
    <row r="25" spans="1:25" ht="10.5" customHeight="1">
      <c r="A25" s="140"/>
      <c r="B25" s="136"/>
      <c r="C25" s="137"/>
      <c r="D25" s="137"/>
      <c r="E25" s="141"/>
      <c r="F25" s="137"/>
      <c r="G25" s="137"/>
      <c r="H25" s="137"/>
      <c r="I25" s="1947" t="str">
        <f t="shared" si="6"/>
        <v/>
      </c>
      <c r="J25" s="1947" t="str">
        <f t="shared" si="1"/>
        <v/>
      </c>
      <c r="K25" s="1948" t="str">
        <f t="shared" si="7"/>
        <v/>
      </c>
      <c r="M25" s="177" t="str">
        <f t="shared" si="2"/>
        <v/>
      </c>
      <c r="N25" s="1947" t="str">
        <f t="shared" si="3"/>
        <v/>
      </c>
      <c r="O25" s="1947" t="str">
        <f t="shared" si="4"/>
        <v/>
      </c>
      <c r="P25" s="1948" t="str">
        <f t="shared" si="5"/>
        <v/>
      </c>
      <c r="V25" s="2010"/>
      <c r="W25" s="2010"/>
      <c r="X25" s="2010"/>
      <c r="Y25" s="2010"/>
    </row>
    <row r="26" spans="1:25" ht="10.5" customHeight="1">
      <c r="A26" s="140"/>
      <c r="B26" s="136"/>
      <c r="C26" s="137"/>
      <c r="D26" s="137"/>
      <c r="E26" s="141"/>
      <c r="F26" s="137"/>
      <c r="G26" s="137"/>
      <c r="H26" s="137"/>
      <c r="I26" s="1947" t="str">
        <f t="shared" si="6"/>
        <v/>
      </c>
      <c r="J26" s="1947" t="str">
        <f t="shared" si="1"/>
        <v/>
      </c>
      <c r="K26" s="1948" t="str">
        <f t="shared" si="7"/>
        <v/>
      </c>
      <c r="M26" s="177" t="str">
        <f t="shared" si="2"/>
        <v/>
      </c>
      <c r="N26" s="1947" t="str">
        <f t="shared" si="3"/>
        <v/>
      </c>
      <c r="O26" s="1947" t="str">
        <f t="shared" si="4"/>
        <v/>
      </c>
      <c r="P26" s="1948" t="str">
        <f t="shared" si="5"/>
        <v/>
      </c>
      <c r="V26" s="2010"/>
      <c r="W26" s="2010"/>
      <c r="X26" s="2010"/>
      <c r="Y26" s="2010"/>
    </row>
    <row r="27" spans="1:25" ht="10.5" customHeight="1">
      <c r="A27" s="140"/>
      <c r="B27" s="136"/>
      <c r="C27" s="137"/>
      <c r="D27" s="137"/>
      <c r="E27" s="141"/>
      <c r="F27" s="137"/>
      <c r="G27" s="137"/>
      <c r="H27" s="137"/>
      <c r="I27" s="1947" t="str">
        <f t="shared" si="6"/>
        <v/>
      </c>
      <c r="J27" s="1947" t="str">
        <f t="shared" si="1"/>
        <v/>
      </c>
      <c r="K27" s="1948" t="str">
        <f t="shared" si="7"/>
        <v/>
      </c>
      <c r="M27" s="177" t="str">
        <f t="shared" si="2"/>
        <v/>
      </c>
      <c r="N27" s="1947" t="str">
        <f t="shared" si="3"/>
        <v/>
      </c>
      <c r="O27" s="1947" t="str">
        <f t="shared" si="4"/>
        <v/>
      </c>
      <c r="P27" s="1948" t="str">
        <f t="shared" si="5"/>
        <v/>
      </c>
      <c r="V27" s="2010"/>
      <c r="W27" s="2010"/>
      <c r="X27" s="2010"/>
      <c r="Y27" s="2010"/>
    </row>
    <row r="28" spans="1:25" ht="10.5" customHeight="1">
      <c r="A28" s="140"/>
      <c r="B28" s="136"/>
      <c r="C28" s="137"/>
      <c r="D28" s="137"/>
      <c r="E28" s="141"/>
      <c r="F28" s="137"/>
      <c r="G28" s="137"/>
      <c r="H28" s="137"/>
      <c r="I28" s="1947" t="str">
        <f t="shared" si="6"/>
        <v/>
      </c>
      <c r="J28" s="1947" t="str">
        <f t="shared" si="1"/>
        <v/>
      </c>
      <c r="K28" s="1948" t="str">
        <f t="shared" si="7"/>
        <v/>
      </c>
      <c r="M28" s="177" t="str">
        <f t="shared" si="2"/>
        <v/>
      </c>
      <c r="N28" s="1947" t="str">
        <f t="shared" si="3"/>
        <v/>
      </c>
      <c r="O28" s="1947" t="str">
        <f t="shared" si="4"/>
        <v/>
      </c>
      <c r="P28" s="1948" t="str">
        <f t="shared" si="5"/>
        <v/>
      </c>
      <c r="V28" s="2010"/>
      <c r="W28" s="2010"/>
      <c r="X28" s="2010"/>
      <c r="Y28" s="2010"/>
    </row>
    <row r="29" spans="1:25" ht="10.5" customHeight="1">
      <c r="A29" s="140"/>
      <c r="B29" s="136"/>
      <c r="C29" s="137"/>
      <c r="D29" s="137"/>
      <c r="E29" s="141"/>
      <c r="F29" s="137"/>
      <c r="G29" s="137"/>
      <c r="H29" s="137"/>
      <c r="I29" s="1947" t="str">
        <f t="shared" si="6"/>
        <v/>
      </c>
      <c r="J29" s="1947" t="str">
        <f t="shared" si="1"/>
        <v/>
      </c>
      <c r="K29" s="1948" t="str">
        <f t="shared" si="7"/>
        <v/>
      </c>
      <c r="M29" s="177" t="str">
        <f t="shared" si="2"/>
        <v/>
      </c>
      <c r="N29" s="1947" t="str">
        <f t="shared" si="3"/>
        <v/>
      </c>
      <c r="O29" s="1947" t="str">
        <f t="shared" si="4"/>
        <v/>
      </c>
      <c r="P29" s="1948" t="str">
        <f t="shared" si="5"/>
        <v/>
      </c>
      <c r="V29" s="2011"/>
      <c r="W29" s="2010"/>
      <c r="X29" s="2011"/>
      <c r="Y29" s="2011"/>
    </row>
    <row r="30" spans="1:25" ht="10.5" customHeight="1">
      <c r="A30" s="140"/>
      <c r="B30" s="136"/>
      <c r="C30" s="137"/>
      <c r="D30" s="137"/>
      <c r="E30" s="141"/>
      <c r="F30" s="137"/>
      <c r="G30" s="137"/>
      <c r="H30" s="137"/>
      <c r="I30" s="1947" t="str">
        <f t="shared" si="6"/>
        <v/>
      </c>
      <c r="J30" s="1947" t="str">
        <f t="shared" si="1"/>
        <v/>
      </c>
      <c r="K30" s="1948" t="str">
        <f t="shared" si="7"/>
        <v/>
      </c>
      <c r="M30" s="177" t="str">
        <f t="shared" si="2"/>
        <v/>
      </c>
      <c r="N30" s="1947" t="str">
        <f t="shared" si="3"/>
        <v/>
      </c>
      <c r="O30" s="1947" t="str">
        <f t="shared" si="4"/>
        <v/>
      </c>
      <c r="P30" s="1948" t="str">
        <f t="shared" si="5"/>
        <v/>
      </c>
    </row>
    <row r="31" spans="1:25" ht="10.5" customHeight="1">
      <c r="A31" s="140"/>
      <c r="B31" s="136"/>
      <c r="C31" s="137"/>
      <c r="D31" s="137"/>
      <c r="E31" s="141"/>
      <c r="F31" s="137"/>
      <c r="G31" s="137"/>
      <c r="H31" s="137"/>
      <c r="I31" s="1947" t="str">
        <f t="shared" si="6"/>
        <v/>
      </c>
      <c r="J31" s="1947" t="str">
        <f t="shared" si="1"/>
        <v/>
      </c>
      <c r="K31" s="1948" t="str">
        <f t="shared" si="7"/>
        <v/>
      </c>
      <c r="M31" s="177" t="str">
        <f t="shared" si="2"/>
        <v/>
      </c>
      <c r="N31" s="1947" t="str">
        <f t="shared" si="3"/>
        <v/>
      </c>
      <c r="O31" s="1947" t="str">
        <f t="shared" si="4"/>
        <v/>
      </c>
      <c r="P31" s="1948" t="str">
        <f t="shared" si="5"/>
        <v/>
      </c>
      <c r="V31" s="2010"/>
      <c r="W31" s="2010"/>
      <c r="X31" s="2010"/>
      <c r="Y31" s="2010"/>
    </row>
    <row r="32" spans="1:25" ht="10.5" customHeight="1">
      <c r="A32" s="140"/>
      <c r="B32" s="136"/>
      <c r="C32" s="137"/>
      <c r="D32" s="137"/>
      <c r="E32" s="141"/>
      <c r="F32" s="137"/>
      <c r="G32" s="137"/>
      <c r="H32" s="137"/>
      <c r="I32" s="1947" t="str">
        <f t="shared" si="6"/>
        <v/>
      </c>
      <c r="J32" s="1947" t="str">
        <f t="shared" si="1"/>
        <v/>
      </c>
      <c r="K32" s="1948" t="str">
        <f t="shared" si="7"/>
        <v/>
      </c>
      <c r="M32" s="177" t="str">
        <f t="shared" ref="M32:M57" si="8">IF(AND(ISTEXT(B32),ISTEXT(B85)),"&lt;",IF(OR(ISTEXT(B32),ISTEXT(B85)),"≤",""))</f>
        <v/>
      </c>
      <c r="N32" s="1947" t="str">
        <f t="shared" si="3"/>
        <v/>
      </c>
      <c r="O32" s="1947" t="str">
        <f t="shared" si="4"/>
        <v/>
      </c>
      <c r="P32" s="1948" t="str">
        <f t="shared" si="5"/>
        <v/>
      </c>
      <c r="V32" s="2010"/>
      <c r="W32" s="2010"/>
      <c r="X32" s="2010"/>
      <c r="Y32" s="2010"/>
    </row>
    <row r="33" spans="1:25" ht="10.5" customHeight="1">
      <c r="A33" s="140"/>
      <c r="B33" s="136"/>
      <c r="C33" s="137"/>
      <c r="D33" s="137"/>
      <c r="E33" s="141"/>
      <c r="F33" s="137"/>
      <c r="G33" s="137"/>
      <c r="H33" s="137"/>
      <c r="I33" s="1947" t="str">
        <f t="shared" si="6"/>
        <v/>
      </c>
      <c r="J33" s="1947" t="str">
        <f t="shared" si="1"/>
        <v/>
      </c>
      <c r="K33" s="1948" t="str">
        <f t="shared" si="7"/>
        <v/>
      </c>
      <c r="M33" s="177" t="str">
        <f t="shared" si="8"/>
        <v/>
      </c>
      <c r="N33" s="1947" t="str">
        <f t="shared" si="3"/>
        <v/>
      </c>
      <c r="O33" s="1947" t="str">
        <f t="shared" si="4"/>
        <v/>
      </c>
      <c r="P33" s="1948" t="str">
        <f t="shared" si="5"/>
        <v/>
      </c>
      <c r="V33" s="2016"/>
      <c r="W33" s="2011"/>
      <c r="X33" s="2595"/>
      <c r="Y33" s="2595"/>
    </row>
    <row r="34" spans="1:25" ht="10.5" customHeight="1">
      <c r="A34" s="140"/>
      <c r="B34" s="136"/>
      <c r="C34" s="137"/>
      <c r="D34" s="137"/>
      <c r="E34" s="141"/>
      <c r="F34" s="137"/>
      <c r="G34" s="137"/>
      <c r="H34" s="137"/>
      <c r="I34" s="1947" t="str">
        <f t="shared" si="6"/>
        <v/>
      </c>
      <c r="J34" s="1947" t="str">
        <f t="shared" si="1"/>
        <v/>
      </c>
      <c r="K34" s="1948" t="str">
        <f t="shared" si="7"/>
        <v/>
      </c>
      <c r="M34" s="177" t="str">
        <f t="shared" si="8"/>
        <v/>
      </c>
      <c r="N34" s="1947" t="str">
        <f t="shared" si="3"/>
        <v/>
      </c>
      <c r="O34" s="1947" t="str">
        <f t="shared" si="4"/>
        <v/>
      </c>
      <c r="P34" s="1948" t="str">
        <f t="shared" si="5"/>
        <v/>
      </c>
      <c r="V34" s="2010"/>
      <c r="W34" s="2010"/>
      <c r="X34" s="2010"/>
      <c r="Y34" s="2010"/>
    </row>
    <row r="35" spans="1:25" ht="10.5" customHeight="1">
      <c r="A35" s="140"/>
      <c r="B35" s="136"/>
      <c r="C35" s="137"/>
      <c r="D35" s="137"/>
      <c r="E35" s="141"/>
      <c r="F35" s="137"/>
      <c r="G35" s="137"/>
      <c r="H35" s="137"/>
      <c r="I35" s="1947" t="str">
        <f t="shared" si="6"/>
        <v/>
      </c>
      <c r="J35" s="1947" t="str">
        <f t="shared" si="1"/>
        <v/>
      </c>
      <c r="K35" s="1948" t="str">
        <f t="shared" si="7"/>
        <v/>
      </c>
      <c r="M35" s="177" t="str">
        <f t="shared" si="8"/>
        <v/>
      </c>
      <c r="N35" s="1947" t="str">
        <f t="shared" si="3"/>
        <v/>
      </c>
      <c r="O35" s="1947" t="str">
        <f t="shared" si="4"/>
        <v/>
      </c>
      <c r="P35" s="1948" t="str">
        <f t="shared" si="5"/>
        <v/>
      </c>
      <c r="V35" s="2010"/>
      <c r="W35" s="2010"/>
      <c r="X35" s="2010"/>
      <c r="Y35" s="2010"/>
    </row>
    <row r="36" spans="1:25" ht="10.5" customHeight="1">
      <c r="A36" s="140"/>
      <c r="B36" s="136"/>
      <c r="C36" s="137"/>
      <c r="D36" s="137"/>
      <c r="E36" s="141"/>
      <c r="F36" s="137"/>
      <c r="G36" s="137"/>
      <c r="H36" s="137"/>
      <c r="I36" s="1947" t="str">
        <f t="shared" si="6"/>
        <v/>
      </c>
      <c r="J36" s="1947" t="str">
        <f t="shared" si="1"/>
        <v/>
      </c>
      <c r="K36" s="1948" t="str">
        <f t="shared" si="7"/>
        <v/>
      </c>
      <c r="M36" s="177" t="str">
        <f t="shared" si="8"/>
        <v/>
      </c>
      <c r="N36" s="1947" t="str">
        <f t="shared" si="3"/>
        <v/>
      </c>
      <c r="O36" s="1947" t="str">
        <f t="shared" si="4"/>
        <v/>
      </c>
      <c r="P36" s="1948" t="str">
        <f t="shared" si="5"/>
        <v/>
      </c>
      <c r="V36" s="2010"/>
      <c r="W36" s="2010"/>
      <c r="X36" s="2010"/>
      <c r="Y36" s="2010"/>
    </row>
    <row r="37" spans="1:25" ht="10.5" customHeight="1">
      <c r="A37" s="140"/>
      <c r="B37" s="136"/>
      <c r="C37" s="137"/>
      <c r="D37" s="137"/>
      <c r="E37" s="141"/>
      <c r="F37" s="137"/>
      <c r="G37" s="137"/>
      <c r="H37" s="137"/>
      <c r="I37" s="1947" t="str">
        <f t="shared" si="6"/>
        <v/>
      </c>
      <c r="J37" s="1947" t="str">
        <f t="shared" si="1"/>
        <v/>
      </c>
      <c r="K37" s="1948" t="str">
        <f t="shared" si="7"/>
        <v/>
      </c>
      <c r="M37" s="177" t="str">
        <f t="shared" si="8"/>
        <v/>
      </c>
      <c r="N37" s="1947" t="str">
        <f t="shared" si="3"/>
        <v/>
      </c>
      <c r="O37" s="1947" t="str">
        <f t="shared" si="4"/>
        <v/>
      </c>
      <c r="P37" s="1948" t="str">
        <f t="shared" si="5"/>
        <v/>
      </c>
      <c r="V37" s="2010"/>
      <c r="W37" s="2010"/>
      <c r="X37" s="2010"/>
      <c r="Y37" s="2010"/>
    </row>
    <row r="38" spans="1:25" ht="10.5" customHeight="1">
      <c r="A38" s="140"/>
      <c r="B38" s="136"/>
      <c r="C38" s="137"/>
      <c r="D38" s="137"/>
      <c r="E38" s="141"/>
      <c r="F38" s="137"/>
      <c r="G38" s="137"/>
      <c r="H38" s="137"/>
      <c r="I38" s="1947" t="str">
        <f t="shared" si="6"/>
        <v/>
      </c>
      <c r="J38" s="1947" t="str">
        <f t="shared" si="1"/>
        <v/>
      </c>
      <c r="K38" s="1948" t="str">
        <f t="shared" si="7"/>
        <v/>
      </c>
      <c r="M38" s="177" t="str">
        <f t="shared" si="8"/>
        <v/>
      </c>
      <c r="N38" s="1947" t="str">
        <f t="shared" si="3"/>
        <v/>
      </c>
      <c r="O38" s="1947" t="str">
        <f t="shared" si="4"/>
        <v/>
      </c>
      <c r="P38" s="1948" t="str">
        <f t="shared" si="5"/>
        <v/>
      </c>
      <c r="V38" s="2010"/>
      <c r="W38" s="2010"/>
      <c r="X38" s="2010"/>
      <c r="Y38" s="2010"/>
    </row>
    <row r="39" spans="1:25" ht="10.5" customHeight="1">
      <c r="A39" s="140"/>
      <c r="B39" s="136"/>
      <c r="C39" s="137"/>
      <c r="D39" s="137"/>
      <c r="E39" s="141"/>
      <c r="F39" s="137"/>
      <c r="G39" s="137"/>
      <c r="H39" s="137"/>
      <c r="I39" s="1947" t="str">
        <f>IF(COUNT(C39:H39)&gt;0,SUM(C39:H39)/VolumeT1/C$21/VoF*CF,"")</f>
        <v/>
      </c>
      <c r="J39" s="1947" t="str">
        <f t="shared" si="1"/>
        <v/>
      </c>
      <c r="K39" s="1948" t="str">
        <f>IF(I39="","",I39*AverageFlowDry1/CF/FF*MRF*1000)</f>
        <v/>
      </c>
      <c r="M39" s="177" t="str">
        <f t="shared" si="8"/>
        <v/>
      </c>
      <c r="N39" s="1947" t="str">
        <f t="shared" si="3"/>
        <v/>
      </c>
      <c r="O39" s="1947" t="str">
        <f t="shared" si="4"/>
        <v/>
      </c>
      <c r="P39" s="1948" t="str">
        <f t="shared" si="5"/>
        <v/>
      </c>
      <c r="V39" s="2010"/>
      <c r="W39" s="2010"/>
      <c r="X39" s="2010"/>
      <c r="Y39" s="2010"/>
    </row>
    <row r="40" spans="1:25" ht="10.5" customHeight="1">
      <c r="A40" s="140"/>
      <c r="B40" s="136"/>
      <c r="C40" s="137"/>
      <c r="D40" s="137"/>
      <c r="E40" s="141"/>
      <c r="F40" s="137"/>
      <c r="G40" s="137"/>
      <c r="H40" s="137"/>
      <c r="I40" s="1947" t="str">
        <f>IF(COUNT(C40:H40)&gt;0,SUM(C40:H40)/VolumeT1/C$21/VoF*CF,"")</f>
        <v/>
      </c>
      <c r="J40" s="1947" t="str">
        <f t="shared" si="1"/>
        <v/>
      </c>
      <c r="K40" s="1948" t="str">
        <f>IF(I40="","",I40*AverageFlowDry1/CF/FF*MRF*1000)</f>
        <v/>
      </c>
      <c r="M40" s="177" t="str">
        <f t="shared" si="8"/>
        <v/>
      </c>
      <c r="N40" s="1947" t="str">
        <f t="shared" si="3"/>
        <v/>
      </c>
      <c r="O40" s="1947" t="str">
        <f t="shared" si="4"/>
        <v/>
      </c>
      <c r="P40" s="1948" t="str">
        <f t="shared" si="5"/>
        <v/>
      </c>
      <c r="V40" s="2010"/>
      <c r="W40" s="2010"/>
      <c r="X40" s="2010"/>
      <c r="Y40" s="2010"/>
    </row>
    <row r="41" spans="1:25" ht="10.5" customHeight="1">
      <c r="A41" s="140"/>
      <c r="B41" s="136"/>
      <c r="C41" s="137"/>
      <c r="D41" s="137"/>
      <c r="E41" s="141"/>
      <c r="F41" s="137"/>
      <c r="G41" s="137"/>
      <c r="H41" s="137"/>
      <c r="I41" s="1947" t="str">
        <f t="shared" ref="I41:I49" si="9">IF(COUNT(C41:H41)&gt;0,SUM(C41:H41)/VolumeT1/C$21/VoF*CF,"")</f>
        <v/>
      </c>
      <c r="J41" s="1947" t="str">
        <f t="shared" si="1"/>
        <v/>
      </c>
      <c r="K41" s="1948" t="str">
        <f t="shared" ref="K41:K49" si="10">IF(I41="","",I41*AverageFlowDry1/CF/FF*MRF*1000)</f>
        <v/>
      </c>
      <c r="M41" s="177" t="str">
        <f t="shared" si="8"/>
        <v/>
      </c>
      <c r="N41" s="1947" t="str">
        <f t="shared" si="3"/>
        <v/>
      </c>
      <c r="O41" s="1947" t="str">
        <f t="shared" si="4"/>
        <v/>
      </c>
      <c r="P41" s="1948" t="str">
        <f t="shared" si="5"/>
        <v/>
      </c>
      <c r="V41" s="2010"/>
      <c r="W41" s="2010"/>
      <c r="X41" s="2010"/>
      <c r="Y41" s="2010"/>
    </row>
    <row r="42" spans="1:25" ht="10.5" customHeight="1">
      <c r="A42" s="140"/>
      <c r="B42" s="136"/>
      <c r="C42" s="137"/>
      <c r="D42" s="137"/>
      <c r="E42" s="141"/>
      <c r="F42" s="137"/>
      <c r="G42" s="137"/>
      <c r="H42" s="137"/>
      <c r="I42" s="1947" t="str">
        <f t="shared" si="9"/>
        <v/>
      </c>
      <c r="J42" s="1947" t="str">
        <f t="shared" si="1"/>
        <v/>
      </c>
      <c r="K42" s="1948" t="str">
        <f t="shared" si="10"/>
        <v/>
      </c>
      <c r="M42" s="177" t="str">
        <f t="shared" si="8"/>
        <v/>
      </c>
      <c r="N42" s="1947" t="str">
        <f t="shared" si="3"/>
        <v/>
      </c>
      <c r="O42" s="1947" t="str">
        <f t="shared" si="4"/>
        <v/>
      </c>
      <c r="P42" s="1948" t="str">
        <f t="shared" si="5"/>
        <v/>
      </c>
      <c r="V42" s="2011"/>
      <c r="W42" s="2010"/>
      <c r="X42" s="2011"/>
      <c r="Y42" s="2011"/>
    </row>
    <row r="43" spans="1:25" ht="10.5" customHeight="1">
      <c r="A43" s="140"/>
      <c r="B43" s="136"/>
      <c r="C43" s="137"/>
      <c r="D43" s="137"/>
      <c r="E43" s="141"/>
      <c r="F43" s="137"/>
      <c r="G43" s="137"/>
      <c r="H43" s="137"/>
      <c r="I43" s="1947" t="str">
        <f t="shared" si="9"/>
        <v/>
      </c>
      <c r="J43" s="1947" t="str">
        <f t="shared" si="1"/>
        <v/>
      </c>
      <c r="K43" s="1948" t="str">
        <f t="shared" si="10"/>
        <v/>
      </c>
      <c r="M43" s="177" t="str">
        <f t="shared" si="8"/>
        <v/>
      </c>
      <c r="N43" s="1947" t="str">
        <f t="shared" si="3"/>
        <v/>
      </c>
      <c r="O43" s="1947" t="str">
        <f t="shared" si="4"/>
        <v/>
      </c>
      <c r="P43" s="1948" t="str">
        <f t="shared" si="5"/>
        <v/>
      </c>
    </row>
    <row r="44" spans="1:25" ht="10.5" customHeight="1">
      <c r="A44" s="140"/>
      <c r="B44" s="136"/>
      <c r="C44" s="137"/>
      <c r="D44" s="137"/>
      <c r="E44" s="141"/>
      <c r="F44" s="137"/>
      <c r="G44" s="137"/>
      <c r="H44" s="137"/>
      <c r="I44" s="1947" t="str">
        <f t="shared" si="9"/>
        <v/>
      </c>
      <c r="J44" s="1947" t="str">
        <f t="shared" si="1"/>
        <v/>
      </c>
      <c r="K44" s="1948" t="str">
        <f t="shared" si="10"/>
        <v/>
      </c>
      <c r="M44" s="177" t="str">
        <f t="shared" si="8"/>
        <v/>
      </c>
      <c r="N44" s="1947" t="str">
        <f t="shared" si="3"/>
        <v/>
      </c>
      <c r="O44" s="1947" t="str">
        <f t="shared" si="4"/>
        <v/>
      </c>
      <c r="P44" s="1948" t="str">
        <f t="shared" si="5"/>
        <v/>
      </c>
    </row>
    <row r="45" spans="1:25" ht="10.5" customHeight="1" outlineLevel="1">
      <c r="A45" s="140"/>
      <c r="B45" s="136"/>
      <c r="C45" s="137"/>
      <c r="D45" s="137"/>
      <c r="E45" s="141"/>
      <c r="F45" s="137"/>
      <c r="G45" s="137"/>
      <c r="H45" s="137"/>
      <c r="I45" s="1947" t="str">
        <f t="shared" si="9"/>
        <v/>
      </c>
      <c r="J45" s="1947" t="str">
        <f t="shared" si="1"/>
        <v/>
      </c>
      <c r="K45" s="1948" t="str">
        <f t="shared" si="10"/>
        <v/>
      </c>
      <c r="M45" s="177" t="str">
        <f t="shared" si="8"/>
        <v/>
      </c>
      <c r="N45" s="1947" t="str">
        <f t="shared" si="3"/>
        <v/>
      </c>
      <c r="O45" s="1947" t="str">
        <f t="shared" si="4"/>
        <v/>
      </c>
      <c r="P45" s="1948" t="str">
        <f t="shared" si="5"/>
        <v/>
      </c>
    </row>
    <row r="46" spans="1:25" ht="10.5" customHeight="1" outlineLevel="1">
      <c r="A46" s="140"/>
      <c r="B46" s="136"/>
      <c r="C46" s="137"/>
      <c r="D46" s="137"/>
      <c r="E46" s="141"/>
      <c r="F46" s="137"/>
      <c r="G46" s="137"/>
      <c r="H46" s="137"/>
      <c r="I46" s="1947" t="str">
        <f t="shared" si="9"/>
        <v/>
      </c>
      <c r="J46" s="1947" t="str">
        <f t="shared" si="1"/>
        <v/>
      </c>
      <c r="K46" s="1948" t="str">
        <f t="shared" si="10"/>
        <v/>
      </c>
      <c r="M46" s="177" t="str">
        <f t="shared" si="8"/>
        <v/>
      </c>
      <c r="N46" s="1947" t="str">
        <f t="shared" si="3"/>
        <v/>
      </c>
      <c r="O46" s="1947" t="str">
        <f t="shared" si="4"/>
        <v/>
      </c>
      <c r="P46" s="1948" t="str">
        <f t="shared" si="5"/>
        <v/>
      </c>
    </row>
    <row r="47" spans="1:25" ht="10.5" customHeight="1" outlineLevel="1">
      <c r="A47" s="140"/>
      <c r="B47" s="136"/>
      <c r="C47" s="137"/>
      <c r="D47" s="137"/>
      <c r="E47" s="141"/>
      <c r="F47" s="137"/>
      <c r="G47" s="137"/>
      <c r="H47" s="137"/>
      <c r="I47" s="1947" t="str">
        <f t="shared" si="9"/>
        <v/>
      </c>
      <c r="J47" s="1947" t="str">
        <f t="shared" si="1"/>
        <v/>
      </c>
      <c r="K47" s="1948" t="str">
        <f t="shared" si="10"/>
        <v/>
      </c>
      <c r="M47" s="177" t="str">
        <f t="shared" si="8"/>
        <v/>
      </c>
      <c r="N47" s="1947" t="str">
        <f t="shared" si="3"/>
        <v/>
      </c>
      <c r="O47" s="1947" t="str">
        <f t="shared" si="4"/>
        <v/>
      </c>
      <c r="P47" s="1948" t="str">
        <f t="shared" si="5"/>
        <v/>
      </c>
    </row>
    <row r="48" spans="1:25" ht="10.5" customHeight="1" outlineLevel="1">
      <c r="A48" s="140"/>
      <c r="B48" s="136"/>
      <c r="C48" s="137"/>
      <c r="D48" s="137"/>
      <c r="E48" s="141"/>
      <c r="F48" s="137"/>
      <c r="G48" s="137"/>
      <c r="H48" s="137"/>
      <c r="I48" s="1947" t="str">
        <f t="shared" si="9"/>
        <v/>
      </c>
      <c r="J48" s="1947" t="str">
        <f t="shared" si="1"/>
        <v/>
      </c>
      <c r="K48" s="1948" t="str">
        <f t="shared" si="10"/>
        <v/>
      </c>
      <c r="M48" s="177" t="str">
        <f t="shared" si="8"/>
        <v/>
      </c>
      <c r="N48" s="1947" t="str">
        <f t="shared" si="3"/>
        <v/>
      </c>
      <c r="O48" s="1947" t="str">
        <f t="shared" si="4"/>
        <v/>
      </c>
      <c r="P48" s="1948" t="str">
        <f t="shared" si="5"/>
        <v/>
      </c>
      <c r="S48" s="2033"/>
      <c r="T48" s="109"/>
    </row>
    <row r="49" spans="1:20" ht="10.5" customHeight="1" outlineLevel="1">
      <c r="A49" s="140"/>
      <c r="B49" s="136"/>
      <c r="C49" s="137"/>
      <c r="D49" s="137"/>
      <c r="E49" s="141"/>
      <c r="F49" s="137"/>
      <c r="G49" s="137"/>
      <c r="H49" s="137"/>
      <c r="I49" s="1947" t="str">
        <f t="shared" si="9"/>
        <v/>
      </c>
      <c r="J49" s="1947" t="str">
        <f t="shared" si="1"/>
        <v/>
      </c>
      <c r="K49" s="1948" t="str">
        <f t="shared" si="10"/>
        <v/>
      </c>
      <c r="M49" s="177" t="str">
        <f t="shared" si="8"/>
        <v/>
      </c>
      <c r="N49" s="1947" t="str">
        <f t="shared" si="3"/>
        <v/>
      </c>
      <c r="O49" s="1947" t="str">
        <f t="shared" si="4"/>
        <v/>
      </c>
      <c r="P49" s="1948" t="str">
        <f t="shared" si="5"/>
        <v/>
      </c>
      <c r="S49" s="2034"/>
      <c r="T49" s="109"/>
    </row>
    <row r="50" spans="1:20" ht="10.5" customHeight="1" outlineLevel="1">
      <c r="A50" s="140"/>
      <c r="B50" s="136"/>
      <c r="C50" s="137"/>
      <c r="D50" s="137"/>
      <c r="E50" s="141"/>
      <c r="F50" s="137"/>
      <c r="G50" s="137"/>
      <c r="H50" s="137"/>
      <c r="I50" s="1947" t="str">
        <f t="shared" ref="I50:I57" si="11">IF(COUNT(C50:H50)&gt;0,SUM(C50:H50)/VolumeT1/C$21/VoF*CF,"")</f>
        <v/>
      </c>
      <c r="J50" s="1947" t="str">
        <f t="shared" si="1"/>
        <v/>
      </c>
      <c r="K50" s="1948" t="str">
        <f t="shared" ref="K50:K57" si="12">IF(I50="","",I50*AverageFlowDry1/CF/FF*MRF*1000)</f>
        <v/>
      </c>
      <c r="M50" s="177" t="str">
        <f t="shared" si="8"/>
        <v/>
      </c>
      <c r="N50" s="1947" t="str">
        <f t="shared" si="3"/>
        <v/>
      </c>
      <c r="O50" s="1947" t="str">
        <f t="shared" si="4"/>
        <v/>
      </c>
      <c r="P50" s="1948" t="str">
        <f t="shared" si="5"/>
        <v/>
      </c>
      <c r="S50" s="2034"/>
      <c r="T50" s="2035"/>
    </row>
    <row r="51" spans="1:20" ht="10.5" customHeight="1" outlineLevel="1">
      <c r="A51" s="140"/>
      <c r="B51" s="136"/>
      <c r="C51" s="137"/>
      <c r="D51" s="137"/>
      <c r="E51" s="141"/>
      <c r="F51" s="137"/>
      <c r="G51" s="137"/>
      <c r="H51" s="137"/>
      <c r="I51" s="1947" t="str">
        <f t="shared" si="11"/>
        <v/>
      </c>
      <c r="J51" s="1947" t="str">
        <f t="shared" si="1"/>
        <v/>
      </c>
      <c r="K51" s="1948" t="str">
        <f t="shared" si="12"/>
        <v/>
      </c>
      <c r="M51" s="177" t="str">
        <f t="shared" si="8"/>
        <v/>
      </c>
      <c r="N51" s="1947" t="str">
        <f t="shared" si="3"/>
        <v/>
      </c>
      <c r="O51" s="1947" t="str">
        <f t="shared" si="4"/>
        <v/>
      </c>
      <c r="P51" s="1948" t="str">
        <f t="shared" si="5"/>
        <v/>
      </c>
    </row>
    <row r="52" spans="1:20" ht="10.5" customHeight="1" outlineLevel="1">
      <c r="A52" s="140"/>
      <c r="B52" s="136"/>
      <c r="C52" s="137"/>
      <c r="D52" s="137"/>
      <c r="E52" s="141"/>
      <c r="F52" s="137"/>
      <c r="G52" s="137"/>
      <c r="H52" s="137"/>
      <c r="I52" s="1947" t="str">
        <f t="shared" si="11"/>
        <v/>
      </c>
      <c r="J52" s="1947" t="str">
        <f t="shared" si="1"/>
        <v/>
      </c>
      <c r="K52" s="1948" t="str">
        <f t="shared" si="12"/>
        <v/>
      </c>
      <c r="M52" s="177" t="str">
        <f t="shared" si="8"/>
        <v/>
      </c>
      <c r="N52" s="1947" t="str">
        <f t="shared" si="3"/>
        <v/>
      </c>
      <c r="O52" s="1947" t="str">
        <f t="shared" si="4"/>
        <v/>
      </c>
      <c r="P52" s="1948" t="str">
        <f t="shared" si="5"/>
        <v/>
      </c>
    </row>
    <row r="53" spans="1:20" ht="10.5" customHeight="1" outlineLevel="1">
      <c r="A53" s="140"/>
      <c r="B53" s="136"/>
      <c r="C53" s="137"/>
      <c r="D53" s="137"/>
      <c r="E53" s="141"/>
      <c r="F53" s="137"/>
      <c r="G53" s="137"/>
      <c r="H53" s="137"/>
      <c r="I53" s="1947" t="str">
        <f t="shared" si="11"/>
        <v/>
      </c>
      <c r="J53" s="1947" t="str">
        <f t="shared" si="1"/>
        <v/>
      </c>
      <c r="K53" s="1948" t="str">
        <f t="shared" si="12"/>
        <v/>
      </c>
      <c r="M53" s="177" t="str">
        <f t="shared" si="8"/>
        <v/>
      </c>
      <c r="N53" s="1947" t="str">
        <f t="shared" si="3"/>
        <v/>
      </c>
      <c r="O53" s="1947" t="str">
        <f t="shared" si="4"/>
        <v/>
      </c>
      <c r="P53" s="1948" t="str">
        <f t="shared" si="5"/>
        <v/>
      </c>
    </row>
    <row r="54" spans="1:20" ht="10.5" customHeight="1" outlineLevel="1">
      <c r="A54" s="140"/>
      <c r="B54" s="136"/>
      <c r="C54" s="137"/>
      <c r="D54" s="137"/>
      <c r="E54" s="141"/>
      <c r="F54" s="137"/>
      <c r="G54" s="137"/>
      <c r="H54" s="137"/>
      <c r="I54" s="1947" t="str">
        <f t="shared" si="11"/>
        <v/>
      </c>
      <c r="J54" s="1947" t="str">
        <f t="shared" si="1"/>
        <v/>
      </c>
      <c r="K54" s="1948" t="str">
        <f t="shared" si="12"/>
        <v/>
      </c>
      <c r="M54" s="177" t="str">
        <f t="shared" si="8"/>
        <v/>
      </c>
      <c r="N54" s="1947" t="str">
        <f t="shared" si="3"/>
        <v/>
      </c>
      <c r="O54" s="1947" t="str">
        <f t="shared" si="4"/>
        <v/>
      </c>
      <c r="P54" s="1948" t="str">
        <f t="shared" si="5"/>
        <v/>
      </c>
    </row>
    <row r="55" spans="1:20" ht="10.5" customHeight="1" outlineLevel="1">
      <c r="A55" s="140"/>
      <c r="B55" s="136"/>
      <c r="C55" s="137"/>
      <c r="D55" s="137"/>
      <c r="E55" s="141"/>
      <c r="F55" s="137"/>
      <c r="G55" s="137"/>
      <c r="H55" s="137"/>
      <c r="I55" s="1947" t="str">
        <f t="shared" si="11"/>
        <v/>
      </c>
      <c r="J55" s="1947" t="str">
        <f t="shared" si="1"/>
        <v/>
      </c>
      <c r="K55" s="1948" t="str">
        <f t="shared" si="12"/>
        <v/>
      </c>
      <c r="M55" s="177" t="str">
        <f t="shared" si="8"/>
        <v/>
      </c>
      <c r="N55" s="1947" t="str">
        <f t="shared" si="3"/>
        <v/>
      </c>
      <c r="O55" s="1947" t="str">
        <f t="shared" si="4"/>
        <v/>
      </c>
      <c r="P55" s="1948" t="str">
        <f t="shared" si="5"/>
        <v/>
      </c>
    </row>
    <row r="56" spans="1:20" ht="10.5" customHeight="1" outlineLevel="1">
      <c r="A56" s="140"/>
      <c r="B56" s="136"/>
      <c r="C56" s="137"/>
      <c r="D56" s="137"/>
      <c r="E56" s="141"/>
      <c r="F56" s="137"/>
      <c r="G56" s="137"/>
      <c r="H56" s="137"/>
      <c r="I56" s="1947" t="str">
        <f t="shared" si="11"/>
        <v/>
      </c>
      <c r="J56" s="1947" t="str">
        <f t="shared" si="1"/>
        <v/>
      </c>
      <c r="K56" s="1948" t="str">
        <f t="shared" si="12"/>
        <v/>
      </c>
      <c r="M56" s="177" t="str">
        <f t="shared" si="8"/>
        <v/>
      </c>
      <c r="N56" s="1947" t="str">
        <f t="shared" si="3"/>
        <v/>
      </c>
      <c r="O56" s="1947" t="str">
        <f t="shared" si="4"/>
        <v/>
      </c>
      <c r="P56" s="1948" t="str">
        <f t="shared" si="5"/>
        <v/>
      </c>
    </row>
    <row r="57" spans="1:20" ht="10.5" customHeight="1" outlineLevel="1" thickBot="1">
      <c r="A57" s="144"/>
      <c r="B57" s="145"/>
      <c r="C57" s="146"/>
      <c r="D57" s="146"/>
      <c r="E57" s="147"/>
      <c r="F57" s="146"/>
      <c r="G57" s="146"/>
      <c r="H57" s="146"/>
      <c r="I57" s="1964" t="str">
        <f t="shared" si="11"/>
        <v/>
      </c>
      <c r="J57" s="1964" t="str">
        <f t="shared" si="1"/>
        <v/>
      </c>
      <c r="K57" s="1965" t="str">
        <f t="shared" si="12"/>
        <v/>
      </c>
      <c r="M57" s="177" t="str">
        <f t="shared" si="8"/>
        <v/>
      </c>
      <c r="N57" s="2003" t="str">
        <f t="shared" si="3"/>
        <v/>
      </c>
      <c r="O57" s="2003" t="str">
        <f t="shared" si="4"/>
        <v/>
      </c>
      <c r="P57" s="2004" t="str">
        <f t="shared" si="5"/>
        <v/>
      </c>
    </row>
    <row r="58" spans="1:20" ht="10.5" customHeight="1" outlineLevel="1">
      <c r="A58" s="2601" t="s">
        <v>1967</v>
      </c>
      <c r="B58" s="2602"/>
      <c r="C58" s="2602"/>
      <c r="D58" s="2602"/>
      <c r="E58" s="2602"/>
      <c r="F58" s="2602"/>
      <c r="G58" s="2603"/>
      <c r="H58" s="2005" t="str">
        <f>IF('Results Entry'!CA147=5,"&lt;",IF('Results Entry'!CA147=0,"","≤"))</f>
        <v/>
      </c>
      <c r="I58" s="2013" t="str">
        <f>'Results Entry'!CC147</f>
        <v/>
      </c>
      <c r="J58" s="2001" t="str">
        <f>IF(I58="","",I58*O2correction*CO2correction)</f>
        <v/>
      </c>
      <c r="K58" s="2002" t="str">
        <f>IF(I58="","",I58*AverageFlowDry1/CF/FF*MRF*1000)</f>
        <v/>
      </c>
      <c r="M58" s="2005" t="str">
        <f>IF(SUM('Results Entry'!CA147,T82)=0,"",IF(SUM('Results Entry'!CA147,T82)=10,"&lt;","≤"))</f>
        <v/>
      </c>
      <c r="N58" s="2001" t="str">
        <f t="shared" ref="N58:P60" si="13">IF(AND(ISNUMBER(I58),ISNUMBER(I111)),AVERAGE(I58,I111),I58)</f>
        <v/>
      </c>
      <c r="O58" s="2001" t="str">
        <f t="shared" si="13"/>
        <v/>
      </c>
      <c r="P58" s="2002" t="str">
        <f t="shared" si="13"/>
        <v/>
      </c>
    </row>
    <row r="59" spans="1:20" ht="10.5" customHeight="1" outlineLevel="1">
      <c r="A59" s="2604" t="s">
        <v>1968</v>
      </c>
      <c r="B59" s="2605"/>
      <c r="C59" s="2605"/>
      <c r="D59" s="2605"/>
      <c r="E59" s="2605"/>
      <c r="F59" s="2605"/>
      <c r="G59" s="2606"/>
      <c r="H59" s="177" t="str">
        <f>IF('Results Entry'!CA160=8,"&lt;",IF('Results Entry'!CA160=0,"","≤"))</f>
        <v/>
      </c>
      <c r="I59" s="2014" t="str">
        <f>'Results Entry'!CC160</f>
        <v/>
      </c>
      <c r="J59" s="1947" t="str">
        <f>IF(I59="","",I59*O2correction*CO2correction)</f>
        <v/>
      </c>
      <c r="K59" s="1948" t="str">
        <f>IF(I59="","",I59*AverageFlowDry1/CF/FF*MRF*1000)</f>
        <v/>
      </c>
      <c r="L59" s="107" t="str">
        <f>IF(COUNTIF(H58:H59,"&lt;")=0,"",IF(COUNTIF(H58:H59,"&lt;")=2,"&lt;","&lt;"))</f>
        <v/>
      </c>
      <c r="M59" s="177" t="str">
        <f>IF(SUM('Results Entry'!CA160,T95)=0,"",IF(SUM('Results Entry'!CA160,T95)=26,"&lt;","≤"))</f>
        <v/>
      </c>
      <c r="N59" s="1947" t="str">
        <f t="shared" si="13"/>
        <v/>
      </c>
      <c r="O59" s="1947" t="str">
        <f t="shared" si="13"/>
        <v/>
      </c>
      <c r="P59" s="1948" t="str">
        <f t="shared" si="13"/>
        <v/>
      </c>
    </row>
    <row r="60" spans="1:20" ht="10.5" customHeight="1" outlineLevel="1" thickBot="1">
      <c r="A60" s="2607" t="s">
        <v>1969</v>
      </c>
      <c r="B60" s="2608"/>
      <c r="C60" s="2608"/>
      <c r="D60" s="2608"/>
      <c r="E60" s="2608"/>
      <c r="F60" s="2608"/>
      <c r="G60" s="2609"/>
      <c r="H60" s="2006" t="str">
        <f>IF(SUM('Results Entry'!CA147,'Results Entry'!CA160)=0,"",IF(SUM('Results Entry'!CA147,'Results Entry'!CA160)=13,"&lt;","≤"))</f>
        <v/>
      </c>
      <c r="I60" s="2015" t="str">
        <f>IF(SUM(I58:I59)=0,"",SUM(I58:I59))</f>
        <v/>
      </c>
      <c r="J60" s="1964" t="str">
        <f>IF(I60="","",I60*O2correction*CO2correction)</f>
        <v/>
      </c>
      <c r="K60" s="1965" t="str">
        <f>IF(I60="","",I60*AverageFlowDry1/CF/FF*MRF*1000)</f>
        <v/>
      </c>
      <c r="M60" s="2006" t="str">
        <f>IF(SUM('Results Entry'!CA147,'Results Entry'!CA160,T82,T95)=0,"",IF(SUM('Results Entry'!CA147,'Results Entry'!CA160,T82,T95)=26,"&lt;","≤"))</f>
        <v/>
      </c>
      <c r="N60" s="1964" t="str">
        <f t="shared" si="13"/>
        <v/>
      </c>
      <c r="O60" s="1964" t="str">
        <f t="shared" si="13"/>
        <v/>
      </c>
      <c r="P60" s="1965" t="str">
        <f t="shared" si="13"/>
        <v/>
      </c>
    </row>
    <row r="61" spans="1:20" ht="10.5" customHeight="1" outlineLevel="1">
      <c r="A61" s="109"/>
      <c r="B61" s="109"/>
      <c r="C61" s="109"/>
      <c r="D61" s="109"/>
      <c r="E61" s="109"/>
      <c r="F61" s="109"/>
      <c r="G61" s="109"/>
      <c r="H61" s="2017"/>
      <c r="I61" s="2008"/>
      <c r="J61" s="2008"/>
      <c r="K61" s="2008"/>
      <c r="L61" s="1549"/>
      <c r="M61" s="2007"/>
      <c r="N61" s="2008"/>
      <c r="O61" s="2008"/>
      <c r="P61" s="2008"/>
      <c r="Q61" s="1549"/>
    </row>
    <row r="62" spans="1:20" ht="12.75" customHeight="1" thickBot="1">
      <c r="A62" s="2596" t="s">
        <v>9</v>
      </c>
      <c r="B62" s="2596"/>
      <c r="C62" s="2596"/>
      <c r="D62" s="2596"/>
      <c r="E62" s="2596"/>
      <c r="F62" s="2596"/>
      <c r="G62" s="2596"/>
      <c r="H62" s="2596"/>
      <c r="I62" s="2596"/>
      <c r="J62" s="2596"/>
      <c r="K62" s="2596"/>
      <c r="M62" s="109"/>
      <c r="N62" s="109"/>
      <c r="O62" s="109"/>
      <c r="P62" s="109"/>
    </row>
    <row r="63" spans="1:20" ht="10.5" customHeight="1">
      <c r="A63" s="1942" t="s">
        <v>1275</v>
      </c>
      <c r="B63" s="1988" t="s">
        <v>1333</v>
      </c>
      <c r="C63" s="1944" t="s">
        <v>1430</v>
      </c>
      <c r="D63" s="1944" t="s">
        <v>1429</v>
      </c>
      <c r="E63" s="1944" t="s">
        <v>291</v>
      </c>
      <c r="F63" s="1944" t="s">
        <v>292</v>
      </c>
      <c r="G63" s="1944" t="s">
        <v>293</v>
      </c>
      <c r="H63" s="1944" t="s">
        <v>1325</v>
      </c>
      <c r="I63" s="1944" t="s">
        <v>1397</v>
      </c>
      <c r="J63" s="1944" t="s">
        <v>97</v>
      </c>
      <c r="K63" s="1945" t="s">
        <v>1329</v>
      </c>
    </row>
    <row r="64" spans="1:20" ht="10.5" customHeight="1">
      <c r="A64" s="1114"/>
      <c r="B64" s="1440"/>
      <c r="C64" s="470" t="s">
        <v>1355</v>
      </c>
      <c r="D64" s="1440" t="str">
        <f>$C64</f>
        <v>mg</v>
      </c>
      <c r="E64" s="1440" t="str">
        <f>$C64</f>
        <v>mg</v>
      </c>
      <c r="F64" s="1440" t="str">
        <f>$C64</f>
        <v>mg</v>
      </c>
      <c r="G64" s="1440" t="str">
        <f>$C64</f>
        <v>mg</v>
      </c>
      <c r="H64" s="1440"/>
      <c r="I64" s="1440" t="str">
        <f>CU</f>
        <v>mg/m³</v>
      </c>
      <c r="J64" s="1440" t="str">
        <f>CU</f>
        <v>mg/m³</v>
      </c>
      <c r="K64" s="1946" t="str">
        <f>MRU</f>
        <v>g/min</v>
      </c>
    </row>
    <row r="65" spans="1:21" ht="10.5" hidden="1" customHeight="1">
      <c r="A65" s="60"/>
      <c r="B65" s="134"/>
      <c r="C65" s="561">
        <f>VLOOKUP(C64,MassTable,2,FALSE)</f>
        <v>1000</v>
      </c>
      <c r="D65" s="134"/>
      <c r="E65" s="134"/>
      <c r="F65" s="134"/>
      <c r="G65" s="134"/>
      <c r="H65" s="134"/>
      <c r="I65" s="134"/>
      <c r="J65" s="134"/>
      <c r="K65" s="135"/>
    </row>
    <row r="66" spans="1:21" ht="10.5" customHeight="1">
      <c r="A66" s="255" t="str">
        <f>IF('Flows &amp; Isokinetics'!K2="","",'PM &amp; Metals'!A13)</f>
        <v/>
      </c>
      <c r="B66" s="136"/>
      <c r="C66" s="137"/>
      <c r="D66" s="137"/>
      <c r="E66" s="137"/>
      <c r="F66" s="137"/>
      <c r="G66" s="137"/>
      <c r="H66" s="1928" t="str">
        <f>IF(A66="","",'Flows &amp; Isokinetics'!K$2)</f>
        <v/>
      </c>
      <c r="I66" s="1947" t="str">
        <f>IF(COUNT(C66:G66)&gt;0,SUM(C66:G66)/VolumeNTP2/C$65/VoF*CF,"")</f>
        <v/>
      </c>
      <c r="J66" s="1947" t="str">
        <f>IF(ISNUMBER(ConcPM2),ConcPM2*O2correction*CO2correction,"")</f>
        <v/>
      </c>
      <c r="K66" s="1948" t="str">
        <f>IF(ISNUMBER(ConcPM2),ConcPM2*AverageFlowDry2/CF/FF*MRF*1000,"")</f>
        <v/>
      </c>
    </row>
    <row r="67" spans="1:21" ht="10.5" customHeight="1">
      <c r="A67" s="255" t="str">
        <f>IF('PM10 &amp; 2.5'!H2="","",TPMlabel(PMtest4))</f>
        <v/>
      </c>
      <c r="B67" s="136"/>
      <c r="C67" s="137"/>
      <c r="D67" s="137"/>
      <c r="E67" s="137"/>
      <c r="F67" s="137"/>
      <c r="G67" s="137"/>
      <c r="H67" s="1928" t="str">
        <f>IF(A67="","",IF('PM10 &amp; 2.5'!H$2="","",'PM10 &amp; 2.5'!H$2))</f>
        <v/>
      </c>
      <c r="I67" s="1947" t="str">
        <f>IF(COUNT(C67:G67)&gt;0,SUM(C67:G67)/VolumeNTP4/C$65/VoF*CF,"")</f>
        <v/>
      </c>
      <c r="J67" s="1947" t="str">
        <f>IF(ISNUMBER(ConcPM2b),ConcPM2b*O2correction*CO2correction,"")</f>
        <v/>
      </c>
      <c r="K67" s="1948" t="str">
        <f>IF(ISNUMBER(ConcPM2b),ConcPM2b*AverageFlowDry4/FF/CF*MRF*1000,"")</f>
        <v/>
      </c>
    </row>
    <row r="68" spans="1:21" ht="10.5" customHeight="1">
      <c r="A68" s="255" t="str">
        <f>IF('PM10 &amp; 2.5'!H2="","",PM10label(PMtest4))</f>
        <v/>
      </c>
      <c r="B68" s="136"/>
      <c r="C68" s="137"/>
      <c r="D68" s="137"/>
      <c r="E68" s="137"/>
      <c r="F68" s="137"/>
      <c r="G68" s="137"/>
      <c r="H68" s="1928" t="str">
        <f>IF(A68="","",IF('PM10 &amp; 2.5'!H$2="","",'PM10 &amp; 2.5'!H$2))</f>
        <v/>
      </c>
      <c r="I68" s="1947" t="str">
        <f>IF(PSACheck=TRUE,IF(C70="","",C70*ConcPM2),IF(COUNT(C68:G68)&gt;0,SUM(C68:G68)/VolumeNTP4/C$65/VoF*CF,""))</f>
        <v/>
      </c>
      <c r="J68" s="1947" t="str">
        <f>IF(ISNUMBER(ConcPM4),ConcPM4*O2correction*CO2correction,"")</f>
        <v/>
      </c>
      <c r="K68" s="1948" t="str">
        <f>IF(ISNUMBER(ConcPM4),ConcPM4*J8/FF/CF*MRF*1000,"")</f>
        <v/>
      </c>
      <c r="L68" s="1832" t="str">
        <f>IF(PSACheck=TRUE,"PSA","")</f>
        <v/>
      </c>
    </row>
    <row r="69" spans="1:21" ht="10.5" customHeight="1">
      <c r="A69" s="255" t="str">
        <f>IF('PM10 &amp; 2.5'!H2="","",PM25label(PMtest4))</f>
        <v/>
      </c>
      <c r="B69" s="136"/>
      <c r="C69" s="137"/>
      <c r="D69" s="137"/>
      <c r="E69" s="137"/>
      <c r="F69" s="137"/>
      <c r="G69" s="137"/>
      <c r="H69" s="1928" t="str">
        <f>IF(A69="","",IF('PM10 &amp; 2.5'!H$2="","",'PM10 &amp; 2.5'!H$2))</f>
        <v/>
      </c>
      <c r="I69" s="1947" t="str">
        <f>IF(PSACheck=TRUE,IF(C71="","",C71*ConcPM2),IF(COUNT(C69:G69)&gt;0,SUM(C69:G69)/VolumeNTP4/C$65/VoF*CF,""))</f>
        <v/>
      </c>
      <c r="J69" s="1947" t="str">
        <f>IF(ISNUMBER(ConcPM6),ConcPM6*O2correction*CO2correction,"")</f>
        <v/>
      </c>
      <c r="K69" s="1948" t="str">
        <f>IF(ISNUMBER(ConcPM6),ConcPM6*J8/FF/CF*MRF*1000,"")</f>
        <v/>
      </c>
      <c r="L69" s="1832" t="str">
        <f>IF(PSACheck=TRUE,"PSA","")</f>
        <v/>
      </c>
    </row>
    <row r="70" spans="1:21" ht="10.5" customHeight="1">
      <c r="A70" s="255" t="str">
        <f>IF(PSACheck=TRUE,"PM10 PSA","")</f>
        <v/>
      </c>
      <c r="B70" s="1496" t="s">
        <v>1201</v>
      </c>
      <c r="C70" s="1834"/>
      <c r="D70" s="1949"/>
      <c r="E70" s="1949"/>
      <c r="F70" s="1949"/>
      <c r="G70" s="1949"/>
      <c r="H70" s="1949"/>
      <c r="I70" s="1949"/>
      <c r="J70" s="1949"/>
      <c r="K70" s="1950"/>
    </row>
    <row r="71" spans="1:21" ht="10.5" customHeight="1">
      <c r="A71" s="255" t="str">
        <f>IF(PSACheck=TRUE,"PM2.5 PSA ","")</f>
        <v/>
      </c>
      <c r="B71" s="1496" t="s">
        <v>1201</v>
      </c>
      <c r="C71" s="1834"/>
      <c r="D71" s="1949"/>
      <c r="E71" s="1949"/>
      <c r="F71" s="1949"/>
      <c r="G71" s="1949"/>
      <c r="H71" s="1949"/>
      <c r="I71" s="1949"/>
      <c r="J71" s="1949"/>
      <c r="K71" s="1950"/>
    </row>
    <row r="72" spans="1:21" ht="10.5" customHeight="1">
      <c r="A72" s="1954" t="s">
        <v>1437</v>
      </c>
      <c r="B72" s="1440" t="s">
        <v>1333</v>
      </c>
      <c r="C72" s="1436" t="s">
        <v>1435</v>
      </c>
      <c r="D72" s="1436" t="s">
        <v>1428</v>
      </c>
      <c r="E72" s="1436" t="s">
        <v>1431</v>
      </c>
      <c r="F72" s="1436" t="s">
        <v>1432</v>
      </c>
      <c r="G72" s="1436" t="s">
        <v>1433</v>
      </c>
      <c r="H72" s="1436" t="s">
        <v>1434</v>
      </c>
      <c r="I72" s="1436" t="s">
        <v>1397</v>
      </c>
      <c r="J72" s="1436" t="s">
        <v>97</v>
      </c>
      <c r="K72" s="1951" t="s">
        <v>1329</v>
      </c>
    </row>
    <row r="73" spans="1:21" ht="10.5" customHeight="1">
      <c r="A73" s="1114"/>
      <c r="B73" s="1440"/>
      <c r="C73" s="470" t="s">
        <v>1427</v>
      </c>
      <c r="D73" s="1440" t="str">
        <f>$C73</f>
        <v>µg</v>
      </c>
      <c r="E73" s="1440" t="str">
        <f>$C73</f>
        <v>µg</v>
      </c>
      <c r="F73" s="1440" t="str">
        <f>$C73</f>
        <v>µg</v>
      </c>
      <c r="G73" s="1440" t="str">
        <f>$C73</f>
        <v>µg</v>
      </c>
      <c r="H73" s="1440" t="str">
        <f>$C73</f>
        <v>µg</v>
      </c>
      <c r="I73" s="1440" t="str">
        <f>CU</f>
        <v>mg/m³</v>
      </c>
      <c r="J73" s="1440" t="str">
        <f>CU</f>
        <v>mg/m³</v>
      </c>
      <c r="K73" s="1946" t="str">
        <f>MRU</f>
        <v>g/min</v>
      </c>
      <c r="S73" s="2009" t="s">
        <v>1965</v>
      </c>
    </row>
    <row r="74" spans="1:21" ht="10.5" hidden="1" customHeight="1">
      <c r="A74" s="60"/>
      <c r="B74" s="134"/>
      <c r="C74" s="561">
        <f>VLOOKUP(C73,MassTable,2,FALSE)</f>
        <v>1000000</v>
      </c>
      <c r="D74" s="134"/>
      <c r="E74" s="134"/>
      <c r="F74" s="134"/>
      <c r="G74" s="134"/>
      <c r="H74" s="134"/>
      <c r="I74" s="134"/>
      <c r="J74" s="134"/>
      <c r="K74" s="135"/>
    </row>
    <row r="75" spans="1:21" ht="10.5" customHeight="1">
      <c r="A75" s="140">
        <f t="shared" ref="A75:A110" si="14">IF(A22="",0,A22)</f>
        <v>0</v>
      </c>
      <c r="B75" s="136"/>
      <c r="C75" s="137"/>
      <c r="D75" s="137"/>
      <c r="E75" s="141"/>
      <c r="F75" s="137"/>
      <c r="G75" s="137"/>
      <c r="H75" s="137"/>
      <c r="I75" s="1947" t="str">
        <f>IF(COUNT(C75:H75)&gt;0,SUM(C75:H75)/VolumeT2/C$74/VoF*CF,"")</f>
        <v/>
      </c>
      <c r="J75" s="1947" t="str">
        <f t="shared" ref="J75:J113" si="15">IF(I75="","",I75*O2correction*CO2correction)</f>
        <v/>
      </c>
      <c r="K75" s="1948" t="str">
        <f>IF(I75="","",I75*AverageFlowDry2/CF/FF*MRF*1000)</f>
        <v/>
      </c>
      <c r="S75" s="2009" t="s">
        <v>1949</v>
      </c>
      <c r="T75" s="1813"/>
      <c r="U75" s="1813"/>
    </row>
    <row r="76" spans="1:21" ht="10.5" customHeight="1">
      <c r="A76" s="140">
        <f t="shared" si="14"/>
        <v>0</v>
      </c>
      <c r="B76" s="136"/>
      <c r="C76" s="137"/>
      <c r="D76" s="137"/>
      <c r="E76" s="141"/>
      <c r="F76" s="137"/>
      <c r="G76" s="137"/>
      <c r="H76" s="137"/>
      <c r="I76" s="1947" t="str">
        <f>IF(COUNT(C76:H76)&gt;0,SUM(C76:H76)/VolumeT2/C$74/VoF*CF,"")</f>
        <v/>
      </c>
      <c r="J76" s="1947" t="str">
        <f t="shared" si="15"/>
        <v/>
      </c>
      <c r="K76" s="1948" t="str">
        <f>IF(I76="","",I76*AverageFlowDry2/CF/FF*MRF*1000)</f>
        <v/>
      </c>
      <c r="S76" s="2030"/>
      <c r="T76" s="2011" t="s">
        <v>819</v>
      </c>
      <c r="U76" s="2012" t="s">
        <v>1950</v>
      </c>
    </row>
    <row r="77" spans="1:21" ht="10.5" customHeight="1">
      <c r="A77" s="140">
        <f t="shared" si="14"/>
        <v>0</v>
      </c>
      <c r="B77" s="136"/>
      <c r="C77" s="137"/>
      <c r="D77" s="137"/>
      <c r="E77" s="141"/>
      <c r="F77" s="137"/>
      <c r="G77" s="137"/>
      <c r="H77" s="137"/>
      <c r="I77" s="1947" t="str">
        <f t="shared" ref="I77:I109" si="16">IF(COUNT(C77:H77)&gt;0,SUM(C77:H77)/VolumeT2/C$74/VoF*CF,"")</f>
        <v/>
      </c>
      <c r="J77" s="1947" t="str">
        <f t="shared" si="15"/>
        <v/>
      </c>
      <c r="K77" s="1948" t="str">
        <f t="shared" ref="K77:K109" si="17">IF(I77="","",I77*AverageFlowDry2/CF/FF*MRF*1000)</f>
        <v/>
      </c>
      <c r="S77" s="2021" t="s">
        <v>1952</v>
      </c>
      <c r="T77" s="2022" t="e">
        <f>IF(VLOOKUP($S77,$A$75:$I$110,2,FALSE)="&lt;",1,0)</f>
        <v>#N/A</v>
      </c>
      <c r="U77" s="2023" t="str">
        <f>IF(ISNA(VLOOKUP($S77,$A$75:$I$110,9,FALSE)),"",(VLOOKUP($S77,$A$75:$I$110,9,FALSE)))</f>
        <v/>
      </c>
    </row>
    <row r="78" spans="1:21" ht="10.5" customHeight="1">
      <c r="A78" s="140">
        <f t="shared" si="14"/>
        <v>0</v>
      </c>
      <c r="B78" s="136"/>
      <c r="C78" s="137"/>
      <c r="D78" s="137"/>
      <c r="E78" s="141"/>
      <c r="F78" s="137"/>
      <c r="G78" s="137"/>
      <c r="H78" s="137"/>
      <c r="I78" s="1947" t="str">
        <f t="shared" si="16"/>
        <v/>
      </c>
      <c r="J78" s="1947" t="str">
        <f t="shared" si="15"/>
        <v/>
      </c>
      <c r="K78" s="1948" t="str">
        <f t="shared" si="17"/>
        <v/>
      </c>
      <c r="S78" s="2024" t="s">
        <v>1953</v>
      </c>
      <c r="T78" s="2025" t="e">
        <f>IF(VLOOKUP($S78,$A$75:$I$110,2,FALSE)="&lt;",1,0)</f>
        <v>#N/A</v>
      </c>
      <c r="U78" s="2026" t="str">
        <f>IF(ISNA(VLOOKUP($S78,$A$75:$I$110,9,FALSE)),"",(VLOOKUP($S78,$A$75:$I$110,9,FALSE)))</f>
        <v/>
      </c>
    </row>
    <row r="79" spans="1:21" ht="10.5" customHeight="1">
      <c r="A79" s="140">
        <f t="shared" si="14"/>
        <v>0</v>
      </c>
      <c r="B79" s="136"/>
      <c r="C79" s="137"/>
      <c r="D79" s="137"/>
      <c r="E79" s="141"/>
      <c r="F79" s="137"/>
      <c r="G79" s="137"/>
      <c r="H79" s="137"/>
      <c r="I79" s="1947" t="str">
        <f t="shared" si="16"/>
        <v/>
      </c>
      <c r="J79" s="1947" t="str">
        <f t="shared" si="15"/>
        <v/>
      </c>
      <c r="K79" s="1948" t="str">
        <f t="shared" si="17"/>
        <v/>
      </c>
      <c r="S79" s="2024" t="s">
        <v>1954</v>
      </c>
      <c r="T79" s="2025" t="e">
        <f>IF(VLOOKUP($S79,$A$75:$I$110,2,FALSE)="&lt;",1,0)</f>
        <v>#N/A</v>
      </c>
      <c r="U79" s="2026" t="str">
        <f>IF(ISNA(VLOOKUP($S79,$A$75:$I$110,9,FALSE)),"",(VLOOKUP($S79,$A$75:$I$110,9,FALSE)))</f>
        <v/>
      </c>
    </row>
    <row r="80" spans="1:21" ht="10.5" customHeight="1">
      <c r="A80" s="140">
        <f t="shared" si="14"/>
        <v>0</v>
      </c>
      <c r="B80" s="136"/>
      <c r="C80" s="137"/>
      <c r="D80" s="137"/>
      <c r="E80" s="141"/>
      <c r="F80" s="137"/>
      <c r="G80" s="137"/>
      <c r="H80" s="137"/>
      <c r="I80" s="1947" t="str">
        <f t="shared" si="16"/>
        <v/>
      </c>
      <c r="J80" s="1947" t="str">
        <f t="shared" si="15"/>
        <v/>
      </c>
      <c r="K80" s="1948" t="str">
        <f t="shared" si="17"/>
        <v/>
      </c>
      <c r="S80" s="2024" t="s">
        <v>1955</v>
      </c>
      <c r="T80" s="2025" t="e">
        <f>IF(VLOOKUP($S80,$A$75:$I$110,2,FALSE)="&lt;",1,0)</f>
        <v>#N/A</v>
      </c>
      <c r="U80" s="2026" t="str">
        <f>IF(ISNA(VLOOKUP($S80,$A$75:$I$110,9,FALSE)),"",(VLOOKUP($S80,$A$75:$I$110,9,FALSE)))</f>
        <v/>
      </c>
    </row>
    <row r="81" spans="1:21" ht="10.5" customHeight="1">
      <c r="A81" s="140">
        <f t="shared" si="14"/>
        <v>0</v>
      </c>
      <c r="B81" s="136"/>
      <c r="C81" s="137"/>
      <c r="D81" s="137"/>
      <c r="E81" s="141"/>
      <c r="F81" s="137"/>
      <c r="G81" s="137"/>
      <c r="H81" s="137"/>
      <c r="I81" s="1947" t="str">
        <f t="shared" si="16"/>
        <v/>
      </c>
      <c r="J81" s="1947" t="str">
        <f t="shared" si="15"/>
        <v/>
      </c>
      <c r="K81" s="1948" t="str">
        <f t="shared" si="17"/>
        <v/>
      </c>
      <c r="S81" s="2024" t="s">
        <v>1956</v>
      </c>
      <c r="T81" s="2025" t="e">
        <f>IF(VLOOKUP($S81,$A$75:$I$110,2,FALSE)="&lt;",1,0)</f>
        <v>#N/A</v>
      </c>
      <c r="U81" s="2026" t="str">
        <f>IF(ISNA(VLOOKUP($S81,$A$75:$I$110,9,FALSE)),"",(VLOOKUP($S81,$A$75:$I$110,9,FALSE)))</f>
        <v/>
      </c>
    </row>
    <row r="82" spans="1:21" ht="10.5" customHeight="1">
      <c r="A82" s="140">
        <f t="shared" si="14"/>
        <v>0</v>
      </c>
      <c r="B82" s="136"/>
      <c r="C82" s="137"/>
      <c r="D82" s="137"/>
      <c r="E82" s="141"/>
      <c r="F82" s="137"/>
      <c r="G82" s="137"/>
      <c r="H82" s="137"/>
      <c r="I82" s="1947" t="str">
        <f t="shared" si="16"/>
        <v/>
      </c>
      <c r="J82" s="1947" t="str">
        <f t="shared" si="15"/>
        <v/>
      </c>
      <c r="K82" s="1948" t="str">
        <f t="shared" si="17"/>
        <v/>
      </c>
      <c r="S82" s="2032" t="s">
        <v>1452</v>
      </c>
      <c r="T82" s="2028">
        <f>IF(ISNA(SUM(T77:T81)),0,SUM(T77:T81))</f>
        <v>0</v>
      </c>
      <c r="U82" s="2029" t="str">
        <f>IF(OR(U77="",U78="",U79="",U80="",U81=""),"",SUM(U77:U81))</f>
        <v/>
      </c>
    </row>
    <row r="83" spans="1:21" ht="10.5" customHeight="1">
      <c r="A83" s="140">
        <f t="shared" si="14"/>
        <v>0</v>
      </c>
      <c r="B83" s="136"/>
      <c r="C83" s="137"/>
      <c r="D83" s="137"/>
      <c r="E83" s="141"/>
      <c r="F83" s="137"/>
      <c r="G83" s="137"/>
      <c r="H83" s="137"/>
      <c r="I83" s="1947" t="str">
        <f t="shared" si="16"/>
        <v/>
      </c>
      <c r="J83" s="1947" t="str">
        <f t="shared" si="15"/>
        <v/>
      </c>
      <c r="K83" s="1948" t="str">
        <f t="shared" si="17"/>
        <v/>
      </c>
    </row>
    <row r="84" spans="1:21" ht="10.5" customHeight="1">
      <c r="A84" s="140">
        <f t="shared" si="14"/>
        <v>0</v>
      </c>
      <c r="B84" s="136"/>
      <c r="C84" s="137"/>
      <c r="D84" s="137"/>
      <c r="E84" s="141"/>
      <c r="F84" s="137"/>
      <c r="G84" s="137"/>
      <c r="H84" s="137"/>
      <c r="I84" s="1947" t="str">
        <f t="shared" si="16"/>
        <v/>
      </c>
      <c r="J84" s="1947" t="str">
        <f t="shared" si="15"/>
        <v/>
      </c>
      <c r="K84" s="1948" t="str">
        <f t="shared" si="17"/>
        <v/>
      </c>
      <c r="S84" s="2030"/>
      <c r="T84" s="2010"/>
      <c r="U84" s="2010"/>
    </row>
    <row r="85" spans="1:21" ht="10.5" customHeight="1">
      <c r="A85" s="140">
        <f t="shared" si="14"/>
        <v>0</v>
      </c>
      <c r="B85" s="136"/>
      <c r="C85" s="137"/>
      <c r="D85" s="137"/>
      <c r="E85" s="141"/>
      <c r="F85" s="137"/>
      <c r="G85" s="137"/>
      <c r="H85" s="137"/>
      <c r="I85" s="1947" t="str">
        <f t="shared" si="16"/>
        <v/>
      </c>
      <c r="J85" s="1947" t="str">
        <f t="shared" si="15"/>
        <v/>
      </c>
      <c r="K85" s="1948" t="str">
        <f t="shared" si="17"/>
        <v/>
      </c>
      <c r="S85" s="2009" t="s">
        <v>1951</v>
      </c>
      <c r="T85" s="2010"/>
      <c r="U85" s="2010"/>
    </row>
    <row r="86" spans="1:21" ht="10.5" customHeight="1">
      <c r="A86" s="140">
        <f t="shared" si="14"/>
        <v>0</v>
      </c>
      <c r="B86" s="136"/>
      <c r="C86" s="137"/>
      <c r="D86" s="137"/>
      <c r="E86" s="141"/>
      <c r="F86" s="137"/>
      <c r="G86" s="137"/>
      <c r="H86" s="137"/>
      <c r="I86" s="1947" t="str">
        <f t="shared" si="16"/>
        <v/>
      </c>
      <c r="J86" s="1947" t="str">
        <f t="shared" si="15"/>
        <v/>
      </c>
      <c r="K86" s="1948" t="str">
        <f t="shared" si="17"/>
        <v/>
      </c>
      <c r="S86" s="2031"/>
      <c r="T86" s="2011" t="s">
        <v>819</v>
      </c>
      <c r="U86" s="2016" t="s">
        <v>1950</v>
      </c>
    </row>
    <row r="87" spans="1:21" ht="10.5" customHeight="1">
      <c r="A87" s="140">
        <f t="shared" si="14"/>
        <v>0</v>
      </c>
      <c r="B87" s="136"/>
      <c r="C87" s="137"/>
      <c r="D87" s="137"/>
      <c r="E87" s="141"/>
      <c r="F87" s="137"/>
      <c r="G87" s="137"/>
      <c r="H87" s="137"/>
      <c r="I87" s="1947" t="str">
        <f t="shared" si="16"/>
        <v/>
      </c>
      <c r="J87" s="1947" t="str">
        <f t="shared" si="15"/>
        <v/>
      </c>
      <c r="K87" s="1948" t="str">
        <f t="shared" si="17"/>
        <v/>
      </c>
      <c r="S87" s="2021" t="s">
        <v>1957</v>
      </c>
      <c r="T87" s="2022" t="e">
        <f t="shared" ref="T87:T94" si="18">IF(VLOOKUP($S87,$A$75:$I$110,2,FALSE)="&lt;",1,0)</f>
        <v>#N/A</v>
      </c>
      <c r="U87" s="2023" t="str">
        <f>IF(ISNA(VLOOKUP($S87,$A$75:$I$110,9,FALSE)),"",(VLOOKUP($S87,$A$75:$I$110,9,FALSE)))</f>
        <v/>
      </c>
    </row>
    <row r="88" spans="1:21" ht="10.5" customHeight="1">
      <c r="A88" s="140">
        <f t="shared" si="14"/>
        <v>0</v>
      </c>
      <c r="B88" s="136"/>
      <c r="C88" s="137"/>
      <c r="D88" s="137"/>
      <c r="E88" s="141"/>
      <c r="F88" s="137"/>
      <c r="G88" s="137"/>
      <c r="H88" s="137"/>
      <c r="I88" s="1947" t="str">
        <f t="shared" si="16"/>
        <v/>
      </c>
      <c r="J88" s="1947" t="str">
        <f t="shared" si="15"/>
        <v/>
      </c>
      <c r="K88" s="1948" t="str">
        <f t="shared" si="17"/>
        <v/>
      </c>
      <c r="S88" s="2024" t="s">
        <v>1958</v>
      </c>
      <c r="T88" s="2025" t="e">
        <f t="shared" si="18"/>
        <v>#N/A</v>
      </c>
      <c r="U88" s="2026" t="str">
        <f t="shared" ref="U88:U94" si="19">IF(ISNA(VLOOKUP($S88,$A$75:$I$110,9,FALSE)),"",(VLOOKUP($S88,$A$75:$I$110,9,FALSE)))</f>
        <v/>
      </c>
    </row>
    <row r="89" spans="1:21" ht="10.5" customHeight="1">
      <c r="A89" s="140">
        <f t="shared" si="14"/>
        <v>0</v>
      </c>
      <c r="B89" s="136"/>
      <c r="C89" s="137"/>
      <c r="D89" s="137"/>
      <c r="E89" s="141"/>
      <c r="F89" s="137"/>
      <c r="G89" s="137"/>
      <c r="H89" s="137"/>
      <c r="I89" s="1947" t="str">
        <f t="shared" si="16"/>
        <v/>
      </c>
      <c r="J89" s="1947" t="str">
        <f t="shared" si="15"/>
        <v/>
      </c>
      <c r="K89" s="1948" t="str">
        <f t="shared" si="17"/>
        <v/>
      </c>
      <c r="S89" s="2024" t="s">
        <v>1959</v>
      </c>
      <c r="T89" s="2025" t="e">
        <f t="shared" si="18"/>
        <v>#N/A</v>
      </c>
      <c r="U89" s="2026" t="str">
        <f t="shared" si="19"/>
        <v/>
      </c>
    </row>
    <row r="90" spans="1:21" ht="10.5" customHeight="1">
      <c r="A90" s="140">
        <f t="shared" si="14"/>
        <v>0</v>
      </c>
      <c r="B90" s="136"/>
      <c r="C90" s="137"/>
      <c r="D90" s="137"/>
      <c r="E90" s="141"/>
      <c r="F90" s="137"/>
      <c r="G90" s="137"/>
      <c r="H90" s="137"/>
      <c r="I90" s="1947" t="str">
        <f t="shared" si="16"/>
        <v/>
      </c>
      <c r="J90" s="1947" t="str">
        <f t="shared" si="15"/>
        <v/>
      </c>
      <c r="K90" s="1948" t="str">
        <f t="shared" si="17"/>
        <v/>
      </c>
      <c r="S90" s="2024" t="s">
        <v>1960</v>
      </c>
      <c r="T90" s="2025" t="e">
        <f t="shared" si="18"/>
        <v>#N/A</v>
      </c>
      <c r="U90" s="2026" t="str">
        <f t="shared" si="19"/>
        <v/>
      </c>
    </row>
    <row r="91" spans="1:21" ht="10.5" customHeight="1">
      <c r="A91" s="140">
        <f t="shared" si="14"/>
        <v>0</v>
      </c>
      <c r="B91" s="136"/>
      <c r="C91" s="137"/>
      <c r="D91" s="137"/>
      <c r="E91" s="141"/>
      <c r="F91" s="137"/>
      <c r="G91" s="137"/>
      <c r="H91" s="137"/>
      <c r="I91" s="1947" t="str">
        <f t="shared" si="16"/>
        <v/>
      </c>
      <c r="J91" s="1947" t="str">
        <f t="shared" si="15"/>
        <v/>
      </c>
      <c r="K91" s="1948" t="str">
        <f t="shared" si="17"/>
        <v/>
      </c>
      <c r="Q91" s="670"/>
      <c r="S91" s="2024" t="s">
        <v>1961</v>
      </c>
      <c r="T91" s="2025" t="e">
        <f t="shared" si="18"/>
        <v>#N/A</v>
      </c>
      <c r="U91" s="2026" t="str">
        <f t="shared" si="19"/>
        <v/>
      </c>
    </row>
    <row r="92" spans="1:21" ht="10.5" customHeight="1">
      <c r="A92" s="140">
        <f t="shared" si="14"/>
        <v>0</v>
      </c>
      <c r="B92" s="136"/>
      <c r="C92" s="137"/>
      <c r="D92" s="137"/>
      <c r="E92" s="141"/>
      <c r="F92" s="137"/>
      <c r="G92" s="137"/>
      <c r="H92" s="137"/>
      <c r="I92" s="1947" t="str">
        <f t="shared" si="16"/>
        <v/>
      </c>
      <c r="J92" s="1947" t="str">
        <f t="shared" si="15"/>
        <v/>
      </c>
      <c r="K92" s="1948" t="str">
        <f t="shared" si="17"/>
        <v/>
      </c>
      <c r="S92" s="2024" t="s">
        <v>1964</v>
      </c>
      <c r="T92" s="2025" t="e">
        <f t="shared" si="18"/>
        <v>#N/A</v>
      </c>
      <c r="U92" s="2026" t="str">
        <f t="shared" si="19"/>
        <v/>
      </c>
    </row>
    <row r="93" spans="1:21" ht="10.5" customHeight="1">
      <c r="A93" s="140">
        <f t="shared" si="14"/>
        <v>0</v>
      </c>
      <c r="B93" s="136"/>
      <c r="C93" s="137"/>
      <c r="D93" s="137"/>
      <c r="E93" s="141"/>
      <c r="F93" s="137"/>
      <c r="G93" s="137"/>
      <c r="H93" s="137"/>
      <c r="I93" s="1947" t="str">
        <f t="shared" si="16"/>
        <v/>
      </c>
      <c r="J93" s="1947" t="str">
        <f t="shared" si="15"/>
        <v/>
      </c>
      <c r="K93" s="1948" t="str">
        <f t="shared" si="17"/>
        <v/>
      </c>
      <c r="S93" s="2027" t="s">
        <v>1962</v>
      </c>
      <c r="T93" s="2025" t="e">
        <f t="shared" si="18"/>
        <v>#N/A</v>
      </c>
      <c r="U93" s="2026" t="str">
        <f t="shared" si="19"/>
        <v/>
      </c>
    </row>
    <row r="94" spans="1:21" ht="10.5" customHeight="1">
      <c r="A94" s="140">
        <f t="shared" si="14"/>
        <v>0</v>
      </c>
      <c r="B94" s="136"/>
      <c r="C94" s="137"/>
      <c r="D94" s="137"/>
      <c r="E94" s="141"/>
      <c r="F94" s="137"/>
      <c r="G94" s="137"/>
      <c r="H94" s="137"/>
      <c r="I94" s="1947" t="str">
        <f t="shared" ref="I94:I101" si="20">IF(COUNT(C94:H94)&gt;0,SUM(C94:H94)/VolumeT2/C$74/VoF*CF,"")</f>
        <v/>
      </c>
      <c r="J94" s="1947" t="str">
        <f t="shared" si="15"/>
        <v/>
      </c>
      <c r="K94" s="1948" t="str">
        <f t="shared" ref="K94:K101" si="21">IF(I94="","",I94*AverageFlowDry2/CF/FF*MRF*1000)</f>
        <v/>
      </c>
      <c r="S94" s="2027" t="s">
        <v>1963</v>
      </c>
      <c r="T94" s="2025" t="e">
        <f t="shared" si="18"/>
        <v>#N/A</v>
      </c>
      <c r="U94" s="2026" t="str">
        <f t="shared" si="19"/>
        <v/>
      </c>
    </row>
    <row r="95" spans="1:21" ht="10.5" customHeight="1">
      <c r="A95" s="140">
        <f t="shared" si="14"/>
        <v>0</v>
      </c>
      <c r="B95" s="136"/>
      <c r="C95" s="137"/>
      <c r="D95" s="137"/>
      <c r="E95" s="141"/>
      <c r="F95" s="137"/>
      <c r="G95" s="137"/>
      <c r="H95" s="137"/>
      <c r="I95" s="1947" t="str">
        <f t="shared" si="20"/>
        <v/>
      </c>
      <c r="J95" s="1947" t="str">
        <f t="shared" si="15"/>
        <v/>
      </c>
      <c r="K95" s="1948" t="str">
        <f t="shared" si="21"/>
        <v/>
      </c>
      <c r="S95" s="2032" t="s">
        <v>1452</v>
      </c>
      <c r="T95" s="2028">
        <f>IF(ISNA(SUM(T87:T94)),0,SUM(T87:T94))</f>
        <v>0</v>
      </c>
      <c r="U95" s="2029" t="str">
        <f>IF(OR(U87="",U88="",U89="",U90="",U91="",U92="",U93="",U94=""),"",SUM(U87:U94))</f>
        <v/>
      </c>
    </row>
    <row r="96" spans="1:21" ht="10.5" customHeight="1">
      <c r="A96" s="140">
        <f t="shared" si="14"/>
        <v>0</v>
      </c>
      <c r="B96" s="136"/>
      <c r="C96" s="137"/>
      <c r="D96" s="137"/>
      <c r="E96" s="141"/>
      <c r="F96" s="137"/>
      <c r="G96" s="137"/>
      <c r="H96" s="137"/>
      <c r="I96" s="1947" t="str">
        <f t="shared" si="20"/>
        <v/>
      </c>
      <c r="J96" s="1947" t="str">
        <f t="shared" si="15"/>
        <v/>
      </c>
      <c r="K96" s="1948" t="str">
        <f t="shared" si="21"/>
        <v/>
      </c>
    </row>
    <row r="97" spans="1:11" ht="10.5" customHeight="1">
      <c r="A97" s="140">
        <f t="shared" si="14"/>
        <v>0</v>
      </c>
      <c r="B97" s="136"/>
      <c r="C97" s="137"/>
      <c r="D97" s="137"/>
      <c r="E97" s="141"/>
      <c r="F97" s="137"/>
      <c r="G97" s="137"/>
      <c r="H97" s="137"/>
      <c r="I97" s="1947" t="str">
        <f t="shared" si="20"/>
        <v/>
      </c>
      <c r="J97" s="1947" t="str">
        <f t="shared" si="15"/>
        <v/>
      </c>
      <c r="K97" s="1948" t="str">
        <f t="shared" si="21"/>
        <v/>
      </c>
    </row>
    <row r="98" spans="1:11" ht="10.5" customHeight="1" outlineLevel="1">
      <c r="A98" s="140">
        <f t="shared" si="14"/>
        <v>0</v>
      </c>
      <c r="B98" s="136"/>
      <c r="C98" s="137"/>
      <c r="D98" s="137"/>
      <c r="E98" s="141"/>
      <c r="F98" s="137"/>
      <c r="G98" s="137"/>
      <c r="H98" s="137"/>
      <c r="I98" s="1947" t="str">
        <f t="shared" si="20"/>
        <v/>
      </c>
      <c r="J98" s="1947" t="str">
        <f t="shared" si="15"/>
        <v/>
      </c>
      <c r="K98" s="1948" t="str">
        <f t="shared" si="21"/>
        <v/>
      </c>
    </row>
    <row r="99" spans="1:11" ht="10.5" customHeight="1" outlineLevel="1">
      <c r="A99" s="140">
        <f t="shared" si="14"/>
        <v>0</v>
      </c>
      <c r="B99" s="136"/>
      <c r="C99" s="137"/>
      <c r="D99" s="137"/>
      <c r="E99" s="141"/>
      <c r="F99" s="137"/>
      <c r="G99" s="137"/>
      <c r="H99" s="137"/>
      <c r="I99" s="1947" t="str">
        <f t="shared" si="20"/>
        <v/>
      </c>
      <c r="J99" s="1947" t="str">
        <f t="shared" si="15"/>
        <v/>
      </c>
      <c r="K99" s="1948" t="str">
        <f t="shared" si="21"/>
        <v/>
      </c>
    </row>
    <row r="100" spans="1:11" ht="10.5" customHeight="1" outlineLevel="1">
      <c r="A100" s="140">
        <f t="shared" si="14"/>
        <v>0</v>
      </c>
      <c r="B100" s="136"/>
      <c r="C100" s="137"/>
      <c r="D100" s="137"/>
      <c r="E100" s="141"/>
      <c r="F100" s="137"/>
      <c r="G100" s="137"/>
      <c r="H100" s="137"/>
      <c r="I100" s="1947" t="str">
        <f t="shared" si="20"/>
        <v/>
      </c>
      <c r="J100" s="1947" t="str">
        <f t="shared" si="15"/>
        <v/>
      </c>
      <c r="K100" s="1948" t="str">
        <f t="shared" si="21"/>
        <v/>
      </c>
    </row>
    <row r="101" spans="1:11" ht="10.5" customHeight="1" outlineLevel="1">
      <c r="A101" s="140">
        <f t="shared" si="14"/>
        <v>0</v>
      </c>
      <c r="B101" s="136"/>
      <c r="C101" s="137"/>
      <c r="D101" s="137"/>
      <c r="E101" s="141"/>
      <c r="F101" s="137"/>
      <c r="G101" s="137"/>
      <c r="H101" s="137"/>
      <c r="I101" s="1947" t="str">
        <f t="shared" si="20"/>
        <v/>
      </c>
      <c r="J101" s="1947" t="str">
        <f t="shared" si="15"/>
        <v/>
      </c>
      <c r="K101" s="1948" t="str">
        <f t="shared" si="21"/>
        <v/>
      </c>
    </row>
    <row r="102" spans="1:11" ht="10.5" customHeight="1" outlineLevel="1">
      <c r="A102" s="140">
        <f t="shared" si="14"/>
        <v>0</v>
      </c>
      <c r="B102" s="136"/>
      <c r="C102" s="137"/>
      <c r="D102" s="137"/>
      <c r="E102" s="141"/>
      <c r="F102" s="137"/>
      <c r="G102" s="137"/>
      <c r="H102" s="137"/>
      <c r="I102" s="1947" t="str">
        <f t="shared" si="16"/>
        <v/>
      </c>
      <c r="J102" s="1947" t="str">
        <f t="shared" si="15"/>
        <v/>
      </c>
      <c r="K102" s="1948" t="str">
        <f t="shared" si="17"/>
        <v/>
      </c>
    </row>
    <row r="103" spans="1:11" ht="10.5" customHeight="1" outlineLevel="1">
      <c r="A103" s="140">
        <f t="shared" si="14"/>
        <v>0</v>
      </c>
      <c r="B103" s="136"/>
      <c r="C103" s="137"/>
      <c r="D103" s="137"/>
      <c r="E103" s="141"/>
      <c r="F103" s="137"/>
      <c r="G103" s="137"/>
      <c r="H103" s="137"/>
      <c r="I103" s="1947" t="str">
        <f t="shared" si="16"/>
        <v/>
      </c>
      <c r="J103" s="1947" t="str">
        <f t="shared" si="15"/>
        <v/>
      </c>
      <c r="K103" s="1948" t="str">
        <f t="shared" si="17"/>
        <v/>
      </c>
    </row>
    <row r="104" spans="1:11" ht="10.5" customHeight="1" outlineLevel="1">
      <c r="A104" s="140">
        <f t="shared" si="14"/>
        <v>0</v>
      </c>
      <c r="B104" s="136"/>
      <c r="C104" s="137"/>
      <c r="D104" s="137"/>
      <c r="E104" s="141"/>
      <c r="F104" s="137"/>
      <c r="G104" s="137"/>
      <c r="H104" s="137"/>
      <c r="I104" s="1947" t="str">
        <f t="shared" si="16"/>
        <v/>
      </c>
      <c r="J104" s="1947" t="str">
        <f t="shared" si="15"/>
        <v/>
      </c>
      <c r="K104" s="1948" t="str">
        <f t="shared" si="17"/>
        <v/>
      </c>
    </row>
    <row r="105" spans="1:11" ht="10.5" customHeight="1" outlineLevel="1">
      <c r="A105" s="140">
        <f t="shared" si="14"/>
        <v>0</v>
      </c>
      <c r="B105" s="136"/>
      <c r="C105" s="137"/>
      <c r="D105" s="137"/>
      <c r="E105" s="141"/>
      <c r="F105" s="137"/>
      <c r="G105" s="137"/>
      <c r="H105" s="137"/>
      <c r="I105" s="1947" t="str">
        <f t="shared" si="16"/>
        <v/>
      </c>
      <c r="J105" s="1947" t="str">
        <f t="shared" si="15"/>
        <v/>
      </c>
      <c r="K105" s="1948" t="str">
        <f t="shared" si="17"/>
        <v/>
      </c>
    </row>
    <row r="106" spans="1:11" ht="10.5" customHeight="1" outlineLevel="1">
      <c r="A106" s="140">
        <f t="shared" si="14"/>
        <v>0</v>
      </c>
      <c r="B106" s="136"/>
      <c r="C106" s="137"/>
      <c r="D106" s="137"/>
      <c r="E106" s="141"/>
      <c r="F106" s="137"/>
      <c r="G106" s="137"/>
      <c r="H106" s="137"/>
      <c r="I106" s="1947" t="str">
        <f t="shared" si="16"/>
        <v/>
      </c>
      <c r="J106" s="1947" t="str">
        <f t="shared" si="15"/>
        <v/>
      </c>
      <c r="K106" s="1948" t="str">
        <f t="shared" si="17"/>
        <v/>
      </c>
    </row>
    <row r="107" spans="1:11" ht="10.5" customHeight="1" outlineLevel="1">
      <c r="A107" s="140">
        <f t="shared" si="14"/>
        <v>0</v>
      </c>
      <c r="B107" s="136"/>
      <c r="C107" s="137"/>
      <c r="D107" s="137"/>
      <c r="E107" s="141"/>
      <c r="F107" s="137"/>
      <c r="G107" s="137"/>
      <c r="H107" s="137"/>
      <c r="I107" s="1947" t="str">
        <f t="shared" si="16"/>
        <v/>
      </c>
      <c r="J107" s="1947" t="str">
        <f t="shared" si="15"/>
        <v/>
      </c>
      <c r="K107" s="1948" t="str">
        <f t="shared" si="17"/>
        <v/>
      </c>
    </row>
    <row r="108" spans="1:11" ht="10.5" customHeight="1" outlineLevel="1">
      <c r="A108" s="140">
        <f t="shared" si="14"/>
        <v>0</v>
      </c>
      <c r="B108" s="136"/>
      <c r="C108" s="137"/>
      <c r="D108" s="137"/>
      <c r="E108" s="141"/>
      <c r="F108" s="137"/>
      <c r="G108" s="137"/>
      <c r="H108" s="137"/>
      <c r="I108" s="1947" t="str">
        <f t="shared" si="16"/>
        <v/>
      </c>
      <c r="J108" s="1947" t="str">
        <f t="shared" si="15"/>
        <v/>
      </c>
      <c r="K108" s="1948" t="str">
        <f t="shared" si="17"/>
        <v/>
      </c>
    </row>
    <row r="109" spans="1:11" ht="10.5" customHeight="1" outlineLevel="1">
      <c r="A109" s="140">
        <f t="shared" si="14"/>
        <v>0</v>
      </c>
      <c r="B109" s="136"/>
      <c r="C109" s="137"/>
      <c r="D109" s="137"/>
      <c r="E109" s="141"/>
      <c r="F109" s="137"/>
      <c r="G109" s="137"/>
      <c r="H109" s="137"/>
      <c r="I109" s="1947" t="str">
        <f t="shared" si="16"/>
        <v/>
      </c>
      <c r="J109" s="1947" t="str">
        <f t="shared" si="15"/>
        <v/>
      </c>
      <c r="K109" s="1948" t="str">
        <f t="shared" si="17"/>
        <v/>
      </c>
    </row>
    <row r="110" spans="1:11" ht="10.5" customHeight="1" outlineLevel="1" thickBot="1">
      <c r="A110" s="144">
        <f t="shared" si="14"/>
        <v>0</v>
      </c>
      <c r="B110" s="145"/>
      <c r="C110" s="146"/>
      <c r="D110" s="146"/>
      <c r="E110" s="147"/>
      <c r="F110" s="146"/>
      <c r="G110" s="146"/>
      <c r="H110" s="146"/>
      <c r="I110" s="1964" t="str">
        <f>IF(COUNT(C110:H110)&gt;0,SUM(C110:H110)/VolumeT2/C$74/VoF*CF,"")</f>
        <v/>
      </c>
      <c r="J110" s="1964" t="str">
        <f t="shared" si="15"/>
        <v/>
      </c>
      <c r="K110" s="1965" t="str">
        <f>IF(I110="","",I110*AverageFlowDry2/CF/FF*MRF*1000)</f>
        <v/>
      </c>
    </row>
    <row r="111" spans="1:11" ht="10.5" customHeight="1" outlineLevel="1">
      <c r="A111" s="2601" t="s">
        <v>1967</v>
      </c>
      <c r="B111" s="2602"/>
      <c r="C111" s="2602"/>
      <c r="D111" s="2602"/>
      <c r="E111" s="2602"/>
      <c r="F111" s="2602"/>
      <c r="G111" s="2603"/>
      <c r="H111" s="2005" t="str">
        <f>IF(T82=5,"&lt;",IF(T82=0,"","≤"))</f>
        <v/>
      </c>
      <c r="I111" s="2018" t="str">
        <f>U82</f>
        <v/>
      </c>
      <c r="J111" s="2019" t="str">
        <f t="shared" si="15"/>
        <v/>
      </c>
      <c r="K111" s="2020" t="str">
        <f>IF(I111="","",I111*AverageFlowDry1/CF/FF*MRF*1000)</f>
        <v/>
      </c>
    </row>
    <row r="112" spans="1:11" ht="10.5" customHeight="1" outlineLevel="1">
      <c r="A112" s="2604" t="s">
        <v>1968</v>
      </c>
      <c r="B112" s="2605"/>
      <c r="C112" s="2605"/>
      <c r="D112" s="2605"/>
      <c r="E112" s="2605"/>
      <c r="F112" s="2605"/>
      <c r="G112" s="2606"/>
      <c r="H112" s="177" t="str">
        <f>IF(T95=8,"&lt;",IF(T95=0,"","≤"))</f>
        <v/>
      </c>
      <c r="I112" s="2014" t="str">
        <f>U95</f>
        <v/>
      </c>
      <c r="J112" s="1947" t="str">
        <f t="shared" si="15"/>
        <v/>
      </c>
      <c r="K112" s="1948" t="str">
        <f>IF(I112="","",I112*AverageFlowDry1/CF/FF*MRF*1000)</f>
        <v/>
      </c>
    </row>
    <row r="113" spans="1:11" ht="10.5" customHeight="1" outlineLevel="1" thickBot="1">
      <c r="A113" s="2607" t="s">
        <v>1969</v>
      </c>
      <c r="B113" s="2608"/>
      <c r="C113" s="2608"/>
      <c r="D113" s="2608"/>
      <c r="E113" s="2608"/>
      <c r="F113" s="2608"/>
      <c r="G113" s="2609"/>
      <c r="H113" s="2006" t="str">
        <f>IF(SUM(T82,T95)=0,"",IF(SUM(T82,T95)=13,"&lt;","≤"))</f>
        <v/>
      </c>
      <c r="I113" s="2015" t="str">
        <f>IF(SUM(I111:I112)=0,"",SUM(I111:I112))</f>
        <v/>
      </c>
      <c r="J113" s="1964" t="str">
        <f t="shared" si="15"/>
        <v/>
      </c>
      <c r="K113" s="1965" t="str">
        <f>IF(I113="","",I113*AverageFlowDry1/CF/FF*MRF*1000)</f>
        <v/>
      </c>
    </row>
    <row r="114" spans="1:11" ht="10.5" customHeight="1">
      <c r="A114" s="109"/>
      <c r="B114" s="109"/>
      <c r="C114" s="109"/>
      <c r="D114" s="109"/>
      <c r="E114" s="983"/>
      <c r="F114" s="983"/>
      <c r="G114" s="983"/>
      <c r="H114" s="983"/>
      <c r="I114" s="983"/>
      <c r="J114" s="983"/>
      <c r="K114" s="983"/>
    </row>
    <row r="115" spans="1:11" ht="10.5" customHeight="1">
      <c r="C115" s="150" t="s">
        <v>1198</v>
      </c>
      <c r="D115" s="151"/>
      <c r="G115" s="150" t="s">
        <v>1199</v>
      </c>
      <c r="H115" s="151"/>
    </row>
    <row r="116" spans="1:11" ht="10.5" customHeight="1">
      <c r="C116" s="2597"/>
      <c r="D116" s="2598"/>
      <c r="G116" s="2597"/>
      <c r="H116" s="2598"/>
    </row>
    <row r="117" spans="1:11" ht="10.5" customHeight="1">
      <c r="C117" s="2599"/>
      <c r="D117" s="2600"/>
      <c r="G117" s="2599"/>
      <c r="H117" s="2600"/>
    </row>
  </sheetData>
  <mergeCells count="14">
    <mergeCell ref="B1:C1"/>
    <mergeCell ref="D1:E1"/>
    <mergeCell ref="A9:K9"/>
    <mergeCell ref="A62:K62"/>
    <mergeCell ref="A58:G58"/>
    <mergeCell ref="A59:G59"/>
    <mergeCell ref="A60:G60"/>
    <mergeCell ref="X33:Y33"/>
    <mergeCell ref="M9:P9"/>
    <mergeCell ref="C116:D117"/>
    <mergeCell ref="G116:H117"/>
    <mergeCell ref="A111:G111"/>
    <mergeCell ref="A112:G112"/>
    <mergeCell ref="A113:G113"/>
  </mergeCells>
  <phoneticPr fontId="0" type="noConversion"/>
  <dataValidations disablePrompts="1" count="1">
    <dataValidation type="list" allowBlank="1" showInputMessage="1" showErrorMessage="1" sqref="C11 C20 C73 C64">
      <formula1>MassUnits</formula1>
    </dataValidation>
  </dataValidations>
  <printOptions horizontalCentered="1"/>
  <pageMargins left="0.19685039370078741" right="0.19685039370078741" top="0.70866141732283472" bottom="0.39370078740157483" header="0.31496062992125984" footer="0.19685039370078741"/>
  <pageSetup paperSize="9" orientation="portrait" horizontalDpi="300" verticalDpi="300"/>
  <headerFooter alignWithMargins="0">
    <oddHeader>&amp;C&amp;"MS Sans Serif,Bold"&amp;16&amp;A</oddHeader>
    <oddFooter>&amp;L&amp;8&amp;F&amp;R&amp;8&amp;D  &amp;T</oddFooter>
  </headerFooter>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7"/>
    <pageSetUpPr autoPageBreaks="0"/>
  </sheetPr>
  <dimension ref="A1:AF97"/>
  <sheetViews>
    <sheetView showGridLines="0" zoomScale="150" zoomScaleNormal="150" zoomScalePageLayoutView="150" workbookViewId="0">
      <selection activeCell="E35" sqref="E35"/>
    </sheetView>
  </sheetViews>
  <sheetFormatPr baseColWidth="10" defaultColWidth="8.7109375" defaultRowHeight="10.5" customHeight="1" x14ac:dyDescent="0"/>
  <cols>
    <col min="1" max="8" width="8.7109375" style="172"/>
    <col min="9" max="9" width="11.140625" style="172" customWidth="1"/>
    <col min="10" max="10" width="10.85546875" style="172" customWidth="1"/>
    <col min="11" max="11" width="9.28515625" style="172" bestFit="1" customWidth="1"/>
    <col min="12" max="12" width="8.7109375" style="172"/>
    <col min="13" max="13" width="9.140625" style="172" hidden="1" customWidth="1"/>
    <col min="14" max="14" width="9.140625" style="1570" hidden="1" customWidth="1"/>
    <col min="15" max="16384" width="8.7109375" style="172"/>
  </cols>
  <sheetData>
    <row r="1" spans="1:14" ht="10.5" customHeight="1">
      <c r="A1" s="1426" t="s">
        <v>1196</v>
      </c>
      <c r="B1" s="1427"/>
      <c r="C1" s="2631"/>
      <c r="D1" s="2632"/>
      <c r="E1" s="2633"/>
      <c r="F1" s="1431" t="s">
        <v>1343</v>
      </c>
      <c r="G1" s="1145"/>
      <c r="H1" s="2634"/>
      <c r="I1" s="2635"/>
      <c r="J1" s="2635"/>
      <c r="K1" s="2636"/>
    </row>
    <row r="2" spans="1:14" ht="10.5" customHeight="1">
      <c r="A2" s="1428" t="s">
        <v>1591</v>
      </c>
      <c r="B2" s="1429"/>
      <c r="C2" s="2643"/>
      <c r="D2" s="2644"/>
      <c r="E2" s="2645"/>
      <c r="F2" s="1145" t="s">
        <v>1204</v>
      </c>
      <c r="G2" s="1429"/>
      <c r="H2" s="2637"/>
      <c r="I2" s="2638"/>
      <c r="J2" s="2638"/>
      <c r="K2" s="2639"/>
    </row>
    <row r="3" spans="1:14" ht="10.5" customHeight="1">
      <c r="A3" s="1125" t="s">
        <v>297</v>
      </c>
      <c r="B3" s="1429"/>
      <c r="C3" s="2643"/>
      <c r="D3" s="2644"/>
      <c r="E3" s="547"/>
      <c r="F3" s="1145" t="s">
        <v>1445</v>
      </c>
      <c r="G3" s="1429"/>
      <c r="H3" s="2640"/>
      <c r="I3" s="2641"/>
      <c r="J3" s="2642"/>
      <c r="K3" s="223" t="s">
        <v>1363</v>
      </c>
    </row>
    <row r="4" spans="1:14" ht="10.5" customHeight="1">
      <c r="A4" s="1125" t="s">
        <v>1444</v>
      </c>
      <c r="B4" s="1429"/>
      <c r="C4" s="2612" t="s">
        <v>1184</v>
      </c>
      <c r="D4" s="2613"/>
      <c r="E4" s="2613"/>
      <c r="F4" s="2613"/>
      <c r="G4" s="2613"/>
      <c r="H4" s="2613"/>
      <c r="I4" s="2613"/>
      <c r="J4" s="2613"/>
      <c r="K4" s="2614"/>
    </row>
    <row r="5" spans="1:14" ht="10.5" customHeight="1">
      <c r="A5" s="1125" t="s">
        <v>296</v>
      </c>
      <c r="B5" s="1429"/>
      <c r="C5" s="2620"/>
      <c r="D5" s="2621"/>
      <c r="E5" s="2621"/>
      <c r="F5" s="2621"/>
      <c r="G5" s="2621"/>
      <c r="H5" s="2621"/>
      <c r="I5" s="2621"/>
      <c r="J5" s="2621"/>
      <c r="K5" s="2622"/>
      <c r="M5" s="2462" t="s">
        <v>867</v>
      </c>
    </row>
    <row r="6" spans="1:14" ht="10.5" customHeight="1">
      <c r="A6" s="1224"/>
      <c r="B6" s="1429"/>
      <c r="C6" s="2623"/>
      <c r="D6" s="2624"/>
      <c r="E6" s="2624"/>
      <c r="F6" s="2624"/>
      <c r="G6" s="2624"/>
      <c r="H6" s="2624"/>
      <c r="I6" s="2624"/>
      <c r="J6" s="2624"/>
      <c r="K6" s="2625"/>
      <c r="M6" s="2462" t="b">
        <f>IF(COUNTBLANK('Flows &amp; Isokinetics'!C2:C140)=0,TRUE,FALSE)</f>
        <v>0</v>
      </c>
    </row>
    <row r="7" spans="1:14" ht="10.5" customHeight="1">
      <c r="A7" s="1125"/>
      <c r="B7" s="1429"/>
      <c r="C7" s="2623"/>
      <c r="D7" s="2624"/>
      <c r="E7" s="2624"/>
      <c r="F7" s="2624"/>
      <c r="G7" s="2624"/>
      <c r="H7" s="2624"/>
      <c r="I7" s="2624"/>
      <c r="J7" s="2624"/>
      <c r="K7" s="2625"/>
      <c r="M7" s="2462" t="s">
        <v>1440</v>
      </c>
    </row>
    <row r="8" spans="1:14" ht="10.5" customHeight="1">
      <c r="A8" s="1125"/>
      <c r="B8" s="1429"/>
      <c r="C8" s="2623"/>
      <c r="D8" s="2624"/>
      <c r="E8" s="2624"/>
      <c r="F8" s="2624"/>
      <c r="G8" s="2624"/>
      <c r="H8" s="2624"/>
      <c r="I8" s="2624"/>
      <c r="J8" s="2624"/>
      <c r="K8" s="2625"/>
      <c r="M8" s="2435" t="b">
        <f>IF(COUNTBLANK('Flows &amp; Isokinetics'!A2:B17)=0,TRUE,FALSE)</f>
        <v>1</v>
      </c>
    </row>
    <row r="9" spans="1:14" ht="10.5" customHeight="1">
      <c r="A9" s="1125"/>
      <c r="B9" s="1429"/>
      <c r="C9" s="2626"/>
      <c r="D9" s="2627"/>
      <c r="E9" s="2627"/>
      <c r="F9" s="2627"/>
      <c r="G9" s="2627"/>
      <c r="H9" s="2627"/>
      <c r="I9" s="2627"/>
      <c r="J9" s="2627"/>
      <c r="K9" s="2628"/>
      <c r="M9" s="2462" t="s">
        <v>2161</v>
      </c>
    </row>
    <row r="10" spans="1:14" ht="10.5" customHeight="1" thickBot="1">
      <c r="A10" s="1432" t="s">
        <v>63</v>
      </c>
      <c r="B10" s="1433"/>
      <c r="C10" s="1429"/>
      <c r="D10" s="1429"/>
      <c r="E10" s="1434"/>
      <c r="F10" s="1439" t="s">
        <v>1274</v>
      </c>
      <c r="G10" s="1145"/>
      <c r="H10" s="1440" t="s">
        <v>676</v>
      </c>
      <c r="I10" s="1440" t="s">
        <v>57</v>
      </c>
      <c r="J10" s="1440" t="s">
        <v>58</v>
      </c>
      <c r="K10" s="1444" t="s">
        <v>677</v>
      </c>
      <c r="M10" s="2435" t="b">
        <f>IF(N24=TRUE,IF(COUNTBLANK(Afterflows!A2:A139)=0,TRUE,FALSE),TRUE)</f>
        <v>1</v>
      </c>
    </row>
    <row r="11" spans="1:14" ht="10.5" customHeight="1">
      <c r="A11" s="2421"/>
      <c r="B11" s="2422"/>
      <c r="C11" s="2422"/>
      <c r="D11" s="2629" t="s">
        <v>87</v>
      </c>
      <c r="E11" s="2630"/>
      <c r="F11" s="1441" t="s">
        <v>1239</v>
      </c>
      <c r="G11" s="1145"/>
      <c r="H11" s="1442" t="str">
        <f>IF(StackDimA="","",signum(Area(StackDimA,StackDimB,StackShape),3))</f>
        <v/>
      </c>
      <c r="I11" s="1081"/>
      <c r="J11" s="1082"/>
      <c r="K11" s="1078" t="str">
        <f>Shape(StackDimA,StackDimB)</f>
        <v/>
      </c>
    </row>
    <row r="12" spans="1:14" ht="10.5" customHeight="1">
      <c r="A12" s="2491"/>
      <c r="B12" s="2422"/>
      <c r="C12" s="2423"/>
      <c r="D12" s="1115" t="s">
        <v>1655</v>
      </c>
      <c r="E12" s="2394" t="s">
        <v>93</v>
      </c>
      <c r="F12" s="1441" t="s">
        <v>44</v>
      </c>
      <c r="G12" s="1145"/>
      <c r="H12" s="1442" t="str">
        <f>IF(StackExitDimA="","",signum(Area(StackExitDimA,StackExitDimB,EPshape),3))</f>
        <v/>
      </c>
      <c r="I12" s="1083"/>
      <c r="J12" s="1084"/>
      <c r="K12" s="1078" t="str">
        <f>Shape(StackExitDimA,StackExitDimB)</f>
        <v/>
      </c>
      <c r="M12" s="2499" t="s">
        <v>2152</v>
      </c>
      <c r="N12" s="2500" t="b">
        <v>0</v>
      </c>
    </row>
    <row r="13" spans="1:14" ht="10.5" customHeight="1">
      <c r="A13" s="2491"/>
      <c r="B13" s="2422"/>
      <c r="C13" s="2423"/>
      <c r="D13" s="1115" t="s">
        <v>867</v>
      </c>
      <c r="E13" s="2394" t="s">
        <v>170</v>
      </c>
      <c r="F13" s="1441" t="s">
        <v>1044</v>
      </c>
      <c r="G13" s="1145"/>
      <c r="H13" s="1145"/>
      <c r="I13" s="1085"/>
      <c r="J13" s="1084"/>
      <c r="K13" s="1079"/>
      <c r="M13" s="2499" t="s">
        <v>2153</v>
      </c>
      <c r="N13" s="2501" t="b">
        <v>0</v>
      </c>
    </row>
    <row r="14" spans="1:14" ht="10.5" customHeight="1">
      <c r="A14" s="2421"/>
      <c r="B14" s="2422"/>
      <c r="C14" s="2423"/>
      <c r="D14" s="1115" t="s">
        <v>1277</v>
      </c>
      <c r="E14" s="2394" t="s">
        <v>170</v>
      </c>
      <c r="F14" s="1441"/>
      <c r="G14" s="1145"/>
      <c r="H14" s="1145"/>
      <c r="I14" s="1445"/>
      <c r="J14" s="1446"/>
      <c r="K14" s="1447"/>
      <c r="M14" s="172" t="s">
        <v>2154</v>
      </c>
      <c r="N14" s="1570" t="b">
        <v>0</v>
      </c>
    </row>
    <row r="15" spans="1:14" ht="10.5" customHeight="1">
      <c r="A15" s="2421"/>
      <c r="B15" s="2422"/>
      <c r="C15" s="2422"/>
      <c r="D15" s="1429"/>
      <c r="E15" s="1434"/>
      <c r="F15" s="1439" t="s">
        <v>1239</v>
      </c>
      <c r="G15" s="1145"/>
      <c r="H15" s="1430"/>
      <c r="I15" s="1448" t="s">
        <v>1209</v>
      </c>
      <c r="J15" s="1449" t="s">
        <v>1296</v>
      </c>
      <c r="K15" s="1450" t="s">
        <v>668</v>
      </c>
      <c r="M15" s="172" t="s">
        <v>2155</v>
      </c>
      <c r="N15" s="1570" t="b">
        <v>0</v>
      </c>
    </row>
    <row r="16" spans="1:14" ht="10.5" customHeight="1">
      <c r="A16" s="2421"/>
      <c r="B16" s="2422"/>
      <c r="C16" s="2422"/>
      <c r="D16" s="1429"/>
      <c r="E16" s="1434"/>
      <c r="F16" s="1441" t="s">
        <v>1273</v>
      </c>
      <c r="G16" s="1145"/>
      <c r="H16" s="1429"/>
      <c r="I16" s="1086"/>
      <c r="J16" s="1087"/>
      <c r="K16" s="1451"/>
      <c r="M16" s="172" t="s">
        <v>2156</v>
      </c>
      <c r="N16" s="1570" t="b">
        <v>0</v>
      </c>
    </row>
    <row r="17" spans="1:14" ht="10.5" customHeight="1">
      <c r="A17" s="2421"/>
      <c r="B17" s="2422"/>
      <c r="C17" s="2422"/>
      <c r="D17" s="1429"/>
      <c r="E17" s="1434"/>
      <c r="F17" s="1441" t="s">
        <v>1210</v>
      </c>
      <c r="G17" s="1145"/>
      <c r="H17" s="2040">
        <f>IF(ISNUMBER(SEARCH("&gt;*",DisturbDistDown)),DisturbCritDown,DisturbDistDown)</f>
        <v>0</v>
      </c>
      <c r="I17" s="1088"/>
      <c r="J17" s="1391"/>
      <c r="K17" s="1080" t="str">
        <f>IF(DisturbTypeDown="","",IF(TravMethod="VDI 2066",5,IF(TravMethod="USEPA M1",2,VLOOKUP(DisturbTypeDown,DisturbCriteria,2,FALSE))))</f>
        <v/>
      </c>
      <c r="M17" s="172" t="s">
        <v>2157</v>
      </c>
      <c r="N17" s="1570" t="b">
        <v>0</v>
      </c>
    </row>
    <row r="18" spans="1:14" ht="10.5" customHeight="1">
      <c r="A18" s="2421"/>
      <c r="B18" s="2422"/>
      <c r="C18" s="2422"/>
      <c r="D18" s="1429"/>
      <c r="E18" s="1827"/>
      <c r="F18" s="1441" t="s">
        <v>1211</v>
      </c>
      <c r="G18" s="1145"/>
      <c r="H18" s="2040">
        <f>IF(ISNUMBER(SEARCH("&gt;*",DisturbDistUp)),DisturbCritUp,DisturbDistUp)</f>
        <v>0</v>
      </c>
      <c r="I18" s="1088"/>
      <c r="J18" s="1391"/>
      <c r="K18" s="1080" t="str">
        <f>IF(DisturbTypeUp="","",IF(TravMethod="VDI 2066",5,IF(TravMethod="USEPA M1",8,VLOOKUP(DisturbTypeUp,DisturbCriteria,3,FALSE))))</f>
        <v/>
      </c>
      <c r="M18" s="172" t="s">
        <v>2158</v>
      </c>
      <c r="N18" s="1570" t="b">
        <v>0</v>
      </c>
    </row>
    <row r="19" spans="1:14" ht="10.5" customHeight="1">
      <c r="A19" s="2421"/>
      <c r="B19" s="2422"/>
      <c r="C19" s="2422"/>
      <c r="D19" s="1429"/>
      <c r="E19" s="1827"/>
      <c r="F19" s="1441" t="s">
        <v>11</v>
      </c>
      <c r="G19" s="1145"/>
      <c r="H19" s="1430"/>
      <c r="I19" s="1089"/>
      <c r="J19" s="1090"/>
      <c r="K19" s="1452">
        <f>TraversesSelect(TravMethod,StackDimA,StackDimB,StackShape,PointsTotal)</f>
        <v>1</v>
      </c>
      <c r="L19" s="229"/>
      <c r="M19" s="172" t="s">
        <v>2159</v>
      </c>
      <c r="N19" s="1570" t="b">
        <v>0</v>
      </c>
    </row>
    <row r="20" spans="1:14" ht="10.5" customHeight="1">
      <c r="A20" s="2421"/>
      <c r="B20" s="2422"/>
      <c r="C20" s="2422"/>
      <c r="D20" s="1429"/>
      <c r="E20" s="1827"/>
      <c r="F20" s="1441" t="s">
        <v>12</v>
      </c>
      <c r="G20" s="1145"/>
      <c r="H20" s="1430"/>
      <c r="I20" s="1091" t="s">
        <v>666</v>
      </c>
      <c r="J20" s="1453" t="e">
        <f>PointFactorSelect(TravMethod,H18,H17,DisturbCritUp,DisturbCritDown)</f>
        <v>#VALUE!</v>
      </c>
      <c r="K20" s="1452" t="str">
        <f>PointsMinselect(TravMethod,StackDimA,StackDimB,StackShape,PointsTotal)</f>
        <v/>
      </c>
      <c r="M20" s="172" t="s">
        <v>1277</v>
      </c>
      <c r="N20" s="1570" t="b">
        <v>0</v>
      </c>
    </row>
    <row r="21" spans="1:14" ht="10.5" customHeight="1" thickBot="1">
      <c r="A21" s="2421"/>
      <c r="B21" s="2422"/>
      <c r="C21" s="2422"/>
      <c r="D21" s="1429"/>
      <c r="E21" s="1827"/>
      <c r="F21" s="1441" t="s">
        <v>13</v>
      </c>
      <c r="G21" s="1145"/>
      <c r="H21" s="1430"/>
      <c r="I21" s="1454" t="e">
        <f>PointsTotSelect(TravMethod,StackDimA,StackDimB,StackShape,TraversesRequired,PointsMinimum,PointsFactor,H18,H17)</f>
        <v>#VALUE!</v>
      </c>
      <c r="J21" s="1092"/>
      <c r="K21" s="1452" t="e">
        <f>PointsReqSelect(TravMethod,StackDimA,StackDimB,StackShape,TraversesRequired,PointsMinimum,PointsFactor,H18,H17)</f>
        <v>#VALUE!</v>
      </c>
      <c r="M21" s="172" t="s">
        <v>2160</v>
      </c>
      <c r="N21" s="1570" t="b">
        <v>0</v>
      </c>
    </row>
    <row r="22" spans="1:14" ht="10.5" customHeight="1">
      <c r="A22" s="2421"/>
      <c r="B22" s="2422"/>
      <c r="C22" s="2422"/>
      <c r="D22" s="1429"/>
      <c r="E22" s="1434"/>
      <c r="F22" s="1443"/>
      <c r="G22" s="1429"/>
      <c r="H22" s="1429"/>
      <c r="I22" s="1455" t="s">
        <v>1595</v>
      </c>
      <c r="J22" s="1455"/>
      <c r="K22" s="1456"/>
      <c r="M22" s="172" t="s">
        <v>1195</v>
      </c>
      <c r="N22" s="1570" t="b">
        <v>0</v>
      </c>
    </row>
    <row r="23" spans="1:14" ht="10.5" customHeight="1">
      <c r="A23" s="2421"/>
      <c r="B23" s="2422"/>
      <c r="C23" s="2422"/>
      <c r="D23" s="1429"/>
      <c r="E23" s="1434"/>
      <c r="F23" s="1443"/>
      <c r="G23" s="1429"/>
      <c r="H23" s="1429"/>
      <c r="I23" s="1429"/>
      <c r="J23" s="1429"/>
      <c r="K23" s="1456"/>
      <c r="M23" s="172" t="s">
        <v>1605</v>
      </c>
      <c r="N23" s="1570" t="b">
        <v>0</v>
      </c>
    </row>
    <row r="24" spans="1:14" ht="10.5" customHeight="1">
      <c r="A24" s="2421"/>
      <c r="B24" s="2422"/>
      <c r="C24" s="2422"/>
      <c r="D24" s="1429"/>
      <c r="E24" s="1827"/>
      <c r="F24" s="2395"/>
      <c r="G24" s="1429"/>
      <c r="H24" s="1429"/>
      <c r="I24" s="1429"/>
      <c r="J24" s="1429"/>
      <c r="K24" s="1456"/>
      <c r="M24" s="172" t="s">
        <v>2161</v>
      </c>
      <c r="N24" s="1570" t="b">
        <v>0</v>
      </c>
    </row>
    <row r="25" spans="1:14" ht="10.5" customHeight="1">
      <c r="A25" s="2424"/>
      <c r="B25" s="2425"/>
      <c r="C25" s="2425"/>
      <c r="D25" s="1437"/>
      <c r="E25" s="1438"/>
      <c r="F25" s="1439" t="s">
        <v>620</v>
      </c>
      <c r="G25" s="1145"/>
      <c r="H25" s="282" t="str">
        <f>DevA(Pitots!V57)</f>
        <v/>
      </c>
      <c r="I25" s="282" t="str">
        <f>Devg(AverageStackTemp,DewPt,AvMoisture,I54)</f>
        <v/>
      </c>
      <c r="J25" s="282" t="str">
        <f>Devi1(TraversesSampled,TraversesRequired)</f>
        <v/>
      </c>
      <c r="K25" s="333" t="str">
        <f>devi7(Gases!D511:R511)</f>
        <v>7</v>
      </c>
    </row>
    <row r="26" spans="1:14" ht="10.5" customHeight="1">
      <c r="A26" s="1457" t="s">
        <v>1461</v>
      </c>
      <c r="B26" s="1458"/>
      <c r="C26" s="1458"/>
      <c r="D26" s="1460" t="s">
        <v>1464</v>
      </c>
      <c r="E26" s="1461" t="s">
        <v>1207</v>
      </c>
      <c r="F26" s="1443"/>
      <c r="G26" s="1429"/>
      <c r="H26" s="282" t="str">
        <f>DevB(Pitots!W57)</f>
        <v/>
      </c>
      <c r="I26" s="282" t="str">
        <f>DevH1(DisturbDistDown)</f>
        <v/>
      </c>
      <c r="J26" s="282" t="str">
        <f>IF(StackDimA="","",Devi2(TraversesSampled,PointsTraverse,TraversesRequired,PointsRequired))</f>
        <v/>
      </c>
      <c r="K26" s="333" t="str">
        <f>Devi8(MoistureCont)</f>
        <v/>
      </c>
    </row>
    <row r="27" spans="1:14" ht="10.5" customHeight="1">
      <c r="A27" s="1125" t="s">
        <v>1348</v>
      </c>
      <c r="B27" s="1145"/>
      <c r="C27" s="1145"/>
      <c r="D27" s="1246" t="s">
        <v>21</v>
      </c>
      <c r="E27" s="1462">
        <f>Pitots!F8</f>
        <v>1</v>
      </c>
      <c r="F27" s="1443" t="str">
        <f ca="1">Compliance(H25:H30,I25:I28,I29:I30,H25:I30,DisturbDistDown,DisturbCritDown,DisturbDistUp,DisturbCritUp)</f>
        <v>Satisfactory</v>
      </c>
      <c r="G27" s="1145"/>
      <c r="H27" s="282" t="str">
        <f>DevC(Pitots!X58)</f>
        <v/>
      </c>
      <c r="I27" s="282" t="str">
        <f>DevH2(DisturbDistUp)</f>
        <v/>
      </c>
      <c r="J27" s="282" t="str">
        <f>IF(OR(ISERROR(IsokineticRate1),ISERROR(IsokineticRate2)),"",Devi3(IsokineticRate1,IsokineticRate2))</f>
        <v/>
      </c>
      <c r="K27" s="333" t="str">
        <f>Devi9(LicenceLimits)</f>
        <v/>
      </c>
    </row>
    <row r="28" spans="1:14" ht="10.5" customHeight="1">
      <c r="A28" s="1125" t="s">
        <v>618</v>
      </c>
      <c r="B28" s="1145"/>
      <c r="C28" s="1145"/>
      <c r="D28" s="1246" t="str">
        <f>IF(Flowmeter1="ECS","mmH2O","Pa")</f>
        <v>Pa</v>
      </c>
      <c r="E28" s="1462">
        <f>Pitots!F18</f>
        <v>1</v>
      </c>
      <c r="F28" s="1441"/>
      <c r="G28" s="1145"/>
      <c r="H28" s="282" t="str">
        <f>DevD(Pitots!Y59)</f>
        <v/>
      </c>
      <c r="I28" s="282" t="str">
        <f>DevI(TraversesSampled,TraversesRequired)</f>
        <v/>
      </c>
      <c r="J28" s="282" t="str">
        <f>IF(OR(ISERROR(IsokineticRate3),ISERROR(IsokineticRate4)),"",Devi4(IsokineticRate3,IsokineticRate4))</f>
        <v/>
      </c>
      <c r="K28" s="333">
        <v>10</v>
      </c>
    </row>
    <row r="29" spans="1:14" ht="10.5" customHeight="1">
      <c r="A29" s="1125" t="s">
        <v>619</v>
      </c>
      <c r="B29" s="1145"/>
      <c r="C29" s="1145"/>
      <c r="D29" s="733" t="s">
        <v>1245</v>
      </c>
      <c r="E29" s="1462">
        <f>Pitots!F25</f>
        <v>1</v>
      </c>
      <c r="F29" s="1441"/>
      <c r="G29" s="1145"/>
      <c r="H29" s="282" t="str">
        <f>DevE(Pitots!V59,Pitots!W59)</f>
        <v/>
      </c>
      <c r="I29" s="282" t="str">
        <f>Devj(DisturbDistDown,DisturbCritDown)</f>
        <v/>
      </c>
      <c r="J29" s="282" t="str">
        <f>IF(ISERROR(D97),"",IF(ISERROR(G97),Devi5(D97,0),Devi5(D97,G97)))</f>
        <v/>
      </c>
      <c r="K29" s="1464"/>
    </row>
    <row r="30" spans="1:14" ht="10.5" customHeight="1">
      <c r="A30" s="1125" t="s">
        <v>1379</v>
      </c>
      <c r="B30" s="1145"/>
      <c r="C30" s="1145"/>
      <c r="D30" s="228" t="s">
        <v>1197</v>
      </c>
      <c r="E30" s="1462">
        <f>Pitots!F32</f>
        <v>0</v>
      </c>
      <c r="F30" s="1441"/>
      <c r="G30" s="1145"/>
      <c r="H30" s="282" t="str">
        <f ca="1">DevF(Pitots!W59)</f>
        <v/>
      </c>
      <c r="I30" s="282" t="str">
        <f>DevK(DisturbDistUp,DisturbCritUp)</f>
        <v/>
      </c>
      <c r="J30" s="282" t="str">
        <f>IF(OR(ISERROR(VelocityAverage3),ISERROR(VelocityAverageAft3)),"",Devi6(VelocityAverage3,VelocityAverageAft3))</f>
        <v/>
      </c>
      <c r="K30" s="1464"/>
    </row>
    <row r="31" spans="1:14" ht="10.5" customHeight="1">
      <c r="A31" s="1125" t="s">
        <v>1214</v>
      </c>
      <c r="B31" s="1145"/>
      <c r="C31" s="1145"/>
      <c r="D31" s="1246" t="s">
        <v>1218</v>
      </c>
      <c r="E31" s="1462">
        <f>Pitots!I8</f>
        <v>1</v>
      </c>
      <c r="F31" s="1441"/>
      <c r="G31" s="1145"/>
      <c r="H31" s="1145"/>
      <c r="I31" s="1429"/>
      <c r="J31" s="1429"/>
      <c r="K31" s="1456"/>
    </row>
    <row r="32" spans="1:14" ht="10.5" customHeight="1">
      <c r="A32" s="1125" t="s">
        <v>632</v>
      </c>
      <c r="B32" s="1145"/>
      <c r="C32" s="1145"/>
      <c r="D32" s="228" t="str">
        <f>IF(OR(State="NSW",State="ACT"),"m³/s","m³/min")</f>
        <v>m³/min</v>
      </c>
      <c r="E32" s="1462">
        <f>Pitots!I34</f>
        <v>60</v>
      </c>
      <c r="F32" s="1439" t="s">
        <v>621</v>
      </c>
      <c r="G32" s="1145"/>
      <c r="H32" s="1145"/>
      <c r="I32" s="1429"/>
      <c r="J32" s="1429"/>
      <c r="K32" s="1456"/>
    </row>
    <row r="33" spans="1:32" ht="10.5" customHeight="1">
      <c r="A33" s="1125" t="s">
        <v>1463</v>
      </c>
      <c r="B33" s="1145"/>
      <c r="C33" s="1145"/>
      <c r="D33" s="228" t="s">
        <v>1377</v>
      </c>
      <c r="E33" s="1462">
        <f>Pitots!I23</f>
        <v>1000000</v>
      </c>
      <c r="F33" s="1443"/>
      <c r="G33" s="1115" t="s">
        <v>1348</v>
      </c>
      <c r="H33" s="734"/>
      <c r="I33" s="736" t="str">
        <f>IF(H33="","",H33)</f>
        <v/>
      </c>
      <c r="J33" s="1429" t="s">
        <v>630</v>
      </c>
      <c r="K33" s="1456"/>
    </row>
    <row r="34" spans="1:32" ht="10.5" customHeight="1">
      <c r="A34" s="1125" t="s">
        <v>1304</v>
      </c>
      <c r="B34" s="1145"/>
      <c r="C34" s="1145"/>
      <c r="D34" s="228" t="s">
        <v>1375</v>
      </c>
      <c r="E34" s="1462">
        <f>Pitots!I48</f>
        <v>60</v>
      </c>
      <c r="F34" s="1443"/>
      <c r="G34" s="1115" t="s">
        <v>1292</v>
      </c>
      <c r="H34" s="735"/>
      <c r="I34" s="770">
        <v>0.84</v>
      </c>
      <c r="J34" s="1429" t="s">
        <v>631</v>
      </c>
      <c r="K34" s="1456"/>
      <c r="L34" s="108"/>
    </row>
    <row r="35" spans="1:32" ht="10.5" customHeight="1">
      <c r="A35" s="1125" t="s">
        <v>1465</v>
      </c>
      <c r="B35" s="1145"/>
      <c r="C35" s="1145"/>
      <c r="D35" s="228" t="str">
        <f>IF(OR(State="ACT",State="NSW"),"oum³/s","oum³/min")</f>
        <v>oum³/min</v>
      </c>
      <c r="E35" s="1462">
        <f>Pitots!I55</f>
        <v>60</v>
      </c>
      <c r="F35" s="1441"/>
      <c r="G35" s="1409" t="s">
        <v>618</v>
      </c>
      <c r="H35" s="737"/>
      <c r="I35" s="1466" t="str">
        <f>IF(H35="","",Velocity("",I34,"",H35,H34,H34,I33,MolecularWt))</f>
        <v/>
      </c>
      <c r="J35" s="1429" t="s">
        <v>1214</v>
      </c>
      <c r="K35" s="1456"/>
    </row>
    <row r="36" spans="1:32" ht="10.5" customHeight="1">
      <c r="A36" s="1125" t="s">
        <v>261</v>
      </c>
      <c r="B36" s="1145"/>
      <c r="C36" s="1459">
        <f>TempVC(NTPSTP)</f>
        <v>0</v>
      </c>
      <c r="D36" s="473" t="s">
        <v>349</v>
      </c>
      <c r="E36" s="1161">
        <f>MolarVolume(NTPSTP)</f>
        <v>22.412722427831234</v>
      </c>
      <c r="F36" s="1463"/>
      <c r="G36" s="1118"/>
      <c r="H36" s="1118"/>
      <c r="I36" s="1118"/>
      <c r="J36" s="1118"/>
      <c r="K36" s="1465"/>
      <c r="L36" s="231"/>
    </row>
    <row r="37" spans="1:32" ht="10.5" customHeight="1">
      <c r="A37" s="1435" t="s">
        <v>32</v>
      </c>
      <c r="B37" s="1429"/>
      <c r="C37" s="1145"/>
      <c r="D37" s="1388">
        <v>2</v>
      </c>
      <c r="E37" s="1389">
        <v>2</v>
      </c>
      <c r="F37" s="1126" t="s">
        <v>1324</v>
      </c>
      <c r="G37" s="1115"/>
      <c r="H37" s="1115"/>
      <c r="I37" s="1115"/>
      <c r="J37" s="1115"/>
      <c r="K37" s="1456"/>
      <c r="L37" s="231"/>
    </row>
    <row r="38" spans="1:32" ht="10.5" customHeight="1">
      <c r="A38" s="1474" t="s">
        <v>1240</v>
      </c>
      <c r="B38" s="1458"/>
      <c r="C38" s="1475" t="s">
        <v>236</v>
      </c>
      <c r="D38" s="1476" t="s">
        <v>229</v>
      </c>
      <c r="E38" s="1477" t="s">
        <v>230</v>
      </c>
      <c r="F38" s="1126" t="s">
        <v>1625</v>
      </c>
      <c r="G38" s="2616" t="s">
        <v>1624</v>
      </c>
      <c r="H38" s="2617"/>
      <c r="I38" s="1440" t="s">
        <v>8</v>
      </c>
      <c r="J38" s="1440" t="s">
        <v>9</v>
      </c>
      <c r="K38" s="1456"/>
      <c r="L38" s="231"/>
      <c r="M38" s="1837" t="s">
        <v>1835</v>
      </c>
    </row>
    <row r="39" spans="1:32" ht="10.5" customHeight="1">
      <c r="A39" s="1489" t="s">
        <v>237</v>
      </c>
      <c r="B39" s="1491">
        <f>Gases!P9</f>
        <v>31.998799999999999</v>
      </c>
      <c r="C39" s="479"/>
      <c r="D39" s="1467">
        <f>O2dry*(1-Bws)</f>
        <v>20.736540000000002</v>
      </c>
      <c r="E39" s="1478">
        <f>IF(ISNUMBER(O2percent),O2percent,IF(ISNUMBER(C39),C39,20.946))</f>
        <v>20.946000000000002</v>
      </c>
      <c r="F39" s="1145" t="s">
        <v>1220</v>
      </c>
      <c r="G39" s="1145"/>
      <c r="H39" s="1429"/>
      <c r="I39" s="730"/>
      <c r="J39" s="731"/>
      <c r="K39" s="1456"/>
      <c r="L39" s="231"/>
      <c r="M39" s="892" t="s">
        <v>999</v>
      </c>
    </row>
    <row r="40" spans="1:32" ht="10.5" customHeight="1">
      <c r="A40" s="1489" t="s">
        <v>238</v>
      </c>
      <c r="B40" s="1491">
        <f>Gases!N9</f>
        <v>44.009500000000003</v>
      </c>
      <c r="C40" s="480"/>
      <c r="D40" s="1467">
        <f>CO2dry*(1-Bws)</f>
        <v>3.2670000000000005E-2</v>
      </c>
      <c r="E40" s="1478">
        <f>IF(ISNUMBER(CO2percent),CO2percent,IF(ISNUMBER(C40),C40,0.033))</f>
        <v>3.3000000000000002E-2</v>
      </c>
      <c r="F40" s="1145" t="s">
        <v>1322</v>
      </c>
      <c r="G40" s="1145"/>
      <c r="H40" s="1429"/>
      <c r="I40" s="893" t="b">
        <f>IF(LEFT($G$38,2)="US",IF($G$38="USEPA 4",Flowmeter1,Flowmeter3))</f>
        <v>0</v>
      </c>
      <c r="J40" s="893" t="b">
        <f>IF(LEFT($G$38,2)="US",IF($G$38="USEPA 4",Flowmeter2,Flowmeter4))</f>
        <v>0</v>
      </c>
      <c r="K40" s="1456"/>
      <c r="L40" s="231"/>
      <c r="M40" s="1523"/>
      <c r="N40" s="2426" t="s">
        <v>8</v>
      </c>
      <c r="O40" s="1524" t="s">
        <v>9</v>
      </c>
    </row>
    <row r="41" spans="1:32" ht="10.5" customHeight="1">
      <c r="A41" s="1489" t="s">
        <v>231</v>
      </c>
      <c r="B41" s="1491">
        <v>18.0153</v>
      </c>
      <c r="C41" s="481"/>
      <c r="D41" s="1467">
        <f>IF(OR(I53="",ISERROR(I53),ISERROR(I54)),IF(ISNUMBER(C41),C41,1),IF(I53&lt;I54,I53,I54))</f>
        <v>1</v>
      </c>
      <c r="E41" s="1479">
        <f>IF(ISNUMBER(MoistureCont),MoistureCont/100,"")</f>
        <v>0.01</v>
      </c>
      <c r="F41" s="1145" t="s">
        <v>1283</v>
      </c>
      <c r="G41" s="1145"/>
      <c r="H41" s="1429"/>
      <c r="I41" s="893" t="str">
        <f>IF(LEFT($G$38,2)="US",IF($G$38="USEPA 4",MeterTempAvg1,MeterTempAvg3),"")</f>
        <v/>
      </c>
      <c r="J41" s="893" t="str">
        <f>IF(LEFT($G$38,2)="US",IF($G$38="USEPA 4",MeterTempAvg2,MeterTempAvg4),"")</f>
        <v/>
      </c>
      <c r="K41" s="1456" t="s">
        <v>1197</v>
      </c>
      <c r="L41" s="231"/>
      <c r="M41" s="1519" t="s">
        <v>991</v>
      </c>
      <c r="N41" s="2427"/>
      <c r="O41" s="730"/>
    </row>
    <row r="42" spans="1:32" ht="10.5" customHeight="1">
      <c r="A42" s="1390" t="s">
        <v>242</v>
      </c>
      <c r="B42" s="465">
        <v>39.948</v>
      </c>
      <c r="C42" s="480"/>
      <c r="D42" s="1467">
        <f>Other1dry*(1-Bws)</f>
        <v>0.92466000000000004</v>
      </c>
      <c r="E42" s="1478">
        <f>IF(ISNUMBER(C42),C42,0.934)</f>
        <v>0.93400000000000005</v>
      </c>
      <c r="F42" s="1528" t="s">
        <v>33</v>
      </c>
      <c r="G42" s="1145"/>
      <c r="H42" s="1429"/>
      <c r="I42" s="893" t="str">
        <f>IF(LEFT($G$38,2)="US",IF($G$38="USEPA 4",'Flows &amp; Isokinetics'!J9,'PM10 &amp; 2.5'!G7),"")</f>
        <v/>
      </c>
      <c r="J42" s="893" t="str">
        <f>IF(LEFT($G$38,2)="US",IF($G$38="USEPA 4",'Flows &amp; Isokinetics'!K9,'PM10 &amp; 2.5'!H7),"")</f>
        <v/>
      </c>
      <c r="K42" s="1456" t="s">
        <v>1673</v>
      </c>
      <c r="L42" s="231"/>
      <c r="M42" s="1519" t="s">
        <v>992</v>
      </c>
      <c r="N42" s="2427"/>
      <c r="O42" s="730"/>
      <c r="AE42" s="248"/>
      <c r="AF42" s="248"/>
    </row>
    <row r="43" spans="1:32" ht="10.5" customHeight="1">
      <c r="A43" s="1390" t="s">
        <v>232</v>
      </c>
      <c r="B43" s="465"/>
      <c r="C43" s="480"/>
      <c r="D43" s="1467">
        <f>Other2dry*(1-Bws)</f>
        <v>0</v>
      </c>
      <c r="E43" s="1478">
        <f>IF(ISNUMBER(C43),C43,0)</f>
        <v>0</v>
      </c>
      <c r="F43" s="1528" t="s">
        <v>34</v>
      </c>
      <c r="G43" s="1145"/>
      <c r="H43" s="1429"/>
      <c r="I43" s="893" t="str">
        <f>IF(LEFT($G$38,2)="US",IF($G$38="USEPA 4",'Flows &amp; Isokinetics'!J10,'PM10 &amp; 2.5'!G8),"")</f>
        <v/>
      </c>
      <c r="J43" s="893" t="str">
        <f>IF(LEFT($G$38,2)="US",IF($G$38="USEPA 4",'Flows &amp; Isokinetics'!K10,'PM10 &amp; 2.5'!H8),"")</f>
        <v/>
      </c>
      <c r="K43" s="1456" t="s">
        <v>1673</v>
      </c>
      <c r="L43" s="231"/>
      <c r="M43" s="1519" t="s">
        <v>993</v>
      </c>
      <c r="N43" s="2427"/>
      <c r="O43" s="730"/>
      <c r="AE43" s="250"/>
      <c r="AF43" s="250"/>
    </row>
    <row r="44" spans="1:32" ht="10.5" customHeight="1">
      <c r="A44" s="1390" t="s">
        <v>233</v>
      </c>
      <c r="B44" s="465"/>
      <c r="C44" s="480"/>
      <c r="D44" s="1467">
        <f>Other3dry*(1-Bws)</f>
        <v>0</v>
      </c>
      <c r="E44" s="1478">
        <f>IF(ISNUMBER(C44),C44,0)</f>
        <v>0</v>
      </c>
      <c r="F44" s="1145" t="str">
        <f>IF(OR($G$38="USEPA 4",$G$38="Alt-008 (volume)"),"Meter reading (start)","Initial flow rate")</f>
        <v>Initial flow rate</v>
      </c>
      <c r="G44" s="1145"/>
      <c r="H44" s="1529" t="str">
        <f>IF(G38="Psychrometric","Psyc",IF(OR(G38="USEPA 4",G38="Alt-008 (volume)"),"Volume","Flow"))</f>
        <v>Psyc</v>
      </c>
      <c r="I44" s="893" t="str">
        <f>IF(LEFT($G$38,2)="US",IF($G$38="USEPA 4",'Flows &amp; Isokinetics'!J7,'PM10 &amp; 2.5'!G5),"")</f>
        <v/>
      </c>
      <c r="J44" s="893" t="str">
        <f>IF(LEFT($G$38,2)="US",IF($G$38="USEPA 4",'Flows &amp; Isokinetics'!K7,'PM10 &amp; 2.5'!H5),"")</f>
        <v/>
      </c>
      <c r="K44" s="1456" t="str">
        <f>IF(OR($G$38="USEPA 4",$G$38="Alt-008 (volume)"),"L","mL/min")</f>
        <v>mL/min</v>
      </c>
      <c r="L44" s="231"/>
      <c r="M44" s="1519" t="s">
        <v>995</v>
      </c>
      <c r="N44" s="2427"/>
      <c r="O44" s="730"/>
      <c r="AE44" s="252"/>
      <c r="AF44" s="252"/>
    </row>
    <row r="45" spans="1:32" ht="10.5" customHeight="1">
      <c r="A45" s="1390" t="s">
        <v>234</v>
      </c>
      <c r="B45" s="465"/>
      <c r="C45" s="480"/>
      <c r="D45" s="1467">
        <f>Other4dry*(1-Bws)</f>
        <v>0</v>
      </c>
      <c r="E45" s="1478">
        <f>IF(ISNUMBER(C45),C45,0)</f>
        <v>0</v>
      </c>
      <c r="F45" s="1145" t="str">
        <f>IF(OR($G$38="USEPA 4",$G$38="Alt-008 (volume)"),"Meter reading (end)","Final flow rate")</f>
        <v>Final flow rate</v>
      </c>
      <c r="G45" s="1145"/>
      <c r="H45" s="1429"/>
      <c r="I45" s="893" t="str">
        <f>IF(LEFT($G$38,2)="US",IF($G$38="USEPA 4",'Flows &amp; Isokinetics'!J8,'PM10 &amp; 2.5'!G6),"")</f>
        <v/>
      </c>
      <c r="J45" s="893" t="str">
        <f>IF(LEFT($G$38,2)="US",IF($G$38="USEPA 4",'Flows &amp; Isokinetics'!K8,'PM10 &amp; 2.5'!H6),"")</f>
        <v/>
      </c>
      <c r="K45" s="1456" t="str">
        <f>IF(OR($G$38="USEPA 4",$G$38="Alt-008 (volume)"),"L","mL/min")</f>
        <v>mL/min</v>
      </c>
      <c r="L45" s="231"/>
      <c r="M45" s="1519" t="s">
        <v>994</v>
      </c>
      <c r="N45" s="2427"/>
      <c r="O45" s="730"/>
      <c r="AE45" s="252"/>
      <c r="AF45" s="252"/>
    </row>
    <row r="46" spans="1:32" ht="10.5" customHeight="1">
      <c r="A46" s="1390" t="s">
        <v>235</v>
      </c>
      <c r="B46" s="465"/>
      <c r="C46" s="480"/>
      <c r="D46" s="1467">
        <f>Other5dry*(1-Bws)</f>
        <v>0</v>
      </c>
      <c r="E46" s="1478">
        <f>IF(ISNUMBER(C46),C46,0)</f>
        <v>0</v>
      </c>
      <c r="F46" s="1145" t="s">
        <v>7</v>
      </c>
      <c r="G46" s="1145"/>
      <c r="H46" s="1429"/>
      <c r="I46" s="1116" t="str">
        <f>IF($H$44="Psyc","NA",TotalODour($H44,I44,I45,I42,I43,TiF))</f>
        <v>NA</v>
      </c>
      <c r="J46" s="1116" t="str">
        <f>IF($H$44="Psyc","NA",TotalODour($H44,J44,J45,J42,J43,TiF))</f>
        <v>NA</v>
      </c>
      <c r="K46" s="1456" t="s">
        <v>1266</v>
      </c>
      <c r="L46" s="231"/>
      <c r="M46" s="1525" t="s">
        <v>1452</v>
      </c>
      <c r="N46" s="2428">
        <f>SUM(N41:N45)</f>
        <v>0</v>
      </c>
      <c r="O46" s="1246">
        <f>SUM(O41:O45)</f>
        <v>0</v>
      </c>
      <c r="AE46" s="252"/>
      <c r="AF46" s="252"/>
    </row>
    <row r="47" spans="1:32" ht="10.5" customHeight="1">
      <c r="A47" s="1489" t="s">
        <v>239</v>
      </c>
      <c r="B47" s="1491">
        <f>28</f>
        <v>28</v>
      </c>
      <c r="C47" s="479"/>
      <c r="D47" s="1467">
        <f>N2wet(E47,Bws)</f>
        <v>77.306129999999982</v>
      </c>
      <c r="E47" s="1478">
        <f>n2dry(O2dry,CO2dry,Other1dry,Other2dry,Other3dry,Other4dry,Other5dry,N2est,COdry,NOxdry)</f>
        <v>78.086999999999989</v>
      </c>
      <c r="F47" s="1145" t="s">
        <v>996</v>
      </c>
      <c r="G47" s="1145"/>
      <c r="H47" s="1429"/>
      <c r="I47" s="730"/>
      <c r="J47" s="731"/>
      <c r="K47" s="1456" t="s">
        <v>324</v>
      </c>
      <c r="L47" s="231"/>
      <c r="AE47" s="252"/>
      <c r="AF47" s="252"/>
    </row>
    <row r="48" spans="1:32" ht="10.5" customHeight="1">
      <c r="A48" s="1489" t="s">
        <v>240</v>
      </c>
      <c r="B48" s="1491">
        <f>Gases!L9</f>
        <v>28.013500000000001</v>
      </c>
      <c r="C48" s="482"/>
      <c r="D48" s="1480">
        <f>COdry*(1-Bws)</f>
        <v>0</v>
      </c>
      <c r="E48" s="1481">
        <f>IF(ISNUMBER(COppm),COppm,IF(ISNUMBER(C48),C48,0))</f>
        <v>0</v>
      </c>
      <c r="F48" s="1145" t="s">
        <v>1294</v>
      </c>
      <c r="G48" s="1145"/>
      <c r="H48" s="1429"/>
      <c r="I48" s="893">
        <f>N46</f>
        <v>0</v>
      </c>
      <c r="J48" s="893">
        <f>O46</f>
        <v>0</v>
      </c>
      <c r="K48" s="1456" t="s">
        <v>1674</v>
      </c>
      <c r="L48" s="231"/>
      <c r="M48" s="892" t="s">
        <v>1000</v>
      </c>
      <c r="AE48" s="252"/>
      <c r="AF48" s="252"/>
    </row>
    <row r="49" spans="1:32" ht="10.5" customHeight="1">
      <c r="A49" s="1489" t="s">
        <v>241</v>
      </c>
      <c r="B49" s="1491">
        <f>Gases!H9</f>
        <v>46.005499999999998</v>
      </c>
      <c r="C49" s="483"/>
      <c r="D49" s="1480">
        <f>NOxdry*(1-Bws)</f>
        <v>0</v>
      </c>
      <c r="E49" s="1481">
        <f>IF(ISNUMBER(NOxppm),NOxppm,IF(ISNUMBER(C49),C49,0))</f>
        <v>0</v>
      </c>
      <c r="F49" s="1145" t="s">
        <v>1295</v>
      </c>
      <c r="G49" s="1145"/>
      <c r="H49" s="1429"/>
      <c r="I49" s="893">
        <f>N55</f>
        <v>0</v>
      </c>
      <c r="J49" s="893">
        <f>O55</f>
        <v>0</v>
      </c>
      <c r="K49" s="1456" t="s">
        <v>1674</v>
      </c>
      <c r="L49" s="231"/>
      <c r="M49" s="1523"/>
      <c r="N49" s="2426" t="s">
        <v>8</v>
      </c>
      <c r="O49" s="1524" t="s">
        <v>9</v>
      </c>
      <c r="AE49" s="108"/>
      <c r="AF49" s="108"/>
    </row>
    <row r="50" spans="1:32" ht="10.5" customHeight="1">
      <c r="A50" s="1443" t="s">
        <v>1452</v>
      </c>
      <c r="B50" s="1429"/>
      <c r="C50" s="1436"/>
      <c r="D50" s="1482">
        <f>SUM(D39:D47)+SUM(D48:D49)/10000</f>
        <v>99.999999999999986</v>
      </c>
      <c r="E50" s="1483">
        <f>SUM(E39:E40,E42:E47)+SUM(E48:E49)/10000</f>
        <v>100</v>
      </c>
      <c r="F50" s="1145" t="s">
        <v>56</v>
      </c>
      <c r="G50" s="1145"/>
      <c r="H50" s="1429"/>
      <c r="I50" s="1116">
        <f>IF(AND(I48="",I49=""),0,ABS(I49-I48))</f>
        <v>0</v>
      </c>
      <c r="J50" s="1116">
        <f>IF(AND(J48="",J49=""),0,ABS(J49-J48))</f>
        <v>0</v>
      </c>
      <c r="K50" s="1456" t="s">
        <v>312</v>
      </c>
      <c r="M50" s="1519" t="s">
        <v>991</v>
      </c>
      <c r="N50" s="2427"/>
      <c r="O50" s="730"/>
      <c r="AE50" s="108"/>
      <c r="AF50" s="108"/>
    </row>
    <row r="51" spans="1:32" ht="10.5" customHeight="1">
      <c r="A51" s="1443"/>
      <c r="B51" s="1429"/>
      <c r="C51" s="1429"/>
      <c r="D51" s="1429"/>
      <c r="E51" s="1434"/>
      <c r="F51" s="1145" t="s">
        <v>1213</v>
      </c>
      <c r="G51" s="1145"/>
      <c r="H51" s="1429"/>
      <c r="I51" s="732"/>
      <c r="J51" s="732"/>
      <c r="K51" s="1456" t="s">
        <v>1201</v>
      </c>
      <c r="M51" s="1519" t="s">
        <v>992</v>
      </c>
      <c r="N51" s="2427"/>
      <c r="O51" s="730"/>
      <c r="AE51" s="248"/>
      <c r="AF51" s="248"/>
    </row>
    <row r="52" spans="1:32" ht="10.5" customHeight="1">
      <c r="A52" s="1489" t="s">
        <v>1237</v>
      </c>
      <c r="B52" s="1429"/>
      <c r="C52" s="1436"/>
      <c r="D52" s="1484">
        <f>MWwet(MolecularWtDry,H2Omw,Bws)</f>
        <v>28.845074441969999</v>
      </c>
      <c r="E52" s="1479">
        <f>MWdry(O2dry,O2mw,CO2dry,CO2mw,Other1dry,Other1mw,Other2dry,Other2mw,Other3dry,Other3mw,Other4dry,Other4mw,Other5dry,Other5mw,E47,N2mw,COdry,COmw,NOxdry,NOXmw)</f>
        <v>28.954466102999998</v>
      </c>
      <c r="F52" s="1145" t="s">
        <v>997</v>
      </c>
      <c r="G52" s="1145"/>
      <c r="H52" s="1470" t="str">
        <f>IF(ISNUMBER(PsycMoist1),"Psyc","")</f>
        <v/>
      </c>
      <c r="I52" s="1468" t="e">
        <f>IF(ISNUMBER(PsycMoist1),PsycMoist1,IF(AND(I46&gt;0,OR(ISNUMBER(I$47),ISNUMBER(I$50))),((I$47+I$50)*MolVol/H2Omw/(I$46*(TVC+273.15)/(I$41+273.15)*(BaroPress/1013.25)+(I$47+I$50)*MolVol/H2Omw)*100)+I$51,""))</f>
        <v>#VALUE!</v>
      </c>
      <c r="J52" s="1468" t="e">
        <f>IF(H52="Psyc",IF(ISNUMBER(PsycMoist2),PsycMoist2,""),IF(AND(J46&gt;0,OR(ISNUMBER(J$47),ISNUMBER(J$50))),((J$47+J$50)*MolVol/H2Omw/(J$46*(TVC+273.15)/(J$41+273.15)*(BaroPress/1013.25)+(J$47+J$50)*MolVol/H2Omw)*100)+J$51,""))</f>
        <v>#VALUE!</v>
      </c>
      <c r="K52" s="1456" t="s">
        <v>1201</v>
      </c>
      <c r="L52" s="231"/>
      <c r="M52" s="1519" t="s">
        <v>993</v>
      </c>
      <c r="N52" s="2427"/>
      <c r="O52" s="730"/>
      <c r="AE52" s="250"/>
      <c r="AF52" s="250"/>
    </row>
    <row r="53" spans="1:32" ht="10.5" customHeight="1">
      <c r="A53" s="1489" t="s">
        <v>1334</v>
      </c>
      <c r="B53" s="1429"/>
      <c r="C53" s="1436"/>
      <c r="D53" s="1484">
        <f>IF(ISNUMBER(MolecularWt),MolecularWt/MolVol,"")</f>
        <v>1.2869955684701349</v>
      </c>
      <c r="E53" s="1479">
        <f>IF(ISNUMBER(MolecularWtDry),MolecularWtDry/MolVol,"")</f>
        <v>1.291876352648953</v>
      </c>
      <c r="F53" s="1145" t="s">
        <v>998</v>
      </c>
      <c r="G53" s="1145"/>
      <c r="H53" s="1471" t="str">
        <f>IF(AvMoisture&lt;0.4,"&lt; 0.4%","")</f>
        <v/>
      </c>
      <c r="I53" s="2618" t="str">
        <f>IF(OR(ISNUMBER(I52),ISNUMBER(J52)),SUMIF(I52:J52,"&gt;=0")/COUNTIF(I52:J52,"&gt;=0"),"")</f>
        <v/>
      </c>
      <c r="J53" s="2619"/>
      <c r="K53" s="1456" t="s">
        <v>1201</v>
      </c>
      <c r="L53" s="231"/>
      <c r="M53" s="1519" t="s">
        <v>995</v>
      </c>
      <c r="N53" s="2427"/>
      <c r="O53" s="730"/>
      <c r="AE53" s="252"/>
      <c r="AF53" s="252"/>
    </row>
    <row r="54" spans="1:32" ht="10.5" customHeight="1">
      <c r="A54" s="1489"/>
      <c r="B54" s="1429"/>
      <c r="C54" s="1436"/>
      <c r="D54" s="1526"/>
      <c r="E54" s="1527"/>
      <c r="F54" s="1145" t="s">
        <v>1238</v>
      </c>
      <c r="G54" s="1429"/>
      <c r="H54" s="1472" t="str">
        <f>IF(ISNUMBER(AverageStackTemp),"@ "&amp;ROUND(AverageStackTemp,0)&amp;TU,"")</f>
        <v/>
      </c>
      <c r="I54" s="2618" t="e">
        <f>AVERAGE(O67:R67)</f>
        <v>#DIV/0!</v>
      </c>
      <c r="J54" s="2619"/>
      <c r="K54" s="1456" t="s">
        <v>1201</v>
      </c>
      <c r="L54" s="231"/>
      <c r="M54" s="1519" t="s">
        <v>994</v>
      </c>
      <c r="N54" s="2427"/>
      <c r="O54" s="730"/>
      <c r="AE54" s="252"/>
      <c r="AF54" s="252"/>
    </row>
    <row r="55" spans="1:32" ht="10.5" customHeight="1">
      <c r="A55" s="1490"/>
      <c r="B55" s="1485"/>
      <c r="C55" s="1485"/>
      <c r="D55" s="1485"/>
      <c r="E55" s="1486"/>
      <c r="F55" s="1429" t="s">
        <v>306</v>
      </c>
      <c r="G55" s="1429"/>
      <c r="H55" s="1429"/>
      <c r="I55" s="1459" t="e">
        <f>IF(ISNUMBER(O64),Dew_point(O62,O68),dewpoint2(MoistureCont,AverageStackTemp))</f>
        <v>#VALUE!</v>
      </c>
      <c r="J55" s="1469" t="e">
        <f>AvMoisture/I54</f>
        <v>#VALUE!</v>
      </c>
      <c r="K55" s="1456"/>
      <c r="L55" s="231"/>
      <c r="M55" s="1525" t="s">
        <v>1452</v>
      </c>
      <c r="N55" s="2428">
        <f>SUM(N50:N54)</f>
        <v>0</v>
      </c>
      <c r="O55" s="1246">
        <f>SUM(O50:O54)</f>
        <v>0</v>
      </c>
      <c r="AE55" s="252"/>
      <c r="AF55" s="252"/>
    </row>
    <row r="56" spans="1:32" ht="10.5" customHeight="1">
      <c r="A56" s="1463"/>
      <c r="B56" s="1487"/>
      <c r="C56" s="1487"/>
      <c r="D56" s="1487"/>
      <c r="E56" s="1488"/>
      <c r="F56" s="1429"/>
      <c r="G56" s="1429"/>
      <c r="H56" s="1429"/>
      <c r="I56" s="2615" t="str">
        <f>IF(AND(ISNUMBER(AvMoisture),ISNUMBER(I54)),IF(AvMoisture&gt;=I54,"(saturated)",""),"")</f>
        <v/>
      </c>
      <c r="J56" s="2615"/>
      <c r="K56" s="1456"/>
      <c r="L56" s="231"/>
      <c r="AE56" s="252"/>
      <c r="AF56" s="252"/>
    </row>
    <row r="57" spans="1:32" ht="10.5" customHeight="1">
      <c r="A57" s="1492"/>
      <c r="B57" s="1433"/>
      <c r="C57" s="1433"/>
      <c r="D57" s="1433"/>
      <c r="E57" s="1433"/>
      <c r="F57" s="1473" t="s">
        <v>18</v>
      </c>
      <c r="G57" s="1433"/>
      <c r="H57" s="1433"/>
      <c r="I57" s="1433"/>
      <c r="J57" s="1433"/>
      <c r="K57" s="1493"/>
      <c r="L57" s="108"/>
      <c r="AE57" s="252"/>
      <c r="AF57" s="252"/>
    </row>
    <row r="58" spans="1:32" ht="10.5" customHeight="1">
      <c r="A58" s="1435"/>
      <c r="B58" s="1494"/>
      <c r="C58" s="1495" t="s">
        <v>25</v>
      </c>
      <c r="D58" s="1436" t="s">
        <v>1242</v>
      </c>
      <c r="E58" s="1436" t="s">
        <v>91</v>
      </c>
      <c r="F58" s="1436" t="s">
        <v>92</v>
      </c>
      <c r="G58" s="1436" t="str">
        <f>PMtest3&amp;" T1"</f>
        <v>PM10&amp;2.5 T1</v>
      </c>
      <c r="H58" s="1436" t="str">
        <f>PMtest4&amp;" T2"</f>
        <v>PM10&amp;2.5 T2</v>
      </c>
      <c r="I58" s="1496"/>
      <c r="J58" s="1410"/>
      <c r="K58" s="1497"/>
      <c r="AE58" s="108"/>
      <c r="AF58" s="108"/>
    </row>
    <row r="59" spans="1:32" ht="10.5" customHeight="1">
      <c r="A59" s="1435"/>
      <c r="B59" s="1409"/>
      <c r="C59" s="1115" t="s">
        <v>1293</v>
      </c>
      <c r="D59" s="1498">
        <f>IF(MoistureCont&lt;0.4,0.4,MoistureCont)</f>
        <v>1</v>
      </c>
      <c r="E59" s="1498">
        <f>IF(MoistureCont&lt;0.4,0.4,MoistureCont)</f>
        <v>1</v>
      </c>
      <c r="F59" s="1498">
        <f>IF(MoistureCont&lt;0.4,0.4,MoistureCont)</f>
        <v>1</v>
      </c>
      <c r="G59" s="1498">
        <f>IF(MoistureCont&lt;0.4,0.4,MoistureCont)</f>
        <v>1</v>
      </c>
      <c r="H59" s="1498">
        <f>IF(MoistureCont&lt;0.4,0.4,MoistureCont)</f>
        <v>1</v>
      </c>
      <c r="I59" s="1499" t="s">
        <v>1201</v>
      </c>
      <c r="J59" s="1496" t="str">
        <f>IF(MoistureCont&lt;0.4,"&lt;","")</f>
        <v/>
      </c>
      <c r="K59" s="1497"/>
    </row>
    <row r="60" spans="1:32" ht="10.5" customHeight="1">
      <c r="A60" s="1435"/>
      <c r="B60" s="1409"/>
      <c r="C60" s="1115" t="s">
        <v>1292</v>
      </c>
      <c r="D60" s="1498" t="e">
        <f>IF(H34="",SUMIF($D83:$I83,"&gt;=0")/COUNTIF($D83:$I83,"&gt;=0"),H34)</f>
        <v>#DIV/0!</v>
      </c>
      <c r="E60" s="1498" t="e">
        <f>SUMIF($D83:$E83,"&gt;=0")/COUNTIF($D83:$E83,"&gt;=0")</f>
        <v>#DIV/0!</v>
      </c>
      <c r="F60" s="1498" t="e">
        <f>SUMIF($G83:$H83,"&gt;=0")/COUNTIF($G83:$H83,"&gt;=0")</f>
        <v>#DIV/0!</v>
      </c>
      <c r="G60" s="1498" t="e">
        <f>SUMIF($E83:$F83,"&gt;=0")/COUNTIF($E83:$F83,"&gt;=0")</f>
        <v>#DIV/0!</v>
      </c>
      <c r="H60" s="1498" t="e">
        <f>SUMIF($H83:$I83,"&gt;=0")/COUNTIF($H83:$I83,"&gt;=0")</f>
        <v>#DIV/0!</v>
      </c>
      <c r="I60" s="1499" t="str">
        <f>TU</f>
        <v>°C</v>
      </c>
      <c r="J60" s="1496"/>
      <c r="K60" s="1497"/>
      <c r="M60" s="892" t="s">
        <v>1572</v>
      </c>
    </row>
    <row r="61" spans="1:32" ht="10.5" customHeight="1">
      <c r="A61" s="1435"/>
      <c r="B61" s="1409"/>
      <c r="C61" s="1115" t="s">
        <v>1283</v>
      </c>
      <c r="D61" s="1498" t="e">
        <f>SUMIF($D84:$I84,"&gt;=0")/COUNTIF($D84:$I84,"&gt;=0")</f>
        <v>#DIV/0!</v>
      </c>
      <c r="E61" s="1498" t="e">
        <f>MeterTempAvg1</f>
        <v>#DIV/0!</v>
      </c>
      <c r="F61" s="1498" t="e">
        <f>MeterTempAvg2</f>
        <v>#DIV/0!</v>
      </c>
      <c r="G61" s="1498" t="e">
        <f>MeterTempAvg3</f>
        <v>#DIV/0!</v>
      </c>
      <c r="H61" s="1498" t="e">
        <f>MeterTempAvg4</f>
        <v>#DIV/0!</v>
      </c>
      <c r="I61" s="1499" t="str">
        <f>TU</f>
        <v>°C</v>
      </c>
      <c r="J61" s="1496"/>
      <c r="K61" s="1497"/>
      <c r="M61" s="1514"/>
      <c r="N61" s="2429"/>
      <c r="O61" s="1515" t="s">
        <v>8</v>
      </c>
      <c r="P61" s="1516" t="s">
        <v>9</v>
      </c>
      <c r="Q61" s="1515" t="s">
        <v>1663</v>
      </c>
      <c r="R61" s="1516" t="s">
        <v>1664</v>
      </c>
    </row>
    <row r="62" spans="1:32" ht="10.5" customHeight="1">
      <c r="A62" s="1435"/>
      <c r="B62" s="1409"/>
      <c r="C62" s="1115" t="s">
        <v>1214</v>
      </c>
      <c r="D62" s="1498" t="e">
        <f>SUMIF($D85:$I85,"&gt;=0")/COUNTIF($D85:$I85,"&gt;=0")</f>
        <v>#DIV/0!</v>
      </c>
      <c r="E62" s="1498" t="e">
        <f>SUMIF($D85:$E85,"&gt;=0")/COUNTIF($D85:$E85,"&gt;=0")</f>
        <v>#DIV/0!</v>
      </c>
      <c r="F62" s="1498" t="e">
        <f>SUMIF($G85:$H85,"&gt;=0")/COUNTIF($G85:$H85,"&gt;=0")</f>
        <v>#DIV/0!</v>
      </c>
      <c r="G62" s="1498" t="e">
        <f>SUMIF($E85:$F85,"&gt;=0")/COUNTIF($E85:$F85,"&gt;=0")</f>
        <v>#DIV/0!</v>
      </c>
      <c r="H62" s="1498" t="e">
        <f>SUMIF($H85:$I85,"&gt;=0")/COUNTIF($H85:$I85,"&gt;=0")</f>
        <v>#DIV/0!</v>
      </c>
      <c r="I62" s="1499" t="str">
        <f>VU</f>
        <v>m/s</v>
      </c>
      <c r="J62" s="1496" t="str">
        <f>IF(OR('Flows &amp; Isokinetics'!G77="&lt;",'Flows &amp; Isokinetics'!IK143="&lt;",Afterflows!D76="&lt;",Afterflows!D142="&lt;",'PM10 &amp; 2.5'!C77="&lt;",'PM10 &amp; 2.5'!C143="&lt;"),"&lt;","")</f>
        <v/>
      </c>
      <c r="K62" s="1497"/>
      <c r="M62" s="1517" t="s">
        <v>1567</v>
      </c>
      <c r="N62" s="2430"/>
      <c r="O62" s="1518" t="str">
        <f>IF(AbsPress1=0,"",AbsPress1/10)</f>
        <v/>
      </c>
      <c r="P62" s="1518" t="str">
        <f>IF(AbsPress2="","",AbsPress2/10)</f>
        <v/>
      </c>
      <c r="Q62" s="1518" t="str">
        <f>IF(AbsPress3=0,"",AbsPress3/10)</f>
        <v/>
      </c>
      <c r="R62" s="1518" t="str">
        <f>IF(AbsPress4="","",AbsPress4/10)</f>
        <v/>
      </c>
    </row>
    <row r="63" spans="1:32" ht="10.5" customHeight="1">
      <c r="A63" s="1435"/>
      <c r="B63" s="1409"/>
      <c r="C63" s="1115" t="s">
        <v>1300</v>
      </c>
      <c r="D63" s="1498" t="e">
        <f>SUMIF($D86:$I86,"&gt;=0")/COUNTIF($D86:$I86,"&gt;=0")</f>
        <v>#DIV/0!</v>
      </c>
      <c r="E63" s="1498" t="e">
        <f>SUMIF($D86:$E86,"&gt;=0")/COUNTIF($D86:$E86,"&gt;=0")</f>
        <v>#DIV/0!</v>
      </c>
      <c r="F63" s="1498" t="e">
        <f>SUMIF($G86:$H86,"&gt;=0")/COUNTIF($G86:$H86,"&gt;=0")</f>
        <v>#DIV/0!</v>
      </c>
      <c r="G63" s="1498" t="e">
        <f>SUMIF($E86:$F86,"&gt;=0")/COUNTIF($E86:$F86,"&gt;=0")</f>
        <v>#DIV/0!</v>
      </c>
      <c r="H63" s="1498" t="e">
        <f>SUMIF($H86:$I86,"&gt;=0")/COUNTIF($H86:$I86,"&gt;=0")</f>
        <v>#DIV/0!</v>
      </c>
      <c r="I63" s="1499" t="str">
        <f>FU</f>
        <v>m³/min</v>
      </c>
      <c r="J63" s="1496" t="str">
        <f>J$62</f>
        <v/>
      </c>
      <c r="K63" s="1497"/>
      <c r="M63" s="1517" t="s">
        <v>1568</v>
      </c>
      <c r="N63" s="2431"/>
      <c r="O63" s="1518" t="str">
        <f>IF(ISNUMBER(StackTempAvg1),StackTempAvg1,"")</f>
        <v/>
      </c>
      <c r="P63" s="1518" t="str">
        <f>IF(ISNUMBER(StackTempAvg2),StackTempAvg2,"")</f>
        <v/>
      </c>
      <c r="Q63" s="1518" t="str">
        <f>IF(ISNUMBER(StackTempAvg3),StackTempAvg3,"")</f>
        <v/>
      </c>
      <c r="R63" s="1518" t="str">
        <f>IF(ISNUMBER(StackTempAvg4),StackTempAvg4,"")</f>
        <v/>
      </c>
    </row>
    <row r="64" spans="1:32" ht="10.5" customHeight="1">
      <c r="A64" s="1435"/>
      <c r="B64" s="1409"/>
      <c r="C64" s="1115" t="s">
        <v>1301</v>
      </c>
      <c r="D64" s="1498" t="e">
        <f>SUMIF($D87:$I87,"&gt;=0")/COUNTIF($D87:$I87,"&gt;=0")</f>
        <v>#DIV/0!</v>
      </c>
      <c r="E64" s="1498" t="e">
        <f>SUMIF($D87:$E87,"&gt;=0")/COUNTIF($D87:$E87,"&gt;=0")</f>
        <v>#DIV/0!</v>
      </c>
      <c r="F64" s="1498" t="e">
        <f>SUMIF($G87:$H87,"&gt;=0")/COUNTIF($G87:$H87,"&gt;=0")</f>
        <v>#DIV/0!</v>
      </c>
      <c r="G64" s="1498" t="e">
        <f>SUMIF($E87:$F87,"&gt;=0")/COUNTIF($E87:$F87,"&gt;=0")</f>
        <v>#DIV/0!</v>
      </c>
      <c r="H64" s="1498" t="e">
        <f>SUMIF($H87:$I87,"&gt;=0")/COUNTIF($H87:$I87,"&gt;=0")</f>
        <v>#DIV/0!</v>
      </c>
      <c r="I64" s="1499" t="str">
        <f>FU</f>
        <v>m³/min</v>
      </c>
      <c r="J64" s="1496" t="str">
        <f>J$62</f>
        <v/>
      </c>
      <c r="K64" s="1497"/>
      <c r="M64" s="1517" t="s">
        <v>1569</v>
      </c>
      <c r="N64" s="2431"/>
      <c r="O64" s="1518" t="str">
        <f>IF(WetBulb1="","",WetBulb1)</f>
        <v/>
      </c>
      <c r="P64" s="1518" t="str">
        <f>IF(WetBulb2="","",WetBulb2)</f>
        <v/>
      </c>
      <c r="Q64" s="1518" t="str">
        <f>IF(WetBulb3="","",WetBulb3)</f>
        <v/>
      </c>
      <c r="R64" s="1518" t="str">
        <f>IF(WetBulb4="","",WetBulb4)</f>
        <v/>
      </c>
    </row>
    <row r="65" spans="1:18" ht="10.5" customHeight="1">
      <c r="A65" s="1435"/>
      <c r="B65" s="1409"/>
      <c r="C65" s="1115" t="s">
        <v>1276</v>
      </c>
      <c r="D65" s="1498" t="e">
        <f>SUMIF($D88:$I88,"&gt;=0")/COUNTIF($D88:$I88,"&gt;=0")</f>
        <v>#DIV/0!</v>
      </c>
      <c r="E65" s="1498" t="e">
        <f>SUMIF($D88:$E88,"&gt;=0")/COUNTIF($D88:$E88,"&gt;=0")</f>
        <v>#DIV/0!</v>
      </c>
      <c r="F65" s="1498" t="e">
        <f>SUMIF($G88:$H88,"&gt;=0")/COUNTIF($G88:$H88,"&gt;=0")</f>
        <v>#DIV/0!</v>
      </c>
      <c r="G65" s="1498" t="e">
        <f>SUMIF($E88:$F88,"&gt;=0")/COUNTIF($E88:$F88,"&gt;=0")</f>
        <v>#DIV/0!</v>
      </c>
      <c r="H65" s="1498" t="e">
        <f>SUMIF($H88:$I88,"&gt;=0")/COUNTIF($H88:$I88,"&gt;=0")</f>
        <v>#DIV/0!</v>
      </c>
      <c r="I65" s="1499" t="str">
        <f>FU</f>
        <v>m³/min</v>
      </c>
      <c r="J65" s="1496" t="str">
        <f>J$62</f>
        <v/>
      </c>
      <c r="K65" s="1497"/>
      <c r="M65" s="1517" t="s">
        <v>1588</v>
      </c>
      <c r="N65" s="1528"/>
      <c r="O65" s="1518" t="e">
        <f>Part_press(O62,O68)</f>
        <v>#VALUE!</v>
      </c>
      <c r="P65" s="1518" t="e">
        <f>Part_press(P62,P68)</f>
        <v>#VALUE!</v>
      </c>
      <c r="Q65" s="1518" t="e">
        <f>Part_press(Q62,Q68)</f>
        <v>#VALUE!</v>
      </c>
      <c r="R65" s="1518" t="e">
        <f>Part_press(R62,R68)</f>
        <v>#VALUE!</v>
      </c>
    </row>
    <row r="66" spans="1:18" ht="10.5" customHeight="1">
      <c r="A66" s="1435"/>
      <c r="B66" s="1495"/>
      <c r="C66" s="1495" t="s">
        <v>26</v>
      </c>
      <c r="D66" s="1500"/>
      <c r="E66" s="1500"/>
      <c r="F66" s="1500"/>
      <c r="G66" s="1500"/>
      <c r="H66" s="1500"/>
      <c r="I66" s="1501"/>
      <c r="J66" s="1429"/>
      <c r="K66" s="1497"/>
      <c r="M66" s="1517" t="s">
        <v>1573</v>
      </c>
      <c r="N66" s="2432"/>
      <c r="O66" s="1518" t="str">
        <f>IF(O63="","",Sat_press(O63))</f>
        <v/>
      </c>
      <c r="P66" s="1518" t="str">
        <f>IF(P63="","",Sat_press(P63))</f>
        <v/>
      </c>
      <c r="Q66" s="1518" t="str">
        <f>IF(Q63="","",Sat_press(Q63))</f>
        <v/>
      </c>
      <c r="R66" s="1518" t="str">
        <f>IF(R63="","",Sat_press(R63))</f>
        <v/>
      </c>
    </row>
    <row r="67" spans="1:18" ht="10.5" customHeight="1">
      <c r="A67" s="1435"/>
      <c r="B67" s="1115"/>
      <c r="C67" s="1115" t="s">
        <v>27</v>
      </c>
      <c r="D67" s="1502" t="e">
        <f>IF(H33="",SUMIF($D90:$I90,"&gt;0")/COUNTIF($D90:$I90,"&gt;0"),H33)</f>
        <v>#DIV/0!</v>
      </c>
      <c r="E67" s="1502" t="e">
        <f>SUMIF($D90:$E90,"&gt;0")/COUNTIF($D90:$E90,"&gt;0")</f>
        <v>#DIV/0!</v>
      </c>
      <c r="F67" s="1502" t="e">
        <f>SUMIF($G90:$H90,"&gt;0")/COUNTIF($G90:$H90,"&gt;0")</f>
        <v>#DIV/0!</v>
      </c>
      <c r="G67" s="1502" t="e">
        <f>SUMIF($E90:$F90,"&gt;0")/COUNTIF($E90:$F90,"&gt;0")</f>
        <v>#DIV/0!</v>
      </c>
      <c r="H67" s="1502" t="e">
        <f>SUMIF($H90:$I90,"&gt;0")/COUNTIF($H90:$I90,"&gt;0")</f>
        <v>#DIV/0!</v>
      </c>
      <c r="I67" s="1503" t="s">
        <v>21</v>
      </c>
      <c r="J67" s="1429"/>
      <c r="K67" s="1504"/>
      <c r="M67" s="1517" t="s">
        <v>1238</v>
      </c>
      <c r="N67" s="2432"/>
      <c r="O67" s="1520" t="str">
        <f>IF(ISNUMBER(O63),IF((SVP_1/O62*100)&gt;100,100,SVP_1/O62*100),"")</f>
        <v/>
      </c>
      <c r="P67" s="1520" t="str">
        <f>IF(ISNUMBER(P63),IF((SVP_2/P62*100)&gt;100,100,SVP_2/P62*100),"")</f>
        <v/>
      </c>
      <c r="Q67" s="1520" t="str">
        <f>IF(ISNUMBER(Q63),IF((SVP_3/Q62*100)&gt;100,100,SVP_3/Q62*100),"")</f>
        <v/>
      </c>
      <c r="R67" s="1520" t="str">
        <f>IF(ISNUMBER(R63),IF((SVP_4/R62*100)&gt;100,100,SVP_4/R62*100),"")</f>
        <v/>
      </c>
    </row>
    <row r="68" spans="1:18" ht="10.5" customHeight="1">
      <c r="A68" s="1435"/>
      <c r="B68" s="1115"/>
      <c r="C68" s="1115" t="s">
        <v>28</v>
      </c>
      <c r="D68" s="1498" t="e">
        <f>IF(ISERROR(SUMIF($D91:$I91,"&gt;0")/COUNTIF($D91:$I91,"&gt;0")),SUMIF($D91:$I91,"&lt;0")/COUNTIF($D91:$I91,"&lt;0"),SUMIF($D91:$I91,"&gt;0")/COUNTIF($D91:$I91,"&gt;0"))</f>
        <v>#DIV/0!</v>
      </c>
      <c r="E68" s="1498" t="e">
        <f>IF(ISERROR(SUMIF($D91:$E91,"&gt;0")/COUNTIF($D91:$E91,"&gt;0")),SUMIF($D91:$E91,"&lt;0")/COUNTIF($D91:$E91,"&lt;0"),SUMIF($D91:$E91,"&gt;0")/COUNTIF($D91:$E91,"&gt;0"))</f>
        <v>#DIV/0!</v>
      </c>
      <c r="F68" s="1498" t="e">
        <f>IF(ISERROR(SUMIF($G91:$H91,"&gt;0")/COUNTIF($G91:$H91,"&gt;0")),SUMIF($G91:$H91,"&lt;0")/COUNTIF($G91:$H91,"&lt;0"),SUMIF($G91:$H91,"&gt;0")/COUNTIF($G91:$H91,"&gt;0"))</f>
        <v>#DIV/0!</v>
      </c>
      <c r="G68" s="1498" t="e">
        <f>IF(ISERROR(SUMIF($E91:$F91,"&gt;0")/COUNTIF($E91:$F91,"&gt;0")),SUMIF($E91:$F91,"&lt;0")/COUNTIF($E91:$F91,"&lt;0"),SUMIF($E91:$F91,"&gt;0")/COUNTIF($E91:$F91,"&gt;0"))</f>
        <v>#DIV/0!</v>
      </c>
      <c r="H68" s="1498" t="e">
        <f>IF(ISERROR(SUMIF($H91:$I91,"&gt;0")/COUNTIF($H91:$I91,"&gt;0")),SUMIF($H91:$I91,"&lt;0")/COUNTIF($H91:$I91,"&lt;0"),SUMIF($H91:$I91,"&gt;0")/COUNTIF($H91:$I91,"&gt;0"))</f>
        <v>#DIV/0!</v>
      </c>
      <c r="I68" s="1499" t="str">
        <f>DPU</f>
        <v>Pa</v>
      </c>
      <c r="J68" s="1429"/>
      <c r="K68" s="1504"/>
      <c r="M68" s="1517" t="s">
        <v>1570</v>
      </c>
      <c r="N68" s="2432"/>
      <c r="O68" s="1521" t="e">
        <f>IF(ISNUMBER(O64),hum_rat(O63,O64,O62),Hum_rat2(O63,J55,O62))</f>
        <v>#VALUE!</v>
      </c>
      <c r="P68" s="1521" t="e">
        <f>IF(ISNUMBER(P64),hum_rat(P63,P64,P62),Hum_rat2(P63,$J55,P62))</f>
        <v>#VALUE!</v>
      </c>
      <c r="Q68" s="1521" t="e">
        <f>IF(ISNUMBER(Q64),hum_rat(Q63,Q64,Q62),Hum_rat2(Q63,J55,Q62))</f>
        <v>#VALUE!</v>
      </c>
      <c r="R68" s="1521" t="e">
        <f>IF(ISNUMBER(R64),hum_rat(R63,R64,R62),Hum_rat2(R63,$J55,R62))</f>
        <v>#VALUE!</v>
      </c>
    </row>
    <row r="69" spans="1:18" ht="10.5" customHeight="1">
      <c r="A69" s="1435"/>
      <c r="B69" s="1115"/>
      <c r="C69" s="1115" t="s">
        <v>29</v>
      </c>
      <c r="D69" s="1502" t="e">
        <f>IF(I33="",SUMIF($D92:$I92,"&gt;0")/COUNTIF($D92:$I92,"&gt;0"),I33)</f>
        <v>#DIV/0!</v>
      </c>
      <c r="E69" s="1502" t="e">
        <f>SUMIF($D92:$E92,"&gt;0")/COUNTIF($D92:$E92,"&gt;0")</f>
        <v>#DIV/0!</v>
      </c>
      <c r="F69" s="1502" t="e">
        <f>SUMIF($G92:$H92,"&gt;0")/COUNTIF($G92:$H92,"&gt;0")</f>
        <v>#DIV/0!</v>
      </c>
      <c r="G69" s="1502" t="e">
        <f>SUMIF($E92:$F92,"&gt;0")/COUNTIF($E92:$F92,"&gt;0")</f>
        <v>#DIV/0!</v>
      </c>
      <c r="H69" s="1502" t="e">
        <f>SUMIF($H92:$I92,"&gt;0")/COUNTIF($H92:$I92,"&gt;0")</f>
        <v>#DIV/0!</v>
      </c>
      <c r="I69" s="1503" t="s">
        <v>21</v>
      </c>
      <c r="J69" s="1429"/>
      <c r="K69" s="1504"/>
      <c r="M69" s="1517" t="s">
        <v>1571</v>
      </c>
      <c r="N69" s="2432"/>
      <c r="O69" s="1518" t="e">
        <f>(O62*O68/(0.621945+O68))/SVP_1*100</f>
        <v>#VALUE!</v>
      </c>
      <c r="P69" s="1518" t="e">
        <f>(P62*P68/(0.621945+P68))/SVP_2*100</f>
        <v>#VALUE!</v>
      </c>
      <c r="Q69" s="1518" t="e">
        <f>(Q62*Q68/(0.621945+Q68))/SVP_3*100</f>
        <v>#VALUE!</v>
      </c>
      <c r="R69" s="1518" t="e">
        <f>(R62*R68/(0.621945+R68))/SVP_4*100</f>
        <v>#VALUE!</v>
      </c>
    </row>
    <row r="70" spans="1:18" ht="10.5" customHeight="1">
      <c r="A70" s="1435"/>
      <c r="B70" s="1494"/>
      <c r="C70" s="1409" t="s">
        <v>1206</v>
      </c>
      <c r="D70" s="1505" t="e">
        <f>SUMIF($D93:$I93,"&gt;=0")/COUNTIF($D93:$I93,"&gt;=0")</f>
        <v>#DIV/0!</v>
      </c>
      <c r="E70" s="1506" t="e">
        <f>MeterPressAvg1</f>
        <v>#DIV/0!</v>
      </c>
      <c r="F70" s="1506" t="e">
        <f>MeterPressAvg2</f>
        <v>#DIV/0!</v>
      </c>
      <c r="G70" s="1506" t="e">
        <f>MeterPressAvg3</f>
        <v>#DIV/0!</v>
      </c>
      <c r="H70" s="1506" t="e">
        <f>MeterPressAvg4</f>
        <v>#DIV/0!</v>
      </c>
      <c r="I70" s="1410" t="s">
        <v>326</v>
      </c>
      <c r="J70" s="1494"/>
      <c r="K70" s="1504"/>
      <c r="M70" s="1517" t="s">
        <v>1575</v>
      </c>
      <c r="N70" s="2432"/>
      <c r="O70" s="1520" t="str">
        <f>IF(OR(O64="",O63=""),"",O65/O62*100)</f>
        <v/>
      </c>
      <c r="P70" s="1520" t="str">
        <f>IF(OR(P64="",P63=""),"",P65/P62*100)</f>
        <v/>
      </c>
      <c r="Q70" s="1520" t="str">
        <f>IF(OR(Q64="",Q63=""),"",Q65/Q62*100)</f>
        <v/>
      </c>
      <c r="R70" s="1520" t="str">
        <f>IF(OR(R64="",R63=""),"",R65/R62*100)</f>
        <v/>
      </c>
    </row>
    <row r="71" spans="1:18" ht="10.5" customHeight="1">
      <c r="A71" s="1435"/>
      <c r="B71" s="1409"/>
      <c r="C71" s="1495" t="s">
        <v>43</v>
      </c>
      <c r="D71" s="1496"/>
      <c r="E71" s="1496"/>
      <c r="F71" s="1496"/>
      <c r="G71" s="1496"/>
      <c r="H71" s="1496"/>
      <c r="I71" s="1501"/>
      <c r="J71" s="1429"/>
      <c r="K71" s="1504"/>
      <c r="M71" s="1522" t="s">
        <v>1574</v>
      </c>
      <c r="N71" s="2433"/>
      <c r="O71" s="1518" t="e">
        <f>Dew_point(O62,O68)</f>
        <v>#VALUE!</v>
      </c>
      <c r="P71" s="1518" t="e">
        <f>Dew_point(P62,P68)</f>
        <v>#VALUE!</v>
      </c>
      <c r="Q71" s="1518" t="e">
        <f>Dew_point(Q62,Q68)</f>
        <v>#VALUE!</v>
      </c>
      <c r="R71" s="1518" t="e">
        <f>Dew_point(R62,R68)</f>
        <v>#VALUE!</v>
      </c>
    </row>
    <row r="72" spans="1:18" ht="10.5" customHeight="1">
      <c r="A72" s="1435"/>
      <c r="B72" s="1409"/>
      <c r="C72" s="1115" t="s">
        <v>84</v>
      </c>
      <c r="D72" s="1498" t="e">
        <f>IF(ISERROR(SUMIF($D95:$I95,"&gt;=0")/COUNTIF($D95:$I95,"&gt;=0")),SUMIF($D95:$I95,"&lt;0")/COUNTIF($D95:$I95,"&lt;0"),SUMIF($D95:$I95,"&gt;=0")/COUNTIF($D95:$I95,"&gt;=0"))</f>
        <v>#DIV/0!</v>
      </c>
      <c r="E72" s="1498" t="e">
        <f>IF(ISERROR(SUMIF($D95:$E95,"&gt;=0")/COUNTIF($D95:$E95,"&gt;=0")),SUMIF($D95:$E95,"&lt;0")/COUNTIF($D95:$E95,"&lt;0"),SUMIF($D95:$E95,"&gt;=0")/COUNTIF($D95:$E95,"&gt;=0"))</f>
        <v>#DIV/0!</v>
      </c>
      <c r="F72" s="1498" t="e">
        <f>IF(ISERROR(SUMIF($G95:$H95,"&gt;=0")/COUNTIF($G95:$H95,"&gt;=0")),SUMIF($G95:$H95,"&lt;0")/COUNTIF($G95:$H95,"&lt;0"),SUMIF($G95:$H95,"&gt;=0")/COUNTIF($G95:$H95,"&gt;=0"))</f>
        <v>#DIV/0!</v>
      </c>
      <c r="G72" s="1498" t="e">
        <f>IF(ISERROR(SUMIF($E95:$F95,"&gt;=0")/COUNTIF($E95:$F95,"&gt;=0")),SUMIF($E95:$F95,"&lt;0")/COUNTIF($E95:$F95,"&lt;0"),SUMIF($E95:$F95,"&gt;=0")/COUNTIF($E95:$F95,"&gt;=0"))</f>
        <v>#DIV/0!</v>
      </c>
      <c r="H72" s="1498" t="e">
        <f>IF(ISERROR(SUMIF($H95:$I95,"&gt;=0")/COUNTIF($H95:$I95,"&gt;=0")),SUMIF($H95:$I95,"&lt;0")/COUNTIF($H95:$I95,"&lt;0"),SUMIF($H95:$I95,"&gt;=0")/COUNTIF($H95:$I95,"&gt;=0"))</f>
        <v>#DIV/0!</v>
      </c>
      <c r="I72" s="1499" t="s">
        <v>1265</v>
      </c>
      <c r="J72" s="1429"/>
      <c r="K72" s="1504"/>
    </row>
    <row r="73" spans="1:18" ht="10.5" customHeight="1">
      <c r="A73" s="1435"/>
      <c r="B73" s="1409"/>
      <c r="C73" s="1115" t="s">
        <v>85</v>
      </c>
      <c r="D73" s="1507" t="e">
        <f>IF(ISERROR(SUMIF($D96:$I96,"&gt;=0")/COUNTIF($D96:$I96,"&gt;=0")),SUMIF($D96:$I96,"&lt;0")/COUNTIF($D96:$I96,"&lt;0"),SUMIF($D96:$I96,"&gt;=0")/COUNTIF($D96:$I96,"&gt;=0"))</f>
        <v>#DIV/0!</v>
      </c>
      <c r="E73" s="1507" t="e">
        <f>IF(ISERROR(SUMIF($D96:$E96,"&gt;=0")/COUNTIF($D96:$E96,"&gt;=0")),SUMIF($D96:$E96,"&lt;0")/COUNTIF($D96:$E96,"&lt;0"),SUMIF($D96:$E96,"&gt;=0")/COUNTIF($D96:$E96,"&gt;=0"))</f>
        <v>#DIV/0!</v>
      </c>
      <c r="F73" s="1507" t="e">
        <f>IF(ISERROR(SUMIF($G96:$H96,"&gt;=0")/COUNTIF($G96:$H96,"&gt;=0")),SUMIF($G96:$H96,"&lt;0")/COUNTIF($G96:$H96,"&lt;0"),SUMIF($G96:$H96,"&gt;=0")/COUNTIF($G96:$H96,"&gt;=0"))</f>
        <v>#DIV/0!</v>
      </c>
      <c r="G73" s="1507" t="e">
        <f>IF(ISERROR(SUMIF($E96:$F96,"&gt;=0")/COUNTIF($E96:$F96,"&gt;=0")),SUMIF($E96:$F96,"&lt;0")/COUNTIF($E96:$F96,"&lt;0"),SUMIF($E96:$F96,"&gt;=0")/COUNTIF($E96:$F96,"&gt;=0"))</f>
        <v>#DIV/0!</v>
      </c>
      <c r="H73" s="1507" t="e">
        <f>IF(ISERROR(SUMIF($H96:$I96,"&gt;=0")/COUNTIF($H96:$I96,"&gt;=0")),SUMIF($H96:$I96,"&lt;0")/COUNTIF($H96:$I96,"&lt;0"),SUMIF($H96:$I96,"&gt;=0")/COUNTIF($H96:$I96,"&gt;=0"))</f>
        <v>#DIV/0!</v>
      </c>
      <c r="I73" s="1508" t="s">
        <v>1201</v>
      </c>
      <c r="J73" s="1429"/>
      <c r="K73" s="1504"/>
    </row>
    <row r="74" spans="1:18" ht="10.5" customHeight="1" thickBot="1">
      <c r="A74" s="1509"/>
      <c r="B74" s="1510"/>
      <c r="C74" s="1121" t="s">
        <v>74</v>
      </c>
      <c r="D74" s="1511" t="e">
        <f>IF(ISERROR(SUMIF($D97:$I97,"&gt;=0")/COUNTIF($D97:$I97,"&gt;=0")),SUMIF($D97:$I97,"&lt;0")/COUNTIF($D97:$I97,"&lt;0"),SUMIF($D97:$I97,"&gt;=0")/COUNTIF($D97:$I97,"&gt;=0"))</f>
        <v>#DIV/0!</v>
      </c>
      <c r="E74" s="1511" t="e">
        <f>IF(ISERROR(SUMIF($D97:$E97,"&gt;=0")/COUNTIF($D97:$E97,"&gt;=0")),SUMIF($D97:$E97,"&lt;0")/COUNTIF($D97:$E97,"&lt;0"),SUMIF($D97:$E97,"&gt;=0")/COUNTIF($D97:$E97,"&gt;=0"))</f>
        <v>#DIV/0!</v>
      </c>
      <c r="F74" s="1511" t="e">
        <f>IF(ISERROR(SUMIF($G97:$H97,"&gt;=0")/COUNTIF($G97:$H97,"&gt;=0")),SUMIF($G97:$H97,"&lt;0")/COUNTIF($G97:$H97,"&lt;0"),SUMIF($G97:$H97,"&gt;=0")/COUNTIF($G97:$H97,"&gt;=0"))</f>
        <v>#DIV/0!</v>
      </c>
      <c r="G74" s="1511" t="e">
        <f>IF(ISERROR(SUMIF($E97:$F97,"&gt;=0")/COUNTIF($E97:$F97,"&gt;=0")),SUMIF($E97:$F97,"&lt;0")/COUNTIF($E97:$F97,"&lt;0"),SUMIF($E97:$F97,"&gt;=0")/COUNTIF($E97:$F97,"&gt;=0"))</f>
        <v>#DIV/0!</v>
      </c>
      <c r="H74" s="1511" t="e">
        <f>IF(ISERROR(SUMIF($H97:$I97,"&gt;=0")/COUNTIF($H97:$I97,"&gt;=0")),SUMIF($H97:$I97,"&lt;0")/COUNTIF($H97:$I97,"&lt;0"),SUMIF($H97:$I97,"&gt;=0")/COUNTIF($H97:$I97,"&gt;=0"))</f>
        <v>#DIV/0!</v>
      </c>
      <c r="I74" s="1512" t="s">
        <v>1201</v>
      </c>
      <c r="J74" s="1510"/>
      <c r="K74" s="1513"/>
    </row>
    <row r="75" spans="1:18" ht="10.5" customHeight="1">
      <c r="F75" s="232"/>
      <c r="G75" s="108"/>
      <c r="H75" s="233"/>
      <c r="I75" s="233"/>
      <c r="J75" s="1671" t="s">
        <v>1727</v>
      </c>
      <c r="K75" s="1672" t="s">
        <v>1991</v>
      </c>
    </row>
    <row r="76" spans="1:18" ht="10.5" customHeight="1">
      <c r="A76" s="234"/>
      <c r="D76" s="150" t="s">
        <v>1198</v>
      </c>
      <c r="E76" s="151"/>
      <c r="G76" s="150" t="s">
        <v>1199</v>
      </c>
      <c r="H76" s="151"/>
    </row>
    <row r="77" spans="1:18" ht="10.5" customHeight="1">
      <c r="A77" s="152"/>
      <c r="B77" s="152"/>
      <c r="D77" s="2597"/>
      <c r="E77" s="2598"/>
      <c r="G77" s="2597"/>
      <c r="H77" s="2598"/>
    </row>
    <row r="78" spans="1:18" ht="10.5" customHeight="1">
      <c r="D78" s="2599"/>
      <c r="E78" s="2600"/>
      <c r="G78" s="2599"/>
      <c r="H78" s="2600"/>
    </row>
    <row r="81" spans="3:9" ht="10.5" customHeight="1">
      <c r="C81" s="382" t="s">
        <v>25</v>
      </c>
      <c r="D81" s="347" t="s">
        <v>1466</v>
      </c>
      <c r="E81" s="348" t="s">
        <v>1468</v>
      </c>
      <c r="F81" s="348" t="str">
        <f>PMtest3&amp;" 1"</f>
        <v>PM10&amp;2.5 1</v>
      </c>
      <c r="G81" s="348" t="s">
        <v>1467</v>
      </c>
      <c r="H81" s="348" t="s">
        <v>1469</v>
      </c>
      <c r="I81" s="349" t="str">
        <f>PMtest4&amp;" 2"</f>
        <v>PM10&amp;2.5 2</v>
      </c>
    </row>
    <row r="82" spans="3:9" ht="10.5" customHeight="1">
      <c r="C82" s="332" t="s">
        <v>1293</v>
      </c>
      <c r="D82" s="337">
        <f t="shared" ref="D82:I82" si="0">MoistureCont</f>
        <v>1</v>
      </c>
      <c r="E82" s="327">
        <f t="shared" si="0"/>
        <v>1</v>
      </c>
      <c r="F82" s="327">
        <f t="shared" si="0"/>
        <v>1</v>
      </c>
      <c r="G82" s="327">
        <f t="shared" si="0"/>
        <v>1</v>
      </c>
      <c r="H82" s="327">
        <f t="shared" si="0"/>
        <v>1</v>
      </c>
      <c r="I82" s="338">
        <f t="shared" si="0"/>
        <v>1</v>
      </c>
    </row>
    <row r="83" spans="3:9" ht="10.5" customHeight="1">
      <c r="C83" s="332" t="s">
        <v>1292</v>
      </c>
      <c r="D83" s="337" t="e">
        <f>StackTempAvg1+TC</f>
        <v>#DIV/0!</v>
      </c>
      <c r="E83" s="327" t="e">
        <f>StackTempAvgAft1+TC</f>
        <v>#DIV/0!</v>
      </c>
      <c r="F83" s="327" t="e">
        <f>StackTempAvg3+TC</f>
        <v>#DIV/0!</v>
      </c>
      <c r="G83" s="327" t="e">
        <f>StackTempAvg2+TC</f>
        <v>#DIV/0!</v>
      </c>
      <c r="H83" s="327" t="e">
        <f>StackTempAvgAft2+TC</f>
        <v>#DIV/0!</v>
      </c>
      <c r="I83" s="338" t="e">
        <f>StackTempAvg4+TC</f>
        <v>#DIV/0!</v>
      </c>
    </row>
    <row r="84" spans="3:9" ht="10.5" customHeight="1">
      <c r="C84" s="332" t="s">
        <v>1283</v>
      </c>
      <c r="D84" s="337" t="e">
        <f>MeterTempAvg1+TC</f>
        <v>#DIV/0!</v>
      </c>
      <c r="E84" s="327"/>
      <c r="F84" s="327" t="e">
        <f>MeterTempAvg3+TC</f>
        <v>#DIV/0!</v>
      </c>
      <c r="G84" s="327" t="e">
        <f>MeterTempAvg2+TC</f>
        <v>#DIV/0!</v>
      </c>
      <c r="H84" s="327"/>
      <c r="I84" s="338" t="e">
        <f>MeterTempAvg4+TC</f>
        <v>#DIV/0!</v>
      </c>
    </row>
    <row r="85" spans="3:9" ht="10.5" customHeight="1">
      <c r="C85" s="332" t="s">
        <v>1214</v>
      </c>
      <c r="D85" s="337" t="e">
        <f>VelocityAverageSC1*VF</f>
        <v>#DIV/0!</v>
      </c>
      <c r="E85" s="327" t="e">
        <f>VelocityAverageSCAft1*VF</f>
        <v>#DIV/0!</v>
      </c>
      <c r="F85" s="327" t="e">
        <f>VelocityAverageSC3*VF</f>
        <v>#DIV/0!</v>
      </c>
      <c r="G85" s="327" t="e">
        <f>VelocityAverageSC2*VF</f>
        <v>#DIV/0!</v>
      </c>
      <c r="H85" s="327" t="e">
        <f>VelocityAverageSCAft2*VF</f>
        <v>#DIV/0!</v>
      </c>
      <c r="I85" s="338" t="e">
        <f>VelocityAverageSC4*VF</f>
        <v>#DIV/0!</v>
      </c>
    </row>
    <row r="86" spans="3:9" ht="10.5" customHeight="1">
      <c r="C86" s="332" t="s">
        <v>1300</v>
      </c>
      <c r="D86" s="337" t="e">
        <f t="shared" ref="D86:I86" si="1">D85/VF*AreaSP*FF</f>
        <v>#DIV/0!</v>
      </c>
      <c r="E86" s="327" t="e">
        <f t="shared" si="1"/>
        <v>#DIV/0!</v>
      </c>
      <c r="F86" s="327" t="e">
        <f t="shared" si="1"/>
        <v>#DIV/0!</v>
      </c>
      <c r="G86" s="327" t="e">
        <f t="shared" si="1"/>
        <v>#DIV/0!</v>
      </c>
      <c r="H86" s="327" t="e">
        <f t="shared" si="1"/>
        <v>#DIV/0!</v>
      </c>
      <c r="I86" s="338" t="e">
        <f t="shared" si="1"/>
        <v>#DIV/0!</v>
      </c>
    </row>
    <row r="87" spans="3:9" ht="10.5" customHeight="1">
      <c r="C87" s="332" t="s">
        <v>1301</v>
      </c>
      <c r="D87" s="337" t="e">
        <f>FlowDis1*(TVC+273.15)/(StackTempAvg1+273.15)*AbsPress1/1013.25</f>
        <v>#DIV/0!</v>
      </c>
      <c r="E87" s="327" t="e">
        <f>FlowDisAft1*(TVC+273.15)/(StackTempAvgAft1+273.15)*AbsPressAft1/1013.25</f>
        <v>#DIV/0!</v>
      </c>
      <c r="F87" s="327" t="e">
        <f>FlowDis3*(TVC+273.15)/(StackTempAvg3+273.15)*AbsPress3/1013.25</f>
        <v>#DIV/0!</v>
      </c>
      <c r="G87" s="327" t="e">
        <f>FlowDis2*(TVC+273.15)/(StackTempAvg2+273.15)*AbsPress2/1013.25</f>
        <v>#DIV/0!</v>
      </c>
      <c r="H87" s="327" t="e">
        <f>FlowDisAft2*(TVC+273.15)/(StackTempAvgAft2+273.15)*AbsPressAft2/1013.25</f>
        <v>#DIV/0!</v>
      </c>
      <c r="I87" s="338" t="e">
        <f>FlowDis4*(TVC+273.15)/(StackTempAvg4+273.15)*AbsPress4/1013.25</f>
        <v>#DIV/0!</v>
      </c>
    </row>
    <row r="88" spans="3:9" ht="10.5" customHeight="1">
      <c r="C88" s="332" t="s">
        <v>1276</v>
      </c>
      <c r="D88" s="337" t="e">
        <f>FlowWet1*(100-MoistureCont)/100</f>
        <v>#DIV/0!</v>
      </c>
      <c r="E88" s="327" t="e">
        <f>FlowWetAft1*(100-MoistureCont)/100</f>
        <v>#DIV/0!</v>
      </c>
      <c r="F88" s="327" t="e">
        <f>FlowWet3*(100-MoistureCont)/100</f>
        <v>#DIV/0!</v>
      </c>
      <c r="G88" s="327" t="e">
        <f>FlowWet2*(100-MoistureCont)/100</f>
        <v>#DIV/0!</v>
      </c>
      <c r="H88" s="327" t="e">
        <f>FlowWetAft2*(100-MoistureCont)/100</f>
        <v>#DIV/0!</v>
      </c>
      <c r="I88" s="338" t="e">
        <f>FlowWet4*(100-MoistureCont)/100</f>
        <v>#DIV/0!</v>
      </c>
    </row>
    <row r="89" spans="3:9" ht="10.5" customHeight="1">
      <c r="C89" s="382" t="s">
        <v>26</v>
      </c>
      <c r="D89" s="350"/>
      <c r="E89" s="351"/>
      <c r="F89" s="351"/>
      <c r="G89" s="351"/>
      <c r="H89" s="351"/>
      <c r="I89" s="352"/>
    </row>
    <row r="90" spans="3:9" ht="10.5" customHeight="1">
      <c r="C90" s="332" t="s">
        <v>27</v>
      </c>
      <c r="D90" s="353">
        <f>BaroPress1</f>
        <v>0</v>
      </c>
      <c r="E90" s="354">
        <f>BaroPressAft1</f>
        <v>0</v>
      </c>
      <c r="F90" s="354">
        <f>BaroPress3</f>
        <v>0</v>
      </c>
      <c r="G90" s="354" t="str">
        <f>BaroPress2</f>
        <v/>
      </c>
      <c r="H90" s="354" t="str">
        <f>BaroPressAft2</f>
        <v/>
      </c>
      <c r="I90" s="355" t="str">
        <f>BaroPress4</f>
        <v/>
      </c>
    </row>
    <row r="91" spans="3:9" ht="10.5" customHeight="1">
      <c r="C91" s="332" t="s">
        <v>28</v>
      </c>
      <c r="D91" s="353">
        <f>StaticPress1</f>
        <v>0</v>
      </c>
      <c r="E91" s="354">
        <f>StaticPressAft1</f>
        <v>0</v>
      </c>
      <c r="F91" s="354">
        <f>StaticPress3</f>
        <v>0</v>
      </c>
      <c r="G91" s="354">
        <f>StaticPress2</f>
        <v>0</v>
      </c>
      <c r="H91" s="354" t="str">
        <f>StaticPressAft2</f>
        <v/>
      </c>
      <c r="I91" s="355">
        <f>StaticPress4</f>
        <v>0</v>
      </c>
    </row>
    <row r="92" spans="3:9" ht="10.5" customHeight="1">
      <c r="C92" s="332" t="s">
        <v>29</v>
      </c>
      <c r="D92" s="353">
        <f>AbsPress1</f>
        <v>0</v>
      </c>
      <c r="E92" s="354" t="str">
        <f>AbsPressAft1</f>
        <v/>
      </c>
      <c r="F92" s="354">
        <f>AbsPress3</f>
        <v>0</v>
      </c>
      <c r="G92" s="354" t="str">
        <f>AbsPress2</f>
        <v/>
      </c>
      <c r="H92" s="354" t="str">
        <f>AbsPressAft2</f>
        <v/>
      </c>
      <c r="I92" s="355" t="str">
        <f>AbsPress4</f>
        <v/>
      </c>
    </row>
    <row r="93" spans="3:9" ht="10.5" customHeight="1">
      <c r="C93" s="332" t="s">
        <v>1206</v>
      </c>
      <c r="D93" s="720" t="e">
        <f>MeterPressAvg1</f>
        <v>#DIV/0!</v>
      </c>
      <c r="E93" s="721"/>
      <c r="F93" s="721" t="e">
        <f>MeterPressAvg3</f>
        <v>#DIV/0!</v>
      </c>
      <c r="G93" s="721" t="e">
        <f>MeterPressAvg2</f>
        <v>#DIV/0!</v>
      </c>
      <c r="H93" s="721"/>
      <c r="I93" s="722" t="e">
        <f>MeterPressAvg4</f>
        <v>#DIV/0!</v>
      </c>
    </row>
    <row r="94" spans="3:9" ht="10.5" customHeight="1">
      <c r="C94" s="382" t="s">
        <v>43</v>
      </c>
      <c r="D94" s="337"/>
      <c r="E94" s="327"/>
      <c r="F94" s="327"/>
      <c r="G94" s="327"/>
      <c r="H94" s="327"/>
      <c r="I94" s="338"/>
    </row>
    <row r="95" spans="3:9" ht="10.5" customHeight="1">
      <c r="C95" s="332" t="s">
        <v>84</v>
      </c>
      <c r="D95" s="337" t="e">
        <f>MeterRate1</f>
        <v>#DIV/0!</v>
      </c>
      <c r="E95" s="327"/>
      <c r="F95" s="327" t="e">
        <f>MeterRate3</f>
        <v>#VALUE!</v>
      </c>
      <c r="G95" s="327" t="e">
        <f>MeterRate2</f>
        <v>#DIV/0!</v>
      </c>
      <c r="H95" s="327"/>
      <c r="I95" s="338" t="e">
        <f>MeterRate4</f>
        <v>#VALUE!</v>
      </c>
    </row>
    <row r="96" spans="3:9" ht="10.5" customHeight="1">
      <c r="C96" s="332" t="s">
        <v>85</v>
      </c>
      <c r="D96" s="339" t="e">
        <f>VolumeMeter1/VolumePreMeter1*100</f>
        <v>#N/A</v>
      </c>
      <c r="E96" s="328"/>
      <c r="F96" s="328" t="e">
        <f>'PM10 &amp; 2.5'!AH76</f>
        <v>#DIV/0!</v>
      </c>
      <c r="G96" s="328" t="e">
        <f>VolumeMeter2/VolumePreMeter2*100</f>
        <v>#N/A</v>
      </c>
      <c r="H96" s="328"/>
      <c r="I96" s="340" t="e">
        <f>'PM10 &amp; 2.5'!AH142</f>
        <v>#DIV/0!</v>
      </c>
    </row>
    <row r="97" spans="3:9" ht="10.5" customHeight="1">
      <c r="C97" s="332" t="s">
        <v>74</v>
      </c>
      <c r="D97" s="341" t="e">
        <f>(E85-D85)/AverageVelocity1*100</f>
        <v>#DIV/0!</v>
      </c>
      <c r="E97" s="342"/>
      <c r="F97" s="342" t="e">
        <f>(E85-F85)/AverageVelocity3*100</f>
        <v>#DIV/0!</v>
      </c>
      <c r="G97" s="342" t="e">
        <f>(H85-G85)/AverageVelocity2*100</f>
        <v>#DIV/0!</v>
      </c>
      <c r="H97" s="342"/>
      <c r="I97" s="343" t="e">
        <f>(H85-I85)/AverageVelocity4*100</f>
        <v>#DIV/0!</v>
      </c>
    </row>
  </sheetData>
  <sheetProtection sheet="1"/>
  <mergeCells count="19">
    <mergeCell ref="C1:E1"/>
    <mergeCell ref="H1:K1"/>
    <mergeCell ref="H2:K2"/>
    <mergeCell ref="H3:J3"/>
    <mergeCell ref="C2:E2"/>
    <mergeCell ref="C3:D3"/>
    <mergeCell ref="D77:E78"/>
    <mergeCell ref="G77:H78"/>
    <mergeCell ref="C4:K4"/>
    <mergeCell ref="I56:J56"/>
    <mergeCell ref="G38:H38"/>
    <mergeCell ref="I53:J53"/>
    <mergeCell ref="I54:J54"/>
    <mergeCell ref="C5:K5"/>
    <mergeCell ref="C6:K6"/>
    <mergeCell ref="C7:K7"/>
    <mergeCell ref="C8:K8"/>
    <mergeCell ref="C9:K9"/>
    <mergeCell ref="D11:E11"/>
  </mergeCells>
  <phoneticPr fontId="0" type="noConversion"/>
  <conditionalFormatting sqref="J21">
    <cfRule type="cellIs" dxfId="197" priority="1" stopIfTrue="1" operator="lessThan">
      <formula>K21</formula>
    </cfRule>
  </conditionalFormatting>
  <dataValidations count="20">
    <dataValidation type="list" allowBlank="1" showInputMessage="1" showErrorMessage="1" sqref="I17">
      <formula1>Disturbance</formula1>
    </dataValidation>
    <dataValidation type="list" allowBlank="1" showInputMessage="1" showErrorMessage="1" promptTitle="Upstream Disturbance" sqref="I18">
      <formula1>Disturbance</formula1>
    </dataValidation>
    <dataValidation type="list" allowBlank="1" showInputMessage="1" showErrorMessage="1" sqref="I16">
      <formula1>SamplingAccess</formula1>
    </dataValidation>
    <dataValidation type="list" allowBlank="1" showInputMessage="1" showErrorMessage="1" sqref="I19">
      <formula1>SamplingPorts</formula1>
    </dataValidation>
    <dataValidation type="list" allowBlank="1" showInputMessage="1" showErrorMessage="1" sqref="I20">
      <formula1>TravMethods</formula1>
    </dataValidation>
    <dataValidation type="list" allowBlank="1" showInputMessage="1" showErrorMessage="1" sqref="I13">
      <formula1>OrientationStack</formula1>
    </dataValidation>
    <dataValidation type="list" allowBlank="1" showInputMessage="1" showErrorMessage="1" sqref="K11:K12">
      <formula1>StackShapes</formula1>
    </dataValidation>
    <dataValidation type="list" allowBlank="1" showInputMessage="1" showErrorMessage="1" sqref="D30">
      <formula1>TempUnits</formula1>
    </dataValidation>
    <dataValidation type="list" allowBlank="1" showInputMessage="1" showErrorMessage="1" sqref="D33">
      <formula1>ConcUnits</formula1>
    </dataValidation>
    <dataValidation type="list" allowBlank="1" showInputMessage="1" showErrorMessage="1" sqref="D34">
      <formula1>MassRateUnits</formula1>
    </dataValidation>
    <dataValidation type="list" allowBlank="1" showInputMessage="1" showErrorMessage="1" sqref="D35">
      <formula1>OdourRateUnits</formula1>
    </dataValidation>
    <dataValidation type="list" allowBlank="1" showInputMessage="1" showErrorMessage="1" sqref="D32">
      <formula1>FlowUnits</formula1>
    </dataValidation>
    <dataValidation type="list" allowBlank="1" showInputMessage="1" showErrorMessage="1" sqref="D36">
      <formula1>VolumeCorrection</formula1>
    </dataValidation>
    <dataValidation type="list" allowBlank="1" showInputMessage="1" showErrorMessage="1" sqref="K3">
      <formula1>StateList</formula1>
    </dataValidation>
    <dataValidation type="list" allowBlank="1" showInputMessage="1" showErrorMessage="1" sqref="E12">
      <formula1>ResultsToReport</formula1>
    </dataValidation>
    <dataValidation type="list" allowBlank="1" showInputMessage="1" showErrorMessage="1" sqref="D29">
      <formula1>OPunits</formula1>
    </dataValidation>
    <dataValidation type="list" allowBlank="1" showInputMessage="1" showErrorMessage="1" sqref="K13">
      <formula1>OrientationPort</formula1>
    </dataValidation>
    <dataValidation type="list" allowBlank="1" showInputMessage="1" showErrorMessage="1" sqref="D37:E37">
      <formula1>SigFigList</formula1>
    </dataValidation>
    <dataValidation type="list" allowBlank="1" showInputMessage="1" showErrorMessage="1" sqref="G38">
      <formula1>MoistMethods</formula1>
    </dataValidation>
    <dataValidation type="list" allowBlank="1" showInputMessage="1" showErrorMessage="1" sqref="E13:E14">
      <formula1>FlowsToReport</formula1>
    </dataValidation>
  </dataValidations>
  <printOptions horizontalCentered="1"/>
  <pageMargins left="0.19685039370078741" right="0.19685039370078741" top="0.62992125984251968" bottom="0.39370078740157483" header="0.31496062992125984" footer="0.19685039370078741"/>
  <pageSetup paperSize="9" orientation="portrait" verticalDpi="300"/>
  <headerFooter alignWithMargins="0">
    <oddHeader>&amp;C&amp;"MS Sans Serif,Bold"&amp;16&amp;A</oddHeader>
    <oddFooter>&amp;L&amp;8&amp;Z&amp;F&amp;R&amp;8&amp;D  &amp;T</oddFooter>
  </headerFooter>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AF166"/>
  <sheetViews>
    <sheetView topLeftCell="E1" workbookViewId="0">
      <selection activeCell="P16" sqref="P16"/>
    </sheetView>
  </sheetViews>
  <sheetFormatPr baseColWidth="10" defaultColWidth="8.7109375" defaultRowHeight="10.5" customHeight="1" outlineLevelRow="1" x14ac:dyDescent="0"/>
  <cols>
    <col min="1" max="3" width="9.140625" style="2437" hidden="1" customWidth="1"/>
    <col min="4" max="4" width="2.85546875" style="2437" hidden="1" customWidth="1"/>
    <col min="5" max="5" width="2.85546875" style="2437" customWidth="1"/>
    <col min="6" max="6" width="7.140625" style="2437" customWidth="1"/>
    <col min="7" max="12" width="9.28515625" style="2437" customWidth="1"/>
    <col min="13" max="14" width="9.28515625" style="2437" hidden="1" customWidth="1"/>
    <col min="15" max="15" width="10.28515625" style="2437" hidden="1" customWidth="1"/>
    <col min="16" max="18" width="9.28515625" style="2437" customWidth="1"/>
    <col min="19" max="19" width="8.7109375" style="2459"/>
    <col min="20" max="20" width="4.28515625" style="2446" customWidth="1"/>
    <col min="21" max="21" width="12.140625" style="2446" customWidth="1"/>
    <col min="22" max="22" width="9.28515625" style="2437" bestFit="1" customWidth="1"/>
    <col min="23" max="23" width="9.42578125" style="2437" bestFit="1" customWidth="1"/>
    <col min="24" max="25" width="9.28515625" style="2437" bestFit="1" customWidth="1"/>
    <col min="26" max="26" width="9.28515625" style="2437" customWidth="1"/>
    <col min="27" max="31" width="8.7109375" style="2437"/>
    <col min="32" max="32" width="9.140625" style="2437" customWidth="1"/>
    <col min="33" max="16384" width="8.7109375" style="2437"/>
  </cols>
  <sheetData>
    <row r="1" spans="1:32" ht="10.5" customHeight="1" thickBot="1">
      <c r="A1" s="2436" t="s">
        <v>8</v>
      </c>
      <c r="B1" s="2436" t="s">
        <v>9</v>
      </c>
      <c r="C1" s="2498" t="b">
        <f>IF(OR(Details!M6=FALSE,Details!M8=FALSE),FALSE,TRUE)</f>
        <v>0</v>
      </c>
      <c r="D1" s="2438"/>
      <c r="E1" s="2663"/>
      <c r="F1" s="2650"/>
      <c r="G1" s="1163" t="s">
        <v>8</v>
      </c>
      <c r="H1" s="1163" t="s">
        <v>9</v>
      </c>
      <c r="I1" s="2349"/>
      <c r="J1" s="1163" t="s">
        <v>8</v>
      </c>
      <c r="K1" s="1163" t="s">
        <v>9</v>
      </c>
      <c r="L1" s="2664" t="s">
        <v>1343</v>
      </c>
      <c r="M1" s="2664"/>
      <c r="N1" s="2664"/>
      <c r="O1" s="2350"/>
      <c r="P1" s="1164" t="str">
        <f>IF(Client="","",Client)</f>
        <v/>
      </c>
      <c r="Q1" s="1165"/>
      <c r="R1" s="1166"/>
      <c r="S1" s="2435"/>
      <c r="T1" s="1182" t="s">
        <v>8</v>
      </c>
      <c r="U1" s="2066"/>
      <c r="V1" s="1172"/>
      <c r="W1" s="1235" t="s">
        <v>1241</v>
      </c>
      <c r="X1" s="1235"/>
      <c r="Y1" s="1235"/>
      <c r="Z1" s="1236" t="s">
        <v>503</v>
      </c>
      <c r="AA1" s="1237" t="e">
        <f>INDEX(Flowmeters!A$1:BD$9,MATCH("Type",Flowmeters!A$1:A$8,0),MATCH(Flowmeter1,Flowmeters!A$9:BD$9,0))</f>
        <v>#N/A</v>
      </c>
      <c r="AB1" s="1238" t="s">
        <v>251</v>
      </c>
    </row>
    <row r="2" spans="1:32" ht="10.5" customHeight="1">
      <c r="A2" s="2437" t="b">
        <f>IF(AND(IsoCheck=TRUE,Filter1=""),"",TRUE)</f>
        <v>1</v>
      </c>
      <c r="B2" s="2437" t="b">
        <f>IF(TestReport="Test 1 only",TRUE,IF(AND(IsoCheck=TRUE,K2=""),"",TRUE))</f>
        <v>1</v>
      </c>
      <c r="C2" s="2437" t="str">
        <f>IF(BaroPress1="","",TRUE)</f>
        <v/>
      </c>
      <c r="D2" s="2439"/>
      <c r="E2" s="1167"/>
      <c r="F2" s="2353" t="s">
        <v>1446</v>
      </c>
      <c r="G2" s="2493"/>
      <c r="H2" s="2440" t="str">
        <f>IF(BaroPress1="","",BaroPress1)</f>
        <v/>
      </c>
      <c r="I2" s="2351" t="s">
        <v>1325</v>
      </c>
      <c r="J2" s="2495"/>
      <c r="K2" s="2495"/>
      <c r="L2" s="2665" t="s">
        <v>1204</v>
      </c>
      <c r="M2" s="2666"/>
      <c r="N2" s="2666"/>
      <c r="O2" s="2351"/>
      <c r="P2" s="1223" t="str">
        <f>IF(StackID="","",StackID)</f>
        <v/>
      </c>
      <c r="Q2" s="1224"/>
      <c r="R2" s="1225"/>
      <c r="S2" s="2435"/>
      <c r="T2" s="1167"/>
      <c r="U2" s="2351" t="s">
        <v>78</v>
      </c>
      <c r="V2" s="75"/>
      <c r="W2" s="1217">
        <f>IF(ISNUMBER(VolumePreMeter1),VolumePreMeter1,"")</f>
        <v>0</v>
      </c>
      <c r="X2" s="1217" t="str">
        <f>IF(ISNUMBER(VolumePreNTP1),VolumePreNTP1,"")</f>
        <v/>
      </c>
      <c r="Y2" s="2353"/>
      <c r="Z2" s="2351" t="s">
        <v>607</v>
      </c>
      <c r="AA2" s="1239" t="e">
        <f>INDEX(Flowmeters!A$1:BD$9,MATCH(Z2,Flowmeters!A$1:A$8,0),MATCH(Flowmeter1,Flowmeters!A$9:BD$9,0))</f>
        <v>#N/A</v>
      </c>
      <c r="AB2" s="1240" t="e">
        <f>IF(Flowmeter1="ECS",Y2T1,INDEX(Flowmeters!A$1:BD$9,MATCH(Flowmeters!$A$8,Flowmeters!A$1:A$8,0),MATCH(Flowmeter1,Flowmeters!A$9:BD$9,0)))</f>
        <v>#N/A</v>
      </c>
      <c r="AF2" s="2436"/>
    </row>
    <row r="3" spans="1:32" ht="10.5" customHeight="1">
      <c r="A3" s="2437" t="b">
        <f>IF(AND(IsoCheck=TRUE,Filter1=""),"",TRUE)</f>
        <v>1</v>
      </c>
      <c r="B3" s="2437" t="b">
        <f>IF(TestReport="Test 1 only",TRUE,IF(AND(IsoCheck=TRUE,K3=""),"",TRUE))</f>
        <v>1</v>
      </c>
      <c r="C3" s="2437" t="str">
        <f>IF(StaticPress1="","",TRUE)</f>
        <v/>
      </c>
      <c r="D3" s="2439"/>
      <c r="E3" s="1167"/>
      <c r="F3" s="2353" t="s">
        <v>1447</v>
      </c>
      <c r="G3" s="2494"/>
      <c r="H3" s="2441">
        <f>IF(StaticPress1="",0,StaticPress1)</f>
        <v>0</v>
      </c>
      <c r="I3" s="1214" t="s">
        <v>1584</v>
      </c>
      <c r="J3" s="2495"/>
      <c r="K3" s="2495"/>
      <c r="L3" s="2665" t="s">
        <v>1196</v>
      </c>
      <c r="M3" s="2666"/>
      <c r="N3" s="2666"/>
      <c r="O3" s="2351"/>
      <c r="P3" s="1226" t="str">
        <f>IF(Date="","",Date)</f>
        <v/>
      </c>
      <c r="Q3" s="2352"/>
      <c r="R3" s="1225"/>
      <c r="S3" s="2435"/>
      <c r="T3" s="1227"/>
      <c r="U3" s="2351" t="s">
        <v>77</v>
      </c>
      <c r="V3" s="81"/>
      <c r="W3" s="1241" t="str">
        <f>IF(ISNUMBER(V2),PointsTraverse*TraversesSampled,"")</f>
        <v/>
      </c>
      <c r="X3" s="1242" t="str">
        <f>IF(AND(ISNUMBER(V3),ISNUMBER(W3)),W3*V3,"")</f>
        <v/>
      </c>
      <c r="Y3" s="2353"/>
      <c r="Z3" s="2353" t="s">
        <v>608</v>
      </c>
      <c r="AA3" s="1243" t="e">
        <f>INDEX(Flowmeters!A$1:BD$9,MATCH(Z3,Flowmeters!A$1:A$8,0),MATCH(Flowmeter1,Flowmeters!A$9:BD$9,0))</f>
        <v>#N/A</v>
      </c>
      <c r="AB3" s="1244" t="s">
        <v>1583</v>
      </c>
    </row>
    <row r="4" spans="1:32" ht="10.5" customHeight="1">
      <c r="A4" s="2435" t="b">
        <v>1</v>
      </c>
      <c r="B4" s="2435" t="b">
        <v>1</v>
      </c>
      <c r="C4" s="2435" t="b">
        <v>1</v>
      </c>
      <c r="D4" s="2439"/>
      <c r="E4" s="1167"/>
      <c r="F4" s="2352" t="s">
        <v>1449</v>
      </c>
      <c r="G4" s="1213">
        <f>BaroPress1+(StaticPress1/100)</f>
        <v>0</v>
      </c>
      <c r="H4" s="1213" t="str">
        <f>IF(BaroPress2="","",BaroPress2+(StaticPress2/100))</f>
        <v/>
      </c>
      <c r="I4" s="2351" t="s">
        <v>1583</v>
      </c>
      <c r="J4" s="2442" t="str">
        <f>IF(Flowmeter1="ECS","","NA")</f>
        <v>NA</v>
      </c>
      <c r="K4" s="2442" t="str">
        <f>IF(Flowmeter2="ECS","","NA")</f>
        <v>NA</v>
      </c>
      <c r="L4" s="2667" t="s">
        <v>1436</v>
      </c>
      <c r="M4" s="2668"/>
      <c r="N4" s="2669"/>
      <c r="O4" s="2352"/>
      <c r="P4" s="2660"/>
      <c r="Q4" s="2661"/>
      <c r="R4" s="2662"/>
      <c r="S4" s="2435"/>
      <c r="T4" s="1167"/>
      <c r="U4" s="2353" t="s">
        <v>79</v>
      </c>
      <c r="V4" s="1231" t="str">
        <f>IF(ISNUMBER(NozzleIdeal1),NozzleMatch1,"")</f>
        <v/>
      </c>
      <c r="W4" s="1245" t="e">
        <f>NozzleIdealmmH2O(SampleRateIdeal1,PitotCoeff1,PBF_1,DPU,AvgSqrtPa1,VelocityAverage1,MeterTempAvg1,StackTempAvg1,AbsPress1,BaroPress1,Bws,MolecularWt)</f>
        <v>#VALUE!</v>
      </c>
      <c r="X4" s="1246" t="e">
        <f>IF(NozzleIdeal1="","",Nozzles!A5&amp;"~"&amp;Nozzles!A6)</f>
        <v>#VALUE!</v>
      </c>
      <c r="Y4" s="2353"/>
      <c r="Z4" s="2353" t="s">
        <v>609</v>
      </c>
      <c r="AA4" s="1243" t="e">
        <f>INDEX(Flowmeters!A$1:BD$9,MATCH(Z4,Flowmeters!A$1:A$8,0),MATCH(Flowmeter1,Flowmeters!A$9:BD$9,0))</f>
        <v>#N/A</v>
      </c>
      <c r="AB4" s="1240" t="str">
        <f>IF(DHat1="","",DHat1)</f>
        <v>NA</v>
      </c>
    </row>
    <row r="5" spans="1:32" ht="10.5" customHeight="1">
      <c r="A5" s="2435" t="b">
        <v>1</v>
      </c>
      <c r="B5" s="2435" t="b">
        <v>1</v>
      </c>
      <c r="C5" s="2435" t="b">
        <v>1</v>
      </c>
      <c r="D5" s="2439"/>
      <c r="E5" s="1167"/>
      <c r="F5" s="1168" t="s">
        <v>1566</v>
      </c>
      <c r="G5" s="1070"/>
      <c r="H5" s="2443" t="str">
        <f>IF(WetBulb1="","",WetBulb1)</f>
        <v/>
      </c>
      <c r="I5" s="1214" t="s">
        <v>509</v>
      </c>
      <c r="J5" s="2442" t="str">
        <f>IF(Flowmeter1="ECS","","NA")</f>
        <v>NA</v>
      </c>
      <c r="K5" s="2442" t="str">
        <f>IF(Flowmeter2="ECS","","NA")</f>
        <v>NA</v>
      </c>
      <c r="L5" s="2353"/>
      <c r="M5" s="2353"/>
      <c r="N5" s="2353"/>
      <c r="O5" s="2353"/>
      <c r="P5" s="2660"/>
      <c r="Q5" s="2661"/>
      <c r="R5" s="2662"/>
      <c r="S5" s="2435"/>
      <c r="T5" s="1167"/>
      <c r="U5" s="2353" t="s">
        <v>72</v>
      </c>
      <c r="V5" s="1234" t="str">
        <f>IF(ISNUMBER(NozzleSelect1),VolumePreMeter1/TotalTime1,"")</f>
        <v/>
      </c>
      <c r="W5" s="1247" t="str">
        <f>IF(ISNUMBER(V2),V2/X3,"")</f>
        <v/>
      </c>
      <c r="X5" s="1247"/>
      <c r="Y5" s="2353"/>
      <c r="Z5" s="2353" t="s">
        <v>610</v>
      </c>
      <c r="AA5" s="1243" t="e">
        <f>INDEX(Flowmeters!A$1:BD$9,MATCH(Z5,Flowmeters!A$1:A$8,0),MATCH(Flowmeter1,Flowmeters!A$9:BD$9,0))</f>
        <v>#N/A</v>
      </c>
      <c r="AB5" s="1208"/>
    </row>
    <row r="6" spans="1:32" ht="10.5" customHeight="1">
      <c r="A6" s="2437" t="b">
        <f t="shared" ref="A6:A11" si="0">IF(AND(IsoCheck=TRUE,Filter1=""),"",TRUE)</f>
        <v>1</v>
      </c>
      <c r="B6" s="2437" t="b">
        <f t="shared" ref="B6:B11" si="1">IF(TestReport="Test 1 only",TRUE,IF(AND(IsoCheck=TRUE,K6=""),"",TRUE))</f>
        <v>1</v>
      </c>
      <c r="C6" s="2437" t="str">
        <f>IF(PitotID1="","",TRUE)</f>
        <v/>
      </c>
      <c r="D6" s="2439"/>
      <c r="E6" s="1167"/>
      <c r="F6" s="2351" t="s">
        <v>80</v>
      </c>
      <c r="G6" s="2495"/>
      <c r="H6" s="2444" t="str">
        <f>IF(PitotID1="","",PitotID1)</f>
        <v/>
      </c>
      <c r="I6" s="2351" t="s">
        <v>1451</v>
      </c>
      <c r="J6" s="2495"/>
      <c r="K6" s="2495"/>
      <c r="L6" s="2353"/>
      <c r="M6" s="2353"/>
      <c r="N6" s="2353"/>
      <c r="O6" s="2353"/>
      <c r="P6" s="1216"/>
      <c r="Q6" s="1216"/>
      <c r="R6" s="1221"/>
      <c r="S6" s="2435"/>
      <c r="T6" s="1228" t="s">
        <v>9</v>
      </c>
      <c r="U6" s="1229"/>
      <c r="V6" s="1324" t="s">
        <v>1241</v>
      </c>
      <c r="W6" s="1248"/>
      <c r="X6" s="1248"/>
      <c r="Y6" s="2353"/>
      <c r="Z6" s="1249" t="s">
        <v>503</v>
      </c>
      <c r="AA6" s="1243" t="e">
        <f>INDEX(Flowmeters!A$1:BD$9,MATCH("Type",Flowmeters!A$1:A$8,0),MATCH(Flowmeter2,Flowmeters!A$9:BD$9,0))</f>
        <v>#N/A</v>
      </c>
      <c r="AB6" s="1250" t="s">
        <v>251</v>
      </c>
    </row>
    <row r="7" spans="1:32" ht="10.5" customHeight="1">
      <c r="A7" s="2437" t="b">
        <f t="shared" si="0"/>
        <v>1</v>
      </c>
      <c r="B7" s="2437" t="b">
        <f t="shared" si="1"/>
        <v>1</v>
      </c>
      <c r="C7" s="2437" t="b">
        <f>IF(ISERROR(PitotCoeff1),"",TRUE)</f>
        <v>1</v>
      </c>
      <c r="D7" s="2439"/>
      <c r="E7" s="1167"/>
      <c r="F7" s="2351" t="s">
        <v>81</v>
      </c>
      <c r="G7" s="2474" t="str">
        <f>IF(PitotID1="","",VLOOKUP(PitotID1,PitotTable,2,FALSE))</f>
        <v/>
      </c>
      <c r="H7" s="2474" t="str">
        <f>IF(PitotID2="","",VLOOKUP(PitotID2,PitotTable,2,FALSE))</f>
        <v/>
      </c>
      <c r="I7" s="2351" t="s">
        <v>1326</v>
      </c>
      <c r="J7" s="2495"/>
      <c r="K7" s="2495"/>
      <c r="L7" s="2353"/>
      <c r="M7" s="2353"/>
      <c r="N7" s="2353"/>
      <c r="O7" s="2353"/>
      <c r="P7" s="1216" t="s">
        <v>8</v>
      </c>
      <c r="Q7" s="1216" t="s">
        <v>9</v>
      </c>
      <c r="R7" s="1222" t="s">
        <v>283</v>
      </c>
      <c r="S7" s="2462"/>
      <c r="T7" s="1227"/>
      <c r="U7" s="2351" t="str">
        <f>U2</f>
        <v>Sample vol</v>
      </c>
      <c r="V7" s="75"/>
      <c r="W7" s="1217">
        <f>IF(ISNUMBER(VolumePreMeter2),VolumePreMeter2,"")</f>
        <v>0</v>
      </c>
      <c r="X7" s="1217" t="str">
        <f>IF(ISNUMBER(VolumePreNTP2),VolumePreNTP2,"")</f>
        <v/>
      </c>
      <c r="Y7" s="2353"/>
      <c r="Z7" s="2351" t="s">
        <v>607</v>
      </c>
      <c r="AA7" s="1239" t="e">
        <f>INDEX(Flowmeters!A$1:BD$9,MATCH(Z7,Flowmeters!A$1:A$8,0),MATCH(Flowmeter2,Flowmeters!A$9:BD$9,0))</f>
        <v>#N/A</v>
      </c>
      <c r="AB7" s="1240" t="e">
        <f>IF(Flowmeter2="ECS",Y2T2,INDEX(Flowmeters!A$1:BD$9,MATCH(Flowmeters!$A$8,Flowmeters!A$1:A$8,0),MATCH(Flowmeter2,Flowmeters!A$9:BD$9,0)))</f>
        <v>#N/A</v>
      </c>
    </row>
    <row r="8" spans="1:32" ht="10.5" customHeight="1">
      <c r="A8" s="2437" t="b">
        <f t="shared" si="0"/>
        <v>1</v>
      </c>
      <c r="B8" s="2437" t="b">
        <f t="shared" si="1"/>
        <v>1</v>
      </c>
      <c r="C8" s="2437" t="str">
        <f>IF(G8="","",TRUE)</f>
        <v/>
      </c>
      <c r="D8" s="2439"/>
      <c r="E8" s="1167"/>
      <c r="F8" s="2351" t="s">
        <v>1455</v>
      </c>
      <c r="G8" s="2495"/>
      <c r="H8" s="2445" t="str">
        <f>IF(G8="","",G8)</f>
        <v/>
      </c>
      <c r="I8" s="2351" t="s">
        <v>1327</v>
      </c>
      <c r="J8" s="2495"/>
      <c r="K8" s="2495"/>
      <c r="L8" s="2647" t="s">
        <v>171</v>
      </c>
      <c r="M8" s="2648"/>
      <c r="N8" s="2649"/>
      <c r="O8" s="2354"/>
      <c r="P8" s="1217">
        <f>IF(ISNUMBER(VolumePreMeter1),VolumePreMeter1,"")</f>
        <v>0</v>
      </c>
      <c r="Q8" s="1217">
        <f>IF(ISNUMBER(VolumePreMeter2),VolumePreMeter2,"")</f>
        <v>0</v>
      </c>
      <c r="R8" s="545"/>
      <c r="T8" s="1167"/>
      <c r="U8" s="2351" t="str">
        <f>U3</f>
        <v>Time/point</v>
      </c>
      <c r="V8" s="81"/>
      <c r="W8" s="1241" t="str">
        <f>IF(ISNUMBER(V7),PointsTraverse*TraversesSampled,"")</f>
        <v/>
      </c>
      <c r="X8" s="1242" t="str">
        <f>IF(AND(ISNUMBER(V8),ISNUMBER(W8)),W8*V8,"")</f>
        <v/>
      </c>
      <c r="Y8" s="2353"/>
      <c r="Z8" s="2351" t="s">
        <v>608</v>
      </c>
      <c r="AA8" s="1243" t="e">
        <f>INDEX(Flowmeters!A$1:BD$9,MATCH(Z8,Flowmeters!A$1:A$8,0),MATCH(Flowmeter2,Flowmeters!A$9:BD$9,0))</f>
        <v>#N/A</v>
      </c>
      <c r="AB8" s="1244" t="s">
        <v>1583</v>
      </c>
    </row>
    <row r="9" spans="1:32" ht="10.5" customHeight="1">
      <c r="A9" s="2437" t="b">
        <f t="shared" si="0"/>
        <v>1</v>
      </c>
      <c r="B9" s="2437" t="b">
        <f t="shared" si="1"/>
        <v>1</v>
      </c>
      <c r="C9" s="2437" t="str">
        <f>IF(G9="","",TRUE)</f>
        <v/>
      </c>
      <c r="D9" s="2439"/>
      <c r="E9" s="1167"/>
      <c r="F9" s="2351" t="s">
        <v>75</v>
      </c>
      <c r="G9" s="2495"/>
      <c r="H9" s="2445" t="str">
        <f>IF(G9="","",G9)</f>
        <v/>
      </c>
      <c r="I9" s="2351" t="s">
        <v>33</v>
      </c>
      <c r="J9" s="2496"/>
      <c r="K9" s="2496"/>
      <c r="L9" s="2647" t="str">
        <f>NTPSTP&amp;" vol"</f>
        <v>STP vol</v>
      </c>
      <c r="M9" s="2648"/>
      <c r="N9" s="2649"/>
      <c r="O9" s="2354"/>
      <c r="P9" s="1217" t="str">
        <f>IF(ISNUMBER(VolumePreNTP1),VolumePreNTP1,"")</f>
        <v/>
      </c>
      <c r="Q9" s="1217" t="str">
        <f>IF(ISNUMBER(VolumePreNTP2),VolumePreNTP2,"")</f>
        <v/>
      </c>
      <c r="R9" s="1218">
        <f>IF(R8="",0,R8/AreaSP/10000)</f>
        <v>0</v>
      </c>
      <c r="S9" s="2463"/>
      <c r="T9" s="1167"/>
      <c r="U9" s="2351" t="str">
        <f>U4</f>
        <v>Nozzle size</v>
      </c>
      <c r="V9" s="1231" t="str">
        <f>IF(ISNUMBER(NozzleIdeal2),NozzleMatch2,"")</f>
        <v/>
      </c>
      <c r="W9" s="1245" t="e">
        <f>NozzleIdealmmH2O(SampleRateIdeal2,PitotCoeff2,PBF_1,DPU,AvgSqrtPa2,VelocityAverage2,MeterTempAvg2,StackTempAvg2,AbsPress2,BaroPress2,Bws,MolecularWt)</f>
        <v>#VALUE!</v>
      </c>
      <c r="X9" s="1246" t="e">
        <f>IF(NozzleIdeal2="","",Nozzles!C5&amp;"~"&amp;Nozzles!C6)</f>
        <v>#VALUE!</v>
      </c>
      <c r="Y9" s="2353"/>
      <c r="Z9" s="2353" t="s">
        <v>609</v>
      </c>
      <c r="AA9" s="1243" t="e">
        <f>INDEX(Flowmeters!A$1:BD$9,MATCH(Z9,Flowmeters!A$1:A$8,0),MATCH(Flowmeter2,Flowmeters!A$9:BD$9,0))</f>
        <v>#N/A</v>
      </c>
      <c r="AB9" s="1240" t="str">
        <f>IF(DHat2="","",DHat2)</f>
        <v>NA</v>
      </c>
    </row>
    <row r="10" spans="1:32" ht="10.5" customHeight="1">
      <c r="A10" s="2437" t="b">
        <f t="shared" si="0"/>
        <v>1</v>
      </c>
      <c r="B10" s="2437" t="b">
        <f t="shared" si="1"/>
        <v>1</v>
      </c>
      <c r="C10" s="2437" t="str">
        <f>IF(G10="","",TRUE)</f>
        <v/>
      </c>
      <c r="D10" s="2439"/>
      <c r="E10" s="1167"/>
      <c r="F10" s="2351" t="s">
        <v>76</v>
      </c>
      <c r="G10" s="2495"/>
      <c r="H10" s="2447" t="str">
        <f>IF(G10="","",G10)</f>
        <v/>
      </c>
      <c r="I10" s="2351" t="s">
        <v>34</v>
      </c>
      <c r="J10" s="2496"/>
      <c r="K10" s="2496"/>
      <c r="L10" s="1216" t="s">
        <v>85</v>
      </c>
      <c r="M10" s="1216"/>
      <c r="N10" s="1216"/>
      <c r="O10" s="1216"/>
      <c r="P10" s="2148" t="e">
        <f>(J8-J7)/P8</f>
        <v>#DIV/0!</v>
      </c>
      <c r="Q10" s="2148" t="e">
        <f>(K8-K7)/Q8</f>
        <v>#DIV/0!</v>
      </c>
      <c r="R10" s="1219"/>
      <c r="T10" s="1167"/>
      <c r="U10" s="2351" t="str">
        <f>U5</f>
        <v>Sampling R8</v>
      </c>
      <c r="V10" s="1232" t="str">
        <f>IF(ISNUMBER(NozzleSelect2),VolumePreMeter2/TotalTime2,"")</f>
        <v/>
      </c>
      <c r="W10" s="1251" t="str">
        <f>IF(ISNUMBER(V7),V7/X8,"")</f>
        <v/>
      </c>
      <c r="X10" s="1251"/>
      <c r="Y10" s="2353"/>
      <c r="Z10" s="2351" t="s">
        <v>610</v>
      </c>
      <c r="AA10" s="1252" t="e">
        <f>INDEX(Flowmeters!A$1:BD$9,MATCH(Z10,Flowmeters!A$1:A$8,0),MATCH(Flowmeter2,Flowmeters!A$9:BD$9,0))</f>
        <v>#N/A</v>
      </c>
      <c r="AB10" s="1208"/>
    </row>
    <row r="11" spans="1:32" ht="10.5" customHeight="1" thickBot="1">
      <c r="A11" s="2437" t="b">
        <f t="shared" si="0"/>
        <v>1</v>
      </c>
      <c r="B11" s="2437" t="b">
        <f t="shared" si="1"/>
        <v>1</v>
      </c>
      <c r="C11" s="2435" t="b">
        <v>1</v>
      </c>
      <c r="D11" s="2448"/>
      <c r="E11" s="1169"/>
      <c r="F11" s="1170"/>
      <c r="G11" s="1170"/>
      <c r="H11" s="1181"/>
      <c r="I11" s="1215" t="s">
        <v>1454</v>
      </c>
      <c r="J11" s="2497"/>
      <c r="K11" s="2497"/>
      <c r="L11" s="1170"/>
      <c r="M11" s="1170"/>
      <c r="N11" s="1170"/>
      <c r="O11" s="1170"/>
      <c r="P11" s="1170"/>
      <c r="Q11" s="1170"/>
      <c r="R11" s="1220"/>
      <c r="T11" s="1169"/>
      <c r="U11" s="1181"/>
      <c r="V11" s="1230"/>
      <c r="W11" s="1233"/>
      <c r="X11" s="1253"/>
      <c r="Y11" s="1253"/>
      <c r="Z11" s="1230"/>
      <c r="AA11" s="1195"/>
      <c r="AB11" s="1211"/>
    </row>
    <row r="12" spans="1:32" s="2435" customFormat="1" ht="10.5" customHeight="1" thickBot="1">
      <c r="A12" s="2435" t="b">
        <v>1</v>
      </c>
      <c r="B12" s="2435" t="b">
        <v>1</v>
      </c>
      <c r="C12" s="2435" t="b">
        <v>1</v>
      </c>
      <c r="D12" s="2458"/>
      <c r="E12" s="2458"/>
      <c r="F12" s="2458"/>
      <c r="G12" s="2458"/>
      <c r="H12" s="2458"/>
      <c r="I12" s="2458"/>
      <c r="J12" s="2458"/>
      <c r="K12" s="2458"/>
      <c r="L12" s="2458"/>
      <c r="M12" s="2458"/>
      <c r="N12" s="2458"/>
      <c r="O12" s="2458"/>
      <c r="P12" s="2458"/>
      <c r="Q12" s="2458"/>
      <c r="R12" s="2458"/>
      <c r="S12" s="2459"/>
      <c r="T12" s="2460"/>
      <c r="U12" s="2460"/>
      <c r="V12" s="2461"/>
      <c r="W12" s="2461"/>
      <c r="X12" s="2461"/>
      <c r="Y12" s="2461"/>
      <c r="Z12" s="2461"/>
    </row>
    <row r="13" spans="1:32" ht="10.5" customHeight="1">
      <c r="A13" s="2435" t="b">
        <v>1</v>
      </c>
      <c r="B13" s="2435" t="b">
        <v>1</v>
      </c>
      <c r="C13" s="2435" t="b">
        <v>1</v>
      </c>
      <c r="E13" s="1171" t="s">
        <v>8</v>
      </c>
      <c r="F13" s="1172"/>
      <c r="G13" s="2349" t="str">
        <f>IF(PitotID1="anemom","Velocity","Pressure")</f>
        <v>Pressure</v>
      </c>
      <c r="H13" s="1198" t="s">
        <v>1448</v>
      </c>
      <c r="I13" s="1198" t="s">
        <v>1414</v>
      </c>
      <c r="J13" s="1198" t="s">
        <v>502</v>
      </c>
      <c r="K13" s="1198" t="s">
        <v>1415</v>
      </c>
      <c r="L13" s="1198" t="s">
        <v>1286</v>
      </c>
      <c r="M13" s="2349" t="s">
        <v>835</v>
      </c>
      <c r="N13" s="2349" t="s">
        <v>836</v>
      </c>
      <c r="O13" s="1584" t="s">
        <v>1721</v>
      </c>
      <c r="P13" s="2349" t="s">
        <v>533</v>
      </c>
      <c r="Q13" s="2349" t="s">
        <v>55</v>
      </c>
      <c r="R13" s="1199" t="s">
        <v>503</v>
      </c>
      <c r="S13" s="2646" t="s">
        <v>1585</v>
      </c>
      <c r="T13" s="1212"/>
      <c r="U13" s="2652" t="s">
        <v>1992</v>
      </c>
      <c r="V13" s="2349" t="s">
        <v>1281</v>
      </c>
      <c r="W13" s="2349" t="s">
        <v>1206</v>
      </c>
      <c r="X13" s="2349" t="str">
        <f>"Sqrt"&amp;"("&amp;DPU&amp;")"</f>
        <v>Sqrt(Pa)</v>
      </c>
      <c r="Y13" s="2349" t="s">
        <v>61</v>
      </c>
      <c r="Z13" s="2349" t="s">
        <v>61</v>
      </c>
      <c r="AA13" s="2650" t="s">
        <v>533</v>
      </c>
      <c r="AB13" s="2651"/>
    </row>
    <row r="14" spans="1:32" ht="10.5" customHeight="1">
      <c r="A14" s="2437" t="b">
        <f>IF(AND(IsoCheck=TRUE,MeterTemp1=""),"",TRUE)</f>
        <v>1</v>
      </c>
      <c r="B14" s="2437" t="b">
        <f>IF(AND(IsoCheck=TRUE,MeterTemp2=""),"",TRUE)</f>
        <v>1</v>
      </c>
      <c r="C14" s="2437" t="str">
        <f>IF(StackTemp1="","",TRUE)</f>
        <v/>
      </c>
      <c r="E14" s="1173"/>
      <c r="F14" s="1174" t="s">
        <v>14</v>
      </c>
      <c r="G14" s="1187" t="str">
        <f>IF(LEFT(PitotID1,6)="Anemom","("&amp;VU&amp;")","("&amp;DPU&amp;")")</f>
        <v>(Pa)</v>
      </c>
      <c r="H14" s="2434"/>
      <c r="I14" s="675"/>
      <c r="J14" s="674">
        <v>0</v>
      </c>
      <c r="K14" s="2449" t="str">
        <f>IF(ISNUMBER(NozzleSuggest1),NozzleSuggest1,"")</f>
        <v/>
      </c>
      <c r="L14" s="2450" t="str">
        <f>IF(TimeRequired1="","",TimeRequired1)</f>
        <v/>
      </c>
      <c r="M14" s="1187"/>
      <c r="N14" s="1187"/>
      <c r="O14" s="1187">
        <f>IF(PitotID1="Anemom (Hot)",0.02,IF(PitotID1="Anemom (Vane)",0.4,IF(Flowmeter1="ECS",0.1,2)))</f>
        <v>2</v>
      </c>
      <c r="P14" s="1187" t="s">
        <v>634</v>
      </c>
      <c r="Q14" s="1187" t="s">
        <v>1299</v>
      </c>
      <c r="R14" s="1200" t="e">
        <f>IF(Flowmeter1="ECS","mmH2O",IF(AA$1="Orifice",OPU,"%"))</f>
        <v>#N/A</v>
      </c>
      <c r="S14" s="2646"/>
      <c r="T14" s="1203" t="s">
        <v>1205</v>
      </c>
      <c r="U14" s="2653"/>
      <c r="V14" s="1187" t="s">
        <v>60</v>
      </c>
      <c r="W14" s="1187" t="s">
        <v>252</v>
      </c>
      <c r="X14" s="1187"/>
      <c r="Y14" s="1187" t="s">
        <v>845</v>
      </c>
      <c r="Z14" s="1187" t="s">
        <v>846</v>
      </c>
      <c r="AA14" s="1187" t="s">
        <v>843</v>
      </c>
      <c r="AB14" s="1204" t="s">
        <v>534</v>
      </c>
    </row>
    <row r="15" spans="1:32" ht="10.5" customHeight="1">
      <c r="A15" s="2437" t="b">
        <f>IF(AND(IsoCheck=TRUE,NozzleSelect1=""),"",TRUE)</f>
        <v>1</v>
      </c>
      <c r="B15" s="2437" t="b">
        <f>IF(AND(IsoCheck=TRUE,NozzleSelect2=""),"",TRUE)</f>
        <v>1</v>
      </c>
      <c r="C15" s="2437" t="b">
        <f>IF(AND(ISNUMBER(F15),ISNUMBER(G15)),TRUE,IF(OR(ISNUMBER(F15),ISNUMBER(G15)),"",TRUE))</f>
        <v>1</v>
      </c>
      <c r="D15" s="2437">
        <v>1</v>
      </c>
      <c r="E15" s="1175" t="str">
        <f t="shared" ref="E15:E74" si="2">Point(TraversesSampled,PointsTraverse,D15)</f>
        <v/>
      </c>
      <c r="F15" s="1176" t="str">
        <f t="shared" ref="F15:F46" si="3">IF(E15="","",Position(TravMethod,StackDimA,StackShape,PointsTraverse,E15)+PortDepth)</f>
        <v/>
      </c>
      <c r="G15" s="2434" t="str">
        <f>IF(Afterflows!W14="","",Afterflows!W14)</f>
        <v/>
      </c>
      <c r="H15" s="2445" t="str">
        <f>IF(ISNUMBER(G15),IF(ISNUMBER(StackTemp1),StackTemp1,IF(Afterflows!V14="","",Afterflows!V14)),"")</f>
        <v/>
      </c>
      <c r="I15" s="2451" t="str">
        <f>IF(ISNUMBER(G15),IF(ISNUMBER(MeterTemp1),MeterTemp1,""),"")</f>
        <v/>
      </c>
      <c r="J15" s="2451" t="str">
        <f>IF(ISNUMBER(G15),IF(ISNUMBER(MeterPress1),MeterPress1,""),"")</f>
        <v/>
      </c>
      <c r="K15" s="2451" t="str">
        <f>IF(ISNUMBER(P15),IF(ISNUMBER(NozzleSelect1),NozzleSelect1,""),"")</f>
        <v/>
      </c>
      <c r="L15" s="2452" t="str">
        <f t="shared" ref="L15:L46" si="4">IF(ISNUMBER(P15),IF(ISNUMBER($L$14),$L$14*Y15*Z15/(CosYawAvg1*CosPitchAvg1),""),"")</f>
        <v/>
      </c>
      <c r="M15" s="2434" t="str">
        <f>IF($G15="","",Afterflows!G14)</f>
        <v/>
      </c>
      <c r="N15" s="2434" t="str">
        <f>IF($G15="","",Afterflows!H14)</f>
        <v/>
      </c>
      <c r="O15" s="2434" t="str">
        <f>IF(G15&lt;O$14,O$14,G15)</f>
        <v/>
      </c>
      <c r="P15" s="2475" t="str">
        <f>Velocity(PitotID1,PitotCoeff1,Afterflows!AB14,O15,H15,StackTempAvg1,AbsPress1,MolecularWt)</f>
        <v/>
      </c>
      <c r="Q15" s="2476" t="str">
        <f>SampleRate(P15,PBF_1,H15,I15,J15,K15,StackTempAvg1,AbsPress1,BaroPress1,Bws)</f>
        <v/>
      </c>
      <c r="R15" s="2477" t="str">
        <f>IF(Flowmeter1="ECS",IF(G15="","",S15*O15),FlowSet(AA$1,Q15,AA$2,AA$3,AA$4,AA$5,I15,J15,BaroPress1,OPF))</f>
        <v/>
      </c>
      <c r="S15" s="2464" t="str">
        <f>IF(Flowmeter1="ECS",IF($G15="","",0.00008038*PitotCoeff1^2*DHat1*$K15^4*(MolecularWtDry/MolecularWt)*(1-Bws)^2*($I15+273)/($H15+273)*(AbsPress1)/(BaroPress1+DHat1/10.22)),"")</f>
        <v/>
      </c>
      <c r="T15" s="1177" t="str">
        <f t="shared" ref="T15:T46" si="5">E15</f>
        <v/>
      </c>
      <c r="U15" s="2070" t="str">
        <f>IF(L15="","",TIME((LEFT($J$9,2)),(RIGHT($J$9,2)),0)+TIME(0,(L15),0))</f>
        <v/>
      </c>
      <c r="V15" s="1202" t="str">
        <f t="shared" ref="V15:V46" si="6">IF(ISNUMBER($L15),L15*Q15,"")</f>
        <v/>
      </c>
      <c r="W15" s="1202" t="str">
        <f>IF(ISNUMBER(V15),$J$7+SUM(V$15:V15)/Mratio1,"")</f>
        <v/>
      </c>
      <c r="X15" s="1201" t="str">
        <f>IF(G15="","",SQRT(O15))</f>
        <v/>
      </c>
      <c r="Y15" s="1201" t="str">
        <f>IF($G15="","",COS(M15*PI()/180))</f>
        <v/>
      </c>
      <c r="Z15" s="1201" t="str">
        <f>IF($G15="","",COS(N15*PI()/180))</f>
        <v/>
      </c>
      <c r="AA15" s="1201" t="str">
        <f t="shared" ref="AA15:AA46" si="7">Velocity3D(P15,M15,N15)</f>
        <v/>
      </c>
      <c r="AB15" s="1205" t="str">
        <f t="shared" ref="AB15:AB46" si="8">IF(P15="","",P15*1/(1-PBF_1))</f>
        <v/>
      </c>
      <c r="AD15" s="2453"/>
      <c r="AE15" s="2453"/>
    </row>
    <row r="16" spans="1:32" ht="10.5" customHeight="1">
      <c r="A16" s="2437" t="b">
        <f>IF(AND(IsoCheck=TRUE,TimePoint1=""),"",TRUE)</f>
        <v>1</v>
      </c>
      <c r="B16" s="2437" t="b">
        <f>IF(AND(IsoCheck=TRUE,TimePoint2=""),"",TRUE)</f>
        <v>1</v>
      </c>
      <c r="C16" s="2437" t="b">
        <f t="shared" ref="C16:C30" si="9">IF(AND(ISNUMBER(F16),ISNUMBER(G16)),TRUE,IF(OR(ISNUMBER(F16),ISNUMBER(G16)),"",TRUE))</f>
        <v>1</v>
      </c>
      <c r="D16" s="2437">
        <v>2</v>
      </c>
      <c r="E16" s="1175" t="str">
        <f t="shared" si="2"/>
        <v/>
      </c>
      <c r="F16" s="1176" t="str">
        <f t="shared" si="3"/>
        <v/>
      </c>
      <c r="G16" s="2434" t="str">
        <f>IF(Afterflows!W15="","",Afterflows!W15)</f>
        <v/>
      </c>
      <c r="H16" s="2445" t="str">
        <f>IF(ISNUMBER(G16),IF(ISNUMBER(StackTemp1),StackTemp1,IF(Afterflows!V15="","",Afterflows!V15)),"")</f>
        <v/>
      </c>
      <c r="I16" s="2451" t="str">
        <f t="shared" ref="I16:I46" si="10">IF(ISNUMBER(G16),IF(ISNUMBER(MeterTemp1),MeterTemp1,""),"")</f>
        <v/>
      </c>
      <c r="J16" s="2451" t="str">
        <f>IF(ISNUMBER(G16),IF(ISNUMBER(MeterPress1),MeterPress1,""),"")</f>
        <v/>
      </c>
      <c r="K16" s="2451" t="str">
        <f>IF(ISNUMBER(P16),IF(ISNUMBER(NozzleSelect1),NozzleSelect1,""),"")</f>
        <v/>
      </c>
      <c r="L16" s="2452" t="str">
        <f t="shared" si="4"/>
        <v/>
      </c>
      <c r="M16" s="2434" t="str">
        <f>IF($G16="","",Afterflows!G15)</f>
        <v/>
      </c>
      <c r="N16" s="2434" t="str">
        <f>IF($G16="","",Afterflows!H15)</f>
        <v/>
      </c>
      <c r="O16" s="2434" t="str">
        <f t="shared" ref="O16:O74" si="11">IF(G16&lt;O$14,O$14,G16)</f>
        <v/>
      </c>
      <c r="P16" s="2475" t="str">
        <f>Velocity(PitotID1,PitotCoeff1,Afterflows!AB15,O16,H16,StackTempAvg1,AbsPress1,MolecularWt)</f>
        <v/>
      </c>
      <c r="Q16" s="2476" t="str">
        <f>SampleRate(P16,PBF_1,H16,I16,J16,K16,StackTempAvg1,AbsPress1,BaroPress1,Bws)</f>
        <v/>
      </c>
      <c r="R16" s="2477" t="str">
        <f>IF(Flowmeter1="ECS",IF(G16="","",S16*O16),FlowSet(AA$1,Q16,AA$2,AA$3,AA$4,AA$5,I16,J16,BaroPress1,OPF))</f>
        <v/>
      </c>
      <c r="S16" s="2464" t="str">
        <f>IF(Flowmeter1="ECS",IF($G16="","",0.00008038*PitotCoeff1^2*DHat1*$K16^4*(MolecularWtDry/MolecularWt)*(1-Bws)^2*($I16+273)/($H16+273)*(AbsPress1)/(BaroPress1+DHat1/10.22)),"")</f>
        <v/>
      </c>
      <c r="T16" s="1177" t="str">
        <f t="shared" si="5"/>
        <v/>
      </c>
      <c r="U16" s="2070" t="str">
        <f>IF(L16="","",U15+TIME(0,L16,0))</f>
        <v/>
      </c>
      <c r="V16" s="1202" t="str">
        <f t="shared" si="6"/>
        <v/>
      </c>
      <c r="W16" s="1202" t="str">
        <f>IF(ISNUMBER(V16),$J$7+SUM(V$15:V16)/Mratio1,"")</f>
        <v/>
      </c>
      <c r="X16" s="1201" t="str">
        <f t="shared" ref="X16:X46" si="12">IF(G16="","",SQRT(O16))</f>
        <v/>
      </c>
      <c r="Y16" s="1201" t="str">
        <f t="shared" ref="Y16:Y46" si="13">IF($G16="","",COS(M16*PI()/180))</f>
        <v/>
      </c>
      <c r="Z16" s="1201" t="str">
        <f t="shared" ref="Z16:Z46" si="14">IF($G16="","",COS(N16*PI()/180))</f>
        <v/>
      </c>
      <c r="AA16" s="1201" t="str">
        <f t="shared" si="7"/>
        <v/>
      </c>
      <c r="AB16" s="1205" t="str">
        <f t="shared" si="8"/>
        <v/>
      </c>
    </row>
    <row r="17" spans="1:28" ht="10.5" customHeight="1">
      <c r="A17" s="2437" t="b">
        <f>IF(AND(IsoAnalysis="",IsoCheck=TRUE),"",TRUE)</f>
        <v>1</v>
      </c>
      <c r="B17" s="2437" t="b">
        <v>1</v>
      </c>
      <c r="C17" s="2437" t="b">
        <f t="shared" si="9"/>
        <v>1</v>
      </c>
      <c r="D17" s="2437">
        <v>3</v>
      </c>
      <c r="E17" s="1175" t="str">
        <f t="shared" si="2"/>
        <v/>
      </c>
      <c r="F17" s="1176" t="str">
        <f t="shared" si="3"/>
        <v/>
      </c>
      <c r="G17" s="2434" t="str">
        <f>IF(Afterflows!W16="","",Afterflows!W16)</f>
        <v/>
      </c>
      <c r="H17" s="2445" t="str">
        <f>IF(ISNUMBER(G17),IF(ISNUMBER(StackTemp1),StackTemp1,IF(Afterflows!V16="","",Afterflows!V16)),"")</f>
        <v/>
      </c>
      <c r="I17" s="2451" t="str">
        <f t="shared" si="10"/>
        <v/>
      </c>
      <c r="J17" s="2451" t="str">
        <f>IF(ISNUMBER(G17),IF(ISNUMBER(MeterPress1),MeterPress1,""),"")</f>
        <v/>
      </c>
      <c r="K17" s="2451" t="str">
        <f>IF(ISNUMBER(P17),IF(ISNUMBER(NozzleSelect1),NozzleSelect1,""),"")</f>
        <v/>
      </c>
      <c r="L17" s="2452" t="str">
        <f t="shared" si="4"/>
        <v/>
      </c>
      <c r="M17" s="2434" t="str">
        <f>IF($G17="","",Afterflows!G16)</f>
        <v/>
      </c>
      <c r="N17" s="2434" t="str">
        <f>IF($G17="","",Afterflows!H16)</f>
        <v/>
      </c>
      <c r="O17" s="2434" t="str">
        <f t="shared" si="11"/>
        <v/>
      </c>
      <c r="P17" s="2475" t="str">
        <f>Velocity(PitotID1,PitotCoeff1,Afterflows!AB16,O17,H17,StackTempAvg1,AbsPress1,MolecularWt)</f>
        <v/>
      </c>
      <c r="Q17" s="2476" t="str">
        <f t="shared" ref="Q17:Q74" si="15">SampleRate(P17,PBF_1,H17,I17,J17,K17,StackTempAvg1,AbsPress1,BaroPress1,Bws)</f>
        <v/>
      </c>
      <c r="R17" s="2477" t="str">
        <f>IF(Flowmeter1="ECS",IF(G17="","",S17*O17),FlowSet(AA$1,Q17,AA$2,AA$3,AA$4,AA$5,I17,J17,BaroPress1,OPF))</f>
        <v/>
      </c>
      <c r="S17" s="2464" t="str">
        <f t="shared" ref="S17:S38" si="16">IF(Flowmeter1="ECS",IF($G17="","",0.00008038*PitotCoeff1^2*DHat1*$K17^4*(MolecularWtDry/MolecularWt)*(1-Bws)^2*($I17+273)/($H17+273)*(AbsPress1)/(BaroPress1+DHat1/10.22)),"")</f>
        <v/>
      </c>
      <c r="T17" s="1177" t="str">
        <f t="shared" si="5"/>
        <v/>
      </c>
      <c r="U17" s="2070" t="str">
        <f t="shared" ref="U17:U74" si="17">IF(L17="","",U16+TIME(0,L17,0))</f>
        <v/>
      </c>
      <c r="V17" s="1202" t="str">
        <f t="shared" si="6"/>
        <v/>
      </c>
      <c r="W17" s="1202" t="str">
        <f>IF(ISNUMBER(V17),$J$7+SUM(V$15:V17)/Mratio1,"")</f>
        <v/>
      </c>
      <c r="X17" s="1201" t="str">
        <f t="shared" si="12"/>
        <v/>
      </c>
      <c r="Y17" s="1201" t="str">
        <f t="shared" si="13"/>
        <v/>
      </c>
      <c r="Z17" s="1201" t="str">
        <f t="shared" si="14"/>
        <v/>
      </c>
      <c r="AA17" s="1201" t="str">
        <f t="shared" si="7"/>
        <v/>
      </c>
      <c r="AB17" s="1205" t="str">
        <f t="shared" si="8"/>
        <v/>
      </c>
    </row>
    <row r="18" spans="1:28" ht="10.5" customHeight="1">
      <c r="C18" s="2437" t="b">
        <f t="shared" si="9"/>
        <v>1</v>
      </c>
      <c r="D18" s="2437">
        <v>4</v>
      </c>
      <c r="E18" s="1175" t="str">
        <f t="shared" si="2"/>
        <v/>
      </c>
      <c r="F18" s="1176" t="str">
        <f t="shared" si="3"/>
        <v/>
      </c>
      <c r="G18" s="2434" t="str">
        <f>IF(Afterflows!W17="","",Afterflows!W17)</f>
        <v/>
      </c>
      <c r="H18" s="2445" t="str">
        <f>IF(ISNUMBER(G18),IF(ISNUMBER(StackTemp1),StackTemp1,IF(Afterflows!V17="","",Afterflows!V17)),"")</f>
        <v/>
      </c>
      <c r="I18" s="2451" t="str">
        <f t="shared" si="10"/>
        <v/>
      </c>
      <c r="J18" s="2451" t="str">
        <f>IF(ISNUMBER(G18),IF(ISNUMBER(MeterPress1),MeterPress1,""),"")</f>
        <v/>
      </c>
      <c r="K18" s="2451" t="str">
        <f>IF(ISNUMBER(P18),IF(ISNUMBER(NozzleSelect1),NozzleSelect1,""),"")</f>
        <v/>
      </c>
      <c r="L18" s="2452" t="str">
        <f t="shared" si="4"/>
        <v/>
      </c>
      <c r="M18" s="2434" t="str">
        <f>IF($G18="","",Afterflows!G17)</f>
        <v/>
      </c>
      <c r="N18" s="2434" t="str">
        <f>IF($G18="","",Afterflows!H17)</f>
        <v/>
      </c>
      <c r="O18" s="2434" t="str">
        <f t="shared" si="11"/>
        <v/>
      </c>
      <c r="P18" s="2475" t="str">
        <f>Velocity(PitotID1,PitotCoeff1,Afterflows!AB17,O18,H18,StackTempAvg1,AbsPress1,MolecularWt)</f>
        <v/>
      </c>
      <c r="Q18" s="2476" t="str">
        <f t="shared" si="15"/>
        <v/>
      </c>
      <c r="R18" s="2477" t="str">
        <f>IF(Flowmeter1="ECS",IF(G18="","",S18*O18),FlowSet(AA$1,Q18,AA$2,AA$3,AA$4,AA$5,I18,J18,BaroPress1,OPF))</f>
        <v/>
      </c>
      <c r="S18" s="2464" t="str">
        <f t="shared" si="16"/>
        <v/>
      </c>
      <c r="T18" s="1177" t="str">
        <f t="shared" si="5"/>
        <v/>
      </c>
      <c r="U18" s="2070" t="str">
        <f t="shared" si="17"/>
        <v/>
      </c>
      <c r="V18" s="1202" t="str">
        <f t="shared" si="6"/>
        <v/>
      </c>
      <c r="W18" s="1202" t="str">
        <f>IF(ISNUMBER(V18),$J$7+SUM(V$15:V18)/Mratio1,"")</f>
        <v/>
      </c>
      <c r="X18" s="1201" t="str">
        <f t="shared" si="12"/>
        <v/>
      </c>
      <c r="Y18" s="1201" t="str">
        <f t="shared" si="13"/>
        <v/>
      </c>
      <c r="Z18" s="1201" t="str">
        <f t="shared" si="14"/>
        <v/>
      </c>
      <c r="AA18" s="1201" t="str">
        <f t="shared" si="7"/>
        <v/>
      </c>
      <c r="AB18" s="1205" t="str">
        <f t="shared" si="8"/>
        <v/>
      </c>
    </row>
    <row r="19" spans="1:28" ht="10.5" customHeight="1">
      <c r="C19" s="2437" t="b">
        <f t="shared" si="9"/>
        <v>1</v>
      </c>
      <c r="D19" s="2437">
        <v>5</v>
      </c>
      <c r="E19" s="1175" t="str">
        <f t="shared" si="2"/>
        <v/>
      </c>
      <c r="F19" s="1176" t="str">
        <f t="shared" si="3"/>
        <v/>
      </c>
      <c r="G19" s="2434" t="str">
        <f>IF(Afterflows!W18="","",Afterflows!W18)</f>
        <v/>
      </c>
      <c r="H19" s="2445" t="str">
        <f>IF(ISNUMBER(G19),IF(ISNUMBER(StackTemp1),StackTemp1,IF(Afterflows!V18="","",Afterflows!V18)),"")</f>
        <v/>
      </c>
      <c r="I19" s="2451" t="str">
        <f t="shared" si="10"/>
        <v/>
      </c>
      <c r="J19" s="2451" t="str">
        <f t="shared" ref="J19:J30" si="18">IF(ISNUMBER(G19),IF(ISNUMBER(MeterPress1),MeterPress1,""),"")</f>
        <v/>
      </c>
      <c r="K19" s="2451" t="str">
        <f t="shared" ref="K19:K30" si="19">IF(ISNUMBER(P19),IF(ISNUMBER(NozzleSelect1),NozzleSelect1,""),"")</f>
        <v/>
      </c>
      <c r="L19" s="2452" t="str">
        <f t="shared" si="4"/>
        <v/>
      </c>
      <c r="M19" s="2434" t="str">
        <f>IF($G19="","",Afterflows!G18)</f>
        <v/>
      </c>
      <c r="N19" s="2434" t="str">
        <f>IF($G19="","",Afterflows!H18)</f>
        <v/>
      </c>
      <c r="O19" s="2434" t="str">
        <f t="shared" si="11"/>
        <v/>
      </c>
      <c r="P19" s="2475" t="str">
        <f>Velocity(PitotID1,PitotCoeff1,Afterflows!AB18,O19,H19,StackTempAvg1,AbsPress1,MolecularWt)</f>
        <v/>
      </c>
      <c r="Q19" s="2476" t="str">
        <f t="shared" si="15"/>
        <v/>
      </c>
      <c r="R19" s="2477" t="str">
        <f>IF(Flowmeter1="ECS",IF(G19="","",S19*O19),FlowSet(AA$1,Q19,AA$2,AA$3,AA$4,AA$5,I19,J19,BaroPress1,OPF))</f>
        <v/>
      </c>
      <c r="S19" s="2464" t="str">
        <f t="shared" si="16"/>
        <v/>
      </c>
      <c r="T19" s="1177" t="str">
        <f t="shared" si="5"/>
        <v/>
      </c>
      <c r="U19" s="2070" t="str">
        <f t="shared" si="17"/>
        <v/>
      </c>
      <c r="V19" s="1202" t="str">
        <f t="shared" si="6"/>
        <v/>
      </c>
      <c r="W19" s="1202" t="str">
        <f>IF(ISNUMBER(V19),$J$7+SUM(V$15:V19)/Mratio1,"")</f>
        <v/>
      </c>
      <c r="X19" s="1201" t="str">
        <f t="shared" si="12"/>
        <v/>
      </c>
      <c r="Y19" s="1201" t="str">
        <f t="shared" si="13"/>
        <v/>
      </c>
      <c r="Z19" s="1201" t="str">
        <f t="shared" si="14"/>
        <v/>
      </c>
      <c r="AA19" s="1201" t="str">
        <f t="shared" si="7"/>
        <v/>
      </c>
      <c r="AB19" s="1205" t="str">
        <f t="shared" si="8"/>
        <v/>
      </c>
    </row>
    <row r="20" spans="1:28" ht="10.5" customHeight="1">
      <c r="C20" s="2437" t="b">
        <f t="shared" si="9"/>
        <v>1</v>
      </c>
      <c r="D20" s="2437">
        <v>6</v>
      </c>
      <c r="E20" s="1175" t="str">
        <f t="shared" si="2"/>
        <v/>
      </c>
      <c r="F20" s="1176" t="str">
        <f t="shared" si="3"/>
        <v/>
      </c>
      <c r="G20" s="2434" t="str">
        <f>IF(Afterflows!W19="","",Afterflows!W19)</f>
        <v/>
      </c>
      <c r="H20" s="2445" t="str">
        <f>IF(ISNUMBER(G20),IF(ISNUMBER(StackTemp1),StackTemp1,IF(Afterflows!V19="","",Afterflows!V19)),"")</f>
        <v/>
      </c>
      <c r="I20" s="2451" t="str">
        <f t="shared" si="10"/>
        <v/>
      </c>
      <c r="J20" s="2451" t="str">
        <f t="shared" si="18"/>
        <v/>
      </c>
      <c r="K20" s="2451" t="str">
        <f t="shared" si="19"/>
        <v/>
      </c>
      <c r="L20" s="2452" t="str">
        <f t="shared" si="4"/>
        <v/>
      </c>
      <c r="M20" s="2434" t="str">
        <f>IF($G20="","",Afterflows!G19)</f>
        <v/>
      </c>
      <c r="N20" s="2434" t="str">
        <f>IF($G20="","",Afterflows!H19)</f>
        <v/>
      </c>
      <c r="O20" s="2434" t="str">
        <f t="shared" si="11"/>
        <v/>
      </c>
      <c r="P20" s="2475" t="str">
        <f>Velocity(PitotID1,PitotCoeff1,Afterflows!AB19,O20,H20,StackTempAvg1,AbsPress1,MolecularWt)</f>
        <v/>
      </c>
      <c r="Q20" s="2476" t="str">
        <f t="shared" si="15"/>
        <v/>
      </c>
      <c r="R20" s="2477" t="str">
        <f>IF(Flowmeter1="ECS",IF(G20="","",S20*O20),FlowSet(AA$1,Q20,AA$2,AA$3,AA$4,AA$5,I20,J20,BaroPress1,OPF))</f>
        <v/>
      </c>
      <c r="S20" s="2464" t="str">
        <f t="shared" si="16"/>
        <v/>
      </c>
      <c r="T20" s="1177" t="str">
        <f t="shared" si="5"/>
        <v/>
      </c>
      <c r="U20" s="2070" t="str">
        <f t="shared" si="17"/>
        <v/>
      </c>
      <c r="V20" s="1202" t="str">
        <f t="shared" si="6"/>
        <v/>
      </c>
      <c r="W20" s="1202" t="str">
        <f>IF(ISNUMBER(V20),$J$7+SUM(V$15:V20)/Mratio1,"")</f>
        <v/>
      </c>
      <c r="X20" s="1201" t="str">
        <f t="shared" si="12"/>
        <v/>
      </c>
      <c r="Y20" s="1201" t="str">
        <f t="shared" si="13"/>
        <v/>
      </c>
      <c r="Z20" s="1201" t="str">
        <f t="shared" si="14"/>
        <v/>
      </c>
      <c r="AA20" s="1201" t="str">
        <f t="shared" si="7"/>
        <v/>
      </c>
      <c r="AB20" s="1205" t="str">
        <f t="shared" si="8"/>
        <v/>
      </c>
    </row>
    <row r="21" spans="1:28" ht="10.5" customHeight="1">
      <c r="C21" s="2437" t="b">
        <f t="shared" si="9"/>
        <v>1</v>
      </c>
      <c r="D21" s="2437">
        <v>7</v>
      </c>
      <c r="E21" s="1175" t="str">
        <f t="shared" si="2"/>
        <v/>
      </c>
      <c r="F21" s="1176" t="str">
        <f t="shared" si="3"/>
        <v/>
      </c>
      <c r="G21" s="2434" t="str">
        <f>IF(Afterflows!W20="","",Afterflows!W20)</f>
        <v/>
      </c>
      <c r="H21" s="2445" t="str">
        <f>IF(ISNUMBER(G21),IF(ISNUMBER(StackTemp1),StackTemp1,IF(Afterflows!V20="","",Afterflows!V20)),"")</f>
        <v/>
      </c>
      <c r="I21" s="2451" t="str">
        <f t="shared" si="10"/>
        <v/>
      </c>
      <c r="J21" s="2451" t="str">
        <f t="shared" si="18"/>
        <v/>
      </c>
      <c r="K21" s="2451" t="str">
        <f t="shared" si="19"/>
        <v/>
      </c>
      <c r="L21" s="2452" t="str">
        <f t="shared" si="4"/>
        <v/>
      </c>
      <c r="M21" s="2434" t="str">
        <f>IF($G21="","",Afterflows!G20)</f>
        <v/>
      </c>
      <c r="N21" s="2434" t="str">
        <f>IF($G21="","",Afterflows!H20)</f>
        <v/>
      </c>
      <c r="O21" s="2434" t="str">
        <f t="shared" si="11"/>
        <v/>
      </c>
      <c r="P21" s="2475" t="str">
        <f>Velocity(PitotID1,PitotCoeff1,Afterflows!AB20,O21,H21,StackTempAvg1,AbsPress1,MolecularWt)</f>
        <v/>
      </c>
      <c r="Q21" s="2476" t="str">
        <f t="shared" si="15"/>
        <v/>
      </c>
      <c r="R21" s="2477" t="str">
        <f>IF(Flowmeter1="ECS",IF(G21="","",S21*O21),FlowSet(AA$1,Q21,AA$2,AA$3,AA$4,AA$5,I21,J21,BaroPress1,OPF))</f>
        <v/>
      </c>
      <c r="S21" s="2464" t="str">
        <f t="shared" si="16"/>
        <v/>
      </c>
      <c r="T21" s="1177" t="str">
        <f t="shared" si="5"/>
        <v/>
      </c>
      <c r="U21" s="2070" t="str">
        <f t="shared" si="17"/>
        <v/>
      </c>
      <c r="V21" s="1202" t="str">
        <f t="shared" si="6"/>
        <v/>
      </c>
      <c r="W21" s="1202" t="str">
        <f>IF(ISNUMBER(V21),$J$7+SUM(V$15:V21)/Mratio1,"")</f>
        <v/>
      </c>
      <c r="X21" s="1201" t="str">
        <f t="shared" si="12"/>
        <v/>
      </c>
      <c r="Y21" s="1201" t="str">
        <f t="shared" si="13"/>
        <v/>
      </c>
      <c r="Z21" s="1201" t="str">
        <f t="shared" si="14"/>
        <v/>
      </c>
      <c r="AA21" s="1201" t="str">
        <f t="shared" si="7"/>
        <v/>
      </c>
      <c r="AB21" s="1205" t="str">
        <f t="shared" si="8"/>
        <v/>
      </c>
    </row>
    <row r="22" spans="1:28" ht="10.5" customHeight="1">
      <c r="C22" s="2437" t="b">
        <f t="shared" si="9"/>
        <v>1</v>
      </c>
      <c r="D22" s="2437">
        <v>8</v>
      </c>
      <c r="E22" s="1175" t="str">
        <f t="shared" si="2"/>
        <v/>
      </c>
      <c r="F22" s="1176" t="str">
        <f t="shared" si="3"/>
        <v/>
      </c>
      <c r="G22" s="2434" t="str">
        <f>IF(Afterflows!W21="","",Afterflows!W21)</f>
        <v/>
      </c>
      <c r="H22" s="2445" t="str">
        <f>IF(ISNUMBER(G22),IF(ISNUMBER(StackTemp1),StackTemp1,IF(Afterflows!V21="","",Afterflows!V21)),"")</f>
        <v/>
      </c>
      <c r="I22" s="2451" t="str">
        <f t="shared" si="10"/>
        <v/>
      </c>
      <c r="J22" s="2451" t="str">
        <f t="shared" si="18"/>
        <v/>
      </c>
      <c r="K22" s="2451" t="str">
        <f t="shared" si="19"/>
        <v/>
      </c>
      <c r="L22" s="2452" t="str">
        <f t="shared" si="4"/>
        <v/>
      </c>
      <c r="M22" s="2434" t="str">
        <f>IF($G22="","",Afterflows!G21)</f>
        <v/>
      </c>
      <c r="N22" s="2434" t="str">
        <f>IF($G22="","",Afterflows!H21)</f>
        <v/>
      </c>
      <c r="O22" s="2434" t="str">
        <f t="shared" si="11"/>
        <v/>
      </c>
      <c r="P22" s="2475" t="str">
        <f>Velocity(PitotID1,PitotCoeff1,Afterflows!AB21,O22,H22,StackTempAvg1,AbsPress1,MolecularWt)</f>
        <v/>
      </c>
      <c r="Q22" s="2476" t="str">
        <f t="shared" si="15"/>
        <v/>
      </c>
      <c r="R22" s="2477" t="str">
        <f>IF(Flowmeter1="ECS",IF(G22="","",S22*O22),FlowSet(AA$1,Q22,AA$2,AA$3,AA$4,AA$5,I22,J22,BaroPress1,OPF))</f>
        <v/>
      </c>
      <c r="S22" s="2464" t="str">
        <f t="shared" si="16"/>
        <v/>
      </c>
      <c r="T22" s="1177" t="str">
        <f t="shared" si="5"/>
        <v/>
      </c>
      <c r="U22" s="2070" t="str">
        <f t="shared" si="17"/>
        <v/>
      </c>
      <c r="V22" s="1202" t="str">
        <f t="shared" si="6"/>
        <v/>
      </c>
      <c r="W22" s="1202" t="str">
        <f>IF(ISNUMBER(V22),$J$7+SUM(V$15:V22)/Mratio1,"")</f>
        <v/>
      </c>
      <c r="X22" s="1201" t="str">
        <f t="shared" si="12"/>
        <v/>
      </c>
      <c r="Y22" s="1201" t="str">
        <f t="shared" si="13"/>
        <v/>
      </c>
      <c r="Z22" s="1201" t="str">
        <f t="shared" si="14"/>
        <v/>
      </c>
      <c r="AA22" s="1201" t="str">
        <f t="shared" si="7"/>
        <v/>
      </c>
      <c r="AB22" s="1205" t="str">
        <f t="shared" si="8"/>
        <v/>
      </c>
    </row>
    <row r="23" spans="1:28" ht="10.5" customHeight="1">
      <c r="C23" s="2437" t="b">
        <f t="shared" si="9"/>
        <v>1</v>
      </c>
      <c r="D23" s="2437">
        <v>9</v>
      </c>
      <c r="E23" s="1175" t="str">
        <f t="shared" si="2"/>
        <v/>
      </c>
      <c r="F23" s="1176" t="str">
        <f t="shared" si="3"/>
        <v/>
      </c>
      <c r="G23" s="2434" t="str">
        <f>IF(Afterflows!W22="","",Afterflows!W22)</f>
        <v/>
      </c>
      <c r="H23" s="2445" t="str">
        <f>IF(ISNUMBER(G23),IF(ISNUMBER(StackTemp1),StackTemp1,IF(Afterflows!V22="","",Afterflows!V22)),"")</f>
        <v/>
      </c>
      <c r="I23" s="2451" t="str">
        <f t="shared" si="10"/>
        <v/>
      </c>
      <c r="J23" s="2451" t="str">
        <f t="shared" si="18"/>
        <v/>
      </c>
      <c r="K23" s="2451" t="str">
        <f t="shared" si="19"/>
        <v/>
      </c>
      <c r="L23" s="2452" t="str">
        <f t="shared" si="4"/>
        <v/>
      </c>
      <c r="M23" s="2434" t="str">
        <f>IF($G23="","",Afterflows!G22)</f>
        <v/>
      </c>
      <c r="N23" s="2434" t="str">
        <f>IF($G23="","",Afterflows!H22)</f>
        <v/>
      </c>
      <c r="O23" s="2434" t="str">
        <f t="shared" si="11"/>
        <v/>
      </c>
      <c r="P23" s="2475" t="str">
        <f>Velocity(PitotID1,PitotCoeff1,Afterflows!AB22,O23,H23,StackTempAvg1,AbsPress1,MolecularWt)</f>
        <v/>
      </c>
      <c r="Q23" s="2476" t="str">
        <f t="shared" si="15"/>
        <v/>
      </c>
      <c r="R23" s="2477" t="str">
        <f>IF(Flowmeter1="ECS",IF(G23="","",S23*O23),FlowSet(AA$1,Q23,AA$2,AA$3,AA$4,AA$5,I23,J23,BaroPress1,OPF))</f>
        <v/>
      </c>
      <c r="S23" s="2464" t="str">
        <f t="shared" si="16"/>
        <v/>
      </c>
      <c r="T23" s="1177" t="str">
        <f t="shared" si="5"/>
        <v/>
      </c>
      <c r="U23" s="2070" t="str">
        <f t="shared" si="17"/>
        <v/>
      </c>
      <c r="V23" s="1202" t="str">
        <f t="shared" si="6"/>
        <v/>
      </c>
      <c r="W23" s="1202" t="str">
        <f>IF(ISNUMBER(V23),$J$7+SUM(V$15:V23)/Mratio1,"")</f>
        <v/>
      </c>
      <c r="X23" s="1201" t="str">
        <f t="shared" si="12"/>
        <v/>
      </c>
      <c r="Y23" s="1201" t="str">
        <f t="shared" si="13"/>
        <v/>
      </c>
      <c r="Z23" s="1201" t="str">
        <f t="shared" si="14"/>
        <v/>
      </c>
      <c r="AA23" s="1201" t="str">
        <f t="shared" si="7"/>
        <v/>
      </c>
      <c r="AB23" s="1205" t="str">
        <f t="shared" si="8"/>
        <v/>
      </c>
    </row>
    <row r="24" spans="1:28" ht="10.5" customHeight="1">
      <c r="C24" s="2437" t="b">
        <f t="shared" si="9"/>
        <v>1</v>
      </c>
      <c r="D24" s="2437">
        <v>10</v>
      </c>
      <c r="E24" s="1175" t="str">
        <f t="shared" si="2"/>
        <v/>
      </c>
      <c r="F24" s="1176" t="str">
        <f t="shared" si="3"/>
        <v/>
      </c>
      <c r="G24" s="2434" t="str">
        <f>IF(Afterflows!W23="","",Afterflows!W23)</f>
        <v/>
      </c>
      <c r="H24" s="2445" t="str">
        <f>IF(ISNUMBER(G24),IF(ISNUMBER(StackTemp1),StackTemp1,IF(Afterflows!V23="","",Afterflows!V23)),"")</f>
        <v/>
      </c>
      <c r="I24" s="2451" t="str">
        <f t="shared" si="10"/>
        <v/>
      </c>
      <c r="J24" s="2451" t="str">
        <f t="shared" si="18"/>
        <v/>
      </c>
      <c r="K24" s="2451" t="str">
        <f t="shared" si="19"/>
        <v/>
      </c>
      <c r="L24" s="2452" t="str">
        <f t="shared" si="4"/>
        <v/>
      </c>
      <c r="M24" s="2434" t="str">
        <f>IF($G24="","",Afterflows!G23)</f>
        <v/>
      </c>
      <c r="N24" s="2434" t="str">
        <f>IF($G24="","",Afterflows!H23)</f>
        <v/>
      </c>
      <c r="O24" s="2434" t="str">
        <f t="shared" si="11"/>
        <v/>
      </c>
      <c r="P24" s="2475" t="str">
        <f>Velocity(PitotID1,PitotCoeff1,Afterflows!AB23,O24,H24,StackTempAvg1,AbsPress1,MolecularWt)</f>
        <v/>
      </c>
      <c r="Q24" s="2476" t="str">
        <f t="shared" si="15"/>
        <v/>
      </c>
      <c r="R24" s="2477" t="str">
        <f>IF(Flowmeter1="ECS",IF(G24="","",S24*O24),FlowSet(AA$1,Q24,AA$2,AA$3,AA$4,AA$5,I24,J24,BaroPress1,OPF))</f>
        <v/>
      </c>
      <c r="S24" s="2464" t="str">
        <f t="shared" si="16"/>
        <v/>
      </c>
      <c r="T24" s="1177" t="str">
        <f t="shared" si="5"/>
        <v/>
      </c>
      <c r="U24" s="2070" t="str">
        <f t="shared" si="17"/>
        <v/>
      </c>
      <c r="V24" s="1202" t="str">
        <f t="shared" si="6"/>
        <v/>
      </c>
      <c r="W24" s="1202" t="str">
        <f>IF(ISNUMBER(V24),$J$7+SUM(V$15:V24)/Mratio1,"")</f>
        <v/>
      </c>
      <c r="X24" s="1201" t="str">
        <f t="shared" si="12"/>
        <v/>
      </c>
      <c r="Y24" s="1201" t="str">
        <f t="shared" si="13"/>
        <v/>
      </c>
      <c r="Z24" s="1201" t="str">
        <f t="shared" si="14"/>
        <v/>
      </c>
      <c r="AA24" s="1201" t="str">
        <f t="shared" si="7"/>
        <v/>
      </c>
      <c r="AB24" s="1205" t="str">
        <f t="shared" si="8"/>
        <v/>
      </c>
    </row>
    <row r="25" spans="1:28" ht="10.5" customHeight="1">
      <c r="C25" s="2437" t="b">
        <f t="shared" si="9"/>
        <v>1</v>
      </c>
      <c r="D25" s="2437">
        <v>11</v>
      </c>
      <c r="E25" s="1175" t="str">
        <f t="shared" si="2"/>
        <v/>
      </c>
      <c r="F25" s="1176" t="str">
        <f t="shared" si="3"/>
        <v/>
      </c>
      <c r="G25" s="2434" t="str">
        <f>IF(Afterflows!W24="","",Afterflows!W24)</f>
        <v/>
      </c>
      <c r="H25" s="2445" t="str">
        <f>IF(ISNUMBER(G25),IF(ISNUMBER(StackTemp1),StackTemp1,IF(Afterflows!V24="","",Afterflows!V24)),"")</f>
        <v/>
      </c>
      <c r="I25" s="2451" t="str">
        <f t="shared" si="10"/>
        <v/>
      </c>
      <c r="J25" s="2451" t="str">
        <f t="shared" si="18"/>
        <v/>
      </c>
      <c r="K25" s="2451" t="str">
        <f t="shared" si="19"/>
        <v/>
      </c>
      <c r="L25" s="2452" t="str">
        <f t="shared" si="4"/>
        <v/>
      </c>
      <c r="M25" s="2434" t="str">
        <f>IF($G25="","",Afterflows!G24)</f>
        <v/>
      </c>
      <c r="N25" s="2434" t="str">
        <f>IF($G25="","",Afterflows!H24)</f>
        <v/>
      </c>
      <c r="O25" s="2434" t="str">
        <f t="shared" si="11"/>
        <v/>
      </c>
      <c r="P25" s="2475" t="str">
        <f>Velocity(PitotID1,PitotCoeff1,Afterflows!AB24,O25,H25,StackTempAvg1,AbsPress1,MolecularWt)</f>
        <v/>
      </c>
      <c r="Q25" s="2476" t="str">
        <f t="shared" si="15"/>
        <v/>
      </c>
      <c r="R25" s="2477" t="str">
        <f>IF(Flowmeter1="ECS",IF(G25="","",S25*O25),FlowSet(AA$1,Q25,AA$2,AA$3,AA$4,AA$5,I25,J25,BaroPress1,OPF))</f>
        <v/>
      </c>
      <c r="S25" s="2464" t="str">
        <f t="shared" si="16"/>
        <v/>
      </c>
      <c r="T25" s="1177" t="str">
        <f t="shared" si="5"/>
        <v/>
      </c>
      <c r="U25" s="2070" t="str">
        <f t="shared" si="17"/>
        <v/>
      </c>
      <c r="V25" s="1202" t="str">
        <f t="shared" si="6"/>
        <v/>
      </c>
      <c r="W25" s="1202" t="str">
        <f>IF(ISNUMBER(V25),$J$7+SUM(V$15:V25)/Mratio1,"")</f>
        <v/>
      </c>
      <c r="X25" s="1201" t="str">
        <f t="shared" si="12"/>
        <v/>
      </c>
      <c r="Y25" s="1201" t="str">
        <f t="shared" si="13"/>
        <v/>
      </c>
      <c r="Z25" s="1201" t="str">
        <f t="shared" si="14"/>
        <v/>
      </c>
      <c r="AA25" s="1201" t="str">
        <f t="shared" si="7"/>
        <v/>
      </c>
      <c r="AB25" s="1205" t="str">
        <f t="shared" si="8"/>
        <v/>
      </c>
    </row>
    <row r="26" spans="1:28" ht="10.5" customHeight="1">
      <c r="C26" s="2437" t="b">
        <f t="shared" si="9"/>
        <v>1</v>
      </c>
      <c r="D26" s="2437">
        <v>12</v>
      </c>
      <c r="E26" s="1175" t="str">
        <f t="shared" si="2"/>
        <v/>
      </c>
      <c r="F26" s="1176" t="str">
        <f t="shared" si="3"/>
        <v/>
      </c>
      <c r="G26" s="2434" t="str">
        <f>IF(Afterflows!W25="","",Afterflows!W25)</f>
        <v/>
      </c>
      <c r="H26" s="2445" t="str">
        <f>IF(ISNUMBER(G26),IF(ISNUMBER(StackTemp1),StackTemp1,IF(Afterflows!V25="","",Afterflows!V25)),"")</f>
        <v/>
      </c>
      <c r="I26" s="2451" t="str">
        <f t="shared" si="10"/>
        <v/>
      </c>
      <c r="J26" s="2451" t="str">
        <f t="shared" si="18"/>
        <v/>
      </c>
      <c r="K26" s="2451" t="str">
        <f t="shared" si="19"/>
        <v/>
      </c>
      <c r="L26" s="2452" t="str">
        <f t="shared" si="4"/>
        <v/>
      </c>
      <c r="M26" s="2434" t="str">
        <f>IF($G26="","",Afterflows!G25)</f>
        <v/>
      </c>
      <c r="N26" s="2434" t="str">
        <f>IF($G26="","",Afterflows!H25)</f>
        <v/>
      </c>
      <c r="O26" s="2434" t="str">
        <f t="shared" si="11"/>
        <v/>
      </c>
      <c r="P26" s="2475" t="str">
        <f>Velocity(PitotID1,PitotCoeff1,Afterflows!AB25,O26,H26,StackTempAvg1,AbsPress1,MolecularWt)</f>
        <v/>
      </c>
      <c r="Q26" s="2476" t="str">
        <f t="shared" si="15"/>
        <v/>
      </c>
      <c r="R26" s="2477" t="str">
        <f>IF(Flowmeter1="ECS",IF(G26="","",S26*O26),FlowSet(AA$1,Q26,AA$2,AA$3,AA$4,AA$5,I26,J26,BaroPress1,OPF))</f>
        <v/>
      </c>
      <c r="S26" s="2464" t="str">
        <f t="shared" si="16"/>
        <v/>
      </c>
      <c r="T26" s="1177" t="str">
        <f t="shared" si="5"/>
        <v/>
      </c>
      <c r="U26" s="2070" t="str">
        <f t="shared" si="17"/>
        <v/>
      </c>
      <c r="V26" s="1202" t="str">
        <f t="shared" si="6"/>
        <v/>
      </c>
      <c r="W26" s="1202" t="str">
        <f>IF(ISNUMBER(V26),$J$7+SUM(V$15:V26)/Mratio1,"")</f>
        <v/>
      </c>
      <c r="X26" s="1201" t="str">
        <f t="shared" si="12"/>
        <v/>
      </c>
      <c r="Y26" s="1201" t="str">
        <f t="shared" si="13"/>
        <v/>
      </c>
      <c r="Z26" s="1201" t="str">
        <f t="shared" si="14"/>
        <v/>
      </c>
      <c r="AA26" s="1201" t="str">
        <f t="shared" si="7"/>
        <v/>
      </c>
      <c r="AB26" s="1205" t="str">
        <f t="shared" si="8"/>
        <v/>
      </c>
    </row>
    <row r="27" spans="1:28" ht="10.5" customHeight="1">
      <c r="C27" s="2437" t="b">
        <f t="shared" si="9"/>
        <v>1</v>
      </c>
      <c r="D27" s="2437">
        <v>13</v>
      </c>
      <c r="E27" s="1175" t="str">
        <f t="shared" si="2"/>
        <v/>
      </c>
      <c r="F27" s="1176" t="str">
        <f t="shared" si="3"/>
        <v/>
      </c>
      <c r="G27" s="2434" t="str">
        <f>IF(Afterflows!W26="","",Afterflows!W26)</f>
        <v/>
      </c>
      <c r="H27" s="2445" t="str">
        <f>IF(ISNUMBER(G27),IF(ISNUMBER(StackTemp1),StackTemp1,IF(Afterflows!V26="","",Afterflows!V26)),"")</f>
        <v/>
      </c>
      <c r="I27" s="2451" t="str">
        <f t="shared" si="10"/>
        <v/>
      </c>
      <c r="J27" s="2451" t="str">
        <f t="shared" si="18"/>
        <v/>
      </c>
      <c r="K27" s="2451" t="str">
        <f t="shared" si="19"/>
        <v/>
      </c>
      <c r="L27" s="2452" t="str">
        <f t="shared" si="4"/>
        <v/>
      </c>
      <c r="M27" s="2434" t="str">
        <f>IF($G27="","",Afterflows!G26)</f>
        <v/>
      </c>
      <c r="N27" s="2434" t="str">
        <f>IF($G27="","",Afterflows!H26)</f>
        <v/>
      </c>
      <c r="O27" s="2434" t="str">
        <f t="shared" si="11"/>
        <v/>
      </c>
      <c r="P27" s="2475" t="str">
        <f>Velocity(PitotID1,PitotCoeff1,Afterflows!AB26,O27,H27,StackTempAvg1,AbsPress1,MolecularWt)</f>
        <v/>
      </c>
      <c r="Q27" s="2476" t="str">
        <f t="shared" si="15"/>
        <v/>
      </c>
      <c r="R27" s="2477" t="str">
        <f>IF(Flowmeter1="ECS",IF(G27="","",S27*O27),FlowSet(AA$1,Q27,AA$2,AA$3,AA$4,AA$5,I27,J27,BaroPress1,OPF))</f>
        <v/>
      </c>
      <c r="S27" s="2464" t="str">
        <f t="shared" si="16"/>
        <v/>
      </c>
      <c r="T27" s="1177" t="str">
        <f t="shared" si="5"/>
        <v/>
      </c>
      <c r="U27" s="2070" t="str">
        <f t="shared" si="17"/>
        <v/>
      </c>
      <c r="V27" s="1202" t="str">
        <f t="shared" si="6"/>
        <v/>
      </c>
      <c r="W27" s="1202" t="str">
        <f>IF(ISNUMBER(V27),$J$7+SUM(V$15:V27)/Mratio1,"")</f>
        <v/>
      </c>
      <c r="X27" s="1201" t="str">
        <f t="shared" si="12"/>
        <v/>
      </c>
      <c r="Y27" s="1201" t="str">
        <f t="shared" si="13"/>
        <v/>
      </c>
      <c r="Z27" s="1201" t="str">
        <f t="shared" si="14"/>
        <v/>
      </c>
      <c r="AA27" s="1201" t="str">
        <f t="shared" si="7"/>
        <v/>
      </c>
      <c r="AB27" s="1205" t="str">
        <f t="shared" si="8"/>
        <v/>
      </c>
    </row>
    <row r="28" spans="1:28" ht="10.5" customHeight="1">
      <c r="C28" s="2437" t="b">
        <f t="shared" si="9"/>
        <v>1</v>
      </c>
      <c r="D28" s="2437">
        <v>14</v>
      </c>
      <c r="E28" s="1175" t="str">
        <f t="shared" si="2"/>
        <v/>
      </c>
      <c r="F28" s="1176" t="str">
        <f t="shared" si="3"/>
        <v/>
      </c>
      <c r="G28" s="2434" t="str">
        <f>IF(Afterflows!W27="","",Afterflows!W27)</f>
        <v/>
      </c>
      <c r="H28" s="2445" t="str">
        <f>IF(ISNUMBER(G28),IF(ISNUMBER(StackTemp1),StackTemp1,IF(Afterflows!V27="","",Afterflows!V27)),"")</f>
        <v/>
      </c>
      <c r="I28" s="2451" t="str">
        <f t="shared" si="10"/>
        <v/>
      </c>
      <c r="J28" s="2451" t="str">
        <f t="shared" si="18"/>
        <v/>
      </c>
      <c r="K28" s="2451" t="str">
        <f t="shared" si="19"/>
        <v/>
      </c>
      <c r="L28" s="2452" t="str">
        <f t="shared" si="4"/>
        <v/>
      </c>
      <c r="M28" s="2434" t="str">
        <f>IF($G28="","",Afterflows!G27)</f>
        <v/>
      </c>
      <c r="N28" s="2434" t="str">
        <f>IF($G28="","",Afterflows!H27)</f>
        <v/>
      </c>
      <c r="O28" s="2434" t="str">
        <f t="shared" si="11"/>
        <v/>
      </c>
      <c r="P28" s="2475" t="str">
        <f>Velocity(PitotID1,PitotCoeff1,Afterflows!AB27,O28,H28,StackTempAvg1,AbsPress1,MolecularWt)</f>
        <v/>
      </c>
      <c r="Q28" s="2476" t="str">
        <f t="shared" si="15"/>
        <v/>
      </c>
      <c r="R28" s="2477" t="str">
        <f>IF(Flowmeter1="ECS",IF(G28="","",S28*O28),FlowSet(AA$1,Q28,AA$2,AA$3,AA$4,AA$5,I28,J28,BaroPress1,OPF))</f>
        <v/>
      </c>
      <c r="S28" s="2464" t="str">
        <f t="shared" si="16"/>
        <v/>
      </c>
      <c r="T28" s="1177" t="str">
        <f t="shared" si="5"/>
        <v/>
      </c>
      <c r="U28" s="2070" t="str">
        <f t="shared" si="17"/>
        <v/>
      </c>
      <c r="V28" s="1202" t="str">
        <f t="shared" si="6"/>
        <v/>
      </c>
      <c r="W28" s="1202" t="str">
        <f>IF(ISNUMBER(V28),$J$7+SUM(V$15:V28)/Mratio1,"")</f>
        <v/>
      </c>
      <c r="X28" s="1201" t="str">
        <f t="shared" si="12"/>
        <v/>
      </c>
      <c r="Y28" s="1201" t="str">
        <f t="shared" si="13"/>
        <v/>
      </c>
      <c r="Z28" s="1201" t="str">
        <f t="shared" si="14"/>
        <v/>
      </c>
      <c r="AA28" s="1201" t="str">
        <f t="shared" si="7"/>
        <v/>
      </c>
      <c r="AB28" s="1205" t="str">
        <f t="shared" si="8"/>
        <v/>
      </c>
    </row>
    <row r="29" spans="1:28" ht="10.5" customHeight="1">
      <c r="C29" s="2437" t="b">
        <f t="shared" si="9"/>
        <v>1</v>
      </c>
      <c r="D29" s="2437">
        <v>15</v>
      </c>
      <c r="E29" s="1175" t="str">
        <f t="shared" si="2"/>
        <v/>
      </c>
      <c r="F29" s="1176" t="str">
        <f t="shared" si="3"/>
        <v/>
      </c>
      <c r="G29" s="2434" t="str">
        <f>IF(Afterflows!W28="","",Afterflows!W28)</f>
        <v/>
      </c>
      <c r="H29" s="2445" t="str">
        <f>IF(ISNUMBER(G29),IF(ISNUMBER(StackTemp1),StackTemp1,IF(Afterflows!V28="","",Afterflows!V28)),"")</f>
        <v/>
      </c>
      <c r="I29" s="2451" t="str">
        <f t="shared" si="10"/>
        <v/>
      </c>
      <c r="J29" s="2451" t="str">
        <f t="shared" si="18"/>
        <v/>
      </c>
      <c r="K29" s="2451" t="str">
        <f t="shared" si="19"/>
        <v/>
      </c>
      <c r="L29" s="2452" t="str">
        <f t="shared" si="4"/>
        <v/>
      </c>
      <c r="M29" s="2434" t="str">
        <f>IF($G29="","",Afterflows!G28)</f>
        <v/>
      </c>
      <c r="N29" s="2434" t="str">
        <f>IF($G29="","",Afterflows!H28)</f>
        <v/>
      </c>
      <c r="O29" s="2434" t="str">
        <f t="shared" si="11"/>
        <v/>
      </c>
      <c r="P29" s="2475" t="str">
        <f>Velocity(PitotID1,PitotCoeff1,Afterflows!AB28,O29,H29,StackTempAvg1,AbsPress1,MolecularWt)</f>
        <v/>
      </c>
      <c r="Q29" s="2476" t="str">
        <f t="shared" si="15"/>
        <v/>
      </c>
      <c r="R29" s="2477" t="str">
        <f>IF(Flowmeter1="ECS",IF(G29="","",S29*O29),FlowSet(AA$1,Q29,AA$2,AA$3,AA$4,AA$5,I29,J29,BaroPress1,OPF))</f>
        <v/>
      </c>
      <c r="S29" s="2464" t="str">
        <f t="shared" si="16"/>
        <v/>
      </c>
      <c r="T29" s="1177" t="str">
        <f t="shared" si="5"/>
        <v/>
      </c>
      <c r="U29" s="2070" t="str">
        <f t="shared" si="17"/>
        <v/>
      </c>
      <c r="V29" s="1202" t="str">
        <f t="shared" si="6"/>
        <v/>
      </c>
      <c r="W29" s="1202" t="str">
        <f>IF(ISNUMBER(V29),$J$7+SUM(V$15:V29)/Mratio1,"")</f>
        <v/>
      </c>
      <c r="X29" s="1201" t="str">
        <f t="shared" si="12"/>
        <v/>
      </c>
      <c r="Y29" s="1201" t="str">
        <f t="shared" si="13"/>
        <v/>
      </c>
      <c r="Z29" s="1201" t="str">
        <f t="shared" si="14"/>
        <v/>
      </c>
      <c r="AA29" s="1201" t="str">
        <f t="shared" si="7"/>
        <v/>
      </c>
      <c r="AB29" s="1205" t="str">
        <f t="shared" si="8"/>
        <v/>
      </c>
    </row>
    <row r="30" spans="1:28" ht="10.5" customHeight="1">
      <c r="C30" s="2437" t="b">
        <f t="shared" si="9"/>
        <v>1</v>
      </c>
      <c r="D30" s="2437">
        <v>16</v>
      </c>
      <c r="E30" s="1175" t="str">
        <f t="shared" si="2"/>
        <v/>
      </c>
      <c r="F30" s="1176" t="str">
        <f t="shared" si="3"/>
        <v/>
      </c>
      <c r="G30" s="2434" t="str">
        <f>IF(Afterflows!W29="","",Afterflows!W29)</f>
        <v/>
      </c>
      <c r="H30" s="2445" t="str">
        <f>IF(ISNUMBER(G30),IF(ISNUMBER(StackTemp1),StackTemp1,IF(Afterflows!V29="","",Afterflows!V29)),"")</f>
        <v/>
      </c>
      <c r="I30" s="2451" t="str">
        <f t="shared" si="10"/>
        <v/>
      </c>
      <c r="J30" s="2451" t="str">
        <f t="shared" si="18"/>
        <v/>
      </c>
      <c r="K30" s="2451" t="str">
        <f t="shared" si="19"/>
        <v/>
      </c>
      <c r="L30" s="2452" t="str">
        <f t="shared" si="4"/>
        <v/>
      </c>
      <c r="M30" s="2434" t="str">
        <f>IF($G30="","",Afterflows!G29)</f>
        <v/>
      </c>
      <c r="N30" s="2434" t="str">
        <f>IF($G30="","",Afterflows!H29)</f>
        <v/>
      </c>
      <c r="O30" s="2434" t="str">
        <f t="shared" si="11"/>
        <v/>
      </c>
      <c r="P30" s="2475" t="str">
        <f>Velocity(PitotID1,PitotCoeff1,Afterflows!AB29,O30,H30,StackTempAvg1,AbsPress1,MolecularWt)</f>
        <v/>
      </c>
      <c r="Q30" s="2476" t="str">
        <f t="shared" si="15"/>
        <v/>
      </c>
      <c r="R30" s="2477" t="str">
        <f>IF(Flowmeter1="ECS",IF(G30="","",S30*O30),FlowSet(AA$1,Q30,AA$2,AA$3,AA$4,AA$5,I30,J30,BaroPress1,OPF))</f>
        <v/>
      </c>
      <c r="S30" s="2464" t="str">
        <f t="shared" si="16"/>
        <v/>
      </c>
      <c r="T30" s="1177" t="str">
        <f t="shared" si="5"/>
        <v/>
      </c>
      <c r="U30" s="2070" t="str">
        <f t="shared" si="17"/>
        <v/>
      </c>
      <c r="V30" s="1202" t="str">
        <f t="shared" si="6"/>
        <v/>
      </c>
      <c r="W30" s="1202" t="str">
        <f>IF(ISNUMBER(V30),$J$7+SUM(V$15:V30)/Mratio1,"")</f>
        <v/>
      </c>
      <c r="X30" s="1201" t="str">
        <f t="shared" si="12"/>
        <v/>
      </c>
      <c r="Y30" s="1201" t="str">
        <f t="shared" si="13"/>
        <v/>
      </c>
      <c r="Z30" s="1201" t="str">
        <f t="shared" si="14"/>
        <v/>
      </c>
      <c r="AA30" s="1201" t="str">
        <f t="shared" si="7"/>
        <v/>
      </c>
      <c r="AB30" s="1205" t="str">
        <f t="shared" si="8"/>
        <v/>
      </c>
    </row>
    <row r="31" spans="1:28" ht="10.5" customHeight="1">
      <c r="C31" s="2437" t="b">
        <f>IF(AND(ISNUMBER(F31),ISNUMBER(G31)),TRUE,IF(OR(ISNUMBER(F31),ISNUMBER(G31)),"",TRUE))</f>
        <v>1</v>
      </c>
      <c r="D31" s="2437">
        <v>17</v>
      </c>
      <c r="E31" s="1175" t="str">
        <f t="shared" si="2"/>
        <v/>
      </c>
      <c r="F31" s="1176" t="str">
        <f t="shared" si="3"/>
        <v/>
      </c>
      <c r="G31" s="2434" t="str">
        <f>IF(Afterflows!W30="","",Afterflows!W30)</f>
        <v/>
      </c>
      <c r="H31" s="2445" t="str">
        <f>IF(ISNUMBER(G31),IF(ISNUMBER(StackTemp1),StackTemp1,IF(Afterflows!V30="","",Afterflows!V30)),"")</f>
        <v/>
      </c>
      <c r="I31" s="2451" t="str">
        <f t="shared" si="10"/>
        <v/>
      </c>
      <c r="J31" s="2451" t="str">
        <f t="shared" ref="J31:J73" si="20">IF(ISNUMBER(G31),IF(ISNUMBER(MeterPress1),MeterPress1,""),"")</f>
        <v/>
      </c>
      <c r="K31" s="2451" t="str">
        <f t="shared" ref="K31:K73" si="21">IF(ISNUMBER(P31),IF(ISNUMBER(NozzleSelect1),NozzleSelect1,""),"")</f>
        <v/>
      </c>
      <c r="L31" s="2452" t="str">
        <f t="shared" si="4"/>
        <v/>
      </c>
      <c r="M31" s="2434" t="str">
        <f>IF($G31="","",Afterflows!G30)</f>
        <v/>
      </c>
      <c r="N31" s="2434" t="str">
        <f>IF($G31="","",Afterflows!H30)</f>
        <v/>
      </c>
      <c r="O31" s="2434" t="str">
        <f t="shared" si="11"/>
        <v/>
      </c>
      <c r="P31" s="2475" t="str">
        <f>Velocity(PitotID1,PitotCoeff1,Afterflows!AB30,O31,H31,StackTempAvg1,AbsPress1,MolecularWt)</f>
        <v/>
      </c>
      <c r="Q31" s="2476" t="str">
        <f t="shared" si="15"/>
        <v/>
      </c>
      <c r="R31" s="2477" t="str">
        <f>IF(Flowmeter1="ECS",IF(G31="","",S31*O31),FlowSet(AA$1,Q31,AA$2,AA$3,AA$4,AA$5,I31,J31,BaroPress1,OPF))</f>
        <v/>
      </c>
      <c r="S31" s="2464" t="str">
        <f t="shared" si="16"/>
        <v/>
      </c>
      <c r="T31" s="1177" t="str">
        <f t="shared" si="5"/>
        <v/>
      </c>
      <c r="U31" s="2070" t="str">
        <f t="shared" si="17"/>
        <v/>
      </c>
      <c r="V31" s="1202" t="str">
        <f t="shared" si="6"/>
        <v/>
      </c>
      <c r="W31" s="1202" t="str">
        <f>IF(ISNUMBER(V31),$J$7+SUM(V$15:V31)/Mratio1,"")</f>
        <v/>
      </c>
      <c r="X31" s="1201" t="str">
        <f t="shared" si="12"/>
        <v/>
      </c>
      <c r="Y31" s="1201" t="str">
        <f t="shared" si="13"/>
        <v/>
      </c>
      <c r="Z31" s="1201" t="str">
        <f t="shared" si="14"/>
        <v/>
      </c>
      <c r="AA31" s="1201" t="str">
        <f t="shared" si="7"/>
        <v/>
      </c>
      <c r="AB31" s="1205" t="str">
        <f t="shared" si="8"/>
        <v/>
      </c>
    </row>
    <row r="32" spans="1:28" ht="10.5" customHeight="1">
      <c r="C32" s="2437" t="b">
        <f t="shared" ref="C32:C74" si="22">IF(AND(ISNUMBER(F32),ISNUMBER(G32)),TRUE,IF(OR(ISNUMBER(F32),ISNUMBER(G32)),"",TRUE))</f>
        <v>1</v>
      </c>
      <c r="D32" s="2437">
        <v>18</v>
      </c>
      <c r="E32" s="1175" t="str">
        <f t="shared" si="2"/>
        <v/>
      </c>
      <c r="F32" s="1176" t="str">
        <f t="shared" si="3"/>
        <v/>
      </c>
      <c r="G32" s="2434" t="str">
        <f>IF(Afterflows!W31="","",Afterflows!W31)</f>
        <v/>
      </c>
      <c r="H32" s="2445" t="str">
        <f>IF(ISNUMBER(G32),IF(ISNUMBER(StackTemp1),StackTemp1,IF(Afterflows!V31="","",Afterflows!V31)),"")</f>
        <v/>
      </c>
      <c r="I32" s="2451" t="str">
        <f t="shared" si="10"/>
        <v/>
      </c>
      <c r="J32" s="2451" t="str">
        <f t="shared" si="20"/>
        <v/>
      </c>
      <c r="K32" s="2451" t="str">
        <f t="shared" si="21"/>
        <v/>
      </c>
      <c r="L32" s="2452" t="str">
        <f t="shared" si="4"/>
        <v/>
      </c>
      <c r="M32" s="2434" t="str">
        <f>IF($G32="","",Afterflows!G31)</f>
        <v/>
      </c>
      <c r="N32" s="2434" t="str">
        <f>IF($G32="","",Afterflows!H31)</f>
        <v/>
      </c>
      <c r="O32" s="2434" t="str">
        <f t="shared" si="11"/>
        <v/>
      </c>
      <c r="P32" s="2475" t="str">
        <f>Velocity(PitotID1,PitotCoeff1,Afterflows!AB31,O32,H32,StackTempAvg1,AbsPress1,MolecularWt)</f>
        <v/>
      </c>
      <c r="Q32" s="2476" t="str">
        <f t="shared" si="15"/>
        <v/>
      </c>
      <c r="R32" s="2477" t="str">
        <f>IF(Flowmeter1="ECS",IF(G32="","",S32*O32),FlowSet(AA$1,Q32,AA$2,AA$3,AA$4,AA$5,I32,J32,BaroPress1,OPF))</f>
        <v/>
      </c>
      <c r="S32" s="2464" t="str">
        <f t="shared" si="16"/>
        <v/>
      </c>
      <c r="T32" s="1177" t="str">
        <f t="shared" si="5"/>
        <v/>
      </c>
      <c r="U32" s="2070" t="str">
        <f t="shared" si="17"/>
        <v/>
      </c>
      <c r="V32" s="1202" t="str">
        <f t="shared" si="6"/>
        <v/>
      </c>
      <c r="W32" s="1202" t="str">
        <f>IF(ISNUMBER(V32),$J$7+SUM(V$15:V32)/Mratio1,"")</f>
        <v/>
      </c>
      <c r="X32" s="1201" t="str">
        <f t="shared" si="12"/>
        <v/>
      </c>
      <c r="Y32" s="1201" t="str">
        <f t="shared" si="13"/>
        <v/>
      </c>
      <c r="Z32" s="1201" t="str">
        <f t="shared" si="14"/>
        <v/>
      </c>
      <c r="AA32" s="1201" t="str">
        <f t="shared" si="7"/>
        <v/>
      </c>
      <c r="AB32" s="1205" t="str">
        <f t="shared" si="8"/>
        <v/>
      </c>
    </row>
    <row r="33" spans="3:28" ht="10.5" customHeight="1">
      <c r="C33" s="2437" t="b">
        <f t="shared" si="22"/>
        <v>1</v>
      </c>
      <c r="D33" s="2437">
        <v>19</v>
      </c>
      <c r="E33" s="1175" t="str">
        <f t="shared" si="2"/>
        <v/>
      </c>
      <c r="F33" s="1176" t="str">
        <f t="shared" si="3"/>
        <v/>
      </c>
      <c r="G33" s="2434" t="str">
        <f>IF(Afterflows!W32="","",Afterflows!W32)</f>
        <v/>
      </c>
      <c r="H33" s="2445" t="str">
        <f>IF(ISNUMBER(G33),IF(ISNUMBER(StackTemp1),StackTemp1,IF(Afterflows!V32="","",Afterflows!V32)),"")</f>
        <v/>
      </c>
      <c r="I33" s="2451" t="str">
        <f t="shared" si="10"/>
        <v/>
      </c>
      <c r="J33" s="2451" t="str">
        <f t="shared" si="20"/>
        <v/>
      </c>
      <c r="K33" s="2451" t="str">
        <f t="shared" si="21"/>
        <v/>
      </c>
      <c r="L33" s="2452" t="str">
        <f t="shared" si="4"/>
        <v/>
      </c>
      <c r="M33" s="2434" t="str">
        <f>IF($G33="","",Afterflows!G32)</f>
        <v/>
      </c>
      <c r="N33" s="2434" t="str">
        <f>IF($G33="","",Afterflows!H32)</f>
        <v/>
      </c>
      <c r="O33" s="2434" t="str">
        <f t="shared" si="11"/>
        <v/>
      </c>
      <c r="P33" s="2475" t="str">
        <f>Velocity(PitotID1,PitotCoeff1,Afterflows!AB32,O33,H33,StackTempAvg1,AbsPress1,MolecularWt)</f>
        <v/>
      </c>
      <c r="Q33" s="2476" t="str">
        <f t="shared" si="15"/>
        <v/>
      </c>
      <c r="R33" s="2477" t="str">
        <f>IF(Flowmeter1="ECS",IF(G33="","",S33*O33),FlowSet(AA$1,Q33,AA$2,AA$3,AA$4,AA$5,I33,J33,BaroPress1,OPF))</f>
        <v/>
      </c>
      <c r="S33" s="2464" t="str">
        <f t="shared" si="16"/>
        <v/>
      </c>
      <c r="T33" s="1177" t="str">
        <f t="shared" si="5"/>
        <v/>
      </c>
      <c r="U33" s="2070" t="str">
        <f t="shared" si="17"/>
        <v/>
      </c>
      <c r="V33" s="1202" t="str">
        <f t="shared" si="6"/>
        <v/>
      </c>
      <c r="W33" s="1202" t="str">
        <f>IF(ISNUMBER(V33),$J$7+SUM(V$15:V33)/Mratio1,"")</f>
        <v/>
      </c>
      <c r="X33" s="1201" t="str">
        <f t="shared" si="12"/>
        <v/>
      </c>
      <c r="Y33" s="1201" t="str">
        <f t="shared" si="13"/>
        <v/>
      </c>
      <c r="Z33" s="1201" t="str">
        <f t="shared" si="14"/>
        <v/>
      </c>
      <c r="AA33" s="1201" t="str">
        <f t="shared" si="7"/>
        <v/>
      </c>
      <c r="AB33" s="1205" t="str">
        <f t="shared" si="8"/>
        <v/>
      </c>
    </row>
    <row r="34" spans="3:28" ht="10.5" customHeight="1">
      <c r="C34" s="2437" t="b">
        <f t="shared" si="22"/>
        <v>1</v>
      </c>
      <c r="D34" s="2437">
        <v>20</v>
      </c>
      <c r="E34" s="1175" t="str">
        <f t="shared" si="2"/>
        <v/>
      </c>
      <c r="F34" s="1176" t="str">
        <f t="shared" si="3"/>
        <v/>
      </c>
      <c r="G34" s="2434" t="str">
        <f>IF(Afterflows!W33="","",Afterflows!W33)</f>
        <v/>
      </c>
      <c r="H34" s="2445" t="str">
        <f>IF(ISNUMBER(G34),IF(ISNUMBER(StackTemp1),StackTemp1,IF(Afterflows!V33="","",Afterflows!V33)),"")</f>
        <v/>
      </c>
      <c r="I34" s="2451" t="str">
        <f t="shared" si="10"/>
        <v/>
      </c>
      <c r="J34" s="2451" t="str">
        <f t="shared" si="20"/>
        <v/>
      </c>
      <c r="K34" s="2451" t="str">
        <f t="shared" si="21"/>
        <v/>
      </c>
      <c r="L34" s="2452" t="str">
        <f t="shared" si="4"/>
        <v/>
      </c>
      <c r="M34" s="2434" t="str">
        <f>IF($G34="","",Afterflows!G33)</f>
        <v/>
      </c>
      <c r="N34" s="2434" t="str">
        <f>IF($G34="","",Afterflows!H33)</f>
        <v/>
      </c>
      <c r="O34" s="2434" t="str">
        <f t="shared" si="11"/>
        <v/>
      </c>
      <c r="P34" s="2475" t="str">
        <f>Velocity(PitotID1,PitotCoeff1,Afterflows!AB33,O34,H34,StackTempAvg1,AbsPress1,MolecularWt)</f>
        <v/>
      </c>
      <c r="Q34" s="2476" t="str">
        <f t="shared" si="15"/>
        <v/>
      </c>
      <c r="R34" s="2477" t="str">
        <f>IF(Flowmeter1="ECS",IF(G34="","",S34*O34),FlowSet(AA$1,Q34,AA$2,AA$3,AA$4,AA$5,I34,J34,BaroPress1,OPF))</f>
        <v/>
      </c>
      <c r="S34" s="2464" t="str">
        <f t="shared" si="16"/>
        <v/>
      </c>
      <c r="T34" s="1177" t="str">
        <f t="shared" si="5"/>
        <v/>
      </c>
      <c r="U34" s="2070" t="str">
        <f t="shared" si="17"/>
        <v/>
      </c>
      <c r="V34" s="1202" t="str">
        <f t="shared" si="6"/>
        <v/>
      </c>
      <c r="W34" s="1202" t="str">
        <f>IF(ISNUMBER(V34),$J$7+SUM(V$15:V34)/Mratio1,"")</f>
        <v/>
      </c>
      <c r="X34" s="1201" t="str">
        <f t="shared" si="12"/>
        <v/>
      </c>
      <c r="Y34" s="1201" t="str">
        <f t="shared" si="13"/>
        <v/>
      </c>
      <c r="Z34" s="1201" t="str">
        <f t="shared" si="14"/>
        <v/>
      </c>
      <c r="AA34" s="1201" t="str">
        <f t="shared" si="7"/>
        <v/>
      </c>
      <c r="AB34" s="1205" t="str">
        <f t="shared" si="8"/>
        <v/>
      </c>
    </row>
    <row r="35" spans="3:28" ht="10.5" customHeight="1">
      <c r="C35" s="2437" t="b">
        <f t="shared" si="22"/>
        <v>1</v>
      </c>
      <c r="D35" s="2437">
        <v>21</v>
      </c>
      <c r="E35" s="1175" t="str">
        <f t="shared" si="2"/>
        <v/>
      </c>
      <c r="F35" s="1176" t="str">
        <f t="shared" si="3"/>
        <v/>
      </c>
      <c r="G35" s="2434" t="str">
        <f>IF(Afterflows!W34="","",Afterflows!W34)</f>
        <v/>
      </c>
      <c r="H35" s="2445" t="str">
        <f>IF(ISNUMBER(G35),IF(ISNUMBER(StackTemp1),StackTemp1,IF(Afterflows!V34="","",Afterflows!V34)),"")</f>
        <v/>
      </c>
      <c r="I35" s="2451" t="str">
        <f t="shared" si="10"/>
        <v/>
      </c>
      <c r="J35" s="2451" t="str">
        <f t="shared" si="20"/>
        <v/>
      </c>
      <c r="K35" s="2451" t="str">
        <f t="shared" si="21"/>
        <v/>
      </c>
      <c r="L35" s="2452" t="str">
        <f t="shared" si="4"/>
        <v/>
      </c>
      <c r="M35" s="2434" t="str">
        <f>IF($G35="","",Afterflows!G34)</f>
        <v/>
      </c>
      <c r="N35" s="2434" t="str">
        <f>IF($G35="","",Afterflows!H34)</f>
        <v/>
      </c>
      <c r="O35" s="2434" t="str">
        <f t="shared" si="11"/>
        <v/>
      </c>
      <c r="P35" s="2475" t="str">
        <f>Velocity(PitotID1,PitotCoeff1,Afterflows!AB34,O35,H35,StackTempAvg1,AbsPress1,MolecularWt)</f>
        <v/>
      </c>
      <c r="Q35" s="2476" t="str">
        <f t="shared" si="15"/>
        <v/>
      </c>
      <c r="R35" s="2477" t="str">
        <f>IF(Flowmeter1="ECS",IF(G35="","",S35*O35),FlowSet(AA$1,Q35,AA$2,AA$3,AA$4,AA$5,I35,J35,BaroPress1,OPF))</f>
        <v/>
      </c>
      <c r="S35" s="2464" t="str">
        <f t="shared" si="16"/>
        <v/>
      </c>
      <c r="T35" s="1177" t="str">
        <f t="shared" si="5"/>
        <v/>
      </c>
      <c r="U35" s="2070" t="str">
        <f t="shared" si="17"/>
        <v/>
      </c>
      <c r="V35" s="1202" t="str">
        <f t="shared" si="6"/>
        <v/>
      </c>
      <c r="W35" s="1202" t="str">
        <f>IF(ISNUMBER(V35),$J$7+SUM(V$15:V35)/Mratio1,"")</f>
        <v/>
      </c>
      <c r="X35" s="1201" t="str">
        <f t="shared" si="12"/>
        <v/>
      </c>
      <c r="Y35" s="1201" t="str">
        <f t="shared" si="13"/>
        <v/>
      </c>
      <c r="Z35" s="1201" t="str">
        <f t="shared" si="14"/>
        <v/>
      </c>
      <c r="AA35" s="1201" t="str">
        <f t="shared" si="7"/>
        <v/>
      </c>
      <c r="AB35" s="1205" t="str">
        <f t="shared" si="8"/>
        <v/>
      </c>
    </row>
    <row r="36" spans="3:28" ht="10.5" customHeight="1">
      <c r="C36" s="2437" t="b">
        <f t="shared" si="22"/>
        <v>1</v>
      </c>
      <c r="D36" s="2437">
        <v>22</v>
      </c>
      <c r="E36" s="1175" t="str">
        <f t="shared" si="2"/>
        <v/>
      </c>
      <c r="F36" s="1176" t="str">
        <f t="shared" si="3"/>
        <v/>
      </c>
      <c r="G36" s="2434" t="str">
        <f>IF(Afterflows!W35="","",Afterflows!W35)</f>
        <v/>
      </c>
      <c r="H36" s="2445" t="str">
        <f>IF(ISNUMBER(G36),IF(ISNUMBER(StackTemp1),StackTemp1,IF(Afterflows!V35="","",Afterflows!V35)),"")</f>
        <v/>
      </c>
      <c r="I36" s="2451" t="str">
        <f t="shared" si="10"/>
        <v/>
      </c>
      <c r="J36" s="2451" t="str">
        <f t="shared" si="20"/>
        <v/>
      </c>
      <c r="K36" s="2451" t="str">
        <f t="shared" si="21"/>
        <v/>
      </c>
      <c r="L36" s="2452" t="str">
        <f t="shared" si="4"/>
        <v/>
      </c>
      <c r="M36" s="2434" t="str">
        <f>IF($G36="","",Afterflows!G35)</f>
        <v/>
      </c>
      <c r="N36" s="2434" t="str">
        <f>IF($G36="","",Afterflows!H35)</f>
        <v/>
      </c>
      <c r="O36" s="2434" t="str">
        <f t="shared" si="11"/>
        <v/>
      </c>
      <c r="P36" s="2475" t="str">
        <f>Velocity(PitotID1,PitotCoeff1,Afterflows!AB35,O36,H36,StackTempAvg1,AbsPress1,MolecularWt)</f>
        <v/>
      </c>
      <c r="Q36" s="2476" t="str">
        <f t="shared" si="15"/>
        <v/>
      </c>
      <c r="R36" s="2477" t="str">
        <f>IF(Flowmeter1="ECS",IF(G36="","",S36*O36),FlowSet(AA$1,Q36,AA$2,AA$3,AA$4,AA$5,I36,J36,BaroPress1,OPF))</f>
        <v/>
      </c>
      <c r="S36" s="2464" t="str">
        <f t="shared" si="16"/>
        <v/>
      </c>
      <c r="T36" s="1177" t="str">
        <f t="shared" si="5"/>
        <v/>
      </c>
      <c r="U36" s="2070" t="str">
        <f t="shared" si="17"/>
        <v/>
      </c>
      <c r="V36" s="1202" t="str">
        <f t="shared" si="6"/>
        <v/>
      </c>
      <c r="W36" s="1202" t="str">
        <f>IF(ISNUMBER(V36),$J$7+SUM(V$15:V36)/Mratio1,"")</f>
        <v/>
      </c>
      <c r="X36" s="1201" t="str">
        <f t="shared" si="12"/>
        <v/>
      </c>
      <c r="Y36" s="1201" t="str">
        <f t="shared" si="13"/>
        <v/>
      </c>
      <c r="Z36" s="1201" t="str">
        <f t="shared" si="14"/>
        <v/>
      </c>
      <c r="AA36" s="1201" t="str">
        <f t="shared" si="7"/>
        <v/>
      </c>
      <c r="AB36" s="1205" t="str">
        <f t="shared" si="8"/>
        <v/>
      </c>
    </row>
    <row r="37" spans="3:28" ht="10.5" customHeight="1">
      <c r="C37" s="2437" t="b">
        <f t="shared" si="22"/>
        <v>1</v>
      </c>
      <c r="D37" s="2437">
        <v>23</v>
      </c>
      <c r="E37" s="1175" t="str">
        <f t="shared" si="2"/>
        <v/>
      </c>
      <c r="F37" s="1176" t="str">
        <f t="shared" si="3"/>
        <v/>
      </c>
      <c r="G37" s="2434" t="str">
        <f>IF(Afterflows!W36="","",Afterflows!W36)</f>
        <v/>
      </c>
      <c r="H37" s="2445" t="str">
        <f>IF(ISNUMBER(G37),IF(ISNUMBER(StackTemp1),StackTemp1,IF(Afterflows!V36="","",Afterflows!V36)),"")</f>
        <v/>
      </c>
      <c r="I37" s="2451" t="str">
        <f t="shared" si="10"/>
        <v/>
      </c>
      <c r="J37" s="2451" t="str">
        <f t="shared" si="20"/>
        <v/>
      </c>
      <c r="K37" s="2451" t="str">
        <f t="shared" si="21"/>
        <v/>
      </c>
      <c r="L37" s="2452" t="str">
        <f t="shared" si="4"/>
        <v/>
      </c>
      <c r="M37" s="2434" t="str">
        <f>IF($G37="","",Afterflows!G36)</f>
        <v/>
      </c>
      <c r="N37" s="2434" t="str">
        <f>IF($G37="","",Afterflows!H36)</f>
        <v/>
      </c>
      <c r="O37" s="2434" t="str">
        <f t="shared" si="11"/>
        <v/>
      </c>
      <c r="P37" s="2475" t="str">
        <f>Velocity(PitotID1,PitotCoeff1,Afterflows!AB36,O37,H37,StackTempAvg1,AbsPress1,MolecularWt)</f>
        <v/>
      </c>
      <c r="Q37" s="2476" t="str">
        <f t="shared" si="15"/>
        <v/>
      </c>
      <c r="R37" s="2477" t="str">
        <f>IF(Flowmeter1="ECS",IF(G37="","",S37*O37),FlowSet(AA$1,Q37,AA$2,AA$3,AA$4,AA$5,I37,J37,BaroPress1,OPF))</f>
        <v/>
      </c>
      <c r="S37" s="2464" t="str">
        <f t="shared" si="16"/>
        <v/>
      </c>
      <c r="T37" s="1177" t="str">
        <f t="shared" si="5"/>
        <v/>
      </c>
      <c r="U37" s="2070" t="str">
        <f t="shared" si="17"/>
        <v/>
      </c>
      <c r="V37" s="1202" t="str">
        <f t="shared" si="6"/>
        <v/>
      </c>
      <c r="W37" s="1202" t="str">
        <f>IF(ISNUMBER(V37),$J$7+SUM(V$15:V37)/Mratio1,"")</f>
        <v/>
      </c>
      <c r="X37" s="1201" t="str">
        <f t="shared" si="12"/>
        <v/>
      </c>
      <c r="Y37" s="1201" t="str">
        <f t="shared" si="13"/>
        <v/>
      </c>
      <c r="Z37" s="1201" t="str">
        <f t="shared" si="14"/>
        <v/>
      </c>
      <c r="AA37" s="1201" t="str">
        <f t="shared" si="7"/>
        <v/>
      </c>
      <c r="AB37" s="1205" t="str">
        <f t="shared" si="8"/>
        <v/>
      </c>
    </row>
    <row r="38" spans="3:28" ht="10.5" customHeight="1">
      <c r="C38" s="2437" t="b">
        <f t="shared" si="22"/>
        <v>1</v>
      </c>
      <c r="D38" s="2437">
        <v>24</v>
      </c>
      <c r="E38" s="1175" t="str">
        <f t="shared" si="2"/>
        <v/>
      </c>
      <c r="F38" s="1176" t="str">
        <f t="shared" si="3"/>
        <v/>
      </c>
      <c r="G38" s="2434" t="str">
        <f>IF(Afterflows!W37="","",Afterflows!W37)</f>
        <v/>
      </c>
      <c r="H38" s="2445" t="str">
        <f>IF(ISNUMBER(G38),IF(ISNUMBER(StackTemp1),StackTemp1,IF(Afterflows!V37="","",Afterflows!V37)),"")</f>
        <v/>
      </c>
      <c r="I38" s="2451" t="str">
        <f t="shared" si="10"/>
        <v/>
      </c>
      <c r="J38" s="2451" t="str">
        <f t="shared" si="20"/>
        <v/>
      </c>
      <c r="K38" s="2451" t="str">
        <f t="shared" si="21"/>
        <v/>
      </c>
      <c r="L38" s="2452" t="str">
        <f t="shared" si="4"/>
        <v/>
      </c>
      <c r="M38" s="2434" t="str">
        <f>IF($G38="","",Afterflows!G37)</f>
        <v/>
      </c>
      <c r="N38" s="2434" t="str">
        <f>IF($G38="","",Afterflows!H37)</f>
        <v/>
      </c>
      <c r="O38" s="2434" t="str">
        <f t="shared" si="11"/>
        <v/>
      </c>
      <c r="P38" s="2475" t="str">
        <f>Velocity(PitotID1,PitotCoeff1,Afterflows!AB37,O38,H38,StackTempAvg1,AbsPress1,MolecularWt)</f>
        <v/>
      </c>
      <c r="Q38" s="2476" t="str">
        <f t="shared" si="15"/>
        <v/>
      </c>
      <c r="R38" s="2477" t="str">
        <f>IF(Flowmeter1="ECS",IF(G38="","",S38*O38),FlowSet(AA$1,Q38,AA$2,AA$3,AA$4,AA$5,I38,J38,BaroPress1,OPF))</f>
        <v/>
      </c>
      <c r="S38" s="2464" t="str">
        <f t="shared" si="16"/>
        <v/>
      </c>
      <c r="T38" s="1177" t="str">
        <f t="shared" si="5"/>
        <v/>
      </c>
      <c r="U38" s="2070" t="str">
        <f t="shared" si="17"/>
        <v/>
      </c>
      <c r="V38" s="1202" t="str">
        <f t="shared" si="6"/>
        <v/>
      </c>
      <c r="W38" s="1202" t="str">
        <f>IF(ISNUMBER(V38),$J$7+SUM(V$15:V38)/Mratio1,"")</f>
        <v/>
      </c>
      <c r="X38" s="1201" t="str">
        <f t="shared" si="12"/>
        <v/>
      </c>
      <c r="Y38" s="1201" t="str">
        <f t="shared" si="13"/>
        <v/>
      </c>
      <c r="Z38" s="1201" t="str">
        <f t="shared" si="14"/>
        <v/>
      </c>
      <c r="AA38" s="1201" t="str">
        <f t="shared" si="7"/>
        <v/>
      </c>
      <c r="AB38" s="1205" t="str">
        <f t="shared" si="8"/>
        <v/>
      </c>
    </row>
    <row r="39" spans="3:28" ht="10.5" hidden="1" customHeight="1" outlineLevel="1">
      <c r="C39" s="2437" t="b">
        <f t="shared" si="22"/>
        <v>1</v>
      </c>
      <c r="D39" s="2437">
        <v>25</v>
      </c>
      <c r="E39" s="1175" t="str">
        <f t="shared" si="2"/>
        <v/>
      </c>
      <c r="F39" s="1176" t="str">
        <f t="shared" si="3"/>
        <v/>
      </c>
      <c r="G39" s="2434" t="str">
        <f>IF(Afterflows!W38="","",Afterflows!W38)</f>
        <v/>
      </c>
      <c r="H39" s="2445" t="str">
        <f>IF(ISNUMBER(G39),IF(ISNUMBER(StackTemp1),StackTemp1,IF(Afterflows!V38="","",Afterflows!V38)),"")</f>
        <v/>
      </c>
      <c r="I39" s="2451" t="str">
        <f t="shared" si="10"/>
        <v/>
      </c>
      <c r="J39" s="2451" t="str">
        <f t="shared" si="20"/>
        <v/>
      </c>
      <c r="K39" s="2451" t="str">
        <f t="shared" si="21"/>
        <v/>
      </c>
      <c r="L39" s="2452" t="str">
        <f t="shared" si="4"/>
        <v/>
      </c>
      <c r="M39" s="2434" t="str">
        <f>IF($G39="","",Afterflows!G38)</f>
        <v/>
      </c>
      <c r="N39" s="2434" t="str">
        <f>IF($G39="","",Afterflows!H38)</f>
        <v/>
      </c>
      <c r="O39" s="2434" t="str">
        <f t="shared" si="11"/>
        <v/>
      </c>
      <c r="P39" s="2475" t="str">
        <f>Velocity(PitotID1,PitotCoeff1,Afterflows!AB38,O39,H39,StackTempAvg1,AbsPress1,MolecularWt)</f>
        <v/>
      </c>
      <c r="Q39" s="2476" t="str">
        <f t="shared" si="15"/>
        <v/>
      </c>
      <c r="R39" s="2477" t="str">
        <f>IF(Flowmeter1="ECS",IF(G39="","",S39*O39),FlowSet(AA$1,Q39,AA$2,AA$3,AA$4,AA$5,I39,J39,BaroPress1,OPF))</f>
        <v/>
      </c>
      <c r="S39" s="2465" t="str">
        <f t="shared" ref="S39:S74" si="23">IF(Flowmeter1="ECS",IF(G39="","",0.00008038*((PitotCoeff1)^2)*DHat1*(K39^4)*(MolecularWtDry/(MolecularWtDry*(1-Bws)+18*Bws))*((1-Bws)^2)*((I39+273)/(H39+273))*((AbsPress1*0.750061561303)/(AbsPress1*0.750061561303+(DHat1/13.6)))),"")</f>
        <v/>
      </c>
      <c r="T39" s="1177" t="str">
        <f t="shared" si="5"/>
        <v/>
      </c>
      <c r="U39" s="2070" t="str">
        <f t="shared" si="17"/>
        <v/>
      </c>
      <c r="V39" s="1202" t="str">
        <f t="shared" si="6"/>
        <v/>
      </c>
      <c r="W39" s="1202" t="str">
        <f>IF(ISNUMBER(V39),$J$7+SUM(V$15:V39)/Mratio1,"")</f>
        <v/>
      </c>
      <c r="X39" s="1201" t="str">
        <f t="shared" si="12"/>
        <v/>
      </c>
      <c r="Y39" s="1201" t="str">
        <f t="shared" si="13"/>
        <v/>
      </c>
      <c r="Z39" s="1201" t="str">
        <f t="shared" si="14"/>
        <v/>
      </c>
      <c r="AA39" s="1201" t="str">
        <f t="shared" si="7"/>
        <v/>
      </c>
      <c r="AB39" s="1205" t="str">
        <f t="shared" si="8"/>
        <v/>
      </c>
    </row>
    <row r="40" spans="3:28" ht="10.5" hidden="1" customHeight="1" outlineLevel="1">
      <c r="C40" s="2437" t="b">
        <f t="shared" si="22"/>
        <v>1</v>
      </c>
      <c r="D40" s="2437">
        <v>26</v>
      </c>
      <c r="E40" s="1175" t="str">
        <f t="shared" si="2"/>
        <v/>
      </c>
      <c r="F40" s="1176" t="str">
        <f t="shared" si="3"/>
        <v/>
      </c>
      <c r="G40" s="2434" t="str">
        <f>IF(Afterflows!W39="","",Afterflows!W39)</f>
        <v/>
      </c>
      <c r="H40" s="2445" t="str">
        <f>IF(ISNUMBER(G40),IF(ISNUMBER(StackTemp1),StackTemp1,IF(Afterflows!V39="","",Afterflows!V39)),"")</f>
        <v/>
      </c>
      <c r="I40" s="2451" t="str">
        <f t="shared" si="10"/>
        <v/>
      </c>
      <c r="J40" s="2451" t="str">
        <f t="shared" si="20"/>
        <v/>
      </c>
      <c r="K40" s="2451" t="str">
        <f t="shared" si="21"/>
        <v/>
      </c>
      <c r="L40" s="2452" t="str">
        <f t="shared" si="4"/>
        <v/>
      </c>
      <c r="M40" s="2434" t="str">
        <f>IF($G40="","",Afterflows!G39)</f>
        <v/>
      </c>
      <c r="N40" s="2434" t="str">
        <f>IF($G40="","",Afterflows!H39)</f>
        <v/>
      </c>
      <c r="O40" s="2434" t="str">
        <f t="shared" si="11"/>
        <v/>
      </c>
      <c r="P40" s="2475" t="str">
        <f>Velocity(PitotID1,PitotCoeff1,Afterflows!AB39,O40,H40,StackTempAvg1,AbsPress1,MolecularWt)</f>
        <v/>
      </c>
      <c r="Q40" s="2476" t="str">
        <f t="shared" si="15"/>
        <v/>
      </c>
      <c r="R40" s="2477" t="str">
        <f>IF(Flowmeter1="ECS",IF(G40="","",S40*O40),FlowSet(AA$1,Q40,AA$2,AA$3,AA$4,AA$5,I40,J40,BaroPress1,OPF))</f>
        <v/>
      </c>
      <c r="S40" s="2465" t="str">
        <f t="shared" si="23"/>
        <v/>
      </c>
      <c r="T40" s="1177" t="str">
        <f t="shared" si="5"/>
        <v/>
      </c>
      <c r="U40" s="2070" t="str">
        <f t="shared" si="17"/>
        <v/>
      </c>
      <c r="V40" s="1202" t="str">
        <f t="shared" si="6"/>
        <v/>
      </c>
      <c r="W40" s="1202" t="str">
        <f>IF(ISNUMBER(V40),$J$7+SUM(V$15:V40)/Mratio1,"")</f>
        <v/>
      </c>
      <c r="X40" s="1201" t="str">
        <f t="shared" si="12"/>
        <v/>
      </c>
      <c r="Y40" s="1201" t="str">
        <f t="shared" si="13"/>
        <v/>
      </c>
      <c r="Z40" s="1201" t="str">
        <f t="shared" si="14"/>
        <v/>
      </c>
      <c r="AA40" s="1201" t="str">
        <f t="shared" si="7"/>
        <v/>
      </c>
      <c r="AB40" s="1205" t="str">
        <f t="shared" si="8"/>
        <v/>
      </c>
    </row>
    <row r="41" spans="3:28" ht="10.5" hidden="1" customHeight="1" outlineLevel="1">
      <c r="C41" s="2437" t="b">
        <f t="shared" si="22"/>
        <v>1</v>
      </c>
      <c r="D41" s="2437">
        <v>27</v>
      </c>
      <c r="E41" s="1175" t="str">
        <f t="shared" si="2"/>
        <v/>
      </c>
      <c r="F41" s="1176" t="str">
        <f t="shared" si="3"/>
        <v/>
      </c>
      <c r="G41" s="2434" t="str">
        <f>IF(Afterflows!W40="","",Afterflows!W40)</f>
        <v/>
      </c>
      <c r="H41" s="2445" t="str">
        <f>IF(ISNUMBER(G41),IF(ISNUMBER(StackTemp1),StackTemp1,IF(Afterflows!V40="","",Afterflows!V40)),"")</f>
        <v/>
      </c>
      <c r="I41" s="2451" t="str">
        <f t="shared" si="10"/>
        <v/>
      </c>
      <c r="J41" s="2451" t="str">
        <f t="shared" si="20"/>
        <v/>
      </c>
      <c r="K41" s="2451" t="str">
        <f t="shared" si="21"/>
        <v/>
      </c>
      <c r="L41" s="2452" t="str">
        <f t="shared" si="4"/>
        <v/>
      </c>
      <c r="M41" s="2434" t="str">
        <f>IF($G41="","",Afterflows!G40)</f>
        <v/>
      </c>
      <c r="N41" s="2434" t="str">
        <f>IF($G41="","",Afterflows!H40)</f>
        <v/>
      </c>
      <c r="O41" s="2434" t="str">
        <f t="shared" si="11"/>
        <v/>
      </c>
      <c r="P41" s="2475" t="str">
        <f>Velocity(PitotID1,PitotCoeff1,Afterflows!AB40,O41,H41,StackTempAvg1,AbsPress1,MolecularWt)</f>
        <v/>
      </c>
      <c r="Q41" s="2476" t="str">
        <f t="shared" si="15"/>
        <v/>
      </c>
      <c r="R41" s="2477" t="str">
        <f>IF(Flowmeter1="ECS",IF(G41="","",S41*O41),FlowSet(AA$1,Q41,AA$2,AA$3,AA$4,AA$5,I41,J41,BaroPress1,OPF))</f>
        <v/>
      </c>
      <c r="S41" s="2465" t="str">
        <f t="shared" si="23"/>
        <v/>
      </c>
      <c r="T41" s="1177" t="str">
        <f t="shared" si="5"/>
        <v/>
      </c>
      <c r="U41" s="2070" t="str">
        <f t="shared" si="17"/>
        <v/>
      </c>
      <c r="V41" s="1202" t="str">
        <f t="shared" si="6"/>
        <v/>
      </c>
      <c r="W41" s="1202" t="str">
        <f>IF(ISNUMBER(V41),$J$7+SUM(V$15:V41)/Mratio1,"")</f>
        <v/>
      </c>
      <c r="X41" s="1201" t="str">
        <f t="shared" si="12"/>
        <v/>
      </c>
      <c r="Y41" s="1201" t="str">
        <f t="shared" si="13"/>
        <v/>
      </c>
      <c r="Z41" s="1201" t="str">
        <f t="shared" si="14"/>
        <v/>
      </c>
      <c r="AA41" s="1201" t="str">
        <f t="shared" si="7"/>
        <v/>
      </c>
      <c r="AB41" s="1205" t="str">
        <f t="shared" si="8"/>
        <v/>
      </c>
    </row>
    <row r="42" spans="3:28" ht="10.5" hidden="1" customHeight="1" outlineLevel="1">
      <c r="C42" s="2437" t="b">
        <f t="shared" si="22"/>
        <v>1</v>
      </c>
      <c r="D42" s="2437">
        <v>28</v>
      </c>
      <c r="E42" s="1175" t="str">
        <f t="shared" si="2"/>
        <v/>
      </c>
      <c r="F42" s="1176" t="str">
        <f t="shared" si="3"/>
        <v/>
      </c>
      <c r="G42" s="2434" t="str">
        <f>IF(Afterflows!W41="","",Afterflows!W41)</f>
        <v/>
      </c>
      <c r="H42" s="2445" t="str">
        <f>IF(ISNUMBER(G42),IF(ISNUMBER(StackTemp1),StackTemp1,IF(Afterflows!V41="","",Afterflows!V41)),"")</f>
        <v/>
      </c>
      <c r="I42" s="2451" t="str">
        <f t="shared" si="10"/>
        <v/>
      </c>
      <c r="J42" s="2451" t="str">
        <f t="shared" si="20"/>
        <v/>
      </c>
      <c r="K42" s="2451" t="str">
        <f t="shared" si="21"/>
        <v/>
      </c>
      <c r="L42" s="2452" t="str">
        <f t="shared" si="4"/>
        <v/>
      </c>
      <c r="M42" s="2434" t="str">
        <f>IF($G42="","",Afterflows!G41)</f>
        <v/>
      </c>
      <c r="N42" s="2434" t="str">
        <f>IF($G42="","",Afterflows!H41)</f>
        <v/>
      </c>
      <c r="O42" s="2434" t="str">
        <f t="shared" si="11"/>
        <v/>
      </c>
      <c r="P42" s="2475" t="str">
        <f>Velocity(PitotID1,PitotCoeff1,Afterflows!AB41,O42,H42,StackTempAvg1,AbsPress1,MolecularWt)</f>
        <v/>
      </c>
      <c r="Q42" s="2476" t="str">
        <f t="shared" si="15"/>
        <v/>
      </c>
      <c r="R42" s="2477" t="str">
        <f>IF(Flowmeter1="ECS",IF(G42="","",S42*O42),FlowSet(AA$1,Q42,AA$2,AA$3,AA$4,AA$5,I42,J42,BaroPress1,OPF))</f>
        <v/>
      </c>
      <c r="S42" s="2465" t="str">
        <f t="shared" si="23"/>
        <v/>
      </c>
      <c r="T42" s="1177" t="str">
        <f t="shared" si="5"/>
        <v/>
      </c>
      <c r="U42" s="2070" t="str">
        <f t="shared" si="17"/>
        <v/>
      </c>
      <c r="V42" s="1202" t="str">
        <f t="shared" si="6"/>
        <v/>
      </c>
      <c r="W42" s="1202" t="str">
        <f>IF(ISNUMBER(V42),$J$7+SUM(V$15:V42)/Mratio1,"")</f>
        <v/>
      </c>
      <c r="X42" s="1201" t="str">
        <f t="shared" si="12"/>
        <v/>
      </c>
      <c r="Y42" s="1201" t="str">
        <f t="shared" si="13"/>
        <v/>
      </c>
      <c r="Z42" s="1201" t="str">
        <f t="shared" si="14"/>
        <v/>
      </c>
      <c r="AA42" s="1201" t="str">
        <f t="shared" si="7"/>
        <v/>
      </c>
      <c r="AB42" s="1205" t="str">
        <f t="shared" si="8"/>
        <v/>
      </c>
    </row>
    <row r="43" spans="3:28" ht="10.5" hidden="1" customHeight="1" outlineLevel="1">
      <c r="C43" s="2437" t="b">
        <f t="shared" si="22"/>
        <v>1</v>
      </c>
      <c r="D43" s="2437">
        <v>29</v>
      </c>
      <c r="E43" s="1175" t="str">
        <f t="shared" si="2"/>
        <v/>
      </c>
      <c r="F43" s="1176" t="str">
        <f t="shared" si="3"/>
        <v/>
      </c>
      <c r="G43" s="2434" t="str">
        <f>IF(Afterflows!W42="","",Afterflows!W42)</f>
        <v/>
      </c>
      <c r="H43" s="2445" t="str">
        <f>IF(ISNUMBER(G43),IF(ISNUMBER(StackTemp1),StackTemp1,IF(Afterflows!V42="","",Afterflows!V42)),"")</f>
        <v/>
      </c>
      <c r="I43" s="2451" t="str">
        <f t="shared" si="10"/>
        <v/>
      </c>
      <c r="J43" s="2451" t="str">
        <f t="shared" si="20"/>
        <v/>
      </c>
      <c r="K43" s="2451" t="str">
        <f t="shared" si="21"/>
        <v/>
      </c>
      <c r="L43" s="2452" t="str">
        <f t="shared" si="4"/>
        <v/>
      </c>
      <c r="M43" s="2434" t="str">
        <f>IF($G43="","",Afterflows!G42)</f>
        <v/>
      </c>
      <c r="N43" s="2434" t="str">
        <f>IF($G43="","",Afterflows!H42)</f>
        <v/>
      </c>
      <c r="O43" s="2434" t="str">
        <f t="shared" si="11"/>
        <v/>
      </c>
      <c r="P43" s="2475" t="str">
        <f>Velocity(PitotID1,PitotCoeff1,Afterflows!AB42,O43,H43,StackTempAvg1,AbsPress1,MolecularWt)</f>
        <v/>
      </c>
      <c r="Q43" s="2476" t="str">
        <f t="shared" si="15"/>
        <v/>
      </c>
      <c r="R43" s="2477" t="str">
        <f>IF(Flowmeter1="ECS",IF(G43="","",S43*O43),FlowSet(AA$1,Q43,AA$2,AA$3,AA$4,AA$5,I43,J43,BaroPress1,OPF))</f>
        <v/>
      </c>
      <c r="S43" s="2465" t="str">
        <f t="shared" si="23"/>
        <v/>
      </c>
      <c r="T43" s="1177" t="str">
        <f t="shared" si="5"/>
        <v/>
      </c>
      <c r="U43" s="2070" t="str">
        <f t="shared" si="17"/>
        <v/>
      </c>
      <c r="V43" s="1202" t="str">
        <f t="shared" si="6"/>
        <v/>
      </c>
      <c r="W43" s="1202" t="str">
        <f>IF(ISNUMBER(V43),$J$7+SUM(V$15:V43)/Mratio1,"")</f>
        <v/>
      </c>
      <c r="X43" s="1201" t="str">
        <f t="shared" si="12"/>
        <v/>
      </c>
      <c r="Y43" s="1201" t="str">
        <f t="shared" si="13"/>
        <v/>
      </c>
      <c r="Z43" s="1201" t="str">
        <f t="shared" si="14"/>
        <v/>
      </c>
      <c r="AA43" s="1201" t="str">
        <f t="shared" si="7"/>
        <v/>
      </c>
      <c r="AB43" s="1205" t="str">
        <f t="shared" si="8"/>
        <v/>
      </c>
    </row>
    <row r="44" spans="3:28" ht="10.5" hidden="1" customHeight="1" outlineLevel="1">
      <c r="C44" s="2437" t="b">
        <f t="shared" si="22"/>
        <v>1</v>
      </c>
      <c r="D44" s="2437">
        <v>30</v>
      </c>
      <c r="E44" s="1175" t="str">
        <f t="shared" si="2"/>
        <v/>
      </c>
      <c r="F44" s="1176" t="str">
        <f t="shared" si="3"/>
        <v/>
      </c>
      <c r="G44" s="2434" t="str">
        <f>IF(Afterflows!W43="","",Afterflows!W43)</f>
        <v/>
      </c>
      <c r="H44" s="2445" t="str">
        <f>IF(ISNUMBER(G44),IF(ISNUMBER(StackTemp1),StackTemp1,IF(Afterflows!V43="","",Afterflows!V43)),"")</f>
        <v/>
      </c>
      <c r="I44" s="2451" t="str">
        <f t="shared" si="10"/>
        <v/>
      </c>
      <c r="J44" s="2451" t="str">
        <f t="shared" si="20"/>
        <v/>
      </c>
      <c r="K44" s="2451" t="str">
        <f t="shared" si="21"/>
        <v/>
      </c>
      <c r="L44" s="2452" t="str">
        <f t="shared" si="4"/>
        <v/>
      </c>
      <c r="M44" s="2434" t="str">
        <f>IF($G44="","",Afterflows!G43)</f>
        <v/>
      </c>
      <c r="N44" s="2434" t="str">
        <f>IF($G44="","",Afterflows!H43)</f>
        <v/>
      </c>
      <c r="O44" s="2434" t="str">
        <f t="shared" si="11"/>
        <v/>
      </c>
      <c r="P44" s="2475" t="str">
        <f>Velocity(PitotID1,PitotCoeff1,Afterflows!AB43,O44,H44,StackTempAvg1,AbsPress1,MolecularWt)</f>
        <v/>
      </c>
      <c r="Q44" s="2476" t="str">
        <f t="shared" si="15"/>
        <v/>
      </c>
      <c r="R44" s="2477" t="str">
        <f>IF(Flowmeter1="ECS",IF(G44="","",S44*O44),FlowSet(AA$1,Q44,AA$2,AA$3,AA$4,AA$5,I44,J44,BaroPress1,OPF))</f>
        <v/>
      </c>
      <c r="S44" s="2465" t="str">
        <f t="shared" si="23"/>
        <v/>
      </c>
      <c r="T44" s="1177" t="str">
        <f t="shared" si="5"/>
        <v/>
      </c>
      <c r="U44" s="2070" t="str">
        <f t="shared" si="17"/>
        <v/>
      </c>
      <c r="V44" s="1202" t="str">
        <f t="shared" si="6"/>
        <v/>
      </c>
      <c r="W44" s="1202" t="str">
        <f>IF(ISNUMBER(V44),$J$7+SUM(V$15:V44)/Mratio1,"")</f>
        <v/>
      </c>
      <c r="X44" s="1201" t="str">
        <f t="shared" si="12"/>
        <v/>
      </c>
      <c r="Y44" s="1201" t="str">
        <f t="shared" si="13"/>
        <v/>
      </c>
      <c r="Z44" s="1201" t="str">
        <f t="shared" si="14"/>
        <v/>
      </c>
      <c r="AA44" s="1201" t="str">
        <f t="shared" si="7"/>
        <v/>
      </c>
      <c r="AB44" s="1205" t="str">
        <f t="shared" si="8"/>
        <v/>
      </c>
    </row>
    <row r="45" spans="3:28" ht="10.5" hidden="1" customHeight="1" outlineLevel="1">
      <c r="C45" s="2437" t="b">
        <f t="shared" si="22"/>
        <v>1</v>
      </c>
      <c r="D45" s="2437">
        <v>31</v>
      </c>
      <c r="E45" s="1175" t="str">
        <f t="shared" si="2"/>
        <v/>
      </c>
      <c r="F45" s="1176" t="str">
        <f t="shared" si="3"/>
        <v/>
      </c>
      <c r="G45" s="2434" t="str">
        <f>IF(Afterflows!W44="","",Afterflows!W44)</f>
        <v/>
      </c>
      <c r="H45" s="2445" t="str">
        <f>IF(ISNUMBER(G45),IF(ISNUMBER(StackTemp1),StackTemp1,IF(Afterflows!V44="","",Afterflows!V44)),"")</f>
        <v/>
      </c>
      <c r="I45" s="2451" t="str">
        <f t="shared" si="10"/>
        <v/>
      </c>
      <c r="J45" s="2451" t="str">
        <f t="shared" si="20"/>
        <v/>
      </c>
      <c r="K45" s="2451" t="str">
        <f t="shared" si="21"/>
        <v/>
      </c>
      <c r="L45" s="2452" t="str">
        <f t="shared" si="4"/>
        <v/>
      </c>
      <c r="M45" s="2434" t="str">
        <f>IF($G45="","",Afterflows!G44)</f>
        <v/>
      </c>
      <c r="N45" s="2434" t="str">
        <f>IF($G45="","",Afterflows!H44)</f>
        <v/>
      </c>
      <c r="O45" s="2434" t="str">
        <f t="shared" si="11"/>
        <v/>
      </c>
      <c r="P45" s="2475" t="str">
        <f>Velocity(PitotID1,PitotCoeff1,Afterflows!AB44,O45,H45,StackTempAvg1,AbsPress1,MolecularWt)</f>
        <v/>
      </c>
      <c r="Q45" s="2476" t="str">
        <f t="shared" si="15"/>
        <v/>
      </c>
      <c r="R45" s="2477" t="str">
        <f>IF(Flowmeter1="ECS",IF(G45="","",S45*O45),FlowSet(AA$1,Q45,AA$2,AA$3,AA$4,AA$5,I45,J45,BaroPress1,OPF))</f>
        <v/>
      </c>
      <c r="S45" s="2465" t="str">
        <f t="shared" si="23"/>
        <v/>
      </c>
      <c r="T45" s="1177" t="str">
        <f t="shared" si="5"/>
        <v/>
      </c>
      <c r="U45" s="2070" t="str">
        <f t="shared" si="17"/>
        <v/>
      </c>
      <c r="V45" s="1202" t="str">
        <f t="shared" si="6"/>
        <v/>
      </c>
      <c r="W45" s="1202" t="str">
        <f>IF(ISNUMBER(V45),$J$7+SUM(V$15:V45)/Mratio1,"")</f>
        <v/>
      </c>
      <c r="X45" s="1201" t="str">
        <f t="shared" si="12"/>
        <v/>
      </c>
      <c r="Y45" s="1201" t="str">
        <f t="shared" si="13"/>
        <v/>
      </c>
      <c r="Z45" s="1201" t="str">
        <f t="shared" si="14"/>
        <v/>
      </c>
      <c r="AA45" s="1201" t="str">
        <f t="shared" si="7"/>
        <v/>
      </c>
      <c r="AB45" s="1205" t="str">
        <f t="shared" si="8"/>
        <v/>
      </c>
    </row>
    <row r="46" spans="3:28" ht="10.5" hidden="1" customHeight="1" outlineLevel="1">
      <c r="C46" s="2437" t="b">
        <f t="shared" si="22"/>
        <v>1</v>
      </c>
      <c r="D46" s="2437">
        <v>32</v>
      </c>
      <c r="E46" s="1175" t="str">
        <f t="shared" si="2"/>
        <v/>
      </c>
      <c r="F46" s="1176" t="str">
        <f t="shared" si="3"/>
        <v/>
      </c>
      <c r="G46" s="2434" t="str">
        <f>IF(Afterflows!W45="","",Afterflows!W45)</f>
        <v/>
      </c>
      <c r="H46" s="2445" t="str">
        <f>IF(ISNUMBER(G46),IF(ISNUMBER(StackTemp1),StackTemp1,IF(Afterflows!V45="","",Afterflows!V45)),"")</f>
        <v/>
      </c>
      <c r="I46" s="2451" t="str">
        <f t="shared" si="10"/>
        <v/>
      </c>
      <c r="J46" s="2451" t="str">
        <f t="shared" si="20"/>
        <v/>
      </c>
      <c r="K46" s="2451" t="str">
        <f t="shared" si="21"/>
        <v/>
      </c>
      <c r="L46" s="2452" t="str">
        <f t="shared" si="4"/>
        <v/>
      </c>
      <c r="M46" s="2434" t="str">
        <f>IF($G46="","",Afterflows!G45)</f>
        <v/>
      </c>
      <c r="N46" s="2434" t="str">
        <f>IF($G46="","",Afterflows!H45)</f>
        <v/>
      </c>
      <c r="O46" s="2434" t="str">
        <f t="shared" si="11"/>
        <v/>
      </c>
      <c r="P46" s="2475" t="str">
        <f>Velocity(PitotID1,PitotCoeff1,Afterflows!AB45,O46,H46,StackTempAvg1,AbsPress1,MolecularWt)</f>
        <v/>
      </c>
      <c r="Q46" s="2476" t="str">
        <f t="shared" si="15"/>
        <v/>
      </c>
      <c r="R46" s="2477" t="str">
        <f>IF(Flowmeter1="ECS",IF(G46="","",S46*O46),FlowSet(AA$1,Q46,AA$2,AA$3,AA$4,AA$5,I46,J46,BaroPress1,OPF))</f>
        <v/>
      </c>
      <c r="S46" s="2465" t="str">
        <f t="shared" si="23"/>
        <v/>
      </c>
      <c r="T46" s="1177" t="str">
        <f t="shared" si="5"/>
        <v/>
      </c>
      <c r="U46" s="2070" t="str">
        <f t="shared" si="17"/>
        <v/>
      </c>
      <c r="V46" s="1202" t="str">
        <f t="shared" si="6"/>
        <v/>
      </c>
      <c r="W46" s="1202" t="str">
        <f>IF(ISNUMBER(V46),$J$7+SUM(V$15:V46)/Mratio1,"")</f>
        <v/>
      </c>
      <c r="X46" s="1201" t="str">
        <f t="shared" si="12"/>
        <v/>
      </c>
      <c r="Y46" s="1201" t="str">
        <f t="shared" si="13"/>
        <v/>
      </c>
      <c r="Z46" s="1201" t="str">
        <f t="shared" si="14"/>
        <v/>
      </c>
      <c r="AA46" s="1201" t="str">
        <f t="shared" si="7"/>
        <v/>
      </c>
      <c r="AB46" s="1205" t="str">
        <f t="shared" si="8"/>
        <v/>
      </c>
    </row>
    <row r="47" spans="3:28" ht="10.5" hidden="1" customHeight="1" outlineLevel="1">
      <c r="C47" s="2437" t="b">
        <f t="shared" si="22"/>
        <v>1</v>
      </c>
      <c r="D47" s="2437">
        <v>33</v>
      </c>
      <c r="E47" s="1175" t="str">
        <f t="shared" si="2"/>
        <v/>
      </c>
      <c r="F47" s="1176" t="str">
        <f t="shared" ref="F47:F74" si="24">IF(E47="","",Position(TravMethod,StackDimA,StackShape,PointsTraverse,E47)+PortDepth)</f>
        <v/>
      </c>
      <c r="G47" s="2434" t="str">
        <f>IF(Afterflows!W46="","",Afterflows!W46)</f>
        <v/>
      </c>
      <c r="H47" s="2445" t="str">
        <f>IF(ISNUMBER(G47),IF(ISNUMBER(StackTemp1),StackTemp1,IF(Afterflows!V46="","",Afterflows!V46)),"")</f>
        <v/>
      </c>
      <c r="I47" s="2451" t="str">
        <f t="shared" ref="I47:I74" si="25">IF(ISNUMBER(G47),IF(ISNUMBER(MeterTemp1),MeterTemp1,""),"")</f>
        <v/>
      </c>
      <c r="J47" s="2451" t="str">
        <f t="shared" si="20"/>
        <v/>
      </c>
      <c r="K47" s="2451" t="str">
        <f t="shared" si="21"/>
        <v/>
      </c>
      <c r="L47" s="2452" t="str">
        <f t="shared" ref="L47:L74" si="26">IF(ISNUMBER(P47),IF(ISNUMBER($L$14),$L$14*Y47*Z47/(CosYawAvg1*CosPitchAvg1),""),"")</f>
        <v/>
      </c>
      <c r="M47" s="2434" t="str">
        <f>IF($G47="","",Afterflows!G46)</f>
        <v/>
      </c>
      <c r="N47" s="2434" t="str">
        <f>IF($G47="","",Afterflows!H46)</f>
        <v/>
      </c>
      <c r="O47" s="2434" t="str">
        <f t="shared" si="11"/>
        <v/>
      </c>
      <c r="P47" s="2475" t="str">
        <f>Velocity(PitotID1,PitotCoeff1,Afterflows!AB46,O47,H47,StackTempAvg1,AbsPress1,MolecularWt)</f>
        <v/>
      </c>
      <c r="Q47" s="2476" t="str">
        <f t="shared" si="15"/>
        <v/>
      </c>
      <c r="R47" s="2477" t="str">
        <f>IF(Flowmeter1="ECS",IF(G47="","",S47*O47),FlowSet(AA$1,Q47,AA$2,AA$3,AA$4,AA$5,I47,J47,BaroPress1,OPF))</f>
        <v/>
      </c>
      <c r="S47" s="2465" t="str">
        <f t="shared" si="23"/>
        <v/>
      </c>
      <c r="T47" s="1177" t="str">
        <f t="shared" ref="T47:T74" si="27">E47</f>
        <v/>
      </c>
      <c r="U47" s="2070" t="str">
        <f t="shared" si="17"/>
        <v/>
      </c>
      <c r="V47" s="1202" t="str">
        <f t="shared" ref="V47:V74" si="28">IF(ISNUMBER($L47),L47*Q47,"")</f>
        <v/>
      </c>
      <c r="W47" s="1202" t="str">
        <f>IF(ISNUMBER(V47),$J$7+SUM(V$15:V47)/Mratio1,"")</f>
        <v/>
      </c>
      <c r="X47" s="1201" t="str">
        <f t="shared" ref="X47:X74" si="29">IF(G47="","",SQRT(O47))</f>
        <v/>
      </c>
      <c r="Y47" s="1201" t="str">
        <f t="shared" ref="Y47:Y74" si="30">IF($G47="","",COS(M47*PI()/180))</f>
        <v/>
      </c>
      <c r="Z47" s="1201" t="str">
        <f t="shared" ref="Z47:Z74" si="31">IF($G47="","",COS(N47*PI()/180))</f>
        <v/>
      </c>
      <c r="AA47" s="1201" t="str">
        <f t="shared" ref="AA47:AA74" si="32">Velocity3D(P47,M47,N47)</f>
        <v/>
      </c>
      <c r="AB47" s="1205" t="str">
        <f t="shared" ref="AB47:AB74" si="33">IF(P47="","",P47*1/(1-PBF_1))</f>
        <v/>
      </c>
    </row>
    <row r="48" spans="3:28" ht="10.5" hidden="1" customHeight="1" outlineLevel="1">
      <c r="C48" s="2437" t="b">
        <f t="shared" si="22"/>
        <v>1</v>
      </c>
      <c r="D48" s="2437">
        <v>34</v>
      </c>
      <c r="E48" s="1175" t="str">
        <f t="shared" si="2"/>
        <v/>
      </c>
      <c r="F48" s="1176" t="str">
        <f t="shared" si="24"/>
        <v/>
      </c>
      <c r="G48" s="2434" t="str">
        <f>IF(Afterflows!W47="","",Afterflows!W47)</f>
        <v/>
      </c>
      <c r="H48" s="2445" t="str">
        <f>IF(ISNUMBER(G48),IF(ISNUMBER(StackTemp1),StackTemp1,IF(Afterflows!V47="","",Afterflows!V47)),"")</f>
        <v/>
      </c>
      <c r="I48" s="2451" t="str">
        <f t="shared" si="25"/>
        <v/>
      </c>
      <c r="J48" s="2451" t="str">
        <f t="shared" si="20"/>
        <v/>
      </c>
      <c r="K48" s="2451" t="str">
        <f t="shared" si="21"/>
        <v/>
      </c>
      <c r="L48" s="2452" t="str">
        <f t="shared" si="26"/>
        <v/>
      </c>
      <c r="M48" s="2434" t="str">
        <f>IF($G48="","",Afterflows!G47)</f>
        <v/>
      </c>
      <c r="N48" s="2434" t="str">
        <f>IF($G48="","",Afterflows!H47)</f>
        <v/>
      </c>
      <c r="O48" s="2434" t="str">
        <f t="shared" si="11"/>
        <v/>
      </c>
      <c r="P48" s="2475" t="str">
        <f>Velocity(PitotID1,PitotCoeff1,Afterflows!AB47,O48,H48,StackTempAvg1,AbsPress1,MolecularWt)</f>
        <v/>
      </c>
      <c r="Q48" s="2476" t="str">
        <f t="shared" si="15"/>
        <v/>
      </c>
      <c r="R48" s="2477" t="str">
        <f>IF(Flowmeter1="ECS",IF(G48="","",S48*O48),FlowSet(AA$1,Q48,AA$2,AA$3,AA$4,AA$5,I48,J48,BaroPress1,OPF))</f>
        <v/>
      </c>
      <c r="S48" s="2465" t="str">
        <f t="shared" si="23"/>
        <v/>
      </c>
      <c r="T48" s="1177" t="str">
        <f t="shared" si="27"/>
        <v/>
      </c>
      <c r="U48" s="2070" t="str">
        <f t="shared" si="17"/>
        <v/>
      </c>
      <c r="V48" s="1202" t="str">
        <f t="shared" si="28"/>
        <v/>
      </c>
      <c r="W48" s="1202" t="str">
        <f>IF(ISNUMBER(V48),$J$7+SUM(V$15:V48)/Mratio1,"")</f>
        <v/>
      </c>
      <c r="X48" s="1201" t="str">
        <f t="shared" si="29"/>
        <v/>
      </c>
      <c r="Y48" s="1201" t="str">
        <f t="shared" si="30"/>
        <v/>
      </c>
      <c r="Z48" s="1201" t="str">
        <f t="shared" si="31"/>
        <v/>
      </c>
      <c r="AA48" s="1201" t="str">
        <f t="shared" si="32"/>
        <v/>
      </c>
      <c r="AB48" s="1205" t="str">
        <f t="shared" si="33"/>
        <v/>
      </c>
    </row>
    <row r="49" spans="3:28" ht="10.5" hidden="1" customHeight="1" outlineLevel="1">
      <c r="C49" s="2437" t="b">
        <f t="shared" si="22"/>
        <v>1</v>
      </c>
      <c r="D49" s="2437">
        <v>35</v>
      </c>
      <c r="E49" s="1175" t="str">
        <f t="shared" si="2"/>
        <v/>
      </c>
      <c r="F49" s="1176" t="str">
        <f t="shared" si="24"/>
        <v/>
      </c>
      <c r="G49" s="2434" t="str">
        <f>IF(Afterflows!W48="","",Afterflows!W48)</f>
        <v/>
      </c>
      <c r="H49" s="2445" t="str">
        <f>IF(ISNUMBER(G49),IF(ISNUMBER(StackTemp1),StackTemp1,IF(Afterflows!V48="","",Afterflows!V48)),"")</f>
        <v/>
      </c>
      <c r="I49" s="2451" t="str">
        <f t="shared" si="25"/>
        <v/>
      </c>
      <c r="J49" s="2451" t="str">
        <f t="shared" si="20"/>
        <v/>
      </c>
      <c r="K49" s="2451" t="str">
        <f t="shared" si="21"/>
        <v/>
      </c>
      <c r="L49" s="2452" t="str">
        <f t="shared" si="26"/>
        <v/>
      </c>
      <c r="M49" s="2434" t="str">
        <f>IF($G49="","",Afterflows!G48)</f>
        <v/>
      </c>
      <c r="N49" s="2434" t="str">
        <f>IF($G49="","",Afterflows!H48)</f>
        <v/>
      </c>
      <c r="O49" s="2434" t="str">
        <f t="shared" si="11"/>
        <v/>
      </c>
      <c r="P49" s="2475" t="str">
        <f>Velocity(PitotID1,PitotCoeff1,Afterflows!AB48,O49,H49,StackTempAvg1,AbsPress1,MolecularWt)</f>
        <v/>
      </c>
      <c r="Q49" s="2476" t="str">
        <f t="shared" si="15"/>
        <v/>
      </c>
      <c r="R49" s="2477" t="str">
        <f>IF(Flowmeter1="ECS",IF(G49="","",S49*O49),FlowSet(AA$1,Q49,AA$2,AA$3,AA$4,AA$5,I49,J49,BaroPress1,OPF))</f>
        <v/>
      </c>
      <c r="S49" s="2465" t="str">
        <f t="shared" si="23"/>
        <v/>
      </c>
      <c r="T49" s="1177" t="str">
        <f t="shared" si="27"/>
        <v/>
      </c>
      <c r="U49" s="2070" t="str">
        <f t="shared" si="17"/>
        <v/>
      </c>
      <c r="V49" s="1202" t="str">
        <f t="shared" si="28"/>
        <v/>
      </c>
      <c r="W49" s="1202" t="str">
        <f>IF(ISNUMBER(V49),$J$7+SUM(V$15:V49)/Mratio1,"")</f>
        <v/>
      </c>
      <c r="X49" s="1201" t="str">
        <f t="shared" si="29"/>
        <v/>
      </c>
      <c r="Y49" s="1201" t="str">
        <f t="shared" si="30"/>
        <v/>
      </c>
      <c r="Z49" s="1201" t="str">
        <f t="shared" si="31"/>
        <v/>
      </c>
      <c r="AA49" s="1201" t="str">
        <f t="shared" si="32"/>
        <v/>
      </c>
      <c r="AB49" s="1205" t="str">
        <f t="shared" si="33"/>
        <v/>
      </c>
    </row>
    <row r="50" spans="3:28" ht="10.5" hidden="1" customHeight="1" outlineLevel="1">
      <c r="C50" s="2437" t="b">
        <f t="shared" si="22"/>
        <v>1</v>
      </c>
      <c r="D50" s="2437">
        <v>36</v>
      </c>
      <c r="E50" s="1175" t="str">
        <f t="shared" si="2"/>
        <v/>
      </c>
      <c r="F50" s="1176" t="str">
        <f t="shared" si="24"/>
        <v/>
      </c>
      <c r="G50" s="2434" t="str">
        <f>IF(Afterflows!W49="","",Afterflows!W49)</f>
        <v/>
      </c>
      <c r="H50" s="2445" t="str">
        <f>IF(ISNUMBER(G50),IF(ISNUMBER(StackTemp1),StackTemp1,IF(Afterflows!V49="","",Afterflows!V49)),"")</f>
        <v/>
      </c>
      <c r="I50" s="2451" t="str">
        <f t="shared" si="25"/>
        <v/>
      </c>
      <c r="J50" s="2451" t="str">
        <f t="shared" si="20"/>
        <v/>
      </c>
      <c r="K50" s="2451" t="str">
        <f t="shared" si="21"/>
        <v/>
      </c>
      <c r="L50" s="2452" t="str">
        <f t="shared" si="26"/>
        <v/>
      </c>
      <c r="M50" s="2434" t="str">
        <f>IF($G50="","",Afterflows!G49)</f>
        <v/>
      </c>
      <c r="N50" s="2434" t="str">
        <f>IF($G50="","",Afterflows!H49)</f>
        <v/>
      </c>
      <c r="O50" s="2434" t="str">
        <f t="shared" si="11"/>
        <v/>
      </c>
      <c r="P50" s="2475" t="str">
        <f>Velocity(PitotID1,PitotCoeff1,Afterflows!AB49,O50,H50,StackTempAvg1,AbsPress1,MolecularWt)</f>
        <v/>
      </c>
      <c r="Q50" s="2476" t="str">
        <f t="shared" si="15"/>
        <v/>
      </c>
      <c r="R50" s="2477" t="str">
        <f>IF(Flowmeter1="ECS",IF(G50="","",S50*O50),FlowSet(AA$1,Q50,AA$2,AA$3,AA$4,AA$5,I50,J50,BaroPress1,OPF))</f>
        <v/>
      </c>
      <c r="S50" s="2465" t="str">
        <f t="shared" si="23"/>
        <v/>
      </c>
      <c r="T50" s="1177" t="str">
        <f t="shared" si="27"/>
        <v/>
      </c>
      <c r="U50" s="2070" t="str">
        <f t="shared" si="17"/>
        <v/>
      </c>
      <c r="V50" s="1202" t="str">
        <f t="shared" si="28"/>
        <v/>
      </c>
      <c r="W50" s="1202" t="str">
        <f>IF(ISNUMBER(V50),$J$7+SUM(V$15:V50)/Mratio1,"")</f>
        <v/>
      </c>
      <c r="X50" s="1201" t="str">
        <f t="shared" si="29"/>
        <v/>
      </c>
      <c r="Y50" s="1201" t="str">
        <f t="shared" si="30"/>
        <v/>
      </c>
      <c r="Z50" s="1201" t="str">
        <f t="shared" si="31"/>
        <v/>
      </c>
      <c r="AA50" s="1201" t="str">
        <f t="shared" si="32"/>
        <v/>
      </c>
      <c r="AB50" s="1205" t="str">
        <f t="shared" si="33"/>
        <v/>
      </c>
    </row>
    <row r="51" spans="3:28" ht="10.5" hidden="1" customHeight="1" outlineLevel="1">
      <c r="C51" s="2437" t="b">
        <f t="shared" si="22"/>
        <v>1</v>
      </c>
      <c r="D51" s="2437">
        <v>37</v>
      </c>
      <c r="E51" s="1175" t="str">
        <f t="shared" si="2"/>
        <v/>
      </c>
      <c r="F51" s="1176" t="str">
        <f t="shared" si="24"/>
        <v/>
      </c>
      <c r="G51" s="2434" t="str">
        <f>IF(Afterflows!W50="","",Afterflows!W50)</f>
        <v/>
      </c>
      <c r="H51" s="2445" t="str">
        <f>IF(ISNUMBER(G51),IF(ISNUMBER(StackTemp1),StackTemp1,IF(Afterflows!V50="","",Afterflows!V50)),"")</f>
        <v/>
      </c>
      <c r="I51" s="2451" t="str">
        <f t="shared" si="25"/>
        <v/>
      </c>
      <c r="J51" s="2451" t="str">
        <f t="shared" si="20"/>
        <v/>
      </c>
      <c r="K51" s="2451" t="str">
        <f t="shared" si="21"/>
        <v/>
      </c>
      <c r="L51" s="2452" t="str">
        <f t="shared" si="26"/>
        <v/>
      </c>
      <c r="M51" s="2434" t="str">
        <f>IF($G51="","",Afterflows!G50)</f>
        <v/>
      </c>
      <c r="N51" s="2434" t="str">
        <f>IF($G51="","",Afterflows!H50)</f>
        <v/>
      </c>
      <c r="O51" s="2434" t="str">
        <f t="shared" si="11"/>
        <v/>
      </c>
      <c r="P51" s="2475" t="str">
        <f>Velocity(PitotID1,PitotCoeff1,Afterflows!AB50,O51,H51,StackTempAvg1,AbsPress1,MolecularWt)</f>
        <v/>
      </c>
      <c r="Q51" s="2476" t="str">
        <f t="shared" si="15"/>
        <v/>
      </c>
      <c r="R51" s="2477" t="str">
        <f>IF(Flowmeter1="ECS",IF(G51="","",S51*O51),FlowSet(AA$1,Q51,AA$2,AA$3,AA$4,AA$5,I51,J51,BaroPress1,OPF))</f>
        <v/>
      </c>
      <c r="S51" s="2465" t="str">
        <f t="shared" si="23"/>
        <v/>
      </c>
      <c r="T51" s="1177" t="str">
        <f t="shared" si="27"/>
        <v/>
      </c>
      <c r="U51" s="2070" t="str">
        <f t="shared" si="17"/>
        <v/>
      </c>
      <c r="V51" s="1202" t="str">
        <f t="shared" si="28"/>
        <v/>
      </c>
      <c r="W51" s="1202" t="str">
        <f>IF(ISNUMBER(V51),$J$7+SUM(V$15:V51)/Mratio1,"")</f>
        <v/>
      </c>
      <c r="X51" s="1201" t="str">
        <f t="shared" si="29"/>
        <v/>
      </c>
      <c r="Y51" s="1201" t="str">
        <f t="shared" si="30"/>
        <v/>
      </c>
      <c r="Z51" s="1201" t="str">
        <f t="shared" si="31"/>
        <v/>
      </c>
      <c r="AA51" s="1201" t="str">
        <f t="shared" si="32"/>
        <v/>
      </c>
      <c r="AB51" s="1205" t="str">
        <f t="shared" si="33"/>
        <v/>
      </c>
    </row>
    <row r="52" spans="3:28" ht="10.5" hidden="1" customHeight="1" outlineLevel="1">
      <c r="C52" s="2437" t="b">
        <f t="shared" si="22"/>
        <v>1</v>
      </c>
      <c r="D52" s="2437">
        <v>38</v>
      </c>
      <c r="E52" s="1175" t="str">
        <f t="shared" si="2"/>
        <v/>
      </c>
      <c r="F52" s="1176" t="str">
        <f t="shared" si="24"/>
        <v/>
      </c>
      <c r="G52" s="2434" t="str">
        <f>IF(Afterflows!W51="","",Afterflows!W51)</f>
        <v/>
      </c>
      <c r="H52" s="2445" t="str">
        <f>IF(ISNUMBER(G52),IF(ISNUMBER(StackTemp1),StackTemp1,IF(Afterflows!V51="","",Afterflows!V51)),"")</f>
        <v/>
      </c>
      <c r="I52" s="2451" t="str">
        <f t="shared" si="25"/>
        <v/>
      </c>
      <c r="J52" s="2451" t="str">
        <f t="shared" si="20"/>
        <v/>
      </c>
      <c r="K52" s="2451" t="str">
        <f t="shared" si="21"/>
        <v/>
      </c>
      <c r="L52" s="2452" t="str">
        <f t="shared" si="26"/>
        <v/>
      </c>
      <c r="M52" s="2434" t="str">
        <f>IF($G52="","",Afterflows!G51)</f>
        <v/>
      </c>
      <c r="N52" s="2434" t="str">
        <f>IF($G52="","",Afterflows!H51)</f>
        <v/>
      </c>
      <c r="O52" s="2434" t="str">
        <f t="shared" si="11"/>
        <v/>
      </c>
      <c r="P52" s="2475" t="str">
        <f>Velocity(PitotID1,PitotCoeff1,Afterflows!AB51,O52,H52,StackTempAvg1,AbsPress1,MolecularWt)</f>
        <v/>
      </c>
      <c r="Q52" s="2476" t="str">
        <f t="shared" si="15"/>
        <v/>
      </c>
      <c r="R52" s="2477" t="str">
        <f>IF(Flowmeter1="ECS",IF(G52="","",S52*O52),FlowSet(AA$1,Q52,AA$2,AA$3,AA$4,AA$5,I52,J52,BaroPress1,OPF))</f>
        <v/>
      </c>
      <c r="S52" s="2465" t="str">
        <f t="shared" si="23"/>
        <v/>
      </c>
      <c r="T52" s="1177" t="str">
        <f t="shared" si="27"/>
        <v/>
      </c>
      <c r="U52" s="2070" t="str">
        <f t="shared" si="17"/>
        <v/>
      </c>
      <c r="V52" s="1202" t="str">
        <f t="shared" si="28"/>
        <v/>
      </c>
      <c r="W52" s="1202" t="str">
        <f>IF(ISNUMBER(V52),$J$7+SUM(V$15:V52)/Mratio1,"")</f>
        <v/>
      </c>
      <c r="X52" s="1201" t="str">
        <f t="shared" si="29"/>
        <v/>
      </c>
      <c r="Y52" s="1201" t="str">
        <f t="shared" si="30"/>
        <v/>
      </c>
      <c r="Z52" s="1201" t="str">
        <f t="shared" si="31"/>
        <v/>
      </c>
      <c r="AA52" s="1201" t="str">
        <f t="shared" si="32"/>
        <v/>
      </c>
      <c r="AB52" s="1205" t="str">
        <f t="shared" si="33"/>
        <v/>
      </c>
    </row>
    <row r="53" spans="3:28" ht="10.5" hidden="1" customHeight="1" outlineLevel="1">
      <c r="C53" s="2437" t="b">
        <f t="shared" si="22"/>
        <v>1</v>
      </c>
      <c r="D53" s="2437">
        <v>39</v>
      </c>
      <c r="E53" s="1175" t="str">
        <f t="shared" si="2"/>
        <v/>
      </c>
      <c r="F53" s="1176" t="str">
        <f t="shared" si="24"/>
        <v/>
      </c>
      <c r="G53" s="2434" t="str">
        <f>IF(Afterflows!W52="","",Afterflows!W52)</f>
        <v/>
      </c>
      <c r="H53" s="2445" t="str">
        <f>IF(ISNUMBER(G53),IF(ISNUMBER(StackTemp1),StackTemp1,IF(Afterflows!V52="","",Afterflows!V52)),"")</f>
        <v/>
      </c>
      <c r="I53" s="2451" t="str">
        <f t="shared" si="25"/>
        <v/>
      </c>
      <c r="J53" s="2451" t="str">
        <f t="shared" si="20"/>
        <v/>
      </c>
      <c r="K53" s="2451" t="str">
        <f t="shared" si="21"/>
        <v/>
      </c>
      <c r="L53" s="2452" t="str">
        <f t="shared" si="26"/>
        <v/>
      </c>
      <c r="M53" s="2434" t="str">
        <f>IF($G53="","",Afterflows!G52)</f>
        <v/>
      </c>
      <c r="N53" s="2434" t="str">
        <f>IF($G53="","",Afterflows!H52)</f>
        <v/>
      </c>
      <c r="O53" s="2434" t="str">
        <f t="shared" si="11"/>
        <v/>
      </c>
      <c r="P53" s="2475" t="str">
        <f>Velocity(PitotID1,PitotCoeff1,Afterflows!AB52,O53,H53,StackTempAvg1,AbsPress1,MolecularWt)</f>
        <v/>
      </c>
      <c r="Q53" s="2476" t="str">
        <f t="shared" si="15"/>
        <v/>
      </c>
      <c r="R53" s="2477" t="str">
        <f>IF(Flowmeter1="ECS",IF(G53="","",S53*O53),FlowSet(AA$1,Q53,AA$2,AA$3,AA$4,AA$5,I53,J53,BaroPress1,OPF))</f>
        <v/>
      </c>
      <c r="S53" s="2465" t="str">
        <f t="shared" si="23"/>
        <v/>
      </c>
      <c r="T53" s="1177" t="str">
        <f t="shared" si="27"/>
        <v/>
      </c>
      <c r="U53" s="2070" t="str">
        <f t="shared" si="17"/>
        <v/>
      </c>
      <c r="V53" s="1202" t="str">
        <f t="shared" si="28"/>
        <v/>
      </c>
      <c r="W53" s="1202" t="str">
        <f>IF(ISNUMBER(V53),$J$7+SUM(V$15:V53)/Mratio1,"")</f>
        <v/>
      </c>
      <c r="X53" s="1201" t="str">
        <f t="shared" si="29"/>
        <v/>
      </c>
      <c r="Y53" s="1201" t="str">
        <f t="shared" si="30"/>
        <v/>
      </c>
      <c r="Z53" s="1201" t="str">
        <f t="shared" si="31"/>
        <v/>
      </c>
      <c r="AA53" s="1201" t="str">
        <f t="shared" si="32"/>
        <v/>
      </c>
      <c r="AB53" s="1205" t="str">
        <f t="shared" si="33"/>
        <v/>
      </c>
    </row>
    <row r="54" spans="3:28" ht="10.5" hidden="1" customHeight="1" outlineLevel="1">
      <c r="C54" s="2437" t="b">
        <f t="shared" si="22"/>
        <v>1</v>
      </c>
      <c r="D54" s="2437">
        <v>40</v>
      </c>
      <c r="E54" s="1175" t="str">
        <f t="shared" si="2"/>
        <v/>
      </c>
      <c r="F54" s="1176" t="str">
        <f t="shared" si="24"/>
        <v/>
      </c>
      <c r="G54" s="2434" t="str">
        <f>IF(Afterflows!W53="","",Afterflows!W53)</f>
        <v/>
      </c>
      <c r="H54" s="2445" t="str">
        <f>IF(ISNUMBER(G54),IF(ISNUMBER(StackTemp1),StackTemp1,IF(Afterflows!V53="","",Afterflows!V53)),"")</f>
        <v/>
      </c>
      <c r="I54" s="2451" t="str">
        <f t="shared" si="25"/>
        <v/>
      </c>
      <c r="J54" s="2451" t="str">
        <f t="shared" si="20"/>
        <v/>
      </c>
      <c r="K54" s="2451" t="str">
        <f t="shared" si="21"/>
        <v/>
      </c>
      <c r="L54" s="2452" t="str">
        <f t="shared" si="26"/>
        <v/>
      </c>
      <c r="M54" s="2434" t="str">
        <f>IF($G54="","",Afterflows!G53)</f>
        <v/>
      </c>
      <c r="N54" s="2434" t="str">
        <f>IF($G54="","",Afterflows!H53)</f>
        <v/>
      </c>
      <c r="O54" s="2434" t="str">
        <f t="shared" si="11"/>
        <v/>
      </c>
      <c r="P54" s="2475" t="str">
        <f>Velocity(PitotID1,PitotCoeff1,Afterflows!AB53,O54,H54,StackTempAvg1,AbsPress1,MolecularWt)</f>
        <v/>
      </c>
      <c r="Q54" s="2476" t="str">
        <f t="shared" si="15"/>
        <v/>
      </c>
      <c r="R54" s="2477" t="str">
        <f>IF(Flowmeter1="ECS",IF(G54="","",S54*O54),FlowSet(AA$1,Q54,AA$2,AA$3,AA$4,AA$5,I54,J54,BaroPress1,OPF))</f>
        <v/>
      </c>
      <c r="S54" s="2465" t="str">
        <f t="shared" si="23"/>
        <v/>
      </c>
      <c r="T54" s="1177" t="str">
        <f t="shared" si="27"/>
        <v/>
      </c>
      <c r="U54" s="2070" t="str">
        <f t="shared" si="17"/>
        <v/>
      </c>
      <c r="V54" s="1202" t="str">
        <f t="shared" si="28"/>
        <v/>
      </c>
      <c r="W54" s="1202" t="str">
        <f>IF(ISNUMBER(V54),$J$7+SUM(V$15:V54)/Mratio1,"")</f>
        <v/>
      </c>
      <c r="X54" s="1201" t="str">
        <f t="shared" si="29"/>
        <v/>
      </c>
      <c r="Y54" s="1201" t="str">
        <f t="shared" si="30"/>
        <v/>
      </c>
      <c r="Z54" s="1201" t="str">
        <f t="shared" si="31"/>
        <v/>
      </c>
      <c r="AA54" s="1201" t="str">
        <f t="shared" si="32"/>
        <v/>
      </c>
      <c r="AB54" s="1205" t="str">
        <f t="shared" si="33"/>
        <v/>
      </c>
    </row>
    <row r="55" spans="3:28" ht="10.5" hidden="1" customHeight="1" outlineLevel="1">
      <c r="C55" s="2437" t="b">
        <f t="shared" si="22"/>
        <v>1</v>
      </c>
      <c r="D55" s="2437">
        <v>41</v>
      </c>
      <c r="E55" s="1175" t="str">
        <f t="shared" si="2"/>
        <v/>
      </c>
      <c r="F55" s="1176" t="str">
        <f t="shared" si="24"/>
        <v/>
      </c>
      <c r="G55" s="2434" t="str">
        <f>IF(Afterflows!W54="","",Afterflows!W54)</f>
        <v/>
      </c>
      <c r="H55" s="2445" t="str">
        <f>IF(ISNUMBER(G55),IF(ISNUMBER(StackTemp1),StackTemp1,IF(Afterflows!V54="","",Afterflows!V54)),"")</f>
        <v/>
      </c>
      <c r="I55" s="2451" t="str">
        <f t="shared" si="25"/>
        <v/>
      </c>
      <c r="J55" s="2451" t="str">
        <f t="shared" si="20"/>
        <v/>
      </c>
      <c r="K55" s="2451" t="str">
        <f t="shared" si="21"/>
        <v/>
      </c>
      <c r="L55" s="2452" t="str">
        <f t="shared" si="26"/>
        <v/>
      </c>
      <c r="M55" s="2434" t="str">
        <f>IF($G55="","",Afterflows!G54)</f>
        <v/>
      </c>
      <c r="N55" s="2434" t="str">
        <f>IF($G55="","",Afterflows!H54)</f>
        <v/>
      </c>
      <c r="O55" s="2434" t="str">
        <f t="shared" si="11"/>
        <v/>
      </c>
      <c r="P55" s="2475" t="str">
        <f>Velocity(PitotID1,PitotCoeff1,Afterflows!AB54,O55,H55,StackTempAvg1,AbsPress1,MolecularWt)</f>
        <v/>
      </c>
      <c r="Q55" s="2476" t="str">
        <f t="shared" si="15"/>
        <v/>
      </c>
      <c r="R55" s="2477" t="str">
        <f>IF(Flowmeter1="ECS",IF(G55="","",S55*O55),FlowSet(AA$1,Q55,AA$2,AA$3,AA$4,AA$5,I55,J55,BaroPress1,OPF))</f>
        <v/>
      </c>
      <c r="S55" s="2465" t="str">
        <f t="shared" si="23"/>
        <v/>
      </c>
      <c r="T55" s="1177" t="str">
        <f t="shared" si="27"/>
        <v/>
      </c>
      <c r="U55" s="2070" t="str">
        <f t="shared" si="17"/>
        <v/>
      </c>
      <c r="V55" s="1202" t="str">
        <f t="shared" si="28"/>
        <v/>
      </c>
      <c r="W55" s="1202" t="str">
        <f>IF(ISNUMBER(V55),$J$7+SUM(V$15:V55)/Mratio1,"")</f>
        <v/>
      </c>
      <c r="X55" s="1201" t="str">
        <f t="shared" si="29"/>
        <v/>
      </c>
      <c r="Y55" s="1201" t="str">
        <f t="shared" si="30"/>
        <v/>
      </c>
      <c r="Z55" s="1201" t="str">
        <f t="shared" si="31"/>
        <v/>
      </c>
      <c r="AA55" s="1201" t="str">
        <f t="shared" si="32"/>
        <v/>
      </c>
      <c r="AB55" s="1205" t="str">
        <f t="shared" si="33"/>
        <v/>
      </c>
    </row>
    <row r="56" spans="3:28" ht="10.5" hidden="1" customHeight="1" outlineLevel="1">
      <c r="C56" s="2437" t="b">
        <f t="shared" si="22"/>
        <v>1</v>
      </c>
      <c r="D56" s="2437">
        <v>42</v>
      </c>
      <c r="E56" s="1175" t="str">
        <f t="shared" si="2"/>
        <v/>
      </c>
      <c r="F56" s="1176" t="str">
        <f t="shared" si="24"/>
        <v/>
      </c>
      <c r="G56" s="2434" t="str">
        <f>IF(Afterflows!W55="","",Afterflows!W55)</f>
        <v/>
      </c>
      <c r="H56" s="2445" t="str">
        <f>IF(ISNUMBER(G56),IF(ISNUMBER(StackTemp1),StackTemp1,IF(Afterflows!V55="","",Afterflows!V55)),"")</f>
        <v/>
      </c>
      <c r="I56" s="2451" t="str">
        <f t="shared" si="25"/>
        <v/>
      </c>
      <c r="J56" s="2451" t="str">
        <f t="shared" si="20"/>
        <v/>
      </c>
      <c r="K56" s="2451" t="str">
        <f t="shared" si="21"/>
        <v/>
      </c>
      <c r="L56" s="2452" t="str">
        <f t="shared" si="26"/>
        <v/>
      </c>
      <c r="M56" s="2434" t="str">
        <f>IF($G56="","",Afterflows!G55)</f>
        <v/>
      </c>
      <c r="N56" s="2434" t="str">
        <f>IF($G56="","",Afterflows!H55)</f>
        <v/>
      </c>
      <c r="O56" s="2434" t="str">
        <f t="shared" si="11"/>
        <v/>
      </c>
      <c r="P56" s="2475" t="str">
        <f>Velocity(PitotID1,PitotCoeff1,Afterflows!AB55,O56,H56,StackTempAvg1,AbsPress1,MolecularWt)</f>
        <v/>
      </c>
      <c r="Q56" s="2476" t="str">
        <f t="shared" si="15"/>
        <v/>
      </c>
      <c r="R56" s="2477" t="str">
        <f>IF(Flowmeter1="ECS",IF(G56="","",S56*O56),FlowSet(AA$1,Q56,AA$2,AA$3,AA$4,AA$5,I56,J56,BaroPress1,OPF))</f>
        <v/>
      </c>
      <c r="S56" s="2465" t="str">
        <f t="shared" si="23"/>
        <v/>
      </c>
      <c r="T56" s="1177" t="str">
        <f t="shared" si="27"/>
        <v/>
      </c>
      <c r="U56" s="2070" t="str">
        <f t="shared" si="17"/>
        <v/>
      </c>
      <c r="V56" s="1202" t="str">
        <f t="shared" si="28"/>
        <v/>
      </c>
      <c r="W56" s="1202" t="str">
        <f>IF(ISNUMBER(V56),$J$7+SUM(V$15:V56)/Mratio1,"")</f>
        <v/>
      </c>
      <c r="X56" s="1201" t="str">
        <f t="shared" si="29"/>
        <v/>
      </c>
      <c r="Y56" s="1201" t="str">
        <f t="shared" si="30"/>
        <v/>
      </c>
      <c r="Z56" s="1201" t="str">
        <f t="shared" si="31"/>
        <v/>
      </c>
      <c r="AA56" s="1201" t="str">
        <f t="shared" si="32"/>
        <v/>
      </c>
      <c r="AB56" s="1205" t="str">
        <f t="shared" si="33"/>
        <v/>
      </c>
    </row>
    <row r="57" spans="3:28" ht="10.5" hidden="1" customHeight="1" outlineLevel="1">
      <c r="C57" s="2437" t="b">
        <f t="shared" si="22"/>
        <v>1</v>
      </c>
      <c r="D57" s="2437">
        <v>43</v>
      </c>
      <c r="E57" s="1175" t="str">
        <f t="shared" si="2"/>
        <v/>
      </c>
      <c r="F57" s="1176" t="str">
        <f t="shared" si="24"/>
        <v/>
      </c>
      <c r="G57" s="2434" t="str">
        <f>IF(Afterflows!W56="","",Afterflows!W56)</f>
        <v/>
      </c>
      <c r="H57" s="2445" t="str">
        <f>IF(ISNUMBER(G57),IF(ISNUMBER(StackTemp1),StackTemp1,IF(Afterflows!V56="","",Afterflows!V56)),"")</f>
        <v/>
      </c>
      <c r="I57" s="2451" t="str">
        <f t="shared" si="25"/>
        <v/>
      </c>
      <c r="J57" s="2451" t="str">
        <f t="shared" si="20"/>
        <v/>
      </c>
      <c r="K57" s="2451" t="str">
        <f t="shared" si="21"/>
        <v/>
      </c>
      <c r="L57" s="2452" t="str">
        <f t="shared" si="26"/>
        <v/>
      </c>
      <c r="M57" s="2434" t="str">
        <f>IF($G57="","",Afterflows!G56)</f>
        <v/>
      </c>
      <c r="N57" s="2434" t="str">
        <f>IF($G57="","",Afterflows!H56)</f>
        <v/>
      </c>
      <c r="O57" s="2434" t="str">
        <f t="shared" si="11"/>
        <v/>
      </c>
      <c r="P57" s="2475" t="str">
        <f>Velocity(PitotID1,PitotCoeff1,Afterflows!AB56,O57,H57,StackTempAvg1,AbsPress1,MolecularWt)</f>
        <v/>
      </c>
      <c r="Q57" s="2476" t="str">
        <f t="shared" si="15"/>
        <v/>
      </c>
      <c r="R57" s="2477" t="str">
        <f>IF(Flowmeter1="ECS",IF(G57="","",S57*O57),FlowSet(AA$1,Q57,AA$2,AA$3,AA$4,AA$5,I57,J57,BaroPress1,OPF))</f>
        <v/>
      </c>
      <c r="S57" s="2465" t="str">
        <f t="shared" si="23"/>
        <v/>
      </c>
      <c r="T57" s="1177" t="str">
        <f t="shared" si="27"/>
        <v/>
      </c>
      <c r="U57" s="2070" t="str">
        <f t="shared" si="17"/>
        <v/>
      </c>
      <c r="V57" s="1202" t="str">
        <f t="shared" si="28"/>
        <v/>
      </c>
      <c r="W57" s="1202" t="str">
        <f>IF(ISNUMBER(V57),$J$7+SUM(V$15:V57)/Mratio1,"")</f>
        <v/>
      </c>
      <c r="X57" s="1201" t="str">
        <f t="shared" si="29"/>
        <v/>
      </c>
      <c r="Y57" s="1201" t="str">
        <f t="shared" si="30"/>
        <v/>
      </c>
      <c r="Z57" s="1201" t="str">
        <f t="shared" si="31"/>
        <v/>
      </c>
      <c r="AA57" s="1201" t="str">
        <f t="shared" si="32"/>
        <v/>
      </c>
      <c r="AB57" s="1205" t="str">
        <f t="shared" si="33"/>
        <v/>
      </c>
    </row>
    <row r="58" spans="3:28" ht="10.5" hidden="1" customHeight="1" outlineLevel="1">
      <c r="C58" s="2437" t="b">
        <f t="shared" si="22"/>
        <v>1</v>
      </c>
      <c r="D58" s="2437">
        <v>44</v>
      </c>
      <c r="E58" s="1175" t="str">
        <f t="shared" si="2"/>
        <v/>
      </c>
      <c r="F58" s="1176" t="str">
        <f t="shared" si="24"/>
        <v/>
      </c>
      <c r="G58" s="2434" t="str">
        <f>IF(Afterflows!W57="","",Afterflows!W57)</f>
        <v/>
      </c>
      <c r="H58" s="2445" t="str">
        <f>IF(ISNUMBER(G58),IF(ISNUMBER(StackTemp1),StackTemp1,IF(Afterflows!V57="","",Afterflows!V57)),"")</f>
        <v/>
      </c>
      <c r="I58" s="2451" t="str">
        <f t="shared" si="25"/>
        <v/>
      </c>
      <c r="J58" s="2451" t="str">
        <f t="shared" si="20"/>
        <v/>
      </c>
      <c r="K58" s="2451" t="str">
        <f t="shared" si="21"/>
        <v/>
      </c>
      <c r="L58" s="2452" t="str">
        <f t="shared" si="26"/>
        <v/>
      </c>
      <c r="M58" s="2434" t="str">
        <f>IF($G58="","",Afterflows!G57)</f>
        <v/>
      </c>
      <c r="N58" s="2434" t="str">
        <f>IF($G58="","",Afterflows!H57)</f>
        <v/>
      </c>
      <c r="O58" s="2434" t="str">
        <f t="shared" si="11"/>
        <v/>
      </c>
      <c r="P58" s="2475" t="str">
        <f>Velocity(PitotID1,PitotCoeff1,Afterflows!AB57,O58,H58,StackTempAvg1,AbsPress1,MolecularWt)</f>
        <v/>
      </c>
      <c r="Q58" s="2476" t="str">
        <f t="shared" si="15"/>
        <v/>
      </c>
      <c r="R58" s="2477" t="str">
        <f>IF(Flowmeter1="ECS",IF(G58="","",S58*O58),FlowSet(AA$1,Q58,AA$2,AA$3,AA$4,AA$5,I58,J58,BaroPress1,OPF))</f>
        <v/>
      </c>
      <c r="S58" s="2465" t="str">
        <f t="shared" si="23"/>
        <v/>
      </c>
      <c r="T58" s="1177" t="str">
        <f t="shared" si="27"/>
        <v/>
      </c>
      <c r="U58" s="2070" t="str">
        <f t="shared" si="17"/>
        <v/>
      </c>
      <c r="V58" s="1202" t="str">
        <f t="shared" si="28"/>
        <v/>
      </c>
      <c r="W58" s="1202" t="str">
        <f>IF(ISNUMBER(V58),$J$7+SUM(V$15:V58)/Mratio1,"")</f>
        <v/>
      </c>
      <c r="X58" s="1201" t="str">
        <f t="shared" si="29"/>
        <v/>
      </c>
      <c r="Y58" s="1201" t="str">
        <f t="shared" si="30"/>
        <v/>
      </c>
      <c r="Z58" s="1201" t="str">
        <f t="shared" si="31"/>
        <v/>
      </c>
      <c r="AA58" s="1201" t="str">
        <f t="shared" si="32"/>
        <v/>
      </c>
      <c r="AB58" s="1205" t="str">
        <f t="shared" si="33"/>
        <v/>
      </c>
    </row>
    <row r="59" spans="3:28" ht="10.5" hidden="1" customHeight="1" outlineLevel="1">
      <c r="C59" s="2437" t="b">
        <f t="shared" si="22"/>
        <v>1</v>
      </c>
      <c r="D59" s="2437">
        <v>45</v>
      </c>
      <c r="E59" s="1175" t="str">
        <f t="shared" si="2"/>
        <v/>
      </c>
      <c r="F59" s="1176" t="str">
        <f t="shared" si="24"/>
        <v/>
      </c>
      <c r="G59" s="2434" t="str">
        <f>IF(Afterflows!W58="","",Afterflows!W58)</f>
        <v/>
      </c>
      <c r="H59" s="2445" t="str">
        <f>IF(ISNUMBER(G59),IF(ISNUMBER(StackTemp1),StackTemp1,IF(Afterflows!V58="","",Afterflows!V58)),"")</f>
        <v/>
      </c>
      <c r="I59" s="2451" t="str">
        <f t="shared" si="25"/>
        <v/>
      </c>
      <c r="J59" s="2451" t="str">
        <f t="shared" si="20"/>
        <v/>
      </c>
      <c r="K59" s="2451" t="str">
        <f t="shared" si="21"/>
        <v/>
      </c>
      <c r="L59" s="2452" t="str">
        <f t="shared" si="26"/>
        <v/>
      </c>
      <c r="M59" s="2434" t="str">
        <f>IF($G59="","",Afterflows!G58)</f>
        <v/>
      </c>
      <c r="N59" s="2434" t="str">
        <f>IF($G59="","",Afterflows!H58)</f>
        <v/>
      </c>
      <c r="O59" s="2434" t="str">
        <f t="shared" si="11"/>
        <v/>
      </c>
      <c r="P59" s="2475" t="str">
        <f>Velocity(PitotID1,PitotCoeff1,Afterflows!AB58,O59,H59,StackTempAvg1,AbsPress1,MolecularWt)</f>
        <v/>
      </c>
      <c r="Q59" s="2476" t="str">
        <f t="shared" si="15"/>
        <v/>
      </c>
      <c r="R59" s="2477" t="str">
        <f>IF(Flowmeter1="ECS",IF(G59="","",S59*O59),FlowSet(AA$1,Q59,AA$2,AA$3,AA$4,AA$5,I59,J59,BaroPress1,OPF))</f>
        <v/>
      </c>
      <c r="S59" s="2465" t="str">
        <f t="shared" si="23"/>
        <v/>
      </c>
      <c r="T59" s="1177" t="str">
        <f t="shared" si="27"/>
        <v/>
      </c>
      <c r="U59" s="2070" t="str">
        <f t="shared" si="17"/>
        <v/>
      </c>
      <c r="V59" s="1202" t="str">
        <f t="shared" si="28"/>
        <v/>
      </c>
      <c r="W59" s="1202" t="str">
        <f>IF(ISNUMBER(V59),$J$7+SUM(V$15:V59)/Mratio1,"")</f>
        <v/>
      </c>
      <c r="X59" s="1201" t="str">
        <f t="shared" si="29"/>
        <v/>
      </c>
      <c r="Y59" s="1201" t="str">
        <f t="shared" si="30"/>
        <v/>
      </c>
      <c r="Z59" s="1201" t="str">
        <f t="shared" si="31"/>
        <v/>
      </c>
      <c r="AA59" s="1201" t="str">
        <f t="shared" si="32"/>
        <v/>
      </c>
      <c r="AB59" s="1205" t="str">
        <f t="shared" si="33"/>
        <v/>
      </c>
    </row>
    <row r="60" spans="3:28" ht="10.5" hidden="1" customHeight="1" outlineLevel="1">
      <c r="C60" s="2437" t="b">
        <f t="shared" si="22"/>
        <v>1</v>
      </c>
      <c r="D60" s="2437">
        <v>46</v>
      </c>
      <c r="E60" s="1175" t="str">
        <f t="shared" si="2"/>
        <v/>
      </c>
      <c r="F60" s="1176" t="str">
        <f t="shared" si="24"/>
        <v/>
      </c>
      <c r="G60" s="2434" t="str">
        <f>IF(Afterflows!W59="","",Afterflows!W59)</f>
        <v/>
      </c>
      <c r="H60" s="2445" t="str">
        <f>IF(ISNUMBER(G60),IF(ISNUMBER(StackTemp1),StackTemp1,IF(Afterflows!V59="","",Afterflows!V59)),"")</f>
        <v/>
      </c>
      <c r="I60" s="2451" t="str">
        <f t="shared" si="25"/>
        <v/>
      </c>
      <c r="J60" s="2451" t="str">
        <f t="shared" si="20"/>
        <v/>
      </c>
      <c r="K60" s="2451" t="str">
        <f t="shared" si="21"/>
        <v/>
      </c>
      <c r="L60" s="2452" t="str">
        <f t="shared" si="26"/>
        <v/>
      </c>
      <c r="M60" s="2434" t="str">
        <f>IF($G60="","",Afterflows!G59)</f>
        <v/>
      </c>
      <c r="N60" s="2434" t="str">
        <f>IF($G60="","",Afterflows!H59)</f>
        <v/>
      </c>
      <c r="O60" s="2434" t="str">
        <f t="shared" si="11"/>
        <v/>
      </c>
      <c r="P60" s="2475" t="str">
        <f>Velocity(PitotID1,PitotCoeff1,Afterflows!AB59,O60,H60,StackTempAvg1,AbsPress1,MolecularWt)</f>
        <v/>
      </c>
      <c r="Q60" s="2476" t="str">
        <f t="shared" si="15"/>
        <v/>
      </c>
      <c r="R60" s="2477" t="str">
        <f>IF(Flowmeter1="ECS",IF(G60="","",S60*O60),FlowSet(AA$1,Q60,AA$2,AA$3,AA$4,AA$5,I60,J60,BaroPress1,OPF))</f>
        <v/>
      </c>
      <c r="S60" s="2465" t="str">
        <f t="shared" si="23"/>
        <v/>
      </c>
      <c r="T60" s="1177" t="str">
        <f t="shared" si="27"/>
        <v/>
      </c>
      <c r="U60" s="2070" t="str">
        <f t="shared" si="17"/>
        <v/>
      </c>
      <c r="V60" s="1202" t="str">
        <f t="shared" si="28"/>
        <v/>
      </c>
      <c r="W60" s="1202" t="str">
        <f>IF(ISNUMBER(V60),$J$7+SUM(V$15:V60)/Mratio1,"")</f>
        <v/>
      </c>
      <c r="X60" s="1201" t="str">
        <f t="shared" si="29"/>
        <v/>
      </c>
      <c r="Y60" s="1201" t="str">
        <f t="shared" si="30"/>
        <v/>
      </c>
      <c r="Z60" s="1201" t="str">
        <f t="shared" si="31"/>
        <v/>
      </c>
      <c r="AA60" s="1201" t="str">
        <f t="shared" si="32"/>
        <v/>
      </c>
      <c r="AB60" s="1205" t="str">
        <f t="shared" si="33"/>
        <v/>
      </c>
    </row>
    <row r="61" spans="3:28" ht="10.5" hidden="1" customHeight="1" outlineLevel="1">
      <c r="C61" s="2437" t="b">
        <f t="shared" si="22"/>
        <v>1</v>
      </c>
      <c r="D61" s="2437">
        <v>47</v>
      </c>
      <c r="E61" s="1175" t="str">
        <f t="shared" si="2"/>
        <v/>
      </c>
      <c r="F61" s="1176" t="str">
        <f t="shared" si="24"/>
        <v/>
      </c>
      <c r="G61" s="2434" t="str">
        <f>IF(Afterflows!W60="","",Afterflows!W60)</f>
        <v/>
      </c>
      <c r="H61" s="2445" t="str">
        <f>IF(ISNUMBER(G61),IF(ISNUMBER(StackTemp1),StackTemp1,IF(Afterflows!V60="","",Afterflows!V60)),"")</f>
        <v/>
      </c>
      <c r="I61" s="2451" t="str">
        <f t="shared" si="25"/>
        <v/>
      </c>
      <c r="J61" s="2451" t="str">
        <f t="shared" si="20"/>
        <v/>
      </c>
      <c r="K61" s="2451" t="str">
        <f t="shared" si="21"/>
        <v/>
      </c>
      <c r="L61" s="2452" t="str">
        <f t="shared" si="26"/>
        <v/>
      </c>
      <c r="M61" s="2434" t="str">
        <f>IF($G61="","",Afterflows!G60)</f>
        <v/>
      </c>
      <c r="N61" s="2434" t="str">
        <f>IF($G61="","",Afterflows!H60)</f>
        <v/>
      </c>
      <c r="O61" s="2434" t="str">
        <f t="shared" si="11"/>
        <v/>
      </c>
      <c r="P61" s="2475" t="str">
        <f>Velocity(PitotID1,PitotCoeff1,Afterflows!AB60,O61,H61,StackTempAvg1,AbsPress1,MolecularWt)</f>
        <v/>
      </c>
      <c r="Q61" s="2476" t="str">
        <f t="shared" si="15"/>
        <v/>
      </c>
      <c r="R61" s="2477" t="str">
        <f>IF(Flowmeter1="ECS",IF(G61="","",S61*O61),FlowSet(AA$1,Q61,AA$2,AA$3,AA$4,AA$5,I61,J61,BaroPress1,OPF))</f>
        <v/>
      </c>
      <c r="S61" s="2465" t="str">
        <f t="shared" si="23"/>
        <v/>
      </c>
      <c r="T61" s="1177" t="str">
        <f t="shared" si="27"/>
        <v/>
      </c>
      <c r="U61" s="2070" t="str">
        <f t="shared" si="17"/>
        <v/>
      </c>
      <c r="V61" s="1202" t="str">
        <f t="shared" si="28"/>
        <v/>
      </c>
      <c r="W61" s="1202" t="str">
        <f>IF(ISNUMBER(V61),$J$7+SUM(V$15:V61)/Mratio1,"")</f>
        <v/>
      </c>
      <c r="X61" s="1201" t="str">
        <f t="shared" si="29"/>
        <v/>
      </c>
      <c r="Y61" s="1201" t="str">
        <f t="shared" si="30"/>
        <v/>
      </c>
      <c r="Z61" s="1201" t="str">
        <f t="shared" si="31"/>
        <v/>
      </c>
      <c r="AA61" s="1201" t="str">
        <f t="shared" si="32"/>
        <v/>
      </c>
      <c r="AB61" s="1205" t="str">
        <f t="shared" si="33"/>
        <v/>
      </c>
    </row>
    <row r="62" spans="3:28" ht="10.5" hidden="1" customHeight="1" outlineLevel="1">
      <c r="C62" s="2437" t="b">
        <f t="shared" si="22"/>
        <v>1</v>
      </c>
      <c r="D62" s="2437">
        <v>48</v>
      </c>
      <c r="E62" s="1175" t="str">
        <f t="shared" si="2"/>
        <v/>
      </c>
      <c r="F62" s="1176" t="str">
        <f t="shared" si="24"/>
        <v/>
      </c>
      <c r="G62" s="2434" t="str">
        <f>IF(Afterflows!W61="","",Afterflows!W61)</f>
        <v/>
      </c>
      <c r="H62" s="2445" t="str">
        <f>IF(ISNUMBER(G62),IF(ISNUMBER(StackTemp1),StackTemp1,IF(Afterflows!V61="","",Afterflows!V61)),"")</f>
        <v/>
      </c>
      <c r="I62" s="2451" t="str">
        <f t="shared" si="25"/>
        <v/>
      </c>
      <c r="J62" s="2451" t="str">
        <f t="shared" si="20"/>
        <v/>
      </c>
      <c r="K62" s="2451" t="str">
        <f t="shared" si="21"/>
        <v/>
      </c>
      <c r="L62" s="2452" t="str">
        <f t="shared" si="26"/>
        <v/>
      </c>
      <c r="M62" s="2434" t="str">
        <f>IF($G62="","",Afterflows!G61)</f>
        <v/>
      </c>
      <c r="N62" s="2434" t="str">
        <f>IF($G62="","",Afterflows!H61)</f>
        <v/>
      </c>
      <c r="O62" s="2434" t="str">
        <f t="shared" si="11"/>
        <v/>
      </c>
      <c r="P62" s="2475" t="str">
        <f>Velocity(PitotID1,PitotCoeff1,Afterflows!AB61,O62,H62,StackTempAvg1,AbsPress1,MolecularWt)</f>
        <v/>
      </c>
      <c r="Q62" s="2476" t="str">
        <f t="shared" si="15"/>
        <v/>
      </c>
      <c r="R62" s="2477" t="str">
        <f>IF(Flowmeter1="ECS",IF(G62="","",S62*O62),FlowSet(AA$1,Q62,AA$2,AA$3,AA$4,AA$5,I62,J62,BaroPress1,OPF))</f>
        <v/>
      </c>
      <c r="S62" s="2465" t="str">
        <f t="shared" si="23"/>
        <v/>
      </c>
      <c r="T62" s="1177" t="str">
        <f t="shared" si="27"/>
        <v/>
      </c>
      <c r="U62" s="2070" t="str">
        <f t="shared" si="17"/>
        <v/>
      </c>
      <c r="V62" s="1202" t="str">
        <f t="shared" si="28"/>
        <v/>
      </c>
      <c r="W62" s="1202" t="str">
        <f>IF(ISNUMBER(V62),$J$7+SUM(V$15:V62)/Mratio1,"")</f>
        <v/>
      </c>
      <c r="X62" s="1201" t="str">
        <f t="shared" si="29"/>
        <v/>
      </c>
      <c r="Y62" s="1201" t="str">
        <f t="shared" si="30"/>
        <v/>
      </c>
      <c r="Z62" s="1201" t="str">
        <f t="shared" si="31"/>
        <v/>
      </c>
      <c r="AA62" s="1201" t="str">
        <f t="shared" si="32"/>
        <v/>
      </c>
      <c r="AB62" s="1205" t="str">
        <f t="shared" si="33"/>
        <v/>
      </c>
    </row>
    <row r="63" spans="3:28" ht="10.5" hidden="1" customHeight="1" outlineLevel="1">
      <c r="C63" s="2437" t="b">
        <f t="shared" si="22"/>
        <v>1</v>
      </c>
      <c r="D63" s="2437">
        <v>49</v>
      </c>
      <c r="E63" s="1175" t="str">
        <f t="shared" si="2"/>
        <v/>
      </c>
      <c r="F63" s="1176" t="str">
        <f t="shared" si="24"/>
        <v/>
      </c>
      <c r="G63" s="2434" t="str">
        <f>IF(Afterflows!W62="","",Afterflows!W62)</f>
        <v/>
      </c>
      <c r="H63" s="2445" t="str">
        <f>IF(ISNUMBER(G63),IF(ISNUMBER(StackTemp1),StackTemp1,IF(Afterflows!V62="","",Afterflows!V62)),"")</f>
        <v/>
      </c>
      <c r="I63" s="2451" t="str">
        <f t="shared" si="25"/>
        <v/>
      </c>
      <c r="J63" s="2451" t="str">
        <f t="shared" si="20"/>
        <v/>
      </c>
      <c r="K63" s="2451" t="str">
        <f t="shared" si="21"/>
        <v/>
      </c>
      <c r="L63" s="2452" t="str">
        <f t="shared" si="26"/>
        <v/>
      </c>
      <c r="M63" s="2434" t="str">
        <f>IF($G63="","",Afterflows!G62)</f>
        <v/>
      </c>
      <c r="N63" s="2434" t="str">
        <f>IF($G63="","",Afterflows!H62)</f>
        <v/>
      </c>
      <c r="O63" s="2434" t="str">
        <f t="shared" si="11"/>
        <v/>
      </c>
      <c r="P63" s="2475" t="str">
        <f>Velocity(PitotID1,PitotCoeff1,Afterflows!AB62,O63,H63,StackTempAvg1,AbsPress1,MolecularWt)</f>
        <v/>
      </c>
      <c r="Q63" s="2476" t="str">
        <f t="shared" si="15"/>
        <v/>
      </c>
      <c r="R63" s="2477" t="str">
        <f>IF(Flowmeter1="ECS",IF(G63="","",S63*O63),FlowSet(AA$1,Q63,AA$2,AA$3,AA$4,AA$5,I63,J63,BaroPress1,OPF))</f>
        <v/>
      </c>
      <c r="S63" s="2465" t="str">
        <f t="shared" si="23"/>
        <v/>
      </c>
      <c r="T63" s="1177" t="str">
        <f t="shared" si="27"/>
        <v/>
      </c>
      <c r="U63" s="2070" t="str">
        <f t="shared" si="17"/>
        <v/>
      </c>
      <c r="V63" s="1202" t="str">
        <f t="shared" si="28"/>
        <v/>
      </c>
      <c r="W63" s="1202" t="str">
        <f>IF(ISNUMBER(V63),$J$7+SUM(V$15:V63)/Mratio1,"")</f>
        <v/>
      </c>
      <c r="X63" s="1201" t="str">
        <f t="shared" si="29"/>
        <v/>
      </c>
      <c r="Y63" s="1201" t="str">
        <f t="shared" si="30"/>
        <v/>
      </c>
      <c r="Z63" s="1201" t="str">
        <f t="shared" si="31"/>
        <v/>
      </c>
      <c r="AA63" s="1201" t="str">
        <f t="shared" si="32"/>
        <v/>
      </c>
      <c r="AB63" s="1205" t="str">
        <f t="shared" si="33"/>
        <v/>
      </c>
    </row>
    <row r="64" spans="3:28" ht="10.5" hidden="1" customHeight="1" outlineLevel="1">
      <c r="C64" s="2437" t="b">
        <f t="shared" si="22"/>
        <v>1</v>
      </c>
      <c r="D64" s="2437">
        <v>50</v>
      </c>
      <c r="E64" s="1175" t="str">
        <f t="shared" si="2"/>
        <v/>
      </c>
      <c r="F64" s="1176" t="str">
        <f t="shared" si="24"/>
        <v/>
      </c>
      <c r="G64" s="2434" t="str">
        <f>IF(Afterflows!W63="","",Afterflows!W63)</f>
        <v/>
      </c>
      <c r="H64" s="2445" t="str">
        <f>IF(ISNUMBER(G64),IF(ISNUMBER(StackTemp1),StackTemp1,IF(Afterflows!V63="","",Afterflows!V63)),"")</f>
        <v/>
      </c>
      <c r="I64" s="2451" t="str">
        <f t="shared" si="25"/>
        <v/>
      </c>
      <c r="J64" s="2451" t="str">
        <f t="shared" si="20"/>
        <v/>
      </c>
      <c r="K64" s="2451" t="str">
        <f t="shared" si="21"/>
        <v/>
      </c>
      <c r="L64" s="2452" t="str">
        <f t="shared" si="26"/>
        <v/>
      </c>
      <c r="M64" s="2434" t="str">
        <f>IF($G64="","",Afterflows!G63)</f>
        <v/>
      </c>
      <c r="N64" s="2434" t="str">
        <f>IF($G64="","",Afterflows!H63)</f>
        <v/>
      </c>
      <c r="O64" s="2434" t="str">
        <f t="shared" si="11"/>
        <v/>
      </c>
      <c r="P64" s="2475" t="str">
        <f>Velocity(PitotID1,PitotCoeff1,Afterflows!AB63,O64,H64,StackTempAvg1,AbsPress1,MolecularWt)</f>
        <v/>
      </c>
      <c r="Q64" s="2476" t="str">
        <f t="shared" si="15"/>
        <v/>
      </c>
      <c r="R64" s="2477" t="str">
        <f>IF(Flowmeter1="ECS",IF(G64="","",S64*O64),FlowSet(AA$1,Q64,AA$2,AA$3,AA$4,AA$5,I64,J64,BaroPress1,OPF))</f>
        <v/>
      </c>
      <c r="S64" s="2465" t="str">
        <f t="shared" si="23"/>
        <v/>
      </c>
      <c r="T64" s="1177" t="str">
        <f t="shared" si="27"/>
        <v/>
      </c>
      <c r="U64" s="2070" t="str">
        <f t="shared" si="17"/>
        <v/>
      </c>
      <c r="V64" s="1202" t="str">
        <f t="shared" si="28"/>
        <v/>
      </c>
      <c r="W64" s="1202" t="str">
        <f>IF(ISNUMBER(V64),$J$7+SUM(V$15:V64)/Mratio1,"")</f>
        <v/>
      </c>
      <c r="X64" s="1201" t="str">
        <f t="shared" si="29"/>
        <v/>
      </c>
      <c r="Y64" s="1201" t="str">
        <f t="shared" si="30"/>
        <v/>
      </c>
      <c r="Z64" s="1201" t="str">
        <f t="shared" si="31"/>
        <v/>
      </c>
      <c r="AA64" s="1201" t="str">
        <f t="shared" si="32"/>
        <v/>
      </c>
      <c r="AB64" s="1205" t="str">
        <f t="shared" si="33"/>
        <v/>
      </c>
    </row>
    <row r="65" spans="3:28" ht="10.5" hidden="1" customHeight="1" outlineLevel="1">
      <c r="C65" s="2437" t="b">
        <f t="shared" si="22"/>
        <v>1</v>
      </c>
      <c r="D65" s="2437">
        <v>51</v>
      </c>
      <c r="E65" s="1175" t="str">
        <f t="shared" si="2"/>
        <v/>
      </c>
      <c r="F65" s="1176" t="str">
        <f t="shared" si="24"/>
        <v/>
      </c>
      <c r="G65" s="2434" t="str">
        <f>IF(Afterflows!W64="","",Afterflows!W64)</f>
        <v/>
      </c>
      <c r="H65" s="2445" t="str">
        <f>IF(ISNUMBER(G65),IF(ISNUMBER(StackTemp1),StackTemp1,IF(Afterflows!V64="","",Afterflows!V64)),"")</f>
        <v/>
      </c>
      <c r="I65" s="2451" t="str">
        <f t="shared" si="25"/>
        <v/>
      </c>
      <c r="J65" s="2451" t="str">
        <f t="shared" si="20"/>
        <v/>
      </c>
      <c r="K65" s="2451" t="str">
        <f t="shared" si="21"/>
        <v/>
      </c>
      <c r="L65" s="2452" t="str">
        <f t="shared" si="26"/>
        <v/>
      </c>
      <c r="M65" s="2434" t="str">
        <f>IF($G65="","",Afterflows!G64)</f>
        <v/>
      </c>
      <c r="N65" s="2434" t="str">
        <f>IF($G65="","",Afterflows!H64)</f>
        <v/>
      </c>
      <c r="O65" s="2434" t="str">
        <f t="shared" si="11"/>
        <v/>
      </c>
      <c r="P65" s="2475" t="str">
        <f>Velocity(PitotID1,PitotCoeff1,Afterflows!AB64,O65,H65,StackTempAvg1,AbsPress1,MolecularWt)</f>
        <v/>
      </c>
      <c r="Q65" s="2476" t="str">
        <f t="shared" si="15"/>
        <v/>
      </c>
      <c r="R65" s="2477" t="str">
        <f>IF(Flowmeter1="ECS",IF(G65="","",S65*O65),FlowSet(AA$1,Q65,AA$2,AA$3,AA$4,AA$5,I65,J65,BaroPress1,OPF))</f>
        <v/>
      </c>
      <c r="S65" s="2465" t="str">
        <f t="shared" si="23"/>
        <v/>
      </c>
      <c r="T65" s="1177" t="str">
        <f t="shared" si="27"/>
        <v/>
      </c>
      <c r="U65" s="2070" t="str">
        <f t="shared" si="17"/>
        <v/>
      </c>
      <c r="V65" s="1202" t="str">
        <f t="shared" si="28"/>
        <v/>
      </c>
      <c r="W65" s="1202" t="str">
        <f>IF(ISNUMBER(V65),$J$7+SUM(V$15:V65)/Mratio1,"")</f>
        <v/>
      </c>
      <c r="X65" s="1201" t="str">
        <f t="shared" si="29"/>
        <v/>
      </c>
      <c r="Y65" s="1201" t="str">
        <f t="shared" si="30"/>
        <v/>
      </c>
      <c r="Z65" s="1201" t="str">
        <f t="shared" si="31"/>
        <v/>
      </c>
      <c r="AA65" s="1201" t="str">
        <f t="shared" si="32"/>
        <v/>
      </c>
      <c r="AB65" s="1205" t="str">
        <f t="shared" si="33"/>
        <v/>
      </c>
    </row>
    <row r="66" spans="3:28" ht="10.5" hidden="1" customHeight="1" outlineLevel="1">
      <c r="C66" s="2437" t="b">
        <f t="shared" si="22"/>
        <v>1</v>
      </c>
      <c r="D66" s="2437">
        <v>52</v>
      </c>
      <c r="E66" s="1175" t="str">
        <f t="shared" si="2"/>
        <v/>
      </c>
      <c r="F66" s="1176" t="str">
        <f t="shared" si="24"/>
        <v/>
      </c>
      <c r="G66" s="2434" t="str">
        <f>IF(Afterflows!W65="","",Afterflows!W65)</f>
        <v/>
      </c>
      <c r="H66" s="2445" t="str">
        <f>IF(ISNUMBER(G66),IF(ISNUMBER(StackTemp1),StackTemp1,IF(Afterflows!V65="","",Afterflows!V65)),"")</f>
        <v/>
      </c>
      <c r="I66" s="2451" t="str">
        <f t="shared" si="25"/>
        <v/>
      </c>
      <c r="J66" s="2451" t="str">
        <f t="shared" si="20"/>
        <v/>
      </c>
      <c r="K66" s="2451" t="str">
        <f t="shared" si="21"/>
        <v/>
      </c>
      <c r="L66" s="2452" t="str">
        <f t="shared" si="26"/>
        <v/>
      </c>
      <c r="M66" s="2434" t="str">
        <f>IF($G66="","",Afterflows!G65)</f>
        <v/>
      </c>
      <c r="N66" s="2434" t="str">
        <f>IF($G66="","",Afterflows!H65)</f>
        <v/>
      </c>
      <c r="O66" s="2434" t="str">
        <f t="shared" si="11"/>
        <v/>
      </c>
      <c r="P66" s="2475" t="str">
        <f>Velocity(PitotID1,PitotCoeff1,Afterflows!AB65,O66,H66,StackTempAvg1,AbsPress1,MolecularWt)</f>
        <v/>
      </c>
      <c r="Q66" s="2476" t="str">
        <f t="shared" si="15"/>
        <v/>
      </c>
      <c r="R66" s="2477" t="str">
        <f>IF(Flowmeter1="ECS",IF(G66="","",S66*O66),FlowSet(AA$1,Q66,AA$2,AA$3,AA$4,AA$5,I66,J66,BaroPress1,OPF))</f>
        <v/>
      </c>
      <c r="S66" s="2465" t="str">
        <f t="shared" si="23"/>
        <v/>
      </c>
      <c r="T66" s="1177" t="str">
        <f t="shared" si="27"/>
        <v/>
      </c>
      <c r="U66" s="2070" t="str">
        <f t="shared" si="17"/>
        <v/>
      </c>
      <c r="V66" s="1202" t="str">
        <f t="shared" si="28"/>
        <v/>
      </c>
      <c r="W66" s="1202" t="str">
        <f>IF(ISNUMBER(V66),$J$7+SUM(V$15:V66)/Mratio1,"")</f>
        <v/>
      </c>
      <c r="X66" s="1201" t="str">
        <f t="shared" si="29"/>
        <v/>
      </c>
      <c r="Y66" s="1201" t="str">
        <f t="shared" si="30"/>
        <v/>
      </c>
      <c r="Z66" s="1201" t="str">
        <f t="shared" si="31"/>
        <v/>
      </c>
      <c r="AA66" s="1201" t="str">
        <f t="shared" si="32"/>
        <v/>
      </c>
      <c r="AB66" s="1205" t="str">
        <f t="shared" si="33"/>
        <v/>
      </c>
    </row>
    <row r="67" spans="3:28" ht="10.5" hidden="1" customHeight="1" outlineLevel="1">
      <c r="C67" s="2437" t="b">
        <f t="shared" si="22"/>
        <v>1</v>
      </c>
      <c r="D67" s="2437">
        <v>53</v>
      </c>
      <c r="E67" s="1175" t="str">
        <f t="shared" si="2"/>
        <v/>
      </c>
      <c r="F67" s="1176" t="str">
        <f t="shared" si="24"/>
        <v/>
      </c>
      <c r="G67" s="2434" t="str">
        <f>IF(Afterflows!W66="","",Afterflows!W66)</f>
        <v/>
      </c>
      <c r="H67" s="2445" t="str">
        <f>IF(ISNUMBER(G67),IF(ISNUMBER(StackTemp1),StackTemp1,IF(Afterflows!V66="","",Afterflows!V66)),"")</f>
        <v/>
      </c>
      <c r="I67" s="2451" t="str">
        <f t="shared" si="25"/>
        <v/>
      </c>
      <c r="J67" s="2451" t="str">
        <f t="shared" si="20"/>
        <v/>
      </c>
      <c r="K67" s="2451" t="str">
        <f t="shared" si="21"/>
        <v/>
      </c>
      <c r="L67" s="2452" t="str">
        <f t="shared" si="26"/>
        <v/>
      </c>
      <c r="M67" s="2434" t="str">
        <f>IF($G67="","",Afterflows!G66)</f>
        <v/>
      </c>
      <c r="N67" s="2434" t="str">
        <f>IF($G67="","",Afterflows!H66)</f>
        <v/>
      </c>
      <c r="O67" s="2434" t="str">
        <f t="shared" si="11"/>
        <v/>
      </c>
      <c r="P67" s="2475" t="str">
        <f>Velocity(PitotID1,PitotCoeff1,Afterflows!AB66,O67,H67,StackTempAvg1,AbsPress1,MolecularWt)</f>
        <v/>
      </c>
      <c r="Q67" s="2476" t="str">
        <f t="shared" si="15"/>
        <v/>
      </c>
      <c r="R67" s="2477" t="str">
        <f>IF(Flowmeter1="ECS",IF(G67="","",S67*O67),FlowSet(AA$1,Q67,AA$2,AA$3,AA$4,AA$5,I67,J67,BaroPress1,OPF))</f>
        <v/>
      </c>
      <c r="S67" s="2465" t="str">
        <f t="shared" si="23"/>
        <v/>
      </c>
      <c r="T67" s="1177" t="str">
        <f t="shared" si="27"/>
        <v/>
      </c>
      <c r="U67" s="2070" t="str">
        <f t="shared" si="17"/>
        <v/>
      </c>
      <c r="V67" s="1202" t="str">
        <f t="shared" si="28"/>
        <v/>
      </c>
      <c r="W67" s="1202" t="str">
        <f>IF(ISNUMBER(V67),$J$7+SUM(V$15:V67)/Mratio1,"")</f>
        <v/>
      </c>
      <c r="X67" s="1201" t="str">
        <f t="shared" si="29"/>
        <v/>
      </c>
      <c r="Y67" s="1201" t="str">
        <f t="shared" si="30"/>
        <v/>
      </c>
      <c r="Z67" s="1201" t="str">
        <f t="shared" si="31"/>
        <v/>
      </c>
      <c r="AA67" s="1201" t="str">
        <f t="shared" si="32"/>
        <v/>
      </c>
      <c r="AB67" s="1205" t="str">
        <f t="shared" si="33"/>
        <v/>
      </c>
    </row>
    <row r="68" spans="3:28" ht="10.5" hidden="1" customHeight="1" outlineLevel="1">
      <c r="C68" s="2437" t="b">
        <f t="shared" si="22"/>
        <v>1</v>
      </c>
      <c r="D68" s="2437">
        <v>54</v>
      </c>
      <c r="E68" s="1175" t="str">
        <f t="shared" si="2"/>
        <v/>
      </c>
      <c r="F68" s="1176" t="str">
        <f t="shared" si="24"/>
        <v/>
      </c>
      <c r="G68" s="2434" t="str">
        <f>IF(Afterflows!W67="","",Afterflows!W67)</f>
        <v/>
      </c>
      <c r="H68" s="2445" t="str">
        <f>IF(ISNUMBER(G68),IF(ISNUMBER(StackTemp1),StackTemp1,IF(Afterflows!V67="","",Afterflows!V67)),"")</f>
        <v/>
      </c>
      <c r="I68" s="2451" t="str">
        <f t="shared" si="25"/>
        <v/>
      </c>
      <c r="J68" s="2451" t="str">
        <f t="shared" si="20"/>
        <v/>
      </c>
      <c r="K68" s="2451" t="str">
        <f t="shared" si="21"/>
        <v/>
      </c>
      <c r="L68" s="2452" t="str">
        <f t="shared" si="26"/>
        <v/>
      </c>
      <c r="M68" s="2434" t="str">
        <f>IF($G68="","",Afterflows!G67)</f>
        <v/>
      </c>
      <c r="N68" s="2434" t="str">
        <f>IF($G68="","",Afterflows!H67)</f>
        <v/>
      </c>
      <c r="O68" s="2434" t="str">
        <f t="shared" si="11"/>
        <v/>
      </c>
      <c r="P68" s="2475" t="str">
        <f>Velocity(PitotID1,PitotCoeff1,Afterflows!AB67,O68,H68,StackTempAvg1,AbsPress1,MolecularWt)</f>
        <v/>
      </c>
      <c r="Q68" s="2476" t="str">
        <f t="shared" si="15"/>
        <v/>
      </c>
      <c r="R68" s="2477" t="str">
        <f>IF(Flowmeter1="ECS",IF(G68="","",S68*O68),FlowSet(AA$1,Q68,AA$2,AA$3,AA$4,AA$5,I68,J68,BaroPress1,OPF))</f>
        <v/>
      </c>
      <c r="S68" s="2465" t="str">
        <f t="shared" si="23"/>
        <v/>
      </c>
      <c r="T68" s="1177" t="str">
        <f t="shared" si="27"/>
        <v/>
      </c>
      <c r="U68" s="2070" t="str">
        <f t="shared" si="17"/>
        <v/>
      </c>
      <c r="V68" s="1202" t="str">
        <f t="shared" si="28"/>
        <v/>
      </c>
      <c r="W68" s="1202" t="str">
        <f>IF(ISNUMBER(V68),$J$7+SUM(V$15:V68)/Mratio1,"")</f>
        <v/>
      </c>
      <c r="X68" s="1201" t="str">
        <f t="shared" si="29"/>
        <v/>
      </c>
      <c r="Y68" s="1201" t="str">
        <f t="shared" si="30"/>
        <v/>
      </c>
      <c r="Z68" s="1201" t="str">
        <f t="shared" si="31"/>
        <v/>
      </c>
      <c r="AA68" s="1201" t="str">
        <f t="shared" si="32"/>
        <v/>
      </c>
      <c r="AB68" s="1205" t="str">
        <f t="shared" si="33"/>
        <v/>
      </c>
    </row>
    <row r="69" spans="3:28" ht="10.5" hidden="1" customHeight="1" outlineLevel="1">
      <c r="C69" s="2437" t="b">
        <f t="shared" si="22"/>
        <v>1</v>
      </c>
      <c r="D69" s="2437">
        <v>55</v>
      </c>
      <c r="E69" s="1175" t="str">
        <f t="shared" si="2"/>
        <v/>
      </c>
      <c r="F69" s="1176" t="str">
        <f t="shared" si="24"/>
        <v/>
      </c>
      <c r="G69" s="2434" t="str">
        <f>IF(Afterflows!W68="","",Afterflows!W68)</f>
        <v/>
      </c>
      <c r="H69" s="2445" t="str">
        <f>IF(ISNUMBER(G69),IF(ISNUMBER(StackTemp1),StackTemp1,IF(Afterflows!V68="","",Afterflows!V68)),"")</f>
        <v/>
      </c>
      <c r="I69" s="2451" t="str">
        <f t="shared" si="25"/>
        <v/>
      </c>
      <c r="J69" s="2451" t="str">
        <f t="shared" si="20"/>
        <v/>
      </c>
      <c r="K69" s="2451" t="str">
        <f t="shared" si="21"/>
        <v/>
      </c>
      <c r="L69" s="2452" t="str">
        <f t="shared" si="26"/>
        <v/>
      </c>
      <c r="M69" s="2434" t="str">
        <f>IF($G69="","",Afterflows!G68)</f>
        <v/>
      </c>
      <c r="N69" s="2434" t="str">
        <f>IF($G69="","",Afterflows!H68)</f>
        <v/>
      </c>
      <c r="O69" s="2434" t="str">
        <f t="shared" si="11"/>
        <v/>
      </c>
      <c r="P69" s="2475" t="str">
        <f>Velocity(PitotID1,PitotCoeff1,Afterflows!AB68,O69,H69,StackTempAvg1,AbsPress1,MolecularWt)</f>
        <v/>
      </c>
      <c r="Q69" s="2476" t="str">
        <f t="shared" si="15"/>
        <v/>
      </c>
      <c r="R69" s="2477" t="str">
        <f>IF(Flowmeter1="ECS",IF(G69="","",S69*O69),FlowSet(AA$1,Q69,AA$2,AA$3,AA$4,AA$5,I69,J69,BaroPress1,OPF))</f>
        <v/>
      </c>
      <c r="S69" s="2465" t="str">
        <f t="shared" si="23"/>
        <v/>
      </c>
      <c r="T69" s="1177" t="str">
        <f t="shared" si="27"/>
        <v/>
      </c>
      <c r="U69" s="2070" t="str">
        <f t="shared" si="17"/>
        <v/>
      </c>
      <c r="V69" s="1202" t="str">
        <f t="shared" si="28"/>
        <v/>
      </c>
      <c r="W69" s="1202" t="str">
        <f>IF(ISNUMBER(V69),$J$7+SUM(V$15:V69)/Mratio1,"")</f>
        <v/>
      </c>
      <c r="X69" s="1201" t="str">
        <f t="shared" si="29"/>
        <v/>
      </c>
      <c r="Y69" s="1201" t="str">
        <f t="shared" si="30"/>
        <v/>
      </c>
      <c r="Z69" s="1201" t="str">
        <f t="shared" si="31"/>
        <v/>
      </c>
      <c r="AA69" s="1201" t="str">
        <f t="shared" si="32"/>
        <v/>
      </c>
      <c r="AB69" s="1205" t="str">
        <f t="shared" si="33"/>
        <v/>
      </c>
    </row>
    <row r="70" spans="3:28" ht="10.5" hidden="1" customHeight="1" outlineLevel="1">
      <c r="C70" s="2437" t="b">
        <f t="shared" si="22"/>
        <v>1</v>
      </c>
      <c r="D70" s="2437">
        <v>56</v>
      </c>
      <c r="E70" s="1175" t="str">
        <f t="shared" si="2"/>
        <v/>
      </c>
      <c r="F70" s="1176" t="str">
        <f t="shared" si="24"/>
        <v/>
      </c>
      <c r="G70" s="2434" t="str">
        <f>IF(Afterflows!W69="","",Afterflows!W69)</f>
        <v/>
      </c>
      <c r="H70" s="2445" t="str">
        <f>IF(ISNUMBER(G70),IF(ISNUMBER(StackTemp1),StackTemp1,IF(Afterflows!V69="","",Afterflows!V69)),"")</f>
        <v/>
      </c>
      <c r="I70" s="2451" t="str">
        <f t="shared" si="25"/>
        <v/>
      </c>
      <c r="J70" s="2451" t="str">
        <f t="shared" si="20"/>
        <v/>
      </c>
      <c r="K70" s="2451" t="str">
        <f t="shared" si="21"/>
        <v/>
      </c>
      <c r="L70" s="2452" t="str">
        <f t="shared" si="26"/>
        <v/>
      </c>
      <c r="M70" s="2434" t="str">
        <f>IF($G70="","",Afterflows!G69)</f>
        <v/>
      </c>
      <c r="N70" s="2434" t="str">
        <f>IF($G70="","",Afterflows!H69)</f>
        <v/>
      </c>
      <c r="O70" s="2434" t="str">
        <f t="shared" si="11"/>
        <v/>
      </c>
      <c r="P70" s="2475" t="str">
        <f>Velocity(PitotID1,PitotCoeff1,Afterflows!AB69,O70,H70,StackTempAvg1,AbsPress1,MolecularWt)</f>
        <v/>
      </c>
      <c r="Q70" s="2476" t="str">
        <f t="shared" si="15"/>
        <v/>
      </c>
      <c r="R70" s="2477" t="str">
        <f>IF(Flowmeter1="ECS",IF(G70="","",S70*O70),FlowSet(AA$1,Q70,AA$2,AA$3,AA$4,AA$5,I70,J70,BaroPress1,OPF))</f>
        <v/>
      </c>
      <c r="S70" s="2465" t="str">
        <f t="shared" si="23"/>
        <v/>
      </c>
      <c r="T70" s="1177" t="str">
        <f t="shared" si="27"/>
        <v/>
      </c>
      <c r="U70" s="2070" t="str">
        <f t="shared" si="17"/>
        <v/>
      </c>
      <c r="V70" s="1202" t="str">
        <f t="shared" si="28"/>
        <v/>
      </c>
      <c r="W70" s="1202" t="str">
        <f>IF(ISNUMBER(V70),$J$7+SUM(V$15:V70)/Mratio1,"")</f>
        <v/>
      </c>
      <c r="X70" s="1201" t="str">
        <f t="shared" si="29"/>
        <v/>
      </c>
      <c r="Y70" s="1201" t="str">
        <f t="shared" si="30"/>
        <v/>
      </c>
      <c r="Z70" s="1201" t="str">
        <f t="shared" si="31"/>
        <v/>
      </c>
      <c r="AA70" s="1201" t="str">
        <f t="shared" si="32"/>
        <v/>
      </c>
      <c r="AB70" s="1205" t="str">
        <f t="shared" si="33"/>
        <v/>
      </c>
    </row>
    <row r="71" spans="3:28" ht="10.5" hidden="1" customHeight="1" outlineLevel="1">
      <c r="C71" s="2437" t="b">
        <f t="shared" si="22"/>
        <v>1</v>
      </c>
      <c r="D71" s="2437">
        <v>57</v>
      </c>
      <c r="E71" s="1175" t="str">
        <f t="shared" si="2"/>
        <v/>
      </c>
      <c r="F71" s="1176" t="str">
        <f t="shared" si="24"/>
        <v/>
      </c>
      <c r="G71" s="2434" t="str">
        <f>IF(Afterflows!W70="","",Afterflows!W70)</f>
        <v/>
      </c>
      <c r="H71" s="2445" t="str">
        <f>IF(ISNUMBER(G71),IF(ISNUMBER(StackTemp1),StackTemp1,IF(Afterflows!V70="","",Afterflows!V70)),"")</f>
        <v/>
      </c>
      <c r="I71" s="2451" t="str">
        <f t="shared" si="25"/>
        <v/>
      </c>
      <c r="J71" s="2451" t="str">
        <f t="shared" si="20"/>
        <v/>
      </c>
      <c r="K71" s="2451" t="str">
        <f t="shared" si="21"/>
        <v/>
      </c>
      <c r="L71" s="2452" t="str">
        <f t="shared" si="26"/>
        <v/>
      </c>
      <c r="M71" s="2434" t="str">
        <f>IF($G71="","",Afterflows!G70)</f>
        <v/>
      </c>
      <c r="N71" s="2434" t="str">
        <f>IF($G71="","",Afterflows!H70)</f>
        <v/>
      </c>
      <c r="O71" s="2434" t="str">
        <f t="shared" si="11"/>
        <v/>
      </c>
      <c r="P71" s="2475" t="str">
        <f>Velocity(PitotID1,PitotCoeff1,Afterflows!AB70,O71,H71,StackTempAvg1,AbsPress1,MolecularWt)</f>
        <v/>
      </c>
      <c r="Q71" s="2476" t="str">
        <f t="shared" si="15"/>
        <v/>
      </c>
      <c r="R71" s="2477" t="str">
        <f>IF(Flowmeter1="ECS",IF(G71="","",S71*O71),FlowSet(AA$1,Q71,AA$2,AA$3,AA$4,AA$5,I71,J71,BaroPress1,OPF))</f>
        <v/>
      </c>
      <c r="S71" s="2465" t="str">
        <f t="shared" si="23"/>
        <v/>
      </c>
      <c r="T71" s="1177" t="str">
        <f t="shared" si="27"/>
        <v/>
      </c>
      <c r="U71" s="2070" t="str">
        <f t="shared" si="17"/>
        <v/>
      </c>
      <c r="V71" s="1202" t="str">
        <f t="shared" si="28"/>
        <v/>
      </c>
      <c r="W71" s="1202" t="str">
        <f>IF(ISNUMBER(V71),$J$7+SUM(V$15:V71)/Mratio1,"")</f>
        <v/>
      </c>
      <c r="X71" s="1201" t="str">
        <f t="shared" si="29"/>
        <v/>
      </c>
      <c r="Y71" s="1201" t="str">
        <f t="shared" si="30"/>
        <v/>
      </c>
      <c r="Z71" s="1201" t="str">
        <f t="shared" si="31"/>
        <v/>
      </c>
      <c r="AA71" s="1201" t="str">
        <f t="shared" si="32"/>
        <v/>
      </c>
      <c r="AB71" s="1205" t="str">
        <f t="shared" si="33"/>
        <v/>
      </c>
    </row>
    <row r="72" spans="3:28" ht="10.5" hidden="1" customHeight="1" outlineLevel="1">
      <c r="C72" s="2437" t="b">
        <f t="shared" si="22"/>
        <v>1</v>
      </c>
      <c r="D72" s="2437">
        <v>58</v>
      </c>
      <c r="E72" s="1175" t="str">
        <f t="shared" si="2"/>
        <v/>
      </c>
      <c r="F72" s="1176" t="str">
        <f t="shared" si="24"/>
        <v/>
      </c>
      <c r="G72" s="2434" t="str">
        <f>IF(Afterflows!W71="","",Afterflows!W71)</f>
        <v/>
      </c>
      <c r="H72" s="2445" t="str">
        <f>IF(ISNUMBER(G72),IF(ISNUMBER(StackTemp1),StackTemp1,IF(Afterflows!V71="","",Afterflows!V71)),"")</f>
        <v/>
      </c>
      <c r="I72" s="2451" t="str">
        <f t="shared" si="25"/>
        <v/>
      </c>
      <c r="J72" s="2451" t="str">
        <f t="shared" si="20"/>
        <v/>
      </c>
      <c r="K72" s="2451" t="str">
        <f t="shared" si="21"/>
        <v/>
      </c>
      <c r="L72" s="2452" t="str">
        <f t="shared" si="26"/>
        <v/>
      </c>
      <c r="M72" s="2434" t="str">
        <f>IF($G72="","",Afterflows!G71)</f>
        <v/>
      </c>
      <c r="N72" s="2434" t="str">
        <f>IF($G72="","",Afterflows!H71)</f>
        <v/>
      </c>
      <c r="O72" s="2434" t="str">
        <f t="shared" si="11"/>
        <v/>
      </c>
      <c r="P72" s="2475" t="str">
        <f>Velocity(PitotID1,PitotCoeff1,Afterflows!AB71,O72,H72,StackTempAvg1,AbsPress1,MolecularWt)</f>
        <v/>
      </c>
      <c r="Q72" s="2476" t="str">
        <f t="shared" si="15"/>
        <v/>
      </c>
      <c r="R72" s="2477" t="str">
        <f>IF(Flowmeter1="ECS",IF(G72="","",S72*O72),FlowSet(AA$1,Q72,AA$2,AA$3,AA$4,AA$5,I72,J72,BaroPress1,OPF))</f>
        <v/>
      </c>
      <c r="S72" s="2465" t="str">
        <f t="shared" si="23"/>
        <v/>
      </c>
      <c r="T72" s="1177" t="str">
        <f t="shared" si="27"/>
        <v/>
      </c>
      <c r="U72" s="2070" t="str">
        <f t="shared" si="17"/>
        <v/>
      </c>
      <c r="V72" s="1202" t="str">
        <f t="shared" si="28"/>
        <v/>
      </c>
      <c r="W72" s="1202" t="str">
        <f>IF(ISNUMBER(V72),$J$7+SUM(V$15:V72)/Mratio1,"")</f>
        <v/>
      </c>
      <c r="X72" s="1201" t="str">
        <f t="shared" si="29"/>
        <v/>
      </c>
      <c r="Y72" s="1201" t="str">
        <f t="shared" si="30"/>
        <v/>
      </c>
      <c r="Z72" s="1201" t="str">
        <f t="shared" si="31"/>
        <v/>
      </c>
      <c r="AA72" s="1201" t="str">
        <f t="shared" si="32"/>
        <v/>
      </c>
      <c r="AB72" s="1205" t="str">
        <f t="shared" si="33"/>
        <v/>
      </c>
    </row>
    <row r="73" spans="3:28" ht="10.5" hidden="1" customHeight="1" outlineLevel="1">
      <c r="C73" s="2437" t="b">
        <f t="shared" si="22"/>
        <v>1</v>
      </c>
      <c r="D73" s="2437">
        <v>59</v>
      </c>
      <c r="E73" s="1175" t="str">
        <f t="shared" si="2"/>
        <v/>
      </c>
      <c r="F73" s="1176" t="str">
        <f t="shared" si="24"/>
        <v/>
      </c>
      <c r="G73" s="2434" t="str">
        <f>IF(Afterflows!W72="","",Afterflows!W72)</f>
        <v/>
      </c>
      <c r="H73" s="2445" t="str">
        <f>IF(ISNUMBER(G73),IF(ISNUMBER(StackTemp1),StackTemp1,IF(Afterflows!V72="","",Afterflows!V72)),"")</f>
        <v/>
      </c>
      <c r="I73" s="2451" t="str">
        <f t="shared" si="25"/>
        <v/>
      </c>
      <c r="J73" s="2451" t="str">
        <f t="shared" si="20"/>
        <v/>
      </c>
      <c r="K73" s="2451" t="str">
        <f t="shared" si="21"/>
        <v/>
      </c>
      <c r="L73" s="2452" t="str">
        <f t="shared" si="26"/>
        <v/>
      </c>
      <c r="M73" s="2434" t="str">
        <f>IF($G73="","",Afterflows!G72)</f>
        <v/>
      </c>
      <c r="N73" s="2434" t="str">
        <f>IF($G73="","",Afterflows!H72)</f>
        <v/>
      </c>
      <c r="O73" s="2434" t="str">
        <f t="shared" si="11"/>
        <v/>
      </c>
      <c r="P73" s="2475" t="str">
        <f>Velocity(PitotID1,PitotCoeff1,Afterflows!AB72,O73,H73,StackTempAvg1,AbsPress1,MolecularWt)</f>
        <v/>
      </c>
      <c r="Q73" s="2476" t="str">
        <f t="shared" si="15"/>
        <v/>
      </c>
      <c r="R73" s="2477" t="str">
        <f>IF(Flowmeter1="ECS",IF(G73="","",S73*O73),FlowSet(AA$1,Q73,AA$2,AA$3,AA$4,AA$5,I73,J73,BaroPress1,OPF))</f>
        <v/>
      </c>
      <c r="S73" s="2465" t="str">
        <f t="shared" si="23"/>
        <v/>
      </c>
      <c r="T73" s="1177" t="str">
        <f t="shared" si="27"/>
        <v/>
      </c>
      <c r="U73" s="2070" t="str">
        <f t="shared" si="17"/>
        <v/>
      </c>
      <c r="V73" s="1202" t="str">
        <f t="shared" si="28"/>
        <v/>
      </c>
      <c r="W73" s="1202" t="str">
        <f>IF(ISNUMBER(V73),$J$7+SUM(V$15:V73)/Mratio1,"")</f>
        <v/>
      </c>
      <c r="X73" s="1201" t="str">
        <f t="shared" si="29"/>
        <v/>
      </c>
      <c r="Y73" s="1201" t="str">
        <f t="shared" si="30"/>
        <v/>
      </c>
      <c r="Z73" s="1201" t="str">
        <f t="shared" si="31"/>
        <v/>
      </c>
      <c r="AA73" s="1201" t="str">
        <f t="shared" si="32"/>
        <v/>
      </c>
      <c r="AB73" s="1205" t="str">
        <f t="shared" si="33"/>
        <v/>
      </c>
    </row>
    <row r="74" spans="3:28" ht="10.5" hidden="1" customHeight="1" outlineLevel="1">
      <c r="C74" s="2437" t="b">
        <f t="shared" si="22"/>
        <v>1</v>
      </c>
      <c r="D74" s="2437">
        <v>60</v>
      </c>
      <c r="E74" s="1177" t="str">
        <f t="shared" si="2"/>
        <v/>
      </c>
      <c r="F74" s="1176" t="str">
        <f t="shared" si="24"/>
        <v/>
      </c>
      <c r="G74" s="2434" t="str">
        <f>IF(Afterflows!W73="","",Afterflows!W73)</f>
        <v/>
      </c>
      <c r="H74" s="2445" t="str">
        <f>IF(ISNUMBER(G74),IF(ISNUMBER(StackTemp1),StackTemp1,IF(Afterflows!V73="","",Afterflows!V73)),"")</f>
        <v/>
      </c>
      <c r="I74" s="2451" t="str">
        <f t="shared" si="25"/>
        <v/>
      </c>
      <c r="J74" s="2451" t="str">
        <f>IF(ISNUMBER(G74),IF(ISNUMBER(MeterPress1),MeterPress1,""),"")</f>
        <v/>
      </c>
      <c r="K74" s="2451" t="str">
        <f>IF(ISNUMBER(P74),IF(ISNUMBER(NozzleSelect1),NozzleSelect1,""),"")</f>
        <v/>
      </c>
      <c r="L74" s="2452" t="str">
        <f t="shared" si="26"/>
        <v/>
      </c>
      <c r="M74" s="2434" t="str">
        <f>IF($G74="","",Afterflows!G73)</f>
        <v/>
      </c>
      <c r="N74" s="2434" t="str">
        <f>IF($G74="","",Afterflows!H73)</f>
        <v/>
      </c>
      <c r="O74" s="2434" t="str">
        <f t="shared" si="11"/>
        <v/>
      </c>
      <c r="P74" s="2475" t="str">
        <f>Velocity(PitotID1,PitotCoeff1,Afterflows!AB73,O74,H74,StackTempAvg1,AbsPress1,MolecularWt)</f>
        <v/>
      </c>
      <c r="Q74" s="2476" t="str">
        <f t="shared" si="15"/>
        <v/>
      </c>
      <c r="R74" s="2477" t="str">
        <f>IF(Flowmeter1="ECS",IF(G74="","",S74*O74),FlowSet(AA$1,Q74,AA$2,AA$3,AA$4,AA$5,I74,J74,BaroPress1,OPF))</f>
        <v/>
      </c>
      <c r="S74" s="2465" t="str">
        <f t="shared" si="23"/>
        <v/>
      </c>
      <c r="T74" s="1177" t="str">
        <f t="shared" si="27"/>
        <v/>
      </c>
      <c r="U74" s="2070" t="str">
        <f t="shared" si="17"/>
        <v/>
      </c>
      <c r="V74" s="1202" t="str">
        <f t="shared" si="28"/>
        <v/>
      </c>
      <c r="W74" s="1202" t="str">
        <f>IF(ISNUMBER(V74),$J$7+SUM(V$15:V74)/Mratio1,"")</f>
        <v/>
      </c>
      <c r="X74" s="1201" t="str">
        <f t="shared" si="29"/>
        <v/>
      </c>
      <c r="Y74" s="1201" t="str">
        <f t="shared" si="30"/>
        <v/>
      </c>
      <c r="Z74" s="1201" t="str">
        <f t="shared" si="31"/>
        <v/>
      </c>
      <c r="AA74" s="1201" t="str">
        <f t="shared" si="32"/>
        <v/>
      </c>
      <c r="AB74" s="1205" t="str">
        <f t="shared" si="33"/>
        <v/>
      </c>
    </row>
    <row r="75" spans="3:28" ht="10.5" customHeight="1" collapsed="1">
      <c r="C75" s="2436" t="b">
        <v>1</v>
      </c>
      <c r="E75" s="1178"/>
      <c r="F75" s="1179"/>
      <c r="G75" s="1188" t="str">
        <f>G14</f>
        <v>(Pa)</v>
      </c>
      <c r="H75" s="1188" t="str">
        <f t="shared" ref="H75:N75" si="34">H13</f>
        <v>Stack (°C)</v>
      </c>
      <c r="I75" s="1188" t="str">
        <f t="shared" si="34"/>
        <v>Meter (°C)</v>
      </c>
      <c r="J75" s="1188" t="str">
        <f t="shared" si="34"/>
        <v>Meter (kPa)</v>
      </c>
      <c r="K75" s="1188" t="str">
        <f t="shared" si="34"/>
        <v>Nozzle (mm)</v>
      </c>
      <c r="L75" s="1188" t="str">
        <f t="shared" si="34"/>
        <v>Time (min)</v>
      </c>
      <c r="M75" s="1188" t="str">
        <f t="shared" si="34"/>
        <v>Yaw (°)</v>
      </c>
      <c r="N75" s="1188" t="str">
        <f t="shared" si="34"/>
        <v>Pitch (°)</v>
      </c>
      <c r="O75" s="1188"/>
      <c r="P75" s="1188" t="str">
        <f>P13</f>
        <v>Gas Velocity</v>
      </c>
      <c r="Q75" s="1188" t="str">
        <f>Q13&amp;Q14</f>
        <v>Rate(L/min)</v>
      </c>
      <c r="R75" s="1208" t="str">
        <f>R13</f>
        <v>Flowmeter</v>
      </c>
      <c r="T75" s="1206"/>
      <c r="U75" s="2068"/>
      <c r="V75" s="1207" t="s">
        <v>1453</v>
      </c>
      <c r="W75" s="1207" t="str">
        <f>NTPSTP&amp;" Vol"</f>
        <v>STP Vol</v>
      </c>
      <c r="X75" s="1207" t="str">
        <f>X13</f>
        <v>Sqrt(Pa)</v>
      </c>
      <c r="Y75" s="1207" t="s">
        <v>847</v>
      </c>
      <c r="Z75" s="1207" t="s">
        <v>848</v>
      </c>
      <c r="AA75" s="1207" t="s">
        <v>844</v>
      </c>
      <c r="AB75" s="1208" t="s">
        <v>535</v>
      </c>
    </row>
    <row r="76" spans="3:28" ht="10.5" customHeight="1">
      <c r="C76" s="2436" t="b">
        <v>1</v>
      </c>
      <c r="E76" s="1178"/>
      <c r="F76" s="1179" t="s">
        <v>1460</v>
      </c>
      <c r="G76" s="1190" t="e">
        <f>AVERAGE(G15:G74)</f>
        <v>#DIV/0!</v>
      </c>
      <c r="H76" s="1191" t="e">
        <f t="shared" ref="H76:R76" si="35">AVERAGE(H15:H74)</f>
        <v>#DIV/0!</v>
      </c>
      <c r="I76" s="1191" t="e">
        <f>AVERAGE(I15:I74)</f>
        <v>#DIV/0!</v>
      </c>
      <c r="J76" s="1191" t="e">
        <f>AVERAGE(J15:J74)</f>
        <v>#DIV/0!</v>
      </c>
      <c r="K76" s="1191" t="e">
        <f t="shared" si="35"/>
        <v>#DIV/0!</v>
      </c>
      <c r="L76" s="1192" t="e">
        <f t="shared" si="35"/>
        <v>#DIV/0!</v>
      </c>
      <c r="M76" s="1192" t="e">
        <f>AVERAGE(M15:M74)</f>
        <v>#DIV/0!</v>
      </c>
      <c r="N76" s="1192" t="e">
        <f>AVERAGE(N15:N74)</f>
        <v>#DIV/0!</v>
      </c>
      <c r="O76" s="1192"/>
      <c r="P76" s="1192" t="e">
        <f>AVERAGE(P15:P74)</f>
        <v>#DIV/0!</v>
      </c>
      <c r="Q76" s="1190" t="e">
        <f t="shared" si="35"/>
        <v>#DIV/0!</v>
      </c>
      <c r="R76" s="1193" t="e">
        <f t="shared" si="35"/>
        <v>#DIV/0!</v>
      </c>
      <c r="T76" s="1206" t="s">
        <v>1279</v>
      </c>
      <c r="U76" s="2068"/>
      <c r="V76" s="1192"/>
      <c r="W76" s="1192"/>
      <c r="X76" s="1192" t="e">
        <f>AVERAGE(X15:X74)</f>
        <v>#DIV/0!</v>
      </c>
      <c r="Y76" s="1192" t="e">
        <f>AVERAGE(Y15:Y74)</f>
        <v>#DIV/0!</v>
      </c>
      <c r="Z76" s="1192" t="e">
        <f>AVERAGE(Z15:Z74)</f>
        <v>#DIV/0!</v>
      </c>
      <c r="AA76" s="1190" t="e">
        <f>AVERAGE(AA15:AA74)</f>
        <v>#DIV/0!</v>
      </c>
      <c r="AB76" s="1193" t="e">
        <f>AVERAGE(AB15:AB74)</f>
        <v>#DIV/0!</v>
      </c>
    </row>
    <row r="77" spans="3:28" ht="10.5" customHeight="1" thickBot="1">
      <c r="C77" s="2436" t="b">
        <v>1</v>
      </c>
      <c r="E77" s="1180"/>
      <c r="F77" s="1181"/>
      <c r="G77" s="1181" t="str">
        <f>IF(ISERROR(G76),"",IF(G76&lt;FlowDL1,"&lt;",""))</f>
        <v/>
      </c>
      <c r="H77" s="1195" t="e">
        <f>H76+273.15</f>
        <v>#DIV/0!</v>
      </c>
      <c r="I77" s="1195"/>
      <c r="J77" s="1195"/>
      <c r="K77" s="1195"/>
      <c r="L77" s="1196">
        <f>SUM(L15:L74)</f>
        <v>0</v>
      </c>
      <c r="M77" s="1195"/>
      <c r="N77" s="1195"/>
      <c r="O77" s="1195"/>
      <c r="P77" s="1195"/>
      <c r="Q77" s="1195"/>
      <c r="R77" s="1197"/>
      <c r="T77" s="1209" t="s">
        <v>1452</v>
      </c>
      <c r="U77" s="2069"/>
      <c r="V77" s="1194">
        <f>SUM(V15:V74)</f>
        <v>0</v>
      </c>
      <c r="W77" s="1194" t="e">
        <f>VolumePreMeter1*(TVC+273.15)/(MeterTemp1+273.15)*(BaroPress1+MeterPressAvg1*10)/1013.25</f>
        <v>#DIV/0!</v>
      </c>
      <c r="X77" s="1196"/>
      <c r="Y77" s="1196"/>
      <c r="Z77" s="1196"/>
      <c r="AA77" s="1210"/>
      <c r="AB77" s="1211"/>
    </row>
    <row r="78" spans="3:28" s="2435" customFormat="1" ht="10.5" customHeight="1" thickBot="1">
      <c r="C78" s="2462" t="b">
        <v>1</v>
      </c>
      <c r="D78" s="2466"/>
      <c r="E78" s="2466" t="s">
        <v>41</v>
      </c>
      <c r="F78" s="2466" t="s">
        <v>41</v>
      </c>
      <c r="G78" s="2466" t="s">
        <v>41</v>
      </c>
      <c r="H78" s="2466" t="s">
        <v>41</v>
      </c>
      <c r="I78" s="2466" t="s">
        <v>41</v>
      </c>
      <c r="J78" s="2467" t="s">
        <v>41</v>
      </c>
      <c r="K78" s="2467" t="s">
        <v>41</v>
      </c>
      <c r="L78" s="2467" t="s">
        <v>41</v>
      </c>
      <c r="M78" s="2467"/>
      <c r="N78" s="2467"/>
      <c r="O78" s="2467"/>
      <c r="P78" s="2467" t="s">
        <v>41</v>
      </c>
      <c r="Q78" s="2467" t="s">
        <v>41</v>
      </c>
      <c r="R78" s="2467" t="s">
        <v>41</v>
      </c>
      <c r="S78" s="2459"/>
      <c r="T78" s="2459"/>
      <c r="U78" s="2459"/>
    </row>
    <row r="79" spans="3:28" ht="10.5" customHeight="1">
      <c r="C79" s="2436" t="b">
        <v>1</v>
      </c>
      <c r="E79" s="1182" t="s">
        <v>9</v>
      </c>
      <c r="F79" s="1172"/>
      <c r="G79" s="2349" t="str">
        <f>IF(PitotID2="anemom","Velocity","Pressure")</f>
        <v>Pressure</v>
      </c>
      <c r="H79" s="1198" t="s">
        <v>1448</v>
      </c>
      <c r="I79" s="1198" t="s">
        <v>1414</v>
      </c>
      <c r="J79" s="1198" t="s">
        <v>502</v>
      </c>
      <c r="K79" s="1198" t="s">
        <v>1415</v>
      </c>
      <c r="L79" s="1198" t="s">
        <v>1286</v>
      </c>
      <c r="M79" s="2349" t="s">
        <v>835</v>
      </c>
      <c r="N79" s="2349" t="s">
        <v>836</v>
      </c>
      <c r="O79" s="1584" t="s">
        <v>1721</v>
      </c>
      <c r="P79" s="2349" t="s">
        <v>533</v>
      </c>
      <c r="Q79" s="2349" t="s">
        <v>55</v>
      </c>
      <c r="R79" s="1199" t="s">
        <v>503</v>
      </c>
      <c r="S79" s="2646" t="s">
        <v>1585</v>
      </c>
      <c r="T79" s="1212"/>
      <c r="U79" s="1172"/>
      <c r="V79" s="2349" t="s">
        <v>1281</v>
      </c>
      <c r="W79" s="2349" t="s">
        <v>1206</v>
      </c>
      <c r="X79" s="2349" t="str">
        <f>"Sqrt"&amp;"("&amp;DPU&amp;")"</f>
        <v>Sqrt(Pa)</v>
      </c>
      <c r="Y79" s="2349" t="s">
        <v>61</v>
      </c>
      <c r="Z79" s="2349" t="s">
        <v>61</v>
      </c>
      <c r="AA79" s="2650" t="s">
        <v>533</v>
      </c>
      <c r="AB79" s="2651"/>
    </row>
    <row r="80" spans="3:28" ht="10.5" customHeight="1">
      <c r="C80" s="2437" t="str">
        <f>IF(TestReport="Test 1 only",TRUE,IF(StackTemp2="","",TRUE))</f>
        <v/>
      </c>
      <c r="E80" s="1183"/>
      <c r="F80" s="1184" t="s">
        <v>14</v>
      </c>
      <c r="G80" s="1187" t="str">
        <f>IF(LEFT(PitotID2,6)="anemom","("&amp;VU&amp;")","("&amp;DPU&amp;")")</f>
        <v>(Pa)</v>
      </c>
      <c r="H80" s="2434"/>
      <c r="I80" s="675"/>
      <c r="J80" s="674">
        <v>0</v>
      </c>
      <c r="K80" s="2449" t="str">
        <f>IF(ISNUMBER(NozzleSuggest2),NozzleSuggest2,"")</f>
        <v/>
      </c>
      <c r="L80" s="2450" t="str">
        <f>IF(TimeRequired2="","",TimeRequired2)</f>
        <v/>
      </c>
      <c r="M80" s="1187"/>
      <c r="N80" s="1187"/>
      <c r="O80" s="1187">
        <f>IF(PitotID2="Anemom (Hot)",0.02,IF(PitotID2="Anemom (Vane)",0.4,IF(Flowmeter2="ECS",0.1,2)))</f>
        <v>2</v>
      </c>
      <c r="P80" s="1187" t="s">
        <v>634</v>
      </c>
      <c r="Q80" s="1187" t="s">
        <v>1299</v>
      </c>
      <c r="R80" s="1200" t="e">
        <f>IF(Flowmeter2="ECS","mmH2O",IF(AA$6="Orifice",OPU,"%"))</f>
        <v>#N/A</v>
      </c>
      <c r="S80" s="2646"/>
      <c r="T80" s="1203" t="s">
        <v>1205</v>
      </c>
      <c r="U80" s="2067"/>
      <c r="V80" s="1187" t="s">
        <v>60</v>
      </c>
      <c r="W80" s="1187" t="s">
        <v>252</v>
      </c>
      <c r="X80" s="1187"/>
      <c r="Y80" s="1187" t="s">
        <v>845</v>
      </c>
      <c r="Z80" s="1187" t="s">
        <v>846</v>
      </c>
      <c r="AA80" s="1187" t="s">
        <v>843</v>
      </c>
      <c r="AB80" s="1204" t="s">
        <v>534</v>
      </c>
    </row>
    <row r="81" spans="3:28" ht="10.5" customHeight="1">
      <c r="C81" s="2437" t="b">
        <f t="shared" ref="C81:C140" si="36">IF(AND(ISNUMBER(F81),ISNUMBER(G81)),TRUE,IF(OR(ISNUMBER(F81),ISNUMBER(G81)),"",TRUE))</f>
        <v>1</v>
      </c>
      <c r="E81" s="1177" t="str">
        <f t="shared" ref="E81:F90" si="37">E15</f>
        <v/>
      </c>
      <c r="F81" s="1176" t="str">
        <f t="shared" si="37"/>
        <v/>
      </c>
      <c r="G81" s="2434" t="str">
        <f>IF(Afterflows!W80="","",Afterflows!W80)</f>
        <v/>
      </c>
      <c r="H81" s="2445" t="str">
        <f>IF(ISNUMBER(G81),IF(ISNUMBER(StackTemp2),StackTemp2,IF(Afterflows!V80="","",Afterflows!V80)),"")</f>
        <v/>
      </c>
      <c r="I81" s="2451" t="str">
        <f t="shared" ref="I81:I112" si="38">IF(ISNUMBER(G81),IF(ISNUMBER(MeterTemp2),MeterTemp2,""),"")</f>
        <v/>
      </c>
      <c r="J81" s="2451" t="str">
        <f t="shared" ref="J81:J90" si="39">IF(ISNUMBER(G81),IF(ISNUMBER(MeterPress2),MeterPress2,""),"")</f>
        <v/>
      </c>
      <c r="K81" s="2451" t="str">
        <f t="shared" ref="K81:K90" si="40">IF(ISNUMBER(P81),IF(ISNUMBER(NozzleSelect2),NozzleSelect2,""),"")</f>
        <v/>
      </c>
      <c r="L81" s="2452" t="str">
        <f t="shared" ref="L81:L112" si="41">IF(ISNUMBER(P81),IF(ISNUMBER($L$80),$L$80*Y81*Z81/(CosYawAvg2*CosPitchAvg2),""),"")</f>
        <v/>
      </c>
      <c r="M81" s="2434" t="str">
        <f>IF($G81="","",Afterflows!G80)</f>
        <v/>
      </c>
      <c r="N81" s="2434" t="str">
        <f>IF($G81="","",Afterflows!H80)</f>
        <v/>
      </c>
      <c r="O81" s="2434" t="str">
        <f>IF(G81&lt;O$80,O$80,G81)</f>
        <v/>
      </c>
      <c r="P81" s="2475" t="str">
        <f>Velocity(PitotID2,PitotCoeff2,Afterflows!AB80,O81,H81,StackTempAvg2,AbsPress2,MolecularWt)</f>
        <v/>
      </c>
      <c r="Q81" s="2476" t="str">
        <f t="shared" ref="Q81:Q90" si="42">SampleRate(P81,PBF_1,H81,I81,J81,K81,StackTempAvg2,AbsPress2,BaroPress2,Bws)</f>
        <v/>
      </c>
      <c r="R81" s="2477" t="str">
        <f>IF(Flowmeter2="ECS",IF(G81="","",S81*O81),FlowSet(AA$6,Q81,AA$7,AA$8,AA$9,AA$10,I81,J81,BaroPress2,OPF))</f>
        <v/>
      </c>
      <c r="S81" s="2464" t="str">
        <f t="shared" ref="S81:S104" si="43">IF(Flowmeter2="ECS",IF($G81="","",0.00008038*PitotCoeff2^2*DHat2*$K81^4*(MolecularWtDry/MolecularWt)*(1-Bws)^2*($I81+273)/($H81+273)*(AbsPress2)/(BaroPress2+DHat2/10.22)),"")</f>
        <v/>
      </c>
      <c r="T81" s="1177" t="str">
        <f t="shared" ref="T81:T112" si="44">E81</f>
        <v/>
      </c>
      <c r="U81" s="2070" t="str">
        <f>IF(L81="","",TIME((LEFT(K9,2)),(RIGHT(K9,2)),0)+TIME(0,(L81),0))</f>
        <v/>
      </c>
      <c r="V81" s="1202" t="str">
        <f t="shared" ref="V81:V112" si="45">IF(ISNUMBER($L81),L81*Q81,"")</f>
        <v/>
      </c>
      <c r="W81" s="1202" t="str">
        <f>IF(ISNUMBER(V81),$K$7+SUM(V$81:V81)/Mratio2,"")</f>
        <v/>
      </c>
      <c r="X81" s="1201" t="str">
        <f t="shared" ref="X81:X112" si="46">IF(G81="","",SQRT(O81))</f>
        <v/>
      </c>
      <c r="Y81" s="1201" t="str">
        <f t="shared" ref="Y81:Y112" si="47">IF($G81="","",COS(M81*PI()/180))</f>
        <v/>
      </c>
      <c r="Z81" s="1201" t="str">
        <f t="shared" ref="Z81:Z112" si="48">IF($G81="","",COS(N81*PI()/180))</f>
        <v/>
      </c>
      <c r="AA81" s="1201" t="str">
        <f t="shared" ref="AA81:AA112" si="49">Velocity3D(P81,M81,N81)</f>
        <v/>
      </c>
      <c r="AB81" s="1205" t="str">
        <f t="shared" ref="AB81:AB112" si="50">IF(P81="","",P81*1/(1-PBF_1))</f>
        <v/>
      </c>
    </row>
    <row r="82" spans="3:28" ht="10.5" customHeight="1">
      <c r="C82" s="2437" t="b">
        <f t="shared" si="36"/>
        <v>1</v>
      </c>
      <c r="E82" s="1177" t="str">
        <f t="shared" si="37"/>
        <v/>
      </c>
      <c r="F82" s="1176" t="str">
        <f t="shared" ref="F82:F90" si="51">F16</f>
        <v/>
      </c>
      <c r="G82" s="2434" t="str">
        <f>IF(Afterflows!W81="","",Afterflows!W81)</f>
        <v/>
      </c>
      <c r="H82" s="2445" t="str">
        <f>IF(ISNUMBER(G82),IF(ISNUMBER(StackTemp2),StackTemp2,IF(Afterflows!V81="","",Afterflows!V81)),"")</f>
        <v/>
      </c>
      <c r="I82" s="2451" t="str">
        <f t="shared" si="38"/>
        <v/>
      </c>
      <c r="J82" s="2451" t="str">
        <f t="shared" si="39"/>
        <v/>
      </c>
      <c r="K82" s="2451" t="str">
        <f t="shared" si="40"/>
        <v/>
      </c>
      <c r="L82" s="2452" t="str">
        <f t="shared" si="41"/>
        <v/>
      </c>
      <c r="M82" s="2434" t="str">
        <f>IF($G82="","",Afterflows!G81)</f>
        <v/>
      </c>
      <c r="N82" s="2434" t="str">
        <f>IF($G82="","",Afterflows!H81)</f>
        <v/>
      </c>
      <c r="O82" s="2434" t="str">
        <f t="shared" ref="O82:O140" si="52">IF(G82&lt;O$80,O$80,G82)</f>
        <v/>
      </c>
      <c r="P82" s="2475" t="str">
        <f>Velocity(PitotID2,PitotCoeff2,Afterflows!AB81,O82,H82,StackTempAvg2,AbsPress2,MolecularWt)</f>
        <v/>
      </c>
      <c r="Q82" s="2476" t="str">
        <f t="shared" si="42"/>
        <v/>
      </c>
      <c r="R82" s="2477" t="str">
        <f>IF(Flowmeter2="ECS",IF(G82="","",S82*O82),FlowSet(AA$6,Q82,AA$7,AA$8,AA$9,AA$10,I82,J82,BaroPress2,OPF))</f>
        <v/>
      </c>
      <c r="S82" s="2464" t="str">
        <f t="shared" si="43"/>
        <v/>
      </c>
      <c r="T82" s="1177" t="str">
        <f t="shared" si="44"/>
        <v/>
      </c>
      <c r="U82" s="2070" t="str">
        <f>IF(L82="","",U81+TIME(0,L82,0))</f>
        <v/>
      </c>
      <c r="V82" s="1202" t="str">
        <f t="shared" si="45"/>
        <v/>
      </c>
      <c r="W82" s="1202" t="str">
        <f>IF(ISNUMBER(V82),$K$7+SUM(V$81:V82)/Mratio2,"")</f>
        <v/>
      </c>
      <c r="X82" s="1201" t="str">
        <f t="shared" si="46"/>
        <v/>
      </c>
      <c r="Y82" s="1201" t="str">
        <f t="shared" si="47"/>
        <v/>
      </c>
      <c r="Z82" s="1201" t="str">
        <f t="shared" si="48"/>
        <v/>
      </c>
      <c r="AA82" s="1201" t="str">
        <f t="shared" si="49"/>
        <v/>
      </c>
      <c r="AB82" s="1205" t="str">
        <f t="shared" si="50"/>
        <v/>
      </c>
    </row>
    <row r="83" spans="3:28" ht="10.5" customHeight="1">
      <c r="C83" s="2437" t="b">
        <f t="shared" si="36"/>
        <v>1</v>
      </c>
      <c r="E83" s="1177" t="str">
        <f t="shared" si="37"/>
        <v/>
      </c>
      <c r="F83" s="1176" t="str">
        <f t="shared" si="51"/>
        <v/>
      </c>
      <c r="G83" s="2434" t="str">
        <f>IF(Afterflows!W82="","",Afterflows!W82)</f>
        <v/>
      </c>
      <c r="H83" s="2445" t="str">
        <f>IF(ISNUMBER(G83),IF(ISNUMBER(StackTemp2),StackTemp2,IF(Afterflows!V82="","",Afterflows!V82)),"")</f>
        <v/>
      </c>
      <c r="I83" s="2451" t="str">
        <f t="shared" si="38"/>
        <v/>
      </c>
      <c r="J83" s="2451" t="str">
        <f t="shared" si="39"/>
        <v/>
      </c>
      <c r="K83" s="2451" t="str">
        <f t="shared" si="40"/>
        <v/>
      </c>
      <c r="L83" s="2452" t="str">
        <f t="shared" si="41"/>
        <v/>
      </c>
      <c r="M83" s="2434" t="str">
        <f>IF($G83="","",Afterflows!G82)</f>
        <v/>
      </c>
      <c r="N83" s="2434" t="str">
        <f>IF($G83="","",Afterflows!H82)</f>
        <v/>
      </c>
      <c r="O83" s="2434" t="str">
        <f t="shared" si="52"/>
        <v/>
      </c>
      <c r="P83" s="2475" t="str">
        <f>Velocity(PitotID2,PitotCoeff2,Afterflows!AB82,O83,H83,StackTempAvg2,AbsPress2,MolecularWt)</f>
        <v/>
      </c>
      <c r="Q83" s="2476" t="str">
        <f t="shared" si="42"/>
        <v/>
      </c>
      <c r="R83" s="2477" t="str">
        <f>IF(Flowmeter2="ECS",IF(G83="","",S83*O83),FlowSet(AA$6,Q83,AA$7,AA$8,AA$9,AA$10,I83,J83,BaroPress2,OPF))</f>
        <v/>
      </c>
      <c r="S83" s="2464" t="str">
        <f t="shared" si="43"/>
        <v/>
      </c>
      <c r="T83" s="1177" t="str">
        <f t="shared" si="44"/>
        <v/>
      </c>
      <c r="U83" s="2070" t="str">
        <f t="shared" ref="U83:U140" si="53">IF(L83="","",U82+TIME(0,L83,0))</f>
        <v/>
      </c>
      <c r="V83" s="1202" t="str">
        <f t="shared" si="45"/>
        <v/>
      </c>
      <c r="W83" s="1202" t="str">
        <f>IF(ISNUMBER(V83),$K$7+SUM(V$81:V83)/Mratio2,"")</f>
        <v/>
      </c>
      <c r="X83" s="1201" t="str">
        <f t="shared" si="46"/>
        <v/>
      </c>
      <c r="Y83" s="1201" t="str">
        <f t="shared" si="47"/>
        <v/>
      </c>
      <c r="Z83" s="1201" t="str">
        <f t="shared" si="48"/>
        <v/>
      </c>
      <c r="AA83" s="1201" t="str">
        <f t="shared" si="49"/>
        <v/>
      </c>
      <c r="AB83" s="1205" t="str">
        <f t="shared" si="50"/>
        <v/>
      </c>
    </row>
    <row r="84" spans="3:28" ht="10.5" customHeight="1">
      <c r="C84" s="2437" t="b">
        <f t="shared" si="36"/>
        <v>1</v>
      </c>
      <c r="E84" s="1177" t="str">
        <f t="shared" si="37"/>
        <v/>
      </c>
      <c r="F84" s="1176" t="str">
        <f t="shared" si="51"/>
        <v/>
      </c>
      <c r="G84" s="2434" t="str">
        <f>IF(Afterflows!W83="","",Afterflows!W83)</f>
        <v/>
      </c>
      <c r="H84" s="2445" t="str">
        <f>IF(ISNUMBER(G84),IF(ISNUMBER(StackTemp2),StackTemp2,IF(Afterflows!V83="","",Afterflows!V83)),"")</f>
        <v/>
      </c>
      <c r="I84" s="2451" t="str">
        <f t="shared" si="38"/>
        <v/>
      </c>
      <c r="J84" s="2451" t="str">
        <f t="shared" si="39"/>
        <v/>
      </c>
      <c r="K84" s="2451" t="str">
        <f t="shared" si="40"/>
        <v/>
      </c>
      <c r="L84" s="2452" t="str">
        <f t="shared" si="41"/>
        <v/>
      </c>
      <c r="M84" s="2434" t="str">
        <f>IF($G84="","",Afterflows!G83)</f>
        <v/>
      </c>
      <c r="N84" s="2434" t="str">
        <f>IF($G84="","",Afterflows!H83)</f>
        <v/>
      </c>
      <c r="O84" s="2434" t="str">
        <f t="shared" si="52"/>
        <v/>
      </c>
      <c r="P84" s="2475" t="str">
        <f>Velocity(PitotID2,PitotCoeff2,Afterflows!AB83,O84,H84,StackTempAvg2,AbsPress2,MolecularWt)</f>
        <v/>
      </c>
      <c r="Q84" s="2476" t="str">
        <f t="shared" si="42"/>
        <v/>
      </c>
      <c r="R84" s="2477" t="str">
        <f>IF(Flowmeter2="ECS",IF(G84="","",S84*O84),FlowSet(AA$6,Q84,AA$7,AA$8,AA$9,AA$10,I84,J84,BaroPress2,OPF))</f>
        <v/>
      </c>
      <c r="S84" s="2464" t="str">
        <f t="shared" si="43"/>
        <v/>
      </c>
      <c r="T84" s="1177" t="str">
        <f t="shared" si="44"/>
        <v/>
      </c>
      <c r="U84" s="2070" t="str">
        <f t="shared" si="53"/>
        <v/>
      </c>
      <c r="V84" s="1202" t="str">
        <f t="shared" si="45"/>
        <v/>
      </c>
      <c r="W84" s="1202" t="str">
        <f>IF(ISNUMBER(V84),$K$7+SUM(V$81:V84)/Mratio2,"")</f>
        <v/>
      </c>
      <c r="X84" s="1201" t="str">
        <f t="shared" si="46"/>
        <v/>
      </c>
      <c r="Y84" s="1201" t="str">
        <f t="shared" si="47"/>
        <v/>
      </c>
      <c r="Z84" s="1201" t="str">
        <f t="shared" si="48"/>
        <v/>
      </c>
      <c r="AA84" s="1201" t="str">
        <f t="shared" si="49"/>
        <v/>
      </c>
      <c r="AB84" s="1205" t="str">
        <f t="shared" si="50"/>
        <v/>
      </c>
    </row>
    <row r="85" spans="3:28" ht="10.5" customHeight="1">
      <c r="C85" s="2437" t="b">
        <f t="shared" si="36"/>
        <v>1</v>
      </c>
      <c r="E85" s="1177" t="str">
        <f t="shared" si="37"/>
        <v/>
      </c>
      <c r="F85" s="1176" t="str">
        <f t="shared" si="51"/>
        <v/>
      </c>
      <c r="G85" s="2434" t="str">
        <f>IF(Afterflows!W84="","",Afterflows!W84)</f>
        <v/>
      </c>
      <c r="H85" s="2445" t="str">
        <f>IF(ISNUMBER(G85),IF(ISNUMBER(StackTemp2),StackTemp2,IF(Afterflows!V84="","",Afterflows!V84)),"")</f>
        <v/>
      </c>
      <c r="I85" s="2451" t="str">
        <f t="shared" si="38"/>
        <v/>
      </c>
      <c r="J85" s="2451" t="str">
        <f t="shared" si="39"/>
        <v/>
      </c>
      <c r="K85" s="2451" t="str">
        <f t="shared" si="40"/>
        <v/>
      </c>
      <c r="L85" s="2452" t="str">
        <f t="shared" si="41"/>
        <v/>
      </c>
      <c r="M85" s="2434" t="str">
        <f>IF($G85="","",Afterflows!G84)</f>
        <v/>
      </c>
      <c r="N85" s="2434" t="str">
        <f>IF($G85="","",Afterflows!H84)</f>
        <v/>
      </c>
      <c r="O85" s="2434" t="str">
        <f t="shared" si="52"/>
        <v/>
      </c>
      <c r="P85" s="2475" t="str">
        <f>Velocity(PitotID2,PitotCoeff2,Afterflows!AB84,O85,H85,StackTempAvg2,AbsPress2,MolecularWt)</f>
        <v/>
      </c>
      <c r="Q85" s="2476" t="str">
        <f t="shared" si="42"/>
        <v/>
      </c>
      <c r="R85" s="2477" t="str">
        <f>IF(Flowmeter2="ECS",IF(G85="","",S85*O85),FlowSet(AA$6,Q85,AA$7,AA$8,AA$9,AA$10,I85,J85,BaroPress2,OPF))</f>
        <v/>
      </c>
      <c r="S85" s="2464" t="str">
        <f t="shared" si="43"/>
        <v/>
      </c>
      <c r="T85" s="1177" t="str">
        <f t="shared" si="44"/>
        <v/>
      </c>
      <c r="U85" s="2070" t="str">
        <f t="shared" si="53"/>
        <v/>
      </c>
      <c r="V85" s="1202" t="str">
        <f t="shared" si="45"/>
        <v/>
      </c>
      <c r="W85" s="1202" t="str">
        <f>IF(ISNUMBER(V85),$K$7+SUM(V$81:V85)/Mratio2,"")</f>
        <v/>
      </c>
      <c r="X85" s="1201" t="str">
        <f t="shared" si="46"/>
        <v/>
      </c>
      <c r="Y85" s="1201" t="str">
        <f t="shared" si="47"/>
        <v/>
      </c>
      <c r="Z85" s="1201" t="str">
        <f t="shared" si="48"/>
        <v/>
      </c>
      <c r="AA85" s="1201" t="str">
        <f t="shared" si="49"/>
        <v/>
      </c>
      <c r="AB85" s="1205" t="str">
        <f t="shared" si="50"/>
        <v/>
      </c>
    </row>
    <row r="86" spans="3:28" ht="10.5" customHeight="1">
      <c r="C86" s="2437" t="b">
        <f t="shared" si="36"/>
        <v>1</v>
      </c>
      <c r="E86" s="1177" t="str">
        <f t="shared" si="37"/>
        <v/>
      </c>
      <c r="F86" s="1176" t="str">
        <f t="shared" si="51"/>
        <v/>
      </c>
      <c r="G86" s="2434" t="str">
        <f>IF(Afterflows!W85="","",Afterflows!W85)</f>
        <v/>
      </c>
      <c r="H86" s="2445" t="str">
        <f>IF(ISNUMBER(G86),IF(ISNUMBER(StackTemp2),StackTemp2,IF(Afterflows!V85="","",Afterflows!V85)),"")</f>
        <v/>
      </c>
      <c r="I86" s="2451" t="str">
        <f t="shared" si="38"/>
        <v/>
      </c>
      <c r="J86" s="2451" t="str">
        <f t="shared" si="39"/>
        <v/>
      </c>
      <c r="K86" s="2451" t="str">
        <f t="shared" si="40"/>
        <v/>
      </c>
      <c r="L86" s="2452" t="str">
        <f t="shared" si="41"/>
        <v/>
      </c>
      <c r="M86" s="2434" t="str">
        <f>IF($G86="","",Afterflows!G85)</f>
        <v/>
      </c>
      <c r="N86" s="2434" t="str">
        <f>IF($G86="","",Afterflows!H85)</f>
        <v/>
      </c>
      <c r="O86" s="2434" t="str">
        <f t="shared" si="52"/>
        <v/>
      </c>
      <c r="P86" s="2475" t="str">
        <f>Velocity(PitotID2,PitotCoeff2,Afterflows!AB85,O86,H86,StackTempAvg2,AbsPress2,MolecularWt)</f>
        <v/>
      </c>
      <c r="Q86" s="2476" t="str">
        <f t="shared" si="42"/>
        <v/>
      </c>
      <c r="R86" s="2477" t="str">
        <f>IF(Flowmeter2="ECS",IF(G86="","",S86*O86),FlowSet(AA$6,Q86,AA$7,AA$8,AA$9,AA$10,I86,J86,BaroPress2,OPF))</f>
        <v/>
      </c>
      <c r="S86" s="2464" t="str">
        <f t="shared" si="43"/>
        <v/>
      </c>
      <c r="T86" s="1177" t="str">
        <f t="shared" si="44"/>
        <v/>
      </c>
      <c r="U86" s="2070" t="str">
        <f t="shared" si="53"/>
        <v/>
      </c>
      <c r="V86" s="1202" t="str">
        <f t="shared" si="45"/>
        <v/>
      </c>
      <c r="W86" s="1202" t="str">
        <f>IF(ISNUMBER(V86),$K$7+SUM(V$81:V86)/Mratio2,"")</f>
        <v/>
      </c>
      <c r="X86" s="1201" t="str">
        <f t="shared" si="46"/>
        <v/>
      </c>
      <c r="Y86" s="1201" t="str">
        <f t="shared" si="47"/>
        <v/>
      </c>
      <c r="Z86" s="1201" t="str">
        <f t="shared" si="48"/>
        <v/>
      </c>
      <c r="AA86" s="1201" t="str">
        <f t="shared" si="49"/>
        <v/>
      </c>
      <c r="AB86" s="1205" t="str">
        <f t="shared" si="50"/>
        <v/>
      </c>
    </row>
    <row r="87" spans="3:28" ht="10.5" customHeight="1">
      <c r="C87" s="2437" t="b">
        <f t="shared" si="36"/>
        <v>1</v>
      </c>
      <c r="E87" s="1177" t="str">
        <f t="shared" si="37"/>
        <v/>
      </c>
      <c r="F87" s="1176" t="str">
        <f t="shared" si="51"/>
        <v/>
      </c>
      <c r="G87" s="2434" t="str">
        <f>IF(Afterflows!W86="","",Afterflows!W86)</f>
        <v/>
      </c>
      <c r="H87" s="2445" t="str">
        <f>IF(ISNUMBER(G87),IF(ISNUMBER(StackTemp2),StackTemp2,IF(Afterflows!V86="","",Afterflows!V86)),"")</f>
        <v/>
      </c>
      <c r="I87" s="2451" t="str">
        <f t="shared" si="38"/>
        <v/>
      </c>
      <c r="J87" s="2451" t="str">
        <f t="shared" si="39"/>
        <v/>
      </c>
      <c r="K87" s="2451" t="str">
        <f t="shared" si="40"/>
        <v/>
      </c>
      <c r="L87" s="2452" t="str">
        <f t="shared" si="41"/>
        <v/>
      </c>
      <c r="M87" s="2434" t="str">
        <f>IF($G87="","",Afterflows!G86)</f>
        <v/>
      </c>
      <c r="N87" s="2434" t="str">
        <f>IF($G87="","",Afterflows!H86)</f>
        <v/>
      </c>
      <c r="O87" s="2434" t="str">
        <f t="shared" si="52"/>
        <v/>
      </c>
      <c r="P87" s="2475" t="str">
        <f>Velocity(PitotID2,PitotCoeff2,Afterflows!AB86,O87,H87,StackTempAvg2,AbsPress2,MolecularWt)</f>
        <v/>
      </c>
      <c r="Q87" s="2476" t="str">
        <f t="shared" si="42"/>
        <v/>
      </c>
      <c r="R87" s="2477" t="str">
        <f>IF(Flowmeter2="ECS",IF(G87="","",S87*O87),FlowSet(AA$6,Q87,AA$7,AA$8,AA$9,AA$10,I87,J87,BaroPress2,OPF))</f>
        <v/>
      </c>
      <c r="S87" s="2464" t="str">
        <f t="shared" si="43"/>
        <v/>
      </c>
      <c r="T87" s="1177" t="str">
        <f t="shared" si="44"/>
        <v/>
      </c>
      <c r="U87" s="2070" t="str">
        <f t="shared" si="53"/>
        <v/>
      </c>
      <c r="V87" s="1202" t="str">
        <f t="shared" si="45"/>
        <v/>
      </c>
      <c r="W87" s="1202" t="str">
        <f>IF(ISNUMBER(V87),$K$7+SUM(V$81:V87)/Mratio2,"")</f>
        <v/>
      </c>
      <c r="X87" s="1201" t="str">
        <f t="shared" si="46"/>
        <v/>
      </c>
      <c r="Y87" s="1201" t="str">
        <f t="shared" si="47"/>
        <v/>
      </c>
      <c r="Z87" s="1201" t="str">
        <f t="shared" si="48"/>
        <v/>
      </c>
      <c r="AA87" s="1201" t="str">
        <f t="shared" si="49"/>
        <v/>
      </c>
      <c r="AB87" s="1205" t="str">
        <f t="shared" si="50"/>
        <v/>
      </c>
    </row>
    <row r="88" spans="3:28" ht="10.5" customHeight="1">
      <c r="C88" s="2437" t="b">
        <f t="shared" si="36"/>
        <v>1</v>
      </c>
      <c r="E88" s="1177" t="str">
        <f t="shared" si="37"/>
        <v/>
      </c>
      <c r="F88" s="1176" t="str">
        <f t="shared" si="51"/>
        <v/>
      </c>
      <c r="G88" s="2434" t="str">
        <f>IF(Afterflows!W87="","",Afterflows!W87)</f>
        <v/>
      </c>
      <c r="H88" s="2445" t="str">
        <f>IF(ISNUMBER(G88),IF(ISNUMBER(StackTemp2),StackTemp2,IF(Afterflows!V87="","",Afterflows!V87)),"")</f>
        <v/>
      </c>
      <c r="I88" s="2451" t="str">
        <f t="shared" si="38"/>
        <v/>
      </c>
      <c r="J88" s="2451" t="str">
        <f t="shared" si="39"/>
        <v/>
      </c>
      <c r="K88" s="2451" t="str">
        <f t="shared" si="40"/>
        <v/>
      </c>
      <c r="L88" s="2452" t="str">
        <f t="shared" si="41"/>
        <v/>
      </c>
      <c r="M88" s="2434" t="str">
        <f>IF($G88="","",Afterflows!G87)</f>
        <v/>
      </c>
      <c r="N88" s="2434" t="str">
        <f>IF($G88="","",Afterflows!H87)</f>
        <v/>
      </c>
      <c r="O88" s="2434" t="str">
        <f t="shared" si="52"/>
        <v/>
      </c>
      <c r="P88" s="2475" t="str">
        <f>Velocity(PitotID2,PitotCoeff2,Afterflows!AB87,O88,H88,StackTempAvg2,AbsPress2,MolecularWt)</f>
        <v/>
      </c>
      <c r="Q88" s="2476" t="str">
        <f t="shared" si="42"/>
        <v/>
      </c>
      <c r="R88" s="2477" t="str">
        <f>IF(Flowmeter2="ECS",IF(G88="","",S88*O88),FlowSet(AA$6,Q88,AA$7,AA$8,AA$9,AA$10,I88,J88,BaroPress2,OPF))</f>
        <v/>
      </c>
      <c r="S88" s="2464" t="str">
        <f t="shared" si="43"/>
        <v/>
      </c>
      <c r="T88" s="1177" t="str">
        <f t="shared" si="44"/>
        <v/>
      </c>
      <c r="U88" s="2070" t="str">
        <f t="shared" si="53"/>
        <v/>
      </c>
      <c r="V88" s="1202" t="str">
        <f t="shared" si="45"/>
        <v/>
      </c>
      <c r="W88" s="1202" t="str">
        <f>IF(ISNUMBER(V88),$K$7+SUM(V$81:V88)/Mratio2,"")</f>
        <v/>
      </c>
      <c r="X88" s="1201" t="str">
        <f t="shared" si="46"/>
        <v/>
      </c>
      <c r="Y88" s="1201" t="str">
        <f t="shared" si="47"/>
        <v/>
      </c>
      <c r="Z88" s="1201" t="str">
        <f t="shared" si="48"/>
        <v/>
      </c>
      <c r="AA88" s="1201" t="str">
        <f t="shared" si="49"/>
        <v/>
      </c>
      <c r="AB88" s="1205" t="str">
        <f t="shared" si="50"/>
        <v/>
      </c>
    </row>
    <row r="89" spans="3:28" ht="10.5" customHeight="1">
      <c r="C89" s="2437" t="b">
        <f t="shared" si="36"/>
        <v>1</v>
      </c>
      <c r="E89" s="1177" t="str">
        <f t="shared" si="37"/>
        <v/>
      </c>
      <c r="F89" s="1176" t="str">
        <f t="shared" si="51"/>
        <v/>
      </c>
      <c r="G89" s="2434" t="str">
        <f>IF(Afterflows!W88="","",Afterflows!W88)</f>
        <v/>
      </c>
      <c r="H89" s="2445" t="str">
        <f>IF(ISNUMBER(G89),IF(ISNUMBER(StackTemp2),StackTemp2,IF(Afterflows!V88="","",Afterflows!V88)),"")</f>
        <v/>
      </c>
      <c r="I89" s="2451" t="str">
        <f t="shared" si="38"/>
        <v/>
      </c>
      <c r="J89" s="2451" t="str">
        <f t="shared" si="39"/>
        <v/>
      </c>
      <c r="K89" s="2451" t="str">
        <f t="shared" si="40"/>
        <v/>
      </c>
      <c r="L89" s="2452" t="str">
        <f t="shared" si="41"/>
        <v/>
      </c>
      <c r="M89" s="2434" t="str">
        <f>IF($G89="","",Afterflows!G88)</f>
        <v/>
      </c>
      <c r="N89" s="2434" t="str">
        <f>IF($G89="","",Afterflows!H88)</f>
        <v/>
      </c>
      <c r="O89" s="2434" t="str">
        <f t="shared" si="52"/>
        <v/>
      </c>
      <c r="P89" s="2475" t="str">
        <f>Velocity(PitotID2,PitotCoeff2,Afterflows!AB88,O89,H89,StackTempAvg2,AbsPress2,MolecularWt)</f>
        <v/>
      </c>
      <c r="Q89" s="2476" t="str">
        <f t="shared" si="42"/>
        <v/>
      </c>
      <c r="R89" s="2477" t="str">
        <f>IF(Flowmeter2="ECS",IF(G89="","",S89*O89),FlowSet(AA$6,Q89,AA$7,AA$8,AA$9,AA$10,I89,J89,BaroPress2,OPF))</f>
        <v/>
      </c>
      <c r="S89" s="2464" t="str">
        <f t="shared" si="43"/>
        <v/>
      </c>
      <c r="T89" s="1177" t="str">
        <f t="shared" si="44"/>
        <v/>
      </c>
      <c r="U89" s="2070" t="str">
        <f t="shared" si="53"/>
        <v/>
      </c>
      <c r="V89" s="1202" t="str">
        <f t="shared" si="45"/>
        <v/>
      </c>
      <c r="W89" s="1202" t="str">
        <f>IF(ISNUMBER(V89),$K$7+SUM(V$81:V89)/Mratio2,"")</f>
        <v/>
      </c>
      <c r="X89" s="1201" t="str">
        <f t="shared" si="46"/>
        <v/>
      </c>
      <c r="Y89" s="1201" t="str">
        <f t="shared" si="47"/>
        <v/>
      </c>
      <c r="Z89" s="1201" t="str">
        <f t="shared" si="48"/>
        <v/>
      </c>
      <c r="AA89" s="1201" t="str">
        <f t="shared" si="49"/>
        <v/>
      </c>
      <c r="AB89" s="1205" t="str">
        <f t="shared" si="50"/>
        <v/>
      </c>
    </row>
    <row r="90" spans="3:28" ht="10.5" customHeight="1">
      <c r="C90" s="2437" t="b">
        <f t="shared" si="36"/>
        <v>1</v>
      </c>
      <c r="E90" s="1177" t="str">
        <f t="shared" si="37"/>
        <v/>
      </c>
      <c r="F90" s="1176" t="str">
        <f t="shared" si="51"/>
        <v/>
      </c>
      <c r="G90" s="2434" t="str">
        <f>IF(Afterflows!W89="","",Afterflows!W89)</f>
        <v/>
      </c>
      <c r="H90" s="2445" t="str">
        <f>IF(ISNUMBER(G90),IF(ISNUMBER(StackTemp2),StackTemp2,IF(Afterflows!V89="","",Afterflows!V89)),"")</f>
        <v/>
      </c>
      <c r="I90" s="2451" t="str">
        <f t="shared" si="38"/>
        <v/>
      </c>
      <c r="J90" s="2451" t="str">
        <f t="shared" si="39"/>
        <v/>
      </c>
      <c r="K90" s="2451" t="str">
        <f t="shared" si="40"/>
        <v/>
      </c>
      <c r="L90" s="2452" t="str">
        <f t="shared" si="41"/>
        <v/>
      </c>
      <c r="M90" s="2434" t="str">
        <f>IF($G90="","",Afterflows!G89)</f>
        <v/>
      </c>
      <c r="N90" s="2434" t="str">
        <f>IF($G90="","",Afterflows!H89)</f>
        <v/>
      </c>
      <c r="O90" s="2434" t="str">
        <f t="shared" si="52"/>
        <v/>
      </c>
      <c r="P90" s="2475" t="str">
        <f>Velocity(PitotID2,PitotCoeff2,Afterflows!AB89,O90,H90,StackTempAvg2,AbsPress2,MolecularWt)</f>
        <v/>
      </c>
      <c r="Q90" s="2476" t="str">
        <f t="shared" si="42"/>
        <v/>
      </c>
      <c r="R90" s="2477" t="str">
        <f>IF(Flowmeter2="ECS",IF(G90="","",S90*O90),FlowSet(AA$6,Q90,AA$7,AA$8,AA$9,AA$10,I90,J90,BaroPress2,OPF))</f>
        <v/>
      </c>
      <c r="S90" s="2464" t="str">
        <f t="shared" si="43"/>
        <v/>
      </c>
      <c r="T90" s="1177" t="str">
        <f t="shared" si="44"/>
        <v/>
      </c>
      <c r="U90" s="2070" t="str">
        <f t="shared" si="53"/>
        <v/>
      </c>
      <c r="V90" s="1202" t="str">
        <f t="shared" si="45"/>
        <v/>
      </c>
      <c r="W90" s="1202" t="str">
        <f>IF(ISNUMBER(V90),$K$7+SUM(V$81:V90)/Mratio2,"")</f>
        <v/>
      </c>
      <c r="X90" s="1201" t="str">
        <f t="shared" si="46"/>
        <v/>
      </c>
      <c r="Y90" s="1201" t="str">
        <f t="shared" si="47"/>
        <v/>
      </c>
      <c r="Z90" s="1201" t="str">
        <f t="shared" si="48"/>
        <v/>
      </c>
      <c r="AA90" s="1201" t="str">
        <f t="shared" si="49"/>
        <v/>
      </c>
      <c r="AB90" s="1205" t="str">
        <f t="shared" si="50"/>
        <v/>
      </c>
    </row>
    <row r="91" spans="3:28" ht="10.5" customHeight="1">
      <c r="C91" s="2437" t="b">
        <f t="shared" si="36"/>
        <v>1</v>
      </c>
      <c r="E91" s="1177" t="str">
        <f t="shared" ref="E91:F110" si="54">E25</f>
        <v/>
      </c>
      <c r="F91" s="1176" t="str">
        <f t="shared" si="54"/>
        <v/>
      </c>
      <c r="G91" s="2434" t="str">
        <f>IF(Afterflows!W90="","",Afterflows!W90)</f>
        <v/>
      </c>
      <c r="H91" s="2445" t="str">
        <f>IF(ISNUMBER(G91),IF(ISNUMBER(StackTemp2),StackTemp2,IF(Afterflows!V90="","",Afterflows!V90)),"")</f>
        <v/>
      </c>
      <c r="I91" s="2451" t="str">
        <f t="shared" si="38"/>
        <v/>
      </c>
      <c r="J91" s="2451" t="str">
        <f t="shared" ref="J91:J139" si="55">IF(ISNUMBER(G91),IF(ISNUMBER(MeterPress2),MeterPress2,""),"")</f>
        <v/>
      </c>
      <c r="K91" s="2451" t="str">
        <f t="shared" ref="K91:K139" si="56">IF(ISNUMBER(P91),IF(ISNUMBER(NozzleSelect2),NozzleSelect2,""),"")</f>
        <v/>
      </c>
      <c r="L91" s="2452" t="str">
        <f t="shared" si="41"/>
        <v/>
      </c>
      <c r="M91" s="2434" t="str">
        <f>IF($G91="","",Afterflows!G90)</f>
        <v/>
      </c>
      <c r="N91" s="2434" t="str">
        <f>IF($G91="","",Afterflows!H90)</f>
        <v/>
      </c>
      <c r="O91" s="2434" t="str">
        <f t="shared" si="52"/>
        <v/>
      </c>
      <c r="P91" s="2475" t="str">
        <f>Velocity(PitotID2,PitotCoeff2,Afterflows!AB90,O91,H91,StackTempAvg2,AbsPress2,MolecularWt)</f>
        <v/>
      </c>
      <c r="Q91" s="2476" t="str">
        <f t="shared" ref="Q91:Q139" si="57">SampleRate(P91,PBF_1,H91,I91,J91,K91,StackTempAvg2,AbsPress2,BaroPress2,Bws)</f>
        <v/>
      </c>
      <c r="R91" s="2477" t="str">
        <f>IF(Flowmeter2="ECS",IF(G91="","",S91*O91),FlowSet(AA$6,Q91,AA$7,AA$8,AA$9,AA$10,I91,J91,BaroPress2,OPF))</f>
        <v/>
      </c>
      <c r="S91" s="2464" t="str">
        <f t="shared" si="43"/>
        <v/>
      </c>
      <c r="T91" s="1177" t="str">
        <f t="shared" si="44"/>
        <v/>
      </c>
      <c r="U91" s="2070" t="str">
        <f t="shared" si="53"/>
        <v/>
      </c>
      <c r="V91" s="1202" t="str">
        <f t="shared" si="45"/>
        <v/>
      </c>
      <c r="W91" s="1202" t="str">
        <f>IF(ISNUMBER(V91),$K$7+SUM(V$81:V91)/Mratio2,"")</f>
        <v/>
      </c>
      <c r="X91" s="1201" t="str">
        <f t="shared" si="46"/>
        <v/>
      </c>
      <c r="Y91" s="1201" t="str">
        <f t="shared" si="47"/>
        <v/>
      </c>
      <c r="Z91" s="1201" t="str">
        <f t="shared" si="48"/>
        <v/>
      </c>
      <c r="AA91" s="1201" t="str">
        <f t="shared" si="49"/>
        <v/>
      </c>
      <c r="AB91" s="1205" t="str">
        <f t="shared" si="50"/>
        <v/>
      </c>
    </row>
    <row r="92" spans="3:28" ht="10.5" customHeight="1">
      <c r="C92" s="2437" t="b">
        <f t="shared" si="36"/>
        <v>1</v>
      </c>
      <c r="E92" s="1177" t="str">
        <f t="shared" si="54"/>
        <v/>
      </c>
      <c r="F92" s="1176" t="str">
        <f t="shared" si="54"/>
        <v/>
      </c>
      <c r="G92" s="2434" t="str">
        <f>IF(Afterflows!W91="","",Afterflows!W91)</f>
        <v/>
      </c>
      <c r="H92" s="2445" t="str">
        <f>IF(ISNUMBER(G92),IF(ISNUMBER(StackTemp2),StackTemp2,IF(Afterflows!V91="","",Afterflows!V91)),"")</f>
        <v/>
      </c>
      <c r="I92" s="2451" t="str">
        <f t="shared" si="38"/>
        <v/>
      </c>
      <c r="J92" s="2451" t="str">
        <f t="shared" si="55"/>
        <v/>
      </c>
      <c r="K92" s="2451" t="str">
        <f t="shared" si="56"/>
        <v/>
      </c>
      <c r="L92" s="2452" t="str">
        <f t="shared" si="41"/>
        <v/>
      </c>
      <c r="M92" s="2434" t="str">
        <f>IF($G92="","",Afterflows!G91)</f>
        <v/>
      </c>
      <c r="N92" s="2434" t="str">
        <f>IF($G92="","",Afterflows!H91)</f>
        <v/>
      </c>
      <c r="O92" s="2434" t="str">
        <f t="shared" si="52"/>
        <v/>
      </c>
      <c r="P92" s="2475" t="str">
        <f>Velocity(PitotID2,PitotCoeff2,Afterflows!AB91,O92,H92,StackTempAvg2,AbsPress2,MolecularWt)</f>
        <v/>
      </c>
      <c r="Q92" s="2476" t="str">
        <f t="shared" si="57"/>
        <v/>
      </c>
      <c r="R92" s="2477" t="str">
        <f>IF(Flowmeter2="ECS",IF(G92="","",S92*O92),FlowSet(AA$6,Q92,AA$7,AA$8,AA$9,AA$10,I92,J92,BaroPress2,OPF))</f>
        <v/>
      </c>
      <c r="S92" s="2464" t="str">
        <f t="shared" si="43"/>
        <v/>
      </c>
      <c r="T92" s="1177" t="str">
        <f t="shared" si="44"/>
        <v/>
      </c>
      <c r="U92" s="2070" t="str">
        <f t="shared" si="53"/>
        <v/>
      </c>
      <c r="V92" s="1202" t="str">
        <f t="shared" si="45"/>
        <v/>
      </c>
      <c r="W92" s="1202" t="str">
        <f>IF(ISNUMBER(V92),$K$7+SUM(V$81:V92)/Mratio2,"")</f>
        <v/>
      </c>
      <c r="X92" s="1201" t="str">
        <f t="shared" si="46"/>
        <v/>
      </c>
      <c r="Y92" s="1201" t="str">
        <f t="shared" si="47"/>
        <v/>
      </c>
      <c r="Z92" s="1201" t="str">
        <f t="shared" si="48"/>
        <v/>
      </c>
      <c r="AA92" s="1201" t="str">
        <f t="shared" si="49"/>
        <v/>
      </c>
      <c r="AB92" s="1205" t="str">
        <f t="shared" si="50"/>
        <v/>
      </c>
    </row>
    <row r="93" spans="3:28" ht="10.5" customHeight="1">
      <c r="C93" s="2437" t="b">
        <f t="shared" si="36"/>
        <v>1</v>
      </c>
      <c r="E93" s="1177" t="str">
        <f t="shared" si="54"/>
        <v/>
      </c>
      <c r="F93" s="1176" t="str">
        <f t="shared" si="54"/>
        <v/>
      </c>
      <c r="G93" s="2434" t="str">
        <f>IF(Afterflows!W92="","",Afterflows!W92)</f>
        <v/>
      </c>
      <c r="H93" s="2445" t="str">
        <f>IF(ISNUMBER(G93),IF(ISNUMBER(StackTemp2),StackTemp2,IF(Afterflows!V92="","",Afterflows!V92)),"")</f>
        <v/>
      </c>
      <c r="I93" s="2451" t="str">
        <f t="shared" si="38"/>
        <v/>
      </c>
      <c r="J93" s="2451" t="str">
        <f t="shared" si="55"/>
        <v/>
      </c>
      <c r="K93" s="2451" t="str">
        <f t="shared" si="56"/>
        <v/>
      </c>
      <c r="L93" s="2452" t="str">
        <f t="shared" si="41"/>
        <v/>
      </c>
      <c r="M93" s="2434" t="str">
        <f>IF($G93="","",Afterflows!G92)</f>
        <v/>
      </c>
      <c r="N93" s="2434" t="str">
        <f>IF($G93="","",Afterflows!H92)</f>
        <v/>
      </c>
      <c r="O93" s="2434" t="str">
        <f t="shared" si="52"/>
        <v/>
      </c>
      <c r="P93" s="2475" t="str">
        <f>Velocity(PitotID2,PitotCoeff2,Afterflows!AB92,O93,H93,StackTempAvg2,AbsPress2,MolecularWt)</f>
        <v/>
      </c>
      <c r="Q93" s="2476" t="str">
        <f t="shared" si="57"/>
        <v/>
      </c>
      <c r="R93" s="2477" t="str">
        <f>IF(Flowmeter2="ECS",IF(G93="","",S93*O93),FlowSet(AA$6,Q93,AA$7,AA$8,AA$9,AA$10,I93,J93,BaroPress2,OPF))</f>
        <v/>
      </c>
      <c r="S93" s="2464" t="str">
        <f t="shared" si="43"/>
        <v/>
      </c>
      <c r="T93" s="1177" t="str">
        <f t="shared" si="44"/>
        <v/>
      </c>
      <c r="U93" s="2070" t="str">
        <f t="shared" si="53"/>
        <v/>
      </c>
      <c r="V93" s="1202" t="str">
        <f t="shared" si="45"/>
        <v/>
      </c>
      <c r="W93" s="1202" t="str">
        <f>IF(ISNUMBER(V93),$K$7+SUM(V$81:V93)/Mratio2,"")</f>
        <v/>
      </c>
      <c r="X93" s="1201" t="str">
        <f t="shared" si="46"/>
        <v/>
      </c>
      <c r="Y93" s="1201" t="str">
        <f t="shared" si="47"/>
        <v/>
      </c>
      <c r="Z93" s="1201" t="str">
        <f t="shared" si="48"/>
        <v/>
      </c>
      <c r="AA93" s="1201" t="str">
        <f t="shared" si="49"/>
        <v/>
      </c>
      <c r="AB93" s="1205" t="str">
        <f t="shared" si="50"/>
        <v/>
      </c>
    </row>
    <row r="94" spans="3:28" ht="10.5" customHeight="1">
      <c r="C94" s="2437" t="b">
        <f t="shared" si="36"/>
        <v>1</v>
      </c>
      <c r="E94" s="1177" t="str">
        <f t="shared" si="54"/>
        <v/>
      </c>
      <c r="F94" s="1176" t="str">
        <f t="shared" si="54"/>
        <v/>
      </c>
      <c r="G94" s="2434" t="str">
        <f>IF(Afterflows!W93="","",Afterflows!W93)</f>
        <v/>
      </c>
      <c r="H94" s="2445" t="str">
        <f>IF(ISNUMBER(G94),IF(ISNUMBER(StackTemp2),StackTemp2,IF(Afterflows!V93="","",Afterflows!V93)),"")</f>
        <v/>
      </c>
      <c r="I94" s="2451" t="str">
        <f t="shared" si="38"/>
        <v/>
      </c>
      <c r="J94" s="2451" t="str">
        <f t="shared" si="55"/>
        <v/>
      </c>
      <c r="K94" s="2451" t="str">
        <f t="shared" si="56"/>
        <v/>
      </c>
      <c r="L94" s="2452" t="str">
        <f t="shared" si="41"/>
        <v/>
      </c>
      <c r="M94" s="2434" t="str">
        <f>IF($G94="","",Afterflows!G93)</f>
        <v/>
      </c>
      <c r="N94" s="2434" t="str">
        <f>IF($G94="","",Afterflows!H93)</f>
        <v/>
      </c>
      <c r="O94" s="2434" t="str">
        <f t="shared" si="52"/>
        <v/>
      </c>
      <c r="P94" s="2475" t="str">
        <f>Velocity(PitotID2,PitotCoeff2,Afterflows!AB93,O94,H94,StackTempAvg2,AbsPress2,MolecularWt)</f>
        <v/>
      </c>
      <c r="Q94" s="2476" t="str">
        <f t="shared" si="57"/>
        <v/>
      </c>
      <c r="R94" s="2477" t="str">
        <f>IF(Flowmeter2="ECS",IF(G94="","",S94*O94),FlowSet(AA$6,Q94,AA$7,AA$8,AA$9,AA$10,I94,J94,BaroPress2,OPF))</f>
        <v/>
      </c>
      <c r="S94" s="2464" t="str">
        <f t="shared" si="43"/>
        <v/>
      </c>
      <c r="T94" s="1177" t="str">
        <f t="shared" si="44"/>
        <v/>
      </c>
      <c r="U94" s="2070" t="str">
        <f t="shared" si="53"/>
        <v/>
      </c>
      <c r="V94" s="1202" t="str">
        <f t="shared" si="45"/>
        <v/>
      </c>
      <c r="W94" s="1202" t="str">
        <f>IF(ISNUMBER(V94),$K$7+SUM(V$81:V94)/Mratio2,"")</f>
        <v/>
      </c>
      <c r="X94" s="1201" t="str">
        <f t="shared" si="46"/>
        <v/>
      </c>
      <c r="Y94" s="1201" t="str">
        <f t="shared" si="47"/>
        <v/>
      </c>
      <c r="Z94" s="1201" t="str">
        <f t="shared" si="48"/>
        <v/>
      </c>
      <c r="AA94" s="1201" t="str">
        <f t="shared" si="49"/>
        <v/>
      </c>
      <c r="AB94" s="1205" t="str">
        <f t="shared" si="50"/>
        <v/>
      </c>
    </row>
    <row r="95" spans="3:28" ht="10.5" customHeight="1">
      <c r="C95" s="2437" t="b">
        <f t="shared" si="36"/>
        <v>1</v>
      </c>
      <c r="E95" s="1177" t="str">
        <f t="shared" si="54"/>
        <v/>
      </c>
      <c r="F95" s="1176" t="str">
        <f t="shared" si="54"/>
        <v/>
      </c>
      <c r="G95" s="2434" t="str">
        <f>IF(Afterflows!W94="","",Afterflows!W94)</f>
        <v/>
      </c>
      <c r="H95" s="2445" t="str">
        <f>IF(ISNUMBER(G95),IF(ISNUMBER(StackTemp2),StackTemp2,IF(Afterflows!V94="","",Afterflows!V94)),"")</f>
        <v/>
      </c>
      <c r="I95" s="2451" t="str">
        <f t="shared" si="38"/>
        <v/>
      </c>
      <c r="J95" s="2451" t="str">
        <f t="shared" si="55"/>
        <v/>
      </c>
      <c r="K95" s="2451" t="str">
        <f t="shared" si="56"/>
        <v/>
      </c>
      <c r="L95" s="2452" t="str">
        <f t="shared" si="41"/>
        <v/>
      </c>
      <c r="M95" s="2434" t="str">
        <f>IF($G95="","",Afterflows!G94)</f>
        <v/>
      </c>
      <c r="N95" s="2434" t="str">
        <f>IF($G95="","",Afterflows!H94)</f>
        <v/>
      </c>
      <c r="O95" s="2434" t="str">
        <f t="shared" si="52"/>
        <v/>
      </c>
      <c r="P95" s="2475" t="str">
        <f>Velocity(PitotID2,PitotCoeff2,Afterflows!AB94,O95,H95,StackTempAvg2,AbsPress2,MolecularWt)</f>
        <v/>
      </c>
      <c r="Q95" s="2476" t="str">
        <f t="shared" si="57"/>
        <v/>
      </c>
      <c r="R95" s="2477" t="str">
        <f>IF(Flowmeter2="ECS",IF(G95="","",S95*O95),FlowSet(AA$6,Q95,AA$7,AA$8,AA$9,AA$10,I95,J95,BaroPress2,OPF))</f>
        <v/>
      </c>
      <c r="S95" s="2464" t="str">
        <f t="shared" si="43"/>
        <v/>
      </c>
      <c r="T95" s="1177" t="str">
        <f t="shared" si="44"/>
        <v/>
      </c>
      <c r="U95" s="2070" t="str">
        <f t="shared" si="53"/>
        <v/>
      </c>
      <c r="V95" s="1202" t="str">
        <f t="shared" si="45"/>
        <v/>
      </c>
      <c r="W95" s="1202" t="str">
        <f>IF(ISNUMBER(V95),$K$7+SUM(V$81:V95)/Mratio2,"")</f>
        <v/>
      </c>
      <c r="X95" s="1201" t="str">
        <f t="shared" si="46"/>
        <v/>
      </c>
      <c r="Y95" s="1201" t="str">
        <f t="shared" si="47"/>
        <v/>
      </c>
      <c r="Z95" s="1201" t="str">
        <f t="shared" si="48"/>
        <v/>
      </c>
      <c r="AA95" s="1201" t="str">
        <f t="shared" si="49"/>
        <v/>
      </c>
      <c r="AB95" s="1205" t="str">
        <f t="shared" si="50"/>
        <v/>
      </c>
    </row>
    <row r="96" spans="3:28" ht="10.5" customHeight="1">
      <c r="C96" s="2437" t="b">
        <f t="shared" si="36"/>
        <v>1</v>
      </c>
      <c r="E96" s="1177" t="str">
        <f t="shared" si="54"/>
        <v/>
      </c>
      <c r="F96" s="1176" t="str">
        <f t="shared" si="54"/>
        <v/>
      </c>
      <c r="G96" s="2434" t="str">
        <f>IF(Afterflows!W95="","",Afterflows!W95)</f>
        <v/>
      </c>
      <c r="H96" s="2445" t="str">
        <f>IF(ISNUMBER(G96),IF(ISNUMBER(StackTemp2),StackTemp2,IF(Afterflows!V95="","",Afterflows!V95)),"")</f>
        <v/>
      </c>
      <c r="I96" s="2451" t="str">
        <f t="shared" si="38"/>
        <v/>
      </c>
      <c r="J96" s="2451" t="str">
        <f t="shared" si="55"/>
        <v/>
      </c>
      <c r="K96" s="2451" t="str">
        <f t="shared" si="56"/>
        <v/>
      </c>
      <c r="L96" s="2452" t="str">
        <f t="shared" si="41"/>
        <v/>
      </c>
      <c r="M96" s="2434" t="str">
        <f>IF($G96="","",Afterflows!G95)</f>
        <v/>
      </c>
      <c r="N96" s="2434" t="str">
        <f>IF($G96="","",Afterflows!H95)</f>
        <v/>
      </c>
      <c r="O96" s="2434" t="str">
        <f t="shared" si="52"/>
        <v/>
      </c>
      <c r="P96" s="2475" t="str">
        <f>Velocity(PitotID2,PitotCoeff2,Afterflows!AB95,O96,H96,StackTempAvg2,AbsPress2,MolecularWt)</f>
        <v/>
      </c>
      <c r="Q96" s="2476" t="str">
        <f t="shared" si="57"/>
        <v/>
      </c>
      <c r="R96" s="2477" t="str">
        <f>IF(Flowmeter2="ECS",IF(G96="","",S96*O96),FlowSet(AA$6,Q96,AA$7,AA$8,AA$9,AA$10,I96,J96,BaroPress2,OPF))</f>
        <v/>
      </c>
      <c r="S96" s="2464" t="str">
        <f t="shared" si="43"/>
        <v/>
      </c>
      <c r="T96" s="1177" t="str">
        <f t="shared" si="44"/>
        <v/>
      </c>
      <c r="U96" s="2070" t="str">
        <f t="shared" si="53"/>
        <v/>
      </c>
      <c r="V96" s="1202" t="str">
        <f t="shared" si="45"/>
        <v/>
      </c>
      <c r="W96" s="1202" t="str">
        <f>IF(ISNUMBER(V96),$K$7+SUM(V$81:V96)/Mratio2,"")</f>
        <v/>
      </c>
      <c r="X96" s="1201" t="str">
        <f t="shared" si="46"/>
        <v/>
      </c>
      <c r="Y96" s="1201" t="str">
        <f t="shared" si="47"/>
        <v/>
      </c>
      <c r="Z96" s="1201" t="str">
        <f t="shared" si="48"/>
        <v/>
      </c>
      <c r="AA96" s="1201" t="str">
        <f t="shared" si="49"/>
        <v/>
      </c>
      <c r="AB96" s="1205" t="str">
        <f t="shared" si="50"/>
        <v/>
      </c>
    </row>
    <row r="97" spans="3:28" ht="10.5" customHeight="1">
      <c r="C97" s="2437" t="b">
        <f t="shared" si="36"/>
        <v>1</v>
      </c>
      <c r="E97" s="1177" t="str">
        <f t="shared" si="54"/>
        <v/>
      </c>
      <c r="F97" s="1176" t="str">
        <f t="shared" si="54"/>
        <v/>
      </c>
      <c r="G97" s="2434" t="str">
        <f>IF(Afterflows!W96="","",Afterflows!W96)</f>
        <v/>
      </c>
      <c r="H97" s="2445" t="str">
        <f>IF(ISNUMBER(G97),IF(ISNUMBER(StackTemp2),StackTemp2,IF(Afterflows!V96="","",Afterflows!V96)),"")</f>
        <v/>
      </c>
      <c r="I97" s="2451" t="str">
        <f t="shared" si="38"/>
        <v/>
      </c>
      <c r="J97" s="2451" t="str">
        <f t="shared" si="55"/>
        <v/>
      </c>
      <c r="K97" s="2451" t="str">
        <f t="shared" si="56"/>
        <v/>
      </c>
      <c r="L97" s="2452" t="str">
        <f t="shared" si="41"/>
        <v/>
      </c>
      <c r="M97" s="2434" t="str">
        <f>IF($G97="","",Afterflows!G96)</f>
        <v/>
      </c>
      <c r="N97" s="2434" t="str">
        <f>IF($G97="","",Afterflows!H96)</f>
        <v/>
      </c>
      <c r="O97" s="2434" t="str">
        <f t="shared" si="52"/>
        <v/>
      </c>
      <c r="P97" s="2475" t="str">
        <f>Velocity(PitotID2,PitotCoeff2,Afterflows!AB96,O97,H97,StackTempAvg2,AbsPress2,MolecularWt)</f>
        <v/>
      </c>
      <c r="Q97" s="2476" t="str">
        <f t="shared" si="57"/>
        <v/>
      </c>
      <c r="R97" s="2477" t="str">
        <f>IF(Flowmeter2="ECS",IF(G97="","",S97*O97),FlowSet(AA$6,Q97,AA$7,AA$8,AA$9,AA$10,I97,J97,BaroPress2,OPF))</f>
        <v/>
      </c>
      <c r="S97" s="2464" t="str">
        <f t="shared" si="43"/>
        <v/>
      </c>
      <c r="T97" s="1177" t="str">
        <f t="shared" si="44"/>
        <v/>
      </c>
      <c r="U97" s="2070" t="str">
        <f t="shared" si="53"/>
        <v/>
      </c>
      <c r="V97" s="1202" t="str">
        <f t="shared" si="45"/>
        <v/>
      </c>
      <c r="W97" s="1202" t="str">
        <f>IF(ISNUMBER(V97),$K$7+SUM(V$81:V97)/Mratio2,"")</f>
        <v/>
      </c>
      <c r="X97" s="1201" t="str">
        <f t="shared" si="46"/>
        <v/>
      </c>
      <c r="Y97" s="1201" t="str">
        <f t="shared" si="47"/>
        <v/>
      </c>
      <c r="Z97" s="1201" t="str">
        <f t="shared" si="48"/>
        <v/>
      </c>
      <c r="AA97" s="1201" t="str">
        <f t="shared" si="49"/>
        <v/>
      </c>
      <c r="AB97" s="1205" t="str">
        <f t="shared" si="50"/>
        <v/>
      </c>
    </row>
    <row r="98" spans="3:28" ht="10.5" customHeight="1">
      <c r="C98" s="2437" t="b">
        <f t="shared" si="36"/>
        <v>1</v>
      </c>
      <c r="E98" s="1177" t="str">
        <f t="shared" si="54"/>
        <v/>
      </c>
      <c r="F98" s="1176" t="str">
        <f t="shared" si="54"/>
        <v/>
      </c>
      <c r="G98" s="2434" t="str">
        <f>IF(Afterflows!W97="","",Afterflows!W97)</f>
        <v/>
      </c>
      <c r="H98" s="2445" t="str">
        <f>IF(ISNUMBER(G98),IF(ISNUMBER(StackTemp2),StackTemp2,IF(Afterflows!V97="","",Afterflows!V97)),"")</f>
        <v/>
      </c>
      <c r="I98" s="2451" t="str">
        <f t="shared" si="38"/>
        <v/>
      </c>
      <c r="J98" s="2451" t="str">
        <f t="shared" si="55"/>
        <v/>
      </c>
      <c r="K98" s="2451" t="str">
        <f t="shared" si="56"/>
        <v/>
      </c>
      <c r="L98" s="2452" t="str">
        <f t="shared" si="41"/>
        <v/>
      </c>
      <c r="M98" s="2434" t="str">
        <f>IF($G98="","",Afterflows!G97)</f>
        <v/>
      </c>
      <c r="N98" s="2434" t="str">
        <f>IF($G98="","",Afterflows!H97)</f>
        <v/>
      </c>
      <c r="O98" s="2434" t="str">
        <f t="shared" si="52"/>
        <v/>
      </c>
      <c r="P98" s="2475" t="str">
        <f>Velocity(PitotID2,PitotCoeff2,Afterflows!AB97,O98,H98,StackTempAvg2,AbsPress2,MolecularWt)</f>
        <v/>
      </c>
      <c r="Q98" s="2476" t="str">
        <f t="shared" si="57"/>
        <v/>
      </c>
      <c r="R98" s="2477" t="str">
        <f>IF(Flowmeter2="ECS",IF(G98="","",S98*O98),FlowSet(AA$6,Q98,AA$7,AA$8,AA$9,AA$10,I98,J98,BaroPress2,OPF))</f>
        <v/>
      </c>
      <c r="S98" s="2464" t="str">
        <f t="shared" si="43"/>
        <v/>
      </c>
      <c r="T98" s="1177" t="str">
        <f t="shared" si="44"/>
        <v/>
      </c>
      <c r="U98" s="2070" t="str">
        <f t="shared" si="53"/>
        <v/>
      </c>
      <c r="V98" s="1202" t="str">
        <f t="shared" si="45"/>
        <v/>
      </c>
      <c r="W98" s="1202" t="str">
        <f>IF(ISNUMBER(V98),$K$7+SUM(V$81:V98)/Mratio2,"")</f>
        <v/>
      </c>
      <c r="X98" s="1201" t="str">
        <f t="shared" si="46"/>
        <v/>
      </c>
      <c r="Y98" s="1201" t="str">
        <f t="shared" si="47"/>
        <v/>
      </c>
      <c r="Z98" s="1201" t="str">
        <f t="shared" si="48"/>
        <v/>
      </c>
      <c r="AA98" s="1201" t="str">
        <f t="shared" si="49"/>
        <v/>
      </c>
      <c r="AB98" s="1205" t="str">
        <f t="shared" si="50"/>
        <v/>
      </c>
    </row>
    <row r="99" spans="3:28" ht="10.5" customHeight="1">
      <c r="C99" s="2437" t="b">
        <f t="shared" si="36"/>
        <v>1</v>
      </c>
      <c r="E99" s="1177" t="str">
        <f t="shared" si="54"/>
        <v/>
      </c>
      <c r="F99" s="1176" t="str">
        <f t="shared" si="54"/>
        <v/>
      </c>
      <c r="G99" s="2434" t="str">
        <f>IF(Afterflows!W98="","",Afterflows!W98)</f>
        <v/>
      </c>
      <c r="H99" s="2445" t="str">
        <f>IF(ISNUMBER(G99),IF(ISNUMBER(StackTemp2),StackTemp2,IF(Afterflows!V98="","",Afterflows!V98)),"")</f>
        <v/>
      </c>
      <c r="I99" s="2451" t="str">
        <f t="shared" si="38"/>
        <v/>
      </c>
      <c r="J99" s="2451" t="str">
        <f t="shared" si="55"/>
        <v/>
      </c>
      <c r="K99" s="2451" t="str">
        <f t="shared" si="56"/>
        <v/>
      </c>
      <c r="L99" s="2452" t="str">
        <f t="shared" si="41"/>
        <v/>
      </c>
      <c r="M99" s="2434" t="str">
        <f>IF($G99="","",Afterflows!G98)</f>
        <v/>
      </c>
      <c r="N99" s="2434" t="str">
        <f>IF($G99="","",Afterflows!H98)</f>
        <v/>
      </c>
      <c r="O99" s="2434" t="str">
        <f t="shared" si="52"/>
        <v/>
      </c>
      <c r="P99" s="2475" t="str">
        <f>Velocity(PitotID2,PitotCoeff2,Afterflows!AB98,O99,H99,StackTempAvg2,AbsPress2,MolecularWt)</f>
        <v/>
      </c>
      <c r="Q99" s="2476" t="str">
        <f t="shared" si="57"/>
        <v/>
      </c>
      <c r="R99" s="2477" t="str">
        <f>IF(Flowmeter2="ECS",IF(G99="","",S99*O99),FlowSet(AA$6,Q99,AA$7,AA$8,AA$9,AA$10,I99,J99,BaroPress2,OPF))</f>
        <v/>
      </c>
      <c r="S99" s="2464" t="str">
        <f t="shared" si="43"/>
        <v/>
      </c>
      <c r="T99" s="1177" t="str">
        <f t="shared" si="44"/>
        <v/>
      </c>
      <c r="U99" s="2070" t="str">
        <f t="shared" si="53"/>
        <v/>
      </c>
      <c r="V99" s="1202" t="str">
        <f t="shared" si="45"/>
        <v/>
      </c>
      <c r="W99" s="1202" t="str">
        <f>IF(ISNUMBER(V99),$K$7+SUM(V$81:V99)/Mratio2,"")</f>
        <v/>
      </c>
      <c r="X99" s="1201" t="str">
        <f t="shared" si="46"/>
        <v/>
      </c>
      <c r="Y99" s="1201" t="str">
        <f t="shared" si="47"/>
        <v/>
      </c>
      <c r="Z99" s="1201" t="str">
        <f t="shared" si="48"/>
        <v/>
      </c>
      <c r="AA99" s="1201" t="str">
        <f t="shared" si="49"/>
        <v/>
      </c>
      <c r="AB99" s="1205" t="str">
        <f t="shared" si="50"/>
        <v/>
      </c>
    </row>
    <row r="100" spans="3:28" ht="10.5" customHeight="1">
      <c r="C100" s="2437" t="b">
        <f t="shared" si="36"/>
        <v>1</v>
      </c>
      <c r="E100" s="1177" t="str">
        <f t="shared" si="54"/>
        <v/>
      </c>
      <c r="F100" s="1176" t="str">
        <f t="shared" si="54"/>
        <v/>
      </c>
      <c r="G100" s="2434" t="str">
        <f>IF(Afterflows!W99="","",Afterflows!W99)</f>
        <v/>
      </c>
      <c r="H100" s="2445" t="str">
        <f>IF(ISNUMBER(G100),IF(ISNUMBER(StackTemp2),StackTemp2,IF(Afterflows!V99="","",Afterflows!V99)),"")</f>
        <v/>
      </c>
      <c r="I100" s="2451" t="str">
        <f t="shared" si="38"/>
        <v/>
      </c>
      <c r="J100" s="2451" t="str">
        <f t="shared" si="55"/>
        <v/>
      </c>
      <c r="K100" s="2451" t="str">
        <f t="shared" si="56"/>
        <v/>
      </c>
      <c r="L100" s="2452" t="str">
        <f t="shared" si="41"/>
        <v/>
      </c>
      <c r="M100" s="2434" t="str">
        <f>IF($G100="","",Afterflows!G99)</f>
        <v/>
      </c>
      <c r="N100" s="2434" t="str">
        <f>IF($G100="","",Afterflows!H99)</f>
        <v/>
      </c>
      <c r="O100" s="2434" t="str">
        <f t="shared" si="52"/>
        <v/>
      </c>
      <c r="P100" s="2475" t="str">
        <f>Velocity(PitotID2,PitotCoeff2,Afterflows!AB99,O100,H100,StackTempAvg2,AbsPress2,MolecularWt)</f>
        <v/>
      </c>
      <c r="Q100" s="2476" t="str">
        <f t="shared" si="57"/>
        <v/>
      </c>
      <c r="R100" s="2477" t="str">
        <f>IF(Flowmeter2="ECS",IF(G100="","",S100*O100),FlowSet(AA$6,Q100,AA$7,AA$8,AA$9,AA$10,I100,J100,BaroPress2,OPF))</f>
        <v/>
      </c>
      <c r="S100" s="2464" t="str">
        <f t="shared" si="43"/>
        <v/>
      </c>
      <c r="T100" s="1177" t="str">
        <f t="shared" si="44"/>
        <v/>
      </c>
      <c r="U100" s="2070" t="str">
        <f t="shared" si="53"/>
        <v/>
      </c>
      <c r="V100" s="1202" t="str">
        <f t="shared" si="45"/>
        <v/>
      </c>
      <c r="W100" s="1202" t="str">
        <f>IF(ISNUMBER(V100),$K$7+SUM(V$81:V100)/Mratio2,"")</f>
        <v/>
      </c>
      <c r="X100" s="1201" t="str">
        <f t="shared" si="46"/>
        <v/>
      </c>
      <c r="Y100" s="1201" t="str">
        <f t="shared" si="47"/>
        <v/>
      </c>
      <c r="Z100" s="1201" t="str">
        <f t="shared" si="48"/>
        <v/>
      </c>
      <c r="AA100" s="1201" t="str">
        <f t="shared" si="49"/>
        <v/>
      </c>
      <c r="AB100" s="1205" t="str">
        <f t="shared" si="50"/>
        <v/>
      </c>
    </row>
    <row r="101" spans="3:28" ht="10.5" customHeight="1">
      <c r="C101" s="2437" t="b">
        <f t="shared" si="36"/>
        <v>1</v>
      </c>
      <c r="E101" s="1177" t="str">
        <f t="shared" si="54"/>
        <v/>
      </c>
      <c r="F101" s="1176" t="str">
        <f t="shared" si="54"/>
        <v/>
      </c>
      <c r="G101" s="2434" t="str">
        <f>IF(Afterflows!W100="","",Afterflows!W100)</f>
        <v/>
      </c>
      <c r="H101" s="2445" t="str">
        <f>IF(ISNUMBER(G101),IF(ISNUMBER(StackTemp2),StackTemp2,IF(Afterflows!V100="","",Afterflows!V100)),"")</f>
        <v/>
      </c>
      <c r="I101" s="2451" t="str">
        <f t="shared" si="38"/>
        <v/>
      </c>
      <c r="J101" s="2451" t="str">
        <f t="shared" si="55"/>
        <v/>
      </c>
      <c r="K101" s="2451" t="str">
        <f t="shared" si="56"/>
        <v/>
      </c>
      <c r="L101" s="2452" t="str">
        <f t="shared" si="41"/>
        <v/>
      </c>
      <c r="M101" s="2434" t="str">
        <f>IF($G101="","",Afterflows!G100)</f>
        <v/>
      </c>
      <c r="N101" s="2434" t="str">
        <f>IF($G101="","",Afterflows!H100)</f>
        <v/>
      </c>
      <c r="O101" s="2434" t="str">
        <f t="shared" si="52"/>
        <v/>
      </c>
      <c r="P101" s="2475" t="str">
        <f>Velocity(PitotID2,PitotCoeff2,Afterflows!AB100,O101,H101,StackTempAvg2,AbsPress2,MolecularWt)</f>
        <v/>
      </c>
      <c r="Q101" s="2476" t="str">
        <f t="shared" si="57"/>
        <v/>
      </c>
      <c r="R101" s="2477" t="str">
        <f>IF(Flowmeter2="ECS",IF(G101="","",S101*O101),FlowSet(AA$6,Q101,AA$7,AA$8,AA$9,AA$10,I101,J101,BaroPress2,OPF))</f>
        <v/>
      </c>
      <c r="S101" s="2464" t="str">
        <f t="shared" si="43"/>
        <v/>
      </c>
      <c r="T101" s="1177" t="str">
        <f t="shared" si="44"/>
        <v/>
      </c>
      <c r="U101" s="2070" t="str">
        <f t="shared" si="53"/>
        <v/>
      </c>
      <c r="V101" s="1202" t="str">
        <f t="shared" si="45"/>
        <v/>
      </c>
      <c r="W101" s="1202" t="str">
        <f>IF(ISNUMBER(V101),$K$7+SUM(V$81:V101)/Mratio2,"")</f>
        <v/>
      </c>
      <c r="X101" s="1201" t="str">
        <f t="shared" si="46"/>
        <v/>
      </c>
      <c r="Y101" s="1201" t="str">
        <f t="shared" si="47"/>
        <v/>
      </c>
      <c r="Z101" s="1201" t="str">
        <f t="shared" si="48"/>
        <v/>
      </c>
      <c r="AA101" s="1201" t="str">
        <f t="shared" si="49"/>
        <v/>
      </c>
      <c r="AB101" s="1205" t="str">
        <f t="shared" si="50"/>
        <v/>
      </c>
    </row>
    <row r="102" spans="3:28" ht="10.5" customHeight="1">
      <c r="C102" s="2437" t="b">
        <f t="shared" si="36"/>
        <v>1</v>
      </c>
      <c r="E102" s="1177" t="str">
        <f t="shared" si="54"/>
        <v/>
      </c>
      <c r="F102" s="1176" t="str">
        <f t="shared" si="54"/>
        <v/>
      </c>
      <c r="G102" s="2434" t="str">
        <f>IF(Afterflows!W101="","",Afterflows!W101)</f>
        <v/>
      </c>
      <c r="H102" s="2445" t="str">
        <f>IF(ISNUMBER(G102),IF(ISNUMBER(StackTemp2),StackTemp2,IF(Afterflows!V101="","",Afterflows!V101)),"")</f>
        <v/>
      </c>
      <c r="I102" s="2451" t="str">
        <f t="shared" si="38"/>
        <v/>
      </c>
      <c r="J102" s="2451" t="str">
        <f t="shared" si="55"/>
        <v/>
      </c>
      <c r="K102" s="2451" t="str">
        <f t="shared" si="56"/>
        <v/>
      </c>
      <c r="L102" s="2452" t="str">
        <f t="shared" si="41"/>
        <v/>
      </c>
      <c r="M102" s="2434" t="str">
        <f>IF($G102="","",Afterflows!G101)</f>
        <v/>
      </c>
      <c r="N102" s="2434" t="str">
        <f>IF($G102="","",Afterflows!H101)</f>
        <v/>
      </c>
      <c r="O102" s="2434" t="str">
        <f t="shared" si="52"/>
        <v/>
      </c>
      <c r="P102" s="2475" t="str">
        <f>Velocity(PitotID2,PitotCoeff2,Afterflows!AB101,O102,H102,StackTempAvg2,AbsPress2,MolecularWt)</f>
        <v/>
      </c>
      <c r="Q102" s="2476" t="str">
        <f t="shared" si="57"/>
        <v/>
      </c>
      <c r="R102" s="2477" t="str">
        <f>IF(Flowmeter2="ECS",IF(G102="","",S102*O102),FlowSet(AA$6,Q102,AA$7,AA$8,AA$9,AA$10,I102,J102,BaroPress2,OPF))</f>
        <v/>
      </c>
      <c r="S102" s="2464" t="str">
        <f t="shared" si="43"/>
        <v/>
      </c>
      <c r="T102" s="1177" t="str">
        <f t="shared" si="44"/>
        <v/>
      </c>
      <c r="U102" s="2070" t="str">
        <f t="shared" si="53"/>
        <v/>
      </c>
      <c r="V102" s="1202" t="str">
        <f t="shared" si="45"/>
        <v/>
      </c>
      <c r="W102" s="1202" t="str">
        <f>IF(ISNUMBER(V102),$K$7+SUM(V$81:V102)/Mratio2,"")</f>
        <v/>
      </c>
      <c r="X102" s="1201" t="str">
        <f t="shared" si="46"/>
        <v/>
      </c>
      <c r="Y102" s="1201" t="str">
        <f t="shared" si="47"/>
        <v/>
      </c>
      <c r="Z102" s="1201" t="str">
        <f t="shared" si="48"/>
        <v/>
      </c>
      <c r="AA102" s="1201" t="str">
        <f t="shared" si="49"/>
        <v/>
      </c>
      <c r="AB102" s="1205" t="str">
        <f t="shared" si="50"/>
        <v/>
      </c>
    </row>
    <row r="103" spans="3:28" ht="10.5" customHeight="1">
      <c r="C103" s="2437" t="b">
        <f t="shared" si="36"/>
        <v>1</v>
      </c>
      <c r="E103" s="1177" t="str">
        <f t="shared" si="54"/>
        <v/>
      </c>
      <c r="F103" s="1176" t="str">
        <f t="shared" si="54"/>
        <v/>
      </c>
      <c r="G103" s="2434" t="str">
        <f>IF(Afterflows!W102="","",Afterflows!W102)</f>
        <v/>
      </c>
      <c r="H103" s="2445" t="str">
        <f>IF(ISNUMBER(G103),IF(ISNUMBER(StackTemp2),StackTemp2,IF(Afterflows!V102="","",Afterflows!V102)),"")</f>
        <v/>
      </c>
      <c r="I103" s="2451" t="str">
        <f t="shared" si="38"/>
        <v/>
      </c>
      <c r="J103" s="2451" t="str">
        <f t="shared" si="55"/>
        <v/>
      </c>
      <c r="K103" s="2451" t="str">
        <f t="shared" si="56"/>
        <v/>
      </c>
      <c r="L103" s="2452" t="str">
        <f t="shared" si="41"/>
        <v/>
      </c>
      <c r="M103" s="2434" t="str">
        <f>IF($G103="","",Afterflows!G102)</f>
        <v/>
      </c>
      <c r="N103" s="2434" t="str">
        <f>IF($G103="","",Afterflows!H102)</f>
        <v/>
      </c>
      <c r="O103" s="2434" t="str">
        <f t="shared" si="52"/>
        <v/>
      </c>
      <c r="P103" s="2475" t="str">
        <f>Velocity(PitotID2,PitotCoeff2,Afterflows!AB102,O103,H103,StackTempAvg2,AbsPress2,MolecularWt)</f>
        <v/>
      </c>
      <c r="Q103" s="2476" t="str">
        <f t="shared" si="57"/>
        <v/>
      </c>
      <c r="R103" s="2477" t="str">
        <f>IF(Flowmeter2="ECS",IF(G103="","",S103*O103),FlowSet(AA$6,Q103,AA$7,AA$8,AA$9,AA$10,I103,J103,BaroPress2,OPF))</f>
        <v/>
      </c>
      <c r="S103" s="2464" t="str">
        <f t="shared" si="43"/>
        <v/>
      </c>
      <c r="T103" s="1177" t="str">
        <f t="shared" si="44"/>
        <v/>
      </c>
      <c r="U103" s="2070" t="str">
        <f t="shared" si="53"/>
        <v/>
      </c>
      <c r="V103" s="1202" t="str">
        <f t="shared" si="45"/>
        <v/>
      </c>
      <c r="W103" s="1202" t="str">
        <f>IF(ISNUMBER(V103),$K$7+SUM(V$81:V103)/Mratio2,"")</f>
        <v/>
      </c>
      <c r="X103" s="1201" t="str">
        <f t="shared" si="46"/>
        <v/>
      </c>
      <c r="Y103" s="1201" t="str">
        <f t="shared" si="47"/>
        <v/>
      </c>
      <c r="Z103" s="1201" t="str">
        <f t="shared" si="48"/>
        <v/>
      </c>
      <c r="AA103" s="1201" t="str">
        <f t="shared" si="49"/>
        <v/>
      </c>
      <c r="AB103" s="1205" t="str">
        <f t="shared" si="50"/>
        <v/>
      </c>
    </row>
    <row r="104" spans="3:28" ht="10.5" customHeight="1">
      <c r="C104" s="2437" t="b">
        <f t="shared" si="36"/>
        <v>1</v>
      </c>
      <c r="E104" s="1177" t="str">
        <f t="shared" si="54"/>
        <v/>
      </c>
      <c r="F104" s="1176" t="str">
        <f t="shared" si="54"/>
        <v/>
      </c>
      <c r="G104" s="2434" t="str">
        <f>IF(Afterflows!W103="","",Afterflows!W103)</f>
        <v/>
      </c>
      <c r="H104" s="2445" t="str">
        <f>IF(ISNUMBER(G104),IF(ISNUMBER(StackTemp2),StackTemp2,IF(Afterflows!V103="","",Afterflows!V103)),"")</f>
        <v/>
      </c>
      <c r="I104" s="2451" t="str">
        <f t="shared" si="38"/>
        <v/>
      </c>
      <c r="J104" s="2451" t="str">
        <f t="shared" si="55"/>
        <v/>
      </c>
      <c r="K104" s="2451" t="str">
        <f t="shared" si="56"/>
        <v/>
      </c>
      <c r="L104" s="2452" t="str">
        <f t="shared" si="41"/>
        <v/>
      </c>
      <c r="M104" s="2434" t="str">
        <f>IF($G104="","",Afterflows!G103)</f>
        <v/>
      </c>
      <c r="N104" s="2434" t="str">
        <f>IF($G104="","",Afterflows!H103)</f>
        <v/>
      </c>
      <c r="O104" s="2434" t="str">
        <f t="shared" si="52"/>
        <v/>
      </c>
      <c r="P104" s="2475" t="str">
        <f>Velocity(PitotID2,PitotCoeff2,Afterflows!AB103,O104,H104,StackTempAvg2,AbsPress2,MolecularWt)</f>
        <v/>
      </c>
      <c r="Q104" s="2476" t="str">
        <f t="shared" si="57"/>
        <v/>
      </c>
      <c r="R104" s="2477" t="str">
        <f>IF(Flowmeter2="ECS",IF(G104="","",S104*O104),FlowSet(AA$6,Q104,AA$7,AA$8,AA$9,AA$10,I104,J104,BaroPress2,OPF))</f>
        <v/>
      </c>
      <c r="S104" s="2464" t="str">
        <f t="shared" si="43"/>
        <v/>
      </c>
      <c r="T104" s="1177" t="str">
        <f t="shared" si="44"/>
        <v/>
      </c>
      <c r="U104" s="2070" t="str">
        <f t="shared" si="53"/>
        <v/>
      </c>
      <c r="V104" s="1202" t="str">
        <f t="shared" si="45"/>
        <v/>
      </c>
      <c r="W104" s="1202" t="str">
        <f>IF(ISNUMBER(V104),$K$7+SUM(V$81:V104)/Mratio2,"")</f>
        <v/>
      </c>
      <c r="X104" s="1201" t="str">
        <f t="shared" si="46"/>
        <v/>
      </c>
      <c r="Y104" s="1201" t="str">
        <f t="shared" si="47"/>
        <v/>
      </c>
      <c r="Z104" s="1201" t="str">
        <f t="shared" si="48"/>
        <v/>
      </c>
      <c r="AA104" s="1201" t="str">
        <f t="shared" si="49"/>
        <v/>
      </c>
      <c r="AB104" s="1205" t="str">
        <f t="shared" si="50"/>
        <v/>
      </c>
    </row>
    <row r="105" spans="3:28" ht="10.5" hidden="1" customHeight="1" outlineLevel="1">
      <c r="C105" s="2437" t="b">
        <f t="shared" si="36"/>
        <v>1</v>
      </c>
      <c r="E105" s="1177" t="str">
        <f t="shared" si="54"/>
        <v/>
      </c>
      <c r="F105" s="1176" t="str">
        <f t="shared" si="54"/>
        <v/>
      </c>
      <c r="G105" s="2434" t="str">
        <f>IF(Afterflows!W104="","",Afterflows!W104)</f>
        <v/>
      </c>
      <c r="H105" s="2445" t="str">
        <f>IF(ISNUMBER(G105),IF(ISNUMBER(StackTemp2),StackTemp2,IF(Afterflows!V104="","",Afterflows!V104)),"")</f>
        <v/>
      </c>
      <c r="I105" s="2451" t="str">
        <f t="shared" si="38"/>
        <v/>
      </c>
      <c r="J105" s="2451" t="str">
        <f t="shared" si="55"/>
        <v/>
      </c>
      <c r="K105" s="2451" t="str">
        <f t="shared" si="56"/>
        <v/>
      </c>
      <c r="L105" s="2452" t="str">
        <f t="shared" si="41"/>
        <v/>
      </c>
      <c r="M105" s="2434" t="str">
        <f>IF($G105="","",Afterflows!G104)</f>
        <v/>
      </c>
      <c r="N105" s="2434" t="str">
        <f>IF($G105="","",Afterflows!H104)</f>
        <v/>
      </c>
      <c r="O105" s="2434" t="str">
        <f t="shared" si="52"/>
        <v/>
      </c>
      <c r="P105" s="2475" t="str">
        <f>Velocity(PitotID2,PitotCoeff2,Afterflows!AB104,O105,H105,StackTempAvg2,AbsPress2,MolecularWt)</f>
        <v/>
      </c>
      <c r="Q105" s="2476" t="str">
        <f t="shared" si="57"/>
        <v/>
      </c>
      <c r="R105" s="2477" t="str">
        <f>IF(Flowmeter2="ECS",IF(G105="","",S105*O105),FlowSet(AA$6,Q105,AA$7,AA$8,AA$9,AA$10,I105,J105,BaroPress2,OPF))</f>
        <v/>
      </c>
      <c r="S105" s="2465" t="str">
        <f t="shared" ref="S105:S112" si="58">IF(Flowmeter2="ECS",IF(G105="","",0.00008038*((PitotCoeff2)^2)*DHat2*(K105^4)*(MolecularWtDry/(MolecularWtDry*(1-Bws)+18*Bws))*((1-Bws)^2)*((I105+273)/(H105+273))*((AbsPress2*0.750061561303)/(AbsPress2*0.750061561303+(DHat2/13.6)))),"")</f>
        <v/>
      </c>
      <c r="T105" s="1177" t="str">
        <f t="shared" si="44"/>
        <v/>
      </c>
      <c r="U105" s="2070" t="str">
        <f t="shared" si="53"/>
        <v/>
      </c>
      <c r="V105" s="1202" t="str">
        <f t="shared" si="45"/>
        <v/>
      </c>
      <c r="W105" s="1202" t="str">
        <f>IF(ISNUMBER(V105),$K$7+SUM(V$81:V105)/Mratio2,"")</f>
        <v/>
      </c>
      <c r="X105" s="1201" t="str">
        <f t="shared" si="46"/>
        <v/>
      </c>
      <c r="Y105" s="1201" t="str">
        <f t="shared" si="47"/>
        <v/>
      </c>
      <c r="Z105" s="1201" t="str">
        <f t="shared" si="48"/>
        <v/>
      </c>
      <c r="AA105" s="1201" t="str">
        <f t="shared" si="49"/>
        <v/>
      </c>
      <c r="AB105" s="1205" t="str">
        <f t="shared" si="50"/>
        <v/>
      </c>
    </row>
    <row r="106" spans="3:28" ht="10.5" hidden="1" customHeight="1" outlineLevel="1">
      <c r="C106" s="2437" t="b">
        <f t="shared" si="36"/>
        <v>1</v>
      </c>
      <c r="E106" s="1177" t="str">
        <f t="shared" si="54"/>
        <v/>
      </c>
      <c r="F106" s="1176" t="str">
        <f t="shared" si="54"/>
        <v/>
      </c>
      <c r="G106" s="2434" t="str">
        <f>IF(Afterflows!W105="","",Afterflows!W105)</f>
        <v/>
      </c>
      <c r="H106" s="2445" t="str">
        <f>IF(ISNUMBER(G106),IF(ISNUMBER(StackTemp2),StackTemp2,IF(Afterflows!V105="","",Afterflows!V105)),"")</f>
        <v/>
      </c>
      <c r="I106" s="2451" t="str">
        <f t="shared" si="38"/>
        <v/>
      </c>
      <c r="J106" s="2451" t="str">
        <f t="shared" si="55"/>
        <v/>
      </c>
      <c r="K106" s="2451" t="str">
        <f t="shared" si="56"/>
        <v/>
      </c>
      <c r="L106" s="2452" t="str">
        <f t="shared" si="41"/>
        <v/>
      </c>
      <c r="M106" s="2434" t="str">
        <f>IF($G106="","",Afterflows!G105)</f>
        <v/>
      </c>
      <c r="N106" s="2434" t="str">
        <f>IF($G106="","",Afterflows!H105)</f>
        <v/>
      </c>
      <c r="O106" s="2434" t="str">
        <f t="shared" si="52"/>
        <v/>
      </c>
      <c r="P106" s="2475" t="str">
        <f>Velocity(PitotID2,PitotCoeff2,Afterflows!AB105,O106,H106,StackTempAvg2,AbsPress2,MolecularWt)</f>
        <v/>
      </c>
      <c r="Q106" s="2476" t="str">
        <f t="shared" si="57"/>
        <v/>
      </c>
      <c r="R106" s="2477" t="str">
        <f>IF(Flowmeter2="ECS",IF(G106="","",S106*O106),FlowSet(AA$6,Q106,AA$7,AA$8,AA$9,AA$10,I106,J106,BaroPress2,OPF))</f>
        <v/>
      </c>
      <c r="S106" s="2465" t="str">
        <f t="shared" si="58"/>
        <v/>
      </c>
      <c r="T106" s="1177" t="str">
        <f t="shared" si="44"/>
        <v/>
      </c>
      <c r="U106" s="2070" t="str">
        <f t="shared" si="53"/>
        <v/>
      </c>
      <c r="V106" s="1202" t="str">
        <f t="shared" si="45"/>
        <v/>
      </c>
      <c r="W106" s="1202" t="str">
        <f>IF(ISNUMBER(V106),$K$7+SUM(V$81:V106)/Mratio2,"")</f>
        <v/>
      </c>
      <c r="X106" s="1201" t="str">
        <f t="shared" si="46"/>
        <v/>
      </c>
      <c r="Y106" s="1201" t="str">
        <f t="shared" si="47"/>
        <v/>
      </c>
      <c r="Z106" s="1201" t="str">
        <f t="shared" si="48"/>
        <v/>
      </c>
      <c r="AA106" s="1201" t="str">
        <f t="shared" si="49"/>
        <v/>
      </c>
      <c r="AB106" s="1205" t="str">
        <f t="shared" si="50"/>
        <v/>
      </c>
    </row>
    <row r="107" spans="3:28" ht="10.5" hidden="1" customHeight="1" outlineLevel="1">
      <c r="C107" s="2437" t="b">
        <f t="shared" si="36"/>
        <v>1</v>
      </c>
      <c r="E107" s="1177" t="str">
        <f t="shared" si="54"/>
        <v/>
      </c>
      <c r="F107" s="1176" t="str">
        <f t="shared" si="54"/>
        <v/>
      </c>
      <c r="G107" s="2434" t="str">
        <f>IF(Afterflows!W106="","",Afterflows!W106)</f>
        <v/>
      </c>
      <c r="H107" s="2445" t="str">
        <f>IF(ISNUMBER(G107),IF(ISNUMBER(StackTemp2),StackTemp2,IF(Afterflows!V106="","",Afterflows!V106)),"")</f>
        <v/>
      </c>
      <c r="I107" s="2451" t="str">
        <f t="shared" si="38"/>
        <v/>
      </c>
      <c r="J107" s="2451" t="str">
        <f t="shared" si="55"/>
        <v/>
      </c>
      <c r="K107" s="2451" t="str">
        <f t="shared" si="56"/>
        <v/>
      </c>
      <c r="L107" s="2452" t="str">
        <f t="shared" si="41"/>
        <v/>
      </c>
      <c r="M107" s="2434" t="str">
        <f>IF($G107="","",Afterflows!G106)</f>
        <v/>
      </c>
      <c r="N107" s="2434" t="str">
        <f>IF($G107="","",Afterflows!H106)</f>
        <v/>
      </c>
      <c r="O107" s="2434" t="str">
        <f t="shared" si="52"/>
        <v/>
      </c>
      <c r="P107" s="2475" t="str">
        <f>Velocity(PitotID2,PitotCoeff2,Afterflows!AB106,O107,H107,StackTempAvg2,AbsPress2,MolecularWt)</f>
        <v/>
      </c>
      <c r="Q107" s="2476" t="str">
        <f t="shared" si="57"/>
        <v/>
      </c>
      <c r="R107" s="2477" t="str">
        <f>IF(Flowmeter2="ECS",IF(G107="","",S107*O107),FlowSet(AA$6,Q107,AA$7,AA$8,AA$9,AA$10,I107,J107,BaroPress2,OPF))</f>
        <v/>
      </c>
      <c r="S107" s="2465" t="str">
        <f t="shared" si="58"/>
        <v/>
      </c>
      <c r="T107" s="1177" t="str">
        <f t="shared" si="44"/>
        <v/>
      </c>
      <c r="U107" s="2070" t="str">
        <f t="shared" si="53"/>
        <v/>
      </c>
      <c r="V107" s="1202" t="str">
        <f t="shared" si="45"/>
        <v/>
      </c>
      <c r="W107" s="1202" t="str">
        <f>IF(ISNUMBER(V107),$K$7+SUM(V$81:V107)/Mratio2,"")</f>
        <v/>
      </c>
      <c r="X107" s="1201" t="str">
        <f t="shared" si="46"/>
        <v/>
      </c>
      <c r="Y107" s="1201" t="str">
        <f t="shared" si="47"/>
        <v/>
      </c>
      <c r="Z107" s="1201" t="str">
        <f t="shared" si="48"/>
        <v/>
      </c>
      <c r="AA107" s="1201" t="str">
        <f t="shared" si="49"/>
        <v/>
      </c>
      <c r="AB107" s="1205" t="str">
        <f t="shared" si="50"/>
        <v/>
      </c>
    </row>
    <row r="108" spans="3:28" ht="10.5" hidden="1" customHeight="1" outlineLevel="1">
      <c r="C108" s="2437" t="b">
        <f t="shared" si="36"/>
        <v>1</v>
      </c>
      <c r="E108" s="1177" t="str">
        <f t="shared" si="54"/>
        <v/>
      </c>
      <c r="F108" s="1176" t="str">
        <f t="shared" si="54"/>
        <v/>
      </c>
      <c r="G108" s="2434" t="str">
        <f>IF(Afterflows!W107="","",Afterflows!W107)</f>
        <v/>
      </c>
      <c r="H108" s="2445" t="str">
        <f>IF(ISNUMBER(G108),IF(ISNUMBER(StackTemp2),StackTemp2,IF(Afterflows!V107="","",Afterflows!V107)),"")</f>
        <v/>
      </c>
      <c r="I108" s="2451" t="str">
        <f t="shared" si="38"/>
        <v/>
      </c>
      <c r="J108" s="2451" t="str">
        <f t="shared" si="55"/>
        <v/>
      </c>
      <c r="K108" s="2451" t="str">
        <f t="shared" si="56"/>
        <v/>
      </c>
      <c r="L108" s="2452" t="str">
        <f t="shared" si="41"/>
        <v/>
      </c>
      <c r="M108" s="2434" t="str">
        <f>IF($G108="","",Afterflows!G107)</f>
        <v/>
      </c>
      <c r="N108" s="2434" t="str">
        <f>IF($G108="","",Afterflows!H107)</f>
        <v/>
      </c>
      <c r="O108" s="2434" t="str">
        <f t="shared" si="52"/>
        <v/>
      </c>
      <c r="P108" s="2475" t="str">
        <f>Velocity(PitotID2,PitotCoeff2,Afterflows!AB107,O108,H108,StackTempAvg2,AbsPress2,MolecularWt)</f>
        <v/>
      </c>
      <c r="Q108" s="2476" t="str">
        <f t="shared" si="57"/>
        <v/>
      </c>
      <c r="R108" s="2477" t="str">
        <f>IF(Flowmeter2="ECS",IF(G108="","",S108*O108),FlowSet(AA$6,Q108,AA$7,AA$8,AA$9,AA$10,I108,J108,BaroPress2,OPF))</f>
        <v/>
      </c>
      <c r="S108" s="2465" t="str">
        <f t="shared" si="58"/>
        <v/>
      </c>
      <c r="T108" s="1177" t="str">
        <f t="shared" si="44"/>
        <v/>
      </c>
      <c r="U108" s="2070" t="str">
        <f t="shared" si="53"/>
        <v/>
      </c>
      <c r="V108" s="1202" t="str">
        <f t="shared" si="45"/>
        <v/>
      </c>
      <c r="W108" s="1202" t="str">
        <f>IF(ISNUMBER(V108),$K$7+SUM(V$81:V108)/Mratio2,"")</f>
        <v/>
      </c>
      <c r="X108" s="1201" t="str">
        <f t="shared" si="46"/>
        <v/>
      </c>
      <c r="Y108" s="1201" t="str">
        <f t="shared" si="47"/>
        <v/>
      </c>
      <c r="Z108" s="1201" t="str">
        <f t="shared" si="48"/>
        <v/>
      </c>
      <c r="AA108" s="1201" t="str">
        <f t="shared" si="49"/>
        <v/>
      </c>
      <c r="AB108" s="1205" t="str">
        <f t="shared" si="50"/>
        <v/>
      </c>
    </row>
    <row r="109" spans="3:28" ht="10.5" hidden="1" customHeight="1" outlineLevel="1">
      <c r="C109" s="2437" t="b">
        <f t="shared" si="36"/>
        <v>1</v>
      </c>
      <c r="E109" s="1177" t="str">
        <f t="shared" si="54"/>
        <v/>
      </c>
      <c r="F109" s="1176" t="str">
        <f t="shared" si="54"/>
        <v/>
      </c>
      <c r="G109" s="2434" t="str">
        <f>IF(Afterflows!W108="","",Afterflows!W108)</f>
        <v/>
      </c>
      <c r="H109" s="2445" t="str">
        <f>IF(ISNUMBER(G109),IF(ISNUMBER(StackTemp2),StackTemp2,IF(Afterflows!V108="","",Afterflows!V108)),"")</f>
        <v/>
      </c>
      <c r="I109" s="2451" t="str">
        <f t="shared" si="38"/>
        <v/>
      </c>
      <c r="J109" s="2451" t="str">
        <f t="shared" si="55"/>
        <v/>
      </c>
      <c r="K109" s="2451" t="str">
        <f t="shared" si="56"/>
        <v/>
      </c>
      <c r="L109" s="2452" t="str">
        <f t="shared" si="41"/>
        <v/>
      </c>
      <c r="M109" s="2434" t="str">
        <f>IF($G109="","",Afterflows!G108)</f>
        <v/>
      </c>
      <c r="N109" s="2434" t="str">
        <f>IF($G109="","",Afterflows!H108)</f>
        <v/>
      </c>
      <c r="O109" s="2434" t="str">
        <f t="shared" si="52"/>
        <v/>
      </c>
      <c r="P109" s="2475" t="str">
        <f>Velocity(PitotID2,PitotCoeff2,Afterflows!AB108,O109,H109,StackTempAvg2,AbsPress2,MolecularWt)</f>
        <v/>
      </c>
      <c r="Q109" s="2476" t="str">
        <f t="shared" si="57"/>
        <v/>
      </c>
      <c r="R109" s="2477" t="str">
        <f>IF(Flowmeter2="ECS",IF(G109="","",S109*O109),FlowSet(AA$6,Q109,AA$7,AA$8,AA$9,AA$10,I109,J109,BaroPress2,OPF))</f>
        <v/>
      </c>
      <c r="S109" s="2465" t="str">
        <f t="shared" si="58"/>
        <v/>
      </c>
      <c r="T109" s="1177" t="str">
        <f t="shared" si="44"/>
        <v/>
      </c>
      <c r="U109" s="2070" t="str">
        <f t="shared" si="53"/>
        <v/>
      </c>
      <c r="V109" s="1202" t="str">
        <f t="shared" si="45"/>
        <v/>
      </c>
      <c r="W109" s="1202" t="str">
        <f>IF(ISNUMBER(V109),$K$7+SUM(V$81:V109)/Mratio2,"")</f>
        <v/>
      </c>
      <c r="X109" s="1201" t="str">
        <f t="shared" si="46"/>
        <v/>
      </c>
      <c r="Y109" s="1201" t="str">
        <f t="shared" si="47"/>
        <v/>
      </c>
      <c r="Z109" s="1201" t="str">
        <f t="shared" si="48"/>
        <v/>
      </c>
      <c r="AA109" s="1201" t="str">
        <f t="shared" si="49"/>
        <v/>
      </c>
      <c r="AB109" s="1205" t="str">
        <f t="shared" si="50"/>
        <v/>
      </c>
    </row>
    <row r="110" spans="3:28" ht="10.5" hidden="1" customHeight="1" outlineLevel="1">
      <c r="C110" s="2437" t="b">
        <f t="shared" si="36"/>
        <v>1</v>
      </c>
      <c r="E110" s="1177" t="str">
        <f t="shared" si="54"/>
        <v/>
      </c>
      <c r="F110" s="1176" t="str">
        <f t="shared" si="54"/>
        <v/>
      </c>
      <c r="G110" s="2434" t="str">
        <f>IF(Afterflows!W109="","",Afterflows!W109)</f>
        <v/>
      </c>
      <c r="H110" s="2445" t="str">
        <f>IF(ISNUMBER(G110),IF(ISNUMBER(StackTemp2),StackTemp2,IF(Afterflows!V109="","",Afterflows!V109)),"")</f>
        <v/>
      </c>
      <c r="I110" s="2451" t="str">
        <f t="shared" si="38"/>
        <v/>
      </c>
      <c r="J110" s="2451" t="str">
        <f t="shared" si="55"/>
        <v/>
      </c>
      <c r="K110" s="2451" t="str">
        <f t="shared" si="56"/>
        <v/>
      </c>
      <c r="L110" s="2452" t="str">
        <f t="shared" si="41"/>
        <v/>
      </c>
      <c r="M110" s="2434" t="str">
        <f>IF($G110="","",Afterflows!G109)</f>
        <v/>
      </c>
      <c r="N110" s="2434" t="str">
        <f>IF($G110="","",Afterflows!H109)</f>
        <v/>
      </c>
      <c r="O110" s="2434" t="str">
        <f t="shared" si="52"/>
        <v/>
      </c>
      <c r="P110" s="2475" t="str">
        <f>Velocity(PitotID2,PitotCoeff2,Afterflows!AB109,O110,H110,StackTempAvg2,AbsPress2,MolecularWt)</f>
        <v/>
      </c>
      <c r="Q110" s="2476" t="str">
        <f t="shared" si="57"/>
        <v/>
      </c>
      <c r="R110" s="2477" t="str">
        <f>IF(Flowmeter2="ECS",IF(G110="","",S110*O110),FlowSet(AA$6,Q110,AA$7,AA$8,AA$9,AA$10,I110,J110,BaroPress2,OPF))</f>
        <v/>
      </c>
      <c r="S110" s="2465" t="str">
        <f t="shared" si="58"/>
        <v/>
      </c>
      <c r="T110" s="1177" t="str">
        <f t="shared" si="44"/>
        <v/>
      </c>
      <c r="U110" s="2070" t="str">
        <f t="shared" si="53"/>
        <v/>
      </c>
      <c r="V110" s="1202" t="str">
        <f t="shared" si="45"/>
        <v/>
      </c>
      <c r="W110" s="1202" t="str">
        <f>IF(ISNUMBER(V110),$K$7+SUM(V$81:V110)/Mratio2,"")</f>
        <v/>
      </c>
      <c r="X110" s="1201" t="str">
        <f t="shared" si="46"/>
        <v/>
      </c>
      <c r="Y110" s="1201" t="str">
        <f t="shared" si="47"/>
        <v/>
      </c>
      <c r="Z110" s="1201" t="str">
        <f t="shared" si="48"/>
        <v/>
      </c>
      <c r="AA110" s="1201" t="str">
        <f t="shared" si="49"/>
        <v/>
      </c>
      <c r="AB110" s="1205" t="str">
        <f t="shared" si="50"/>
        <v/>
      </c>
    </row>
    <row r="111" spans="3:28" ht="10.5" hidden="1" customHeight="1" outlineLevel="1">
      <c r="C111" s="2437" t="b">
        <f t="shared" si="36"/>
        <v>1</v>
      </c>
      <c r="E111" s="1177" t="str">
        <f t="shared" ref="E111:F130" si="59">E45</f>
        <v/>
      </c>
      <c r="F111" s="1176" t="str">
        <f t="shared" si="59"/>
        <v/>
      </c>
      <c r="G111" s="2434" t="str">
        <f>IF(Afterflows!W110="","",Afterflows!W110)</f>
        <v/>
      </c>
      <c r="H111" s="2445" t="str">
        <f>IF(ISNUMBER(G111),IF(ISNUMBER(StackTemp2),StackTemp2,IF(Afterflows!V110="","",Afterflows!V110)),"")</f>
        <v/>
      </c>
      <c r="I111" s="2451" t="str">
        <f t="shared" si="38"/>
        <v/>
      </c>
      <c r="J111" s="2451" t="str">
        <f t="shared" si="55"/>
        <v/>
      </c>
      <c r="K111" s="2451" t="str">
        <f t="shared" si="56"/>
        <v/>
      </c>
      <c r="L111" s="2452" t="str">
        <f t="shared" si="41"/>
        <v/>
      </c>
      <c r="M111" s="2434" t="str">
        <f>IF($G111="","",Afterflows!G110)</f>
        <v/>
      </c>
      <c r="N111" s="2434" t="str">
        <f>IF($G111="","",Afterflows!H110)</f>
        <v/>
      </c>
      <c r="O111" s="2434" t="str">
        <f t="shared" si="52"/>
        <v/>
      </c>
      <c r="P111" s="2475" t="str">
        <f>Velocity(PitotID2,PitotCoeff2,Afterflows!AB110,O111,H111,StackTempAvg2,AbsPress2,MolecularWt)</f>
        <v/>
      </c>
      <c r="Q111" s="2476" t="str">
        <f t="shared" si="57"/>
        <v/>
      </c>
      <c r="R111" s="2477" t="str">
        <f>IF(Flowmeter2="ECS",IF(G111="","",S111*O111),FlowSet(AA$6,Q111,AA$7,AA$8,AA$9,AA$10,I111,J111,BaroPress2,OPF))</f>
        <v/>
      </c>
      <c r="S111" s="2465" t="str">
        <f t="shared" si="58"/>
        <v/>
      </c>
      <c r="T111" s="1177" t="str">
        <f t="shared" si="44"/>
        <v/>
      </c>
      <c r="U111" s="2070" t="str">
        <f t="shared" si="53"/>
        <v/>
      </c>
      <c r="V111" s="1202" t="str">
        <f t="shared" si="45"/>
        <v/>
      </c>
      <c r="W111" s="1202" t="str">
        <f>IF(ISNUMBER(V111),$K$7+SUM(V$81:V111)/Mratio2,"")</f>
        <v/>
      </c>
      <c r="X111" s="1201" t="str">
        <f t="shared" si="46"/>
        <v/>
      </c>
      <c r="Y111" s="1201" t="str">
        <f t="shared" si="47"/>
        <v/>
      </c>
      <c r="Z111" s="1201" t="str">
        <f t="shared" si="48"/>
        <v/>
      </c>
      <c r="AA111" s="1201" t="str">
        <f t="shared" si="49"/>
        <v/>
      </c>
      <c r="AB111" s="1205" t="str">
        <f t="shared" si="50"/>
        <v/>
      </c>
    </row>
    <row r="112" spans="3:28" ht="10.5" hidden="1" customHeight="1" outlineLevel="1">
      <c r="C112" s="2437" t="b">
        <f t="shared" si="36"/>
        <v>1</v>
      </c>
      <c r="E112" s="1177" t="str">
        <f t="shared" si="59"/>
        <v/>
      </c>
      <c r="F112" s="1176" t="str">
        <f t="shared" si="59"/>
        <v/>
      </c>
      <c r="G112" s="2434" t="str">
        <f>IF(Afterflows!W111="","",Afterflows!W111)</f>
        <v/>
      </c>
      <c r="H112" s="2445" t="str">
        <f>IF(ISNUMBER(G112),IF(ISNUMBER(StackTemp2),StackTemp2,IF(Afterflows!V111="","",Afterflows!V111)),"")</f>
        <v/>
      </c>
      <c r="I112" s="2451" t="str">
        <f t="shared" si="38"/>
        <v/>
      </c>
      <c r="J112" s="2451" t="str">
        <f t="shared" si="55"/>
        <v/>
      </c>
      <c r="K112" s="2451" t="str">
        <f t="shared" si="56"/>
        <v/>
      </c>
      <c r="L112" s="2452" t="str">
        <f t="shared" si="41"/>
        <v/>
      </c>
      <c r="M112" s="2434" t="str">
        <f>IF($G112="","",Afterflows!G111)</f>
        <v/>
      </c>
      <c r="N112" s="2434" t="str">
        <f>IF($G112="","",Afterflows!H111)</f>
        <v/>
      </c>
      <c r="O112" s="2434" t="str">
        <f t="shared" si="52"/>
        <v/>
      </c>
      <c r="P112" s="2475" t="str">
        <f>Velocity(PitotID2,PitotCoeff2,Afterflows!AB111,O112,H112,StackTempAvg2,AbsPress2,MolecularWt)</f>
        <v/>
      </c>
      <c r="Q112" s="2476" t="str">
        <f t="shared" si="57"/>
        <v/>
      </c>
      <c r="R112" s="2477" t="str">
        <f>IF(Flowmeter2="ECS",IF(G112="","",S112*O112),FlowSet(AA$6,Q112,AA$7,AA$8,AA$9,AA$10,I112,J112,BaroPress2,OPF))</f>
        <v/>
      </c>
      <c r="S112" s="2465" t="str">
        <f t="shared" si="58"/>
        <v/>
      </c>
      <c r="T112" s="1177" t="str">
        <f t="shared" si="44"/>
        <v/>
      </c>
      <c r="U112" s="2070" t="str">
        <f t="shared" si="53"/>
        <v/>
      </c>
      <c r="V112" s="1202" t="str">
        <f t="shared" si="45"/>
        <v/>
      </c>
      <c r="W112" s="1202" t="str">
        <f>IF(ISNUMBER(V112),$K$7+SUM(V$81:V112)/Mratio2,"")</f>
        <v/>
      </c>
      <c r="X112" s="1201" t="str">
        <f t="shared" si="46"/>
        <v/>
      </c>
      <c r="Y112" s="1201" t="str">
        <f t="shared" si="47"/>
        <v/>
      </c>
      <c r="Z112" s="1201" t="str">
        <f t="shared" si="48"/>
        <v/>
      </c>
      <c r="AA112" s="1201" t="str">
        <f t="shared" si="49"/>
        <v/>
      </c>
      <c r="AB112" s="1205" t="str">
        <f t="shared" si="50"/>
        <v/>
      </c>
    </row>
    <row r="113" spans="3:28" ht="10.5" hidden="1" customHeight="1" outlineLevel="1">
      <c r="C113" s="2437" t="b">
        <f t="shared" si="36"/>
        <v>1</v>
      </c>
      <c r="E113" s="1177" t="str">
        <f t="shared" si="59"/>
        <v/>
      </c>
      <c r="F113" s="1176" t="str">
        <f t="shared" si="59"/>
        <v/>
      </c>
      <c r="G113" s="2434" t="str">
        <f>IF(Afterflows!W112="","",Afterflows!W112)</f>
        <v/>
      </c>
      <c r="H113" s="2445" t="str">
        <f>IF(ISNUMBER(G113),IF(ISNUMBER(StackTemp2),StackTemp2,IF(Afterflows!V112="","",Afterflows!V112)),"")</f>
        <v/>
      </c>
      <c r="I113" s="2451" t="str">
        <f t="shared" ref="I113:I140" si="60">IF(ISNUMBER(G113),IF(ISNUMBER(MeterTemp2),MeterTemp2,""),"")</f>
        <v/>
      </c>
      <c r="J113" s="2451" t="str">
        <f t="shared" si="55"/>
        <v/>
      </c>
      <c r="K113" s="2451" t="str">
        <f t="shared" si="56"/>
        <v/>
      </c>
      <c r="L113" s="2452" t="str">
        <f t="shared" ref="L113:L140" si="61">IF(ISNUMBER(P113),IF(ISNUMBER($L$80),$L$80*Y113*Z113/(CosYawAvg2*CosPitchAvg2),""),"")</f>
        <v/>
      </c>
      <c r="M113" s="2434" t="str">
        <f>IF($G113="","",Afterflows!G112)</f>
        <v/>
      </c>
      <c r="N113" s="2434" t="str">
        <f>IF($G113="","",Afterflows!H112)</f>
        <v/>
      </c>
      <c r="O113" s="2434" t="str">
        <f t="shared" si="52"/>
        <v/>
      </c>
      <c r="P113" s="2475" t="str">
        <f>Velocity(PitotID2,PitotCoeff2,Afterflows!AB112,O113,H113,StackTempAvg2,AbsPress2,MolecularWt)</f>
        <v/>
      </c>
      <c r="Q113" s="2476" t="str">
        <f t="shared" si="57"/>
        <v/>
      </c>
      <c r="R113" s="2477" t="str">
        <f>IF(Flowmeter2="ECS",IF(G113="","",S113*O113),FlowSet(AA$6,Q113,AA$7,AA$8,AA$9,AA$10,I113,J113,BaroPress2,OPF))</f>
        <v/>
      </c>
      <c r="S113" s="2465" t="str">
        <f t="shared" ref="S113:S140" si="62">IF(Flowmeter2="ECS",IF(G113="","",0.00008038*((PitotCoeff2)^2)*DHat2*(K113^4)*(MolecularWtDry/(MolecularWtDry*(1-Bws)+18*Bws))*((1-Bws)^2)*((I113+273)/(H113+273))*((AbsPress2*0.750061561303)/(AbsPress2*0.750061561303+(DHat2/13.6)))),"")</f>
        <v/>
      </c>
      <c r="T113" s="1177" t="str">
        <f t="shared" ref="T113:T140" si="63">E113</f>
        <v/>
      </c>
      <c r="U113" s="2070" t="str">
        <f t="shared" si="53"/>
        <v/>
      </c>
      <c r="V113" s="1202" t="str">
        <f t="shared" ref="V113:V140" si="64">IF(ISNUMBER($L113),L113*Q113,"")</f>
        <v/>
      </c>
      <c r="W113" s="1202" t="str">
        <f>IF(ISNUMBER(V113),$K$7+SUM(V$81:V113)/Mratio2,"")</f>
        <v/>
      </c>
      <c r="X113" s="1201" t="str">
        <f t="shared" ref="X113:X140" si="65">IF(G113="","",SQRT(O113))</f>
        <v/>
      </c>
      <c r="Y113" s="1201" t="str">
        <f t="shared" ref="Y113:Y140" si="66">IF($G113="","",COS(M113*PI()/180))</f>
        <v/>
      </c>
      <c r="Z113" s="1201" t="str">
        <f t="shared" ref="Z113:Z140" si="67">IF($G113="","",COS(N113*PI()/180))</f>
        <v/>
      </c>
      <c r="AA113" s="1201" t="str">
        <f t="shared" ref="AA113:AA140" si="68">Velocity3D(P113,M113,N113)</f>
        <v/>
      </c>
      <c r="AB113" s="1205" t="str">
        <f t="shared" ref="AB113:AB140" si="69">IF(P113="","",P113*1/(1-PBF_1))</f>
        <v/>
      </c>
    </row>
    <row r="114" spans="3:28" ht="10.5" hidden="1" customHeight="1" outlineLevel="1">
      <c r="C114" s="2437" t="b">
        <f t="shared" si="36"/>
        <v>1</v>
      </c>
      <c r="E114" s="1177" t="str">
        <f t="shared" si="59"/>
        <v/>
      </c>
      <c r="F114" s="1176" t="str">
        <f t="shared" si="59"/>
        <v/>
      </c>
      <c r="G114" s="2434" t="str">
        <f>IF(Afterflows!W113="","",Afterflows!W113)</f>
        <v/>
      </c>
      <c r="H114" s="2445" t="str">
        <f>IF(ISNUMBER(G114),IF(ISNUMBER(StackTemp2),StackTemp2,IF(Afterflows!V113="","",Afterflows!V113)),"")</f>
        <v/>
      </c>
      <c r="I114" s="2451" t="str">
        <f t="shared" si="60"/>
        <v/>
      </c>
      <c r="J114" s="2451" t="str">
        <f t="shared" si="55"/>
        <v/>
      </c>
      <c r="K114" s="2451" t="str">
        <f t="shared" si="56"/>
        <v/>
      </c>
      <c r="L114" s="2452" t="str">
        <f t="shared" si="61"/>
        <v/>
      </c>
      <c r="M114" s="2434" t="str">
        <f>IF($G114="","",Afterflows!G113)</f>
        <v/>
      </c>
      <c r="N114" s="2434" t="str">
        <f>IF($G114="","",Afterflows!H113)</f>
        <v/>
      </c>
      <c r="O114" s="2434" t="str">
        <f t="shared" si="52"/>
        <v/>
      </c>
      <c r="P114" s="2475" t="str">
        <f>Velocity(PitotID2,PitotCoeff2,Afterflows!AB113,O114,H114,StackTempAvg2,AbsPress2,MolecularWt)</f>
        <v/>
      </c>
      <c r="Q114" s="2476" t="str">
        <f t="shared" si="57"/>
        <v/>
      </c>
      <c r="R114" s="2477" t="str">
        <f>IF(Flowmeter2="ECS",IF(G114="","",S114*O114),FlowSet(AA$6,Q114,AA$7,AA$8,AA$9,AA$10,I114,J114,BaroPress2,OPF))</f>
        <v/>
      </c>
      <c r="S114" s="2465" t="str">
        <f t="shared" si="62"/>
        <v/>
      </c>
      <c r="T114" s="1177" t="str">
        <f t="shared" si="63"/>
        <v/>
      </c>
      <c r="U114" s="2070" t="str">
        <f t="shared" si="53"/>
        <v/>
      </c>
      <c r="V114" s="1202" t="str">
        <f t="shared" si="64"/>
        <v/>
      </c>
      <c r="W114" s="1202" t="str">
        <f>IF(ISNUMBER(V114),$K$7+SUM(V$81:V114)/Mratio2,"")</f>
        <v/>
      </c>
      <c r="X114" s="1201" t="str">
        <f t="shared" si="65"/>
        <v/>
      </c>
      <c r="Y114" s="1201" t="str">
        <f t="shared" si="66"/>
        <v/>
      </c>
      <c r="Z114" s="1201" t="str">
        <f t="shared" si="67"/>
        <v/>
      </c>
      <c r="AA114" s="1201" t="str">
        <f t="shared" si="68"/>
        <v/>
      </c>
      <c r="AB114" s="1205" t="str">
        <f t="shared" si="69"/>
        <v/>
      </c>
    </row>
    <row r="115" spans="3:28" ht="10.5" hidden="1" customHeight="1" outlineLevel="1">
      <c r="C115" s="2437" t="b">
        <f t="shared" si="36"/>
        <v>1</v>
      </c>
      <c r="E115" s="1177" t="str">
        <f t="shared" si="59"/>
        <v/>
      </c>
      <c r="F115" s="1176" t="str">
        <f t="shared" si="59"/>
        <v/>
      </c>
      <c r="G115" s="2434" t="str">
        <f>IF(Afterflows!W114="","",Afterflows!W114)</f>
        <v/>
      </c>
      <c r="H115" s="2445" t="str">
        <f>IF(ISNUMBER(G115),IF(ISNUMBER(StackTemp2),StackTemp2,IF(Afterflows!V114="","",Afterflows!V114)),"")</f>
        <v/>
      </c>
      <c r="I115" s="2451" t="str">
        <f t="shared" si="60"/>
        <v/>
      </c>
      <c r="J115" s="2451" t="str">
        <f t="shared" si="55"/>
        <v/>
      </c>
      <c r="K115" s="2451" t="str">
        <f t="shared" si="56"/>
        <v/>
      </c>
      <c r="L115" s="2452" t="str">
        <f t="shared" si="61"/>
        <v/>
      </c>
      <c r="M115" s="2434" t="str">
        <f>IF($G115="","",Afterflows!G114)</f>
        <v/>
      </c>
      <c r="N115" s="2434" t="str">
        <f>IF($G115="","",Afterflows!H114)</f>
        <v/>
      </c>
      <c r="O115" s="2434" t="str">
        <f t="shared" si="52"/>
        <v/>
      </c>
      <c r="P115" s="2475" t="str">
        <f>Velocity(PitotID2,PitotCoeff2,Afterflows!AB114,O115,H115,StackTempAvg2,AbsPress2,MolecularWt)</f>
        <v/>
      </c>
      <c r="Q115" s="2476" t="str">
        <f t="shared" si="57"/>
        <v/>
      </c>
      <c r="R115" s="2477" t="str">
        <f>IF(Flowmeter2="ECS",IF(G115="","",S115*O115),FlowSet(AA$6,Q115,AA$7,AA$8,AA$9,AA$10,I115,J115,BaroPress2,OPF))</f>
        <v/>
      </c>
      <c r="S115" s="2465" t="str">
        <f t="shared" si="62"/>
        <v/>
      </c>
      <c r="T115" s="1177" t="str">
        <f t="shared" si="63"/>
        <v/>
      </c>
      <c r="U115" s="2070" t="str">
        <f t="shared" si="53"/>
        <v/>
      </c>
      <c r="V115" s="1202" t="str">
        <f t="shared" si="64"/>
        <v/>
      </c>
      <c r="W115" s="1202" t="str">
        <f>IF(ISNUMBER(V115),$K$7+SUM(V$81:V115)/Mratio2,"")</f>
        <v/>
      </c>
      <c r="X115" s="1201" t="str">
        <f t="shared" si="65"/>
        <v/>
      </c>
      <c r="Y115" s="1201" t="str">
        <f t="shared" si="66"/>
        <v/>
      </c>
      <c r="Z115" s="1201" t="str">
        <f t="shared" si="67"/>
        <v/>
      </c>
      <c r="AA115" s="1201" t="str">
        <f t="shared" si="68"/>
        <v/>
      </c>
      <c r="AB115" s="1205" t="str">
        <f t="shared" si="69"/>
        <v/>
      </c>
    </row>
    <row r="116" spans="3:28" ht="10.5" hidden="1" customHeight="1" outlineLevel="1">
      <c r="C116" s="2437" t="b">
        <f t="shared" si="36"/>
        <v>1</v>
      </c>
      <c r="E116" s="1177" t="str">
        <f t="shared" si="59"/>
        <v/>
      </c>
      <c r="F116" s="1176" t="str">
        <f t="shared" si="59"/>
        <v/>
      </c>
      <c r="G116" s="2434" t="str">
        <f>IF(Afterflows!W115="","",Afterflows!W115)</f>
        <v/>
      </c>
      <c r="H116" s="2445" t="str">
        <f>IF(ISNUMBER(G116),IF(ISNUMBER(StackTemp2),StackTemp2,IF(Afterflows!V115="","",Afterflows!V115)),"")</f>
        <v/>
      </c>
      <c r="I116" s="2451" t="str">
        <f t="shared" si="60"/>
        <v/>
      </c>
      <c r="J116" s="2451" t="str">
        <f t="shared" si="55"/>
        <v/>
      </c>
      <c r="K116" s="2451" t="str">
        <f t="shared" si="56"/>
        <v/>
      </c>
      <c r="L116" s="2452" t="str">
        <f t="shared" si="61"/>
        <v/>
      </c>
      <c r="M116" s="2434" t="str">
        <f>IF($G116="","",Afterflows!G115)</f>
        <v/>
      </c>
      <c r="N116" s="2434" t="str">
        <f>IF($G116="","",Afterflows!H115)</f>
        <v/>
      </c>
      <c r="O116" s="2434" t="str">
        <f t="shared" si="52"/>
        <v/>
      </c>
      <c r="P116" s="2475" t="str">
        <f>Velocity(PitotID2,PitotCoeff2,Afterflows!AB115,O116,H116,StackTempAvg2,AbsPress2,MolecularWt)</f>
        <v/>
      </c>
      <c r="Q116" s="2476" t="str">
        <f t="shared" si="57"/>
        <v/>
      </c>
      <c r="R116" s="2477" t="str">
        <f>IF(Flowmeter2="ECS",IF(G116="","",S116*O116),FlowSet(AA$6,Q116,AA$7,AA$8,AA$9,AA$10,I116,J116,BaroPress2,OPF))</f>
        <v/>
      </c>
      <c r="S116" s="2465" t="str">
        <f t="shared" si="62"/>
        <v/>
      </c>
      <c r="T116" s="1177" t="str">
        <f t="shared" si="63"/>
        <v/>
      </c>
      <c r="U116" s="2070" t="str">
        <f t="shared" si="53"/>
        <v/>
      </c>
      <c r="V116" s="1202" t="str">
        <f t="shared" si="64"/>
        <v/>
      </c>
      <c r="W116" s="1202" t="str">
        <f>IF(ISNUMBER(V116),$K$7+SUM(V$81:V116)/Mratio2,"")</f>
        <v/>
      </c>
      <c r="X116" s="1201" t="str">
        <f t="shared" si="65"/>
        <v/>
      </c>
      <c r="Y116" s="1201" t="str">
        <f t="shared" si="66"/>
        <v/>
      </c>
      <c r="Z116" s="1201" t="str">
        <f t="shared" si="67"/>
        <v/>
      </c>
      <c r="AA116" s="1201" t="str">
        <f t="shared" si="68"/>
        <v/>
      </c>
      <c r="AB116" s="1205" t="str">
        <f t="shared" si="69"/>
        <v/>
      </c>
    </row>
    <row r="117" spans="3:28" ht="10.5" hidden="1" customHeight="1" outlineLevel="1">
      <c r="C117" s="2437" t="b">
        <f t="shared" si="36"/>
        <v>1</v>
      </c>
      <c r="E117" s="1177" t="str">
        <f t="shared" si="59"/>
        <v/>
      </c>
      <c r="F117" s="1176" t="str">
        <f t="shared" si="59"/>
        <v/>
      </c>
      <c r="G117" s="2434" t="str">
        <f>IF(Afterflows!W116="","",Afterflows!W116)</f>
        <v/>
      </c>
      <c r="H117" s="2445" t="str">
        <f>IF(ISNUMBER(G117),IF(ISNUMBER(StackTemp2),StackTemp2,IF(Afterflows!V116="","",Afterflows!V116)),"")</f>
        <v/>
      </c>
      <c r="I117" s="2451" t="str">
        <f t="shared" si="60"/>
        <v/>
      </c>
      <c r="J117" s="2451" t="str">
        <f t="shared" si="55"/>
        <v/>
      </c>
      <c r="K117" s="2451" t="str">
        <f t="shared" si="56"/>
        <v/>
      </c>
      <c r="L117" s="2452" t="str">
        <f t="shared" si="61"/>
        <v/>
      </c>
      <c r="M117" s="2434" t="str">
        <f>IF($G117="","",Afterflows!G116)</f>
        <v/>
      </c>
      <c r="N117" s="2434" t="str">
        <f>IF($G117="","",Afterflows!H116)</f>
        <v/>
      </c>
      <c r="O117" s="2434" t="str">
        <f t="shared" si="52"/>
        <v/>
      </c>
      <c r="P117" s="2475" t="str">
        <f>Velocity(PitotID2,PitotCoeff2,Afterflows!AB116,O117,H117,StackTempAvg2,AbsPress2,MolecularWt)</f>
        <v/>
      </c>
      <c r="Q117" s="2476" t="str">
        <f t="shared" si="57"/>
        <v/>
      </c>
      <c r="R117" s="2477" t="str">
        <f>IF(Flowmeter2="ECS",IF(G117="","",S117*O117),FlowSet(AA$6,Q117,AA$7,AA$8,AA$9,AA$10,I117,J117,BaroPress2,OPF))</f>
        <v/>
      </c>
      <c r="S117" s="2465" t="str">
        <f t="shared" si="62"/>
        <v/>
      </c>
      <c r="T117" s="1177" t="str">
        <f t="shared" si="63"/>
        <v/>
      </c>
      <c r="U117" s="2070" t="str">
        <f t="shared" si="53"/>
        <v/>
      </c>
      <c r="V117" s="1202" t="str">
        <f t="shared" si="64"/>
        <v/>
      </c>
      <c r="W117" s="1202" t="str">
        <f>IF(ISNUMBER(V117),$K$7+SUM(V$81:V117)/Mratio2,"")</f>
        <v/>
      </c>
      <c r="X117" s="1201" t="str">
        <f t="shared" si="65"/>
        <v/>
      </c>
      <c r="Y117" s="1201" t="str">
        <f t="shared" si="66"/>
        <v/>
      </c>
      <c r="Z117" s="1201" t="str">
        <f t="shared" si="67"/>
        <v/>
      </c>
      <c r="AA117" s="1201" t="str">
        <f t="shared" si="68"/>
        <v/>
      </c>
      <c r="AB117" s="1205" t="str">
        <f t="shared" si="69"/>
        <v/>
      </c>
    </row>
    <row r="118" spans="3:28" ht="10.5" hidden="1" customHeight="1" outlineLevel="1">
      <c r="C118" s="2437" t="b">
        <f t="shared" si="36"/>
        <v>1</v>
      </c>
      <c r="E118" s="1177" t="str">
        <f t="shared" si="59"/>
        <v/>
      </c>
      <c r="F118" s="1176" t="str">
        <f t="shared" si="59"/>
        <v/>
      </c>
      <c r="G118" s="2434" t="str">
        <f>IF(Afterflows!W117="","",Afterflows!W117)</f>
        <v/>
      </c>
      <c r="H118" s="2445" t="str">
        <f>IF(ISNUMBER(G118),IF(ISNUMBER(StackTemp2),StackTemp2,IF(Afterflows!V117="","",Afterflows!V117)),"")</f>
        <v/>
      </c>
      <c r="I118" s="2451" t="str">
        <f t="shared" si="60"/>
        <v/>
      </c>
      <c r="J118" s="2451" t="str">
        <f t="shared" si="55"/>
        <v/>
      </c>
      <c r="K118" s="2451" t="str">
        <f t="shared" si="56"/>
        <v/>
      </c>
      <c r="L118" s="2452" t="str">
        <f t="shared" si="61"/>
        <v/>
      </c>
      <c r="M118" s="2434" t="str">
        <f>IF($G118="","",Afterflows!G117)</f>
        <v/>
      </c>
      <c r="N118" s="2434" t="str">
        <f>IF($G118="","",Afterflows!H117)</f>
        <v/>
      </c>
      <c r="O118" s="2434" t="str">
        <f t="shared" si="52"/>
        <v/>
      </c>
      <c r="P118" s="2475" t="str">
        <f>Velocity(PitotID2,PitotCoeff2,Afterflows!AB117,O118,H118,StackTempAvg2,AbsPress2,MolecularWt)</f>
        <v/>
      </c>
      <c r="Q118" s="2476" t="str">
        <f t="shared" si="57"/>
        <v/>
      </c>
      <c r="R118" s="2477" t="str">
        <f>IF(Flowmeter2="ECS",IF(G118="","",S118*O118),FlowSet(AA$6,Q118,AA$7,AA$8,AA$9,AA$10,I118,J118,BaroPress2,OPF))</f>
        <v/>
      </c>
      <c r="S118" s="2465" t="str">
        <f t="shared" si="62"/>
        <v/>
      </c>
      <c r="T118" s="1177" t="str">
        <f t="shared" si="63"/>
        <v/>
      </c>
      <c r="U118" s="2070" t="str">
        <f t="shared" si="53"/>
        <v/>
      </c>
      <c r="V118" s="1202" t="str">
        <f t="shared" si="64"/>
        <v/>
      </c>
      <c r="W118" s="1202" t="str">
        <f>IF(ISNUMBER(V118),$K$7+SUM(V$81:V118)/Mratio2,"")</f>
        <v/>
      </c>
      <c r="X118" s="1201" t="str">
        <f t="shared" si="65"/>
        <v/>
      </c>
      <c r="Y118" s="1201" t="str">
        <f t="shared" si="66"/>
        <v/>
      </c>
      <c r="Z118" s="1201" t="str">
        <f t="shared" si="67"/>
        <v/>
      </c>
      <c r="AA118" s="1201" t="str">
        <f t="shared" si="68"/>
        <v/>
      </c>
      <c r="AB118" s="1205" t="str">
        <f t="shared" si="69"/>
        <v/>
      </c>
    </row>
    <row r="119" spans="3:28" ht="10.5" hidden="1" customHeight="1" outlineLevel="1">
      <c r="C119" s="2437" t="b">
        <f t="shared" si="36"/>
        <v>1</v>
      </c>
      <c r="E119" s="1177" t="str">
        <f t="shared" si="59"/>
        <v/>
      </c>
      <c r="F119" s="1176" t="str">
        <f t="shared" si="59"/>
        <v/>
      </c>
      <c r="G119" s="2434" t="str">
        <f>IF(Afterflows!W118="","",Afterflows!W118)</f>
        <v/>
      </c>
      <c r="H119" s="2445" t="str">
        <f>IF(ISNUMBER(G119),IF(ISNUMBER(StackTemp2),StackTemp2,IF(Afterflows!V118="","",Afterflows!V118)),"")</f>
        <v/>
      </c>
      <c r="I119" s="2451" t="str">
        <f t="shared" si="60"/>
        <v/>
      </c>
      <c r="J119" s="2451" t="str">
        <f t="shared" si="55"/>
        <v/>
      </c>
      <c r="K119" s="2451" t="str">
        <f t="shared" si="56"/>
        <v/>
      </c>
      <c r="L119" s="2452" t="str">
        <f t="shared" si="61"/>
        <v/>
      </c>
      <c r="M119" s="2434" t="str">
        <f>IF($G119="","",Afterflows!G118)</f>
        <v/>
      </c>
      <c r="N119" s="2434" t="str">
        <f>IF($G119="","",Afterflows!H118)</f>
        <v/>
      </c>
      <c r="O119" s="2434" t="str">
        <f t="shared" si="52"/>
        <v/>
      </c>
      <c r="P119" s="2475" t="str">
        <f>Velocity(PitotID2,PitotCoeff2,Afterflows!AB118,O119,H119,StackTempAvg2,AbsPress2,MolecularWt)</f>
        <v/>
      </c>
      <c r="Q119" s="2476" t="str">
        <f t="shared" si="57"/>
        <v/>
      </c>
      <c r="R119" s="2477" t="str">
        <f>IF(Flowmeter2="ECS",IF(G119="","",S119*O119),FlowSet(AA$6,Q119,AA$7,AA$8,AA$9,AA$10,I119,J119,BaroPress2,OPF))</f>
        <v/>
      </c>
      <c r="S119" s="2465" t="str">
        <f t="shared" si="62"/>
        <v/>
      </c>
      <c r="T119" s="1177" t="str">
        <f t="shared" si="63"/>
        <v/>
      </c>
      <c r="U119" s="2070" t="str">
        <f t="shared" si="53"/>
        <v/>
      </c>
      <c r="V119" s="1202" t="str">
        <f t="shared" si="64"/>
        <v/>
      </c>
      <c r="W119" s="1202" t="str">
        <f>IF(ISNUMBER(V119),$K$7+SUM(V$81:V119)/Mratio2,"")</f>
        <v/>
      </c>
      <c r="X119" s="1201" t="str">
        <f t="shared" si="65"/>
        <v/>
      </c>
      <c r="Y119" s="1201" t="str">
        <f t="shared" si="66"/>
        <v/>
      </c>
      <c r="Z119" s="1201" t="str">
        <f t="shared" si="67"/>
        <v/>
      </c>
      <c r="AA119" s="1201" t="str">
        <f t="shared" si="68"/>
        <v/>
      </c>
      <c r="AB119" s="1205" t="str">
        <f t="shared" si="69"/>
        <v/>
      </c>
    </row>
    <row r="120" spans="3:28" ht="10.5" hidden="1" customHeight="1" outlineLevel="1">
      <c r="C120" s="2437" t="b">
        <f t="shared" si="36"/>
        <v>1</v>
      </c>
      <c r="E120" s="1177" t="str">
        <f t="shared" si="59"/>
        <v/>
      </c>
      <c r="F120" s="1176" t="str">
        <f t="shared" si="59"/>
        <v/>
      </c>
      <c r="G120" s="2434" t="str">
        <f>IF(Afterflows!W119="","",Afterflows!W119)</f>
        <v/>
      </c>
      <c r="H120" s="2445" t="str">
        <f>IF(ISNUMBER(G120),IF(ISNUMBER(StackTemp2),StackTemp2,IF(Afterflows!V119="","",Afterflows!V119)),"")</f>
        <v/>
      </c>
      <c r="I120" s="2451" t="str">
        <f t="shared" si="60"/>
        <v/>
      </c>
      <c r="J120" s="2451" t="str">
        <f t="shared" si="55"/>
        <v/>
      </c>
      <c r="K120" s="2451" t="str">
        <f t="shared" si="56"/>
        <v/>
      </c>
      <c r="L120" s="2452" t="str">
        <f t="shared" si="61"/>
        <v/>
      </c>
      <c r="M120" s="2434" t="str">
        <f>IF($G120="","",Afterflows!G119)</f>
        <v/>
      </c>
      <c r="N120" s="2434" t="str">
        <f>IF($G120="","",Afterflows!H119)</f>
        <v/>
      </c>
      <c r="O120" s="2434" t="str">
        <f t="shared" si="52"/>
        <v/>
      </c>
      <c r="P120" s="2475" t="str">
        <f>Velocity(PitotID2,PitotCoeff2,Afterflows!AB119,O120,H120,StackTempAvg2,AbsPress2,MolecularWt)</f>
        <v/>
      </c>
      <c r="Q120" s="2476" t="str">
        <f t="shared" si="57"/>
        <v/>
      </c>
      <c r="R120" s="2477" t="str">
        <f>IF(Flowmeter2="ECS",IF(G120="","",S120*O120),FlowSet(AA$6,Q120,AA$7,AA$8,AA$9,AA$10,I120,J120,BaroPress2,OPF))</f>
        <v/>
      </c>
      <c r="S120" s="2465" t="str">
        <f t="shared" si="62"/>
        <v/>
      </c>
      <c r="T120" s="1177" t="str">
        <f t="shared" si="63"/>
        <v/>
      </c>
      <c r="U120" s="2070" t="str">
        <f t="shared" si="53"/>
        <v/>
      </c>
      <c r="V120" s="1202" t="str">
        <f t="shared" si="64"/>
        <v/>
      </c>
      <c r="W120" s="1202" t="str">
        <f>IF(ISNUMBER(V120),$K$7+SUM(V$81:V120)/Mratio2,"")</f>
        <v/>
      </c>
      <c r="X120" s="1201" t="str">
        <f t="shared" si="65"/>
        <v/>
      </c>
      <c r="Y120" s="1201" t="str">
        <f t="shared" si="66"/>
        <v/>
      </c>
      <c r="Z120" s="1201" t="str">
        <f t="shared" si="67"/>
        <v/>
      </c>
      <c r="AA120" s="1201" t="str">
        <f t="shared" si="68"/>
        <v/>
      </c>
      <c r="AB120" s="1205" t="str">
        <f t="shared" si="69"/>
        <v/>
      </c>
    </row>
    <row r="121" spans="3:28" ht="10.5" hidden="1" customHeight="1" outlineLevel="1">
      <c r="C121" s="2437" t="b">
        <f t="shared" si="36"/>
        <v>1</v>
      </c>
      <c r="E121" s="1177" t="str">
        <f t="shared" si="59"/>
        <v/>
      </c>
      <c r="F121" s="1176" t="str">
        <f t="shared" si="59"/>
        <v/>
      </c>
      <c r="G121" s="2434" t="str">
        <f>IF(Afterflows!W120="","",Afterflows!W120)</f>
        <v/>
      </c>
      <c r="H121" s="2445" t="str">
        <f>IF(ISNUMBER(G121),IF(ISNUMBER(StackTemp2),StackTemp2,IF(Afterflows!V120="","",Afterflows!V120)),"")</f>
        <v/>
      </c>
      <c r="I121" s="2451" t="str">
        <f t="shared" si="60"/>
        <v/>
      </c>
      <c r="J121" s="2451" t="str">
        <f t="shared" si="55"/>
        <v/>
      </c>
      <c r="K121" s="2451" t="str">
        <f t="shared" si="56"/>
        <v/>
      </c>
      <c r="L121" s="2452" t="str">
        <f t="shared" si="61"/>
        <v/>
      </c>
      <c r="M121" s="2434" t="str">
        <f>IF($G121="","",Afterflows!G120)</f>
        <v/>
      </c>
      <c r="N121" s="2434" t="str">
        <f>IF($G121="","",Afterflows!H120)</f>
        <v/>
      </c>
      <c r="O121" s="2434" t="str">
        <f t="shared" si="52"/>
        <v/>
      </c>
      <c r="P121" s="2475" t="str">
        <f>Velocity(PitotID2,PitotCoeff2,Afterflows!AB120,O121,H121,StackTempAvg2,AbsPress2,MolecularWt)</f>
        <v/>
      </c>
      <c r="Q121" s="2476" t="str">
        <f t="shared" si="57"/>
        <v/>
      </c>
      <c r="R121" s="2477" t="str">
        <f>IF(Flowmeter2="ECS",IF(G121="","",S121*O121),FlowSet(AA$6,Q121,AA$7,AA$8,AA$9,AA$10,I121,J121,BaroPress2,OPF))</f>
        <v/>
      </c>
      <c r="S121" s="2465" t="str">
        <f t="shared" si="62"/>
        <v/>
      </c>
      <c r="T121" s="1177" t="str">
        <f t="shared" si="63"/>
        <v/>
      </c>
      <c r="U121" s="2070" t="str">
        <f t="shared" si="53"/>
        <v/>
      </c>
      <c r="V121" s="1202" t="str">
        <f t="shared" si="64"/>
        <v/>
      </c>
      <c r="W121" s="1202" t="str">
        <f>IF(ISNUMBER(V121),$K$7+SUM(V$81:V121)/Mratio2,"")</f>
        <v/>
      </c>
      <c r="X121" s="1201" t="str">
        <f t="shared" si="65"/>
        <v/>
      </c>
      <c r="Y121" s="1201" t="str">
        <f t="shared" si="66"/>
        <v/>
      </c>
      <c r="Z121" s="1201" t="str">
        <f t="shared" si="67"/>
        <v/>
      </c>
      <c r="AA121" s="1201" t="str">
        <f t="shared" si="68"/>
        <v/>
      </c>
      <c r="AB121" s="1205" t="str">
        <f t="shared" si="69"/>
        <v/>
      </c>
    </row>
    <row r="122" spans="3:28" ht="10.5" hidden="1" customHeight="1" outlineLevel="1">
      <c r="C122" s="2437" t="b">
        <f t="shared" si="36"/>
        <v>1</v>
      </c>
      <c r="E122" s="1177" t="str">
        <f t="shared" si="59"/>
        <v/>
      </c>
      <c r="F122" s="1176" t="str">
        <f t="shared" si="59"/>
        <v/>
      </c>
      <c r="G122" s="2434" t="str">
        <f>IF(Afterflows!W121="","",Afterflows!W121)</f>
        <v/>
      </c>
      <c r="H122" s="2445" t="str">
        <f>IF(ISNUMBER(G122),IF(ISNUMBER(StackTemp2),StackTemp2,IF(Afterflows!V121="","",Afterflows!V121)),"")</f>
        <v/>
      </c>
      <c r="I122" s="2451" t="str">
        <f t="shared" si="60"/>
        <v/>
      </c>
      <c r="J122" s="2451" t="str">
        <f t="shared" si="55"/>
        <v/>
      </c>
      <c r="K122" s="2451" t="str">
        <f t="shared" si="56"/>
        <v/>
      </c>
      <c r="L122" s="2452" t="str">
        <f t="shared" si="61"/>
        <v/>
      </c>
      <c r="M122" s="2434" t="str">
        <f>IF($G122="","",Afterflows!G121)</f>
        <v/>
      </c>
      <c r="N122" s="2434" t="str">
        <f>IF($G122="","",Afterflows!H121)</f>
        <v/>
      </c>
      <c r="O122" s="2434" t="str">
        <f t="shared" si="52"/>
        <v/>
      </c>
      <c r="P122" s="2475" t="str">
        <f>Velocity(PitotID2,PitotCoeff2,Afterflows!AB121,O122,H122,StackTempAvg2,AbsPress2,MolecularWt)</f>
        <v/>
      </c>
      <c r="Q122" s="2476" t="str">
        <f t="shared" si="57"/>
        <v/>
      </c>
      <c r="R122" s="2477" t="str">
        <f>IF(Flowmeter2="ECS",IF(G122="","",S122*O122),FlowSet(AA$6,Q122,AA$7,AA$8,AA$9,AA$10,I122,J122,BaroPress2,OPF))</f>
        <v/>
      </c>
      <c r="S122" s="2465" t="str">
        <f t="shared" si="62"/>
        <v/>
      </c>
      <c r="T122" s="1177" t="str">
        <f t="shared" si="63"/>
        <v/>
      </c>
      <c r="U122" s="2070" t="str">
        <f t="shared" si="53"/>
        <v/>
      </c>
      <c r="V122" s="1202" t="str">
        <f t="shared" si="64"/>
        <v/>
      </c>
      <c r="W122" s="1202" t="str">
        <f>IF(ISNUMBER(V122),$K$7+SUM(V$81:V122)/Mratio2,"")</f>
        <v/>
      </c>
      <c r="X122" s="1201" t="str">
        <f t="shared" si="65"/>
        <v/>
      </c>
      <c r="Y122" s="1201" t="str">
        <f t="shared" si="66"/>
        <v/>
      </c>
      <c r="Z122" s="1201" t="str">
        <f t="shared" si="67"/>
        <v/>
      </c>
      <c r="AA122" s="1201" t="str">
        <f t="shared" si="68"/>
        <v/>
      </c>
      <c r="AB122" s="1205" t="str">
        <f t="shared" si="69"/>
        <v/>
      </c>
    </row>
    <row r="123" spans="3:28" ht="10.5" hidden="1" customHeight="1" outlineLevel="1">
      <c r="C123" s="2437" t="b">
        <f t="shared" si="36"/>
        <v>1</v>
      </c>
      <c r="E123" s="1177" t="str">
        <f t="shared" si="59"/>
        <v/>
      </c>
      <c r="F123" s="1176" t="str">
        <f t="shared" si="59"/>
        <v/>
      </c>
      <c r="G123" s="2434" t="str">
        <f>IF(Afterflows!W122="","",Afterflows!W122)</f>
        <v/>
      </c>
      <c r="H123" s="2445" t="str">
        <f>IF(ISNUMBER(G123),IF(ISNUMBER(StackTemp2),StackTemp2,IF(Afterflows!V122="","",Afterflows!V122)),"")</f>
        <v/>
      </c>
      <c r="I123" s="2451" t="str">
        <f t="shared" si="60"/>
        <v/>
      </c>
      <c r="J123" s="2451" t="str">
        <f t="shared" si="55"/>
        <v/>
      </c>
      <c r="K123" s="2451" t="str">
        <f t="shared" si="56"/>
        <v/>
      </c>
      <c r="L123" s="2452" t="str">
        <f t="shared" si="61"/>
        <v/>
      </c>
      <c r="M123" s="2434" t="str">
        <f>IF($G123="","",Afterflows!G122)</f>
        <v/>
      </c>
      <c r="N123" s="2434" t="str">
        <f>IF($G123="","",Afterflows!H122)</f>
        <v/>
      </c>
      <c r="O123" s="2434" t="str">
        <f t="shared" si="52"/>
        <v/>
      </c>
      <c r="P123" s="2475" t="str">
        <f>Velocity(PitotID2,PitotCoeff2,Afterflows!AB122,O123,H123,StackTempAvg2,AbsPress2,MolecularWt)</f>
        <v/>
      </c>
      <c r="Q123" s="2476" t="str">
        <f t="shared" si="57"/>
        <v/>
      </c>
      <c r="R123" s="2477" t="str">
        <f>IF(Flowmeter2="ECS",IF(G123="","",S123*O123),FlowSet(AA$6,Q123,AA$7,AA$8,AA$9,AA$10,I123,J123,BaroPress2,OPF))</f>
        <v/>
      </c>
      <c r="S123" s="2465" t="str">
        <f t="shared" si="62"/>
        <v/>
      </c>
      <c r="T123" s="1177" t="str">
        <f t="shared" si="63"/>
        <v/>
      </c>
      <c r="U123" s="2070" t="str">
        <f t="shared" si="53"/>
        <v/>
      </c>
      <c r="V123" s="1202" t="str">
        <f t="shared" si="64"/>
        <v/>
      </c>
      <c r="W123" s="1202" t="str">
        <f>IF(ISNUMBER(V123),$K$7+SUM(V$81:V123)/Mratio2,"")</f>
        <v/>
      </c>
      <c r="X123" s="1201" t="str">
        <f t="shared" si="65"/>
        <v/>
      </c>
      <c r="Y123" s="1201" t="str">
        <f t="shared" si="66"/>
        <v/>
      </c>
      <c r="Z123" s="1201" t="str">
        <f t="shared" si="67"/>
        <v/>
      </c>
      <c r="AA123" s="1201" t="str">
        <f t="shared" si="68"/>
        <v/>
      </c>
      <c r="AB123" s="1205" t="str">
        <f t="shared" si="69"/>
        <v/>
      </c>
    </row>
    <row r="124" spans="3:28" ht="10.5" hidden="1" customHeight="1" outlineLevel="1">
      <c r="C124" s="2437" t="b">
        <f t="shared" si="36"/>
        <v>1</v>
      </c>
      <c r="E124" s="1177" t="str">
        <f t="shared" si="59"/>
        <v/>
      </c>
      <c r="F124" s="1176" t="str">
        <f t="shared" si="59"/>
        <v/>
      </c>
      <c r="G124" s="2434" t="str">
        <f>IF(Afterflows!W123="","",Afterflows!W123)</f>
        <v/>
      </c>
      <c r="H124" s="2445" t="str">
        <f>IF(ISNUMBER(G124),IF(ISNUMBER(StackTemp2),StackTemp2,IF(Afterflows!V123="","",Afterflows!V123)),"")</f>
        <v/>
      </c>
      <c r="I124" s="2451" t="str">
        <f t="shared" si="60"/>
        <v/>
      </c>
      <c r="J124" s="2451" t="str">
        <f t="shared" si="55"/>
        <v/>
      </c>
      <c r="K124" s="2451" t="str">
        <f t="shared" si="56"/>
        <v/>
      </c>
      <c r="L124" s="2452" t="str">
        <f t="shared" si="61"/>
        <v/>
      </c>
      <c r="M124" s="2434" t="str">
        <f>IF($G124="","",Afterflows!G123)</f>
        <v/>
      </c>
      <c r="N124" s="2434" t="str">
        <f>IF($G124="","",Afterflows!H123)</f>
        <v/>
      </c>
      <c r="O124" s="2434" t="str">
        <f t="shared" si="52"/>
        <v/>
      </c>
      <c r="P124" s="2475" t="str">
        <f>Velocity(PitotID2,PitotCoeff2,Afterflows!AB123,O124,H124,StackTempAvg2,AbsPress2,MolecularWt)</f>
        <v/>
      </c>
      <c r="Q124" s="2476" t="str">
        <f t="shared" si="57"/>
        <v/>
      </c>
      <c r="R124" s="2477" t="str">
        <f>IF(Flowmeter2="ECS",IF(G124="","",S124*O124),FlowSet(AA$6,Q124,AA$7,AA$8,AA$9,AA$10,I124,J124,BaroPress2,OPF))</f>
        <v/>
      </c>
      <c r="S124" s="2465" t="str">
        <f t="shared" si="62"/>
        <v/>
      </c>
      <c r="T124" s="1177" t="str">
        <f t="shared" si="63"/>
        <v/>
      </c>
      <c r="U124" s="2070" t="str">
        <f t="shared" si="53"/>
        <v/>
      </c>
      <c r="V124" s="1202" t="str">
        <f t="shared" si="64"/>
        <v/>
      </c>
      <c r="W124" s="1202" t="str">
        <f>IF(ISNUMBER(V124),$K$7+SUM(V$81:V124)/Mratio2,"")</f>
        <v/>
      </c>
      <c r="X124" s="1201" t="str">
        <f t="shared" si="65"/>
        <v/>
      </c>
      <c r="Y124" s="1201" t="str">
        <f t="shared" si="66"/>
        <v/>
      </c>
      <c r="Z124" s="1201" t="str">
        <f t="shared" si="67"/>
        <v/>
      </c>
      <c r="AA124" s="1201" t="str">
        <f t="shared" si="68"/>
        <v/>
      </c>
      <c r="AB124" s="1205" t="str">
        <f t="shared" si="69"/>
        <v/>
      </c>
    </row>
    <row r="125" spans="3:28" ht="10.5" hidden="1" customHeight="1" outlineLevel="1">
      <c r="C125" s="2437" t="b">
        <f t="shared" si="36"/>
        <v>1</v>
      </c>
      <c r="E125" s="1177" t="str">
        <f t="shared" si="59"/>
        <v/>
      </c>
      <c r="F125" s="1176" t="str">
        <f t="shared" si="59"/>
        <v/>
      </c>
      <c r="G125" s="2434" t="str">
        <f>IF(Afterflows!W124="","",Afterflows!W124)</f>
        <v/>
      </c>
      <c r="H125" s="2445" t="str">
        <f>IF(ISNUMBER(G125),IF(ISNUMBER(StackTemp2),StackTemp2,IF(Afterflows!V124="","",Afterflows!V124)),"")</f>
        <v/>
      </c>
      <c r="I125" s="2451" t="str">
        <f t="shared" si="60"/>
        <v/>
      </c>
      <c r="J125" s="2451" t="str">
        <f t="shared" si="55"/>
        <v/>
      </c>
      <c r="K125" s="2451" t="str">
        <f t="shared" si="56"/>
        <v/>
      </c>
      <c r="L125" s="2452" t="str">
        <f t="shared" si="61"/>
        <v/>
      </c>
      <c r="M125" s="2434" t="str">
        <f>IF($G125="","",Afterflows!G124)</f>
        <v/>
      </c>
      <c r="N125" s="2434" t="str">
        <f>IF($G125="","",Afterflows!H124)</f>
        <v/>
      </c>
      <c r="O125" s="2434" t="str">
        <f t="shared" si="52"/>
        <v/>
      </c>
      <c r="P125" s="2475" t="str">
        <f>Velocity(PitotID2,PitotCoeff2,Afterflows!AB124,O125,H125,StackTempAvg2,AbsPress2,MolecularWt)</f>
        <v/>
      </c>
      <c r="Q125" s="2476" t="str">
        <f t="shared" si="57"/>
        <v/>
      </c>
      <c r="R125" s="2477" t="str">
        <f>IF(Flowmeter2="ECS",IF(G125="","",S125*O125),FlowSet(AA$6,Q125,AA$7,AA$8,AA$9,AA$10,I125,J125,BaroPress2,OPF))</f>
        <v/>
      </c>
      <c r="S125" s="2465" t="str">
        <f t="shared" si="62"/>
        <v/>
      </c>
      <c r="T125" s="1177" t="str">
        <f t="shared" si="63"/>
        <v/>
      </c>
      <c r="U125" s="2070" t="str">
        <f t="shared" si="53"/>
        <v/>
      </c>
      <c r="V125" s="1202" t="str">
        <f t="shared" si="64"/>
        <v/>
      </c>
      <c r="W125" s="1202" t="str">
        <f>IF(ISNUMBER(V125),$K$7+SUM(V$81:V125)/Mratio2,"")</f>
        <v/>
      </c>
      <c r="X125" s="1201" t="str">
        <f t="shared" si="65"/>
        <v/>
      </c>
      <c r="Y125" s="1201" t="str">
        <f t="shared" si="66"/>
        <v/>
      </c>
      <c r="Z125" s="1201" t="str">
        <f t="shared" si="67"/>
        <v/>
      </c>
      <c r="AA125" s="1201" t="str">
        <f t="shared" si="68"/>
        <v/>
      </c>
      <c r="AB125" s="1205" t="str">
        <f t="shared" si="69"/>
        <v/>
      </c>
    </row>
    <row r="126" spans="3:28" ht="10.5" hidden="1" customHeight="1" outlineLevel="1">
      <c r="C126" s="2437" t="b">
        <f t="shared" si="36"/>
        <v>1</v>
      </c>
      <c r="E126" s="1177" t="str">
        <f t="shared" si="59"/>
        <v/>
      </c>
      <c r="F126" s="1176" t="str">
        <f t="shared" si="59"/>
        <v/>
      </c>
      <c r="G126" s="2434" t="str">
        <f>IF(Afterflows!W125="","",Afterflows!W125)</f>
        <v/>
      </c>
      <c r="H126" s="2445" t="str">
        <f>IF(ISNUMBER(G126),IF(ISNUMBER(StackTemp2),StackTemp2,IF(Afterflows!V125="","",Afterflows!V125)),"")</f>
        <v/>
      </c>
      <c r="I126" s="2451" t="str">
        <f t="shared" si="60"/>
        <v/>
      </c>
      <c r="J126" s="2451" t="str">
        <f t="shared" si="55"/>
        <v/>
      </c>
      <c r="K126" s="2451" t="str">
        <f t="shared" si="56"/>
        <v/>
      </c>
      <c r="L126" s="2452" t="str">
        <f t="shared" si="61"/>
        <v/>
      </c>
      <c r="M126" s="2434" t="str">
        <f>IF($G126="","",Afterflows!G125)</f>
        <v/>
      </c>
      <c r="N126" s="2434" t="str">
        <f>IF($G126="","",Afterflows!H125)</f>
        <v/>
      </c>
      <c r="O126" s="2434" t="str">
        <f t="shared" si="52"/>
        <v/>
      </c>
      <c r="P126" s="2475" t="str">
        <f>Velocity(PitotID2,PitotCoeff2,Afterflows!AB125,O126,H126,StackTempAvg2,AbsPress2,MolecularWt)</f>
        <v/>
      </c>
      <c r="Q126" s="2476" t="str">
        <f t="shared" si="57"/>
        <v/>
      </c>
      <c r="R126" s="2477" t="str">
        <f>IF(Flowmeter2="ECS",IF(G126="","",S126*O126),FlowSet(AA$6,Q126,AA$7,AA$8,AA$9,AA$10,I126,J126,BaroPress2,OPF))</f>
        <v/>
      </c>
      <c r="S126" s="2465" t="str">
        <f t="shared" si="62"/>
        <v/>
      </c>
      <c r="T126" s="1177" t="str">
        <f t="shared" si="63"/>
        <v/>
      </c>
      <c r="U126" s="2070" t="str">
        <f t="shared" si="53"/>
        <v/>
      </c>
      <c r="V126" s="1202" t="str">
        <f t="shared" si="64"/>
        <v/>
      </c>
      <c r="W126" s="1202" t="str">
        <f>IF(ISNUMBER(V126),$K$7+SUM(V$81:V126)/Mratio2,"")</f>
        <v/>
      </c>
      <c r="X126" s="1201" t="str">
        <f t="shared" si="65"/>
        <v/>
      </c>
      <c r="Y126" s="1201" t="str">
        <f t="shared" si="66"/>
        <v/>
      </c>
      <c r="Z126" s="1201" t="str">
        <f t="shared" si="67"/>
        <v/>
      </c>
      <c r="AA126" s="1201" t="str">
        <f t="shared" si="68"/>
        <v/>
      </c>
      <c r="AB126" s="1205" t="str">
        <f t="shared" si="69"/>
        <v/>
      </c>
    </row>
    <row r="127" spans="3:28" ht="10.5" hidden="1" customHeight="1" outlineLevel="1">
      <c r="C127" s="2437" t="b">
        <f t="shared" si="36"/>
        <v>1</v>
      </c>
      <c r="E127" s="1177" t="str">
        <f t="shared" si="59"/>
        <v/>
      </c>
      <c r="F127" s="1176" t="str">
        <f t="shared" si="59"/>
        <v/>
      </c>
      <c r="G127" s="2434" t="str">
        <f>IF(Afterflows!W126="","",Afterflows!W126)</f>
        <v/>
      </c>
      <c r="H127" s="2445" t="str">
        <f>IF(ISNUMBER(G127),IF(ISNUMBER(StackTemp2),StackTemp2,IF(Afterflows!V126="","",Afterflows!V126)),"")</f>
        <v/>
      </c>
      <c r="I127" s="2451" t="str">
        <f t="shared" si="60"/>
        <v/>
      </c>
      <c r="J127" s="2451" t="str">
        <f t="shared" si="55"/>
        <v/>
      </c>
      <c r="K127" s="2451" t="str">
        <f t="shared" si="56"/>
        <v/>
      </c>
      <c r="L127" s="2452" t="str">
        <f t="shared" si="61"/>
        <v/>
      </c>
      <c r="M127" s="2434" t="str">
        <f>IF($G127="","",Afterflows!G126)</f>
        <v/>
      </c>
      <c r="N127" s="2434" t="str">
        <f>IF($G127="","",Afterflows!H126)</f>
        <v/>
      </c>
      <c r="O127" s="2434" t="str">
        <f t="shared" si="52"/>
        <v/>
      </c>
      <c r="P127" s="2475" t="str">
        <f>Velocity(PitotID2,PitotCoeff2,Afterflows!AB126,O127,H127,StackTempAvg2,AbsPress2,MolecularWt)</f>
        <v/>
      </c>
      <c r="Q127" s="2476" t="str">
        <f t="shared" si="57"/>
        <v/>
      </c>
      <c r="R127" s="2477" t="str">
        <f>IF(Flowmeter2="ECS",IF(G127="","",S127*O127),FlowSet(AA$6,Q127,AA$7,AA$8,AA$9,AA$10,I127,J127,BaroPress2,OPF))</f>
        <v/>
      </c>
      <c r="S127" s="2465" t="str">
        <f t="shared" si="62"/>
        <v/>
      </c>
      <c r="T127" s="1177" t="str">
        <f t="shared" si="63"/>
        <v/>
      </c>
      <c r="U127" s="2070" t="str">
        <f t="shared" si="53"/>
        <v/>
      </c>
      <c r="V127" s="1202" t="str">
        <f t="shared" si="64"/>
        <v/>
      </c>
      <c r="W127" s="1202" t="str">
        <f>IF(ISNUMBER(V127),$K$7+SUM(V$81:V127)/Mratio2,"")</f>
        <v/>
      </c>
      <c r="X127" s="1201" t="str">
        <f t="shared" si="65"/>
        <v/>
      </c>
      <c r="Y127" s="1201" t="str">
        <f t="shared" si="66"/>
        <v/>
      </c>
      <c r="Z127" s="1201" t="str">
        <f t="shared" si="67"/>
        <v/>
      </c>
      <c r="AA127" s="1201" t="str">
        <f t="shared" si="68"/>
        <v/>
      </c>
      <c r="AB127" s="1205" t="str">
        <f t="shared" si="69"/>
        <v/>
      </c>
    </row>
    <row r="128" spans="3:28" ht="10.5" hidden="1" customHeight="1" outlineLevel="1">
      <c r="C128" s="2437" t="b">
        <f t="shared" si="36"/>
        <v>1</v>
      </c>
      <c r="E128" s="1177" t="str">
        <f t="shared" si="59"/>
        <v/>
      </c>
      <c r="F128" s="1176" t="str">
        <f t="shared" si="59"/>
        <v/>
      </c>
      <c r="G128" s="2434" t="str">
        <f>IF(Afterflows!W127="","",Afterflows!W127)</f>
        <v/>
      </c>
      <c r="H128" s="2445" t="str">
        <f>IF(ISNUMBER(G128),IF(ISNUMBER(StackTemp2),StackTemp2,IF(Afterflows!V127="","",Afterflows!V127)),"")</f>
        <v/>
      </c>
      <c r="I128" s="2451" t="str">
        <f t="shared" si="60"/>
        <v/>
      </c>
      <c r="J128" s="2451" t="str">
        <f t="shared" si="55"/>
        <v/>
      </c>
      <c r="K128" s="2451" t="str">
        <f t="shared" si="56"/>
        <v/>
      </c>
      <c r="L128" s="2452" t="str">
        <f t="shared" si="61"/>
        <v/>
      </c>
      <c r="M128" s="2434" t="str">
        <f>IF($G128="","",Afterflows!G127)</f>
        <v/>
      </c>
      <c r="N128" s="2434" t="str">
        <f>IF($G128="","",Afterflows!H127)</f>
        <v/>
      </c>
      <c r="O128" s="2434" t="str">
        <f t="shared" si="52"/>
        <v/>
      </c>
      <c r="P128" s="2475" t="str">
        <f>Velocity(PitotID2,PitotCoeff2,Afterflows!AB127,O128,H128,StackTempAvg2,AbsPress2,MolecularWt)</f>
        <v/>
      </c>
      <c r="Q128" s="2476" t="str">
        <f t="shared" si="57"/>
        <v/>
      </c>
      <c r="R128" s="2477" t="str">
        <f>IF(Flowmeter2="ECS",IF(G128="","",S128*O128),FlowSet(AA$6,Q128,AA$7,AA$8,AA$9,AA$10,I128,J128,BaroPress2,OPF))</f>
        <v/>
      </c>
      <c r="S128" s="2465" t="str">
        <f t="shared" si="62"/>
        <v/>
      </c>
      <c r="T128" s="1177" t="str">
        <f t="shared" si="63"/>
        <v/>
      </c>
      <c r="U128" s="2070" t="str">
        <f t="shared" si="53"/>
        <v/>
      </c>
      <c r="V128" s="1202" t="str">
        <f t="shared" si="64"/>
        <v/>
      </c>
      <c r="W128" s="1202" t="str">
        <f>IF(ISNUMBER(V128),$K$7+SUM(V$81:V128)/Mratio2,"")</f>
        <v/>
      </c>
      <c r="X128" s="1201" t="str">
        <f t="shared" si="65"/>
        <v/>
      </c>
      <c r="Y128" s="1201" t="str">
        <f t="shared" si="66"/>
        <v/>
      </c>
      <c r="Z128" s="1201" t="str">
        <f t="shared" si="67"/>
        <v/>
      </c>
      <c r="AA128" s="1201" t="str">
        <f t="shared" si="68"/>
        <v/>
      </c>
      <c r="AB128" s="1205" t="str">
        <f t="shared" si="69"/>
        <v/>
      </c>
    </row>
    <row r="129" spans="3:28" ht="10.5" hidden="1" customHeight="1" outlineLevel="1">
      <c r="C129" s="2437" t="b">
        <f t="shared" si="36"/>
        <v>1</v>
      </c>
      <c r="E129" s="1177" t="str">
        <f t="shared" si="59"/>
        <v/>
      </c>
      <c r="F129" s="1176" t="str">
        <f t="shared" si="59"/>
        <v/>
      </c>
      <c r="G129" s="2434" t="str">
        <f>IF(Afterflows!W128="","",Afterflows!W128)</f>
        <v/>
      </c>
      <c r="H129" s="2445" t="str">
        <f>IF(ISNUMBER(G129),IF(ISNUMBER(StackTemp2),StackTemp2,IF(Afterflows!V128="","",Afterflows!V128)),"")</f>
        <v/>
      </c>
      <c r="I129" s="2451" t="str">
        <f t="shared" si="60"/>
        <v/>
      </c>
      <c r="J129" s="2451" t="str">
        <f t="shared" si="55"/>
        <v/>
      </c>
      <c r="K129" s="2451" t="str">
        <f t="shared" si="56"/>
        <v/>
      </c>
      <c r="L129" s="2452" t="str">
        <f t="shared" si="61"/>
        <v/>
      </c>
      <c r="M129" s="2434" t="str">
        <f>IF($G129="","",Afterflows!G128)</f>
        <v/>
      </c>
      <c r="N129" s="2434" t="str">
        <f>IF($G129="","",Afterflows!H128)</f>
        <v/>
      </c>
      <c r="O129" s="2434" t="str">
        <f t="shared" si="52"/>
        <v/>
      </c>
      <c r="P129" s="2475" t="str">
        <f>Velocity(PitotID2,PitotCoeff2,Afterflows!AB128,O129,H129,StackTempAvg2,AbsPress2,MolecularWt)</f>
        <v/>
      </c>
      <c r="Q129" s="2476" t="str">
        <f t="shared" si="57"/>
        <v/>
      </c>
      <c r="R129" s="2477" t="str">
        <f>IF(Flowmeter2="ECS",IF(G129="","",S129*O129),FlowSet(AA$6,Q129,AA$7,AA$8,AA$9,AA$10,I129,J129,BaroPress2,OPF))</f>
        <v/>
      </c>
      <c r="S129" s="2465" t="str">
        <f t="shared" si="62"/>
        <v/>
      </c>
      <c r="T129" s="1177" t="str">
        <f t="shared" si="63"/>
        <v/>
      </c>
      <c r="U129" s="2070" t="str">
        <f t="shared" si="53"/>
        <v/>
      </c>
      <c r="V129" s="1202" t="str">
        <f t="shared" si="64"/>
        <v/>
      </c>
      <c r="W129" s="1202" t="str">
        <f>IF(ISNUMBER(V129),$K$7+SUM(V$81:V129)/Mratio2,"")</f>
        <v/>
      </c>
      <c r="X129" s="1201" t="str">
        <f t="shared" si="65"/>
        <v/>
      </c>
      <c r="Y129" s="1201" t="str">
        <f t="shared" si="66"/>
        <v/>
      </c>
      <c r="Z129" s="1201" t="str">
        <f t="shared" si="67"/>
        <v/>
      </c>
      <c r="AA129" s="1201" t="str">
        <f t="shared" si="68"/>
        <v/>
      </c>
      <c r="AB129" s="1205" t="str">
        <f t="shared" si="69"/>
        <v/>
      </c>
    </row>
    <row r="130" spans="3:28" ht="10.5" hidden="1" customHeight="1" outlineLevel="1">
      <c r="C130" s="2437" t="b">
        <f t="shared" si="36"/>
        <v>1</v>
      </c>
      <c r="E130" s="1177" t="str">
        <f t="shared" si="59"/>
        <v/>
      </c>
      <c r="F130" s="1176" t="str">
        <f t="shared" si="59"/>
        <v/>
      </c>
      <c r="G130" s="2434" t="str">
        <f>IF(Afterflows!W129="","",Afterflows!W129)</f>
        <v/>
      </c>
      <c r="H130" s="2445" t="str">
        <f>IF(ISNUMBER(G130),IF(ISNUMBER(StackTemp2),StackTemp2,IF(Afterflows!V129="","",Afterflows!V129)),"")</f>
        <v/>
      </c>
      <c r="I130" s="2451" t="str">
        <f t="shared" si="60"/>
        <v/>
      </c>
      <c r="J130" s="2451" t="str">
        <f t="shared" si="55"/>
        <v/>
      </c>
      <c r="K130" s="2451" t="str">
        <f t="shared" si="56"/>
        <v/>
      </c>
      <c r="L130" s="2452" t="str">
        <f t="shared" si="61"/>
        <v/>
      </c>
      <c r="M130" s="2434" t="str">
        <f>IF($G130="","",Afterflows!G129)</f>
        <v/>
      </c>
      <c r="N130" s="2434" t="str">
        <f>IF($G130="","",Afterflows!H129)</f>
        <v/>
      </c>
      <c r="O130" s="2434" t="str">
        <f t="shared" si="52"/>
        <v/>
      </c>
      <c r="P130" s="2475" t="str">
        <f>Velocity(PitotID2,PitotCoeff2,Afterflows!AB129,O130,H130,StackTempAvg2,AbsPress2,MolecularWt)</f>
        <v/>
      </c>
      <c r="Q130" s="2476" t="str">
        <f t="shared" si="57"/>
        <v/>
      </c>
      <c r="R130" s="2477" t="str">
        <f>IF(Flowmeter2="ECS",IF(G130="","",S130*O130),FlowSet(AA$6,Q130,AA$7,AA$8,AA$9,AA$10,I130,J130,BaroPress2,OPF))</f>
        <v/>
      </c>
      <c r="S130" s="2465" t="str">
        <f t="shared" si="62"/>
        <v/>
      </c>
      <c r="T130" s="1177" t="str">
        <f t="shared" si="63"/>
        <v/>
      </c>
      <c r="U130" s="2070" t="str">
        <f t="shared" si="53"/>
        <v/>
      </c>
      <c r="V130" s="1202" t="str">
        <f t="shared" si="64"/>
        <v/>
      </c>
      <c r="W130" s="1202" t="str">
        <f>IF(ISNUMBER(V130),$K$7+SUM(V$81:V130)/Mratio2,"")</f>
        <v/>
      </c>
      <c r="X130" s="1201" t="str">
        <f t="shared" si="65"/>
        <v/>
      </c>
      <c r="Y130" s="1201" t="str">
        <f t="shared" si="66"/>
        <v/>
      </c>
      <c r="Z130" s="1201" t="str">
        <f t="shared" si="67"/>
        <v/>
      </c>
      <c r="AA130" s="1201" t="str">
        <f t="shared" si="68"/>
        <v/>
      </c>
      <c r="AB130" s="1205" t="str">
        <f t="shared" si="69"/>
        <v/>
      </c>
    </row>
    <row r="131" spans="3:28" ht="10.5" hidden="1" customHeight="1" outlineLevel="1">
      <c r="C131" s="2437" t="b">
        <f t="shared" si="36"/>
        <v>1</v>
      </c>
      <c r="E131" s="1177" t="str">
        <f t="shared" ref="E131:F140" si="70">E65</f>
        <v/>
      </c>
      <c r="F131" s="1176" t="str">
        <f t="shared" si="70"/>
        <v/>
      </c>
      <c r="G131" s="2434" t="str">
        <f>IF(Afterflows!W130="","",Afterflows!W130)</f>
        <v/>
      </c>
      <c r="H131" s="2445" t="str">
        <f>IF(ISNUMBER(G131),IF(ISNUMBER(StackTemp2),StackTemp2,IF(Afterflows!V130="","",Afterflows!V130)),"")</f>
        <v/>
      </c>
      <c r="I131" s="2451" t="str">
        <f t="shared" si="60"/>
        <v/>
      </c>
      <c r="J131" s="2451" t="str">
        <f t="shared" si="55"/>
        <v/>
      </c>
      <c r="K131" s="2451" t="str">
        <f t="shared" si="56"/>
        <v/>
      </c>
      <c r="L131" s="2452" t="str">
        <f t="shared" si="61"/>
        <v/>
      </c>
      <c r="M131" s="2434" t="str">
        <f>IF($G131="","",Afterflows!G130)</f>
        <v/>
      </c>
      <c r="N131" s="2434" t="str">
        <f>IF($G131="","",Afterflows!H130)</f>
        <v/>
      </c>
      <c r="O131" s="2434" t="str">
        <f t="shared" si="52"/>
        <v/>
      </c>
      <c r="P131" s="2475" t="str">
        <f>Velocity(PitotID2,PitotCoeff2,Afterflows!AB130,O131,H131,StackTempAvg2,AbsPress2,MolecularWt)</f>
        <v/>
      </c>
      <c r="Q131" s="2476" t="str">
        <f t="shared" si="57"/>
        <v/>
      </c>
      <c r="R131" s="2477" t="str">
        <f>IF(Flowmeter2="ECS",IF(G131="","",S131*O131),FlowSet(AA$6,Q131,AA$7,AA$8,AA$9,AA$10,I131,J131,BaroPress2,OPF))</f>
        <v/>
      </c>
      <c r="S131" s="2465" t="str">
        <f t="shared" si="62"/>
        <v/>
      </c>
      <c r="T131" s="1177" t="str">
        <f t="shared" si="63"/>
        <v/>
      </c>
      <c r="U131" s="2070" t="str">
        <f t="shared" si="53"/>
        <v/>
      </c>
      <c r="V131" s="1202" t="str">
        <f t="shared" si="64"/>
        <v/>
      </c>
      <c r="W131" s="1202" t="str">
        <f>IF(ISNUMBER(V131),$K$7+SUM(V$81:V131)/Mratio2,"")</f>
        <v/>
      </c>
      <c r="X131" s="1201" t="str">
        <f t="shared" si="65"/>
        <v/>
      </c>
      <c r="Y131" s="1201" t="str">
        <f t="shared" si="66"/>
        <v/>
      </c>
      <c r="Z131" s="1201" t="str">
        <f t="shared" si="67"/>
        <v/>
      </c>
      <c r="AA131" s="1201" t="str">
        <f t="shared" si="68"/>
        <v/>
      </c>
      <c r="AB131" s="1205" t="str">
        <f t="shared" si="69"/>
        <v/>
      </c>
    </row>
    <row r="132" spans="3:28" ht="10.5" hidden="1" customHeight="1" outlineLevel="1">
      <c r="C132" s="2437" t="b">
        <f t="shared" si="36"/>
        <v>1</v>
      </c>
      <c r="E132" s="1177" t="str">
        <f t="shared" si="70"/>
        <v/>
      </c>
      <c r="F132" s="1176" t="str">
        <f t="shared" si="70"/>
        <v/>
      </c>
      <c r="G132" s="2434" t="str">
        <f>IF(Afterflows!W131="","",Afterflows!W131)</f>
        <v/>
      </c>
      <c r="H132" s="2445" t="str">
        <f>IF(ISNUMBER(G132),IF(ISNUMBER(StackTemp2),StackTemp2,IF(Afterflows!V131="","",Afterflows!V131)),"")</f>
        <v/>
      </c>
      <c r="I132" s="2451" t="str">
        <f t="shared" si="60"/>
        <v/>
      </c>
      <c r="J132" s="2451" t="str">
        <f t="shared" si="55"/>
        <v/>
      </c>
      <c r="K132" s="2451" t="str">
        <f t="shared" si="56"/>
        <v/>
      </c>
      <c r="L132" s="2452" t="str">
        <f t="shared" si="61"/>
        <v/>
      </c>
      <c r="M132" s="2434" t="str">
        <f>IF($G132="","",Afterflows!G131)</f>
        <v/>
      </c>
      <c r="N132" s="2434" t="str">
        <f>IF($G132="","",Afterflows!H131)</f>
        <v/>
      </c>
      <c r="O132" s="2434" t="str">
        <f t="shared" si="52"/>
        <v/>
      </c>
      <c r="P132" s="2475" t="str">
        <f>Velocity(PitotID2,PitotCoeff2,Afterflows!AB131,O132,H132,StackTempAvg2,AbsPress2,MolecularWt)</f>
        <v/>
      </c>
      <c r="Q132" s="2476" t="str">
        <f t="shared" si="57"/>
        <v/>
      </c>
      <c r="R132" s="2477" t="str">
        <f>IF(Flowmeter2="ECS",IF(G132="","",S132*O132),FlowSet(AA$6,Q132,AA$7,AA$8,AA$9,AA$10,I132,J132,BaroPress2,OPF))</f>
        <v/>
      </c>
      <c r="S132" s="2465" t="str">
        <f t="shared" si="62"/>
        <v/>
      </c>
      <c r="T132" s="1177" t="str">
        <f t="shared" si="63"/>
        <v/>
      </c>
      <c r="U132" s="2070" t="str">
        <f t="shared" si="53"/>
        <v/>
      </c>
      <c r="V132" s="1202" t="str">
        <f t="shared" si="64"/>
        <v/>
      </c>
      <c r="W132" s="1202" t="str">
        <f>IF(ISNUMBER(V132),$K$7+SUM(V$81:V132)/Mratio2,"")</f>
        <v/>
      </c>
      <c r="X132" s="1201" t="str">
        <f t="shared" si="65"/>
        <v/>
      </c>
      <c r="Y132" s="1201" t="str">
        <f t="shared" si="66"/>
        <v/>
      </c>
      <c r="Z132" s="1201" t="str">
        <f t="shared" si="67"/>
        <v/>
      </c>
      <c r="AA132" s="1201" t="str">
        <f t="shared" si="68"/>
        <v/>
      </c>
      <c r="AB132" s="1205" t="str">
        <f t="shared" si="69"/>
        <v/>
      </c>
    </row>
    <row r="133" spans="3:28" ht="10.5" hidden="1" customHeight="1" outlineLevel="1">
      <c r="C133" s="2437" t="b">
        <f t="shared" si="36"/>
        <v>1</v>
      </c>
      <c r="E133" s="1177" t="str">
        <f t="shared" si="70"/>
        <v/>
      </c>
      <c r="F133" s="1176" t="str">
        <f t="shared" si="70"/>
        <v/>
      </c>
      <c r="G133" s="2434" t="str">
        <f>IF(Afterflows!W132="","",Afterflows!W132)</f>
        <v/>
      </c>
      <c r="H133" s="2445" t="str">
        <f>IF(ISNUMBER(G133),IF(ISNUMBER(StackTemp2),StackTemp2,IF(Afterflows!V132="","",Afterflows!V132)),"")</f>
        <v/>
      </c>
      <c r="I133" s="2451" t="str">
        <f t="shared" si="60"/>
        <v/>
      </c>
      <c r="J133" s="2451" t="str">
        <f t="shared" si="55"/>
        <v/>
      </c>
      <c r="K133" s="2451" t="str">
        <f t="shared" si="56"/>
        <v/>
      </c>
      <c r="L133" s="2452" t="str">
        <f t="shared" si="61"/>
        <v/>
      </c>
      <c r="M133" s="2434" t="str">
        <f>IF($G133="","",Afterflows!G132)</f>
        <v/>
      </c>
      <c r="N133" s="2434" t="str">
        <f>IF($G133="","",Afterflows!H132)</f>
        <v/>
      </c>
      <c r="O133" s="2434" t="str">
        <f t="shared" si="52"/>
        <v/>
      </c>
      <c r="P133" s="2475" t="str">
        <f>Velocity(PitotID2,PitotCoeff2,Afterflows!AB132,O133,H133,StackTempAvg2,AbsPress2,MolecularWt)</f>
        <v/>
      </c>
      <c r="Q133" s="2476" t="str">
        <f t="shared" si="57"/>
        <v/>
      </c>
      <c r="R133" s="2477" t="str">
        <f>IF(Flowmeter2="ECS",IF(G133="","",S133*O133),FlowSet(AA$6,Q133,AA$7,AA$8,AA$9,AA$10,I133,J133,BaroPress2,OPF))</f>
        <v/>
      </c>
      <c r="S133" s="2465" t="str">
        <f t="shared" si="62"/>
        <v/>
      </c>
      <c r="T133" s="1177" t="str">
        <f t="shared" si="63"/>
        <v/>
      </c>
      <c r="U133" s="2070" t="str">
        <f t="shared" si="53"/>
        <v/>
      </c>
      <c r="V133" s="1202" t="str">
        <f t="shared" si="64"/>
        <v/>
      </c>
      <c r="W133" s="1202" t="str">
        <f>IF(ISNUMBER(V133),$K$7+SUM(V$81:V133)/Mratio2,"")</f>
        <v/>
      </c>
      <c r="X133" s="1201" t="str">
        <f t="shared" si="65"/>
        <v/>
      </c>
      <c r="Y133" s="1201" t="str">
        <f t="shared" si="66"/>
        <v/>
      </c>
      <c r="Z133" s="1201" t="str">
        <f t="shared" si="67"/>
        <v/>
      </c>
      <c r="AA133" s="1201" t="str">
        <f t="shared" si="68"/>
        <v/>
      </c>
      <c r="AB133" s="1205" t="str">
        <f t="shared" si="69"/>
        <v/>
      </c>
    </row>
    <row r="134" spans="3:28" ht="10.5" hidden="1" customHeight="1" outlineLevel="1">
      <c r="C134" s="2437" t="b">
        <f t="shared" si="36"/>
        <v>1</v>
      </c>
      <c r="E134" s="1177" t="str">
        <f t="shared" si="70"/>
        <v/>
      </c>
      <c r="F134" s="1176" t="str">
        <f t="shared" si="70"/>
        <v/>
      </c>
      <c r="G134" s="2434" t="str">
        <f>IF(Afterflows!W133="","",Afterflows!W133)</f>
        <v/>
      </c>
      <c r="H134" s="2445" t="str">
        <f>IF(ISNUMBER(G134),IF(ISNUMBER(StackTemp2),StackTemp2,IF(Afterflows!V133="","",Afterflows!V133)),"")</f>
        <v/>
      </c>
      <c r="I134" s="2451" t="str">
        <f t="shared" si="60"/>
        <v/>
      </c>
      <c r="J134" s="2451" t="str">
        <f t="shared" si="55"/>
        <v/>
      </c>
      <c r="K134" s="2451" t="str">
        <f t="shared" si="56"/>
        <v/>
      </c>
      <c r="L134" s="2452" t="str">
        <f t="shared" si="61"/>
        <v/>
      </c>
      <c r="M134" s="2434" t="str">
        <f>IF($G134="","",Afterflows!G133)</f>
        <v/>
      </c>
      <c r="N134" s="2434" t="str">
        <f>IF($G134="","",Afterflows!H133)</f>
        <v/>
      </c>
      <c r="O134" s="2434" t="str">
        <f t="shared" si="52"/>
        <v/>
      </c>
      <c r="P134" s="2475" t="str">
        <f>Velocity(PitotID2,PitotCoeff2,Afterflows!AB133,O134,H134,StackTempAvg2,AbsPress2,MolecularWt)</f>
        <v/>
      </c>
      <c r="Q134" s="2476" t="str">
        <f t="shared" si="57"/>
        <v/>
      </c>
      <c r="R134" s="2477" t="str">
        <f>IF(Flowmeter2="ECS",IF(G134="","",S134*O134),FlowSet(AA$6,Q134,AA$7,AA$8,AA$9,AA$10,I134,J134,BaroPress2,OPF))</f>
        <v/>
      </c>
      <c r="S134" s="2465" t="str">
        <f t="shared" si="62"/>
        <v/>
      </c>
      <c r="T134" s="1177" t="str">
        <f t="shared" si="63"/>
        <v/>
      </c>
      <c r="U134" s="2070" t="str">
        <f t="shared" si="53"/>
        <v/>
      </c>
      <c r="V134" s="1202" t="str">
        <f t="shared" si="64"/>
        <v/>
      </c>
      <c r="W134" s="1202" t="str">
        <f>IF(ISNUMBER(V134),$K$7+SUM(V$81:V134)/Mratio2,"")</f>
        <v/>
      </c>
      <c r="X134" s="1201" t="str">
        <f t="shared" si="65"/>
        <v/>
      </c>
      <c r="Y134" s="1201" t="str">
        <f t="shared" si="66"/>
        <v/>
      </c>
      <c r="Z134" s="1201" t="str">
        <f t="shared" si="67"/>
        <v/>
      </c>
      <c r="AA134" s="1201" t="str">
        <f t="shared" si="68"/>
        <v/>
      </c>
      <c r="AB134" s="1205" t="str">
        <f t="shared" si="69"/>
        <v/>
      </c>
    </row>
    <row r="135" spans="3:28" ht="10.5" hidden="1" customHeight="1" outlineLevel="1">
      <c r="C135" s="2437" t="b">
        <f t="shared" si="36"/>
        <v>1</v>
      </c>
      <c r="E135" s="1177" t="str">
        <f t="shared" si="70"/>
        <v/>
      </c>
      <c r="F135" s="1176" t="str">
        <f t="shared" si="70"/>
        <v/>
      </c>
      <c r="G135" s="2434" t="str">
        <f>IF(Afterflows!W134="","",Afterflows!W134)</f>
        <v/>
      </c>
      <c r="H135" s="2445" t="str">
        <f>IF(ISNUMBER(G135),IF(ISNUMBER(StackTemp2),StackTemp2,IF(Afterflows!V134="","",Afterflows!V134)),"")</f>
        <v/>
      </c>
      <c r="I135" s="2451" t="str">
        <f t="shared" si="60"/>
        <v/>
      </c>
      <c r="J135" s="2451" t="str">
        <f t="shared" si="55"/>
        <v/>
      </c>
      <c r="K135" s="2451" t="str">
        <f t="shared" si="56"/>
        <v/>
      </c>
      <c r="L135" s="2452" t="str">
        <f t="shared" si="61"/>
        <v/>
      </c>
      <c r="M135" s="2434" t="str">
        <f>IF($G135="","",Afterflows!G134)</f>
        <v/>
      </c>
      <c r="N135" s="2434" t="str">
        <f>IF($G135="","",Afterflows!H134)</f>
        <v/>
      </c>
      <c r="O135" s="2434" t="str">
        <f t="shared" si="52"/>
        <v/>
      </c>
      <c r="P135" s="2475" t="str">
        <f>Velocity(PitotID2,PitotCoeff2,Afterflows!AB134,O135,H135,StackTempAvg2,AbsPress2,MolecularWt)</f>
        <v/>
      </c>
      <c r="Q135" s="2476" t="str">
        <f t="shared" si="57"/>
        <v/>
      </c>
      <c r="R135" s="2477" t="str">
        <f>IF(Flowmeter2="ECS",IF(G135="","",S135*O135),FlowSet(AA$6,Q135,AA$7,AA$8,AA$9,AA$10,I135,J135,BaroPress2,OPF))</f>
        <v/>
      </c>
      <c r="S135" s="2465" t="str">
        <f t="shared" si="62"/>
        <v/>
      </c>
      <c r="T135" s="1177" t="str">
        <f t="shared" si="63"/>
        <v/>
      </c>
      <c r="U135" s="2070" t="str">
        <f t="shared" si="53"/>
        <v/>
      </c>
      <c r="V135" s="1202" t="str">
        <f t="shared" si="64"/>
        <v/>
      </c>
      <c r="W135" s="1202" t="str">
        <f>IF(ISNUMBER(V135),$K$7+SUM(V$81:V135)/Mratio2,"")</f>
        <v/>
      </c>
      <c r="X135" s="1201" t="str">
        <f t="shared" si="65"/>
        <v/>
      </c>
      <c r="Y135" s="1201" t="str">
        <f t="shared" si="66"/>
        <v/>
      </c>
      <c r="Z135" s="1201" t="str">
        <f t="shared" si="67"/>
        <v/>
      </c>
      <c r="AA135" s="1201" t="str">
        <f t="shared" si="68"/>
        <v/>
      </c>
      <c r="AB135" s="1205" t="str">
        <f t="shared" si="69"/>
        <v/>
      </c>
    </row>
    <row r="136" spans="3:28" ht="10.5" hidden="1" customHeight="1" outlineLevel="1">
      <c r="C136" s="2437" t="b">
        <f t="shared" si="36"/>
        <v>1</v>
      </c>
      <c r="E136" s="1177" t="str">
        <f t="shared" si="70"/>
        <v/>
      </c>
      <c r="F136" s="1176" t="str">
        <f t="shared" si="70"/>
        <v/>
      </c>
      <c r="G136" s="2434" t="str">
        <f>IF(Afterflows!W135="","",Afterflows!W135)</f>
        <v/>
      </c>
      <c r="H136" s="2445" t="str">
        <f>IF(ISNUMBER(G136),IF(ISNUMBER(StackTemp2),StackTemp2,IF(Afterflows!V135="","",Afterflows!V135)),"")</f>
        <v/>
      </c>
      <c r="I136" s="2451" t="str">
        <f t="shared" si="60"/>
        <v/>
      </c>
      <c r="J136" s="2451" t="str">
        <f t="shared" si="55"/>
        <v/>
      </c>
      <c r="K136" s="2451" t="str">
        <f t="shared" si="56"/>
        <v/>
      </c>
      <c r="L136" s="2452" t="str">
        <f t="shared" si="61"/>
        <v/>
      </c>
      <c r="M136" s="2434" t="str">
        <f>IF($G136="","",Afterflows!G135)</f>
        <v/>
      </c>
      <c r="N136" s="2434" t="str">
        <f>IF($G136="","",Afterflows!H135)</f>
        <v/>
      </c>
      <c r="O136" s="2434" t="str">
        <f t="shared" si="52"/>
        <v/>
      </c>
      <c r="P136" s="2475" t="str">
        <f>Velocity(PitotID2,PitotCoeff2,Afterflows!AB135,O136,H136,StackTempAvg2,AbsPress2,MolecularWt)</f>
        <v/>
      </c>
      <c r="Q136" s="2476" t="str">
        <f t="shared" si="57"/>
        <v/>
      </c>
      <c r="R136" s="2477" t="str">
        <f>IF(Flowmeter2="ECS",IF(G136="","",S136*O136),FlowSet(AA$6,Q136,AA$7,AA$8,AA$9,AA$10,I136,J136,BaroPress2,OPF))</f>
        <v/>
      </c>
      <c r="S136" s="2465" t="str">
        <f t="shared" si="62"/>
        <v/>
      </c>
      <c r="T136" s="1177" t="str">
        <f t="shared" si="63"/>
        <v/>
      </c>
      <c r="U136" s="2070" t="str">
        <f t="shared" si="53"/>
        <v/>
      </c>
      <c r="V136" s="1202" t="str">
        <f t="shared" si="64"/>
        <v/>
      </c>
      <c r="W136" s="1202" t="str">
        <f>IF(ISNUMBER(V136),$K$7+SUM(V$81:V136)/Mratio2,"")</f>
        <v/>
      </c>
      <c r="X136" s="1201" t="str">
        <f t="shared" si="65"/>
        <v/>
      </c>
      <c r="Y136" s="1201" t="str">
        <f t="shared" si="66"/>
        <v/>
      </c>
      <c r="Z136" s="1201" t="str">
        <f t="shared" si="67"/>
        <v/>
      </c>
      <c r="AA136" s="1201" t="str">
        <f t="shared" si="68"/>
        <v/>
      </c>
      <c r="AB136" s="1205" t="str">
        <f t="shared" si="69"/>
        <v/>
      </c>
    </row>
    <row r="137" spans="3:28" ht="10.5" hidden="1" customHeight="1" outlineLevel="1">
      <c r="C137" s="2437" t="b">
        <f t="shared" si="36"/>
        <v>1</v>
      </c>
      <c r="E137" s="1177" t="str">
        <f t="shared" si="70"/>
        <v/>
      </c>
      <c r="F137" s="1176" t="str">
        <f t="shared" si="70"/>
        <v/>
      </c>
      <c r="G137" s="2434" t="str">
        <f>IF(Afterflows!W136="","",Afterflows!W136)</f>
        <v/>
      </c>
      <c r="H137" s="2445" t="str">
        <f>IF(ISNUMBER(G137),IF(ISNUMBER(StackTemp2),StackTemp2,IF(Afterflows!V136="","",Afterflows!V136)),"")</f>
        <v/>
      </c>
      <c r="I137" s="2451" t="str">
        <f t="shared" si="60"/>
        <v/>
      </c>
      <c r="J137" s="2451" t="str">
        <f t="shared" si="55"/>
        <v/>
      </c>
      <c r="K137" s="2451" t="str">
        <f t="shared" si="56"/>
        <v/>
      </c>
      <c r="L137" s="2452" t="str">
        <f t="shared" si="61"/>
        <v/>
      </c>
      <c r="M137" s="2434" t="str">
        <f>IF($G137="","",Afterflows!G136)</f>
        <v/>
      </c>
      <c r="N137" s="2434" t="str">
        <f>IF($G137="","",Afterflows!H136)</f>
        <v/>
      </c>
      <c r="O137" s="2434" t="str">
        <f t="shared" si="52"/>
        <v/>
      </c>
      <c r="P137" s="2475" t="str">
        <f>Velocity(PitotID2,PitotCoeff2,Afterflows!AB136,O137,H137,StackTempAvg2,AbsPress2,MolecularWt)</f>
        <v/>
      </c>
      <c r="Q137" s="2476" t="str">
        <f t="shared" si="57"/>
        <v/>
      </c>
      <c r="R137" s="2477" t="str">
        <f>IF(Flowmeter2="ECS",IF(G137="","",S137*O137),FlowSet(AA$6,Q137,AA$7,AA$8,AA$9,AA$10,I137,J137,BaroPress2,OPF))</f>
        <v/>
      </c>
      <c r="S137" s="2465" t="str">
        <f t="shared" si="62"/>
        <v/>
      </c>
      <c r="T137" s="1177" t="str">
        <f t="shared" si="63"/>
        <v/>
      </c>
      <c r="U137" s="2070" t="str">
        <f t="shared" si="53"/>
        <v/>
      </c>
      <c r="V137" s="1202" t="str">
        <f t="shared" si="64"/>
        <v/>
      </c>
      <c r="W137" s="1202" t="str">
        <f>IF(ISNUMBER(V137),$K$7+SUM(V$81:V137)/Mratio2,"")</f>
        <v/>
      </c>
      <c r="X137" s="1201" t="str">
        <f t="shared" si="65"/>
        <v/>
      </c>
      <c r="Y137" s="1201" t="str">
        <f t="shared" si="66"/>
        <v/>
      </c>
      <c r="Z137" s="1201" t="str">
        <f t="shared" si="67"/>
        <v/>
      </c>
      <c r="AA137" s="1201" t="str">
        <f t="shared" si="68"/>
        <v/>
      </c>
      <c r="AB137" s="1205" t="str">
        <f t="shared" si="69"/>
        <v/>
      </c>
    </row>
    <row r="138" spans="3:28" ht="10.5" hidden="1" customHeight="1" outlineLevel="1">
      <c r="C138" s="2437" t="b">
        <f t="shared" si="36"/>
        <v>1</v>
      </c>
      <c r="E138" s="1177" t="str">
        <f t="shared" si="70"/>
        <v/>
      </c>
      <c r="F138" s="1176" t="str">
        <f t="shared" si="70"/>
        <v/>
      </c>
      <c r="G138" s="2434" t="str">
        <f>IF(Afterflows!W137="","",Afterflows!W137)</f>
        <v/>
      </c>
      <c r="H138" s="2445" t="str">
        <f>IF(ISNUMBER(G138),IF(ISNUMBER(StackTemp2),StackTemp2,IF(Afterflows!V137="","",Afterflows!V137)),"")</f>
        <v/>
      </c>
      <c r="I138" s="2451" t="str">
        <f t="shared" si="60"/>
        <v/>
      </c>
      <c r="J138" s="2451" t="str">
        <f t="shared" si="55"/>
        <v/>
      </c>
      <c r="K138" s="2451" t="str">
        <f t="shared" si="56"/>
        <v/>
      </c>
      <c r="L138" s="2452" t="str">
        <f t="shared" si="61"/>
        <v/>
      </c>
      <c r="M138" s="2434" t="str">
        <f>IF($G138="","",Afterflows!G137)</f>
        <v/>
      </c>
      <c r="N138" s="2434" t="str">
        <f>IF($G138="","",Afterflows!H137)</f>
        <v/>
      </c>
      <c r="O138" s="2434" t="str">
        <f t="shared" si="52"/>
        <v/>
      </c>
      <c r="P138" s="2475" t="str">
        <f>Velocity(PitotID2,PitotCoeff2,Afterflows!AB137,O138,H138,StackTempAvg2,AbsPress2,MolecularWt)</f>
        <v/>
      </c>
      <c r="Q138" s="2476" t="str">
        <f t="shared" si="57"/>
        <v/>
      </c>
      <c r="R138" s="2477" t="str">
        <f>IF(Flowmeter2="ECS",IF(G138="","",S138*O138),FlowSet(AA$6,Q138,AA$7,AA$8,AA$9,AA$10,I138,J138,BaroPress2,OPF))</f>
        <v/>
      </c>
      <c r="S138" s="2465" t="str">
        <f t="shared" si="62"/>
        <v/>
      </c>
      <c r="T138" s="1177" t="str">
        <f t="shared" si="63"/>
        <v/>
      </c>
      <c r="U138" s="2070" t="str">
        <f t="shared" si="53"/>
        <v/>
      </c>
      <c r="V138" s="1202" t="str">
        <f t="shared" si="64"/>
        <v/>
      </c>
      <c r="W138" s="1202" t="str">
        <f>IF(ISNUMBER(V138),$K$7+SUM(V$81:V138)/Mratio2,"")</f>
        <v/>
      </c>
      <c r="X138" s="1201" t="str">
        <f t="shared" si="65"/>
        <v/>
      </c>
      <c r="Y138" s="1201" t="str">
        <f t="shared" si="66"/>
        <v/>
      </c>
      <c r="Z138" s="1201" t="str">
        <f t="shared" si="67"/>
        <v/>
      </c>
      <c r="AA138" s="1201" t="str">
        <f t="shared" si="68"/>
        <v/>
      </c>
      <c r="AB138" s="1205" t="str">
        <f t="shared" si="69"/>
        <v/>
      </c>
    </row>
    <row r="139" spans="3:28" ht="10.5" hidden="1" customHeight="1" outlineLevel="1">
      <c r="C139" s="2437" t="b">
        <f t="shared" si="36"/>
        <v>1</v>
      </c>
      <c r="E139" s="1177" t="str">
        <f t="shared" si="70"/>
        <v/>
      </c>
      <c r="F139" s="1176" t="str">
        <f t="shared" si="70"/>
        <v/>
      </c>
      <c r="G139" s="2434" t="str">
        <f>IF(Afterflows!W138="","",Afterflows!W138)</f>
        <v/>
      </c>
      <c r="H139" s="2445" t="str">
        <f>IF(ISNUMBER(G139),IF(ISNUMBER(StackTemp2),StackTemp2,IF(Afterflows!V138="","",Afterflows!V138)),"")</f>
        <v/>
      </c>
      <c r="I139" s="2451" t="str">
        <f t="shared" si="60"/>
        <v/>
      </c>
      <c r="J139" s="2451" t="str">
        <f t="shared" si="55"/>
        <v/>
      </c>
      <c r="K139" s="2451" t="str">
        <f t="shared" si="56"/>
        <v/>
      </c>
      <c r="L139" s="2452" t="str">
        <f t="shared" si="61"/>
        <v/>
      </c>
      <c r="M139" s="2434" t="str">
        <f>IF($G139="","",Afterflows!G138)</f>
        <v/>
      </c>
      <c r="N139" s="2434" t="str">
        <f>IF($G139="","",Afterflows!H138)</f>
        <v/>
      </c>
      <c r="O139" s="2434" t="str">
        <f t="shared" si="52"/>
        <v/>
      </c>
      <c r="P139" s="2475" t="str">
        <f>Velocity(PitotID2,PitotCoeff2,Afterflows!AB138,O139,H139,StackTempAvg2,AbsPress2,MolecularWt)</f>
        <v/>
      </c>
      <c r="Q139" s="2476" t="str">
        <f t="shared" si="57"/>
        <v/>
      </c>
      <c r="R139" s="2477" t="str">
        <f>IF(Flowmeter2="ECS",IF(G139="","",S139*O139),FlowSet(AA$6,Q139,AA$7,AA$8,AA$9,AA$10,I139,J139,BaroPress2,OPF))</f>
        <v/>
      </c>
      <c r="S139" s="2465" t="str">
        <f t="shared" si="62"/>
        <v/>
      </c>
      <c r="T139" s="1177" t="str">
        <f t="shared" si="63"/>
        <v/>
      </c>
      <c r="U139" s="2070" t="str">
        <f t="shared" si="53"/>
        <v/>
      </c>
      <c r="V139" s="1202" t="str">
        <f t="shared" si="64"/>
        <v/>
      </c>
      <c r="W139" s="1202" t="str">
        <f>IF(ISNUMBER(V139),$K$7+SUM(V$81:V139)/Mratio2,"")</f>
        <v/>
      </c>
      <c r="X139" s="1201" t="str">
        <f t="shared" si="65"/>
        <v/>
      </c>
      <c r="Y139" s="1201" t="str">
        <f t="shared" si="66"/>
        <v/>
      </c>
      <c r="Z139" s="1201" t="str">
        <f t="shared" si="67"/>
        <v/>
      </c>
      <c r="AA139" s="1201" t="str">
        <f t="shared" si="68"/>
        <v/>
      </c>
      <c r="AB139" s="1205" t="str">
        <f t="shared" si="69"/>
        <v/>
      </c>
    </row>
    <row r="140" spans="3:28" ht="10.5" hidden="1" customHeight="1" outlineLevel="1">
      <c r="C140" s="2437" t="b">
        <f t="shared" si="36"/>
        <v>1</v>
      </c>
      <c r="E140" s="1177" t="str">
        <f t="shared" si="70"/>
        <v/>
      </c>
      <c r="F140" s="1176" t="str">
        <f t="shared" si="70"/>
        <v/>
      </c>
      <c r="G140" s="2434" t="str">
        <f>IF(Afterflows!W139="","",Afterflows!W139)</f>
        <v/>
      </c>
      <c r="H140" s="2445" t="str">
        <f>IF(ISNUMBER(G140),IF(ISNUMBER(StackTemp2),StackTemp2,IF(Afterflows!V139="","",Afterflows!V139)),"")</f>
        <v/>
      </c>
      <c r="I140" s="2451" t="str">
        <f t="shared" si="60"/>
        <v/>
      </c>
      <c r="J140" s="2451" t="str">
        <f>IF(ISNUMBER(G140),IF(ISNUMBER(MeterPress2),MeterPress2,""),"")</f>
        <v/>
      </c>
      <c r="K140" s="2451" t="str">
        <f>IF(ISNUMBER(P140),IF(ISNUMBER(NozzleSelect2),NozzleSelect2,""),"")</f>
        <v/>
      </c>
      <c r="L140" s="2452" t="str">
        <f t="shared" si="61"/>
        <v/>
      </c>
      <c r="M140" s="2434" t="str">
        <f>IF($G140="","",Afterflows!G139)</f>
        <v/>
      </c>
      <c r="N140" s="2434" t="str">
        <f>IF($G140="","",Afterflows!H139)</f>
        <v/>
      </c>
      <c r="O140" s="2434" t="str">
        <f t="shared" si="52"/>
        <v/>
      </c>
      <c r="P140" s="2475" t="str">
        <f>Velocity(PitotID2,PitotCoeff2,Afterflows!AB139,O140,H140,StackTempAvg2,AbsPress2,MolecularWt)</f>
        <v/>
      </c>
      <c r="Q140" s="2476" t="str">
        <f>SampleRate(P140,PBF_1,H140,I140,J140,K140,StackTempAvg2,AbsPress2,BaroPress2,Bws)</f>
        <v/>
      </c>
      <c r="R140" s="2477" t="str">
        <f>IF(Flowmeter2="ECS",IF(G140="","",S140*O140),FlowSet(AA$6,Q140,AA$7,AA$8,AA$9,AA$10,I140,J140,BaroPress2,OPF))</f>
        <v/>
      </c>
      <c r="S140" s="2465" t="str">
        <f t="shared" si="62"/>
        <v/>
      </c>
      <c r="T140" s="1177" t="str">
        <f t="shared" si="63"/>
        <v/>
      </c>
      <c r="U140" s="2070" t="str">
        <f t="shared" si="53"/>
        <v/>
      </c>
      <c r="V140" s="1202" t="str">
        <f t="shared" si="64"/>
        <v/>
      </c>
      <c r="W140" s="1202" t="str">
        <f>IF(ISNUMBER(V140),$K$7+SUM(V$81:V140)/Mratio2,"")</f>
        <v/>
      </c>
      <c r="X140" s="1201" t="str">
        <f t="shared" si="65"/>
        <v/>
      </c>
      <c r="Y140" s="1201" t="str">
        <f t="shared" si="66"/>
        <v/>
      </c>
      <c r="Z140" s="1201" t="str">
        <f t="shared" si="67"/>
        <v/>
      </c>
      <c r="AA140" s="1201" t="str">
        <f t="shared" si="68"/>
        <v/>
      </c>
      <c r="AB140" s="1205" t="str">
        <f t="shared" si="69"/>
        <v/>
      </c>
    </row>
    <row r="141" spans="3:28" ht="10.5" customHeight="1" collapsed="1">
      <c r="E141" s="1178"/>
      <c r="F141" s="1179"/>
      <c r="G141" s="1187" t="str">
        <f>G80</f>
        <v>(Pa)</v>
      </c>
      <c r="H141" s="1187" t="str">
        <f t="shared" ref="H141:N141" si="71">H79</f>
        <v>Stack (°C)</v>
      </c>
      <c r="I141" s="1187" t="str">
        <f t="shared" si="71"/>
        <v>Meter (°C)</v>
      </c>
      <c r="J141" s="1188" t="str">
        <f t="shared" si="71"/>
        <v>Meter (kPa)</v>
      </c>
      <c r="K141" s="1187" t="str">
        <f t="shared" si="71"/>
        <v>Nozzle (mm)</v>
      </c>
      <c r="L141" s="1187" t="str">
        <f t="shared" si="71"/>
        <v>Time (min)</v>
      </c>
      <c r="M141" s="1187" t="str">
        <f t="shared" si="71"/>
        <v>Yaw (°)</v>
      </c>
      <c r="N141" s="1187" t="str">
        <f t="shared" si="71"/>
        <v>Pitch (°)</v>
      </c>
      <c r="O141" s="1187"/>
      <c r="P141" s="1188" t="str">
        <f>P79</f>
        <v>Gas Velocity</v>
      </c>
      <c r="Q141" s="1188" t="str">
        <f>Q79&amp;Q80</f>
        <v>Rate(L/min)</v>
      </c>
      <c r="R141" s="1189" t="str">
        <f>R79</f>
        <v>Flowmeter</v>
      </c>
      <c r="T141" s="1206"/>
      <c r="U141" s="2068"/>
      <c r="V141" s="1207" t="s">
        <v>1453</v>
      </c>
      <c r="W141" s="1207" t="str">
        <f>NTPSTP&amp;" Vol"</f>
        <v>STP Vol</v>
      </c>
      <c r="X141" s="1207" t="str">
        <f>X79</f>
        <v>Sqrt(Pa)</v>
      </c>
      <c r="Y141" s="1207" t="s">
        <v>847</v>
      </c>
      <c r="Z141" s="1207" t="s">
        <v>848</v>
      </c>
      <c r="AA141" s="1207" t="s">
        <v>844</v>
      </c>
      <c r="AB141" s="1208" t="s">
        <v>535</v>
      </c>
    </row>
    <row r="142" spans="3:28" ht="10.5" customHeight="1">
      <c r="E142" s="1178"/>
      <c r="F142" s="1185" t="s">
        <v>1460</v>
      </c>
      <c r="G142" s="1190" t="e">
        <f>AVERAGE(G81:G140)</f>
        <v>#DIV/0!</v>
      </c>
      <c r="H142" s="1191" t="e">
        <f t="shared" ref="H142:R142" si="72">AVERAGE(H81:H140)</f>
        <v>#DIV/0!</v>
      </c>
      <c r="I142" s="1191" t="e">
        <f>AVERAGE(I81:I140)</f>
        <v>#DIV/0!</v>
      </c>
      <c r="J142" s="1191" t="e">
        <f>AVERAGE(J81:J140)</f>
        <v>#DIV/0!</v>
      </c>
      <c r="K142" s="1191" t="e">
        <f t="shared" si="72"/>
        <v>#DIV/0!</v>
      </c>
      <c r="L142" s="1192" t="e">
        <f t="shared" si="72"/>
        <v>#DIV/0!</v>
      </c>
      <c r="M142" s="1190" t="e">
        <f>AVERAGE(M81:M140)</f>
        <v>#DIV/0!</v>
      </c>
      <c r="N142" s="1190" t="e">
        <f>AVERAGE(N81:N140)</f>
        <v>#DIV/0!</v>
      </c>
      <c r="O142" s="1190"/>
      <c r="P142" s="1192" t="e">
        <f>AVERAGE(P81:P140)</f>
        <v>#DIV/0!</v>
      </c>
      <c r="Q142" s="1190" t="e">
        <f t="shared" si="72"/>
        <v>#DIV/0!</v>
      </c>
      <c r="R142" s="1193" t="e">
        <f t="shared" si="72"/>
        <v>#DIV/0!</v>
      </c>
      <c r="T142" s="1206" t="s">
        <v>1279</v>
      </c>
      <c r="U142" s="2068"/>
      <c r="V142" s="1192"/>
      <c r="W142" s="1192"/>
      <c r="X142" s="1192" t="e">
        <f>AVERAGE(X81:X140)</f>
        <v>#DIV/0!</v>
      </c>
      <c r="Y142" s="1192" t="e">
        <f>AVERAGE(Y81:Y140)</f>
        <v>#DIV/0!</v>
      </c>
      <c r="Z142" s="1192" t="e">
        <f>AVERAGE(Z81:Z140)</f>
        <v>#DIV/0!</v>
      </c>
      <c r="AA142" s="1190" t="e">
        <f>AVERAGE(AA81:AA140)</f>
        <v>#DIV/0!</v>
      </c>
      <c r="AB142" s="1193" t="e">
        <f>AVERAGE(AB81:AB140)</f>
        <v>#DIV/0!</v>
      </c>
    </row>
    <row r="143" spans="3:28" ht="10.5" customHeight="1" thickBot="1">
      <c r="E143" s="1180"/>
      <c r="F143" s="1186"/>
      <c r="G143" s="1181" t="str">
        <f>IF(ISERROR(G142),"",IF(G142&lt;FlowDL2,"&lt;",""))</f>
        <v/>
      </c>
      <c r="H143" s="1195" t="e">
        <f>H142+273.15</f>
        <v>#DIV/0!</v>
      </c>
      <c r="I143" s="1195"/>
      <c r="J143" s="1195"/>
      <c r="K143" s="1195"/>
      <c r="L143" s="1196">
        <f>SUM(L81:L140)</f>
        <v>0</v>
      </c>
      <c r="M143" s="1195"/>
      <c r="N143" s="1195"/>
      <c r="O143" s="1195"/>
      <c r="P143" s="1195"/>
      <c r="Q143" s="1195"/>
      <c r="R143" s="1197"/>
      <c r="T143" s="1209" t="s">
        <v>1452</v>
      </c>
      <c r="U143" s="2069"/>
      <c r="V143" s="1194">
        <f>SUM(V81:V140)</f>
        <v>0</v>
      </c>
      <c r="W143" s="1194" t="e">
        <f>VolumePreMeter2*(TVC+273.15)/(MeterTemp2+273.15)*(BaroPress2+MeterPress2*10)/1013.25</f>
        <v>#VALUE!</v>
      </c>
      <c r="X143" s="1196"/>
      <c r="Y143" s="1196"/>
      <c r="Z143" s="1196"/>
      <c r="AA143" s="1210"/>
      <c r="AB143" s="1211"/>
    </row>
    <row r="144" spans="3:28" s="2435" customFormat="1" ht="10.5" customHeight="1">
      <c r="E144" s="2468"/>
      <c r="F144" s="2468"/>
      <c r="G144" s="2468"/>
      <c r="H144" s="2468"/>
      <c r="I144" s="2468"/>
      <c r="J144" s="2468"/>
      <c r="K144" s="2468"/>
      <c r="L144" s="2468"/>
      <c r="M144" s="2468"/>
      <c r="N144" s="2468"/>
      <c r="O144" s="2468"/>
      <c r="P144" s="2468"/>
      <c r="Q144" s="2468"/>
      <c r="R144" s="2468"/>
      <c r="S144" s="2459"/>
      <c r="T144" s="2459"/>
      <c r="U144" s="2459"/>
    </row>
    <row r="145" spans="8:21" s="2435" customFormat="1" ht="10.5" customHeight="1">
      <c r="H145" s="2470" t="s">
        <v>1198</v>
      </c>
      <c r="I145" s="2471"/>
      <c r="K145" s="2469"/>
      <c r="L145" s="2470" t="s">
        <v>1199</v>
      </c>
      <c r="M145" s="2472"/>
      <c r="N145" s="2472"/>
      <c r="O145" s="2472"/>
      <c r="P145" s="2473"/>
      <c r="S145" s="2459"/>
      <c r="T145" s="2459"/>
      <c r="U145" s="2459"/>
    </row>
    <row r="146" spans="8:21" s="2435" customFormat="1" ht="10.5" customHeight="1">
      <c r="H146" s="2654"/>
      <c r="I146" s="2655"/>
      <c r="L146" s="2654"/>
      <c r="M146" s="2658"/>
      <c r="N146" s="2658"/>
      <c r="O146" s="2658"/>
      <c r="P146" s="2655"/>
      <c r="S146" s="2459"/>
      <c r="T146" s="2459"/>
      <c r="U146" s="2459"/>
    </row>
    <row r="147" spans="8:21" s="2435" customFormat="1" ht="10.5" customHeight="1">
      <c r="H147" s="2656"/>
      <c r="I147" s="2657"/>
      <c r="L147" s="2656"/>
      <c r="M147" s="2659"/>
      <c r="N147" s="2659"/>
      <c r="O147" s="2659"/>
      <c r="P147" s="2657"/>
      <c r="S147" s="2459"/>
      <c r="T147" s="2459"/>
      <c r="U147" s="2459"/>
    </row>
    <row r="148" spans="8:21" s="2435" customFormat="1" ht="10.5" customHeight="1">
      <c r="S148" s="2459"/>
      <c r="T148" s="2459"/>
      <c r="U148" s="2459"/>
    </row>
    <row r="149" spans="8:21" s="2435" customFormat="1" ht="10.5" customHeight="1">
      <c r="S149" s="2459"/>
      <c r="T149" s="2459"/>
      <c r="U149" s="2459"/>
    </row>
    <row r="150" spans="8:21" s="2435" customFormat="1" ht="10.5" customHeight="1">
      <c r="S150" s="2459"/>
      <c r="T150" s="2459"/>
      <c r="U150" s="2459"/>
    </row>
    <row r="151" spans="8:21" s="2435" customFormat="1" ht="10.5" customHeight="1">
      <c r="S151" s="2459"/>
      <c r="T151" s="2459"/>
      <c r="U151" s="2459"/>
    </row>
    <row r="152" spans="8:21" s="2435" customFormat="1" ht="10.5" customHeight="1">
      <c r="S152" s="2459"/>
      <c r="T152" s="2459"/>
      <c r="U152" s="2459"/>
    </row>
    <row r="153" spans="8:21" s="2435" customFormat="1" ht="10.5" customHeight="1">
      <c r="S153" s="2459"/>
      <c r="T153" s="2459"/>
      <c r="U153" s="2459"/>
    </row>
    <row r="154" spans="8:21" s="2435" customFormat="1" ht="10.5" customHeight="1">
      <c r="S154" s="2459"/>
      <c r="T154" s="2459"/>
      <c r="U154" s="2459"/>
    </row>
    <row r="155" spans="8:21" s="2435" customFormat="1" ht="10.5" customHeight="1">
      <c r="S155" s="2459"/>
      <c r="T155" s="2459"/>
      <c r="U155" s="2459"/>
    </row>
    <row r="156" spans="8:21" s="2435" customFormat="1" ht="10.5" customHeight="1">
      <c r="S156" s="2459"/>
      <c r="T156" s="2459"/>
      <c r="U156" s="2459"/>
    </row>
    <row r="157" spans="8:21" s="2435" customFormat="1" ht="10.5" customHeight="1">
      <c r="S157" s="2459"/>
      <c r="T157" s="2459"/>
      <c r="U157" s="2459"/>
    </row>
    <row r="158" spans="8:21" s="2435" customFormat="1" ht="10.5" customHeight="1">
      <c r="S158" s="2459"/>
      <c r="T158" s="2459"/>
      <c r="U158" s="2459"/>
    </row>
    <row r="159" spans="8:21" s="2435" customFormat="1" ht="10.5" customHeight="1">
      <c r="S159" s="2459"/>
      <c r="T159" s="2459"/>
      <c r="U159" s="2459"/>
    </row>
    <row r="160" spans="8:21" s="2435" customFormat="1" ht="10.5" customHeight="1">
      <c r="S160" s="2459"/>
      <c r="T160" s="2459"/>
      <c r="U160" s="2459"/>
    </row>
    <row r="161" spans="19:21" s="2435" customFormat="1" ht="10.5" customHeight="1">
      <c r="S161" s="2459"/>
      <c r="T161" s="2459"/>
      <c r="U161" s="2459"/>
    </row>
    <row r="162" spans="19:21" s="2435" customFormat="1" ht="10.5" customHeight="1">
      <c r="S162" s="2459"/>
      <c r="T162" s="2459"/>
      <c r="U162" s="2459"/>
    </row>
    <row r="163" spans="19:21" s="2435" customFormat="1" ht="10.5" customHeight="1">
      <c r="S163" s="2459"/>
      <c r="T163" s="2459"/>
      <c r="U163" s="2459"/>
    </row>
    <row r="164" spans="19:21" s="2435" customFormat="1" ht="10.5" customHeight="1">
      <c r="S164" s="2459"/>
      <c r="T164" s="2459"/>
      <c r="U164" s="2459"/>
    </row>
    <row r="165" spans="19:21" s="2435" customFormat="1" ht="10.5" customHeight="1">
      <c r="S165" s="2459"/>
      <c r="T165" s="2459"/>
      <c r="U165" s="2459"/>
    </row>
    <row r="166" spans="19:21" s="2435" customFormat="1" ht="10.5" customHeight="1">
      <c r="S166" s="2459"/>
      <c r="T166" s="2459"/>
      <c r="U166" s="2459"/>
    </row>
  </sheetData>
  <sheetProtection sheet="1" formatRows="0" autoFilter="0"/>
  <mergeCells count="16">
    <mergeCell ref="H146:I147"/>
    <mergeCell ref="L146:P147"/>
    <mergeCell ref="P4:R4"/>
    <mergeCell ref="E1:F1"/>
    <mergeCell ref="P5:R5"/>
    <mergeCell ref="L1:N1"/>
    <mergeCell ref="L2:N2"/>
    <mergeCell ref="L3:N3"/>
    <mergeCell ref="L4:N4"/>
    <mergeCell ref="L8:N8"/>
    <mergeCell ref="S13:S14"/>
    <mergeCell ref="S79:S80"/>
    <mergeCell ref="L9:N9"/>
    <mergeCell ref="AA79:AB79"/>
    <mergeCell ref="AA13:AB13"/>
    <mergeCell ref="U13:U14"/>
  </mergeCells>
  <phoneticPr fontId="0" type="noConversion"/>
  <conditionalFormatting sqref="E126:E127">
    <cfRule type="expression" priority="27">
      <formula>IF($P$4="Metals",TRUE,FALSE)</formula>
    </cfRule>
  </conditionalFormatting>
  <conditionalFormatting sqref="G15:G74">
    <cfRule type="expression" dxfId="196" priority="24">
      <formula>($C15="")</formula>
    </cfRule>
  </conditionalFormatting>
  <conditionalFormatting sqref="H14">
    <cfRule type="expression" dxfId="195" priority="23">
      <formula>($C14="")</formula>
    </cfRule>
  </conditionalFormatting>
  <conditionalFormatting sqref="G8:G10">
    <cfRule type="expression" dxfId="194" priority="22">
      <formula>($C8="")</formula>
    </cfRule>
  </conditionalFormatting>
  <conditionalFormatting sqref="G2:G3">
    <cfRule type="expression" dxfId="193" priority="21">
      <formula>($C2="")</formula>
    </cfRule>
  </conditionalFormatting>
  <conditionalFormatting sqref="G6">
    <cfRule type="expression" dxfId="192" priority="20">
      <formula>($C6="")</formula>
    </cfRule>
  </conditionalFormatting>
  <conditionalFormatting sqref="G81:G140">
    <cfRule type="expression" dxfId="191" priority="19">
      <formula>($C81="")</formula>
    </cfRule>
  </conditionalFormatting>
  <conditionalFormatting sqref="H80">
    <cfRule type="expression" dxfId="190" priority="18">
      <formula>($C80="")</formula>
    </cfRule>
  </conditionalFormatting>
  <conditionalFormatting sqref="J2">
    <cfRule type="expression" dxfId="189" priority="17">
      <formula>($A2="")</formula>
    </cfRule>
  </conditionalFormatting>
  <conditionalFormatting sqref="J3">
    <cfRule type="expression" dxfId="188" priority="16">
      <formula>($A3="")</formula>
    </cfRule>
  </conditionalFormatting>
  <conditionalFormatting sqref="J6:J10">
    <cfRule type="expression" dxfId="187" priority="15">
      <formula>($A6="")</formula>
    </cfRule>
  </conditionalFormatting>
  <conditionalFormatting sqref="J11">
    <cfRule type="expression" dxfId="186" priority="14">
      <formula>($A11="")</formula>
    </cfRule>
  </conditionalFormatting>
  <conditionalFormatting sqref="K2">
    <cfRule type="expression" dxfId="185" priority="13">
      <formula>($B2="")</formula>
    </cfRule>
  </conditionalFormatting>
  <conditionalFormatting sqref="K3">
    <cfRule type="expression" dxfId="184" priority="9">
      <formula>($B3="")</formula>
    </cfRule>
  </conditionalFormatting>
  <conditionalFormatting sqref="K6:K11">
    <cfRule type="expression" dxfId="183" priority="8">
      <formula>($B6="")</formula>
    </cfRule>
  </conditionalFormatting>
  <conditionalFormatting sqref="I14">
    <cfRule type="expression" dxfId="182" priority="7">
      <formula>($A$14="")</formula>
    </cfRule>
  </conditionalFormatting>
  <conditionalFormatting sqref="K14">
    <cfRule type="expression" dxfId="181" priority="6">
      <formula>A15=""</formula>
    </cfRule>
  </conditionalFormatting>
  <conditionalFormatting sqref="L14">
    <cfRule type="expression" dxfId="180" priority="5">
      <formula>A16=""</formula>
    </cfRule>
  </conditionalFormatting>
  <conditionalFormatting sqref="P4:R4">
    <cfRule type="expression" dxfId="179" priority="4">
      <formula>$A$17=""</formula>
    </cfRule>
  </conditionalFormatting>
  <conditionalFormatting sqref="I80">
    <cfRule type="expression" dxfId="178" priority="3">
      <formula>($B$14="")</formula>
    </cfRule>
  </conditionalFormatting>
  <conditionalFormatting sqref="K80">
    <cfRule type="expression" dxfId="177" priority="2">
      <formula>B15=""</formula>
    </cfRule>
  </conditionalFormatting>
  <conditionalFormatting sqref="L80">
    <cfRule type="expression" dxfId="176" priority="1">
      <formula>B16=""</formula>
    </cfRule>
  </conditionalFormatting>
  <dataValidations count="4">
    <dataValidation type="list" allowBlank="1" showInputMessage="1" showErrorMessage="1" sqref="J3:K3">
      <formula1>MeterKit</formula1>
    </dataValidation>
    <dataValidation type="list" allowBlank="1" showInputMessage="1" showErrorMessage="1" sqref="J6:K6">
      <formula1>NozzleKitList</formula1>
    </dataValidation>
    <dataValidation type="list" allowBlank="1" showInputMessage="1" showErrorMessage="1" sqref="H6">
      <formula1>PitotList</formula1>
    </dataValidation>
    <dataValidation type="list" allowBlank="1" showInputMessage="1" sqref="G6">
      <formula1>PitotList</formula1>
    </dataValidation>
  </dataValidations>
  <printOptions horizontalCentered="1"/>
  <pageMargins left="0.19685039370078741" right="0.19685039370078741" top="0.62992125984251968" bottom="0.39370078740157483" header="0.31496062992125984" footer="0.19685039370078741"/>
  <pageSetup paperSize="9" orientation="portrait" horizontalDpi="300" verticalDpi="300"/>
  <headerFooter alignWithMargins="0">
    <oddHeader>&amp;C&amp;"MS Sans Serif,Bold"&amp;16&amp;A</oddHeader>
    <oddFooter>&amp;L&amp;8&amp;Z&amp;F&amp;R&amp;8&amp;D  &amp;T</oddFooter>
  </headerFooter>
  <legacyDrawing r:id="rId1"/>
  <extLst>
    <ext xmlns:x14="http://schemas.microsoft.com/office/spreadsheetml/2009/9/main" uri="{CCE6A557-97BC-4b89-ADB6-D9C93CAAB3DF}">
      <x14:dataValidations xmlns:xm="http://schemas.microsoft.com/office/excel/2006/main" count="1">
        <x14:dataValidation type="list" allowBlank="1" showInputMessage="1">
          <x14:formula1>
            <xm:f>Pitots!$S$26:$S$33</xm:f>
          </x14:formula1>
          <xm:sqref>P4:R4</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AB146"/>
  <sheetViews>
    <sheetView topLeftCell="B1" zoomScaleNormal="90" zoomScalePageLayoutView="90" workbookViewId="0">
      <selection activeCell="D2" sqref="D2"/>
    </sheetView>
  </sheetViews>
  <sheetFormatPr baseColWidth="10" defaultColWidth="8.7109375" defaultRowHeight="10.5" customHeight="1" outlineLevelRow="1" x14ac:dyDescent="0"/>
  <cols>
    <col min="1" max="1" width="9.140625" style="2478" hidden="1" customWidth="1"/>
    <col min="2" max="2" width="2.85546875" style="2478" customWidth="1"/>
    <col min="3" max="3" width="7.140625" style="2478" customWidth="1"/>
    <col min="4" max="4" width="9.28515625" style="2478" customWidth="1"/>
    <col min="5" max="5" width="9.28515625" style="2478" hidden="1" customWidth="1"/>
    <col min="6" max="13" width="9.28515625" style="2478" customWidth="1"/>
    <col min="14" max="15" width="8.7109375" style="2478"/>
    <col min="16" max="16" width="2.85546875" style="2478" customWidth="1"/>
    <col min="17" max="16384" width="8.7109375" style="2478"/>
  </cols>
  <sheetData>
    <row r="1" spans="1:28" ht="10.5" customHeight="1">
      <c r="A1" s="2478" t="b">
        <f>Details!M10</f>
        <v>1</v>
      </c>
      <c r="B1" s="1605"/>
      <c r="C1" s="1606"/>
      <c r="D1" s="2492" t="s">
        <v>8</v>
      </c>
      <c r="E1" s="2492"/>
      <c r="F1" s="2492" t="s">
        <v>9</v>
      </c>
      <c r="G1" s="1587"/>
      <c r="H1" s="2492" t="s">
        <v>8</v>
      </c>
      <c r="I1" s="2492" t="s">
        <v>9</v>
      </c>
      <c r="J1" s="1588" t="s">
        <v>1343</v>
      </c>
      <c r="K1" s="1589" t="str">
        <f>IF(Client="","",Client)</f>
        <v/>
      </c>
      <c r="L1" s="1589"/>
      <c r="M1" s="1590"/>
    </row>
    <row r="2" spans="1:28" ht="10.5" customHeight="1">
      <c r="A2" s="2478" t="str">
        <f>IF(BaroPressAft1="","",TRUE)</f>
        <v/>
      </c>
      <c r="B2" s="1607"/>
      <c r="C2" s="1608" t="s">
        <v>1446</v>
      </c>
      <c r="D2" s="297"/>
      <c r="E2" s="297"/>
      <c r="F2" s="2440" t="str">
        <f>IF(BaroPressAft1="","",BaroPressAft1)</f>
        <v/>
      </c>
      <c r="G2" s="1591" t="s">
        <v>1325</v>
      </c>
      <c r="H2" s="1592" t="str">
        <f>IF(AND('Flows &amp; Isokinetics'!J2="",'PM10 &amp; 2.5'!G2=""),"",IF('Flows &amp; Isokinetics'!J2="",'PM10 &amp; 2.5'!G2,'Flows &amp; Isokinetics'!J2))</f>
        <v/>
      </c>
      <c r="I2" s="1592" t="str">
        <f>IF(AND('Flows &amp; Isokinetics'!K2="",'PM10 &amp; 2.5'!H2=""),"",IF('Flows &amp; Isokinetics'!K2="",'PM10 &amp; 2.5'!H2,'Flows &amp; Isokinetics'!K2))</f>
        <v/>
      </c>
      <c r="J2" s="1591" t="s">
        <v>1204</v>
      </c>
      <c r="K2" s="1593" t="str">
        <f>IF(StackID="","",StackID)</f>
        <v/>
      </c>
      <c r="L2" s="1593"/>
      <c r="M2" s="1594"/>
    </row>
    <row r="3" spans="1:28" ht="10.5" customHeight="1">
      <c r="A3" s="2478" t="str">
        <f>IF(StaticPressAft1="","",TRUE)</f>
        <v/>
      </c>
      <c r="B3" s="1607"/>
      <c r="C3" s="1608" t="s">
        <v>1447</v>
      </c>
      <c r="D3" s="70"/>
      <c r="E3" s="70"/>
      <c r="F3" s="2441" t="str">
        <f>IF(StaticPressAft1="","",StaticPressAft1)</f>
        <v/>
      </c>
      <c r="G3" s="1591" t="s">
        <v>1322</v>
      </c>
      <c r="H3" s="1592" t="str">
        <f>IF(AND('Flows &amp; Isokinetics'!J3="",'PM10 &amp; 2.5'!G3=""),"",IF('Flows &amp; Isokinetics'!J3="",'PM10 &amp; 2.5'!G3,'Flows &amp; Isokinetics'!J3))</f>
        <v/>
      </c>
      <c r="I3" s="1592" t="str">
        <f>IF(AND('Flows &amp; Isokinetics'!K3="",'PM10 &amp; 2.5'!H3=""),"",IF('Flows &amp; Isokinetics'!K3="",'PM10 &amp; 2.5'!H3,'Flows &amp; Isokinetics'!K3))</f>
        <v/>
      </c>
      <c r="J3" s="1591" t="s">
        <v>1196</v>
      </c>
      <c r="K3" s="1595" t="str">
        <f>IF(Date="","",Date)</f>
        <v/>
      </c>
      <c r="L3" s="1595"/>
      <c r="M3" s="1594"/>
    </row>
    <row r="4" spans="1:28" ht="10.5" customHeight="1">
      <c r="A4" s="2478" t="b">
        <v>1</v>
      </c>
      <c r="B4" s="1607"/>
      <c r="C4" s="1609" t="s">
        <v>1449</v>
      </c>
      <c r="D4" s="1634" t="str">
        <f>IF(BaroPressAft1="","",BaroPressAft1+(StaticPressAft1/DPF/100))</f>
        <v/>
      </c>
      <c r="E4" s="1634"/>
      <c r="F4" s="1634" t="str">
        <f>IF(BaroPressAft2="","",BaroPressAft2+(StaticPressAft2/DPF/100))</f>
        <v/>
      </c>
      <c r="G4" s="1591" t="s">
        <v>1451</v>
      </c>
      <c r="H4" s="1592" t="str">
        <f>IF(AND('Flows &amp; Isokinetics'!J6="",'PM10 &amp; 2.5'!G4=""),"",IF('Flows &amp; Isokinetics'!J6="",'PM10 &amp; 2.5'!G4,'Flows &amp; Isokinetics'!J6))</f>
        <v/>
      </c>
      <c r="I4" s="1592" t="str">
        <f>IF(AND('Flows &amp; Isokinetics'!K6="",'PM10 &amp; 2.5'!H4=""),"",IF('Flows &amp; Isokinetics'!K6="",'PM10 &amp; 2.5'!H4,'Flows &amp; Isokinetics'!K6))</f>
        <v/>
      </c>
      <c r="J4" s="1591" t="s">
        <v>80</v>
      </c>
      <c r="K4" s="2673" t="str">
        <f>PitotIDAft1</f>
        <v/>
      </c>
      <c r="L4" s="2674"/>
      <c r="M4" s="2675"/>
    </row>
    <row r="5" spans="1:28" ht="10.5" customHeight="1" thickBot="1">
      <c r="A5" s="2478" t="str">
        <f>IF(PitotIDAft1="","",TRUE)</f>
        <v/>
      </c>
      <c r="B5" s="1607"/>
      <c r="C5" s="1591" t="s">
        <v>80</v>
      </c>
      <c r="D5" s="2442" t="str">
        <f>IF(PitotID1="","",PitotID1)</f>
        <v/>
      </c>
      <c r="E5" s="2442"/>
      <c r="F5" s="2444" t="str">
        <f>IF(PitotIDAft1="","",PitotIDAft1)</f>
        <v/>
      </c>
      <c r="G5" s="1591" t="s">
        <v>1326</v>
      </c>
      <c r="H5" s="1592" t="str">
        <f>IF(AND('Flows &amp; Isokinetics'!J7="",'PM10 &amp; 2.5'!G5=""),"",IF('Flows &amp; Isokinetics'!J7="",'PM10 &amp; 2.5'!G5,'Flows &amp; Isokinetics'!J7))</f>
        <v/>
      </c>
      <c r="I5" s="1592" t="str">
        <f>IF(AND('Flows &amp; Isokinetics'!K7="",'PM10 &amp; 2.5'!H5=""),"",IF('Flows &amp; Isokinetics'!K7="",'PM10 &amp; 2.5'!H5,'Flows &amp; Isokinetics'!K7))</f>
        <v/>
      </c>
      <c r="J5" s="1591" t="s">
        <v>854</v>
      </c>
      <c r="K5" s="1596" t="s">
        <v>840</v>
      </c>
      <c r="L5" s="1596" t="s">
        <v>842</v>
      </c>
      <c r="M5" s="1597" t="s">
        <v>837</v>
      </c>
    </row>
    <row r="6" spans="1:28" ht="10.5" customHeight="1">
      <c r="A6" s="2478" t="b">
        <v>1</v>
      </c>
      <c r="B6" s="1607"/>
      <c r="C6" s="1591" t="s">
        <v>81</v>
      </c>
      <c r="D6" s="1634" t="str">
        <f>IF(PitotIDAft1="","",VLOOKUP(PitotIDAft1,PitotTable,2,FALSE))</f>
        <v/>
      </c>
      <c r="E6" s="1634"/>
      <c r="F6" s="1634" t="str">
        <f>IF(PitotIDAft2="","",VLOOKUP(PitotIDAft2,PitotTable,2,FALSE))</f>
        <v/>
      </c>
      <c r="G6" s="1591" t="s">
        <v>1327</v>
      </c>
      <c r="H6" s="1592" t="str">
        <f>IF(AND('Flows &amp; Isokinetics'!J8="",'PM10 &amp; 2.5'!G6=""),"",IF('Flows &amp; Isokinetics'!J8="",'PM10 &amp; 2.5'!G6,'Flows &amp; Isokinetics'!J8))</f>
        <v/>
      </c>
      <c r="I6" s="1592" t="str">
        <f>IF(AND('Flows &amp; Isokinetics'!K8="",'PM10 &amp; 2.5'!H6=""),"",IF('Flows &amp; Isokinetics'!K8="",'PM10 &amp; 2.5'!H6,'Flows &amp; Isokinetics'!K8))</f>
        <v/>
      </c>
      <c r="J6" s="1591" t="s">
        <v>856</v>
      </c>
      <c r="K6" s="1603" t="e">
        <f>INDEX(Pitots!$E$87:$I$91,MATCH($J6,Pitots!$E$87:$E$91,0),MATCH($K$4,Pitots!$E$87:$I$87,0))</f>
        <v>#N/A</v>
      </c>
      <c r="L6" s="1603" t="e">
        <f>INDEX(Pitots!$E$95:$I$99,MATCH($J6,Pitots!$E$95:$E$99,0),MATCH($K$4,Pitots!$E$95:$I$95,0))</f>
        <v>#N/A</v>
      </c>
      <c r="M6" s="2479">
        <v>0</v>
      </c>
      <c r="P6" s="2670" t="s">
        <v>866</v>
      </c>
      <c r="Q6" s="2671"/>
      <c r="R6" s="2671"/>
      <c r="S6" s="2671"/>
      <c r="T6" s="2672"/>
    </row>
    <row r="7" spans="1:28" ht="10.5" customHeight="1">
      <c r="A7" s="2478" t="str">
        <f>IF(D7="","",TRUE)</f>
        <v/>
      </c>
      <c r="B7" s="1607"/>
      <c r="C7" s="1591" t="s">
        <v>1455</v>
      </c>
      <c r="D7" s="2442" t="str">
        <f>IF('Flows &amp; Isokinetics'!G8="","",'Flows &amp; Isokinetics'!G8)</f>
        <v/>
      </c>
      <c r="E7" s="2445"/>
      <c r="F7" s="2445" t="str">
        <f>IF('Flows &amp; Isokinetics'!H8="","",'Flows &amp; Isokinetics'!H8)</f>
        <v/>
      </c>
      <c r="G7" s="1591" t="s">
        <v>33</v>
      </c>
      <c r="H7" s="1592" t="str">
        <f>IF(AND('Flows &amp; Isokinetics'!J9="",'PM10 &amp; 2.5'!G7=""),"",IF('Flows &amp; Isokinetics'!J9="",'PM10 &amp; 2.5'!G7,'Flows &amp; Isokinetics'!J9))</f>
        <v/>
      </c>
      <c r="I7" s="1592" t="str">
        <f>IF(AND('Flows &amp; Isokinetics'!K9="",'PM10 &amp; 2.5'!H7=""),"",IF('Flows &amp; Isokinetics'!K9="",'PM10 &amp; 2.5'!H7,'Flows &amp; Isokinetics'!K9))</f>
        <v/>
      </c>
      <c r="J7" s="1591" t="s">
        <v>850</v>
      </c>
      <c r="K7" s="1603" t="e">
        <f>INDEX(Pitots!$E$87:$I$91,MATCH($J7,Pitots!$E$87:$E$91,0),MATCH($K$4,Pitots!$E$87:$I$87,0))</f>
        <v>#N/A</v>
      </c>
      <c r="L7" s="1603" t="e">
        <f>INDEX(Pitots!$E$95:$I$99,MATCH($J7,Pitots!$E$95:$E$99,0),MATCH($K$4,Pitots!$E$95:$I$95,0))</f>
        <v>#N/A</v>
      </c>
      <c r="M7" s="1604" t="e">
        <f>HLOOKUP(K4,Pitots!F103:I104,2,FALSE)</f>
        <v>#N/A</v>
      </c>
      <c r="P7" s="1636"/>
      <c r="Q7" s="1637" t="s">
        <v>860</v>
      </c>
      <c r="R7" s="1637" t="s">
        <v>858</v>
      </c>
      <c r="S7" s="1637" t="s">
        <v>835</v>
      </c>
      <c r="T7" s="1638" t="s">
        <v>859</v>
      </c>
    </row>
    <row r="8" spans="1:28" ht="10.5" customHeight="1">
      <c r="A8" s="2478" t="str">
        <f>IF(D8="","",TRUE)</f>
        <v/>
      </c>
      <c r="B8" s="1607"/>
      <c r="C8" s="1591" t="s">
        <v>75</v>
      </c>
      <c r="D8" s="2442" t="str">
        <f>IF('Flows &amp; Isokinetics'!G9="","",'Flows &amp; Isokinetics'!G9)</f>
        <v/>
      </c>
      <c r="E8" s="2445"/>
      <c r="F8" s="2445" t="str">
        <f>IF('Flows &amp; Isokinetics'!H9="","",'Flows &amp; Isokinetics'!H9)</f>
        <v/>
      </c>
      <c r="G8" s="1591" t="s">
        <v>34</v>
      </c>
      <c r="H8" s="1592" t="str">
        <f>IF(AND('Flows &amp; Isokinetics'!J10="",'PM10 &amp; 2.5'!G8=""),"",IF('Flows &amp; Isokinetics'!J10="",'PM10 &amp; 2.5'!G8,'Flows &amp; Isokinetics'!J10))</f>
        <v/>
      </c>
      <c r="I8" s="1592" t="str">
        <f>IF(AND('Flows &amp; Isokinetics'!K10="",'PM10 &amp; 2.5'!H8=""),"",IF('Flows &amp; Isokinetics'!K10="",'PM10 &amp; 2.5'!H8,'Flows &amp; Isokinetics'!K10))</f>
        <v/>
      </c>
      <c r="J8" s="1591" t="s">
        <v>841</v>
      </c>
      <c r="K8" s="1603" t="e">
        <f>INDEX(Pitots!$E$87:$I$91,MATCH($J8,Pitots!$E$87:$E$91,0),MATCH($K$4,Pitots!$E$87:$I$87,0))</f>
        <v>#N/A</v>
      </c>
      <c r="L8" s="1603" t="e">
        <f>INDEX(Pitots!$E$95:$I$99,MATCH($J8,Pitots!$E$95:$E$99,0),MATCH($K$4,Pitots!$E$95:$I$95,0))</f>
        <v>#N/A</v>
      </c>
      <c r="M8" s="1597" t="s">
        <v>877</v>
      </c>
      <c r="P8" s="1636"/>
      <c r="Q8" s="1639"/>
      <c r="R8" s="1639"/>
      <c r="S8" s="1639"/>
      <c r="T8" s="1640"/>
    </row>
    <row r="9" spans="1:28" ht="10.5" customHeight="1">
      <c r="A9" s="2478" t="str">
        <f>IF(D9="","",TRUE)</f>
        <v/>
      </c>
      <c r="B9" s="1610"/>
      <c r="C9" s="1591" t="s">
        <v>76</v>
      </c>
      <c r="D9" s="2442" t="str">
        <f>IF('Flows &amp; Isokinetics'!G10="","",'Flows &amp; Isokinetics'!G10)</f>
        <v/>
      </c>
      <c r="E9" s="2445"/>
      <c r="F9" s="2445" t="str">
        <f>IF('Flows &amp; Isokinetics'!H10="","",'Flows &amp; Isokinetics'!H10)</f>
        <v/>
      </c>
      <c r="G9" s="1599" t="s">
        <v>1454</v>
      </c>
      <c r="H9" s="2490">
        <v>0</v>
      </c>
      <c r="I9" s="2490">
        <v>0</v>
      </c>
      <c r="J9" s="1591" t="s">
        <v>610</v>
      </c>
      <c r="K9" s="1603" t="e">
        <f>INDEX(Pitots!$E$87:$I$91,MATCH($J9,Pitots!$E$87:$E$91,0),MATCH($K$4,Pitots!$E$87:$I$87,0))</f>
        <v>#N/A</v>
      </c>
      <c r="L9" s="1603" t="e">
        <f>INDEX(Pitots!$E$95:$I$99,MATCH($J9,Pitots!$E$95:$E$99,0),MATCH($K$4,Pitots!$E$95:$I$95,0))</f>
        <v>#N/A</v>
      </c>
      <c r="M9" s="1604" t="e">
        <f>Rado+Rslo</f>
        <v>#N/A</v>
      </c>
      <c r="P9" s="1636"/>
      <c r="Q9" s="2480">
        <v>1</v>
      </c>
      <c r="R9" s="2480">
        <v>1</v>
      </c>
      <c r="S9" s="2480">
        <v>1</v>
      </c>
      <c r="T9" s="2479">
        <v>1</v>
      </c>
    </row>
    <row r="10" spans="1:28" ht="10.5" customHeight="1" thickBot="1">
      <c r="A10" s="2478" t="b">
        <f>IF(H9="","",TRUE)</f>
        <v>1</v>
      </c>
      <c r="B10" s="1600"/>
      <c r="C10" s="1598"/>
      <c r="D10" s="1598"/>
      <c r="E10" s="1598"/>
      <c r="F10" s="1601"/>
      <c r="G10" s="1598"/>
      <c r="H10" s="1598"/>
      <c r="I10" s="1601"/>
      <c r="J10" s="1598"/>
      <c r="K10" s="1598"/>
      <c r="L10" s="1598"/>
      <c r="M10" s="1602"/>
      <c r="P10" s="1641"/>
      <c r="Q10" s="2481">
        <v>0</v>
      </c>
      <c r="R10" s="2481">
        <v>0</v>
      </c>
      <c r="S10" s="2481">
        <v>0</v>
      </c>
      <c r="T10" s="2482">
        <v>0</v>
      </c>
    </row>
    <row r="11" spans="1:28" ht="10.5" customHeight="1" thickBot="1">
      <c r="A11" s="2478" t="b">
        <f>IF(I9="","",TRUE)</f>
        <v>1</v>
      </c>
      <c r="P11" s="2483"/>
      <c r="Q11" s="2483"/>
      <c r="R11" s="2483"/>
      <c r="S11" s="2483"/>
      <c r="T11" s="2483"/>
      <c r="V11" s="2483"/>
      <c r="W11" s="2483"/>
      <c r="X11" s="2483"/>
      <c r="Y11" s="2483"/>
      <c r="Z11" s="2483"/>
      <c r="AA11" s="2483"/>
      <c r="AB11" s="2483"/>
    </row>
    <row r="12" spans="1:28" ht="10.5" customHeight="1">
      <c r="A12" s="2478" t="b">
        <v>1</v>
      </c>
      <c r="B12" s="1616" t="s">
        <v>8</v>
      </c>
      <c r="C12" s="1606"/>
      <c r="D12" s="1587" t="str">
        <f>IF(PitotID1="anemom","Velocity","Pressure")</f>
        <v>Pressure</v>
      </c>
      <c r="E12" s="1611" t="s">
        <v>1721</v>
      </c>
      <c r="F12" s="1612" t="s">
        <v>1448</v>
      </c>
      <c r="G12" s="1587" t="s">
        <v>835</v>
      </c>
      <c r="H12" s="1587" t="s">
        <v>836</v>
      </c>
      <c r="I12" s="1587" t="s">
        <v>59</v>
      </c>
      <c r="J12" s="1587" t="s">
        <v>303</v>
      </c>
      <c r="K12" s="1587" t="str">
        <f>"Sqrt"&amp;"("&amp;DPU&amp;")"</f>
        <v>Sqrt(Pa)</v>
      </c>
      <c r="L12" s="1587" t="s">
        <v>533</v>
      </c>
      <c r="M12" s="1613" t="s">
        <v>533</v>
      </c>
      <c r="N12" s="2484"/>
      <c r="O12" s="2485" t="s">
        <v>8</v>
      </c>
      <c r="P12" s="1642"/>
      <c r="Q12" s="1643" t="s">
        <v>855</v>
      </c>
      <c r="R12" s="1644" t="s">
        <v>858</v>
      </c>
      <c r="S12" s="1643" t="s">
        <v>837</v>
      </c>
      <c r="T12" s="1645" t="s">
        <v>865</v>
      </c>
      <c r="U12" s="2486"/>
      <c r="V12" s="1649" t="s">
        <v>855</v>
      </c>
      <c r="W12" s="1644" t="s">
        <v>858</v>
      </c>
      <c r="X12" s="1644" t="s">
        <v>859</v>
      </c>
      <c r="Y12" s="1644" t="s">
        <v>840</v>
      </c>
      <c r="Z12" s="1644" t="s">
        <v>837</v>
      </c>
      <c r="AA12" s="1644" t="s">
        <v>838</v>
      </c>
      <c r="AB12" s="1650" t="s">
        <v>842</v>
      </c>
    </row>
    <row r="13" spans="1:28" ht="10.5" customHeight="1">
      <c r="A13" s="2478" t="str">
        <f>IF(StackTempAft1="","",TRUE)</f>
        <v/>
      </c>
      <c r="B13" s="1617"/>
      <c r="C13" s="1614" t="s">
        <v>14</v>
      </c>
      <c r="D13" s="1614" t="str">
        <f>IF(PitotID1="anemom","("&amp;VU&amp;")","("&amp;DPU&amp;")")</f>
        <v>(Pa)</v>
      </c>
      <c r="E13" s="1187">
        <f>IF(PitotIDAft1="Anemom (Hot)",0.02,IF(PitotIDAft1="Anemom (Vane)",0.4,IF(Flowmeter1="ECS",0.1,2)))</f>
        <v>2</v>
      </c>
      <c r="F13" s="675"/>
      <c r="G13" s="1614"/>
      <c r="H13" s="1614"/>
      <c r="I13" s="1614" t="s">
        <v>53</v>
      </c>
      <c r="J13" s="1614" t="s">
        <v>53</v>
      </c>
      <c r="K13" s="1614"/>
      <c r="L13" s="1614" t="s">
        <v>634</v>
      </c>
      <c r="M13" s="1615" t="s">
        <v>843</v>
      </c>
      <c r="N13" s="2484"/>
      <c r="O13" s="2485" t="s">
        <v>839</v>
      </c>
      <c r="P13" s="1646"/>
      <c r="Q13" s="1647"/>
      <c r="R13" s="1647"/>
      <c r="S13" s="1647"/>
      <c r="T13" s="1648"/>
      <c r="U13" s="2486"/>
      <c r="V13" s="1651" t="s">
        <v>53</v>
      </c>
      <c r="W13" s="1652" t="s">
        <v>863</v>
      </c>
      <c r="X13" s="1652" t="s">
        <v>863</v>
      </c>
      <c r="Y13" s="1653"/>
      <c r="Z13" s="1652" t="s">
        <v>857</v>
      </c>
      <c r="AA13" s="1652" t="s">
        <v>857</v>
      </c>
      <c r="AB13" s="1654"/>
    </row>
    <row r="14" spans="1:28" ht="10.5" customHeight="1">
      <c r="A14" s="2437" t="b">
        <f>IF(AND(ISNUMBER(D14),ISNUMBER(C14)),TRUE,IF(OR(ISNUMBER(D14),ISNUMBER(C14)),"",TRUE))</f>
        <v>1</v>
      </c>
      <c r="B14" s="1618" t="str">
        <f>'Flows &amp; Isokinetics'!E15</f>
        <v/>
      </c>
      <c r="C14" s="1619" t="str">
        <f>'Flows &amp; Isokinetics'!F15</f>
        <v/>
      </c>
      <c r="D14" s="2434" t="str">
        <f>IF(W14="","",W14)</f>
        <v/>
      </c>
      <c r="E14" s="2434" t="str">
        <f>IF(D14="","",IF(D14&lt;E$13,E$13,D14))</f>
        <v/>
      </c>
      <c r="F14" s="2445" t="str">
        <f t="shared" ref="F14:F45" si="0">IF(ISNUMBER(D14),IF(ISNUMBER(StackTempAft1),StackTempAft1,IF(V14="","",V14)),"")</f>
        <v/>
      </c>
      <c r="G14" s="2434" t="str">
        <f>IF(ISNUMBER(Z14),Z14,IF(ISNUMBER($C14),0,""))</f>
        <v/>
      </c>
      <c r="H14" s="2434" t="str">
        <f>IF(ISNUMBER(AA14),AA14,IF(ISNUMBER($C14),0,""))</f>
        <v/>
      </c>
      <c r="I14" s="92"/>
      <c r="J14" s="92"/>
      <c r="K14" s="1634" t="str">
        <f>IF(D14="","",SQRT(E14))</f>
        <v/>
      </c>
      <c r="L14" s="1634" t="str">
        <f>Velocity(PitotIDAft1,PitotCoeffAft1,AB14,E14,F14,StackTempAvgAft1,AbsPressAft1,MolecularWt)</f>
        <v/>
      </c>
      <c r="M14" s="1635" t="str">
        <f>Velocity3D(L14,G14,H14)</f>
        <v/>
      </c>
      <c r="N14" s="2484"/>
      <c r="O14" s="2487" t="s">
        <v>1407</v>
      </c>
      <c r="P14" s="1669" t="str">
        <f>'Flows &amp; Isokinetics'!E15</f>
        <v/>
      </c>
      <c r="Q14" s="2480"/>
      <c r="R14" s="2480"/>
      <c r="S14" s="2480"/>
      <c r="T14" s="2479"/>
      <c r="U14" s="2486"/>
      <c r="V14" s="1655" t="str">
        <f>IF(Q14="","",$Q$9*(Q14-$Q$10))</f>
        <v/>
      </c>
      <c r="W14" s="1656" t="str">
        <f>IF(R14="","",$R$9*(R14-$R$10)*249.089)</f>
        <v/>
      </c>
      <c r="X14" s="1656" t="str">
        <f>IF(T14="","",$T$9*(T14-$T$10)*249.089)</f>
        <v/>
      </c>
      <c r="Y14" s="1657" t="str">
        <f>IF(W14="","",X14/W14)</f>
        <v/>
      </c>
      <c r="Z14" s="1656" t="str">
        <f>IF(S14="","",$S$9*(S14-$S$10)-YawCorr)</f>
        <v/>
      </c>
      <c r="AA14" s="1656" t="str">
        <f>IF(Y14="","",K$6*Y14^3+K$7*Y14^2+K$8*Y14+K$9)</f>
        <v/>
      </c>
      <c r="AB14" s="1658" t="str">
        <f>IF(AA14="","",L$6*AA14^3+L$7*AA14^2+L$8*AA14+L$9)</f>
        <v/>
      </c>
    </row>
    <row r="15" spans="1:28" ht="10.5" customHeight="1">
      <c r="A15" s="2437" t="b">
        <f t="shared" ref="A15:A73" si="1">IF(AND(ISNUMBER(D15),ISNUMBER(C15)),TRUE,IF(OR(ISNUMBER(D15),ISNUMBER(C15)),"",TRUE))</f>
        <v>1</v>
      </c>
      <c r="B15" s="1618" t="str">
        <f>'Flows &amp; Isokinetics'!E16</f>
        <v/>
      </c>
      <c r="C15" s="1619" t="str">
        <f>'Flows &amp; Isokinetics'!F16</f>
        <v/>
      </c>
      <c r="D15" s="2434" t="str">
        <f t="shared" ref="D15:D73" si="2">IF(W15="","",W15)</f>
        <v/>
      </c>
      <c r="E15" s="2434" t="str">
        <f t="shared" ref="E15:E73" si="3">IF(D15="","",IF(D15&lt;E$13,E$13,D15))</f>
        <v/>
      </c>
      <c r="F15" s="2445" t="str">
        <f t="shared" si="0"/>
        <v/>
      </c>
      <c r="G15" s="2434" t="str">
        <f t="shared" ref="G15:G73" si="4">IF(ISNUMBER(Z15),Z15,IF(ISNUMBER($C15),0,""))</f>
        <v/>
      </c>
      <c r="H15" s="2434" t="str">
        <f t="shared" ref="H15:H73" si="5">IF(ISNUMBER(AA15),AA15,IF(ISNUMBER($C15),0,""))</f>
        <v/>
      </c>
      <c r="I15" s="92"/>
      <c r="J15" s="92"/>
      <c r="K15" s="1634" t="str">
        <f t="shared" ref="K15:K34" si="6">IF(D15="","",SQRT(E15))</f>
        <v/>
      </c>
      <c r="L15" s="1634" t="str">
        <f>Velocity(PitotIDAft1,PitotCoeffAft1,AB15,E15,F15,StackTempAvgAft1,AbsPressAft1,MolecularWt)</f>
        <v/>
      </c>
      <c r="M15" s="1635" t="str">
        <f t="shared" ref="M15:M27" si="7">Velocity3D(L15,G15,H15)</f>
        <v/>
      </c>
      <c r="N15" s="2484"/>
      <c r="O15" s="2484"/>
      <c r="P15" s="1669" t="str">
        <f>'Flows &amp; Isokinetics'!E16</f>
        <v/>
      </c>
      <c r="Q15" s="2480"/>
      <c r="R15" s="2480"/>
      <c r="S15" s="2480"/>
      <c r="T15" s="2479"/>
      <c r="U15" s="2486"/>
      <c r="V15" s="1655" t="str">
        <f t="shared" ref="V15:V73" si="8">IF(Q15="","",$Q$9*(Q15-$Q$10))</f>
        <v/>
      </c>
      <c r="W15" s="1656" t="str">
        <f t="shared" ref="W15:W73" si="9">IF(R15="","",$R$9*(R15-$R$10)*249.089)</f>
        <v/>
      </c>
      <c r="X15" s="1656" t="str">
        <f t="shared" ref="X15:X73" si="10">IF(T15="","",$T$9*(T15-$T$10)*249.089)</f>
        <v/>
      </c>
      <c r="Y15" s="1657" t="str">
        <f t="shared" ref="Y15:Y73" si="11">IF(W15="","",X15/W15)</f>
        <v/>
      </c>
      <c r="Z15" s="1656" t="str">
        <f t="shared" ref="Z15:Z73" si="12">IF(S15="","",$S$9*(S15-$S$10)-YawCorr)</f>
        <v/>
      </c>
      <c r="AA15" s="1656" t="str">
        <f t="shared" ref="AA15:AA73" si="13">IF(Y15="","",K$6*Y15^3+K$7*Y15^2+K$8*Y15+K$9)</f>
        <v/>
      </c>
      <c r="AB15" s="1658" t="str">
        <f t="shared" ref="AB15:AB73" si="14">IF(AA15="","",L$6*AA15^3+L$7*AA15^2+L$8*AA15+L$9)</f>
        <v/>
      </c>
    </row>
    <row r="16" spans="1:28" ht="10.5" customHeight="1">
      <c r="A16" s="2437" t="b">
        <f t="shared" si="1"/>
        <v>1</v>
      </c>
      <c r="B16" s="1618" t="str">
        <f>'Flows &amp; Isokinetics'!E17</f>
        <v/>
      </c>
      <c r="C16" s="1619" t="str">
        <f>'Flows &amp; Isokinetics'!F17</f>
        <v/>
      </c>
      <c r="D16" s="2434" t="str">
        <f t="shared" si="2"/>
        <v/>
      </c>
      <c r="E16" s="2434" t="str">
        <f t="shared" si="3"/>
        <v/>
      </c>
      <c r="F16" s="2445" t="str">
        <f t="shared" si="0"/>
        <v/>
      </c>
      <c r="G16" s="2434" t="str">
        <f t="shared" si="4"/>
        <v/>
      </c>
      <c r="H16" s="2434" t="str">
        <f t="shared" si="5"/>
        <v/>
      </c>
      <c r="I16" s="92"/>
      <c r="J16" s="92"/>
      <c r="K16" s="1634" t="str">
        <f t="shared" si="6"/>
        <v/>
      </c>
      <c r="L16" s="1634" t="str">
        <f>Velocity(PitotIDAft1,PitotCoeffAft1,AB16,E16,F16,StackTempAvgAft1,AbsPressAft1,MolecularWt)</f>
        <v/>
      </c>
      <c r="M16" s="1635" t="str">
        <f t="shared" si="7"/>
        <v/>
      </c>
      <c r="N16" s="2484"/>
      <c r="O16" s="2484"/>
      <c r="P16" s="1669" t="str">
        <f>'Flows &amp; Isokinetics'!E17</f>
        <v/>
      </c>
      <c r="Q16" s="2480"/>
      <c r="R16" s="2480"/>
      <c r="S16" s="2480"/>
      <c r="T16" s="2479"/>
      <c r="U16" s="2486"/>
      <c r="V16" s="1655" t="str">
        <f t="shared" si="8"/>
        <v/>
      </c>
      <c r="W16" s="1656" t="str">
        <f t="shared" si="9"/>
        <v/>
      </c>
      <c r="X16" s="1656" t="str">
        <f t="shared" si="10"/>
        <v/>
      </c>
      <c r="Y16" s="1657" t="str">
        <f t="shared" si="11"/>
        <v/>
      </c>
      <c r="Z16" s="1656" t="str">
        <f t="shared" si="12"/>
        <v/>
      </c>
      <c r="AA16" s="1656" t="str">
        <f t="shared" si="13"/>
        <v/>
      </c>
      <c r="AB16" s="1658" t="str">
        <f t="shared" si="14"/>
        <v/>
      </c>
    </row>
    <row r="17" spans="1:28" ht="10.5" customHeight="1">
      <c r="A17" s="2437" t="b">
        <f t="shared" si="1"/>
        <v>1</v>
      </c>
      <c r="B17" s="1618" t="str">
        <f>'Flows &amp; Isokinetics'!E18</f>
        <v/>
      </c>
      <c r="C17" s="1619" t="str">
        <f>'Flows &amp; Isokinetics'!F18</f>
        <v/>
      </c>
      <c r="D17" s="2434" t="str">
        <f t="shared" si="2"/>
        <v/>
      </c>
      <c r="E17" s="2434" t="str">
        <f t="shared" si="3"/>
        <v/>
      </c>
      <c r="F17" s="2445" t="str">
        <f t="shared" si="0"/>
        <v/>
      </c>
      <c r="G17" s="2434" t="str">
        <f t="shared" si="4"/>
        <v/>
      </c>
      <c r="H17" s="2434" t="str">
        <f t="shared" si="5"/>
        <v/>
      </c>
      <c r="I17" s="92"/>
      <c r="J17" s="92"/>
      <c r="K17" s="1634" t="str">
        <f t="shared" si="6"/>
        <v/>
      </c>
      <c r="L17" s="1634" t="str">
        <f>Velocity(PitotIDAft1,PitotCoeffAft1,AB17,E17,F17,StackTempAvgAft1,AbsPressAft1,MolecularWt)</f>
        <v/>
      </c>
      <c r="M17" s="1635" t="str">
        <f t="shared" si="7"/>
        <v/>
      </c>
      <c r="N17" s="2484"/>
      <c r="O17" s="2484"/>
      <c r="P17" s="1669" t="str">
        <f>'Flows &amp; Isokinetics'!E18</f>
        <v/>
      </c>
      <c r="Q17" s="2480"/>
      <c r="R17" s="2480"/>
      <c r="S17" s="2480"/>
      <c r="T17" s="2479"/>
      <c r="U17" s="2486"/>
      <c r="V17" s="1655" t="str">
        <f t="shared" si="8"/>
        <v/>
      </c>
      <c r="W17" s="1656" t="str">
        <f t="shared" si="9"/>
        <v/>
      </c>
      <c r="X17" s="1656" t="str">
        <f t="shared" si="10"/>
        <v/>
      </c>
      <c r="Y17" s="1657" t="str">
        <f t="shared" si="11"/>
        <v/>
      </c>
      <c r="Z17" s="1656" t="str">
        <f t="shared" si="12"/>
        <v/>
      </c>
      <c r="AA17" s="1656" t="str">
        <f t="shared" si="13"/>
        <v/>
      </c>
      <c r="AB17" s="1658" t="str">
        <f t="shared" si="14"/>
        <v/>
      </c>
    </row>
    <row r="18" spans="1:28" ht="10.5" customHeight="1">
      <c r="A18" s="2437" t="b">
        <f t="shared" si="1"/>
        <v>1</v>
      </c>
      <c r="B18" s="1618" t="str">
        <f>'Flows &amp; Isokinetics'!E19</f>
        <v/>
      </c>
      <c r="C18" s="1619" t="str">
        <f>'Flows &amp; Isokinetics'!F19</f>
        <v/>
      </c>
      <c r="D18" s="2434" t="str">
        <f t="shared" si="2"/>
        <v/>
      </c>
      <c r="E18" s="2434" t="str">
        <f t="shared" si="3"/>
        <v/>
      </c>
      <c r="F18" s="2445" t="str">
        <f t="shared" si="0"/>
        <v/>
      </c>
      <c r="G18" s="2434" t="str">
        <f t="shared" si="4"/>
        <v/>
      </c>
      <c r="H18" s="2434" t="str">
        <f t="shared" si="5"/>
        <v/>
      </c>
      <c r="I18" s="92"/>
      <c r="J18" s="92"/>
      <c r="K18" s="1634" t="str">
        <f t="shared" si="6"/>
        <v/>
      </c>
      <c r="L18" s="1634" t="str">
        <f>Velocity(PitotIDAft1,PitotCoeffAft1,AB18,E18,F18,StackTempAvgAft1,AbsPressAft1,MolecularWt)</f>
        <v/>
      </c>
      <c r="M18" s="1635" t="str">
        <f t="shared" si="7"/>
        <v/>
      </c>
      <c r="N18" s="2484"/>
      <c r="O18" s="2484"/>
      <c r="P18" s="1669" t="str">
        <f>'Flows &amp; Isokinetics'!E19</f>
        <v/>
      </c>
      <c r="Q18" s="2480"/>
      <c r="R18" s="2480"/>
      <c r="S18" s="2480"/>
      <c r="T18" s="2479"/>
      <c r="U18" s="2486"/>
      <c r="V18" s="1655" t="str">
        <f t="shared" si="8"/>
        <v/>
      </c>
      <c r="W18" s="1656" t="str">
        <f t="shared" si="9"/>
        <v/>
      </c>
      <c r="X18" s="1656" t="str">
        <f t="shared" si="10"/>
        <v/>
      </c>
      <c r="Y18" s="1657" t="str">
        <f t="shared" si="11"/>
        <v/>
      </c>
      <c r="Z18" s="1656" t="str">
        <f t="shared" si="12"/>
        <v/>
      </c>
      <c r="AA18" s="1656" t="str">
        <f t="shared" si="13"/>
        <v/>
      </c>
      <c r="AB18" s="1658" t="str">
        <f t="shared" si="14"/>
        <v/>
      </c>
    </row>
    <row r="19" spans="1:28" ht="10.5" customHeight="1">
      <c r="A19" s="2437" t="b">
        <f t="shared" si="1"/>
        <v>1</v>
      </c>
      <c r="B19" s="1618" t="str">
        <f>'Flows &amp; Isokinetics'!E20</f>
        <v/>
      </c>
      <c r="C19" s="1619" t="str">
        <f>'Flows &amp; Isokinetics'!F20</f>
        <v/>
      </c>
      <c r="D19" s="2434" t="str">
        <f t="shared" si="2"/>
        <v/>
      </c>
      <c r="E19" s="2434" t="str">
        <f t="shared" si="3"/>
        <v/>
      </c>
      <c r="F19" s="2445" t="str">
        <f t="shared" si="0"/>
        <v/>
      </c>
      <c r="G19" s="2434" t="str">
        <f t="shared" si="4"/>
        <v/>
      </c>
      <c r="H19" s="2434" t="str">
        <f t="shared" si="5"/>
        <v/>
      </c>
      <c r="I19" s="92"/>
      <c r="J19" s="92"/>
      <c r="K19" s="1634" t="str">
        <f t="shared" si="6"/>
        <v/>
      </c>
      <c r="L19" s="1634" t="str">
        <f>Velocity(PitotIDAft1,PitotCoeffAft1,AB19,E19,F19,StackTempAvgAft1,AbsPressAft1,MolecularWt)</f>
        <v/>
      </c>
      <c r="M19" s="1635" t="str">
        <f t="shared" si="7"/>
        <v/>
      </c>
      <c r="N19" s="2484"/>
      <c r="O19" s="2484"/>
      <c r="P19" s="1669" t="str">
        <f>'Flows &amp; Isokinetics'!E20</f>
        <v/>
      </c>
      <c r="Q19" s="2480"/>
      <c r="R19" s="2480"/>
      <c r="S19" s="2480"/>
      <c r="T19" s="2479"/>
      <c r="U19" s="2486"/>
      <c r="V19" s="1655" t="str">
        <f t="shared" si="8"/>
        <v/>
      </c>
      <c r="W19" s="1656" t="str">
        <f t="shared" si="9"/>
        <v/>
      </c>
      <c r="X19" s="1656" t="str">
        <f t="shared" si="10"/>
        <v/>
      </c>
      <c r="Y19" s="1657" t="str">
        <f t="shared" si="11"/>
        <v/>
      </c>
      <c r="Z19" s="1656" t="str">
        <f t="shared" si="12"/>
        <v/>
      </c>
      <c r="AA19" s="1656" t="str">
        <f t="shared" si="13"/>
        <v/>
      </c>
      <c r="AB19" s="1658" t="str">
        <f t="shared" si="14"/>
        <v/>
      </c>
    </row>
    <row r="20" spans="1:28" ht="10.5" customHeight="1">
      <c r="A20" s="2437" t="b">
        <f t="shared" si="1"/>
        <v>1</v>
      </c>
      <c r="B20" s="1618" t="str">
        <f>'Flows &amp; Isokinetics'!E21</f>
        <v/>
      </c>
      <c r="C20" s="1619" t="str">
        <f>'Flows &amp; Isokinetics'!F21</f>
        <v/>
      </c>
      <c r="D20" s="2434" t="str">
        <f t="shared" si="2"/>
        <v/>
      </c>
      <c r="E20" s="2434" t="str">
        <f t="shared" si="3"/>
        <v/>
      </c>
      <c r="F20" s="2445" t="str">
        <f t="shared" si="0"/>
        <v/>
      </c>
      <c r="G20" s="2434" t="str">
        <f t="shared" si="4"/>
        <v/>
      </c>
      <c r="H20" s="2434" t="str">
        <f t="shared" si="5"/>
        <v/>
      </c>
      <c r="I20" s="92"/>
      <c r="J20" s="92"/>
      <c r="K20" s="1634" t="str">
        <f t="shared" si="6"/>
        <v/>
      </c>
      <c r="L20" s="1634" t="str">
        <f>Velocity(PitotIDAft1,PitotCoeffAft1,AB20,E20,F20,StackTempAvgAft1,AbsPressAft1,MolecularWt)</f>
        <v/>
      </c>
      <c r="M20" s="1635" t="str">
        <f t="shared" si="7"/>
        <v/>
      </c>
      <c r="N20" s="2484"/>
      <c r="O20" s="2484"/>
      <c r="P20" s="1669" t="str">
        <f>'Flows &amp; Isokinetics'!E21</f>
        <v/>
      </c>
      <c r="Q20" s="2480"/>
      <c r="R20" s="2480"/>
      <c r="S20" s="2480"/>
      <c r="T20" s="2479"/>
      <c r="U20" s="2486"/>
      <c r="V20" s="1655" t="str">
        <f t="shared" si="8"/>
        <v/>
      </c>
      <c r="W20" s="1656" t="str">
        <f t="shared" si="9"/>
        <v/>
      </c>
      <c r="X20" s="1656" t="str">
        <f t="shared" si="10"/>
        <v/>
      </c>
      <c r="Y20" s="1657" t="str">
        <f t="shared" si="11"/>
        <v/>
      </c>
      <c r="Z20" s="1656" t="str">
        <f t="shared" si="12"/>
        <v/>
      </c>
      <c r="AA20" s="1656" t="str">
        <f t="shared" si="13"/>
        <v/>
      </c>
      <c r="AB20" s="1658" t="str">
        <f t="shared" si="14"/>
        <v/>
      </c>
    </row>
    <row r="21" spans="1:28" ht="10.5" customHeight="1">
      <c r="A21" s="2437" t="b">
        <f t="shared" si="1"/>
        <v>1</v>
      </c>
      <c r="B21" s="1618" t="str">
        <f>'Flows &amp; Isokinetics'!E22</f>
        <v/>
      </c>
      <c r="C21" s="1619" t="str">
        <f>'Flows &amp; Isokinetics'!F22</f>
        <v/>
      </c>
      <c r="D21" s="2434" t="str">
        <f t="shared" si="2"/>
        <v/>
      </c>
      <c r="E21" s="2434" t="str">
        <f t="shared" si="3"/>
        <v/>
      </c>
      <c r="F21" s="2445" t="str">
        <f t="shared" si="0"/>
        <v/>
      </c>
      <c r="G21" s="2434" t="str">
        <f t="shared" si="4"/>
        <v/>
      </c>
      <c r="H21" s="2434" t="str">
        <f t="shared" si="5"/>
        <v/>
      </c>
      <c r="I21" s="92"/>
      <c r="J21" s="92"/>
      <c r="K21" s="1634" t="str">
        <f t="shared" si="6"/>
        <v/>
      </c>
      <c r="L21" s="1634" t="str">
        <f>Velocity(PitotIDAft1,PitotCoeffAft1,AB21,E21,F21,StackTempAvgAft1,AbsPressAft1,MolecularWt)</f>
        <v/>
      </c>
      <c r="M21" s="1635" t="str">
        <f t="shared" si="7"/>
        <v/>
      </c>
      <c r="N21" s="2484"/>
      <c r="O21" s="2484"/>
      <c r="P21" s="1669" t="str">
        <f>'Flows &amp; Isokinetics'!E22</f>
        <v/>
      </c>
      <c r="Q21" s="2480"/>
      <c r="R21" s="2480"/>
      <c r="S21" s="2480"/>
      <c r="T21" s="2479"/>
      <c r="U21" s="2486"/>
      <c r="V21" s="1655" t="str">
        <f t="shared" si="8"/>
        <v/>
      </c>
      <c r="W21" s="1656" t="str">
        <f t="shared" si="9"/>
        <v/>
      </c>
      <c r="X21" s="1656" t="str">
        <f t="shared" si="10"/>
        <v/>
      </c>
      <c r="Y21" s="1657" t="str">
        <f t="shared" si="11"/>
        <v/>
      </c>
      <c r="Z21" s="1656" t="str">
        <f t="shared" si="12"/>
        <v/>
      </c>
      <c r="AA21" s="1656" t="str">
        <f t="shared" si="13"/>
        <v/>
      </c>
      <c r="AB21" s="1658" t="str">
        <f t="shared" si="14"/>
        <v/>
      </c>
    </row>
    <row r="22" spans="1:28" ht="10.5" customHeight="1">
      <c r="A22" s="2437" t="b">
        <f t="shared" si="1"/>
        <v>1</v>
      </c>
      <c r="B22" s="1618" t="str">
        <f>'Flows &amp; Isokinetics'!E23</f>
        <v/>
      </c>
      <c r="C22" s="1619" t="str">
        <f>'Flows &amp; Isokinetics'!F23</f>
        <v/>
      </c>
      <c r="D22" s="2434" t="str">
        <f t="shared" si="2"/>
        <v/>
      </c>
      <c r="E22" s="2434" t="str">
        <f t="shared" si="3"/>
        <v/>
      </c>
      <c r="F22" s="2445" t="str">
        <f t="shared" si="0"/>
        <v/>
      </c>
      <c r="G22" s="2434" t="str">
        <f t="shared" si="4"/>
        <v/>
      </c>
      <c r="H22" s="2434" t="str">
        <f t="shared" si="5"/>
        <v/>
      </c>
      <c r="I22" s="92"/>
      <c r="J22" s="92"/>
      <c r="K22" s="1634" t="str">
        <f t="shared" si="6"/>
        <v/>
      </c>
      <c r="L22" s="1634" t="str">
        <f>Velocity(PitotIDAft1,PitotCoeffAft1,AB22,E22,F22,StackTempAvgAft1,AbsPressAft1,MolecularWt)</f>
        <v/>
      </c>
      <c r="M22" s="1635" t="str">
        <f t="shared" si="7"/>
        <v/>
      </c>
      <c r="N22" s="2484"/>
      <c r="O22" s="2484"/>
      <c r="P22" s="1669" t="str">
        <f>'Flows &amp; Isokinetics'!E23</f>
        <v/>
      </c>
      <c r="Q22" s="2480"/>
      <c r="R22" s="2480"/>
      <c r="S22" s="2480"/>
      <c r="T22" s="2479"/>
      <c r="U22" s="2486"/>
      <c r="V22" s="1655" t="str">
        <f t="shared" si="8"/>
        <v/>
      </c>
      <c r="W22" s="1656" t="str">
        <f t="shared" si="9"/>
        <v/>
      </c>
      <c r="X22" s="1656" t="str">
        <f t="shared" si="10"/>
        <v/>
      </c>
      <c r="Y22" s="1657" t="str">
        <f t="shared" si="11"/>
        <v/>
      </c>
      <c r="Z22" s="1656" t="str">
        <f t="shared" si="12"/>
        <v/>
      </c>
      <c r="AA22" s="1656" t="str">
        <f t="shared" si="13"/>
        <v/>
      </c>
      <c r="AB22" s="1658" t="str">
        <f t="shared" si="14"/>
        <v/>
      </c>
    </row>
    <row r="23" spans="1:28" ht="10.5" customHeight="1">
      <c r="A23" s="2437" t="b">
        <f t="shared" si="1"/>
        <v>1</v>
      </c>
      <c r="B23" s="1618" t="str">
        <f>'Flows &amp; Isokinetics'!E24</f>
        <v/>
      </c>
      <c r="C23" s="1619" t="str">
        <f>'Flows &amp; Isokinetics'!F24</f>
        <v/>
      </c>
      <c r="D23" s="2434" t="str">
        <f t="shared" si="2"/>
        <v/>
      </c>
      <c r="E23" s="2434" t="str">
        <f t="shared" si="3"/>
        <v/>
      </c>
      <c r="F23" s="2445" t="str">
        <f t="shared" si="0"/>
        <v/>
      </c>
      <c r="G23" s="2434" t="str">
        <f t="shared" si="4"/>
        <v/>
      </c>
      <c r="H23" s="2434" t="str">
        <f t="shared" si="5"/>
        <v/>
      </c>
      <c r="I23" s="92"/>
      <c r="J23" s="92"/>
      <c r="K23" s="1634" t="str">
        <f t="shared" si="6"/>
        <v/>
      </c>
      <c r="L23" s="1634" t="str">
        <f>Velocity(PitotIDAft1,PitotCoeffAft1,AB23,E23,F23,StackTempAvgAft1,AbsPressAft1,MolecularWt)</f>
        <v/>
      </c>
      <c r="M23" s="1635" t="str">
        <f t="shared" si="7"/>
        <v/>
      </c>
      <c r="N23" s="2484"/>
      <c r="O23" s="2484"/>
      <c r="P23" s="1669" t="str">
        <f>'Flows &amp; Isokinetics'!E24</f>
        <v/>
      </c>
      <c r="Q23" s="2480"/>
      <c r="R23" s="2480"/>
      <c r="S23" s="2480"/>
      <c r="T23" s="2479"/>
      <c r="U23" s="2486"/>
      <c r="V23" s="1655" t="str">
        <f t="shared" si="8"/>
        <v/>
      </c>
      <c r="W23" s="1656" t="str">
        <f t="shared" si="9"/>
        <v/>
      </c>
      <c r="X23" s="1656" t="str">
        <f t="shared" si="10"/>
        <v/>
      </c>
      <c r="Y23" s="1657" t="str">
        <f t="shared" si="11"/>
        <v/>
      </c>
      <c r="Z23" s="1656" t="str">
        <f t="shared" si="12"/>
        <v/>
      </c>
      <c r="AA23" s="1656" t="str">
        <f t="shared" si="13"/>
        <v/>
      </c>
      <c r="AB23" s="1658" t="str">
        <f t="shared" si="14"/>
        <v/>
      </c>
    </row>
    <row r="24" spans="1:28" ht="10.5" customHeight="1">
      <c r="A24" s="2437" t="b">
        <f t="shared" si="1"/>
        <v>1</v>
      </c>
      <c r="B24" s="1618" t="str">
        <f>'Flows &amp; Isokinetics'!E25</f>
        <v/>
      </c>
      <c r="C24" s="1619" t="str">
        <f>'Flows &amp; Isokinetics'!F25</f>
        <v/>
      </c>
      <c r="D24" s="2434" t="str">
        <f t="shared" si="2"/>
        <v/>
      </c>
      <c r="E24" s="2434" t="str">
        <f t="shared" si="3"/>
        <v/>
      </c>
      <c r="F24" s="2445" t="str">
        <f t="shared" si="0"/>
        <v/>
      </c>
      <c r="G24" s="2434" t="str">
        <f t="shared" si="4"/>
        <v/>
      </c>
      <c r="H24" s="2434" t="str">
        <f t="shared" si="5"/>
        <v/>
      </c>
      <c r="I24" s="92"/>
      <c r="J24" s="92"/>
      <c r="K24" s="1634" t="str">
        <f t="shared" si="6"/>
        <v/>
      </c>
      <c r="L24" s="1634" t="str">
        <f>Velocity(PitotIDAft1,PitotCoeffAft1,AB24,E24,F24,StackTempAvgAft1,AbsPressAft1,MolecularWt)</f>
        <v/>
      </c>
      <c r="M24" s="1635" t="str">
        <f t="shared" si="7"/>
        <v/>
      </c>
      <c r="N24" s="2484"/>
      <c r="O24" s="2484"/>
      <c r="P24" s="1669" t="str">
        <f>'Flows &amp; Isokinetics'!E25</f>
        <v/>
      </c>
      <c r="Q24" s="2480"/>
      <c r="R24" s="2480"/>
      <c r="S24" s="2480"/>
      <c r="T24" s="2479"/>
      <c r="U24" s="2486"/>
      <c r="V24" s="1655" t="str">
        <f t="shared" si="8"/>
        <v/>
      </c>
      <c r="W24" s="1656" t="str">
        <f t="shared" si="9"/>
        <v/>
      </c>
      <c r="X24" s="1656" t="str">
        <f t="shared" si="10"/>
        <v/>
      </c>
      <c r="Y24" s="1657" t="str">
        <f t="shared" si="11"/>
        <v/>
      </c>
      <c r="Z24" s="1656" t="str">
        <f t="shared" si="12"/>
        <v/>
      </c>
      <c r="AA24" s="1656" t="str">
        <f t="shared" si="13"/>
        <v/>
      </c>
      <c r="AB24" s="1658" t="str">
        <f t="shared" si="14"/>
        <v/>
      </c>
    </row>
    <row r="25" spans="1:28" ht="10.5" customHeight="1">
      <c r="A25" s="2437" t="b">
        <f t="shared" si="1"/>
        <v>1</v>
      </c>
      <c r="B25" s="1618" t="str">
        <f>'Flows &amp; Isokinetics'!E26</f>
        <v/>
      </c>
      <c r="C25" s="1619" t="str">
        <f>'Flows &amp; Isokinetics'!F26</f>
        <v/>
      </c>
      <c r="D25" s="2434" t="str">
        <f t="shared" si="2"/>
        <v/>
      </c>
      <c r="E25" s="2434" t="str">
        <f t="shared" si="3"/>
        <v/>
      </c>
      <c r="F25" s="2445" t="str">
        <f t="shared" si="0"/>
        <v/>
      </c>
      <c r="G25" s="2434" t="str">
        <f t="shared" si="4"/>
        <v/>
      </c>
      <c r="H25" s="2434" t="str">
        <f t="shared" si="5"/>
        <v/>
      </c>
      <c r="I25" s="92"/>
      <c r="J25" s="92"/>
      <c r="K25" s="1634" t="str">
        <f t="shared" si="6"/>
        <v/>
      </c>
      <c r="L25" s="1634" t="str">
        <f>Velocity(PitotIDAft1,PitotCoeffAft1,AB25,E25,F25,StackTempAvgAft1,AbsPressAft1,MolecularWt)</f>
        <v/>
      </c>
      <c r="M25" s="1635" t="str">
        <f t="shared" si="7"/>
        <v/>
      </c>
      <c r="N25" s="2484"/>
      <c r="O25" s="2484"/>
      <c r="P25" s="1669" t="str">
        <f>'Flows &amp; Isokinetics'!E26</f>
        <v/>
      </c>
      <c r="Q25" s="2480"/>
      <c r="R25" s="2480"/>
      <c r="S25" s="2480"/>
      <c r="T25" s="2479"/>
      <c r="U25" s="2486"/>
      <c r="V25" s="1655" t="str">
        <f t="shared" si="8"/>
        <v/>
      </c>
      <c r="W25" s="1656" t="str">
        <f t="shared" si="9"/>
        <v/>
      </c>
      <c r="X25" s="1656" t="str">
        <f t="shared" si="10"/>
        <v/>
      </c>
      <c r="Y25" s="1657" t="str">
        <f t="shared" si="11"/>
        <v/>
      </c>
      <c r="Z25" s="1656" t="str">
        <f t="shared" si="12"/>
        <v/>
      </c>
      <c r="AA25" s="1656" t="str">
        <f t="shared" si="13"/>
        <v/>
      </c>
      <c r="AB25" s="1658" t="str">
        <f t="shared" si="14"/>
        <v/>
      </c>
    </row>
    <row r="26" spans="1:28" ht="10.5" customHeight="1">
      <c r="A26" s="2437" t="b">
        <f t="shared" si="1"/>
        <v>1</v>
      </c>
      <c r="B26" s="1618" t="str">
        <f>'Flows &amp; Isokinetics'!E27</f>
        <v/>
      </c>
      <c r="C26" s="1619" t="str">
        <f>'Flows &amp; Isokinetics'!F27</f>
        <v/>
      </c>
      <c r="D26" s="2434" t="str">
        <f t="shared" si="2"/>
        <v/>
      </c>
      <c r="E26" s="2434" t="str">
        <f t="shared" si="3"/>
        <v/>
      </c>
      <c r="F26" s="2445" t="str">
        <f t="shared" si="0"/>
        <v/>
      </c>
      <c r="G26" s="2434" t="str">
        <f t="shared" si="4"/>
        <v/>
      </c>
      <c r="H26" s="2434" t="str">
        <f t="shared" si="5"/>
        <v/>
      </c>
      <c r="I26" s="92"/>
      <c r="J26" s="92"/>
      <c r="K26" s="1634" t="str">
        <f t="shared" si="6"/>
        <v/>
      </c>
      <c r="L26" s="1634" t="str">
        <f>Velocity(PitotIDAft1,PitotCoeffAft1,AB26,E26,F26,StackTempAvgAft1,AbsPressAft1,MolecularWt)</f>
        <v/>
      </c>
      <c r="M26" s="1635" t="str">
        <f t="shared" si="7"/>
        <v/>
      </c>
      <c r="N26" s="2484"/>
      <c r="O26" s="2484"/>
      <c r="P26" s="1669" t="str">
        <f>'Flows &amp; Isokinetics'!E27</f>
        <v/>
      </c>
      <c r="Q26" s="2480"/>
      <c r="R26" s="2480"/>
      <c r="S26" s="2480"/>
      <c r="T26" s="2479"/>
      <c r="U26" s="2486"/>
      <c r="V26" s="1655" t="str">
        <f t="shared" si="8"/>
        <v/>
      </c>
      <c r="W26" s="1656" t="str">
        <f t="shared" si="9"/>
        <v/>
      </c>
      <c r="X26" s="1656" t="str">
        <f t="shared" si="10"/>
        <v/>
      </c>
      <c r="Y26" s="1657" t="str">
        <f t="shared" si="11"/>
        <v/>
      </c>
      <c r="Z26" s="1656" t="str">
        <f t="shared" si="12"/>
        <v/>
      </c>
      <c r="AA26" s="1656" t="str">
        <f t="shared" si="13"/>
        <v/>
      </c>
      <c r="AB26" s="1658" t="str">
        <f t="shared" si="14"/>
        <v/>
      </c>
    </row>
    <row r="27" spans="1:28" ht="10.5" customHeight="1">
      <c r="A27" s="2437" t="b">
        <f t="shared" si="1"/>
        <v>1</v>
      </c>
      <c r="B27" s="1618" t="str">
        <f>'Flows &amp; Isokinetics'!E28</f>
        <v/>
      </c>
      <c r="C27" s="1619" t="str">
        <f>'Flows &amp; Isokinetics'!F28</f>
        <v/>
      </c>
      <c r="D27" s="2434" t="str">
        <f t="shared" si="2"/>
        <v/>
      </c>
      <c r="E27" s="2434" t="str">
        <f t="shared" si="3"/>
        <v/>
      </c>
      <c r="F27" s="2445" t="str">
        <f t="shared" si="0"/>
        <v/>
      </c>
      <c r="G27" s="2434" t="str">
        <f t="shared" si="4"/>
        <v/>
      </c>
      <c r="H27" s="2434" t="str">
        <f t="shared" si="5"/>
        <v/>
      </c>
      <c r="I27" s="92"/>
      <c r="J27" s="92"/>
      <c r="K27" s="1634" t="str">
        <f t="shared" si="6"/>
        <v/>
      </c>
      <c r="L27" s="1634" t="str">
        <f>Velocity(PitotIDAft1,PitotCoeffAft1,AB27,E27,F27,StackTempAvgAft1,AbsPressAft1,MolecularWt)</f>
        <v/>
      </c>
      <c r="M27" s="1635" t="str">
        <f t="shared" si="7"/>
        <v/>
      </c>
      <c r="N27" s="2484"/>
      <c r="O27" s="2484"/>
      <c r="P27" s="1669" t="str">
        <f>'Flows &amp; Isokinetics'!E28</f>
        <v/>
      </c>
      <c r="Q27" s="2480"/>
      <c r="R27" s="2480"/>
      <c r="S27" s="2480"/>
      <c r="T27" s="2479"/>
      <c r="U27" s="2486"/>
      <c r="V27" s="1655" t="str">
        <f t="shared" si="8"/>
        <v/>
      </c>
      <c r="W27" s="1656" t="str">
        <f t="shared" si="9"/>
        <v/>
      </c>
      <c r="X27" s="1656" t="str">
        <f t="shared" si="10"/>
        <v/>
      </c>
      <c r="Y27" s="1657" t="str">
        <f t="shared" si="11"/>
        <v/>
      </c>
      <c r="Z27" s="1656" t="str">
        <f t="shared" si="12"/>
        <v/>
      </c>
      <c r="AA27" s="1656" t="str">
        <f t="shared" si="13"/>
        <v/>
      </c>
      <c r="AB27" s="1658" t="str">
        <f t="shared" si="14"/>
        <v/>
      </c>
    </row>
    <row r="28" spans="1:28" ht="10.5" customHeight="1">
      <c r="A28" s="2437" t="b">
        <f t="shared" si="1"/>
        <v>1</v>
      </c>
      <c r="B28" s="1618" t="str">
        <f>'Flows &amp; Isokinetics'!E29</f>
        <v/>
      </c>
      <c r="C28" s="1619" t="str">
        <f>'Flows &amp; Isokinetics'!F29</f>
        <v/>
      </c>
      <c r="D28" s="2434" t="str">
        <f t="shared" si="2"/>
        <v/>
      </c>
      <c r="E28" s="2434" t="str">
        <f t="shared" si="3"/>
        <v/>
      </c>
      <c r="F28" s="2445" t="str">
        <f t="shared" si="0"/>
        <v/>
      </c>
      <c r="G28" s="2434" t="str">
        <f t="shared" si="4"/>
        <v/>
      </c>
      <c r="H28" s="2434" t="str">
        <f t="shared" si="5"/>
        <v/>
      </c>
      <c r="I28" s="92"/>
      <c r="J28" s="92"/>
      <c r="K28" s="1634" t="str">
        <f t="shared" si="6"/>
        <v/>
      </c>
      <c r="L28" s="1634" t="str">
        <f>Velocity(PitotIDAft1,PitotCoeffAft1,AB28,E28,F28,StackTempAvgAft1,AbsPressAft1,MolecularWt)</f>
        <v/>
      </c>
      <c r="M28" s="1635" t="str">
        <f t="shared" ref="M28:M34" si="15">Velocity3D(L28,G28,H28)</f>
        <v/>
      </c>
      <c r="N28" s="2484"/>
      <c r="O28" s="2484"/>
      <c r="P28" s="1669" t="str">
        <f>'Flows &amp; Isokinetics'!E29</f>
        <v/>
      </c>
      <c r="Q28" s="2480"/>
      <c r="R28" s="2480"/>
      <c r="S28" s="2480"/>
      <c r="T28" s="2479"/>
      <c r="U28" s="2486"/>
      <c r="V28" s="1655" t="str">
        <f t="shared" si="8"/>
        <v/>
      </c>
      <c r="W28" s="1656" t="str">
        <f t="shared" si="9"/>
        <v/>
      </c>
      <c r="X28" s="1656" t="str">
        <f t="shared" si="10"/>
        <v/>
      </c>
      <c r="Y28" s="1657" t="str">
        <f t="shared" si="11"/>
        <v/>
      </c>
      <c r="Z28" s="1656" t="str">
        <f t="shared" si="12"/>
        <v/>
      </c>
      <c r="AA28" s="1656" t="str">
        <f t="shared" si="13"/>
        <v/>
      </c>
      <c r="AB28" s="1658" t="str">
        <f t="shared" si="14"/>
        <v/>
      </c>
    </row>
    <row r="29" spans="1:28" ht="10.5" customHeight="1">
      <c r="A29" s="2437" t="b">
        <f t="shared" si="1"/>
        <v>1</v>
      </c>
      <c r="B29" s="1618" t="str">
        <f>'Flows &amp; Isokinetics'!E30</f>
        <v/>
      </c>
      <c r="C29" s="1619" t="str">
        <f>'Flows &amp; Isokinetics'!F30</f>
        <v/>
      </c>
      <c r="D29" s="2434" t="str">
        <f t="shared" si="2"/>
        <v/>
      </c>
      <c r="E29" s="2434" t="str">
        <f t="shared" si="3"/>
        <v/>
      </c>
      <c r="F29" s="2445" t="str">
        <f t="shared" si="0"/>
        <v/>
      </c>
      <c r="G29" s="2434" t="str">
        <f t="shared" si="4"/>
        <v/>
      </c>
      <c r="H29" s="2434" t="str">
        <f t="shared" si="5"/>
        <v/>
      </c>
      <c r="I29" s="92"/>
      <c r="J29" s="92"/>
      <c r="K29" s="1634" t="str">
        <f t="shared" si="6"/>
        <v/>
      </c>
      <c r="L29" s="1634" t="str">
        <f>Velocity(PitotIDAft1,PitotCoeffAft1,AB29,E29,F29,StackTempAvgAft1,AbsPressAft1,MolecularWt)</f>
        <v/>
      </c>
      <c r="M29" s="1635" t="str">
        <f t="shared" si="15"/>
        <v/>
      </c>
      <c r="N29" s="2488"/>
      <c r="O29" s="2488"/>
      <c r="P29" s="1669" t="str">
        <f>'Flows &amp; Isokinetics'!E30</f>
        <v/>
      </c>
      <c r="Q29" s="2480"/>
      <c r="R29" s="2480"/>
      <c r="S29" s="2480"/>
      <c r="T29" s="2479"/>
      <c r="U29" s="2486"/>
      <c r="V29" s="1655" t="str">
        <f t="shared" si="8"/>
        <v/>
      </c>
      <c r="W29" s="1656" t="str">
        <f t="shared" si="9"/>
        <v/>
      </c>
      <c r="X29" s="1656" t="str">
        <f t="shared" si="10"/>
        <v/>
      </c>
      <c r="Y29" s="1657" t="str">
        <f t="shared" si="11"/>
        <v/>
      </c>
      <c r="Z29" s="1656" t="str">
        <f t="shared" si="12"/>
        <v/>
      </c>
      <c r="AA29" s="1656" t="str">
        <f t="shared" si="13"/>
        <v/>
      </c>
      <c r="AB29" s="1658" t="str">
        <f t="shared" si="14"/>
        <v/>
      </c>
    </row>
    <row r="30" spans="1:28" ht="10.5" customHeight="1">
      <c r="A30" s="2437" t="b">
        <f t="shared" si="1"/>
        <v>1</v>
      </c>
      <c r="B30" s="1618" t="str">
        <f>'Flows &amp; Isokinetics'!E31</f>
        <v/>
      </c>
      <c r="C30" s="1619" t="str">
        <f>'Flows &amp; Isokinetics'!F31</f>
        <v/>
      </c>
      <c r="D30" s="2434" t="str">
        <f t="shared" si="2"/>
        <v/>
      </c>
      <c r="E30" s="2434" t="str">
        <f t="shared" si="3"/>
        <v/>
      </c>
      <c r="F30" s="2445" t="str">
        <f t="shared" si="0"/>
        <v/>
      </c>
      <c r="G30" s="2434" t="str">
        <f t="shared" si="4"/>
        <v/>
      </c>
      <c r="H30" s="2434" t="str">
        <f t="shared" si="5"/>
        <v/>
      </c>
      <c r="I30" s="92"/>
      <c r="J30" s="92"/>
      <c r="K30" s="1634" t="str">
        <f t="shared" si="6"/>
        <v/>
      </c>
      <c r="L30" s="1634" t="str">
        <f>Velocity(PitotIDAft1,PitotCoeffAft1,AB30,E30,F30,StackTempAvgAft1,AbsPressAft1,MolecularWt)</f>
        <v/>
      </c>
      <c r="M30" s="1635" t="str">
        <f t="shared" si="15"/>
        <v/>
      </c>
      <c r="N30" s="2488"/>
      <c r="O30" s="2488"/>
      <c r="P30" s="1669" t="str">
        <f>'Flows &amp; Isokinetics'!E31</f>
        <v/>
      </c>
      <c r="Q30" s="2480"/>
      <c r="R30" s="2480"/>
      <c r="S30" s="2480"/>
      <c r="T30" s="2479"/>
      <c r="U30" s="2486"/>
      <c r="V30" s="1655" t="str">
        <f t="shared" si="8"/>
        <v/>
      </c>
      <c r="W30" s="1656" t="str">
        <f t="shared" si="9"/>
        <v/>
      </c>
      <c r="X30" s="1656" t="str">
        <f t="shared" si="10"/>
        <v/>
      </c>
      <c r="Y30" s="1657" t="str">
        <f t="shared" si="11"/>
        <v/>
      </c>
      <c r="Z30" s="1656" t="str">
        <f t="shared" si="12"/>
        <v/>
      </c>
      <c r="AA30" s="1656" t="str">
        <f t="shared" si="13"/>
        <v/>
      </c>
      <c r="AB30" s="1658" t="str">
        <f t="shared" si="14"/>
        <v/>
      </c>
    </row>
    <row r="31" spans="1:28" ht="10.5" customHeight="1">
      <c r="A31" s="2437" t="b">
        <f t="shared" si="1"/>
        <v>1</v>
      </c>
      <c r="B31" s="1618" t="str">
        <f>'Flows &amp; Isokinetics'!E32</f>
        <v/>
      </c>
      <c r="C31" s="1619" t="str">
        <f>'Flows &amp; Isokinetics'!F32</f>
        <v/>
      </c>
      <c r="D31" s="2434" t="str">
        <f t="shared" si="2"/>
        <v/>
      </c>
      <c r="E31" s="2434" t="str">
        <f t="shared" si="3"/>
        <v/>
      </c>
      <c r="F31" s="2445" t="str">
        <f t="shared" si="0"/>
        <v/>
      </c>
      <c r="G31" s="2434" t="str">
        <f t="shared" si="4"/>
        <v/>
      </c>
      <c r="H31" s="2434" t="str">
        <f t="shared" si="5"/>
        <v/>
      </c>
      <c r="I31" s="92"/>
      <c r="J31" s="92"/>
      <c r="K31" s="1634" t="str">
        <f t="shared" si="6"/>
        <v/>
      </c>
      <c r="L31" s="1634" t="str">
        <f>Velocity(PitotIDAft1,PitotCoeffAft1,AB31,E31,F31,StackTempAvgAft1,AbsPressAft1,MolecularWt)</f>
        <v/>
      </c>
      <c r="M31" s="1635" t="str">
        <f t="shared" si="15"/>
        <v/>
      </c>
      <c r="P31" s="1669" t="str">
        <f>'Flows &amp; Isokinetics'!E32</f>
        <v/>
      </c>
      <c r="Q31" s="2480"/>
      <c r="R31" s="2480"/>
      <c r="S31" s="2480"/>
      <c r="T31" s="2479"/>
      <c r="U31" s="2486"/>
      <c r="V31" s="1655" t="str">
        <f t="shared" si="8"/>
        <v/>
      </c>
      <c r="W31" s="1656" t="str">
        <f t="shared" si="9"/>
        <v/>
      </c>
      <c r="X31" s="1656" t="str">
        <f t="shared" si="10"/>
        <v/>
      </c>
      <c r="Y31" s="1657" t="str">
        <f t="shared" si="11"/>
        <v/>
      </c>
      <c r="Z31" s="1656" t="str">
        <f t="shared" si="12"/>
        <v/>
      </c>
      <c r="AA31" s="1656" t="str">
        <f t="shared" si="13"/>
        <v/>
      </c>
      <c r="AB31" s="1658" t="str">
        <f t="shared" si="14"/>
        <v/>
      </c>
    </row>
    <row r="32" spans="1:28" ht="10.5" customHeight="1">
      <c r="A32" s="2437" t="b">
        <f t="shared" si="1"/>
        <v>1</v>
      </c>
      <c r="B32" s="1618" t="str">
        <f>'Flows &amp; Isokinetics'!E33</f>
        <v/>
      </c>
      <c r="C32" s="1619" t="str">
        <f>'Flows &amp; Isokinetics'!F33</f>
        <v/>
      </c>
      <c r="D32" s="2434" t="str">
        <f t="shared" si="2"/>
        <v/>
      </c>
      <c r="E32" s="2434" t="str">
        <f t="shared" si="3"/>
        <v/>
      </c>
      <c r="F32" s="2445" t="str">
        <f t="shared" si="0"/>
        <v/>
      </c>
      <c r="G32" s="2434" t="str">
        <f t="shared" si="4"/>
        <v/>
      </c>
      <c r="H32" s="2434" t="str">
        <f t="shared" si="5"/>
        <v/>
      </c>
      <c r="I32" s="92"/>
      <c r="J32" s="92"/>
      <c r="K32" s="1634" t="str">
        <f t="shared" si="6"/>
        <v/>
      </c>
      <c r="L32" s="1634" t="str">
        <f>Velocity(PitotIDAft1,PitotCoeffAft1,AB32,E32,F32,StackTempAvgAft1,AbsPressAft1,MolecularWt)</f>
        <v/>
      </c>
      <c r="M32" s="1635" t="str">
        <f t="shared" si="15"/>
        <v/>
      </c>
      <c r="P32" s="1669" t="str">
        <f>'Flows &amp; Isokinetics'!E33</f>
        <v/>
      </c>
      <c r="Q32" s="2480"/>
      <c r="R32" s="2480"/>
      <c r="S32" s="2480"/>
      <c r="T32" s="2479"/>
      <c r="U32" s="2486"/>
      <c r="V32" s="1655" t="str">
        <f t="shared" si="8"/>
        <v/>
      </c>
      <c r="W32" s="1656" t="str">
        <f t="shared" si="9"/>
        <v/>
      </c>
      <c r="X32" s="1656" t="str">
        <f t="shared" si="10"/>
        <v/>
      </c>
      <c r="Y32" s="1657" t="str">
        <f t="shared" si="11"/>
        <v/>
      </c>
      <c r="Z32" s="1656" t="str">
        <f t="shared" si="12"/>
        <v/>
      </c>
      <c r="AA32" s="1656" t="str">
        <f t="shared" si="13"/>
        <v/>
      </c>
      <c r="AB32" s="1658" t="str">
        <f t="shared" si="14"/>
        <v/>
      </c>
    </row>
    <row r="33" spans="1:28" ht="10.5" customHeight="1">
      <c r="A33" s="2437" t="b">
        <f t="shared" si="1"/>
        <v>1</v>
      </c>
      <c r="B33" s="1618" t="str">
        <f>'Flows &amp; Isokinetics'!E34</f>
        <v/>
      </c>
      <c r="C33" s="1619" t="str">
        <f>'Flows &amp; Isokinetics'!F34</f>
        <v/>
      </c>
      <c r="D33" s="2434" t="str">
        <f t="shared" si="2"/>
        <v/>
      </c>
      <c r="E33" s="2434" t="str">
        <f t="shared" si="3"/>
        <v/>
      </c>
      <c r="F33" s="2445" t="str">
        <f t="shared" si="0"/>
        <v/>
      </c>
      <c r="G33" s="2434" t="str">
        <f t="shared" si="4"/>
        <v/>
      </c>
      <c r="H33" s="2434" t="str">
        <f t="shared" si="5"/>
        <v/>
      </c>
      <c r="I33" s="92"/>
      <c r="J33" s="92"/>
      <c r="K33" s="1634" t="str">
        <f t="shared" si="6"/>
        <v/>
      </c>
      <c r="L33" s="1634" t="str">
        <f>Velocity(PitotIDAft1,PitotCoeffAft1,AB33,E33,F33,StackTempAvgAft1,AbsPressAft1,MolecularWt)</f>
        <v/>
      </c>
      <c r="M33" s="1635" t="str">
        <f t="shared" si="15"/>
        <v/>
      </c>
      <c r="P33" s="1669" t="str">
        <f>'Flows &amp; Isokinetics'!E34</f>
        <v/>
      </c>
      <c r="Q33" s="2480"/>
      <c r="R33" s="2480"/>
      <c r="S33" s="2480"/>
      <c r="T33" s="2479"/>
      <c r="U33" s="2486"/>
      <c r="V33" s="1655" t="str">
        <f t="shared" si="8"/>
        <v/>
      </c>
      <c r="W33" s="1656" t="str">
        <f t="shared" si="9"/>
        <v/>
      </c>
      <c r="X33" s="1656" t="str">
        <f t="shared" si="10"/>
        <v/>
      </c>
      <c r="Y33" s="1657" t="str">
        <f t="shared" si="11"/>
        <v/>
      </c>
      <c r="Z33" s="1656" t="str">
        <f t="shared" si="12"/>
        <v/>
      </c>
      <c r="AA33" s="1656" t="str">
        <f t="shared" si="13"/>
        <v/>
      </c>
      <c r="AB33" s="1658" t="str">
        <f t="shared" si="14"/>
        <v/>
      </c>
    </row>
    <row r="34" spans="1:28" ht="10.5" customHeight="1">
      <c r="A34" s="2437" t="b">
        <f t="shared" si="1"/>
        <v>1</v>
      </c>
      <c r="B34" s="1618" t="str">
        <f>'Flows &amp; Isokinetics'!E35</f>
        <v/>
      </c>
      <c r="C34" s="1619" t="str">
        <f>'Flows &amp; Isokinetics'!F35</f>
        <v/>
      </c>
      <c r="D34" s="2434" t="str">
        <f t="shared" si="2"/>
        <v/>
      </c>
      <c r="E34" s="2434" t="str">
        <f t="shared" si="3"/>
        <v/>
      </c>
      <c r="F34" s="2445" t="str">
        <f t="shared" si="0"/>
        <v/>
      </c>
      <c r="G34" s="2434" t="str">
        <f t="shared" si="4"/>
        <v/>
      </c>
      <c r="H34" s="2434" t="str">
        <f t="shared" si="5"/>
        <v/>
      </c>
      <c r="I34" s="92"/>
      <c r="J34" s="92"/>
      <c r="K34" s="1634" t="str">
        <f t="shared" si="6"/>
        <v/>
      </c>
      <c r="L34" s="1634" t="str">
        <f>Velocity(PitotIDAft1,PitotCoeffAft1,AB34,E34,F34,StackTempAvgAft1,AbsPressAft1,MolecularWt)</f>
        <v/>
      </c>
      <c r="M34" s="1635" t="str">
        <f t="shared" si="15"/>
        <v/>
      </c>
      <c r="P34" s="1669" t="str">
        <f>'Flows &amp; Isokinetics'!E35</f>
        <v/>
      </c>
      <c r="Q34" s="2480"/>
      <c r="R34" s="2480"/>
      <c r="S34" s="2480"/>
      <c r="T34" s="2479"/>
      <c r="U34" s="2486"/>
      <c r="V34" s="1655" t="str">
        <f t="shared" si="8"/>
        <v/>
      </c>
      <c r="W34" s="1656" t="str">
        <f t="shared" si="9"/>
        <v/>
      </c>
      <c r="X34" s="1656" t="str">
        <f t="shared" si="10"/>
        <v/>
      </c>
      <c r="Y34" s="1657" t="str">
        <f t="shared" si="11"/>
        <v/>
      </c>
      <c r="Z34" s="1656" t="str">
        <f t="shared" si="12"/>
        <v/>
      </c>
      <c r="AA34" s="1656" t="str">
        <f t="shared" si="13"/>
        <v/>
      </c>
      <c r="AB34" s="1658" t="str">
        <f t="shared" si="14"/>
        <v/>
      </c>
    </row>
    <row r="35" spans="1:28" ht="10.5" customHeight="1">
      <c r="A35" s="2437" t="b">
        <f t="shared" si="1"/>
        <v>1</v>
      </c>
      <c r="B35" s="1618" t="str">
        <f>'Flows &amp; Isokinetics'!E36</f>
        <v/>
      </c>
      <c r="C35" s="1619" t="str">
        <f>'Flows &amp; Isokinetics'!F36</f>
        <v/>
      </c>
      <c r="D35" s="2434" t="str">
        <f t="shared" si="2"/>
        <v/>
      </c>
      <c r="E35" s="2434" t="str">
        <f t="shared" si="3"/>
        <v/>
      </c>
      <c r="F35" s="2445" t="str">
        <f t="shared" si="0"/>
        <v/>
      </c>
      <c r="G35" s="2434" t="str">
        <f t="shared" si="4"/>
        <v/>
      </c>
      <c r="H35" s="2434" t="str">
        <f t="shared" si="5"/>
        <v/>
      </c>
      <c r="I35" s="92"/>
      <c r="J35" s="92"/>
      <c r="K35" s="1634" t="str">
        <f t="shared" ref="K35:K73" si="16">IF(D35="","",SQRT(E35))</f>
        <v/>
      </c>
      <c r="L35" s="1634" t="str">
        <f>Velocity(PitotIDAft1,PitotCoeffAft1,AB35,E35,F35,StackTempAvgAft1,AbsPressAft1,MolecularWt)</f>
        <v/>
      </c>
      <c r="M35" s="1635" t="str">
        <f t="shared" ref="M35:M73" si="17">Velocity3D(L35,G35,H35)</f>
        <v/>
      </c>
      <c r="P35" s="1669" t="str">
        <f>'Flows &amp; Isokinetics'!E36</f>
        <v/>
      </c>
      <c r="Q35" s="2480"/>
      <c r="R35" s="2480"/>
      <c r="S35" s="2480"/>
      <c r="T35" s="2479"/>
      <c r="U35" s="2486"/>
      <c r="V35" s="1655" t="str">
        <f t="shared" si="8"/>
        <v/>
      </c>
      <c r="W35" s="1656" t="str">
        <f t="shared" si="9"/>
        <v/>
      </c>
      <c r="X35" s="1656" t="str">
        <f t="shared" si="10"/>
        <v/>
      </c>
      <c r="Y35" s="1657" t="str">
        <f t="shared" si="11"/>
        <v/>
      </c>
      <c r="Z35" s="1656" t="str">
        <f t="shared" si="12"/>
        <v/>
      </c>
      <c r="AA35" s="1656" t="str">
        <f t="shared" si="13"/>
        <v/>
      </c>
      <c r="AB35" s="1658" t="str">
        <f t="shared" si="14"/>
        <v/>
      </c>
    </row>
    <row r="36" spans="1:28" ht="10.5" customHeight="1">
      <c r="A36" s="2437" t="b">
        <f t="shared" si="1"/>
        <v>1</v>
      </c>
      <c r="B36" s="1618" t="str">
        <f>'Flows &amp; Isokinetics'!E37</f>
        <v/>
      </c>
      <c r="C36" s="1619" t="str">
        <f>'Flows &amp; Isokinetics'!F37</f>
        <v/>
      </c>
      <c r="D36" s="2434" t="str">
        <f t="shared" si="2"/>
        <v/>
      </c>
      <c r="E36" s="2434" t="str">
        <f t="shared" si="3"/>
        <v/>
      </c>
      <c r="F36" s="2445" t="str">
        <f t="shared" si="0"/>
        <v/>
      </c>
      <c r="G36" s="2434" t="str">
        <f t="shared" si="4"/>
        <v/>
      </c>
      <c r="H36" s="2434" t="str">
        <f t="shared" si="5"/>
        <v/>
      </c>
      <c r="I36" s="92"/>
      <c r="J36" s="92"/>
      <c r="K36" s="1634" t="str">
        <f t="shared" si="16"/>
        <v/>
      </c>
      <c r="L36" s="1634" t="str">
        <f>Velocity(PitotIDAft1,PitotCoeffAft1,AB36,E36,F36,StackTempAvgAft1,AbsPressAft1,MolecularWt)</f>
        <v/>
      </c>
      <c r="M36" s="1635" t="str">
        <f t="shared" si="17"/>
        <v/>
      </c>
      <c r="P36" s="1669" t="str">
        <f>'Flows &amp; Isokinetics'!E37</f>
        <v/>
      </c>
      <c r="Q36" s="2480"/>
      <c r="R36" s="2480"/>
      <c r="S36" s="2480"/>
      <c r="T36" s="2479"/>
      <c r="U36" s="2486"/>
      <c r="V36" s="1655" t="str">
        <f t="shared" si="8"/>
        <v/>
      </c>
      <c r="W36" s="1656" t="str">
        <f t="shared" si="9"/>
        <v/>
      </c>
      <c r="X36" s="1656" t="str">
        <f t="shared" si="10"/>
        <v/>
      </c>
      <c r="Y36" s="1657" t="str">
        <f t="shared" si="11"/>
        <v/>
      </c>
      <c r="Z36" s="1656" t="str">
        <f t="shared" si="12"/>
        <v/>
      </c>
      <c r="AA36" s="1656" t="str">
        <f t="shared" si="13"/>
        <v/>
      </c>
      <c r="AB36" s="1658" t="str">
        <f t="shared" si="14"/>
        <v/>
      </c>
    </row>
    <row r="37" spans="1:28" ht="10.5" customHeight="1">
      <c r="A37" s="2437" t="b">
        <f t="shared" si="1"/>
        <v>1</v>
      </c>
      <c r="B37" s="1618" t="str">
        <f>'Flows &amp; Isokinetics'!E38</f>
        <v/>
      </c>
      <c r="C37" s="1619" t="str">
        <f>'Flows &amp; Isokinetics'!F38</f>
        <v/>
      </c>
      <c r="D37" s="2434" t="str">
        <f t="shared" si="2"/>
        <v/>
      </c>
      <c r="E37" s="2434" t="str">
        <f t="shared" si="3"/>
        <v/>
      </c>
      <c r="F37" s="2445" t="str">
        <f t="shared" si="0"/>
        <v/>
      </c>
      <c r="G37" s="2434" t="str">
        <f t="shared" si="4"/>
        <v/>
      </c>
      <c r="H37" s="2434" t="str">
        <f t="shared" si="5"/>
        <v/>
      </c>
      <c r="I37" s="92"/>
      <c r="J37" s="92"/>
      <c r="K37" s="1634" t="str">
        <f t="shared" si="16"/>
        <v/>
      </c>
      <c r="L37" s="1634" t="str">
        <f>Velocity(PitotIDAft1,PitotCoeffAft1,AB37,E37,F37,StackTempAvgAft1,AbsPressAft1,MolecularWt)</f>
        <v/>
      </c>
      <c r="M37" s="1635" t="str">
        <f t="shared" si="17"/>
        <v/>
      </c>
      <c r="P37" s="1669" t="str">
        <f>'Flows &amp; Isokinetics'!E38</f>
        <v/>
      </c>
      <c r="Q37" s="2480"/>
      <c r="R37" s="2480"/>
      <c r="S37" s="2480"/>
      <c r="T37" s="2479"/>
      <c r="U37" s="2486"/>
      <c r="V37" s="1655" t="str">
        <f t="shared" si="8"/>
        <v/>
      </c>
      <c r="W37" s="1656" t="str">
        <f t="shared" si="9"/>
        <v/>
      </c>
      <c r="X37" s="1656" t="str">
        <f t="shared" si="10"/>
        <v/>
      </c>
      <c r="Y37" s="1657" t="str">
        <f t="shared" si="11"/>
        <v/>
      </c>
      <c r="Z37" s="1656" t="str">
        <f t="shared" si="12"/>
        <v/>
      </c>
      <c r="AA37" s="1656" t="str">
        <f t="shared" si="13"/>
        <v/>
      </c>
      <c r="AB37" s="1658" t="str">
        <f t="shared" si="14"/>
        <v/>
      </c>
    </row>
    <row r="38" spans="1:28" ht="10.5" hidden="1" customHeight="1" outlineLevel="1">
      <c r="A38" s="2437" t="b">
        <f t="shared" si="1"/>
        <v>1</v>
      </c>
      <c r="B38" s="1618" t="str">
        <f>'Flows &amp; Isokinetics'!E39</f>
        <v/>
      </c>
      <c r="C38" s="1619" t="str">
        <f>'Flows &amp; Isokinetics'!F39</f>
        <v/>
      </c>
      <c r="D38" s="2434" t="str">
        <f t="shared" si="2"/>
        <v/>
      </c>
      <c r="E38" s="2434" t="str">
        <f t="shared" si="3"/>
        <v/>
      </c>
      <c r="F38" s="2445" t="str">
        <f t="shared" si="0"/>
        <v/>
      </c>
      <c r="G38" s="2434" t="str">
        <f t="shared" si="4"/>
        <v/>
      </c>
      <c r="H38" s="2434" t="str">
        <f t="shared" si="5"/>
        <v/>
      </c>
      <c r="I38" s="92"/>
      <c r="J38" s="92"/>
      <c r="K38" s="1634" t="str">
        <f t="shared" si="16"/>
        <v/>
      </c>
      <c r="L38" s="1634" t="str">
        <f>Velocity(PitotIDAft1,PitotCoeffAft1,AB38,E38,F38,StackTempAvgAft1,AbsPressAft1,MolecularWt)</f>
        <v/>
      </c>
      <c r="M38" s="1635" t="str">
        <f t="shared" si="17"/>
        <v/>
      </c>
      <c r="P38" s="1669" t="str">
        <f>'Flows &amp; Isokinetics'!E39</f>
        <v/>
      </c>
      <c r="Q38" s="2480"/>
      <c r="R38" s="2480"/>
      <c r="S38" s="2480"/>
      <c r="T38" s="2479"/>
      <c r="U38" s="2486"/>
      <c r="V38" s="1655" t="str">
        <f t="shared" si="8"/>
        <v/>
      </c>
      <c r="W38" s="1656" t="str">
        <f t="shared" si="9"/>
        <v/>
      </c>
      <c r="X38" s="1656" t="str">
        <f t="shared" si="10"/>
        <v/>
      </c>
      <c r="Y38" s="1657" t="str">
        <f t="shared" si="11"/>
        <v/>
      </c>
      <c r="Z38" s="1656" t="str">
        <f t="shared" si="12"/>
        <v/>
      </c>
      <c r="AA38" s="1656" t="str">
        <f t="shared" si="13"/>
        <v/>
      </c>
      <c r="AB38" s="1658" t="str">
        <f t="shared" si="14"/>
        <v/>
      </c>
    </row>
    <row r="39" spans="1:28" ht="10.5" hidden="1" customHeight="1" outlineLevel="1">
      <c r="A39" s="2437" t="b">
        <f t="shared" si="1"/>
        <v>1</v>
      </c>
      <c r="B39" s="1618" t="str">
        <f>'Flows &amp; Isokinetics'!E40</f>
        <v/>
      </c>
      <c r="C39" s="1619" t="str">
        <f>'Flows &amp; Isokinetics'!F40</f>
        <v/>
      </c>
      <c r="D39" s="2434" t="str">
        <f t="shared" si="2"/>
        <v/>
      </c>
      <c r="E39" s="2434" t="str">
        <f t="shared" si="3"/>
        <v/>
      </c>
      <c r="F39" s="2445" t="str">
        <f t="shared" si="0"/>
        <v/>
      </c>
      <c r="G39" s="2434" t="str">
        <f t="shared" si="4"/>
        <v/>
      </c>
      <c r="H39" s="2434" t="str">
        <f t="shared" si="5"/>
        <v/>
      </c>
      <c r="I39" s="92"/>
      <c r="J39" s="92"/>
      <c r="K39" s="1634" t="str">
        <f t="shared" si="16"/>
        <v/>
      </c>
      <c r="L39" s="1634" t="str">
        <f>Velocity(PitotIDAft1,PitotCoeffAft1,AB39,E39,F39,StackTempAvgAft1,AbsPressAft1,MolecularWt)</f>
        <v/>
      </c>
      <c r="M39" s="1635" t="str">
        <f t="shared" si="17"/>
        <v/>
      </c>
      <c r="P39" s="1669" t="str">
        <f>'Flows &amp; Isokinetics'!E40</f>
        <v/>
      </c>
      <c r="Q39" s="2480"/>
      <c r="R39" s="2480"/>
      <c r="S39" s="2480"/>
      <c r="T39" s="2479"/>
      <c r="U39" s="2486"/>
      <c r="V39" s="1655" t="str">
        <f t="shared" si="8"/>
        <v/>
      </c>
      <c r="W39" s="1656" t="str">
        <f t="shared" si="9"/>
        <v/>
      </c>
      <c r="X39" s="1656" t="str">
        <f t="shared" si="10"/>
        <v/>
      </c>
      <c r="Y39" s="1657" t="str">
        <f t="shared" si="11"/>
        <v/>
      </c>
      <c r="Z39" s="1656" t="str">
        <f t="shared" si="12"/>
        <v/>
      </c>
      <c r="AA39" s="1656" t="str">
        <f t="shared" si="13"/>
        <v/>
      </c>
      <c r="AB39" s="1658" t="str">
        <f t="shared" si="14"/>
        <v/>
      </c>
    </row>
    <row r="40" spans="1:28" ht="10.5" hidden="1" customHeight="1" outlineLevel="1">
      <c r="A40" s="2437" t="b">
        <f t="shared" si="1"/>
        <v>1</v>
      </c>
      <c r="B40" s="1618" t="str">
        <f>'Flows &amp; Isokinetics'!E41</f>
        <v/>
      </c>
      <c r="C40" s="1619" t="str">
        <f>'Flows &amp; Isokinetics'!F41</f>
        <v/>
      </c>
      <c r="D40" s="2434" t="str">
        <f t="shared" si="2"/>
        <v/>
      </c>
      <c r="E40" s="2434" t="str">
        <f t="shared" si="3"/>
        <v/>
      </c>
      <c r="F40" s="2445" t="str">
        <f t="shared" si="0"/>
        <v/>
      </c>
      <c r="G40" s="2434" t="str">
        <f t="shared" si="4"/>
        <v/>
      </c>
      <c r="H40" s="2434" t="str">
        <f t="shared" si="5"/>
        <v/>
      </c>
      <c r="I40" s="92"/>
      <c r="J40" s="92"/>
      <c r="K40" s="1634" t="str">
        <f t="shared" si="16"/>
        <v/>
      </c>
      <c r="L40" s="1634" t="str">
        <f>Velocity(PitotIDAft1,PitotCoeffAft1,AB40,E40,F40,StackTempAvgAft1,AbsPressAft1,MolecularWt)</f>
        <v/>
      </c>
      <c r="M40" s="1635" t="str">
        <f t="shared" si="17"/>
        <v/>
      </c>
      <c r="P40" s="1669" t="str">
        <f>'Flows &amp; Isokinetics'!E41</f>
        <v/>
      </c>
      <c r="Q40" s="2480"/>
      <c r="R40" s="2480"/>
      <c r="S40" s="2480"/>
      <c r="T40" s="2479"/>
      <c r="U40" s="2486"/>
      <c r="V40" s="1655" t="str">
        <f t="shared" si="8"/>
        <v/>
      </c>
      <c r="W40" s="1656" t="str">
        <f t="shared" si="9"/>
        <v/>
      </c>
      <c r="X40" s="1656" t="str">
        <f t="shared" si="10"/>
        <v/>
      </c>
      <c r="Y40" s="1657" t="str">
        <f t="shared" si="11"/>
        <v/>
      </c>
      <c r="Z40" s="1656" t="str">
        <f t="shared" si="12"/>
        <v/>
      </c>
      <c r="AA40" s="1656" t="str">
        <f t="shared" si="13"/>
        <v/>
      </c>
      <c r="AB40" s="1658" t="str">
        <f t="shared" si="14"/>
        <v/>
      </c>
    </row>
    <row r="41" spans="1:28" ht="10.5" hidden="1" customHeight="1" outlineLevel="1">
      <c r="A41" s="2437" t="b">
        <f t="shared" si="1"/>
        <v>1</v>
      </c>
      <c r="B41" s="1618" t="str">
        <f>'Flows &amp; Isokinetics'!E42</f>
        <v/>
      </c>
      <c r="C41" s="1619" t="str">
        <f>'Flows &amp; Isokinetics'!F42</f>
        <v/>
      </c>
      <c r="D41" s="2434" t="str">
        <f t="shared" si="2"/>
        <v/>
      </c>
      <c r="E41" s="2434" t="str">
        <f t="shared" si="3"/>
        <v/>
      </c>
      <c r="F41" s="2445" t="str">
        <f t="shared" si="0"/>
        <v/>
      </c>
      <c r="G41" s="2434" t="str">
        <f t="shared" si="4"/>
        <v/>
      </c>
      <c r="H41" s="2434" t="str">
        <f t="shared" si="5"/>
        <v/>
      </c>
      <c r="I41" s="92"/>
      <c r="J41" s="92"/>
      <c r="K41" s="1634" t="str">
        <f t="shared" si="16"/>
        <v/>
      </c>
      <c r="L41" s="1634" t="str">
        <f>Velocity(PitotIDAft1,PitotCoeffAft1,AB41,E41,F41,StackTempAvgAft1,AbsPressAft1,MolecularWt)</f>
        <v/>
      </c>
      <c r="M41" s="1635" t="str">
        <f t="shared" si="17"/>
        <v/>
      </c>
      <c r="P41" s="1669" t="str">
        <f>'Flows &amp; Isokinetics'!E42</f>
        <v/>
      </c>
      <c r="Q41" s="2480"/>
      <c r="R41" s="2480"/>
      <c r="S41" s="2480"/>
      <c r="T41" s="2479"/>
      <c r="U41" s="2486"/>
      <c r="V41" s="1655" t="str">
        <f t="shared" si="8"/>
        <v/>
      </c>
      <c r="W41" s="1656" t="str">
        <f t="shared" si="9"/>
        <v/>
      </c>
      <c r="X41" s="1656" t="str">
        <f t="shared" si="10"/>
        <v/>
      </c>
      <c r="Y41" s="1657" t="str">
        <f t="shared" si="11"/>
        <v/>
      </c>
      <c r="Z41" s="1656" t="str">
        <f t="shared" si="12"/>
        <v/>
      </c>
      <c r="AA41" s="1656" t="str">
        <f t="shared" si="13"/>
        <v/>
      </c>
      <c r="AB41" s="1658" t="str">
        <f t="shared" si="14"/>
        <v/>
      </c>
    </row>
    <row r="42" spans="1:28" ht="10.5" hidden="1" customHeight="1" outlineLevel="1">
      <c r="A42" s="2437" t="b">
        <f t="shared" si="1"/>
        <v>1</v>
      </c>
      <c r="B42" s="1618" t="str">
        <f>'Flows &amp; Isokinetics'!E43</f>
        <v/>
      </c>
      <c r="C42" s="1619" t="str">
        <f>'Flows &amp; Isokinetics'!F43</f>
        <v/>
      </c>
      <c r="D42" s="2434" t="str">
        <f t="shared" si="2"/>
        <v/>
      </c>
      <c r="E42" s="2434" t="str">
        <f t="shared" si="3"/>
        <v/>
      </c>
      <c r="F42" s="2445" t="str">
        <f t="shared" si="0"/>
        <v/>
      </c>
      <c r="G42" s="2434" t="str">
        <f t="shared" si="4"/>
        <v/>
      </c>
      <c r="H42" s="2434" t="str">
        <f t="shared" si="5"/>
        <v/>
      </c>
      <c r="I42" s="92"/>
      <c r="J42" s="92"/>
      <c r="K42" s="1634" t="str">
        <f t="shared" si="16"/>
        <v/>
      </c>
      <c r="L42" s="1634" t="str">
        <f>Velocity(PitotIDAft1,PitotCoeffAft1,AB42,E42,F42,StackTempAvgAft1,AbsPressAft1,MolecularWt)</f>
        <v/>
      </c>
      <c r="M42" s="1635" t="str">
        <f t="shared" si="17"/>
        <v/>
      </c>
      <c r="P42" s="1669" t="str">
        <f>'Flows &amp; Isokinetics'!E43</f>
        <v/>
      </c>
      <c r="Q42" s="2480"/>
      <c r="R42" s="2480"/>
      <c r="S42" s="2480"/>
      <c r="T42" s="2479"/>
      <c r="U42" s="2486"/>
      <c r="V42" s="1655" t="str">
        <f t="shared" si="8"/>
        <v/>
      </c>
      <c r="W42" s="1656" t="str">
        <f t="shared" si="9"/>
        <v/>
      </c>
      <c r="X42" s="1656" t="str">
        <f t="shared" si="10"/>
        <v/>
      </c>
      <c r="Y42" s="1657" t="str">
        <f t="shared" si="11"/>
        <v/>
      </c>
      <c r="Z42" s="1656" t="str">
        <f t="shared" si="12"/>
        <v/>
      </c>
      <c r="AA42" s="1656" t="str">
        <f t="shared" si="13"/>
        <v/>
      </c>
      <c r="AB42" s="1658" t="str">
        <f t="shared" si="14"/>
        <v/>
      </c>
    </row>
    <row r="43" spans="1:28" ht="10.5" hidden="1" customHeight="1" outlineLevel="1">
      <c r="A43" s="2437" t="b">
        <f t="shared" si="1"/>
        <v>1</v>
      </c>
      <c r="B43" s="1618" t="str">
        <f>'Flows &amp; Isokinetics'!E44</f>
        <v/>
      </c>
      <c r="C43" s="1619" t="str">
        <f>'Flows &amp; Isokinetics'!F44</f>
        <v/>
      </c>
      <c r="D43" s="2434" t="str">
        <f t="shared" si="2"/>
        <v/>
      </c>
      <c r="E43" s="2434" t="str">
        <f t="shared" si="3"/>
        <v/>
      </c>
      <c r="F43" s="2445" t="str">
        <f t="shared" si="0"/>
        <v/>
      </c>
      <c r="G43" s="2434" t="str">
        <f t="shared" si="4"/>
        <v/>
      </c>
      <c r="H43" s="2434" t="str">
        <f t="shared" si="5"/>
        <v/>
      </c>
      <c r="I43" s="92"/>
      <c r="J43" s="92"/>
      <c r="K43" s="1634" t="str">
        <f t="shared" si="16"/>
        <v/>
      </c>
      <c r="L43" s="1634" t="str">
        <f>Velocity(PitotIDAft1,PitotCoeffAft1,AB43,E43,F43,StackTempAvgAft1,AbsPressAft1,MolecularWt)</f>
        <v/>
      </c>
      <c r="M43" s="1635" t="str">
        <f t="shared" si="17"/>
        <v/>
      </c>
      <c r="P43" s="1669" t="str">
        <f>'Flows &amp; Isokinetics'!E44</f>
        <v/>
      </c>
      <c r="Q43" s="2480"/>
      <c r="R43" s="2480"/>
      <c r="S43" s="2480"/>
      <c r="T43" s="2479"/>
      <c r="U43" s="2486"/>
      <c r="V43" s="1655" t="str">
        <f t="shared" si="8"/>
        <v/>
      </c>
      <c r="W43" s="1656" t="str">
        <f t="shared" si="9"/>
        <v/>
      </c>
      <c r="X43" s="1656" t="str">
        <f t="shared" si="10"/>
        <v/>
      </c>
      <c r="Y43" s="1657" t="str">
        <f t="shared" si="11"/>
        <v/>
      </c>
      <c r="Z43" s="1656" t="str">
        <f t="shared" si="12"/>
        <v/>
      </c>
      <c r="AA43" s="1656" t="str">
        <f t="shared" si="13"/>
        <v/>
      </c>
      <c r="AB43" s="1658" t="str">
        <f t="shared" si="14"/>
        <v/>
      </c>
    </row>
    <row r="44" spans="1:28" ht="10.5" hidden="1" customHeight="1" outlineLevel="1">
      <c r="A44" s="2437" t="b">
        <f t="shared" si="1"/>
        <v>1</v>
      </c>
      <c r="B44" s="1618" t="str">
        <f>'Flows &amp; Isokinetics'!E45</f>
        <v/>
      </c>
      <c r="C44" s="1619" t="str">
        <f>'Flows &amp; Isokinetics'!F45</f>
        <v/>
      </c>
      <c r="D44" s="2434" t="str">
        <f t="shared" si="2"/>
        <v/>
      </c>
      <c r="E44" s="2434" t="str">
        <f t="shared" si="3"/>
        <v/>
      </c>
      <c r="F44" s="2445" t="str">
        <f t="shared" si="0"/>
        <v/>
      </c>
      <c r="G44" s="2434" t="str">
        <f t="shared" si="4"/>
        <v/>
      </c>
      <c r="H44" s="2434" t="str">
        <f t="shared" si="5"/>
        <v/>
      </c>
      <c r="I44" s="92"/>
      <c r="J44" s="92"/>
      <c r="K44" s="1634" t="str">
        <f t="shared" si="16"/>
        <v/>
      </c>
      <c r="L44" s="1634" t="str">
        <f>Velocity(PitotIDAft1,PitotCoeffAft1,AB44,E44,F44,StackTempAvgAft1,AbsPressAft1,MolecularWt)</f>
        <v/>
      </c>
      <c r="M44" s="1635" t="str">
        <f t="shared" si="17"/>
        <v/>
      </c>
      <c r="P44" s="1669" t="str">
        <f>'Flows &amp; Isokinetics'!E45</f>
        <v/>
      </c>
      <c r="Q44" s="2480"/>
      <c r="R44" s="2480"/>
      <c r="S44" s="2480"/>
      <c r="T44" s="2479"/>
      <c r="U44" s="2486"/>
      <c r="V44" s="1655" t="str">
        <f t="shared" si="8"/>
        <v/>
      </c>
      <c r="W44" s="1656" t="str">
        <f t="shared" si="9"/>
        <v/>
      </c>
      <c r="X44" s="1656" t="str">
        <f t="shared" si="10"/>
        <v/>
      </c>
      <c r="Y44" s="1657" t="str">
        <f t="shared" si="11"/>
        <v/>
      </c>
      <c r="Z44" s="1656" t="str">
        <f t="shared" si="12"/>
        <v/>
      </c>
      <c r="AA44" s="1656" t="str">
        <f t="shared" si="13"/>
        <v/>
      </c>
      <c r="AB44" s="1658" t="str">
        <f t="shared" si="14"/>
        <v/>
      </c>
    </row>
    <row r="45" spans="1:28" ht="10.5" hidden="1" customHeight="1" outlineLevel="1">
      <c r="A45" s="2437" t="b">
        <f t="shared" si="1"/>
        <v>1</v>
      </c>
      <c r="B45" s="1618" t="str">
        <f>'Flows &amp; Isokinetics'!E46</f>
        <v/>
      </c>
      <c r="C45" s="1619" t="str">
        <f>'Flows &amp; Isokinetics'!F46</f>
        <v/>
      </c>
      <c r="D45" s="2434" t="str">
        <f t="shared" si="2"/>
        <v/>
      </c>
      <c r="E45" s="2434" t="str">
        <f t="shared" si="3"/>
        <v/>
      </c>
      <c r="F45" s="2445" t="str">
        <f t="shared" si="0"/>
        <v/>
      </c>
      <c r="G45" s="2434" t="str">
        <f t="shared" si="4"/>
        <v/>
      </c>
      <c r="H45" s="2434" t="str">
        <f t="shared" si="5"/>
        <v/>
      </c>
      <c r="I45" s="92"/>
      <c r="J45" s="92"/>
      <c r="K45" s="1634" t="str">
        <f t="shared" si="16"/>
        <v/>
      </c>
      <c r="L45" s="1634" t="str">
        <f>Velocity(PitotIDAft1,PitotCoeffAft1,AB45,E45,F45,StackTempAvgAft1,AbsPressAft1,MolecularWt)</f>
        <v/>
      </c>
      <c r="M45" s="1635" t="str">
        <f t="shared" si="17"/>
        <v/>
      </c>
      <c r="P45" s="1669" t="str">
        <f>'Flows &amp; Isokinetics'!E46</f>
        <v/>
      </c>
      <c r="Q45" s="2480"/>
      <c r="R45" s="2480"/>
      <c r="S45" s="2480"/>
      <c r="T45" s="2479"/>
      <c r="U45" s="2486"/>
      <c r="V45" s="1655" t="str">
        <f t="shared" si="8"/>
        <v/>
      </c>
      <c r="W45" s="1656" t="str">
        <f t="shared" si="9"/>
        <v/>
      </c>
      <c r="X45" s="1656" t="str">
        <f t="shared" si="10"/>
        <v/>
      </c>
      <c r="Y45" s="1657" t="str">
        <f t="shared" si="11"/>
        <v/>
      </c>
      <c r="Z45" s="1656" t="str">
        <f t="shared" si="12"/>
        <v/>
      </c>
      <c r="AA45" s="1656" t="str">
        <f t="shared" si="13"/>
        <v/>
      </c>
      <c r="AB45" s="1658" t="str">
        <f t="shared" si="14"/>
        <v/>
      </c>
    </row>
    <row r="46" spans="1:28" ht="10.5" hidden="1" customHeight="1" outlineLevel="1">
      <c r="A46" s="2437" t="b">
        <f t="shared" si="1"/>
        <v>1</v>
      </c>
      <c r="B46" s="1618" t="str">
        <f>'Flows &amp; Isokinetics'!E47</f>
        <v/>
      </c>
      <c r="C46" s="1619" t="str">
        <f>'Flows &amp; Isokinetics'!F47</f>
        <v/>
      </c>
      <c r="D46" s="2434" t="str">
        <f t="shared" si="2"/>
        <v/>
      </c>
      <c r="E46" s="2434" t="str">
        <f t="shared" si="3"/>
        <v/>
      </c>
      <c r="F46" s="2445" t="str">
        <f t="shared" ref="F46:F73" si="18">IF(ISNUMBER(D46),IF(ISNUMBER(StackTempAft1),StackTempAft1,IF(V46="","",V46)),"")</f>
        <v/>
      </c>
      <c r="G46" s="2434" t="str">
        <f t="shared" si="4"/>
        <v/>
      </c>
      <c r="H46" s="2434" t="str">
        <f t="shared" si="5"/>
        <v/>
      </c>
      <c r="I46" s="92"/>
      <c r="J46" s="92"/>
      <c r="K46" s="1634" t="str">
        <f t="shared" si="16"/>
        <v/>
      </c>
      <c r="L46" s="1634" t="str">
        <f>Velocity(PitotIDAft1,PitotCoeffAft1,AB46,E46,F46,StackTempAvgAft1,AbsPressAft1,MolecularWt)</f>
        <v/>
      </c>
      <c r="M46" s="1635" t="str">
        <f t="shared" si="17"/>
        <v/>
      </c>
      <c r="P46" s="1669" t="str">
        <f>'Flows &amp; Isokinetics'!E47</f>
        <v/>
      </c>
      <c r="Q46" s="2480"/>
      <c r="R46" s="2480"/>
      <c r="S46" s="2480"/>
      <c r="T46" s="2479"/>
      <c r="U46" s="2486"/>
      <c r="V46" s="1655" t="str">
        <f t="shared" si="8"/>
        <v/>
      </c>
      <c r="W46" s="1656" t="str">
        <f t="shared" si="9"/>
        <v/>
      </c>
      <c r="X46" s="1656" t="str">
        <f t="shared" si="10"/>
        <v/>
      </c>
      <c r="Y46" s="1657" t="str">
        <f t="shared" si="11"/>
        <v/>
      </c>
      <c r="Z46" s="1656" t="str">
        <f t="shared" si="12"/>
        <v/>
      </c>
      <c r="AA46" s="1656" t="str">
        <f t="shared" si="13"/>
        <v/>
      </c>
      <c r="AB46" s="1658" t="str">
        <f t="shared" si="14"/>
        <v/>
      </c>
    </row>
    <row r="47" spans="1:28" ht="10.5" hidden="1" customHeight="1" outlineLevel="1">
      <c r="A47" s="2437" t="b">
        <f t="shared" si="1"/>
        <v>1</v>
      </c>
      <c r="B47" s="1618" t="str">
        <f>'Flows &amp; Isokinetics'!E48</f>
        <v/>
      </c>
      <c r="C47" s="1619" t="str">
        <f>'Flows &amp; Isokinetics'!F48</f>
        <v/>
      </c>
      <c r="D47" s="2434" t="str">
        <f t="shared" si="2"/>
        <v/>
      </c>
      <c r="E47" s="2434" t="str">
        <f t="shared" si="3"/>
        <v/>
      </c>
      <c r="F47" s="2445" t="str">
        <f t="shared" si="18"/>
        <v/>
      </c>
      <c r="G47" s="2434" t="str">
        <f t="shared" si="4"/>
        <v/>
      </c>
      <c r="H47" s="2434" t="str">
        <f t="shared" si="5"/>
        <v/>
      </c>
      <c r="I47" s="92"/>
      <c r="J47" s="92"/>
      <c r="K47" s="1634" t="str">
        <f t="shared" si="16"/>
        <v/>
      </c>
      <c r="L47" s="1634" t="str">
        <f>Velocity(PitotIDAft1,PitotCoeffAft1,AB47,E47,F47,StackTempAvgAft1,AbsPressAft1,MolecularWt)</f>
        <v/>
      </c>
      <c r="M47" s="1635" t="str">
        <f t="shared" si="17"/>
        <v/>
      </c>
      <c r="P47" s="1669" t="str">
        <f>'Flows &amp; Isokinetics'!E48</f>
        <v/>
      </c>
      <c r="Q47" s="2480"/>
      <c r="R47" s="2480"/>
      <c r="S47" s="2480"/>
      <c r="T47" s="2479"/>
      <c r="U47" s="2486"/>
      <c r="V47" s="1655" t="str">
        <f t="shared" si="8"/>
        <v/>
      </c>
      <c r="W47" s="1656" t="str">
        <f t="shared" si="9"/>
        <v/>
      </c>
      <c r="X47" s="1656" t="str">
        <f t="shared" si="10"/>
        <v/>
      </c>
      <c r="Y47" s="1657" t="str">
        <f t="shared" si="11"/>
        <v/>
      </c>
      <c r="Z47" s="1656" t="str">
        <f t="shared" si="12"/>
        <v/>
      </c>
      <c r="AA47" s="1656" t="str">
        <f t="shared" si="13"/>
        <v/>
      </c>
      <c r="AB47" s="1658" t="str">
        <f t="shared" si="14"/>
        <v/>
      </c>
    </row>
    <row r="48" spans="1:28" ht="10.5" hidden="1" customHeight="1" outlineLevel="1">
      <c r="A48" s="2437" t="b">
        <f t="shared" si="1"/>
        <v>1</v>
      </c>
      <c r="B48" s="1618" t="str">
        <f>'Flows &amp; Isokinetics'!E49</f>
        <v/>
      </c>
      <c r="C48" s="1619" t="str">
        <f>'Flows &amp; Isokinetics'!F49</f>
        <v/>
      </c>
      <c r="D48" s="2434" t="str">
        <f t="shared" si="2"/>
        <v/>
      </c>
      <c r="E48" s="2434" t="str">
        <f t="shared" si="3"/>
        <v/>
      </c>
      <c r="F48" s="2445" t="str">
        <f t="shared" si="18"/>
        <v/>
      </c>
      <c r="G48" s="2434" t="str">
        <f t="shared" si="4"/>
        <v/>
      </c>
      <c r="H48" s="2434" t="str">
        <f t="shared" si="5"/>
        <v/>
      </c>
      <c r="I48" s="92"/>
      <c r="J48" s="92"/>
      <c r="K48" s="1634" t="str">
        <f t="shared" si="16"/>
        <v/>
      </c>
      <c r="L48" s="1634" t="str">
        <f>Velocity(PitotIDAft1,PitotCoeffAft1,AB48,E48,F48,StackTempAvgAft1,AbsPressAft1,MolecularWt)</f>
        <v/>
      </c>
      <c r="M48" s="1635" t="str">
        <f t="shared" si="17"/>
        <v/>
      </c>
      <c r="P48" s="1669" t="str">
        <f>'Flows &amp; Isokinetics'!E49</f>
        <v/>
      </c>
      <c r="Q48" s="2480"/>
      <c r="R48" s="2480"/>
      <c r="S48" s="2480"/>
      <c r="T48" s="2479"/>
      <c r="U48" s="2486"/>
      <c r="V48" s="1655" t="str">
        <f t="shared" si="8"/>
        <v/>
      </c>
      <c r="W48" s="1656" t="str">
        <f t="shared" si="9"/>
        <v/>
      </c>
      <c r="X48" s="1656" t="str">
        <f t="shared" si="10"/>
        <v/>
      </c>
      <c r="Y48" s="1657" t="str">
        <f t="shared" si="11"/>
        <v/>
      </c>
      <c r="Z48" s="1656" t="str">
        <f t="shared" si="12"/>
        <v/>
      </c>
      <c r="AA48" s="1656" t="str">
        <f t="shared" si="13"/>
        <v/>
      </c>
      <c r="AB48" s="1658" t="str">
        <f t="shared" si="14"/>
        <v/>
      </c>
    </row>
    <row r="49" spans="1:28" ht="10.5" hidden="1" customHeight="1" outlineLevel="1">
      <c r="A49" s="2437" t="b">
        <f t="shared" si="1"/>
        <v>1</v>
      </c>
      <c r="B49" s="1618" t="str">
        <f>'Flows &amp; Isokinetics'!E50</f>
        <v/>
      </c>
      <c r="C49" s="1619" t="str">
        <f>'Flows &amp; Isokinetics'!F50</f>
        <v/>
      </c>
      <c r="D49" s="2434" t="str">
        <f t="shared" si="2"/>
        <v/>
      </c>
      <c r="E49" s="2434" t="str">
        <f t="shared" si="3"/>
        <v/>
      </c>
      <c r="F49" s="2445" t="str">
        <f t="shared" si="18"/>
        <v/>
      </c>
      <c r="G49" s="2434" t="str">
        <f t="shared" si="4"/>
        <v/>
      </c>
      <c r="H49" s="2434" t="str">
        <f t="shared" si="5"/>
        <v/>
      </c>
      <c r="I49" s="92"/>
      <c r="J49" s="92"/>
      <c r="K49" s="1634" t="str">
        <f t="shared" si="16"/>
        <v/>
      </c>
      <c r="L49" s="1634" t="str">
        <f>Velocity(PitotIDAft1,PitotCoeffAft1,AB49,E49,F49,StackTempAvgAft1,AbsPressAft1,MolecularWt)</f>
        <v/>
      </c>
      <c r="M49" s="1635" t="str">
        <f t="shared" si="17"/>
        <v/>
      </c>
      <c r="P49" s="1669" t="str">
        <f>'Flows &amp; Isokinetics'!E50</f>
        <v/>
      </c>
      <c r="Q49" s="2480"/>
      <c r="R49" s="2480"/>
      <c r="S49" s="2480"/>
      <c r="T49" s="2479"/>
      <c r="U49" s="2486"/>
      <c r="V49" s="1655" t="str">
        <f t="shared" si="8"/>
        <v/>
      </c>
      <c r="W49" s="1656" t="str">
        <f t="shared" si="9"/>
        <v/>
      </c>
      <c r="X49" s="1656" t="str">
        <f t="shared" si="10"/>
        <v/>
      </c>
      <c r="Y49" s="1657" t="str">
        <f t="shared" si="11"/>
        <v/>
      </c>
      <c r="Z49" s="1656" t="str">
        <f t="shared" si="12"/>
        <v/>
      </c>
      <c r="AA49" s="1656" t="str">
        <f t="shared" si="13"/>
        <v/>
      </c>
      <c r="AB49" s="1658" t="str">
        <f t="shared" si="14"/>
        <v/>
      </c>
    </row>
    <row r="50" spans="1:28" ht="10.5" hidden="1" customHeight="1" outlineLevel="1">
      <c r="A50" s="2437" t="b">
        <f t="shared" si="1"/>
        <v>1</v>
      </c>
      <c r="B50" s="1618" t="str">
        <f>'Flows &amp; Isokinetics'!E51</f>
        <v/>
      </c>
      <c r="C50" s="1619" t="str">
        <f>'Flows &amp; Isokinetics'!F51</f>
        <v/>
      </c>
      <c r="D50" s="2434" t="str">
        <f t="shared" si="2"/>
        <v/>
      </c>
      <c r="E50" s="2434" t="str">
        <f t="shared" si="3"/>
        <v/>
      </c>
      <c r="F50" s="2445" t="str">
        <f t="shared" si="18"/>
        <v/>
      </c>
      <c r="G50" s="2434" t="str">
        <f t="shared" si="4"/>
        <v/>
      </c>
      <c r="H50" s="2434" t="str">
        <f t="shared" si="5"/>
        <v/>
      </c>
      <c r="I50" s="92"/>
      <c r="J50" s="92"/>
      <c r="K50" s="1634" t="str">
        <f t="shared" si="16"/>
        <v/>
      </c>
      <c r="L50" s="1634" t="str">
        <f>Velocity(PitotIDAft1,PitotCoeffAft1,AB50,E50,F50,StackTempAvgAft1,AbsPressAft1,MolecularWt)</f>
        <v/>
      </c>
      <c r="M50" s="1635" t="str">
        <f t="shared" si="17"/>
        <v/>
      </c>
      <c r="P50" s="1669" t="str">
        <f>'Flows &amp; Isokinetics'!E51</f>
        <v/>
      </c>
      <c r="Q50" s="2480"/>
      <c r="R50" s="2480"/>
      <c r="S50" s="2480"/>
      <c r="T50" s="2479"/>
      <c r="U50" s="2486"/>
      <c r="V50" s="1655" t="str">
        <f t="shared" si="8"/>
        <v/>
      </c>
      <c r="W50" s="1656" t="str">
        <f t="shared" si="9"/>
        <v/>
      </c>
      <c r="X50" s="1656" t="str">
        <f t="shared" si="10"/>
        <v/>
      </c>
      <c r="Y50" s="1657" t="str">
        <f t="shared" si="11"/>
        <v/>
      </c>
      <c r="Z50" s="1656" t="str">
        <f t="shared" si="12"/>
        <v/>
      </c>
      <c r="AA50" s="1656" t="str">
        <f t="shared" si="13"/>
        <v/>
      </c>
      <c r="AB50" s="1658" t="str">
        <f t="shared" si="14"/>
        <v/>
      </c>
    </row>
    <row r="51" spans="1:28" ht="10.5" hidden="1" customHeight="1" outlineLevel="1">
      <c r="A51" s="2437" t="b">
        <f t="shared" si="1"/>
        <v>1</v>
      </c>
      <c r="B51" s="1618" t="str">
        <f>'Flows &amp; Isokinetics'!E52</f>
        <v/>
      </c>
      <c r="C51" s="1619" t="str">
        <f>'Flows &amp; Isokinetics'!F52</f>
        <v/>
      </c>
      <c r="D51" s="2434" t="str">
        <f t="shared" si="2"/>
        <v/>
      </c>
      <c r="E51" s="2434" t="str">
        <f t="shared" si="3"/>
        <v/>
      </c>
      <c r="F51" s="2445" t="str">
        <f t="shared" si="18"/>
        <v/>
      </c>
      <c r="G51" s="2434" t="str">
        <f t="shared" si="4"/>
        <v/>
      </c>
      <c r="H51" s="2434" t="str">
        <f t="shared" si="5"/>
        <v/>
      </c>
      <c r="I51" s="92"/>
      <c r="J51" s="92"/>
      <c r="K51" s="1634" t="str">
        <f t="shared" si="16"/>
        <v/>
      </c>
      <c r="L51" s="1634" t="str">
        <f>Velocity(PitotIDAft1,PitotCoeffAft1,AB51,E51,F51,StackTempAvgAft1,AbsPressAft1,MolecularWt)</f>
        <v/>
      </c>
      <c r="M51" s="1635" t="str">
        <f t="shared" si="17"/>
        <v/>
      </c>
      <c r="P51" s="1669" t="str">
        <f>'Flows &amp; Isokinetics'!E52</f>
        <v/>
      </c>
      <c r="Q51" s="2480"/>
      <c r="R51" s="2480"/>
      <c r="S51" s="2480"/>
      <c r="T51" s="2479"/>
      <c r="U51" s="2486"/>
      <c r="V51" s="1655" t="str">
        <f t="shared" si="8"/>
        <v/>
      </c>
      <c r="W51" s="1656" t="str">
        <f t="shared" si="9"/>
        <v/>
      </c>
      <c r="X51" s="1656" t="str">
        <f t="shared" si="10"/>
        <v/>
      </c>
      <c r="Y51" s="1657" t="str">
        <f t="shared" si="11"/>
        <v/>
      </c>
      <c r="Z51" s="1656" t="str">
        <f t="shared" si="12"/>
        <v/>
      </c>
      <c r="AA51" s="1656" t="str">
        <f t="shared" si="13"/>
        <v/>
      </c>
      <c r="AB51" s="1658" t="str">
        <f t="shared" si="14"/>
        <v/>
      </c>
    </row>
    <row r="52" spans="1:28" ht="10.5" hidden="1" customHeight="1" outlineLevel="1">
      <c r="A52" s="2437" t="b">
        <f t="shared" si="1"/>
        <v>1</v>
      </c>
      <c r="B52" s="1618" t="str">
        <f>'Flows &amp; Isokinetics'!E53</f>
        <v/>
      </c>
      <c r="C52" s="1619" t="str">
        <f>'Flows &amp; Isokinetics'!F53</f>
        <v/>
      </c>
      <c r="D52" s="2434" t="str">
        <f t="shared" si="2"/>
        <v/>
      </c>
      <c r="E52" s="2434" t="str">
        <f t="shared" si="3"/>
        <v/>
      </c>
      <c r="F52" s="2445" t="str">
        <f t="shared" si="18"/>
        <v/>
      </c>
      <c r="G52" s="2434" t="str">
        <f t="shared" si="4"/>
        <v/>
      </c>
      <c r="H52" s="2434" t="str">
        <f t="shared" si="5"/>
        <v/>
      </c>
      <c r="I52" s="92"/>
      <c r="J52" s="92"/>
      <c r="K52" s="1634" t="str">
        <f t="shared" si="16"/>
        <v/>
      </c>
      <c r="L52" s="1634" t="str">
        <f>Velocity(PitotIDAft1,PitotCoeffAft1,AB52,E52,F52,StackTempAvgAft1,AbsPressAft1,MolecularWt)</f>
        <v/>
      </c>
      <c r="M52" s="1635" t="str">
        <f t="shared" si="17"/>
        <v/>
      </c>
      <c r="P52" s="1669" t="str">
        <f>'Flows &amp; Isokinetics'!E53</f>
        <v/>
      </c>
      <c r="Q52" s="2480"/>
      <c r="R52" s="2480"/>
      <c r="S52" s="2480"/>
      <c r="T52" s="2479"/>
      <c r="U52" s="2486"/>
      <c r="V52" s="1655" t="str">
        <f t="shared" si="8"/>
        <v/>
      </c>
      <c r="W52" s="1656" t="str">
        <f t="shared" si="9"/>
        <v/>
      </c>
      <c r="X52" s="1656" t="str">
        <f t="shared" si="10"/>
        <v/>
      </c>
      <c r="Y52" s="1657" t="str">
        <f t="shared" si="11"/>
        <v/>
      </c>
      <c r="Z52" s="1656" t="str">
        <f t="shared" si="12"/>
        <v/>
      </c>
      <c r="AA52" s="1656" t="str">
        <f t="shared" si="13"/>
        <v/>
      </c>
      <c r="AB52" s="1658" t="str">
        <f t="shared" si="14"/>
        <v/>
      </c>
    </row>
    <row r="53" spans="1:28" ht="10.5" hidden="1" customHeight="1" outlineLevel="1">
      <c r="A53" s="2437" t="b">
        <f t="shared" si="1"/>
        <v>1</v>
      </c>
      <c r="B53" s="1618" t="str">
        <f>'Flows &amp; Isokinetics'!E54</f>
        <v/>
      </c>
      <c r="C53" s="1619" t="str">
        <f>'Flows &amp; Isokinetics'!F54</f>
        <v/>
      </c>
      <c r="D53" s="2434" t="str">
        <f t="shared" si="2"/>
        <v/>
      </c>
      <c r="E53" s="2434" t="str">
        <f t="shared" si="3"/>
        <v/>
      </c>
      <c r="F53" s="2445" t="str">
        <f t="shared" si="18"/>
        <v/>
      </c>
      <c r="G53" s="2434" t="str">
        <f t="shared" si="4"/>
        <v/>
      </c>
      <c r="H53" s="2434" t="str">
        <f t="shared" si="5"/>
        <v/>
      </c>
      <c r="I53" s="92"/>
      <c r="J53" s="92"/>
      <c r="K53" s="1634" t="str">
        <f t="shared" si="16"/>
        <v/>
      </c>
      <c r="L53" s="1634" t="str">
        <f>Velocity(PitotIDAft1,PitotCoeffAft1,AB53,E53,F53,StackTempAvgAft1,AbsPressAft1,MolecularWt)</f>
        <v/>
      </c>
      <c r="M53" s="1635" t="str">
        <f t="shared" si="17"/>
        <v/>
      </c>
      <c r="P53" s="1669" t="str">
        <f>'Flows &amp; Isokinetics'!E54</f>
        <v/>
      </c>
      <c r="Q53" s="2480"/>
      <c r="R53" s="2480"/>
      <c r="S53" s="2480"/>
      <c r="T53" s="2479"/>
      <c r="U53" s="2486"/>
      <c r="V53" s="1655" t="str">
        <f t="shared" si="8"/>
        <v/>
      </c>
      <c r="W53" s="1656" t="str">
        <f t="shared" si="9"/>
        <v/>
      </c>
      <c r="X53" s="1656" t="str">
        <f t="shared" si="10"/>
        <v/>
      </c>
      <c r="Y53" s="1657" t="str">
        <f t="shared" si="11"/>
        <v/>
      </c>
      <c r="Z53" s="1656" t="str">
        <f t="shared" si="12"/>
        <v/>
      </c>
      <c r="AA53" s="1656" t="str">
        <f t="shared" si="13"/>
        <v/>
      </c>
      <c r="AB53" s="1658" t="str">
        <f t="shared" si="14"/>
        <v/>
      </c>
    </row>
    <row r="54" spans="1:28" ht="10.5" hidden="1" customHeight="1" outlineLevel="1">
      <c r="A54" s="2437" t="b">
        <f t="shared" si="1"/>
        <v>1</v>
      </c>
      <c r="B54" s="1618" t="str">
        <f>'Flows &amp; Isokinetics'!E55</f>
        <v/>
      </c>
      <c r="C54" s="1619" t="str">
        <f>'Flows &amp; Isokinetics'!F55</f>
        <v/>
      </c>
      <c r="D54" s="2434" t="str">
        <f t="shared" si="2"/>
        <v/>
      </c>
      <c r="E54" s="2434" t="str">
        <f t="shared" si="3"/>
        <v/>
      </c>
      <c r="F54" s="2445" t="str">
        <f t="shared" si="18"/>
        <v/>
      </c>
      <c r="G54" s="2434" t="str">
        <f t="shared" si="4"/>
        <v/>
      </c>
      <c r="H54" s="2434" t="str">
        <f t="shared" si="5"/>
        <v/>
      </c>
      <c r="I54" s="92"/>
      <c r="J54" s="92"/>
      <c r="K54" s="1634" t="str">
        <f t="shared" si="16"/>
        <v/>
      </c>
      <c r="L54" s="1634" t="str">
        <f>Velocity(PitotIDAft1,PitotCoeffAft1,AB54,E54,F54,StackTempAvgAft1,AbsPressAft1,MolecularWt)</f>
        <v/>
      </c>
      <c r="M54" s="1635" t="str">
        <f t="shared" si="17"/>
        <v/>
      </c>
      <c r="P54" s="1669" t="str">
        <f>'Flows &amp; Isokinetics'!E55</f>
        <v/>
      </c>
      <c r="Q54" s="2480"/>
      <c r="R54" s="2480"/>
      <c r="S54" s="2480"/>
      <c r="T54" s="2479"/>
      <c r="U54" s="2486"/>
      <c r="V54" s="1655" t="str">
        <f t="shared" si="8"/>
        <v/>
      </c>
      <c r="W54" s="1656" t="str">
        <f t="shared" si="9"/>
        <v/>
      </c>
      <c r="X54" s="1656" t="str">
        <f t="shared" si="10"/>
        <v/>
      </c>
      <c r="Y54" s="1657" t="str">
        <f t="shared" si="11"/>
        <v/>
      </c>
      <c r="Z54" s="1656" t="str">
        <f t="shared" si="12"/>
        <v/>
      </c>
      <c r="AA54" s="1656" t="str">
        <f t="shared" si="13"/>
        <v/>
      </c>
      <c r="AB54" s="1658" t="str">
        <f t="shared" si="14"/>
        <v/>
      </c>
    </row>
    <row r="55" spans="1:28" ht="10.5" hidden="1" customHeight="1" outlineLevel="1">
      <c r="A55" s="2437" t="b">
        <f t="shared" si="1"/>
        <v>1</v>
      </c>
      <c r="B55" s="1618" t="str">
        <f>'Flows &amp; Isokinetics'!E56</f>
        <v/>
      </c>
      <c r="C55" s="1619" t="str">
        <f>'Flows &amp; Isokinetics'!F56</f>
        <v/>
      </c>
      <c r="D55" s="2434" t="str">
        <f t="shared" si="2"/>
        <v/>
      </c>
      <c r="E55" s="2434" t="str">
        <f t="shared" si="3"/>
        <v/>
      </c>
      <c r="F55" s="2445" t="str">
        <f t="shared" si="18"/>
        <v/>
      </c>
      <c r="G55" s="2434" t="str">
        <f t="shared" si="4"/>
        <v/>
      </c>
      <c r="H55" s="2434" t="str">
        <f t="shared" si="5"/>
        <v/>
      </c>
      <c r="I55" s="92"/>
      <c r="J55" s="92"/>
      <c r="K55" s="1634" t="str">
        <f t="shared" si="16"/>
        <v/>
      </c>
      <c r="L55" s="1634" t="str">
        <f>Velocity(PitotIDAft1,PitotCoeffAft1,AB55,E55,F55,StackTempAvgAft1,AbsPressAft1,MolecularWt)</f>
        <v/>
      </c>
      <c r="M55" s="1635" t="str">
        <f t="shared" si="17"/>
        <v/>
      </c>
      <c r="P55" s="1669" t="str">
        <f>'Flows &amp; Isokinetics'!E56</f>
        <v/>
      </c>
      <c r="Q55" s="2480"/>
      <c r="R55" s="2480"/>
      <c r="S55" s="2480"/>
      <c r="T55" s="2479"/>
      <c r="U55" s="2486"/>
      <c r="V55" s="1655" t="str">
        <f t="shared" si="8"/>
        <v/>
      </c>
      <c r="W55" s="1656" t="str">
        <f t="shared" si="9"/>
        <v/>
      </c>
      <c r="X55" s="1656" t="str">
        <f t="shared" si="10"/>
        <v/>
      </c>
      <c r="Y55" s="1657" t="str">
        <f t="shared" si="11"/>
        <v/>
      </c>
      <c r="Z55" s="1656" t="str">
        <f t="shared" si="12"/>
        <v/>
      </c>
      <c r="AA55" s="1656" t="str">
        <f t="shared" si="13"/>
        <v/>
      </c>
      <c r="AB55" s="1658" t="str">
        <f t="shared" si="14"/>
        <v/>
      </c>
    </row>
    <row r="56" spans="1:28" ht="10.5" hidden="1" customHeight="1" outlineLevel="1">
      <c r="A56" s="2437" t="b">
        <f t="shared" si="1"/>
        <v>1</v>
      </c>
      <c r="B56" s="1618" t="str">
        <f>'Flows &amp; Isokinetics'!E57</f>
        <v/>
      </c>
      <c r="C56" s="1619" t="str">
        <f>'Flows &amp; Isokinetics'!F57</f>
        <v/>
      </c>
      <c r="D56" s="2434" t="str">
        <f t="shared" si="2"/>
        <v/>
      </c>
      <c r="E56" s="2434" t="str">
        <f t="shared" si="3"/>
        <v/>
      </c>
      <c r="F56" s="2445" t="str">
        <f t="shared" si="18"/>
        <v/>
      </c>
      <c r="G56" s="2434" t="str">
        <f t="shared" si="4"/>
        <v/>
      </c>
      <c r="H56" s="2434" t="str">
        <f t="shared" si="5"/>
        <v/>
      </c>
      <c r="I56" s="92"/>
      <c r="J56" s="92"/>
      <c r="K56" s="1634" t="str">
        <f t="shared" si="16"/>
        <v/>
      </c>
      <c r="L56" s="1634" t="str">
        <f>Velocity(PitotIDAft1,PitotCoeffAft1,AB56,E56,F56,StackTempAvgAft1,AbsPressAft1,MolecularWt)</f>
        <v/>
      </c>
      <c r="M56" s="1635" t="str">
        <f t="shared" si="17"/>
        <v/>
      </c>
      <c r="P56" s="1669" t="str">
        <f>'Flows &amp; Isokinetics'!E57</f>
        <v/>
      </c>
      <c r="Q56" s="2480"/>
      <c r="R56" s="2480"/>
      <c r="S56" s="2480"/>
      <c r="T56" s="2479"/>
      <c r="U56" s="2486"/>
      <c r="V56" s="1655" t="str">
        <f t="shared" si="8"/>
        <v/>
      </c>
      <c r="W56" s="1656" t="str">
        <f t="shared" si="9"/>
        <v/>
      </c>
      <c r="X56" s="1656" t="str">
        <f t="shared" si="10"/>
        <v/>
      </c>
      <c r="Y56" s="1657" t="str">
        <f t="shared" si="11"/>
        <v/>
      </c>
      <c r="Z56" s="1656" t="str">
        <f t="shared" si="12"/>
        <v/>
      </c>
      <c r="AA56" s="1656" t="str">
        <f t="shared" si="13"/>
        <v/>
      </c>
      <c r="AB56" s="1658" t="str">
        <f t="shared" si="14"/>
        <v/>
      </c>
    </row>
    <row r="57" spans="1:28" ht="10.5" hidden="1" customHeight="1" outlineLevel="1">
      <c r="A57" s="2437" t="b">
        <f t="shared" si="1"/>
        <v>1</v>
      </c>
      <c r="B57" s="1618" t="str">
        <f>'Flows &amp; Isokinetics'!E58</f>
        <v/>
      </c>
      <c r="C57" s="1619" t="str">
        <f>'Flows &amp; Isokinetics'!F58</f>
        <v/>
      </c>
      <c r="D57" s="2434" t="str">
        <f t="shared" si="2"/>
        <v/>
      </c>
      <c r="E57" s="2434" t="str">
        <f t="shared" si="3"/>
        <v/>
      </c>
      <c r="F57" s="2445" t="str">
        <f t="shared" si="18"/>
        <v/>
      </c>
      <c r="G57" s="2434" t="str">
        <f t="shared" si="4"/>
        <v/>
      </c>
      <c r="H57" s="2434" t="str">
        <f t="shared" si="5"/>
        <v/>
      </c>
      <c r="I57" s="92"/>
      <c r="J57" s="92"/>
      <c r="K57" s="1634" t="str">
        <f t="shared" si="16"/>
        <v/>
      </c>
      <c r="L57" s="1634" t="str">
        <f>Velocity(PitotIDAft1,PitotCoeffAft1,AB57,E57,F57,StackTempAvgAft1,AbsPressAft1,MolecularWt)</f>
        <v/>
      </c>
      <c r="M57" s="1635" t="str">
        <f t="shared" si="17"/>
        <v/>
      </c>
      <c r="P57" s="1669" t="str">
        <f>'Flows &amp; Isokinetics'!E58</f>
        <v/>
      </c>
      <c r="Q57" s="2480"/>
      <c r="R57" s="2480"/>
      <c r="S57" s="2480"/>
      <c r="T57" s="2479"/>
      <c r="U57" s="2486"/>
      <c r="V57" s="1655" t="str">
        <f t="shared" si="8"/>
        <v/>
      </c>
      <c r="W57" s="1656" t="str">
        <f t="shared" si="9"/>
        <v/>
      </c>
      <c r="X57" s="1656" t="str">
        <f t="shared" si="10"/>
        <v/>
      </c>
      <c r="Y57" s="1657" t="str">
        <f t="shared" si="11"/>
        <v/>
      </c>
      <c r="Z57" s="1656" t="str">
        <f t="shared" si="12"/>
        <v/>
      </c>
      <c r="AA57" s="1656" t="str">
        <f t="shared" si="13"/>
        <v/>
      </c>
      <c r="AB57" s="1658" t="str">
        <f t="shared" si="14"/>
        <v/>
      </c>
    </row>
    <row r="58" spans="1:28" ht="10.5" hidden="1" customHeight="1" outlineLevel="1">
      <c r="A58" s="2437" t="b">
        <f t="shared" si="1"/>
        <v>1</v>
      </c>
      <c r="B58" s="1618" t="str">
        <f>'Flows &amp; Isokinetics'!E59</f>
        <v/>
      </c>
      <c r="C58" s="1619" t="str">
        <f>'Flows &amp; Isokinetics'!F59</f>
        <v/>
      </c>
      <c r="D58" s="2434" t="str">
        <f t="shared" si="2"/>
        <v/>
      </c>
      <c r="E58" s="2434" t="str">
        <f t="shared" si="3"/>
        <v/>
      </c>
      <c r="F58" s="2445" t="str">
        <f t="shared" si="18"/>
        <v/>
      </c>
      <c r="G58" s="2434" t="str">
        <f t="shared" si="4"/>
        <v/>
      </c>
      <c r="H58" s="2434" t="str">
        <f t="shared" si="5"/>
        <v/>
      </c>
      <c r="I58" s="92"/>
      <c r="J58" s="92"/>
      <c r="K58" s="1634" t="str">
        <f t="shared" si="16"/>
        <v/>
      </c>
      <c r="L58" s="1634" t="str">
        <f>Velocity(PitotIDAft1,PitotCoeffAft1,AB58,E58,F58,StackTempAvgAft1,AbsPressAft1,MolecularWt)</f>
        <v/>
      </c>
      <c r="M58" s="1635" t="str">
        <f t="shared" si="17"/>
        <v/>
      </c>
      <c r="P58" s="1669" t="str">
        <f>'Flows &amp; Isokinetics'!E59</f>
        <v/>
      </c>
      <c r="Q58" s="2480"/>
      <c r="R58" s="2480"/>
      <c r="S58" s="2480"/>
      <c r="T58" s="2479"/>
      <c r="U58" s="2486"/>
      <c r="V58" s="1655" t="str">
        <f t="shared" si="8"/>
        <v/>
      </c>
      <c r="W58" s="1656" t="str">
        <f t="shared" si="9"/>
        <v/>
      </c>
      <c r="X58" s="1656" t="str">
        <f t="shared" si="10"/>
        <v/>
      </c>
      <c r="Y58" s="1657" t="str">
        <f t="shared" si="11"/>
        <v/>
      </c>
      <c r="Z58" s="1656" t="str">
        <f t="shared" si="12"/>
        <v/>
      </c>
      <c r="AA58" s="1656" t="str">
        <f t="shared" si="13"/>
        <v/>
      </c>
      <c r="AB58" s="1658" t="str">
        <f t="shared" si="14"/>
        <v/>
      </c>
    </row>
    <row r="59" spans="1:28" ht="10.5" hidden="1" customHeight="1" outlineLevel="1">
      <c r="A59" s="2437" t="b">
        <f t="shared" si="1"/>
        <v>1</v>
      </c>
      <c r="B59" s="1618" t="str">
        <f>'Flows &amp; Isokinetics'!E60</f>
        <v/>
      </c>
      <c r="C59" s="1619" t="str">
        <f>'Flows &amp; Isokinetics'!F60</f>
        <v/>
      </c>
      <c r="D59" s="2434" t="str">
        <f t="shared" si="2"/>
        <v/>
      </c>
      <c r="E59" s="2434" t="str">
        <f t="shared" si="3"/>
        <v/>
      </c>
      <c r="F59" s="2445" t="str">
        <f t="shared" si="18"/>
        <v/>
      </c>
      <c r="G59" s="2434" t="str">
        <f t="shared" si="4"/>
        <v/>
      </c>
      <c r="H59" s="2434" t="str">
        <f t="shared" si="5"/>
        <v/>
      </c>
      <c r="I59" s="92"/>
      <c r="J59" s="92"/>
      <c r="K59" s="1634" t="str">
        <f t="shared" si="16"/>
        <v/>
      </c>
      <c r="L59" s="1634" t="str">
        <f>Velocity(PitotIDAft1,PitotCoeffAft1,AB59,E59,F59,StackTempAvgAft1,AbsPressAft1,MolecularWt)</f>
        <v/>
      </c>
      <c r="M59" s="1635" t="str">
        <f t="shared" si="17"/>
        <v/>
      </c>
      <c r="P59" s="1669" t="str">
        <f>'Flows &amp; Isokinetics'!E60</f>
        <v/>
      </c>
      <c r="Q59" s="2480"/>
      <c r="R59" s="2480"/>
      <c r="S59" s="2480"/>
      <c r="T59" s="2479"/>
      <c r="U59" s="2486"/>
      <c r="V59" s="1655" t="str">
        <f t="shared" si="8"/>
        <v/>
      </c>
      <c r="W59" s="1656" t="str">
        <f t="shared" si="9"/>
        <v/>
      </c>
      <c r="X59" s="1656" t="str">
        <f t="shared" si="10"/>
        <v/>
      </c>
      <c r="Y59" s="1657" t="str">
        <f t="shared" si="11"/>
        <v/>
      </c>
      <c r="Z59" s="1656" t="str">
        <f t="shared" si="12"/>
        <v/>
      </c>
      <c r="AA59" s="1656" t="str">
        <f t="shared" si="13"/>
        <v/>
      </c>
      <c r="AB59" s="1658" t="str">
        <f t="shared" si="14"/>
        <v/>
      </c>
    </row>
    <row r="60" spans="1:28" ht="10.5" hidden="1" customHeight="1" outlineLevel="1">
      <c r="A60" s="2437" t="b">
        <f t="shared" si="1"/>
        <v>1</v>
      </c>
      <c r="B60" s="1618" t="str">
        <f>'Flows &amp; Isokinetics'!E61</f>
        <v/>
      </c>
      <c r="C60" s="1619" t="str">
        <f>'Flows &amp; Isokinetics'!F61</f>
        <v/>
      </c>
      <c r="D60" s="2434" t="str">
        <f t="shared" si="2"/>
        <v/>
      </c>
      <c r="E60" s="2434" t="str">
        <f t="shared" si="3"/>
        <v/>
      </c>
      <c r="F60" s="2445" t="str">
        <f t="shared" si="18"/>
        <v/>
      </c>
      <c r="G60" s="2434" t="str">
        <f t="shared" si="4"/>
        <v/>
      </c>
      <c r="H60" s="2434" t="str">
        <f t="shared" si="5"/>
        <v/>
      </c>
      <c r="I60" s="92"/>
      <c r="J60" s="92"/>
      <c r="K60" s="1634" t="str">
        <f t="shared" si="16"/>
        <v/>
      </c>
      <c r="L60" s="1634" t="str">
        <f>Velocity(PitotIDAft1,PitotCoeffAft1,AB60,E60,F60,StackTempAvgAft1,AbsPressAft1,MolecularWt)</f>
        <v/>
      </c>
      <c r="M60" s="1635" t="str">
        <f t="shared" si="17"/>
        <v/>
      </c>
      <c r="P60" s="1669" t="str">
        <f>'Flows &amp; Isokinetics'!E61</f>
        <v/>
      </c>
      <c r="Q60" s="2480"/>
      <c r="R60" s="2480"/>
      <c r="S60" s="2480"/>
      <c r="T60" s="2479"/>
      <c r="U60" s="2486"/>
      <c r="V60" s="1655" t="str">
        <f t="shared" si="8"/>
        <v/>
      </c>
      <c r="W60" s="1656" t="str">
        <f t="shared" si="9"/>
        <v/>
      </c>
      <c r="X60" s="1656" t="str">
        <f t="shared" si="10"/>
        <v/>
      </c>
      <c r="Y60" s="1657" t="str">
        <f t="shared" si="11"/>
        <v/>
      </c>
      <c r="Z60" s="1656" t="str">
        <f t="shared" si="12"/>
        <v/>
      </c>
      <c r="AA60" s="1656" t="str">
        <f t="shared" si="13"/>
        <v/>
      </c>
      <c r="AB60" s="1658" t="str">
        <f t="shared" si="14"/>
        <v/>
      </c>
    </row>
    <row r="61" spans="1:28" ht="10.5" hidden="1" customHeight="1" outlineLevel="1">
      <c r="A61" s="2437" t="b">
        <f t="shared" si="1"/>
        <v>1</v>
      </c>
      <c r="B61" s="1618" t="str">
        <f>'Flows &amp; Isokinetics'!E62</f>
        <v/>
      </c>
      <c r="C61" s="1619" t="str">
        <f>'Flows &amp; Isokinetics'!F62</f>
        <v/>
      </c>
      <c r="D61" s="2434" t="str">
        <f t="shared" si="2"/>
        <v/>
      </c>
      <c r="E61" s="2434" t="str">
        <f t="shared" si="3"/>
        <v/>
      </c>
      <c r="F61" s="2445" t="str">
        <f t="shared" si="18"/>
        <v/>
      </c>
      <c r="G61" s="2434" t="str">
        <f t="shared" si="4"/>
        <v/>
      </c>
      <c r="H61" s="2434" t="str">
        <f t="shared" si="5"/>
        <v/>
      </c>
      <c r="I61" s="92"/>
      <c r="J61" s="92"/>
      <c r="K61" s="1634" t="str">
        <f t="shared" si="16"/>
        <v/>
      </c>
      <c r="L61" s="1634" t="str">
        <f>Velocity(PitotIDAft1,PitotCoeffAft1,AB61,E61,F61,StackTempAvgAft1,AbsPressAft1,MolecularWt)</f>
        <v/>
      </c>
      <c r="M61" s="1635" t="str">
        <f t="shared" si="17"/>
        <v/>
      </c>
      <c r="P61" s="1669" t="str">
        <f>'Flows &amp; Isokinetics'!E62</f>
        <v/>
      </c>
      <c r="Q61" s="2480"/>
      <c r="R61" s="2480"/>
      <c r="S61" s="2480"/>
      <c r="T61" s="2479"/>
      <c r="U61" s="2486"/>
      <c r="V61" s="1655" t="str">
        <f t="shared" si="8"/>
        <v/>
      </c>
      <c r="W61" s="1656" t="str">
        <f t="shared" si="9"/>
        <v/>
      </c>
      <c r="X61" s="1656" t="str">
        <f t="shared" si="10"/>
        <v/>
      </c>
      <c r="Y61" s="1657" t="str">
        <f t="shared" si="11"/>
        <v/>
      </c>
      <c r="Z61" s="1656" t="str">
        <f t="shared" si="12"/>
        <v/>
      </c>
      <c r="AA61" s="1656" t="str">
        <f t="shared" si="13"/>
        <v/>
      </c>
      <c r="AB61" s="1658" t="str">
        <f t="shared" si="14"/>
        <v/>
      </c>
    </row>
    <row r="62" spans="1:28" ht="10.5" hidden="1" customHeight="1" outlineLevel="1">
      <c r="A62" s="2437" t="b">
        <f t="shared" si="1"/>
        <v>1</v>
      </c>
      <c r="B62" s="1618" t="str">
        <f>'Flows &amp; Isokinetics'!E63</f>
        <v/>
      </c>
      <c r="C62" s="1619" t="str">
        <f>'Flows &amp; Isokinetics'!F63</f>
        <v/>
      </c>
      <c r="D62" s="2434" t="str">
        <f t="shared" si="2"/>
        <v/>
      </c>
      <c r="E62" s="2434" t="str">
        <f t="shared" si="3"/>
        <v/>
      </c>
      <c r="F62" s="2445" t="str">
        <f t="shared" si="18"/>
        <v/>
      </c>
      <c r="G62" s="2434" t="str">
        <f t="shared" si="4"/>
        <v/>
      </c>
      <c r="H62" s="2434" t="str">
        <f t="shared" si="5"/>
        <v/>
      </c>
      <c r="I62" s="92"/>
      <c r="J62" s="92"/>
      <c r="K62" s="1634" t="str">
        <f t="shared" si="16"/>
        <v/>
      </c>
      <c r="L62" s="1634" t="str">
        <f>Velocity(PitotIDAft1,PitotCoeffAft1,AB62,E62,F62,StackTempAvgAft1,AbsPressAft1,MolecularWt)</f>
        <v/>
      </c>
      <c r="M62" s="1635" t="str">
        <f t="shared" si="17"/>
        <v/>
      </c>
      <c r="P62" s="1669" t="str">
        <f>'Flows &amp; Isokinetics'!E63</f>
        <v/>
      </c>
      <c r="Q62" s="2480"/>
      <c r="R62" s="2480"/>
      <c r="S62" s="2480"/>
      <c r="T62" s="2479"/>
      <c r="U62" s="2486"/>
      <c r="V62" s="1655" t="str">
        <f t="shared" si="8"/>
        <v/>
      </c>
      <c r="W62" s="1656" t="str">
        <f t="shared" si="9"/>
        <v/>
      </c>
      <c r="X62" s="1656" t="str">
        <f t="shared" si="10"/>
        <v/>
      </c>
      <c r="Y62" s="1657" t="str">
        <f t="shared" si="11"/>
        <v/>
      </c>
      <c r="Z62" s="1656" t="str">
        <f t="shared" si="12"/>
        <v/>
      </c>
      <c r="AA62" s="1656" t="str">
        <f t="shared" si="13"/>
        <v/>
      </c>
      <c r="AB62" s="1658" t="str">
        <f t="shared" si="14"/>
        <v/>
      </c>
    </row>
    <row r="63" spans="1:28" ht="10.5" hidden="1" customHeight="1" outlineLevel="1">
      <c r="A63" s="2437" t="b">
        <f t="shared" si="1"/>
        <v>1</v>
      </c>
      <c r="B63" s="1618" t="str">
        <f>'Flows &amp; Isokinetics'!E64</f>
        <v/>
      </c>
      <c r="C63" s="1619" t="str">
        <f>'Flows &amp; Isokinetics'!F64</f>
        <v/>
      </c>
      <c r="D63" s="2434" t="str">
        <f t="shared" si="2"/>
        <v/>
      </c>
      <c r="E63" s="2434" t="str">
        <f t="shared" si="3"/>
        <v/>
      </c>
      <c r="F63" s="2445" t="str">
        <f t="shared" si="18"/>
        <v/>
      </c>
      <c r="G63" s="2434" t="str">
        <f t="shared" si="4"/>
        <v/>
      </c>
      <c r="H63" s="2434" t="str">
        <f t="shared" si="5"/>
        <v/>
      </c>
      <c r="I63" s="92"/>
      <c r="J63" s="92"/>
      <c r="K63" s="1634" t="str">
        <f t="shared" si="16"/>
        <v/>
      </c>
      <c r="L63" s="1634" t="str">
        <f>Velocity(PitotIDAft1,PitotCoeffAft1,AB63,E63,F63,StackTempAvgAft1,AbsPressAft1,MolecularWt)</f>
        <v/>
      </c>
      <c r="M63" s="1635" t="str">
        <f t="shared" si="17"/>
        <v/>
      </c>
      <c r="P63" s="1669" t="str">
        <f>'Flows &amp; Isokinetics'!E64</f>
        <v/>
      </c>
      <c r="Q63" s="2480"/>
      <c r="R63" s="2480"/>
      <c r="S63" s="2480"/>
      <c r="T63" s="2479"/>
      <c r="U63" s="2486"/>
      <c r="V63" s="1655" t="str">
        <f t="shared" si="8"/>
        <v/>
      </c>
      <c r="W63" s="1656" t="str">
        <f t="shared" si="9"/>
        <v/>
      </c>
      <c r="X63" s="1656" t="str">
        <f t="shared" si="10"/>
        <v/>
      </c>
      <c r="Y63" s="1657" t="str">
        <f t="shared" si="11"/>
        <v/>
      </c>
      <c r="Z63" s="1656" t="str">
        <f t="shared" si="12"/>
        <v/>
      </c>
      <c r="AA63" s="1656" t="str">
        <f t="shared" si="13"/>
        <v/>
      </c>
      <c r="AB63" s="1658" t="str">
        <f t="shared" si="14"/>
        <v/>
      </c>
    </row>
    <row r="64" spans="1:28" ht="10.5" hidden="1" customHeight="1" outlineLevel="1">
      <c r="A64" s="2437" t="b">
        <f t="shared" si="1"/>
        <v>1</v>
      </c>
      <c r="B64" s="1618" t="str">
        <f>'Flows &amp; Isokinetics'!E65</f>
        <v/>
      </c>
      <c r="C64" s="1619" t="str">
        <f>'Flows &amp; Isokinetics'!F65</f>
        <v/>
      </c>
      <c r="D64" s="2434" t="str">
        <f t="shared" si="2"/>
        <v/>
      </c>
      <c r="E64" s="2434" t="str">
        <f t="shared" si="3"/>
        <v/>
      </c>
      <c r="F64" s="2445" t="str">
        <f t="shared" si="18"/>
        <v/>
      </c>
      <c r="G64" s="2434" t="str">
        <f t="shared" si="4"/>
        <v/>
      </c>
      <c r="H64" s="2434" t="str">
        <f t="shared" si="5"/>
        <v/>
      </c>
      <c r="I64" s="92"/>
      <c r="J64" s="92"/>
      <c r="K64" s="1634" t="str">
        <f t="shared" si="16"/>
        <v/>
      </c>
      <c r="L64" s="1634" t="str">
        <f>Velocity(PitotIDAft1,PitotCoeffAft1,AB64,E64,F64,StackTempAvgAft1,AbsPressAft1,MolecularWt)</f>
        <v/>
      </c>
      <c r="M64" s="1635" t="str">
        <f t="shared" si="17"/>
        <v/>
      </c>
      <c r="P64" s="1669" t="str">
        <f>'Flows &amp; Isokinetics'!E65</f>
        <v/>
      </c>
      <c r="Q64" s="2480"/>
      <c r="R64" s="2480"/>
      <c r="S64" s="2480"/>
      <c r="T64" s="2479"/>
      <c r="U64" s="2486"/>
      <c r="V64" s="1655" t="str">
        <f t="shared" si="8"/>
        <v/>
      </c>
      <c r="W64" s="1656" t="str">
        <f t="shared" si="9"/>
        <v/>
      </c>
      <c r="X64" s="1656" t="str">
        <f t="shared" si="10"/>
        <v/>
      </c>
      <c r="Y64" s="1657" t="str">
        <f t="shared" si="11"/>
        <v/>
      </c>
      <c r="Z64" s="1656" t="str">
        <f t="shared" si="12"/>
        <v/>
      </c>
      <c r="AA64" s="1656" t="str">
        <f t="shared" si="13"/>
        <v/>
      </c>
      <c r="AB64" s="1658" t="str">
        <f t="shared" si="14"/>
        <v/>
      </c>
    </row>
    <row r="65" spans="1:28" ht="10.5" hidden="1" customHeight="1" outlineLevel="1">
      <c r="A65" s="2437" t="b">
        <f t="shared" si="1"/>
        <v>1</v>
      </c>
      <c r="B65" s="1618" t="str">
        <f>'Flows &amp; Isokinetics'!E66</f>
        <v/>
      </c>
      <c r="C65" s="1619" t="str">
        <f>'Flows &amp; Isokinetics'!F66</f>
        <v/>
      </c>
      <c r="D65" s="2434" t="str">
        <f t="shared" si="2"/>
        <v/>
      </c>
      <c r="E65" s="2434" t="str">
        <f t="shared" si="3"/>
        <v/>
      </c>
      <c r="F65" s="2445" t="str">
        <f t="shared" si="18"/>
        <v/>
      </c>
      <c r="G65" s="2434" t="str">
        <f t="shared" si="4"/>
        <v/>
      </c>
      <c r="H65" s="2434" t="str">
        <f t="shared" si="5"/>
        <v/>
      </c>
      <c r="I65" s="92"/>
      <c r="J65" s="92"/>
      <c r="K65" s="1634" t="str">
        <f t="shared" si="16"/>
        <v/>
      </c>
      <c r="L65" s="1634" t="str">
        <f>Velocity(PitotIDAft1,PitotCoeffAft1,AB65,E65,F65,StackTempAvgAft1,AbsPressAft1,MolecularWt)</f>
        <v/>
      </c>
      <c r="M65" s="1635" t="str">
        <f t="shared" si="17"/>
        <v/>
      </c>
      <c r="P65" s="1669" t="str">
        <f>'Flows &amp; Isokinetics'!E66</f>
        <v/>
      </c>
      <c r="Q65" s="2480"/>
      <c r="R65" s="2480"/>
      <c r="S65" s="2480"/>
      <c r="T65" s="2479"/>
      <c r="U65" s="2486"/>
      <c r="V65" s="1655" t="str">
        <f t="shared" si="8"/>
        <v/>
      </c>
      <c r="W65" s="1656" t="str">
        <f t="shared" si="9"/>
        <v/>
      </c>
      <c r="X65" s="1656" t="str">
        <f t="shared" si="10"/>
        <v/>
      </c>
      <c r="Y65" s="1657" t="str">
        <f t="shared" si="11"/>
        <v/>
      </c>
      <c r="Z65" s="1656" t="str">
        <f t="shared" si="12"/>
        <v/>
      </c>
      <c r="AA65" s="1656" t="str">
        <f t="shared" si="13"/>
        <v/>
      </c>
      <c r="AB65" s="1658" t="str">
        <f t="shared" si="14"/>
        <v/>
      </c>
    </row>
    <row r="66" spans="1:28" ht="10.5" hidden="1" customHeight="1" outlineLevel="1">
      <c r="A66" s="2437" t="b">
        <f t="shared" si="1"/>
        <v>1</v>
      </c>
      <c r="B66" s="1618" t="str">
        <f>'Flows &amp; Isokinetics'!E67</f>
        <v/>
      </c>
      <c r="C66" s="1619" t="str">
        <f>'Flows &amp; Isokinetics'!F67</f>
        <v/>
      </c>
      <c r="D66" s="2434" t="str">
        <f t="shared" si="2"/>
        <v/>
      </c>
      <c r="E66" s="2434" t="str">
        <f t="shared" si="3"/>
        <v/>
      </c>
      <c r="F66" s="2445" t="str">
        <f t="shared" si="18"/>
        <v/>
      </c>
      <c r="G66" s="2434" t="str">
        <f t="shared" si="4"/>
        <v/>
      </c>
      <c r="H66" s="2434" t="str">
        <f t="shared" si="5"/>
        <v/>
      </c>
      <c r="I66" s="92"/>
      <c r="J66" s="92"/>
      <c r="K66" s="1634" t="str">
        <f t="shared" si="16"/>
        <v/>
      </c>
      <c r="L66" s="1634" t="str">
        <f>Velocity(PitotIDAft1,PitotCoeffAft1,AB66,E66,F66,StackTempAvgAft1,AbsPressAft1,MolecularWt)</f>
        <v/>
      </c>
      <c r="M66" s="1635" t="str">
        <f t="shared" si="17"/>
        <v/>
      </c>
      <c r="P66" s="1669" t="str">
        <f>'Flows &amp; Isokinetics'!E67</f>
        <v/>
      </c>
      <c r="Q66" s="2480"/>
      <c r="R66" s="2480"/>
      <c r="S66" s="2480"/>
      <c r="T66" s="2479"/>
      <c r="U66" s="2486"/>
      <c r="V66" s="1655" t="str">
        <f t="shared" si="8"/>
        <v/>
      </c>
      <c r="W66" s="1656" t="str">
        <f t="shared" si="9"/>
        <v/>
      </c>
      <c r="X66" s="1656" t="str">
        <f t="shared" si="10"/>
        <v/>
      </c>
      <c r="Y66" s="1657" t="str">
        <f t="shared" si="11"/>
        <v/>
      </c>
      <c r="Z66" s="1656" t="str">
        <f t="shared" si="12"/>
        <v/>
      </c>
      <c r="AA66" s="1656" t="str">
        <f t="shared" si="13"/>
        <v/>
      </c>
      <c r="AB66" s="1658" t="str">
        <f t="shared" si="14"/>
        <v/>
      </c>
    </row>
    <row r="67" spans="1:28" ht="10.5" hidden="1" customHeight="1" outlineLevel="1">
      <c r="A67" s="2437" t="b">
        <f t="shared" si="1"/>
        <v>1</v>
      </c>
      <c r="B67" s="1618" t="str">
        <f>'Flows &amp; Isokinetics'!E68</f>
        <v/>
      </c>
      <c r="C67" s="1619" t="str">
        <f>'Flows &amp; Isokinetics'!F68</f>
        <v/>
      </c>
      <c r="D67" s="2434" t="str">
        <f t="shared" si="2"/>
        <v/>
      </c>
      <c r="E67" s="2434" t="str">
        <f t="shared" si="3"/>
        <v/>
      </c>
      <c r="F67" s="2445" t="str">
        <f t="shared" si="18"/>
        <v/>
      </c>
      <c r="G67" s="2434" t="str">
        <f t="shared" si="4"/>
        <v/>
      </c>
      <c r="H67" s="2434" t="str">
        <f t="shared" si="5"/>
        <v/>
      </c>
      <c r="I67" s="92"/>
      <c r="J67" s="92"/>
      <c r="K67" s="1634" t="str">
        <f t="shared" si="16"/>
        <v/>
      </c>
      <c r="L67" s="1634" t="str">
        <f>Velocity(PitotIDAft1,PitotCoeffAft1,AB67,E67,F67,StackTempAvgAft1,AbsPressAft1,MolecularWt)</f>
        <v/>
      </c>
      <c r="M67" s="1635" t="str">
        <f t="shared" si="17"/>
        <v/>
      </c>
      <c r="P67" s="1669" t="str">
        <f>'Flows &amp; Isokinetics'!E68</f>
        <v/>
      </c>
      <c r="Q67" s="2480"/>
      <c r="R67" s="2480"/>
      <c r="S67" s="2480"/>
      <c r="T67" s="2479"/>
      <c r="U67" s="2486"/>
      <c r="V67" s="1655" t="str">
        <f t="shared" si="8"/>
        <v/>
      </c>
      <c r="W67" s="1656" t="str">
        <f t="shared" si="9"/>
        <v/>
      </c>
      <c r="X67" s="1656" t="str">
        <f t="shared" si="10"/>
        <v/>
      </c>
      <c r="Y67" s="1657" t="str">
        <f t="shared" si="11"/>
        <v/>
      </c>
      <c r="Z67" s="1656" t="str">
        <f t="shared" si="12"/>
        <v/>
      </c>
      <c r="AA67" s="1656" t="str">
        <f t="shared" si="13"/>
        <v/>
      </c>
      <c r="AB67" s="1658" t="str">
        <f t="shared" si="14"/>
        <v/>
      </c>
    </row>
    <row r="68" spans="1:28" ht="10.5" hidden="1" customHeight="1" outlineLevel="1">
      <c r="A68" s="2437" t="b">
        <f t="shared" si="1"/>
        <v>1</v>
      </c>
      <c r="B68" s="1618" t="str">
        <f>'Flows &amp; Isokinetics'!E69</f>
        <v/>
      </c>
      <c r="C68" s="1619" t="str">
        <f>'Flows &amp; Isokinetics'!F69</f>
        <v/>
      </c>
      <c r="D68" s="2434" t="str">
        <f t="shared" si="2"/>
        <v/>
      </c>
      <c r="E68" s="2434" t="str">
        <f t="shared" si="3"/>
        <v/>
      </c>
      <c r="F68" s="2445" t="str">
        <f t="shared" si="18"/>
        <v/>
      </c>
      <c r="G68" s="2434" t="str">
        <f t="shared" si="4"/>
        <v/>
      </c>
      <c r="H68" s="2434" t="str">
        <f t="shared" si="5"/>
        <v/>
      </c>
      <c r="I68" s="92"/>
      <c r="J68" s="92"/>
      <c r="K68" s="1634" t="str">
        <f t="shared" si="16"/>
        <v/>
      </c>
      <c r="L68" s="1634" t="str">
        <f>Velocity(PitotIDAft1,PitotCoeffAft1,AB68,E68,F68,StackTempAvgAft1,AbsPressAft1,MolecularWt)</f>
        <v/>
      </c>
      <c r="M68" s="1635" t="str">
        <f t="shared" si="17"/>
        <v/>
      </c>
      <c r="P68" s="1669" t="str">
        <f>'Flows &amp; Isokinetics'!E69</f>
        <v/>
      </c>
      <c r="Q68" s="2480"/>
      <c r="R68" s="2480"/>
      <c r="S68" s="2480"/>
      <c r="T68" s="2479"/>
      <c r="U68" s="2486"/>
      <c r="V68" s="1655" t="str">
        <f t="shared" si="8"/>
        <v/>
      </c>
      <c r="W68" s="1656" t="str">
        <f t="shared" si="9"/>
        <v/>
      </c>
      <c r="X68" s="1656" t="str">
        <f t="shared" si="10"/>
        <v/>
      </c>
      <c r="Y68" s="1657" t="str">
        <f t="shared" si="11"/>
        <v/>
      </c>
      <c r="Z68" s="1656" t="str">
        <f t="shared" si="12"/>
        <v/>
      </c>
      <c r="AA68" s="1656" t="str">
        <f t="shared" si="13"/>
        <v/>
      </c>
      <c r="AB68" s="1658" t="str">
        <f t="shared" si="14"/>
        <v/>
      </c>
    </row>
    <row r="69" spans="1:28" ht="10.5" hidden="1" customHeight="1" outlineLevel="1">
      <c r="A69" s="2437" t="b">
        <f t="shared" si="1"/>
        <v>1</v>
      </c>
      <c r="B69" s="1618" t="str">
        <f>'Flows &amp; Isokinetics'!E70</f>
        <v/>
      </c>
      <c r="C69" s="1619" t="str">
        <f>'Flows &amp; Isokinetics'!F70</f>
        <v/>
      </c>
      <c r="D69" s="2434" t="str">
        <f t="shared" si="2"/>
        <v/>
      </c>
      <c r="E69" s="2434" t="str">
        <f t="shared" si="3"/>
        <v/>
      </c>
      <c r="F69" s="2445" t="str">
        <f t="shared" si="18"/>
        <v/>
      </c>
      <c r="G69" s="2434" t="str">
        <f t="shared" si="4"/>
        <v/>
      </c>
      <c r="H69" s="2434" t="str">
        <f t="shared" si="5"/>
        <v/>
      </c>
      <c r="I69" s="92"/>
      <c r="J69" s="92"/>
      <c r="K69" s="1634" t="str">
        <f t="shared" si="16"/>
        <v/>
      </c>
      <c r="L69" s="1634" t="str">
        <f>Velocity(PitotIDAft1,PitotCoeffAft1,AB69,E69,F69,StackTempAvgAft1,AbsPressAft1,MolecularWt)</f>
        <v/>
      </c>
      <c r="M69" s="1635" t="str">
        <f t="shared" si="17"/>
        <v/>
      </c>
      <c r="P69" s="1669" t="str">
        <f>'Flows &amp; Isokinetics'!E70</f>
        <v/>
      </c>
      <c r="Q69" s="2480"/>
      <c r="R69" s="2480"/>
      <c r="S69" s="2480"/>
      <c r="T69" s="2479"/>
      <c r="U69" s="2486"/>
      <c r="V69" s="1655" t="str">
        <f t="shared" si="8"/>
        <v/>
      </c>
      <c r="W69" s="1656" t="str">
        <f t="shared" si="9"/>
        <v/>
      </c>
      <c r="X69" s="1656" t="str">
        <f t="shared" si="10"/>
        <v/>
      </c>
      <c r="Y69" s="1657" t="str">
        <f t="shared" si="11"/>
        <v/>
      </c>
      <c r="Z69" s="1656" t="str">
        <f t="shared" si="12"/>
        <v/>
      </c>
      <c r="AA69" s="1656" t="str">
        <f t="shared" si="13"/>
        <v/>
      </c>
      <c r="AB69" s="1658" t="str">
        <f t="shared" si="14"/>
        <v/>
      </c>
    </row>
    <row r="70" spans="1:28" ht="10.5" hidden="1" customHeight="1" outlineLevel="1">
      <c r="A70" s="2437" t="b">
        <f t="shared" si="1"/>
        <v>1</v>
      </c>
      <c r="B70" s="1618" t="str">
        <f>'Flows &amp; Isokinetics'!E71</f>
        <v/>
      </c>
      <c r="C70" s="1619" t="str">
        <f>'Flows &amp; Isokinetics'!F71</f>
        <v/>
      </c>
      <c r="D70" s="2434" t="str">
        <f t="shared" si="2"/>
        <v/>
      </c>
      <c r="E70" s="2434" t="str">
        <f t="shared" si="3"/>
        <v/>
      </c>
      <c r="F70" s="2445" t="str">
        <f t="shared" si="18"/>
        <v/>
      </c>
      <c r="G70" s="2434" t="str">
        <f t="shared" si="4"/>
        <v/>
      </c>
      <c r="H70" s="2434" t="str">
        <f t="shared" si="5"/>
        <v/>
      </c>
      <c r="I70" s="92"/>
      <c r="J70" s="92"/>
      <c r="K70" s="1634" t="str">
        <f t="shared" si="16"/>
        <v/>
      </c>
      <c r="L70" s="1634" t="str">
        <f>Velocity(PitotIDAft1,PitotCoeffAft1,AB70,E70,F70,StackTempAvgAft1,AbsPressAft1,MolecularWt)</f>
        <v/>
      </c>
      <c r="M70" s="1635" t="str">
        <f t="shared" si="17"/>
        <v/>
      </c>
      <c r="P70" s="1669" t="str">
        <f>'Flows &amp; Isokinetics'!E71</f>
        <v/>
      </c>
      <c r="Q70" s="2480"/>
      <c r="R70" s="2480"/>
      <c r="S70" s="2480"/>
      <c r="T70" s="2479"/>
      <c r="U70" s="2486"/>
      <c r="V70" s="1655" t="str">
        <f t="shared" si="8"/>
        <v/>
      </c>
      <c r="W70" s="1656" t="str">
        <f t="shared" si="9"/>
        <v/>
      </c>
      <c r="X70" s="1656" t="str">
        <f t="shared" si="10"/>
        <v/>
      </c>
      <c r="Y70" s="1657" t="str">
        <f t="shared" si="11"/>
        <v/>
      </c>
      <c r="Z70" s="1656" t="str">
        <f t="shared" si="12"/>
        <v/>
      </c>
      <c r="AA70" s="1656" t="str">
        <f t="shared" si="13"/>
        <v/>
      </c>
      <c r="AB70" s="1658" t="str">
        <f t="shared" si="14"/>
        <v/>
      </c>
    </row>
    <row r="71" spans="1:28" ht="10.5" hidden="1" customHeight="1" outlineLevel="1">
      <c r="A71" s="2437" t="b">
        <f t="shared" si="1"/>
        <v>1</v>
      </c>
      <c r="B71" s="1618" t="str">
        <f>'Flows &amp; Isokinetics'!E72</f>
        <v/>
      </c>
      <c r="C71" s="1619" t="str">
        <f>'Flows &amp; Isokinetics'!F72</f>
        <v/>
      </c>
      <c r="D71" s="2434" t="str">
        <f t="shared" si="2"/>
        <v/>
      </c>
      <c r="E71" s="2434" t="str">
        <f t="shared" si="3"/>
        <v/>
      </c>
      <c r="F71" s="2445" t="str">
        <f t="shared" si="18"/>
        <v/>
      </c>
      <c r="G71" s="2434" t="str">
        <f t="shared" si="4"/>
        <v/>
      </c>
      <c r="H71" s="2434" t="str">
        <f t="shared" si="5"/>
        <v/>
      </c>
      <c r="I71" s="92"/>
      <c r="J71" s="92"/>
      <c r="K71" s="1634" t="str">
        <f t="shared" si="16"/>
        <v/>
      </c>
      <c r="L71" s="1634" t="str">
        <f>Velocity(PitotIDAft1,PitotCoeffAft1,AB71,E71,F71,StackTempAvgAft1,AbsPressAft1,MolecularWt)</f>
        <v/>
      </c>
      <c r="M71" s="1635" t="str">
        <f t="shared" si="17"/>
        <v/>
      </c>
      <c r="P71" s="1669" t="str">
        <f>'Flows &amp; Isokinetics'!E72</f>
        <v/>
      </c>
      <c r="Q71" s="2480"/>
      <c r="R71" s="2480"/>
      <c r="S71" s="2480"/>
      <c r="T71" s="2479"/>
      <c r="U71" s="2486"/>
      <c r="V71" s="1655" t="str">
        <f t="shared" si="8"/>
        <v/>
      </c>
      <c r="W71" s="1656" t="str">
        <f t="shared" si="9"/>
        <v/>
      </c>
      <c r="X71" s="1656" t="str">
        <f t="shared" si="10"/>
        <v/>
      </c>
      <c r="Y71" s="1657" t="str">
        <f t="shared" si="11"/>
        <v/>
      </c>
      <c r="Z71" s="1656" t="str">
        <f t="shared" si="12"/>
        <v/>
      </c>
      <c r="AA71" s="1656" t="str">
        <f t="shared" si="13"/>
        <v/>
      </c>
      <c r="AB71" s="1658" t="str">
        <f t="shared" si="14"/>
        <v/>
      </c>
    </row>
    <row r="72" spans="1:28" ht="10.5" hidden="1" customHeight="1" outlineLevel="1">
      <c r="A72" s="2437" t="b">
        <f t="shared" si="1"/>
        <v>1</v>
      </c>
      <c r="B72" s="1618" t="str">
        <f>'Flows &amp; Isokinetics'!E73</f>
        <v/>
      </c>
      <c r="C72" s="1619" t="str">
        <f>'Flows &amp; Isokinetics'!F73</f>
        <v/>
      </c>
      <c r="D72" s="2434" t="str">
        <f t="shared" si="2"/>
        <v/>
      </c>
      <c r="E72" s="2434" t="str">
        <f t="shared" si="3"/>
        <v/>
      </c>
      <c r="F72" s="2445" t="str">
        <f t="shared" si="18"/>
        <v/>
      </c>
      <c r="G72" s="2434" t="str">
        <f t="shared" si="4"/>
        <v/>
      </c>
      <c r="H72" s="2434" t="str">
        <f t="shared" si="5"/>
        <v/>
      </c>
      <c r="I72" s="92"/>
      <c r="J72" s="92"/>
      <c r="K72" s="1634" t="str">
        <f t="shared" si="16"/>
        <v/>
      </c>
      <c r="L72" s="1634" t="str">
        <f>Velocity(PitotIDAft1,PitotCoeffAft1,AB72,E72,F72,StackTempAvgAft1,AbsPressAft1,MolecularWt)</f>
        <v/>
      </c>
      <c r="M72" s="1635" t="str">
        <f t="shared" si="17"/>
        <v/>
      </c>
      <c r="P72" s="1669" t="str">
        <f>'Flows &amp; Isokinetics'!E73</f>
        <v/>
      </c>
      <c r="Q72" s="2480"/>
      <c r="R72" s="2480"/>
      <c r="S72" s="2480"/>
      <c r="T72" s="2479"/>
      <c r="U72" s="2486"/>
      <c r="V72" s="1655" t="str">
        <f t="shared" si="8"/>
        <v/>
      </c>
      <c r="W72" s="1656" t="str">
        <f t="shared" si="9"/>
        <v/>
      </c>
      <c r="X72" s="1656" t="str">
        <f t="shared" si="10"/>
        <v/>
      </c>
      <c r="Y72" s="1657" t="str">
        <f t="shared" si="11"/>
        <v/>
      </c>
      <c r="Z72" s="1656" t="str">
        <f t="shared" si="12"/>
        <v/>
      </c>
      <c r="AA72" s="1656" t="str">
        <f t="shared" si="13"/>
        <v/>
      </c>
      <c r="AB72" s="1658" t="str">
        <f t="shared" si="14"/>
        <v/>
      </c>
    </row>
    <row r="73" spans="1:28" ht="10.5" hidden="1" customHeight="1" outlineLevel="1">
      <c r="A73" s="2437" t="b">
        <f t="shared" si="1"/>
        <v>1</v>
      </c>
      <c r="B73" s="1618" t="str">
        <f>'Flows &amp; Isokinetics'!E74</f>
        <v/>
      </c>
      <c r="C73" s="1619" t="str">
        <f>'Flows &amp; Isokinetics'!F74</f>
        <v/>
      </c>
      <c r="D73" s="2434" t="str">
        <f t="shared" si="2"/>
        <v/>
      </c>
      <c r="E73" s="2434" t="str">
        <f t="shared" si="3"/>
        <v/>
      </c>
      <c r="F73" s="2445" t="str">
        <f t="shared" si="18"/>
        <v/>
      </c>
      <c r="G73" s="2434" t="str">
        <f t="shared" si="4"/>
        <v/>
      </c>
      <c r="H73" s="2434" t="str">
        <f t="shared" si="5"/>
        <v/>
      </c>
      <c r="I73" s="92"/>
      <c r="J73" s="92"/>
      <c r="K73" s="1634" t="str">
        <f t="shared" si="16"/>
        <v/>
      </c>
      <c r="L73" s="1634" t="str">
        <f>Velocity(PitotIDAft1,PitotCoeffAft1,AB73,E73,F73,StackTempAvgAft1,AbsPressAft1,MolecularWt)</f>
        <v/>
      </c>
      <c r="M73" s="1635" t="str">
        <f t="shared" si="17"/>
        <v/>
      </c>
      <c r="P73" s="1669" t="str">
        <f>'Flows &amp; Isokinetics'!E74</f>
        <v/>
      </c>
      <c r="Q73" s="2480"/>
      <c r="R73" s="2480"/>
      <c r="S73" s="2480"/>
      <c r="T73" s="2479"/>
      <c r="U73" s="2486"/>
      <c r="V73" s="1655" t="str">
        <f t="shared" si="8"/>
        <v/>
      </c>
      <c r="W73" s="1656" t="str">
        <f t="shared" si="9"/>
        <v/>
      </c>
      <c r="X73" s="1656" t="str">
        <f t="shared" si="10"/>
        <v/>
      </c>
      <c r="Y73" s="1657" t="str">
        <f t="shared" si="11"/>
        <v/>
      </c>
      <c r="Z73" s="1656" t="str">
        <f t="shared" si="12"/>
        <v/>
      </c>
      <c r="AA73" s="1656" t="str">
        <f t="shared" si="13"/>
        <v/>
      </c>
      <c r="AB73" s="1658" t="str">
        <f t="shared" si="14"/>
        <v/>
      </c>
    </row>
    <row r="74" spans="1:28" ht="10.5" customHeight="1" collapsed="1">
      <c r="A74" s="2437" t="b">
        <v>1</v>
      </c>
      <c r="B74" s="1620"/>
      <c r="C74" s="1621"/>
      <c r="D74" s="1623" t="str">
        <f>D12</f>
        <v>Pressure</v>
      </c>
      <c r="E74" s="1623"/>
      <c r="F74" s="1623" t="str">
        <f t="shared" ref="F74:L74" si="19">F12</f>
        <v>Stack (°C)</v>
      </c>
      <c r="G74" s="1623" t="str">
        <f t="shared" si="19"/>
        <v>Yaw (°)</v>
      </c>
      <c r="H74" s="1623" t="str">
        <f>H12</f>
        <v>Pitch (°)</v>
      </c>
      <c r="I74" s="1623" t="str">
        <f t="shared" si="19"/>
        <v>Probe</v>
      </c>
      <c r="J74" s="1623" t="str">
        <f t="shared" si="19"/>
        <v>Impinger</v>
      </c>
      <c r="K74" s="1623" t="str">
        <f t="shared" si="19"/>
        <v>Sqrt(Pa)</v>
      </c>
      <c r="L74" s="1623" t="str">
        <f t="shared" si="19"/>
        <v>Gas Velocity</v>
      </c>
      <c r="M74" s="1624" t="s">
        <v>844</v>
      </c>
      <c r="P74" s="1620"/>
      <c r="Q74" s="1660" t="str">
        <f>Q12</f>
        <v>Temp</v>
      </c>
      <c r="R74" s="1660" t="str">
        <f>R12</f>
        <v>Velocity ΔP</v>
      </c>
      <c r="S74" s="1660" t="str">
        <f>S12</f>
        <v>Yaw</v>
      </c>
      <c r="T74" s="1661" t="str">
        <f>T12</f>
        <v>Pitch ΔP</v>
      </c>
      <c r="U74" s="2489"/>
      <c r="V74" s="1659" t="str">
        <f t="shared" ref="V74:AB74" si="20">V12</f>
        <v>Temp</v>
      </c>
      <c r="W74" s="1660" t="str">
        <f t="shared" si="20"/>
        <v>Velocity ΔP</v>
      </c>
      <c r="X74" s="1660" t="str">
        <f t="shared" si="20"/>
        <v>Pitch ΔP</v>
      </c>
      <c r="Y74" s="1660" t="str">
        <f t="shared" si="20"/>
        <v>F1</v>
      </c>
      <c r="Z74" s="1660" t="str">
        <f>Z12&amp;Z13</f>
        <v>Yaw (°)</v>
      </c>
      <c r="AA74" s="1660" t="str">
        <f>AA12&amp;AA13</f>
        <v>Pitch (°)</v>
      </c>
      <c r="AB74" s="1661" t="str">
        <f t="shared" si="20"/>
        <v>F2</v>
      </c>
    </row>
    <row r="75" spans="1:28" ht="10.5" customHeight="1">
      <c r="A75" s="2437" t="b">
        <v>1</v>
      </c>
      <c r="B75" s="1620"/>
      <c r="C75" s="1621" t="s">
        <v>1460</v>
      </c>
      <c r="D75" s="1625" t="e">
        <f>AVERAGE(D14:D73)</f>
        <v>#DIV/0!</v>
      </c>
      <c r="E75" s="1625"/>
      <c r="F75" s="1626" t="e">
        <f t="shared" ref="F75:M75" si="21">AVERAGE(F14:F73)</f>
        <v>#DIV/0!</v>
      </c>
      <c r="G75" s="1625" t="e">
        <f t="shared" si="21"/>
        <v>#DIV/0!</v>
      </c>
      <c r="H75" s="1625" t="e">
        <f>AVERAGE(H14:H73)</f>
        <v>#DIV/0!</v>
      </c>
      <c r="I75" s="1626" t="e">
        <f t="shared" si="21"/>
        <v>#DIV/0!</v>
      </c>
      <c r="J75" s="1626" t="e">
        <f t="shared" si="21"/>
        <v>#DIV/0!</v>
      </c>
      <c r="K75" s="1627" t="e">
        <f t="shared" si="21"/>
        <v>#DIV/0!</v>
      </c>
      <c r="L75" s="1627" t="e">
        <f t="shared" si="21"/>
        <v>#DIV/0!</v>
      </c>
      <c r="M75" s="1628" t="e">
        <f t="shared" si="21"/>
        <v>#DIV/0!</v>
      </c>
      <c r="P75" s="1620"/>
      <c r="Q75" s="1670" t="e">
        <f>AVERAGE(Q14:Q73)</f>
        <v>#DIV/0!</v>
      </c>
      <c r="R75" s="1664" t="e">
        <f>AVERAGE(R14:R73)</f>
        <v>#DIV/0!</v>
      </c>
      <c r="S75" s="1664" t="e">
        <f>AVERAGE(S14:S73)</f>
        <v>#DIV/0!</v>
      </c>
      <c r="T75" s="1665" t="e">
        <f>AVERAGE(T14:T73)</f>
        <v>#DIV/0!</v>
      </c>
      <c r="U75" s="2489"/>
      <c r="V75" s="1662" t="e">
        <f t="shared" ref="V75:AB75" si="22">AVERAGE(V14:V73)</f>
        <v>#DIV/0!</v>
      </c>
      <c r="W75" s="1663" t="e">
        <f t="shared" si="22"/>
        <v>#DIV/0!</v>
      </c>
      <c r="X75" s="1663" t="e">
        <f t="shared" si="22"/>
        <v>#DIV/0!</v>
      </c>
      <c r="Y75" s="1664" t="e">
        <f t="shared" si="22"/>
        <v>#DIV/0!</v>
      </c>
      <c r="Z75" s="1664" t="e">
        <f t="shared" si="22"/>
        <v>#DIV/0!</v>
      </c>
      <c r="AA75" s="1663" t="e">
        <f t="shared" si="22"/>
        <v>#DIV/0!</v>
      </c>
      <c r="AB75" s="1665" t="e">
        <f t="shared" si="22"/>
        <v>#DIV/0!</v>
      </c>
    </row>
    <row r="76" spans="1:28" ht="10.5" customHeight="1" thickBot="1">
      <c r="A76" s="2437" t="b">
        <v>1</v>
      </c>
      <c r="B76" s="1622"/>
      <c r="C76" s="1601"/>
      <c r="D76" s="1629" t="str">
        <f>IF(ISERROR(D75),"",IF(D75&lt;AftFlowDL1,"&lt;",""))</f>
        <v/>
      </c>
      <c r="E76" s="1629"/>
      <c r="F76" s="1630" t="e">
        <f>F75+273.15</f>
        <v>#DIV/0!</v>
      </c>
      <c r="G76" s="1630"/>
      <c r="H76" s="1630"/>
      <c r="I76" s="1630"/>
      <c r="J76" s="1630"/>
      <c r="K76" s="1631"/>
      <c r="L76" s="1632"/>
      <c r="M76" s="1633"/>
      <c r="P76" s="1622"/>
      <c r="Q76" s="1667"/>
      <c r="R76" s="1667"/>
      <c r="S76" s="1667"/>
      <c r="T76" s="1668"/>
      <c r="U76" s="2489"/>
      <c r="V76" s="1666"/>
      <c r="W76" s="1667"/>
      <c r="X76" s="1667"/>
      <c r="Y76" s="1667"/>
      <c r="Z76" s="1667"/>
      <c r="AA76" s="1667"/>
      <c r="AB76" s="1668"/>
    </row>
    <row r="77" spans="1:28" ht="10.5" customHeight="1" thickBot="1">
      <c r="A77" s="2437" t="b">
        <v>1</v>
      </c>
      <c r="B77" s="2454" t="s">
        <v>41</v>
      </c>
      <c r="C77" s="2454" t="s">
        <v>41</v>
      </c>
      <c r="D77" s="2454" t="s">
        <v>41</v>
      </c>
      <c r="E77" s="2454"/>
      <c r="F77" s="2454" t="s">
        <v>41</v>
      </c>
      <c r="G77" s="2454" t="s">
        <v>41</v>
      </c>
      <c r="H77" s="2454"/>
      <c r="I77" s="2455" t="s">
        <v>41</v>
      </c>
      <c r="J77" s="2455" t="s">
        <v>41</v>
      </c>
      <c r="K77" s="2455" t="s">
        <v>41</v>
      </c>
      <c r="L77" s="2455" t="s">
        <v>41</v>
      </c>
      <c r="M77" s="2455" t="s">
        <v>41</v>
      </c>
      <c r="P77" s="2488"/>
    </row>
    <row r="78" spans="1:28" ht="10.5" customHeight="1">
      <c r="A78" s="2437" t="b">
        <v>1</v>
      </c>
      <c r="B78" s="1616" t="s">
        <v>9</v>
      </c>
      <c r="C78" s="1606"/>
      <c r="D78" s="1587" t="str">
        <f>IF(PitotID2="anemom","Velocity","Pressure")</f>
        <v>Pressure</v>
      </c>
      <c r="E78" s="1611" t="s">
        <v>1721</v>
      </c>
      <c r="F78" s="1612" t="s">
        <v>1448</v>
      </c>
      <c r="G78" s="1587" t="s">
        <v>835</v>
      </c>
      <c r="H78" s="1587" t="s">
        <v>836</v>
      </c>
      <c r="I78" s="1587" t="s">
        <v>59</v>
      </c>
      <c r="J78" s="1587" t="s">
        <v>303</v>
      </c>
      <c r="K78" s="1587" t="str">
        <f>"Sqrt"&amp;"("&amp;DPU&amp;")"</f>
        <v>Sqrt(Pa)</v>
      </c>
      <c r="L78" s="1587" t="s">
        <v>533</v>
      </c>
      <c r="M78" s="1613" t="s">
        <v>533</v>
      </c>
      <c r="O78" s="2485" t="s">
        <v>9</v>
      </c>
      <c r="P78" s="1642"/>
      <c r="Q78" s="1643" t="s">
        <v>855</v>
      </c>
      <c r="R78" s="1644" t="s">
        <v>858</v>
      </c>
      <c r="S78" s="1643" t="s">
        <v>837</v>
      </c>
      <c r="T78" s="1645" t="s">
        <v>865</v>
      </c>
      <c r="U78" s="2486"/>
      <c r="V78" s="1649" t="s">
        <v>855</v>
      </c>
      <c r="W78" s="1644" t="s">
        <v>858</v>
      </c>
      <c r="X78" s="1644" t="s">
        <v>859</v>
      </c>
      <c r="Y78" s="1644" t="s">
        <v>840</v>
      </c>
      <c r="Z78" s="1644" t="s">
        <v>837</v>
      </c>
      <c r="AA78" s="1644" t="s">
        <v>838</v>
      </c>
      <c r="AB78" s="1650" t="s">
        <v>842</v>
      </c>
    </row>
    <row r="79" spans="1:28" ht="10.5" customHeight="1">
      <c r="A79" s="2437" t="str">
        <f>IF(TestReport="Test 1 only",TRUE,IF(StackTempAft2="","",TRUE))</f>
        <v/>
      </c>
      <c r="B79" s="1617"/>
      <c r="C79" s="1614" t="s">
        <v>14</v>
      </c>
      <c r="D79" s="1614" t="str">
        <f>IF(PitotID2="anemom","("&amp;VU&amp;")","("&amp;DPU&amp;")")</f>
        <v>(Pa)</v>
      </c>
      <c r="E79" s="1187">
        <f>IF(PitotIDAft2="Anemom (Hot)",0.02,IF(PitotIDAft2="Anemom (Vane)",0.4,IF(Flowmeter2="ECS",0.1,2)))</f>
        <v>2</v>
      </c>
      <c r="F79" s="675"/>
      <c r="G79" s="1614"/>
      <c r="H79" s="1614"/>
      <c r="I79" s="1614" t="s">
        <v>53</v>
      </c>
      <c r="J79" s="1614" t="s">
        <v>53</v>
      </c>
      <c r="K79" s="1614"/>
      <c r="L79" s="1614" t="s">
        <v>634</v>
      </c>
      <c r="M79" s="1615" t="s">
        <v>843</v>
      </c>
      <c r="O79" s="2485" t="s">
        <v>839</v>
      </c>
      <c r="P79" s="1646"/>
      <c r="Q79" s="1647"/>
      <c r="R79" s="1647"/>
      <c r="S79" s="1647"/>
      <c r="T79" s="1648"/>
      <c r="U79" s="2486"/>
      <c r="V79" s="1651" t="s">
        <v>53</v>
      </c>
      <c r="W79" s="1652" t="s">
        <v>863</v>
      </c>
      <c r="X79" s="1652" t="s">
        <v>863</v>
      </c>
      <c r="Y79" s="1653"/>
      <c r="Z79" s="1652" t="s">
        <v>857</v>
      </c>
      <c r="AA79" s="1652" t="s">
        <v>857</v>
      </c>
      <c r="AB79" s="1654"/>
    </row>
    <row r="80" spans="1:28" ht="10.5" customHeight="1">
      <c r="A80" s="2437" t="b">
        <f t="shared" ref="A80:A111" si="23">IF(TestReport="Test 1 only",TRUE,IF(AND(ISNUMBER(D80),ISNUMBER(C80)),TRUE,IF(OR(ISNUMBER(D80),ISNUMBER(C80)),"",TRUE)))</f>
        <v>1</v>
      </c>
      <c r="B80" s="1618" t="str">
        <f>'Flows &amp; Isokinetics'!E15</f>
        <v/>
      </c>
      <c r="C80" s="1619" t="str">
        <f>'Flows &amp; Isokinetics'!F15</f>
        <v/>
      </c>
      <c r="D80" s="2434" t="str">
        <f>IF(W80="","",W80)</f>
        <v/>
      </c>
      <c r="E80" s="2434" t="str">
        <f>IF(D80="","",IF(D80&lt;E$79,E$79,D80))</f>
        <v/>
      </c>
      <c r="F80" s="2445" t="str">
        <f t="shared" ref="F80:F111" si="24">IF(ISNUMBER(D80),IF(ISNUMBER(StackTempAft2),StackTempAft2,IF(V80="","",V80)),"")</f>
        <v/>
      </c>
      <c r="G80" s="2434" t="str">
        <f t="shared" ref="G80:G139" si="25">IF(ISNUMBER(Z80),Z80,IF(ISNUMBER($C80),0,""))</f>
        <v/>
      </c>
      <c r="H80" s="2434" t="str">
        <f t="shared" ref="H80:H139" si="26">IF(ISNUMBER(AA80),AA80,IF(ISNUMBER($C80),0,""))</f>
        <v/>
      </c>
      <c r="I80" s="92"/>
      <c r="J80" s="92"/>
      <c r="K80" s="1634" t="str">
        <f>IF(D80="","",SQRT(E80))</f>
        <v/>
      </c>
      <c r="L80" s="1634" t="str">
        <f>Velocity(PitotIDAft2,PitotCoeffAft2,AB80,E80,F80,StackTempAvgAft2,AbsPressAft2,MolecularWt)</f>
        <v/>
      </c>
      <c r="M80" s="1635" t="str">
        <f>Velocity3D(L80,G80,H80)</f>
        <v/>
      </c>
      <c r="O80" s="2487" t="s">
        <v>1407</v>
      </c>
      <c r="P80" s="1669" t="str">
        <f>'Flows &amp; Isokinetics'!E81</f>
        <v/>
      </c>
      <c r="Q80" s="2480"/>
      <c r="R80" s="2480"/>
      <c r="S80" s="2480"/>
      <c r="T80" s="2479"/>
      <c r="U80" s="2486"/>
      <c r="V80" s="1655" t="str">
        <f>IF(Q80="","",$Q$9*(Q80-$Q$10))</f>
        <v/>
      </c>
      <c r="W80" s="1656" t="str">
        <f>IF(R80="","",$R$9*(R80-$R$10)*249.089)</f>
        <v/>
      </c>
      <c r="X80" s="1656" t="str">
        <f>IF(T80="","",$T$9*(T80-$T$10)*249.089)</f>
        <v/>
      </c>
      <c r="Y80" s="1657" t="str">
        <f>IF(W80="","",X80/W80)</f>
        <v/>
      </c>
      <c r="Z80" s="1656" t="str">
        <f>IF(S80="","",$S$9*(S80-$S$10)-YawCorr)</f>
        <v/>
      </c>
      <c r="AA80" s="1656" t="str">
        <f>IF(Y80="","",K$6*Y80^3+K$7*Y80^2+K$8*Y80+K$9)</f>
        <v/>
      </c>
      <c r="AB80" s="1658" t="str">
        <f>IF(AA80="","",L$6*AA80^3+L$7*AA80^2+L$8*AA80+L$9)</f>
        <v/>
      </c>
    </row>
    <row r="81" spans="1:28" ht="10.5" customHeight="1">
      <c r="A81" s="2437" t="b">
        <f t="shared" si="23"/>
        <v>1</v>
      </c>
      <c r="B81" s="1618" t="str">
        <f>'Flows &amp; Isokinetics'!E16</f>
        <v/>
      </c>
      <c r="C81" s="1619" t="str">
        <f>'Flows &amp; Isokinetics'!F16</f>
        <v/>
      </c>
      <c r="D81" s="2434" t="str">
        <f t="shared" ref="D81:D139" si="27">IF(W81="","",W81)</f>
        <v/>
      </c>
      <c r="E81" s="2434" t="str">
        <f t="shared" ref="E81:E138" si="28">IF(D81="","",IF(D81&lt;E$79,E$79,D81))</f>
        <v/>
      </c>
      <c r="F81" s="2445" t="str">
        <f t="shared" si="24"/>
        <v/>
      </c>
      <c r="G81" s="2434" t="str">
        <f t="shared" si="25"/>
        <v/>
      </c>
      <c r="H81" s="2434" t="str">
        <f t="shared" si="26"/>
        <v/>
      </c>
      <c r="I81" s="92"/>
      <c r="J81" s="92"/>
      <c r="K81" s="1634" t="str">
        <f t="shared" ref="K81:K103" si="29">IF(D81="","",SQRT(E81))</f>
        <v/>
      </c>
      <c r="L81" s="1634" t="str">
        <f>Velocity(PitotIDAft2,PitotCoeffAft2,AB81,E81,F81,StackTempAvgAft2,AbsPressAft2,MolecularWt)</f>
        <v/>
      </c>
      <c r="M81" s="1635" t="str">
        <f t="shared" ref="M81:M103" si="30">Velocity3D(L81,G81,H81)</f>
        <v/>
      </c>
      <c r="P81" s="1669" t="str">
        <f>'Flows &amp; Isokinetics'!E82</f>
        <v/>
      </c>
      <c r="Q81" s="2480"/>
      <c r="R81" s="2480"/>
      <c r="S81" s="2480"/>
      <c r="T81" s="2479"/>
      <c r="U81" s="2486"/>
      <c r="V81" s="1655" t="str">
        <f t="shared" ref="V81:V139" si="31">IF(Q81="","",$Q$9*(Q81-$Q$10))</f>
        <v/>
      </c>
      <c r="W81" s="1656" t="str">
        <f t="shared" ref="W81:W139" si="32">IF(R81="","",$R$9*(R81-$R$10)*249.089)</f>
        <v/>
      </c>
      <c r="X81" s="1656" t="str">
        <f t="shared" ref="X81:X139" si="33">IF(T81="","",$T$9*(T81-$T$10)*249.089)</f>
        <v/>
      </c>
      <c r="Y81" s="1657" t="str">
        <f t="shared" ref="Y81:Y139" si="34">IF(W81="","",X81/W81)</f>
        <v/>
      </c>
      <c r="Z81" s="1656" t="str">
        <f t="shared" ref="Z81:Z139" si="35">IF(S81="","",$S$9*(S81-$S$10)-YawCorr)</f>
        <v/>
      </c>
      <c r="AA81" s="1656" t="str">
        <f t="shared" ref="AA81:AA139" si="36">IF(Y81="","",K$6*Y81^3+K$7*Y81^2+K$8*Y81+K$9)</f>
        <v/>
      </c>
      <c r="AB81" s="1658" t="str">
        <f t="shared" ref="AB81:AB139" si="37">IF(AA81="","",L$6*AA81^3+L$7*AA81^2+L$8*AA81+L$9)</f>
        <v/>
      </c>
    </row>
    <row r="82" spans="1:28" ht="10.5" customHeight="1">
      <c r="A82" s="2437" t="b">
        <f t="shared" si="23"/>
        <v>1</v>
      </c>
      <c r="B82" s="1618" t="str">
        <f>'Flows &amp; Isokinetics'!E17</f>
        <v/>
      </c>
      <c r="C82" s="1619" t="str">
        <f>'Flows &amp; Isokinetics'!F17</f>
        <v/>
      </c>
      <c r="D82" s="2434" t="str">
        <f t="shared" si="27"/>
        <v/>
      </c>
      <c r="E82" s="2434" t="str">
        <f t="shared" si="28"/>
        <v/>
      </c>
      <c r="F82" s="2445" t="str">
        <f t="shared" si="24"/>
        <v/>
      </c>
      <c r="G82" s="2434" t="str">
        <f t="shared" si="25"/>
        <v/>
      </c>
      <c r="H82" s="2434" t="str">
        <f t="shared" si="26"/>
        <v/>
      </c>
      <c r="I82" s="92"/>
      <c r="J82" s="92"/>
      <c r="K82" s="1634" t="str">
        <f t="shared" si="29"/>
        <v/>
      </c>
      <c r="L82" s="1634" t="str">
        <f>Velocity(PitotIDAft2,PitotCoeffAft2,AB82,E82,F82,StackTempAvgAft2,AbsPressAft2,MolecularWt)</f>
        <v/>
      </c>
      <c r="M82" s="1635" t="str">
        <f t="shared" si="30"/>
        <v/>
      </c>
      <c r="P82" s="1669" t="str">
        <f>'Flows &amp; Isokinetics'!E83</f>
        <v/>
      </c>
      <c r="Q82" s="2480"/>
      <c r="R82" s="2480"/>
      <c r="S82" s="2480"/>
      <c r="T82" s="2479"/>
      <c r="U82" s="2486"/>
      <c r="V82" s="1655" t="str">
        <f t="shared" si="31"/>
        <v/>
      </c>
      <c r="W82" s="1656" t="str">
        <f t="shared" si="32"/>
        <v/>
      </c>
      <c r="X82" s="1656" t="str">
        <f t="shared" si="33"/>
        <v/>
      </c>
      <c r="Y82" s="1657" t="str">
        <f t="shared" si="34"/>
        <v/>
      </c>
      <c r="Z82" s="1656" t="str">
        <f t="shared" si="35"/>
        <v/>
      </c>
      <c r="AA82" s="1656" t="str">
        <f t="shared" si="36"/>
        <v/>
      </c>
      <c r="AB82" s="1658" t="str">
        <f t="shared" si="37"/>
        <v/>
      </c>
    </row>
    <row r="83" spans="1:28" ht="10.5" customHeight="1">
      <c r="A83" s="2437" t="b">
        <f t="shared" si="23"/>
        <v>1</v>
      </c>
      <c r="B83" s="1618" t="str">
        <f>'Flows &amp; Isokinetics'!E18</f>
        <v/>
      </c>
      <c r="C83" s="1619" t="str">
        <f>'Flows &amp; Isokinetics'!F18</f>
        <v/>
      </c>
      <c r="D83" s="2434" t="str">
        <f t="shared" si="27"/>
        <v/>
      </c>
      <c r="E83" s="2434" t="str">
        <f t="shared" si="28"/>
        <v/>
      </c>
      <c r="F83" s="2445" t="str">
        <f t="shared" si="24"/>
        <v/>
      </c>
      <c r="G83" s="2434" t="str">
        <f t="shared" si="25"/>
        <v/>
      </c>
      <c r="H83" s="2434" t="str">
        <f t="shared" si="26"/>
        <v/>
      </c>
      <c r="I83" s="92"/>
      <c r="J83" s="92"/>
      <c r="K83" s="1634" t="str">
        <f t="shared" si="29"/>
        <v/>
      </c>
      <c r="L83" s="1634" t="str">
        <f>Velocity(PitotIDAft2,PitotCoeffAft2,AB83,E83,F83,StackTempAvgAft2,AbsPressAft2,MolecularWt)</f>
        <v/>
      </c>
      <c r="M83" s="1635" t="str">
        <f t="shared" si="30"/>
        <v/>
      </c>
      <c r="P83" s="1669" t="str">
        <f>'Flows &amp; Isokinetics'!E84</f>
        <v/>
      </c>
      <c r="Q83" s="2480"/>
      <c r="R83" s="2480"/>
      <c r="S83" s="2480"/>
      <c r="T83" s="2479"/>
      <c r="U83" s="2486"/>
      <c r="V83" s="1655" t="str">
        <f t="shared" si="31"/>
        <v/>
      </c>
      <c r="W83" s="1656" t="str">
        <f t="shared" si="32"/>
        <v/>
      </c>
      <c r="X83" s="1656" t="str">
        <f t="shared" si="33"/>
        <v/>
      </c>
      <c r="Y83" s="1657" t="str">
        <f t="shared" si="34"/>
        <v/>
      </c>
      <c r="Z83" s="1656" t="str">
        <f t="shared" si="35"/>
        <v/>
      </c>
      <c r="AA83" s="1656" t="str">
        <f t="shared" si="36"/>
        <v/>
      </c>
      <c r="AB83" s="1658" t="str">
        <f t="shared" si="37"/>
        <v/>
      </c>
    </row>
    <row r="84" spans="1:28" ht="10.5" customHeight="1">
      <c r="A84" s="2437" t="b">
        <f t="shared" si="23"/>
        <v>1</v>
      </c>
      <c r="B84" s="1618" t="str">
        <f>'Flows &amp; Isokinetics'!E19</f>
        <v/>
      </c>
      <c r="C84" s="1619" t="str">
        <f>'Flows &amp; Isokinetics'!F19</f>
        <v/>
      </c>
      <c r="D84" s="2434" t="str">
        <f t="shared" si="27"/>
        <v/>
      </c>
      <c r="E84" s="2434" t="str">
        <f t="shared" si="28"/>
        <v/>
      </c>
      <c r="F84" s="2445" t="str">
        <f t="shared" si="24"/>
        <v/>
      </c>
      <c r="G84" s="2434" t="str">
        <f t="shared" si="25"/>
        <v/>
      </c>
      <c r="H84" s="2434" t="str">
        <f t="shared" si="26"/>
        <v/>
      </c>
      <c r="I84" s="92"/>
      <c r="J84" s="92"/>
      <c r="K84" s="1634" t="str">
        <f t="shared" si="29"/>
        <v/>
      </c>
      <c r="L84" s="1634" t="str">
        <f>Velocity(PitotIDAft2,PitotCoeffAft2,AB84,E84,F84,StackTempAvgAft2,AbsPressAft2,MolecularWt)</f>
        <v/>
      </c>
      <c r="M84" s="1635" t="str">
        <f t="shared" si="30"/>
        <v/>
      </c>
      <c r="P84" s="1669" t="str">
        <f>'Flows &amp; Isokinetics'!E85</f>
        <v/>
      </c>
      <c r="Q84" s="2480"/>
      <c r="R84" s="2480"/>
      <c r="S84" s="2480"/>
      <c r="T84" s="2479"/>
      <c r="U84" s="2486"/>
      <c r="V84" s="1655" t="str">
        <f t="shared" si="31"/>
        <v/>
      </c>
      <c r="W84" s="1656" t="str">
        <f t="shared" si="32"/>
        <v/>
      </c>
      <c r="X84" s="1656" t="str">
        <f t="shared" si="33"/>
        <v/>
      </c>
      <c r="Y84" s="1657" t="str">
        <f t="shared" si="34"/>
        <v/>
      </c>
      <c r="Z84" s="1656" t="str">
        <f t="shared" si="35"/>
        <v/>
      </c>
      <c r="AA84" s="1656" t="str">
        <f t="shared" si="36"/>
        <v/>
      </c>
      <c r="AB84" s="1658" t="str">
        <f t="shared" si="37"/>
        <v/>
      </c>
    </row>
    <row r="85" spans="1:28" ht="10.5" customHeight="1">
      <c r="A85" s="2437" t="b">
        <f t="shared" si="23"/>
        <v>1</v>
      </c>
      <c r="B85" s="1618" t="str">
        <f>'Flows &amp; Isokinetics'!E20</f>
        <v/>
      </c>
      <c r="C85" s="1619" t="str">
        <f>'Flows &amp; Isokinetics'!F20</f>
        <v/>
      </c>
      <c r="D85" s="2434" t="str">
        <f t="shared" si="27"/>
        <v/>
      </c>
      <c r="E85" s="2434" t="str">
        <f t="shared" si="28"/>
        <v/>
      </c>
      <c r="F85" s="2445" t="str">
        <f t="shared" si="24"/>
        <v/>
      </c>
      <c r="G85" s="2434" t="str">
        <f t="shared" si="25"/>
        <v/>
      </c>
      <c r="H85" s="2434" t="str">
        <f t="shared" si="26"/>
        <v/>
      </c>
      <c r="I85" s="92"/>
      <c r="J85" s="92"/>
      <c r="K85" s="1634" t="str">
        <f t="shared" si="29"/>
        <v/>
      </c>
      <c r="L85" s="1634" t="str">
        <f>Velocity(PitotIDAft2,PitotCoeffAft2,AB85,E85,F85,StackTempAvgAft2,AbsPressAft2,MolecularWt)</f>
        <v/>
      </c>
      <c r="M85" s="1635" t="str">
        <f t="shared" si="30"/>
        <v/>
      </c>
      <c r="P85" s="1669" t="str">
        <f>'Flows &amp; Isokinetics'!E86</f>
        <v/>
      </c>
      <c r="Q85" s="2480"/>
      <c r="R85" s="2480"/>
      <c r="S85" s="2480"/>
      <c r="T85" s="2479"/>
      <c r="U85" s="2486"/>
      <c r="V85" s="1655" t="str">
        <f t="shared" si="31"/>
        <v/>
      </c>
      <c r="W85" s="1656" t="str">
        <f t="shared" si="32"/>
        <v/>
      </c>
      <c r="X85" s="1656" t="str">
        <f t="shared" si="33"/>
        <v/>
      </c>
      <c r="Y85" s="1657" t="str">
        <f t="shared" si="34"/>
        <v/>
      </c>
      <c r="Z85" s="1656" t="str">
        <f t="shared" si="35"/>
        <v/>
      </c>
      <c r="AA85" s="1656" t="str">
        <f t="shared" si="36"/>
        <v/>
      </c>
      <c r="AB85" s="1658" t="str">
        <f t="shared" si="37"/>
        <v/>
      </c>
    </row>
    <row r="86" spans="1:28" ht="10.5" customHeight="1">
      <c r="A86" s="2437" t="b">
        <f t="shared" si="23"/>
        <v>1</v>
      </c>
      <c r="B86" s="1618" t="str">
        <f>'Flows &amp; Isokinetics'!E21</f>
        <v/>
      </c>
      <c r="C86" s="1619" t="str">
        <f>'Flows &amp; Isokinetics'!F21</f>
        <v/>
      </c>
      <c r="D86" s="2434" t="str">
        <f t="shared" si="27"/>
        <v/>
      </c>
      <c r="E86" s="2434" t="str">
        <f t="shared" si="28"/>
        <v/>
      </c>
      <c r="F86" s="2445" t="str">
        <f t="shared" si="24"/>
        <v/>
      </c>
      <c r="G86" s="2434" t="str">
        <f t="shared" si="25"/>
        <v/>
      </c>
      <c r="H86" s="2434" t="str">
        <f t="shared" si="26"/>
        <v/>
      </c>
      <c r="I86" s="92"/>
      <c r="J86" s="92"/>
      <c r="K86" s="1634" t="str">
        <f t="shared" si="29"/>
        <v/>
      </c>
      <c r="L86" s="1634" t="str">
        <f>Velocity(PitotIDAft2,PitotCoeffAft2,AB86,E86,F86,StackTempAvgAft2,AbsPressAft2,MolecularWt)</f>
        <v/>
      </c>
      <c r="M86" s="1635" t="str">
        <f t="shared" si="30"/>
        <v/>
      </c>
      <c r="P86" s="1669" t="str">
        <f>'Flows &amp; Isokinetics'!E87</f>
        <v/>
      </c>
      <c r="Q86" s="2480"/>
      <c r="R86" s="2480"/>
      <c r="S86" s="2480"/>
      <c r="T86" s="2479"/>
      <c r="U86" s="2486"/>
      <c r="V86" s="1655" t="str">
        <f t="shared" si="31"/>
        <v/>
      </c>
      <c r="W86" s="1656" t="str">
        <f t="shared" si="32"/>
        <v/>
      </c>
      <c r="X86" s="1656" t="str">
        <f t="shared" si="33"/>
        <v/>
      </c>
      <c r="Y86" s="1657" t="str">
        <f t="shared" si="34"/>
        <v/>
      </c>
      <c r="Z86" s="1656" t="str">
        <f t="shared" si="35"/>
        <v/>
      </c>
      <c r="AA86" s="1656" t="str">
        <f t="shared" si="36"/>
        <v/>
      </c>
      <c r="AB86" s="1658" t="str">
        <f t="shared" si="37"/>
        <v/>
      </c>
    </row>
    <row r="87" spans="1:28" ht="10.5" customHeight="1">
      <c r="A87" s="2437" t="b">
        <f t="shared" si="23"/>
        <v>1</v>
      </c>
      <c r="B87" s="1618" t="str">
        <f>'Flows &amp; Isokinetics'!E22</f>
        <v/>
      </c>
      <c r="C87" s="1619" t="str">
        <f>'Flows &amp; Isokinetics'!F22</f>
        <v/>
      </c>
      <c r="D87" s="2434" t="str">
        <f t="shared" si="27"/>
        <v/>
      </c>
      <c r="E87" s="2434" t="str">
        <f t="shared" si="28"/>
        <v/>
      </c>
      <c r="F87" s="2445" t="str">
        <f t="shared" si="24"/>
        <v/>
      </c>
      <c r="G87" s="2434" t="str">
        <f t="shared" si="25"/>
        <v/>
      </c>
      <c r="H87" s="2434" t="str">
        <f t="shared" si="26"/>
        <v/>
      </c>
      <c r="I87" s="92"/>
      <c r="J87" s="92"/>
      <c r="K87" s="1634" t="str">
        <f t="shared" si="29"/>
        <v/>
      </c>
      <c r="L87" s="1634" t="str">
        <f>Velocity(PitotIDAft2,PitotCoeffAft2,AB87,E87,F87,StackTempAvgAft2,AbsPressAft2,MolecularWt)</f>
        <v/>
      </c>
      <c r="M87" s="1635" t="str">
        <f t="shared" si="30"/>
        <v/>
      </c>
      <c r="P87" s="1669" t="str">
        <f>'Flows &amp; Isokinetics'!E88</f>
        <v/>
      </c>
      <c r="Q87" s="2480"/>
      <c r="R87" s="2480"/>
      <c r="S87" s="2480"/>
      <c r="T87" s="2479"/>
      <c r="U87" s="2486"/>
      <c r="V87" s="1655" t="str">
        <f t="shared" si="31"/>
        <v/>
      </c>
      <c r="W87" s="1656" t="str">
        <f t="shared" si="32"/>
        <v/>
      </c>
      <c r="X87" s="1656" t="str">
        <f t="shared" si="33"/>
        <v/>
      </c>
      <c r="Y87" s="1657" t="str">
        <f t="shared" si="34"/>
        <v/>
      </c>
      <c r="Z87" s="1656" t="str">
        <f t="shared" si="35"/>
        <v/>
      </c>
      <c r="AA87" s="1656" t="str">
        <f t="shared" si="36"/>
        <v/>
      </c>
      <c r="AB87" s="1658" t="str">
        <f t="shared" si="37"/>
        <v/>
      </c>
    </row>
    <row r="88" spans="1:28" ht="10.5" customHeight="1">
      <c r="A88" s="2437" t="b">
        <f t="shared" si="23"/>
        <v>1</v>
      </c>
      <c r="B88" s="1618" t="str">
        <f>'Flows &amp; Isokinetics'!E23</f>
        <v/>
      </c>
      <c r="C88" s="1619" t="str">
        <f>'Flows &amp; Isokinetics'!F23</f>
        <v/>
      </c>
      <c r="D88" s="2434" t="str">
        <f t="shared" si="27"/>
        <v/>
      </c>
      <c r="E88" s="2434" t="str">
        <f t="shared" si="28"/>
        <v/>
      </c>
      <c r="F88" s="2445" t="str">
        <f t="shared" si="24"/>
        <v/>
      </c>
      <c r="G88" s="2434" t="str">
        <f t="shared" si="25"/>
        <v/>
      </c>
      <c r="H88" s="2434" t="str">
        <f t="shared" si="26"/>
        <v/>
      </c>
      <c r="I88" s="92"/>
      <c r="J88" s="92"/>
      <c r="K88" s="1634" t="str">
        <f t="shared" si="29"/>
        <v/>
      </c>
      <c r="L88" s="1634" t="str">
        <f>Velocity(PitotIDAft2,PitotCoeffAft2,AB88,E88,F88,StackTempAvgAft2,AbsPressAft2,MolecularWt)</f>
        <v/>
      </c>
      <c r="M88" s="1635" t="str">
        <f t="shared" si="30"/>
        <v/>
      </c>
      <c r="P88" s="1669" t="str">
        <f>'Flows &amp; Isokinetics'!E89</f>
        <v/>
      </c>
      <c r="Q88" s="2480"/>
      <c r="R88" s="2480"/>
      <c r="S88" s="2480"/>
      <c r="T88" s="2479"/>
      <c r="U88" s="2486"/>
      <c r="V88" s="1655" t="str">
        <f t="shared" si="31"/>
        <v/>
      </c>
      <c r="W88" s="1656" t="str">
        <f t="shared" si="32"/>
        <v/>
      </c>
      <c r="X88" s="1656" t="str">
        <f t="shared" si="33"/>
        <v/>
      </c>
      <c r="Y88" s="1657" t="str">
        <f t="shared" si="34"/>
        <v/>
      </c>
      <c r="Z88" s="1656" t="str">
        <f t="shared" si="35"/>
        <v/>
      </c>
      <c r="AA88" s="1656" t="str">
        <f t="shared" si="36"/>
        <v/>
      </c>
      <c r="AB88" s="1658" t="str">
        <f t="shared" si="37"/>
        <v/>
      </c>
    </row>
    <row r="89" spans="1:28" ht="10.5" customHeight="1">
      <c r="A89" s="2437" t="b">
        <f t="shared" si="23"/>
        <v>1</v>
      </c>
      <c r="B89" s="1618" t="str">
        <f>'Flows &amp; Isokinetics'!E24</f>
        <v/>
      </c>
      <c r="C89" s="1619" t="str">
        <f>'Flows &amp; Isokinetics'!F24</f>
        <v/>
      </c>
      <c r="D89" s="2434" t="str">
        <f t="shared" si="27"/>
        <v/>
      </c>
      <c r="E89" s="2434" t="str">
        <f t="shared" si="28"/>
        <v/>
      </c>
      <c r="F89" s="2445" t="str">
        <f t="shared" si="24"/>
        <v/>
      </c>
      <c r="G89" s="2434" t="str">
        <f t="shared" si="25"/>
        <v/>
      </c>
      <c r="H89" s="2434" t="str">
        <f t="shared" si="26"/>
        <v/>
      </c>
      <c r="I89" s="92"/>
      <c r="J89" s="92"/>
      <c r="K89" s="1634" t="str">
        <f t="shared" si="29"/>
        <v/>
      </c>
      <c r="L89" s="1634" t="str">
        <f>Velocity(PitotIDAft2,PitotCoeffAft2,AB89,E89,F89,StackTempAvgAft2,AbsPressAft2,MolecularWt)</f>
        <v/>
      </c>
      <c r="M89" s="1635" t="str">
        <f t="shared" si="30"/>
        <v/>
      </c>
      <c r="P89" s="1669" t="str">
        <f>'Flows &amp; Isokinetics'!E90</f>
        <v/>
      </c>
      <c r="Q89" s="2480"/>
      <c r="R89" s="2480"/>
      <c r="S89" s="2480"/>
      <c r="T89" s="2479"/>
      <c r="U89" s="2486"/>
      <c r="V89" s="1655" t="str">
        <f t="shared" si="31"/>
        <v/>
      </c>
      <c r="W89" s="1656" t="str">
        <f t="shared" si="32"/>
        <v/>
      </c>
      <c r="X89" s="1656" t="str">
        <f t="shared" si="33"/>
        <v/>
      </c>
      <c r="Y89" s="1657" t="str">
        <f t="shared" si="34"/>
        <v/>
      </c>
      <c r="Z89" s="1656" t="str">
        <f t="shared" si="35"/>
        <v/>
      </c>
      <c r="AA89" s="1656" t="str">
        <f t="shared" si="36"/>
        <v/>
      </c>
      <c r="AB89" s="1658" t="str">
        <f t="shared" si="37"/>
        <v/>
      </c>
    </row>
    <row r="90" spans="1:28" ht="10.5" customHeight="1">
      <c r="A90" s="2437" t="b">
        <f t="shared" si="23"/>
        <v>1</v>
      </c>
      <c r="B90" s="1618" t="str">
        <f>'Flows &amp; Isokinetics'!E25</f>
        <v/>
      </c>
      <c r="C90" s="1619" t="str">
        <f>'Flows &amp; Isokinetics'!F25</f>
        <v/>
      </c>
      <c r="D90" s="2434" t="str">
        <f t="shared" si="27"/>
        <v/>
      </c>
      <c r="E90" s="2434" t="str">
        <f t="shared" si="28"/>
        <v/>
      </c>
      <c r="F90" s="2445" t="str">
        <f t="shared" si="24"/>
        <v/>
      </c>
      <c r="G90" s="2434" t="str">
        <f t="shared" si="25"/>
        <v/>
      </c>
      <c r="H90" s="2434" t="str">
        <f t="shared" si="26"/>
        <v/>
      </c>
      <c r="I90" s="92"/>
      <c r="J90" s="92"/>
      <c r="K90" s="1634" t="str">
        <f t="shared" si="29"/>
        <v/>
      </c>
      <c r="L90" s="1634" t="str">
        <f>Velocity(PitotIDAft2,PitotCoeffAft2,AB90,E90,F90,StackTempAvgAft2,AbsPressAft2,MolecularWt)</f>
        <v/>
      </c>
      <c r="M90" s="1635" t="str">
        <f t="shared" si="30"/>
        <v/>
      </c>
      <c r="P90" s="1669" t="str">
        <f>'Flows &amp; Isokinetics'!E91</f>
        <v/>
      </c>
      <c r="Q90" s="2480"/>
      <c r="R90" s="2480"/>
      <c r="S90" s="2480"/>
      <c r="T90" s="2479"/>
      <c r="U90" s="2486"/>
      <c r="V90" s="1655" t="str">
        <f t="shared" si="31"/>
        <v/>
      </c>
      <c r="W90" s="1656" t="str">
        <f t="shared" si="32"/>
        <v/>
      </c>
      <c r="X90" s="1656" t="str">
        <f t="shared" si="33"/>
        <v/>
      </c>
      <c r="Y90" s="1657" t="str">
        <f t="shared" si="34"/>
        <v/>
      </c>
      <c r="Z90" s="1656" t="str">
        <f t="shared" si="35"/>
        <v/>
      </c>
      <c r="AA90" s="1656" t="str">
        <f t="shared" si="36"/>
        <v/>
      </c>
      <c r="AB90" s="1658" t="str">
        <f t="shared" si="37"/>
        <v/>
      </c>
    </row>
    <row r="91" spans="1:28" ht="10.5" customHeight="1">
      <c r="A91" s="2437" t="b">
        <f t="shared" si="23"/>
        <v>1</v>
      </c>
      <c r="B91" s="1618" t="str">
        <f>'Flows &amp; Isokinetics'!E26</f>
        <v/>
      </c>
      <c r="C91" s="1619" t="str">
        <f>'Flows &amp; Isokinetics'!F26</f>
        <v/>
      </c>
      <c r="D91" s="2434" t="str">
        <f t="shared" si="27"/>
        <v/>
      </c>
      <c r="E91" s="2434" t="str">
        <f t="shared" si="28"/>
        <v/>
      </c>
      <c r="F91" s="2445" t="str">
        <f t="shared" si="24"/>
        <v/>
      </c>
      <c r="G91" s="2434" t="str">
        <f t="shared" si="25"/>
        <v/>
      </c>
      <c r="H91" s="2434" t="str">
        <f t="shared" si="26"/>
        <v/>
      </c>
      <c r="I91" s="92"/>
      <c r="J91" s="92"/>
      <c r="K91" s="1634" t="str">
        <f t="shared" si="29"/>
        <v/>
      </c>
      <c r="L91" s="1634" t="str">
        <f>Velocity(PitotIDAft2,PitotCoeffAft2,AB91,E91,F91,StackTempAvgAft2,AbsPressAft2,MolecularWt)</f>
        <v/>
      </c>
      <c r="M91" s="1635" t="str">
        <f t="shared" si="30"/>
        <v/>
      </c>
      <c r="P91" s="1669" t="str">
        <f>'Flows &amp; Isokinetics'!E92</f>
        <v/>
      </c>
      <c r="Q91" s="2480"/>
      <c r="R91" s="2480"/>
      <c r="S91" s="2480"/>
      <c r="T91" s="2479"/>
      <c r="U91" s="2486"/>
      <c r="V91" s="1655" t="str">
        <f t="shared" si="31"/>
        <v/>
      </c>
      <c r="W91" s="1656" t="str">
        <f t="shared" si="32"/>
        <v/>
      </c>
      <c r="X91" s="1656" t="str">
        <f t="shared" si="33"/>
        <v/>
      </c>
      <c r="Y91" s="1657" t="str">
        <f t="shared" si="34"/>
        <v/>
      </c>
      <c r="Z91" s="1656" t="str">
        <f t="shared" si="35"/>
        <v/>
      </c>
      <c r="AA91" s="1656" t="str">
        <f t="shared" si="36"/>
        <v/>
      </c>
      <c r="AB91" s="1658" t="str">
        <f t="shared" si="37"/>
        <v/>
      </c>
    </row>
    <row r="92" spans="1:28" ht="10.5" customHeight="1">
      <c r="A92" s="2437" t="b">
        <f t="shared" si="23"/>
        <v>1</v>
      </c>
      <c r="B92" s="1618" t="str">
        <f>'Flows &amp; Isokinetics'!E27</f>
        <v/>
      </c>
      <c r="C92" s="1619" t="str">
        <f>'Flows &amp; Isokinetics'!F27</f>
        <v/>
      </c>
      <c r="D92" s="2434" t="str">
        <f t="shared" si="27"/>
        <v/>
      </c>
      <c r="E92" s="2434" t="str">
        <f t="shared" si="28"/>
        <v/>
      </c>
      <c r="F92" s="2445" t="str">
        <f t="shared" si="24"/>
        <v/>
      </c>
      <c r="G92" s="2434" t="str">
        <f t="shared" si="25"/>
        <v/>
      </c>
      <c r="H92" s="2434" t="str">
        <f t="shared" si="26"/>
        <v/>
      </c>
      <c r="I92" s="92"/>
      <c r="J92" s="92"/>
      <c r="K92" s="1634" t="str">
        <f t="shared" si="29"/>
        <v/>
      </c>
      <c r="L92" s="1634" t="str">
        <f>Velocity(PitotIDAft2,PitotCoeffAft2,AB92,E92,F92,StackTempAvgAft2,AbsPressAft2,MolecularWt)</f>
        <v/>
      </c>
      <c r="M92" s="1635" t="str">
        <f t="shared" si="30"/>
        <v/>
      </c>
      <c r="P92" s="1669" t="str">
        <f>'Flows &amp; Isokinetics'!E93</f>
        <v/>
      </c>
      <c r="Q92" s="2480"/>
      <c r="R92" s="2480"/>
      <c r="S92" s="2480"/>
      <c r="T92" s="2479"/>
      <c r="U92" s="2486"/>
      <c r="V92" s="1655" t="str">
        <f t="shared" si="31"/>
        <v/>
      </c>
      <c r="W92" s="1656" t="str">
        <f t="shared" si="32"/>
        <v/>
      </c>
      <c r="X92" s="1656" t="str">
        <f t="shared" si="33"/>
        <v/>
      </c>
      <c r="Y92" s="1657" t="str">
        <f t="shared" si="34"/>
        <v/>
      </c>
      <c r="Z92" s="1656" t="str">
        <f t="shared" si="35"/>
        <v/>
      </c>
      <c r="AA92" s="1656" t="str">
        <f t="shared" si="36"/>
        <v/>
      </c>
      <c r="AB92" s="1658" t="str">
        <f t="shared" si="37"/>
        <v/>
      </c>
    </row>
    <row r="93" spans="1:28" ht="10.5" customHeight="1">
      <c r="A93" s="2437" t="b">
        <f t="shared" si="23"/>
        <v>1</v>
      </c>
      <c r="B93" s="1618" t="str">
        <f>'Flows &amp; Isokinetics'!E28</f>
        <v/>
      </c>
      <c r="C93" s="1619" t="str">
        <f>'Flows &amp; Isokinetics'!F28</f>
        <v/>
      </c>
      <c r="D93" s="2434" t="str">
        <f t="shared" si="27"/>
        <v/>
      </c>
      <c r="E93" s="2434" t="str">
        <f t="shared" si="28"/>
        <v/>
      </c>
      <c r="F93" s="2445" t="str">
        <f t="shared" si="24"/>
        <v/>
      </c>
      <c r="G93" s="2434" t="str">
        <f t="shared" si="25"/>
        <v/>
      </c>
      <c r="H93" s="2434" t="str">
        <f t="shared" si="26"/>
        <v/>
      </c>
      <c r="I93" s="92"/>
      <c r="J93" s="92"/>
      <c r="K93" s="1634" t="str">
        <f t="shared" si="29"/>
        <v/>
      </c>
      <c r="L93" s="1634" t="str">
        <f>Velocity(PitotIDAft2,PitotCoeffAft2,AB93,E93,F93,StackTempAvgAft2,AbsPressAft2,MolecularWt)</f>
        <v/>
      </c>
      <c r="M93" s="1635" t="str">
        <f t="shared" si="30"/>
        <v/>
      </c>
      <c r="P93" s="1669" t="str">
        <f>'Flows &amp; Isokinetics'!E94</f>
        <v/>
      </c>
      <c r="Q93" s="2480"/>
      <c r="R93" s="2480"/>
      <c r="S93" s="2480"/>
      <c r="T93" s="2479"/>
      <c r="U93" s="2486"/>
      <c r="V93" s="1655" t="str">
        <f t="shared" si="31"/>
        <v/>
      </c>
      <c r="W93" s="1656" t="str">
        <f t="shared" si="32"/>
        <v/>
      </c>
      <c r="X93" s="1656" t="str">
        <f t="shared" si="33"/>
        <v/>
      </c>
      <c r="Y93" s="1657" t="str">
        <f t="shared" si="34"/>
        <v/>
      </c>
      <c r="Z93" s="1656" t="str">
        <f t="shared" si="35"/>
        <v/>
      </c>
      <c r="AA93" s="1656" t="str">
        <f t="shared" si="36"/>
        <v/>
      </c>
      <c r="AB93" s="1658" t="str">
        <f t="shared" si="37"/>
        <v/>
      </c>
    </row>
    <row r="94" spans="1:28" ht="10.5" customHeight="1">
      <c r="A94" s="2437" t="b">
        <f t="shared" si="23"/>
        <v>1</v>
      </c>
      <c r="B94" s="1618" t="str">
        <f>'Flows &amp; Isokinetics'!E29</f>
        <v/>
      </c>
      <c r="C94" s="1619" t="str">
        <f>'Flows &amp; Isokinetics'!F29</f>
        <v/>
      </c>
      <c r="D94" s="2434" t="str">
        <f t="shared" si="27"/>
        <v/>
      </c>
      <c r="E94" s="2434" t="str">
        <f t="shared" si="28"/>
        <v/>
      </c>
      <c r="F94" s="2445" t="str">
        <f t="shared" si="24"/>
        <v/>
      </c>
      <c r="G94" s="2434" t="str">
        <f t="shared" si="25"/>
        <v/>
      </c>
      <c r="H94" s="2434" t="str">
        <f t="shared" si="26"/>
        <v/>
      </c>
      <c r="I94" s="92"/>
      <c r="J94" s="92"/>
      <c r="K94" s="1634" t="str">
        <f t="shared" si="29"/>
        <v/>
      </c>
      <c r="L94" s="1634" t="str">
        <f>Velocity(PitotIDAft2,PitotCoeffAft2,AB94,E94,F94,StackTempAvgAft2,AbsPressAft2,MolecularWt)</f>
        <v/>
      </c>
      <c r="M94" s="1635" t="str">
        <f t="shared" si="30"/>
        <v/>
      </c>
      <c r="P94" s="1669" t="str">
        <f>'Flows &amp; Isokinetics'!E95</f>
        <v/>
      </c>
      <c r="Q94" s="2480"/>
      <c r="R94" s="2480"/>
      <c r="S94" s="2480"/>
      <c r="T94" s="2479"/>
      <c r="U94" s="2486"/>
      <c r="V94" s="1655" t="str">
        <f t="shared" si="31"/>
        <v/>
      </c>
      <c r="W94" s="1656" t="str">
        <f t="shared" si="32"/>
        <v/>
      </c>
      <c r="X94" s="1656" t="str">
        <f t="shared" si="33"/>
        <v/>
      </c>
      <c r="Y94" s="1657" t="str">
        <f t="shared" si="34"/>
        <v/>
      </c>
      <c r="Z94" s="1656" t="str">
        <f t="shared" si="35"/>
        <v/>
      </c>
      <c r="AA94" s="1656" t="str">
        <f t="shared" si="36"/>
        <v/>
      </c>
      <c r="AB94" s="1658" t="str">
        <f t="shared" si="37"/>
        <v/>
      </c>
    </row>
    <row r="95" spans="1:28" ht="10.5" customHeight="1">
      <c r="A95" s="2437" t="b">
        <f t="shared" si="23"/>
        <v>1</v>
      </c>
      <c r="B95" s="1618" t="str">
        <f>'Flows &amp; Isokinetics'!E30</f>
        <v/>
      </c>
      <c r="C95" s="1619" t="str">
        <f>'Flows &amp; Isokinetics'!F30</f>
        <v/>
      </c>
      <c r="D95" s="2434" t="str">
        <f t="shared" si="27"/>
        <v/>
      </c>
      <c r="E95" s="2434" t="str">
        <f t="shared" si="28"/>
        <v/>
      </c>
      <c r="F95" s="2445" t="str">
        <f t="shared" si="24"/>
        <v/>
      </c>
      <c r="G95" s="2434" t="str">
        <f t="shared" si="25"/>
        <v/>
      </c>
      <c r="H95" s="2434" t="str">
        <f t="shared" si="26"/>
        <v/>
      </c>
      <c r="I95" s="92"/>
      <c r="J95" s="92"/>
      <c r="K95" s="1634" t="str">
        <f t="shared" si="29"/>
        <v/>
      </c>
      <c r="L95" s="1634" t="str">
        <f>Velocity(PitotIDAft2,PitotCoeffAft2,AB95,E95,F95,StackTempAvgAft2,AbsPressAft2,MolecularWt)</f>
        <v/>
      </c>
      <c r="M95" s="1635" t="str">
        <f t="shared" si="30"/>
        <v/>
      </c>
      <c r="P95" s="1669" t="str">
        <f>'Flows &amp; Isokinetics'!E96</f>
        <v/>
      </c>
      <c r="Q95" s="2480"/>
      <c r="R95" s="2480"/>
      <c r="S95" s="2480"/>
      <c r="T95" s="2479"/>
      <c r="U95" s="2486"/>
      <c r="V95" s="1655" t="str">
        <f t="shared" si="31"/>
        <v/>
      </c>
      <c r="W95" s="1656" t="str">
        <f t="shared" si="32"/>
        <v/>
      </c>
      <c r="X95" s="1656" t="str">
        <f t="shared" si="33"/>
        <v/>
      </c>
      <c r="Y95" s="1657" t="str">
        <f t="shared" si="34"/>
        <v/>
      </c>
      <c r="Z95" s="1656" t="str">
        <f t="shared" si="35"/>
        <v/>
      </c>
      <c r="AA95" s="1656" t="str">
        <f t="shared" si="36"/>
        <v/>
      </c>
      <c r="AB95" s="1658" t="str">
        <f t="shared" si="37"/>
        <v/>
      </c>
    </row>
    <row r="96" spans="1:28" ht="10.5" customHeight="1">
      <c r="A96" s="2437" t="b">
        <f t="shared" si="23"/>
        <v>1</v>
      </c>
      <c r="B96" s="1618" t="str">
        <f>'Flows &amp; Isokinetics'!E31</f>
        <v/>
      </c>
      <c r="C96" s="1619" t="str">
        <f>'Flows &amp; Isokinetics'!F31</f>
        <v/>
      </c>
      <c r="D96" s="2434" t="str">
        <f t="shared" si="27"/>
        <v/>
      </c>
      <c r="E96" s="2434" t="str">
        <f t="shared" si="28"/>
        <v/>
      </c>
      <c r="F96" s="2445" t="str">
        <f t="shared" si="24"/>
        <v/>
      </c>
      <c r="G96" s="2434" t="str">
        <f t="shared" si="25"/>
        <v/>
      </c>
      <c r="H96" s="2434" t="str">
        <f t="shared" si="26"/>
        <v/>
      </c>
      <c r="I96" s="92"/>
      <c r="J96" s="92"/>
      <c r="K96" s="1634" t="str">
        <f t="shared" si="29"/>
        <v/>
      </c>
      <c r="L96" s="1634" t="str">
        <f>Velocity(PitotIDAft2,PitotCoeffAft2,AB96,E96,F96,StackTempAvgAft2,AbsPressAft2,MolecularWt)</f>
        <v/>
      </c>
      <c r="M96" s="1635" t="str">
        <f t="shared" si="30"/>
        <v/>
      </c>
      <c r="P96" s="1669" t="str">
        <f>'Flows &amp; Isokinetics'!E97</f>
        <v/>
      </c>
      <c r="Q96" s="2480"/>
      <c r="R96" s="2480"/>
      <c r="S96" s="2480"/>
      <c r="T96" s="2479"/>
      <c r="U96" s="2486"/>
      <c r="V96" s="1655" t="str">
        <f t="shared" si="31"/>
        <v/>
      </c>
      <c r="W96" s="1656" t="str">
        <f t="shared" si="32"/>
        <v/>
      </c>
      <c r="X96" s="1656" t="str">
        <f t="shared" si="33"/>
        <v/>
      </c>
      <c r="Y96" s="1657" t="str">
        <f t="shared" si="34"/>
        <v/>
      </c>
      <c r="Z96" s="1656" t="str">
        <f t="shared" si="35"/>
        <v/>
      </c>
      <c r="AA96" s="1656" t="str">
        <f t="shared" si="36"/>
        <v/>
      </c>
      <c r="AB96" s="1658" t="str">
        <f t="shared" si="37"/>
        <v/>
      </c>
    </row>
    <row r="97" spans="1:28" ht="10.5" customHeight="1">
      <c r="A97" s="2437" t="b">
        <f t="shared" si="23"/>
        <v>1</v>
      </c>
      <c r="B97" s="1618" t="str">
        <f>'Flows &amp; Isokinetics'!E32</f>
        <v/>
      </c>
      <c r="C97" s="1619" t="str">
        <f>'Flows &amp; Isokinetics'!F32</f>
        <v/>
      </c>
      <c r="D97" s="2434" t="str">
        <f t="shared" si="27"/>
        <v/>
      </c>
      <c r="E97" s="2434" t="str">
        <f t="shared" si="28"/>
        <v/>
      </c>
      <c r="F97" s="2445" t="str">
        <f t="shared" si="24"/>
        <v/>
      </c>
      <c r="G97" s="2434" t="str">
        <f t="shared" si="25"/>
        <v/>
      </c>
      <c r="H97" s="2434" t="str">
        <f t="shared" si="26"/>
        <v/>
      </c>
      <c r="I97" s="92"/>
      <c r="J97" s="92"/>
      <c r="K97" s="1634" t="str">
        <f t="shared" si="29"/>
        <v/>
      </c>
      <c r="L97" s="1634" t="str">
        <f>Velocity(PitotIDAft2,PitotCoeffAft2,AB97,E97,F97,StackTempAvgAft2,AbsPressAft2,MolecularWt)</f>
        <v/>
      </c>
      <c r="M97" s="1635" t="str">
        <f t="shared" si="30"/>
        <v/>
      </c>
      <c r="P97" s="1669" t="str">
        <f>'Flows &amp; Isokinetics'!E98</f>
        <v/>
      </c>
      <c r="Q97" s="2480"/>
      <c r="R97" s="2480"/>
      <c r="S97" s="2480"/>
      <c r="T97" s="2479"/>
      <c r="U97" s="2486"/>
      <c r="V97" s="1655" t="str">
        <f t="shared" si="31"/>
        <v/>
      </c>
      <c r="W97" s="1656" t="str">
        <f t="shared" si="32"/>
        <v/>
      </c>
      <c r="X97" s="1656" t="str">
        <f t="shared" si="33"/>
        <v/>
      </c>
      <c r="Y97" s="1657" t="str">
        <f t="shared" si="34"/>
        <v/>
      </c>
      <c r="Z97" s="1656" t="str">
        <f t="shared" si="35"/>
        <v/>
      </c>
      <c r="AA97" s="1656" t="str">
        <f t="shared" si="36"/>
        <v/>
      </c>
      <c r="AB97" s="1658" t="str">
        <f t="shared" si="37"/>
        <v/>
      </c>
    </row>
    <row r="98" spans="1:28" ht="10.5" customHeight="1">
      <c r="A98" s="2437" t="b">
        <f t="shared" si="23"/>
        <v>1</v>
      </c>
      <c r="B98" s="1618" t="str">
        <f>'Flows &amp; Isokinetics'!E33</f>
        <v/>
      </c>
      <c r="C98" s="1619" t="str">
        <f>'Flows &amp; Isokinetics'!F33</f>
        <v/>
      </c>
      <c r="D98" s="2434" t="str">
        <f t="shared" si="27"/>
        <v/>
      </c>
      <c r="E98" s="2434" t="str">
        <f t="shared" si="28"/>
        <v/>
      </c>
      <c r="F98" s="2445" t="str">
        <f t="shared" si="24"/>
        <v/>
      </c>
      <c r="G98" s="2434" t="str">
        <f t="shared" si="25"/>
        <v/>
      </c>
      <c r="H98" s="2434" t="str">
        <f t="shared" si="26"/>
        <v/>
      </c>
      <c r="I98" s="92"/>
      <c r="J98" s="92"/>
      <c r="K98" s="1634" t="str">
        <f t="shared" si="29"/>
        <v/>
      </c>
      <c r="L98" s="1634" t="str">
        <f>Velocity(PitotIDAft2,PitotCoeffAft2,AB98,E98,F98,StackTempAvgAft2,AbsPressAft2,MolecularWt)</f>
        <v/>
      </c>
      <c r="M98" s="1635" t="str">
        <f t="shared" si="30"/>
        <v/>
      </c>
      <c r="P98" s="1669" t="str">
        <f>'Flows &amp; Isokinetics'!E99</f>
        <v/>
      </c>
      <c r="Q98" s="2480"/>
      <c r="R98" s="2480"/>
      <c r="S98" s="2480"/>
      <c r="T98" s="2479"/>
      <c r="U98" s="2486"/>
      <c r="V98" s="1655" t="str">
        <f t="shared" si="31"/>
        <v/>
      </c>
      <c r="W98" s="1656" t="str">
        <f t="shared" si="32"/>
        <v/>
      </c>
      <c r="X98" s="1656" t="str">
        <f t="shared" si="33"/>
        <v/>
      </c>
      <c r="Y98" s="1657" t="str">
        <f t="shared" si="34"/>
        <v/>
      </c>
      <c r="Z98" s="1656" t="str">
        <f t="shared" si="35"/>
        <v/>
      </c>
      <c r="AA98" s="1656" t="str">
        <f t="shared" si="36"/>
        <v/>
      </c>
      <c r="AB98" s="1658" t="str">
        <f t="shared" si="37"/>
        <v/>
      </c>
    </row>
    <row r="99" spans="1:28" ht="10.5" customHeight="1">
      <c r="A99" s="2437" t="b">
        <f t="shared" si="23"/>
        <v>1</v>
      </c>
      <c r="B99" s="1618" t="str">
        <f>'Flows &amp; Isokinetics'!E34</f>
        <v/>
      </c>
      <c r="C99" s="1619" t="str">
        <f>'Flows &amp; Isokinetics'!F34</f>
        <v/>
      </c>
      <c r="D99" s="2434" t="str">
        <f t="shared" si="27"/>
        <v/>
      </c>
      <c r="E99" s="2434" t="str">
        <f t="shared" si="28"/>
        <v/>
      </c>
      <c r="F99" s="2445" t="str">
        <f t="shared" si="24"/>
        <v/>
      </c>
      <c r="G99" s="2434" t="str">
        <f t="shared" si="25"/>
        <v/>
      </c>
      <c r="H99" s="2434" t="str">
        <f t="shared" si="26"/>
        <v/>
      </c>
      <c r="I99" s="92"/>
      <c r="J99" s="92"/>
      <c r="K99" s="1634" t="str">
        <f t="shared" si="29"/>
        <v/>
      </c>
      <c r="L99" s="1634" t="str">
        <f>Velocity(PitotIDAft2,PitotCoeffAft2,AB99,E99,F99,StackTempAvgAft2,AbsPressAft2,MolecularWt)</f>
        <v/>
      </c>
      <c r="M99" s="1635" t="str">
        <f t="shared" si="30"/>
        <v/>
      </c>
      <c r="P99" s="1669" t="str">
        <f>'Flows &amp; Isokinetics'!E100</f>
        <v/>
      </c>
      <c r="Q99" s="2480"/>
      <c r="R99" s="2480"/>
      <c r="S99" s="2480"/>
      <c r="T99" s="2479"/>
      <c r="U99" s="2486"/>
      <c r="V99" s="1655" t="str">
        <f t="shared" si="31"/>
        <v/>
      </c>
      <c r="W99" s="1656" t="str">
        <f t="shared" si="32"/>
        <v/>
      </c>
      <c r="X99" s="1656" t="str">
        <f t="shared" si="33"/>
        <v/>
      </c>
      <c r="Y99" s="1657" t="str">
        <f t="shared" si="34"/>
        <v/>
      </c>
      <c r="Z99" s="1656" t="str">
        <f t="shared" si="35"/>
        <v/>
      </c>
      <c r="AA99" s="1656" t="str">
        <f t="shared" si="36"/>
        <v/>
      </c>
      <c r="AB99" s="1658" t="str">
        <f t="shared" si="37"/>
        <v/>
      </c>
    </row>
    <row r="100" spans="1:28" ht="10.5" customHeight="1">
      <c r="A100" s="2437" t="b">
        <f t="shared" si="23"/>
        <v>1</v>
      </c>
      <c r="B100" s="1618" t="str">
        <f>'Flows &amp; Isokinetics'!E35</f>
        <v/>
      </c>
      <c r="C100" s="1619" t="str">
        <f>'Flows &amp; Isokinetics'!F35</f>
        <v/>
      </c>
      <c r="D100" s="2434" t="str">
        <f t="shared" si="27"/>
        <v/>
      </c>
      <c r="E100" s="2434" t="str">
        <f t="shared" si="28"/>
        <v/>
      </c>
      <c r="F100" s="2445" t="str">
        <f t="shared" si="24"/>
        <v/>
      </c>
      <c r="G100" s="2434" t="str">
        <f t="shared" si="25"/>
        <v/>
      </c>
      <c r="H100" s="2434" t="str">
        <f t="shared" si="26"/>
        <v/>
      </c>
      <c r="I100" s="92"/>
      <c r="J100" s="92"/>
      <c r="K100" s="1634" t="str">
        <f t="shared" si="29"/>
        <v/>
      </c>
      <c r="L100" s="1634" t="str">
        <f>Velocity(PitotIDAft2,PitotCoeffAft2,AB100,E100,F100,StackTempAvgAft2,AbsPressAft2,MolecularWt)</f>
        <v/>
      </c>
      <c r="M100" s="1635" t="str">
        <f t="shared" si="30"/>
        <v/>
      </c>
      <c r="P100" s="1669" t="str">
        <f>'Flows &amp; Isokinetics'!E101</f>
        <v/>
      </c>
      <c r="Q100" s="2480"/>
      <c r="R100" s="2480"/>
      <c r="S100" s="2480"/>
      <c r="T100" s="2479"/>
      <c r="U100" s="2486"/>
      <c r="V100" s="1655" t="str">
        <f t="shared" si="31"/>
        <v/>
      </c>
      <c r="W100" s="1656" t="str">
        <f t="shared" si="32"/>
        <v/>
      </c>
      <c r="X100" s="1656" t="str">
        <f t="shared" si="33"/>
        <v/>
      </c>
      <c r="Y100" s="1657" t="str">
        <f t="shared" si="34"/>
        <v/>
      </c>
      <c r="Z100" s="1656" t="str">
        <f t="shared" si="35"/>
        <v/>
      </c>
      <c r="AA100" s="1656" t="str">
        <f t="shared" si="36"/>
        <v/>
      </c>
      <c r="AB100" s="1658" t="str">
        <f t="shared" si="37"/>
        <v/>
      </c>
    </row>
    <row r="101" spans="1:28" ht="10.5" customHeight="1">
      <c r="A101" s="2437" t="b">
        <f t="shared" si="23"/>
        <v>1</v>
      </c>
      <c r="B101" s="1618" t="str">
        <f>'Flows &amp; Isokinetics'!E36</f>
        <v/>
      </c>
      <c r="C101" s="1619" t="str">
        <f>'Flows &amp; Isokinetics'!F36</f>
        <v/>
      </c>
      <c r="D101" s="2434" t="str">
        <f t="shared" si="27"/>
        <v/>
      </c>
      <c r="E101" s="2434" t="str">
        <f t="shared" si="28"/>
        <v/>
      </c>
      <c r="F101" s="2445" t="str">
        <f t="shared" si="24"/>
        <v/>
      </c>
      <c r="G101" s="2434" t="str">
        <f t="shared" si="25"/>
        <v/>
      </c>
      <c r="H101" s="2434" t="str">
        <f t="shared" si="26"/>
        <v/>
      </c>
      <c r="I101" s="92"/>
      <c r="J101" s="92"/>
      <c r="K101" s="1634" t="str">
        <f t="shared" si="29"/>
        <v/>
      </c>
      <c r="L101" s="1634" t="str">
        <f>Velocity(PitotIDAft2,PitotCoeffAft2,AB101,E101,F101,StackTempAvgAft2,AbsPressAft2,MolecularWt)</f>
        <v/>
      </c>
      <c r="M101" s="1635" t="str">
        <f t="shared" si="30"/>
        <v/>
      </c>
      <c r="P101" s="1669" t="str">
        <f>'Flows &amp; Isokinetics'!E102</f>
        <v/>
      </c>
      <c r="Q101" s="2480"/>
      <c r="R101" s="2480"/>
      <c r="S101" s="2480"/>
      <c r="T101" s="2479"/>
      <c r="U101" s="2486"/>
      <c r="V101" s="1655" t="str">
        <f t="shared" si="31"/>
        <v/>
      </c>
      <c r="W101" s="1656" t="str">
        <f t="shared" si="32"/>
        <v/>
      </c>
      <c r="X101" s="1656" t="str">
        <f t="shared" si="33"/>
        <v/>
      </c>
      <c r="Y101" s="1657" t="str">
        <f t="shared" si="34"/>
        <v/>
      </c>
      <c r="Z101" s="1656" t="str">
        <f t="shared" si="35"/>
        <v/>
      </c>
      <c r="AA101" s="1656" t="str">
        <f t="shared" si="36"/>
        <v/>
      </c>
      <c r="AB101" s="1658" t="str">
        <f t="shared" si="37"/>
        <v/>
      </c>
    </row>
    <row r="102" spans="1:28" ht="10.5" customHeight="1">
      <c r="A102" s="2437" t="b">
        <f t="shared" si="23"/>
        <v>1</v>
      </c>
      <c r="B102" s="1618" t="str">
        <f>'Flows &amp; Isokinetics'!E37</f>
        <v/>
      </c>
      <c r="C102" s="1619" t="str">
        <f>'Flows &amp; Isokinetics'!F37</f>
        <v/>
      </c>
      <c r="D102" s="2434" t="str">
        <f t="shared" si="27"/>
        <v/>
      </c>
      <c r="E102" s="2434" t="str">
        <f t="shared" si="28"/>
        <v/>
      </c>
      <c r="F102" s="2445" t="str">
        <f t="shared" si="24"/>
        <v/>
      </c>
      <c r="G102" s="2434" t="str">
        <f t="shared" si="25"/>
        <v/>
      </c>
      <c r="H102" s="2434" t="str">
        <f t="shared" si="26"/>
        <v/>
      </c>
      <c r="I102" s="92"/>
      <c r="J102" s="92"/>
      <c r="K102" s="1634" t="str">
        <f t="shared" si="29"/>
        <v/>
      </c>
      <c r="L102" s="1634" t="str">
        <f>Velocity(PitotIDAft2,PitotCoeffAft2,AB102,E102,F102,StackTempAvgAft2,AbsPressAft2,MolecularWt)</f>
        <v/>
      </c>
      <c r="M102" s="1635" t="str">
        <f t="shared" si="30"/>
        <v/>
      </c>
      <c r="P102" s="1669" t="str">
        <f>'Flows &amp; Isokinetics'!E103</f>
        <v/>
      </c>
      <c r="Q102" s="2480"/>
      <c r="R102" s="2480"/>
      <c r="S102" s="2480"/>
      <c r="T102" s="2479"/>
      <c r="U102" s="2486"/>
      <c r="V102" s="1655" t="str">
        <f t="shared" si="31"/>
        <v/>
      </c>
      <c r="W102" s="1656" t="str">
        <f t="shared" si="32"/>
        <v/>
      </c>
      <c r="X102" s="1656" t="str">
        <f t="shared" si="33"/>
        <v/>
      </c>
      <c r="Y102" s="1657" t="str">
        <f t="shared" si="34"/>
        <v/>
      </c>
      <c r="Z102" s="1656" t="str">
        <f t="shared" si="35"/>
        <v/>
      </c>
      <c r="AA102" s="1656" t="str">
        <f t="shared" si="36"/>
        <v/>
      </c>
      <c r="AB102" s="1658" t="str">
        <f t="shared" si="37"/>
        <v/>
      </c>
    </row>
    <row r="103" spans="1:28" ht="10.5" customHeight="1">
      <c r="A103" s="2437" t="b">
        <f t="shared" si="23"/>
        <v>1</v>
      </c>
      <c r="B103" s="1618" t="str">
        <f>'Flows &amp; Isokinetics'!E38</f>
        <v/>
      </c>
      <c r="C103" s="1619" t="str">
        <f>'Flows &amp; Isokinetics'!F38</f>
        <v/>
      </c>
      <c r="D103" s="2434" t="str">
        <f t="shared" si="27"/>
        <v/>
      </c>
      <c r="E103" s="2434" t="str">
        <f t="shared" si="28"/>
        <v/>
      </c>
      <c r="F103" s="2445" t="str">
        <f t="shared" si="24"/>
        <v/>
      </c>
      <c r="G103" s="2434" t="str">
        <f t="shared" si="25"/>
        <v/>
      </c>
      <c r="H103" s="2434" t="str">
        <f t="shared" si="26"/>
        <v/>
      </c>
      <c r="I103" s="92"/>
      <c r="J103" s="92"/>
      <c r="K103" s="1634" t="str">
        <f t="shared" si="29"/>
        <v/>
      </c>
      <c r="L103" s="1634" t="str">
        <f>Velocity(PitotIDAft2,PitotCoeffAft2,AB103,E103,F103,StackTempAvgAft2,AbsPressAft2,MolecularWt)</f>
        <v/>
      </c>
      <c r="M103" s="1635" t="str">
        <f t="shared" si="30"/>
        <v/>
      </c>
      <c r="P103" s="1669" t="str">
        <f>'Flows &amp; Isokinetics'!E104</f>
        <v/>
      </c>
      <c r="Q103" s="2480"/>
      <c r="R103" s="2480"/>
      <c r="S103" s="2480"/>
      <c r="T103" s="2479"/>
      <c r="U103" s="2486"/>
      <c r="V103" s="1655" t="str">
        <f t="shared" si="31"/>
        <v/>
      </c>
      <c r="W103" s="1656" t="str">
        <f t="shared" si="32"/>
        <v/>
      </c>
      <c r="X103" s="1656" t="str">
        <f t="shared" si="33"/>
        <v/>
      </c>
      <c r="Y103" s="1657" t="str">
        <f t="shared" si="34"/>
        <v/>
      </c>
      <c r="Z103" s="1656" t="str">
        <f t="shared" si="35"/>
        <v/>
      </c>
      <c r="AA103" s="1656" t="str">
        <f t="shared" si="36"/>
        <v/>
      </c>
      <c r="AB103" s="1658" t="str">
        <f t="shared" si="37"/>
        <v/>
      </c>
    </row>
    <row r="104" spans="1:28" ht="10.5" hidden="1" customHeight="1" outlineLevel="1">
      <c r="A104" s="2437" t="b">
        <f t="shared" si="23"/>
        <v>1</v>
      </c>
      <c r="B104" s="1618" t="str">
        <f>'Flows &amp; Isokinetics'!E39</f>
        <v/>
      </c>
      <c r="C104" s="1619" t="str">
        <f>'Flows &amp; Isokinetics'!F39</f>
        <v/>
      </c>
      <c r="D104" s="2434" t="str">
        <f t="shared" si="27"/>
        <v/>
      </c>
      <c r="E104" s="2434" t="str">
        <f t="shared" si="28"/>
        <v/>
      </c>
      <c r="F104" s="2445" t="str">
        <f t="shared" si="24"/>
        <v/>
      </c>
      <c r="G104" s="2434" t="str">
        <f t="shared" si="25"/>
        <v/>
      </c>
      <c r="H104" s="2434" t="str">
        <f t="shared" si="26"/>
        <v/>
      </c>
      <c r="I104" s="92"/>
      <c r="J104" s="92"/>
      <c r="K104" s="1634" t="str">
        <f t="shared" ref="K104:K139" si="38">IF(D104="","",SQRT(E104))</f>
        <v/>
      </c>
      <c r="L104" s="1634" t="str">
        <f>Velocity(PitotIDAft2,PitotCoeffAft2,AB104,E104,F104,StackTempAvgAft2,AbsPressAft2,MolecularWt)</f>
        <v/>
      </c>
      <c r="M104" s="1635" t="str">
        <f t="shared" ref="M104:M139" si="39">Velocity3D(L104,G104,H104)</f>
        <v/>
      </c>
      <c r="P104" s="1669" t="str">
        <f>'Flows &amp; Isokinetics'!E105</f>
        <v/>
      </c>
      <c r="Q104" s="2480"/>
      <c r="R104" s="2480"/>
      <c r="S104" s="2480"/>
      <c r="T104" s="2479"/>
      <c r="U104" s="2486"/>
      <c r="V104" s="1655" t="str">
        <f t="shared" si="31"/>
        <v/>
      </c>
      <c r="W104" s="1656" t="str">
        <f t="shared" si="32"/>
        <v/>
      </c>
      <c r="X104" s="1656" t="str">
        <f t="shared" si="33"/>
        <v/>
      </c>
      <c r="Y104" s="1657" t="str">
        <f t="shared" si="34"/>
        <v/>
      </c>
      <c r="Z104" s="1656" t="str">
        <f t="shared" si="35"/>
        <v/>
      </c>
      <c r="AA104" s="1656" t="str">
        <f t="shared" si="36"/>
        <v/>
      </c>
      <c r="AB104" s="1658" t="str">
        <f t="shared" si="37"/>
        <v/>
      </c>
    </row>
    <row r="105" spans="1:28" ht="10.5" hidden="1" customHeight="1" outlineLevel="1">
      <c r="A105" s="2437" t="b">
        <f t="shared" si="23"/>
        <v>1</v>
      </c>
      <c r="B105" s="1618" t="str">
        <f>'Flows &amp; Isokinetics'!E40</f>
        <v/>
      </c>
      <c r="C105" s="1619" t="str">
        <f>'Flows &amp; Isokinetics'!F40</f>
        <v/>
      </c>
      <c r="D105" s="2434" t="str">
        <f t="shared" si="27"/>
        <v/>
      </c>
      <c r="E105" s="2434" t="str">
        <f t="shared" si="28"/>
        <v/>
      </c>
      <c r="F105" s="2445" t="str">
        <f t="shared" si="24"/>
        <v/>
      </c>
      <c r="G105" s="2434" t="str">
        <f t="shared" si="25"/>
        <v/>
      </c>
      <c r="H105" s="2434" t="str">
        <f t="shared" si="26"/>
        <v/>
      </c>
      <c r="I105" s="92"/>
      <c r="J105" s="92"/>
      <c r="K105" s="1634" t="str">
        <f t="shared" si="38"/>
        <v/>
      </c>
      <c r="L105" s="1634" t="str">
        <f>Velocity(PitotIDAft2,PitotCoeffAft2,AB105,E105,F105,StackTempAvgAft2,AbsPressAft2,MolecularWt)</f>
        <v/>
      </c>
      <c r="M105" s="1635" t="str">
        <f t="shared" si="39"/>
        <v/>
      </c>
      <c r="P105" s="1669" t="str">
        <f>'Flows &amp; Isokinetics'!E106</f>
        <v/>
      </c>
      <c r="Q105" s="2480"/>
      <c r="R105" s="2480"/>
      <c r="S105" s="2480"/>
      <c r="T105" s="2479"/>
      <c r="U105" s="2486"/>
      <c r="V105" s="1655" t="str">
        <f t="shared" si="31"/>
        <v/>
      </c>
      <c r="W105" s="1656" t="str">
        <f t="shared" si="32"/>
        <v/>
      </c>
      <c r="X105" s="1656" t="str">
        <f t="shared" si="33"/>
        <v/>
      </c>
      <c r="Y105" s="1657" t="str">
        <f t="shared" si="34"/>
        <v/>
      </c>
      <c r="Z105" s="1656" t="str">
        <f t="shared" si="35"/>
        <v/>
      </c>
      <c r="AA105" s="1656" t="str">
        <f t="shared" si="36"/>
        <v/>
      </c>
      <c r="AB105" s="1658" t="str">
        <f t="shared" si="37"/>
        <v/>
      </c>
    </row>
    <row r="106" spans="1:28" ht="10.5" hidden="1" customHeight="1" outlineLevel="1">
      <c r="A106" s="2437" t="b">
        <f t="shared" si="23"/>
        <v>1</v>
      </c>
      <c r="B106" s="1618" t="str">
        <f>'Flows &amp; Isokinetics'!E41</f>
        <v/>
      </c>
      <c r="C106" s="1619" t="str">
        <f>'Flows &amp; Isokinetics'!F41</f>
        <v/>
      </c>
      <c r="D106" s="2434" t="str">
        <f t="shared" si="27"/>
        <v/>
      </c>
      <c r="E106" s="2434" t="str">
        <f t="shared" si="28"/>
        <v/>
      </c>
      <c r="F106" s="2445" t="str">
        <f t="shared" si="24"/>
        <v/>
      </c>
      <c r="G106" s="2434" t="str">
        <f t="shared" si="25"/>
        <v/>
      </c>
      <c r="H106" s="2434" t="str">
        <f t="shared" si="26"/>
        <v/>
      </c>
      <c r="I106" s="92"/>
      <c r="J106" s="92"/>
      <c r="K106" s="1634" t="str">
        <f t="shared" si="38"/>
        <v/>
      </c>
      <c r="L106" s="1634" t="str">
        <f>Velocity(PitotIDAft2,PitotCoeffAft2,AB106,E106,F106,StackTempAvgAft2,AbsPressAft2,MolecularWt)</f>
        <v/>
      </c>
      <c r="M106" s="1635" t="str">
        <f t="shared" si="39"/>
        <v/>
      </c>
      <c r="P106" s="1669" t="str">
        <f>'Flows &amp; Isokinetics'!E107</f>
        <v/>
      </c>
      <c r="Q106" s="2480"/>
      <c r="R106" s="2480"/>
      <c r="S106" s="2480"/>
      <c r="T106" s="2479"/>
      <c r="U106" s="2486"/>
      <c r="V106" s="1655" t="str">
        <f t="shared" si="31"/>
        <v/>
      </c>
      <c r="W106" s="1656" t="str">
        <f t="shared" si="32"/>
        <v/>
      </c>
      <c r="X106" s="1656" t="str">
        <f t="shared" si="33"/>
        <v/>
      </c>
      <c r="Y106" s="1657" t="str">
        <f t="shared" si="34"/>
        <v/>
      </c>
      <c r="Z106" s="1656" t="str">
        <f t="shared" si="35"/>
        <v/>
      </c>
      <c r="AA106" s="1656" t="str">
        <f t="shared" si="36"/>
        <v/>
      </c>
      <c r="AB106" s="1658" t="str">
        <f t="shared" si="37"/>
        <v/>
      </c>
    </row>
    <row r="107" spans="1:28" ht="10.5" hidden="1" customHeight="1" outlineLevel="1">
      <c r="A107" s="2437" t="b">
        <f t="shared" si="23"/>
        <v>1</v>
      </c>
      <c r="B107" s="1618" t="str">
        <f>'Flows &amp; Isokinetics'!E42</f>
        <v/>
      </c>
      <c r="C107" s="1619" t="str">
        <f>'Flows &amp; Isokinetics'!F42</f>
        <v/>
      </c>
      <c r="D107" s="2434" t="str">
        <f t="shared" si="27"/>
        <v/>
      </c>
      <c r="E107" s="2434" t="str">
        <f t="shared" si="28"/>
        <v/>
      </c>
      <c r="F107" s="2445" t="str">
        <f t="shared" si="24"/>
        <v/>
      </c>
      <c r="G107" s="2434" t="str">
        <f t="shared" si="25"/>
        <v/>
      </c>
      <c r="H107" s="2434" t="str">
        <f t="shared" si="26"/>
        <v/>
      </c>
      <c r="I107" s="92"/>
      <c r="J107" s="92"/>
      <c r="K107" s="1634" t="str">
        <f t="shared" si="38"/>
        <v/>
      </c>
      <c r="L107" s="1634" t="str">
        <f>Velocity(PitotIDAft2,PitotCoeffAft2,AB107,E107,F107,StackTempAvgAft2,AbsPressAft2,MolecularWt)</f>
        <v/>
      </c>
      <c r="M107" s="1635" t="str">
        <f t="shared" si="39"/>
        <v/>
      </c>
      <c r="P107" s="1669" t="str">
        <f>'Flows &amp; Isokinetics'!E108</f>
        <v/>
      </c>
      <c r="Q107" s="2480"/>
      <c r="R107" s="2480"/>
      <c r="S107" s="2480"/>
      <c r="T107" s="2479"/>
      <c r="U107" s="2486"/>
      <c r="V107" s="1655" t="str">
        <f t="shared" si="31"/>
        <v/>
      </c>
      <c r="W107" s="1656" t="str">
        <f t="shared" si="32"/>
        <v/>
      </c>
      <c r="X107" s="1656" t="str">
        <f t="shared" si="33"/>
        <v/>
      </c>
      <c r="Y107" s="1657" t="str">
        <f t="shared" si="34"/>
        <v/>
      </c>
      <c r="Z107" s="1656" t="str">
        <f t="shared" si="35"/>
        <v/>
      </c>
      <c r="AA107" s="1656" t="str">
        <f t="shared" si="36"/>
        <v/>
      </c>
      <c r="AB107" s="1658" t="str">
        <f t="shared" si="37"/>
        <v/>
      </c>
    </row>
    <row r="108" spans="1:28" ht="10.5" hidden="1" customHeight="1" outlineLevel="1">
      <c r="A108" s="2437" t="b">
        <f t="shared" si="23"/>
        <v>1</v>
      </c>
      <c r="B108" s="1618" t="str">
        <f>'Flows &amp; Isokinetics'!E43</f>
        <v/>
      </c>
      <c r="C108" s="1619" t="str">
        <f>'Flows &amp; Isokinetics'!F43</f>
        <v/>
      </c>
      <c r="D108" s="2434" t="str">
        <f t="shared" si="27"/>
        <v/>
      </c>
      <c r="E108" s="2434" t="str">
        <f t="shared" si="28"/>
        <v/>
      </c>
      <c r="F108" s="2445" t="str">
        <f t="shared" si="24"/>
        <v/>
      </c>
      <c r="G108" s="2434" t="str">
        <f t="shared" si="25"/>
        <v/>
      </c>
      <c r="H108" s="2434" t="str">
        <f t="shared" si="26"/>
        <v/>
      </c>
      <c r="I108" s="92"/>
      <c r="J108" s="92"/>
      <c r="K108" s="1634" t="str">
        <f t="shared" si="38"/>
        <v/>
      </c>
      <c r="L108" s="1634" t="str">
        <f>Velocity(PitotIDAft2,PitotCoeffAft2,AB108,E108,F108,StackTempAvgAft2,AbsPressAft2,MolecularWt)</f>
        <v/>
      </c>
      <c r="M108" s="1635" t="str">
        <f t="shared" si="39"/>
        <v/>
      </c>
      <c r="P108" s="1669" t="str">
        <f>'Flows &amp; Isokinetics'!E109</f>
        <v/>
      </c>
      <c r="Q108" s="2480"/>
      <c r="R108" s="2480"/>
      <c r="S108" s="2480"/>
      <c r="T108" s="2479"/>
      <c r="U108" s="2486"/>
      <c r="V108" s="1655" t="str">
        <f t="shared" si="31"/>
        <v/>
      </c>
      <c r="W108" s="1656" t="str">
        <f t="shared" si="32"/>
        <v/>
      </c>
      <c r="X108" s="1656" t="str">
        <f t="shared" si="33"/>
        <v/>
      </c>
      <c r="Y108" s="1657" t="str">
        <f t="shared" si="34"/>
        <v/>
      </c>
      <c r="Z108" s="1656" t="str">
        <f t="shared" si="35"/>
        <v/>
      </c>
      <c r="AA108" s="1656" t="str">
        <f t="shared" si="36"/>
        <v/>
      </c>
      <c r="AB108" s="1658" t="str">
        <f t="shared" si="37"/>
        <v/>
      </c>
    </row>
    <row r="109" spans="1:28" ht="10.5" hidden="1" customHeight="1" outlineLevel="1">
      <c r="A109" s="2437" t="b">
        <f t="shared" si="23"/>
        <v>1</v>
      </c>
      <c r="B109" s="1618" t="str">
        <f>'Flows &amp; Isokinetics'!E44</f>
        <v/>
      </c>
      <c r="C109" s="1619" t="str">
        <f>'Flows &amp; Isokinetics'!F44</f>
        <v/>
      </c>
      <c r="D109" s="2434" t="str">
        <f t="shared" si="27"/>
        <v/>
      </c>
      <c r="E109" s="2434" t="str">
        <f t="shared" si="28"/>
        <v/>
      </c>
      <c r="F109" s="2445" t="str">
        <f t="shared" si="24"/>
        <v/>
      </c>
      <c r="G109" s="2434" t="str">
        <f t="shared" si="25"/>
        <v/>
      </c>
      <c r="H109" s="2434" t="str">
        <f t="shared" si="26"/>
        <v/>
      </c>
      <c r="I109" s="92"/>
      <c r="J109" s="92"/>
      <c r="K109" s="1634" t="str">
        <f t="shared" si="38"/>
        <v/>
      </c>
      <c r="L109" s="1634" t="str">
        <f>Velocity(PitotIDAft2,PitotCoeffAft2,AB109,E109,F109,StackTempAvgAft2,AbsPressAft2,MolecularWt)</f>
        <v/>
      </c>
      <c r="M109" s="1635" t="str">
        <f t="shared" si="39"/>
        <v/>
      </c>
      <c r="P109" s="1669" t="str">
        <f>'Flows &amp; Isokinetics'!E110</f>
        <v/>
      </c>
      <c r="Q109" s="2480"/>
      <c r="R109" s="2480"/>
      <c r="S109" s="2480"/>
      <c r="T109" s="2479"/>
      <c r="U109" s="2486"/>
      <c r="V109" s="1655" t="str">
        <f t="shared" si="31"/>
        <v/>
      </c>
      <c r="W109" s="1656" t="str">
        <f t="shared" si="32"/>
        <v/>
      </c>
      <c r="X109" s="1656" t="str">
        <f t="shared" si="33"/>
        <v/>
      </c>
      <c r="Y109" s="1657" t="str">
        <f t="shared" si="34"/>
        <v/>
      </c>
      <c r="Z109" s="1656" t="str">
        <f t="shared" si="35"/>
        <v/>
      </c>
      <c r="AA109" s="1656" t="str">
        <f t="shared" si="36"/>
        <v/>
      </c>
      <c r="AB109" s="1658" t="str">
        <f t="shared" si="37"/>
        <v/>
      </c>
    </row>
    <row r="110" spans="1:28" ht="10.5" hidden="1" customHeight="1" outlineLevel="1">
      <c r="A110" s="2437" t="b">
        <f t="shared" si="23"/>
        <v>1</v>
      </c>
      <c r="B110" s="1618" t="str">
        <f>'Flows &amp; Isokinetics'!E45</f>
        <v/>
      </c>
      <c r="C110" s="1619" t="str">
        <f>'Flows &amp; Isokinetics'!F45</f>
        <v/>
      </c>
      <c r="D110" s="2434" t="str">
        <f t="shared" si="27"/>
        <v/>
      </c>
      <c r="E110" s="2434" t="str">
        <f t="shared" si="28"/>
        <v/>
      </c>
      <c r="F110" s="2445" t="str">
        <f t="shared" si="24"/>
        <v/>
      </c>
      <c r="G110" s="2434" t="str">
        <f t="shared" si="25"/>
        <v/>
      </c>
      <c r="H110" s="2434" t="str">
        <f t="shared" si="26"/>
        <v/>
      </c>
      <c r="I110" s="92"/>
      <c r="J110" s="92"/>
      <c r="K110" s="1634" t="str">
        <f t="shared" si="38"/>
        <v/>
      </c>
      <c r="L110" s="1634" t="str">
        <f>Velocity(PitotIDAft2,PitotCoeffAft2,AB110,E110,F110,StackTempAvgAft2,AbsPressAft2,MolecularWt)</f>
        <v/>
      </c>
      <c r="M110" s="1635" t="str">
        <f t="shared" si="39"/>
        <v/>
      </c>
      <c r="P110" s="1669" t="str">
        <f>'Flows &amp; Isokinetics'!E111</f>
        <v/>
      </c>
      <c r="Q110" s="2480"/>
      <c r="R110" s="2480"/>
      <c r="S110" s="2480"/>
      <c r="T110" s="2479"/>
      <c r="U110" s="2486"/>
      <c r="V110" s="1655" t="str">
        <f t="shared" si="31"/>
        <v/>
      </c>
      <c r="W110" s="1656" t="str">
        <f t="shared" si="32"/>
        <v/>
      </c>
      <c r="X110" s="1656" t="str">
        <f t="shared" si="33"/>
        <v/>
      </c>
      <c r="Y110" s="1657" t="str">
        <f t="shared" si="34"/>
        <v/>
      </c>
      <c r="Z110" s="1656" t="str">
        <f t="shared" si="35"/>
        <v/>
      </c>
      <c r="AA110" s="1656" t="str">
        <f t="shared" si="36"/>
        <v/>
      </c>
      <c r="AB110" s="1658" t="str">
        <f t="shared" si="37"/>
        <v/>
      </c>
    </row>
    <row r="111" spans="1:28" ht="10.5" hidden="1" customHeight="1" outlineLevel="1">
      <c r="A111" s="2437" t="b">
        <f t="shared" si="23"/>
        <v>1</v>
      </c>
      <c r="B111" s="1618" t="str">
        <f>'Flows &amp; Isokinetics'!E46</f>
        <v/>
      </c>
      <c r="C111" s="1619" t="str">
        <f>'Flows &amp; Isokinetics'!F46</f>
        <v/>
      </c>
      <c r="D111" s="2434" t="str">
        <f t="shared" si="27"/>
        <v/>
      </c>
      <c r="E111" s="2434" t="str">
        <f t="shared" si="28"/>
        <v/>
      </c>
      <c r="F111" s="2445" t="str">
        <f t="shared" si="24"/>
        <v/>
      </c>
      <c r="G111" s="2434" t="str">
        <f t="shared" si="25"/>
        <v/>
      </c>
      <c r="H111" s="2434" t="str">
        <f t="shared" si="26"/>
        <v/>
      </c>
      <c r="I111" s="92"/>
      <c r="J111" s="92"/>
      <c r="K111" s="1634" t="str">
        <f t="shared" si="38"/>
        <v/>
      </c>
      <c r="L111" s="1634" t="str">
        <f>Velocity(PitotIDAft2,PitotCoeffAft2,AB111,E111,F111,StackTempAvgAft2,AbsPressAft2,MolecularWt)</f>
        <v/>
      </c>
      <c r="M111" s="1635" t="str">
        <f t="shared" si="39"/>
        <v/>
      </c>
      <c r="P111" s="1669" t="str">
        <f>'Flows &amp; Isokinetics'!E112</f>
        <v/>
      </c>
      <c r="Q111" s="2480"/>
      <c r="R111" s="2480"/>
      <c r="S111" s="2480"/>
      <c r="T111" s="2479"/>
      <c r="U111" s="2486"/>
      <c r="V111" s="1655" t="str">
        <f t="shared" si="31"/>
        <v/>
      </c>
      <c r="W111" s="1656" t="str">
        <f t="shared" si="32"/>
        <v/>
      </c>
      <c r="X111" s="1656" t="str">
        <f t="shared" si="33"/>
        <v/>
      </c>
      <c r="Y111" s="1657" t="str">
        <f t="shared" si="34"/>
        <v/>
      </c>
      <c r="Z111" s="1656" t="str">
        <f t="shared" si="35"/>
        <v/>
      </c>
      <c r="AA111" s="1656" t="str">
        <f t="shared" si="36"/>
        <v/>
      </c>
      <c r="AB111" s="1658" t="str">
        <f t="shared" si="37"/>
        <v/>
      </c>
    </row>
    <row r="112" spans="1:28" ht="10.5" hidden="1" customHeight="1" outlineLevel="1">
      <c r="A112" s="2437" t="b">
        <f t="shared" ref="A112:A139" si="40">IF(TestReport="Test 1 only",TRUE,IF(AND(ISNUMBER(D112),ISNUMBER(C112)),TRUE,IF(OR(ISNUMBER(D112),ISNUMBER(C112)),"",TRUE)))</f>
        <v>1</v>
      </c>
      <c r="B112" s="1618" t="str">
        <f>'Flows &amp; Isokinetics'!E47</f>
        <v/>
      </c>
      <c r="C112" s="1619" t="str">
        <f>'Flows &amp; Isokinetics'!F47</f>
        <v/>
      </c>
      <c r="D112" s="2434" t="str">
        <f t="shared" si="27"/>
        <v/>
      </c>
      <c r="E112" s="2434" t="str">
        <f t="shared" si="28"/>
        <v/>
      </c>
      <c r="F112" s="2445" t="str">
        <f t="shared" ref="F112:F139" si="41">IF(ISNUMBER(D112),IF(ISNUMBER(StackTempAft2),StackTempAft2,IF(V112="","",V112)),"")</f>
        <v/>
      </c>
      <c r="G112" s="2434" t="str">
        <f t="shared" si="25"/>
        <v/>
      </c>
      <c r="H112" s="2434" t="str">
        <f t="shared" si="26"/>
        <v/>
      </c>
      <c r="I112" s="92"/>
      <c r="J112" s="92"/>
      <c r="K112" s="1634" t="str">
        <f t="shared" si="38"/>
        <v/>
      </c>
      <c r="L112" s="1634" t="str">
        <f>Velocity(PitotIDAft2,PitotCoeffAft2,AB112,E112,F112,StackTempAvgAft2,AbsPressAft2,MolecularWt)</f>
        <v/>
      </c>
      <c r="M112" s="1635" t="str">
        <f t="shared" si="39"/>
        <v/>
      </c>
      <c r="P112" s="1669" t="str">
        <f>'Flows &amp; Isokinetics'!E113</f>
        <v/>
      </c>
      <c r="Q112" s="2480"/>
      <c r="R112" s="2480"/>
      <c r="S112" s="2480"/>
      <c r="T112" s="2479"/>
      <c r="U112" s="2486"/>
      <c r="V112" s="1655" t="str">
        <f t="shared" si="31"/>
        <v/>
      </c>
      <c r="W112" s="1656" t="str">
        <f t="shared" si="32"/>
        <v/>
      </c>
      <c r="X112" s="1656" t="str">
        <f t="shared" si="33"/>
        <v/>
      </c>
      <c r="Y112" s="1657" t="str">
        <f t="shared" si="34"/>
        <v/>
      </c>
      <c r="Z112" s="1656" t="str">
        <f t="shared" si="35"/>
        <v/>
      </c>
      <c r="AA112" s="1656" t="str">
        <f t="shared" si="36"/>
        <v/>
      </c>
      <c r="AB112" s="1658" t="str">
        <f t="shared" si="37"/>
        <v/>
      </c>
    </row>
    <row r="113" spans="1:28" ht="10.5" hidden="1" customHeight="1" outlineLevel="1">
      <c r="A113" s="2437" t="b">
        <f t="shared" si="40"/>
        <v>1</v>
      </c>
      <c r="B113" s="1618" t="str">
        <f>'Flows &amp; Isokinetics'!E48</f>
        <v/>
      </c>
      <c r="C113" s="1619" t="str">
        <f>'Flows &amp; Isokinetics'!F48</f>
        <v/>
      </c>
      <c r="D113" s="2434" t="str">
        <f t="shared" si="27"/>
        <v/>
      </c>
      <c r="E113" s="2434" t="str">
        <f t="shared" si="28"/>
        <v/>
      </c>
      <c r="F113" s="2445" t="str">
        <f t="shared" si="41"/>
        <v/>
      </c>
      <c r="G113" s="2434" t="str">
        <f t="shared" si="25"/>
        <v/>
      </c>
      <c r="H113" s="2434" t="str">
        <f t="shared" si="26"/>
        <v/>
      </c>
      <c r="I113" s="92"/>
      <c r="J113" s="92"/>
      <c r="K113" s="1634" t="str">
        <f t="shared" si="38"/>
        <v/>
      </c>
      <c r="L113" s="1634" t="str">
        <f>Velocity(PitotIDAft2,PitotCoeffAft2,AB113,E113,F113,StackTempAvgAft2,AbsPressAft2,MolecularWt)</f>
        <v/>
      </c>
      <c r="M113" s="1635" t="str">
        <f t="shared" si="39"/>
        <v/>
      </c>
      <c r="P113" s="1669" t="str">
        <f>'Flows &amp; Isokinetics'!E114</f>
        <v/>
      </c>
      <c r="Q113" s="2480"/>
      <c r="R113" s="2480"/>
      <c r="S113" s="2480"/>
      <c r="T113" s="2479"/>
      <c r="U113" s="2486"/>
      <c r="V113" s="1655" t="str">
        <f t="shared" si="31"/>
        <v/>
      </c>
      <c r="W113" s="1656" t="str">
        <f t="shared" si="32"/>
        <v/>
      </c>
      <c r="X113" s="1656" t="str">
        <f t="shared" si="33"/>
        <v/>
      </c>
      <c r="Y113" s="1657" t="str">
        <f t="shared" si="34"/>
        <v/>
      </c>
      <c r="Z113" s="1656" t="str">
        <f t="shared" si="35"/>
        <v/>
      </c>
      <c r="AA113" s="1656" t="str">
        <f t="shared" si="36"/>
        <v/>
      </c>
      <c r="AB113" s="1658" t="str">
        <f t="shared" si="37"/>
        <v/>
      </c>
    </row>
    <row r="114" spans="1:28" ht="10.5" hidden="1" customHeight="1" outlineLevel="1">
      <c r="A114" s="2437" t="b">
        <f t="shared" si="40"/>
        <v>1</v>
      </c>
      <c r="B114" s="1618" t="str">
        <f>'Flows &amp; Isokinetics'!E49</f>
        <v/>
      </c>
      <c r="C114" s="1619" t="str">
        <f>'Flows &amp; Isokinetics'!F49</f>
        <v/>
      </c>
      <c r="D114" s="2434" t="str">
        <f t="shared" si="27"/>
        <v/>
      </c>
      <c r="E114" s="2434" t="str">
        <f t="shared" si="28"/>
        <v/>
      </c>
      <c r="F114" s="2445" t="str">
        <f t="shared" si="41"/>
        <v/>
      </c>
      <c r="G114" s="2434" t="str">
        <f t="shared" si="25"/>
        <v/>
      </c>
      <c r="H114" s="2434" t="str">
        <f t="shared" si="26"/>
        <v/>
      </c>
      <c r="I114" s="92"/>
      <c r="J114" s="92"/>
      <c r="K114" s="1634" t="str">
        <f t="shared" si="38"/>
        <v/>
      </c>
      <c r="L114" s="1634" t="str">
        <f>Velocity(PitotIDAft2,PitotCoeffAft2,AB114,E114,F114,StackTempAvgAft2,AbsPressAft2,MolecularWt)</f>
        <v/>
      </c>
      <c r="M114" s="1635" t="str">
        <f t="shared" si="39"/>
        <v/>
      </c>
      <c r="P114" s="1669" t="str">
        <f>'Flows &amp; Isokinetics'!E115</f>
        <v/>
      </c>
      <c r="Q114" s="2480"/>
      <c r="R114" s="2480"/>
      <c r="S114" s="2480"/>
      <c r="T114" s="2479"/>
      <c r="U114" s="2486"/>
      <c r="V114" s="1655" t="str">
        <f t="shared" si="31"/>
        <v/>
      </c>
      <c r="W114" s="1656" t="str">
        <f t="shared" si="32"/>
        <v/>
      </c>
      <c r="X114" s="1656" t="str">
        <f t="shared" si="33"/>
        <v/>
      </c>
      <c r="Y114" s="1657" t="str">
        <f t="shared" si="34"/>
        <v/>
      </c>
      <c r="Z114" s="1656" t="str">
        <f t="shared" si="35"/>
        <v/>
      </c>
      <c r="AA114" s="1656" t="str">
        <f t="shared" si="36"/>
        <v/>
      </c>
      <c r="AB114" s="1658" t="str">
        <f t="shared" si="37"/>
        <v/>
      </c>
    </row>
    <row r="115" spans="1:28" ht="10.5" hidden="1" customHeight="1" outlineLevel="1">
      <c r="A115" s="2437" t="b">
        <f t="shared" si="40"/>
        <v>1</v>
      </c>
      <c r="B115" s="1618" t="str">
        <f>'Flows &amp; Isokinetics'!E50</f>
        <v/>
      </c>
      <c r="C115" s="1619" t="str">
        <f>'Flows &amp; Isokinetics'!F50</f>
        <v/>
      </c>
      <c r="D115" s="2434" t="str">
        <f t="shared" si="27"/>
        <v/>
      </c>
      <c r="E115" s="2434" t="str">
        <f t="shared" si="28"/>
        <v/>
      </c>
      <c r="F115" s="2445" t="str">
        <f t="shared" si="41"/>
        <v/>
      </c>
      <c r="G115" s="2434" t="str">
        <f t="shared" si="25"/>
        <v/>
      </c>
      <c r="H115" s="2434" t="str">
        <f t="shared" si="26"/>
        <v/>
      </c>
      <c r="I115" s="92"/>
      <c r="J115" s="92"/>
      <c r="K115" s="1634" t="str">
        <f t="shared" si="38"/>
        <v/>
      </c>
      <c r="L115" s="1634" t="str">
        <f>Velocity(PitotIDAft2,PitotCoeffAft2,AB115,E115,F115,StackTempAvgAft2,AbsPressAft2,MolecularWt)</f>
        <v/>
      </c>
      <c r="M115" s="1635" t="str">
        <f t="shared" si="39"/>
        <v/>
      </c>
      <c r="P115" s="1669" t="str">
        <f>'Flows &amp; Isokinetics'!E116</f>
        <v/>
      </c>
      <c r="Q115" s="2480"/>
      <c r="R115" s="2480"/>
      <c r="S115" s="2480"/>
      <c r="T115" s="2479"/>
      <c r="U115" s="2486"/>
      <c r="V115" s="1655" t="str">
        <f t="shared" si="31"/>
        <v/>
      </c>
      <c r="W115" s="1656" t="str">
        <f t="shared" si="32"/>
        <v/>
      </c>
      <c r="X115" s="1656" t="str">
        <f t="shared" si="33"/>
        <v/>
      </c>
      <c r="Y115" s="1657" t="str">
        <f t="shared" si="34"/>
        <v/>
      </c>
      <c r="Z115" s="1656" t="str">
        <f t="shared" si="35"/>
        <v/>
      </c>
      <c r="AA115" s="1656" t="str">
        <f t="shared" si="36"/>
        <v/>
      </c>
      <c r="AB115" s="1658" t="str">
        <f t="shared" si="37"/>
        <v/>
      </c>
    </row>
    <row r="116" spans="1:28" ht="10.5" hidden="1" customHeight="1" outlineLevel="1">
      <c r="A116" s="2437" t="b">
        <f t="shared" si="40"/>
        <v>1</v>
      </c>
      <c r="B116" s="1618" t="str">
        <f>'Flows &amp; Isokinetics'!E51</f>
        <v/>
      </c>
      <c r="C116" s="1619" t="str">
        <f>'Flows &amp; Isokinetics'!F51</f>
        <v/>
      </c>
      <c r="D116" s="2434" t="str">
        <f t="shared" si="27"/>
        <v/>
      </c>
      <c r="E116" s="2434" t="str">
        <f t="shared" si="28"/>
        <v/>
      </c>
      <c r="F116" s="2445" t="str">
        <f t="shared" si="41"/>
        <v/>
      </c>
      <c r="G116" s="2434" t="str">
        <f t="shared" si="25"/>
        <v/>
      </c>
      <c r="H116" s="2434" t="str">
        <f t="shared" si="26"/>
        <v/>
      </c>
      <c r="I116" s="92"/>
      <c r="J116" s="92"/>
      <c r="K116" s="1634" t="str">
        <f t="shared" si="38"/>
        <v/>
      </c>
      <c r="L116" s="1634" t="str">
        <f>Velocity(PitotIDAft2,PitotCoeffAft2,AB116,E116,F116,StackTempAvgAft2,AbsPressAft2,MolecularWt)</f>
        <v/>
      </c>
      <c r="M116" s="1635" t="str">
        <f t="shared" si="39"/>
        <v/>
      </c>
      <c r="P116" s="1669" t="str">
        <f>'Flows &amp; Isokinetics'!E117</f>
        <v/>
      </c>
      <c r="Q116" s="2480"/>
      <c r="R116" s="2480"/>
      <c r="S116" s="2480"/>
      <c r="T116" s="2479"/>
      <c r="U116" s="2486"/>
      <c r="V116" s="1655" t="str">
        <f t="shared" si="31"/>
        <v/>
      </c>
      <c r="W116" s="1656" t="str">
        <f t="shared" si="32"/>
        <v/>
      </c>
      <c r="X116" s="1656" t="str">
        <f t="shared" si="33"/>
        <v/>
      </c>
      <c r="Y116" s="1657" t="str">
        <f t="shared" si="34"/>
        <v/>
      </c>
      <c r="Z116" s="1656" t="str">
        <f t="shared" si="35"/>
        <v/>
      </c>
      <c r="AA116" s="1656" t="str">
        <f t="shared" si="36"/>
        <v/>
      </c>
      <c r="AB116" s="1658" t="str">
        <f t="shared" si="37"/>
        <v/>
      </c>
    </row>
    <row r="117" spans="1:28" ht="10.5" hidden="1" customHeight="1" outlineLevel="1">
      <c r="A117" s="2437" t="b">
        <f t="shared" si="40"/>
        <v>1</v>
      </c>
      <c r="B117" s="1618" t="str">
        <f>'Flows &amp; Isokinetics'!E52</f>
        <v/>
      </c>
      <c r="C117" s="1619" t="str">
        <f>'Flows &amp; Isokinetics'!F52</f>
        <v/>
      </c>
      <c r="D117" s="2434" t="str">
        <f t="shared" si="27"/>
        <v/>
      </c>
      <c r="E117" s="2434" t="str">
        <f t="shared" si="28"/>
        <v/>
      </c>
      <c r="F117" s="2445" t="str">
        <f t="shared" si="41"/>
        <v/>
      </c>
      <c r="G117" s="2434" t="str">
        <f t="shared" si="25"/>
        <v/>
      </c>
      <c r="H117" s="2434" t="str">
        <f t="shared" si="26"/>
        <v/>
      </c>
      <c r="I117" s="92"/>
      <c r="J117" s="92"/>
      <c r="K117" s="1634" t="str">
        <f t="shared" si="38"/>
        <v/>
      </c>
      <c r="L117" s="1634" t="str">
        <f>Velocity(PitotIDAft2,PitotCoeffAft2,AB117,E117,F117,StackTempAvgAft2,AbsPressAft2,MolecularWt)</f>
        <v/>
      </c>
      <c r="M117" s="1635" t="str">
        <f t="shared" si="39"/>
        <v/>
      </c>
      <c r="P117" s="1669" t="str">
        <f>'Flows &amp; Isokinetics'!E118</f>
        <v/>
      </c>
      <c r="Q117" s="2480"/>
      <c r="R117" s="2480"/>
      <c r="S117" s="2480"/>
      <c r="T117" s="2479"/>
      <c r="U117" s="2486"/>
      <c r="V117" s="1655" t="str">
        <f t="shared" si="31"/>
        <v/>
      </c>
      <c r="W117" s="1656" t="str">
        <f t="shared" si="32"/>
        <v/>
      </c>
      <c r="X117" s="1656" t="str">
        <f t="shared" si="33"/>
        <v/>
      </c>
      <c r="Y117" s="1657" t="str">
        <f t="shared" si="34"/>
        <v/>
      </c>
      <c r="Z117" s="1656" t="str">
        <f t="shared" si="35"/>
        <v/>
      </c>
      <c r="AA117" s="1656" t="str">
        <f t="shared" si="36"/>
        <v/>
      </c>
      <c r="AB117" s="1658" t="str">
        <f t="shared" si="37"/>
        <v/>
      </c>
    </row>
    <row r="118" spans="1:28" ht="10.5" hidden="1" customHeight="1" outlineLevel="1">
      <c r="A118" s="2437" t="b">
        <f t="shared" si="40"/>
        <v>1</v>
      </c>
      <c r="B118" s="1618" t="str">
        <f>'Flows &amp; Isokinetics'!E53</f>
        <v/>
      </c>
      <c r="C118" s="1619" t="str">
        <f>'Flows &amp; Isokinetics'!F53</f>
        <v/>
      </c>
      <c r="D118" s="2434" t="str">
        <f t="shared" si="27"/>
        <v/>
      </c>
      <c r="E118" s="2434" t="str">
        <f t="shared" si="28"/>
        <v/>
      </c>
      <c r="F118" s="2445" t="str">
        <f t="shared" si="41"/>
        <v/>
      </c>
      <c r="G118" s="2434" t="str">
        <f t="shared" si="25"/>
        <v/>
      </c>
      <c r="H118" s="2434" t="str">
        <f t="shared" si="26"/>
        <v/>
      </c>
      <c r="I118" s="92"/>
      <c r="J118" s="92"/>
      <c r="K118" s="1634" t="str">
        <f t="shared" si="38"/>
        <v/>
      </c>
      <c r="L118" s="1634" t="str">
        <f>Velocity(PitotIDAft2,PitotCoeffAft2,AB118,E118,F118,StackTempAvgAft2,AbsPressAft2,MolecularWt)</f>
        <v/>
      </c>
      <c r="M118" s="1635" t="str">
        <f t="shared" si="39"/>
        <v/>
      </c>
      <c r="P118" s="1669" t="str">
        <f>'Flows &amp; Isokinetics'!E119</f>
        <v/>
      </c>
      <c r="Q118" s="2480"/>
      <c r="R118" s="2480"/>
      <c r="S118" s="2480"/>
      <c r="T118" s="2479"/>
      <c r="U118" s="2486"/>
      <c r="V118" s="1655" t="str">
        <f t="shared" si="31"/>
        <v/>
      </c>
      <c r="W118" s="1656" t="str">
        <f t="shared" si="32"/>
        <v/>
      </c>
      <c r="X118" s="1656" t="str">
        <f t="shared" si="33"/>
        <v/>
      </c>
      <c r="Y118" s="1657" t="str">
        <f t="shared" si="34"/>
        <v/>
      </c>
      <c r="Z118" s="1656" t="str">
        <f t="shared" si="35"/>
        <v/>
      </c>
      <c r="AA118" s="1656" t="str">
        <f t="shared" si="36"/>
        <v/>
      </c>
      <c r="AB118" s="1658" t="str">
        <f t="shared" si="37"/>
        <v/>
      </c>
    </row>
    <row r="119" spans="1:28" ht="10.5" hidden="1" customHeight="1" outlineLevel="1">
      <c r="A119" s="2437" t="b">
        <f t="shared" si="40"/>
        <v>1</v>
      </c>
      <c r="B119" s="1618" t="str">
        <f>'Flows &amp; Isokinetics'!E54</f>
        <v/>
      </c>
      <c r="C119" s="1619" t="str">
        <f>'Flows &amp; Isokinetics'!F54</f>
        <v/>
      </c>
      <c r="D119" s="2434" t="str">
        <f t="shared" si="27"/>
        <v/>
      </c>
      <c r="E119" s="2434" t="str">
        <f t="shared" si="28"/>
        <v/>
      </c>
      <c r="F119" s="2445" t="str">
        <f t="shared" si="41"/>
        <v/>
      </c>
      <c r="G119" s="2434" t="str">
        <f t="shared" si="25"/>
        <v/>
      </c>
      <c r="H119" s="2434" t="str">
        <f t="shared" si="26"/>
        <v/>
      </c>
      <c r="I119" s="92"/>
      <c r="J119" s="92"/>
      <c r="K119" s="1634" t="str">
        <f t="shared" si="38"/>
        <v/>
      </c>
      <c r="L119" s="1634" t="str">
        <f>Velocity(PitotIDAft2,PitotCoeffAft2,AB119,E119,F119,StackTempAvgAft2,AbsPressAft2,MolecularWt)</f>
        <v/>
      </c>
      <c r="M119" s="1635" t="str">
        <f t="shared" si="39"/>
        <v/>
      </c>
      <c r="P119" s="1669" t="str">
        <f>'Flows &amp; Isokinetics'!E120</f>
        <v/>
      </c>
      <c r="Q119" s="2480"/>
      <c r="R119" s="2480"/>
      <c r="S119" s="2480"/>
      <c r="T119" s="2479"/>
      <c r="U119" s="2486"/>
      <c r="V119" s="1655" t="str">
        <f t="shared" si="31"/>
        <v/>
      </c>
      <c r="W119" s="1656" t="str">
        <f t="shared" si="32"/>
        <v/>
      </c>
      <c r="X119" s="1656" t="str">
        <f t="shared" si="33"/>
        <v/>
      </c>
      <c r="Y119" s="1657" t="str">
        <f t="shared" si="34"/>
        <v/>
      </c>
      <c r="Z119" s="1656" t="str">
        <f t="shared" si="35"/>
        <v/>
      </c>
      <c r="AA119" s="1656" t="str">
        <f t="shared" si="36"/>
        <v/>
      </c>
      <c r="AB119" s="1658" t="str">
        <f t="shared" si="37"/>
        <v/>
      </c>
    </row>
    <row r="120" spans="1:28" ht="10.5" hidden="1" customHeight="1" outlineLevel="1">
      <c r="A120" s="2437" t="b">
        <f t="shared" si="40"/>
        <v>1</v>
      </c>
      <c r="B120" s="1618" t="str">
        <f>'Flows &amp; Isokinetics'!E55</f>
        <v/>
      </c>
      <c r="C120" s="1619" t="str">
        <f>'Flows &amp; Isokinetics'!F55</f>
        <v/>
      </c>
      <c r="D120" s="2434" t="str">
        <f t="shared" si="27"/>
        <v/>
      </c>
      <c r="E120" s="2434" t="str">
        <f t="shared" si="28"/>
        <v/>
      </c>
      <c r="F120" s="2445" t="str">
        <f t="shared" si="41"/>
        <v/>
      </c>
      <c r="G120" s="2434" t="str">
        <f t="shared" si="25"/>
        <v/>
      </c>
      <c r="H120" s="2434" t="str">
        <f t="shared" si="26"/>
        <v/>
      </c>
      <c r="I120" s="92"/>
      <c r="J120" s="92"/>
      <c r="K120" s="1634" t="str">
        <f t="shared" si="38"/>
        <v/>
      </c>
      <c r="L120" s="1634" t="str">
        <f>Velocity(PitotIDAft2,PitotCoeffAft2,AB120,E120,F120,StackTempAvgAft2,AbsPressAft2,MolecularWt)</f>
        <v/>
      </c>
      <c r="M120" s="1635" t="str">
        <f t="shared" si="39"/>
        <v/>
      </c>
      <c r="P120" s="1669" t="str">
        <f>'Flows &amp; Isokinetics'!E121</f>
        <v/>
      </c>
      <c r="Q120" s="2480"/>
      <c r="R120" s="2480"/>
      <c r="S120" s="2480"/>
      <c r="T120" s="2479"/>
      <c r="U120" s="2486"/>
      <c r="V120" s="1655" t="str">
        <f t="shared" si="31"/>
        <v/>
      </c>
      <c r="W120" s="1656" t="str">
        <f t="shared" si="32"/>
        <v/>
      </c>
      <c r="X120" s="1656" t="str">
        <f t="shared" si="33"/>
        <v/>
      </c>
      <c r="Y120" s="1657" t="str">
        <f t="shared" si="34"/>
        <v/>
      </c>
      <c r="Z120" s="1656" t="str">
        <f t="shared" si="35"/>
        <v/>
      </c>
      <c r="AA120" s="1656" t="str">
        <f t="shared" si="36"/>
        <v/>
      </c>
      <c r="AB120" s="1658" t="str">
        <f t="shared" si="37"/>
        <v/>
      </c>
    </row>
    <row r="121" spans="1:28" ht="10.5" hidden="1" customHeight="1" outlineLevel="1">
      <c r="A121" s="2437" t="b">
        <f t="shared" si="40"/>
        <v>1</v>
      </c>
      <c r="B121" s="1618" t="str">
        <f>'Flows &amp; Isokinetics'!E56</f>
        <v/>
      </c>
      <c r="C121" s="1619" t="str">
        <f>'Flows &amp; Isokinetics'!F56</f>
        <v/>
      </c>
      <c r="D121" s="2434" t="str">
        <f t="shared" si="27"/>
        <v/>
      </c>
      <c r="E121" s="2434" t="str">
        <f t="shared" si="28"/>
        <v/>
      </c>
      <c r="F121" s="2445" t="str">
        <f t="shared" si="41"/>
        <v/>
      </c>
      <c r="G121" s="2434" t="str">
        <f t="shared" si="25"/>
        <v/>
      </c>
      <c r="H121" s="2434" t="str">
        <f t="shared" si="26"/>
        <v/>
      </c>
      <c r="I121" s="92"/>
      <c r="J121" s="92"/>
      <c r="K121" s="1634" t="str">
        <f t="shared" si="38"/>
        <v/>
      </c>
      <c r="L121" s="1634" t="str">
        <f>Velocity(PitotIDAft2,PitotCoeffAft2,AB121,E121,F121,StackTempAvgAft2,AbsPressAft2,MolecularWt)</f>
        <v/>
      </c>
      <c r="M121" s="1635" t="str">
        <f t="shared" si="39"/>
        <v/>
      </c>
      <c r="P121" s="1669" t="str">
        <f>'Flows &amp; Isokinetics'!E122</f>
        <v/>
      </c>
      <c r="Q121" s="2480"/>
      <c r="R121" s="2480"/>
      <c r="S121" s="2480"/>
      <c r="T121" s="2479"/>
      <c r="U121" s="2486"/>
      <c r="V121" s="1655" t="str">
        <f t="shared" si="31"/>
        <v/>
      </c>
      <c r="W121" s="1656" t="str">
        <f t="shared" si="32"/>
        <v/>
      </c>
      <c r="X121" s="1656" t="str">
        <f t="shared" si="33"/>
        <v/>
      </c>
      <c r="Y121" s="1657" t="str">
        <f t="shared" si="34"/>
        <v/>
      </c>
      <c r="Z121" s="1656" t="str">
        <f t="shared" si="35"/>
        <v/>
      </c>
      <c r="AA121" s="1656" t="str">
        <f t="shared" si="36"/>
        <v/>
      </c>
      <c r="AB121" s="1658" t="str">
        <f t="shared" si="37"/>
        <v/>
      </c>
    </row>
    <row r="122" spans="1:28" ht="10.5" hidden="1" customHeight="1" outlineLevel="1">
      <c r="A122" s="2437" t="b">
        <f t="shared" si="40"/>
        <v>1</v>
      </c>
      <c r="B122" s="1618" t="str">
        <f>'Flows &amp; Isokinetics'!E57</f>
        <v/>
      </c>
      <c r="C122" s="1619" t="str">
        <f>'Flows &amp; Isokinetics'!F57</f>
        <v/>
      </c>
      <c r="D122" s="2434" t="str">
        <f t="shared" si="27"/>
        <v/>
      </c>
      <c r="E122" s="2434" t="str">
        <f t="shared" si="28"/>
        <v/>
      </c>
      <c r="F122" s="2445" t="str">
        <f t="shared" si="41"/>
        <v/>
      </c>
      <c r="G122" s="2434" t="str">
        <f t="shared" si="25"/>
        <v/>
      </c>
      <c r="H122" s="2434" t="str">
        <f t="shared" si="26"/>
        <v/>
      </c>
      <c r="I122" s="92"/>
      <c r="J122" s="92"/>
      <c r="K122" s="1634" t="str">
        <f t="shared" si="38"/>
        <v/>
      </c>
      <c r="L122" s="1634" t="str">
        <f>Velocity(PitotIDAft2,PitotCoeffAft2,AB122,E122,F122,StackTempAvgAft2,AbsPressAft2,MolecularWt)</f>
        <v/>
      </c>
      <c r="M122" s="1635" t="str">
        <f t="shared" si="39"/>
        <v/>
      </c>
      <c r="P122" s="1669" t="str">
        <f>'Flows &amp; Isokinetics'!E123</f>
        <v/>
      </c>
      <c r="Q122" s="2480"/>
      <c r="R122" s="2480"/>
      <c r="S122" s="2480"/>
      <c r="T122" s="2479"/>
      <c r="U122" s="2486"/>
      <c r="V122" s="1655" t="str">
        <f t="shared" si="31"/>
        <v/>
      </c>
      <c r="W122" s="1656" t="str">
        <f t="shared" si="32"/>
        <v/>
      </c>
      <c r="X122" s="1656" t="str">
        <f t="shared" si="33"/>
        <v/>
      </c>
      <c r="Y122" s="1657" t="str">
        <f t="shared" si="34"/>
        <v/>
      </c>
      <c r="Z122" s="1656" t="str">
        <f t="shared" si="35"/>
        <v/>
      </c>
      <c r="AA122" s="1656" t="str">
        <f t="shared" si="36"/>
        <v/>
      </c>
      <c r="AB122" s="1658" t="str">
        <f t="shared" si="37"/>
        <v/>
      </c>
    </row>
    <row r="123" spans="1:28" ht="10.5" hidden="1" customHeight="1" outlineLevel="1">
      <c r="A123" s="2437" t="b">
        <f t="shared" si="40"/>
        <v>1</v>
      </c>
      <c r="B123" s="1618" t="str">
        <f>'Flows &amp; Isokinetics'!E58</f>
        <v/>
      </c>
      <c r="C123" s="1619" t="str">
        <f>'Flows &amp; Isokinetics'!F58</f>
        <v/>
      </c>
      <c r="D123" s="2434" t="str">
        <f t="shared" si="27"/>
        <v/>
      </c>
      <c r="E123" s="2434" t="str">
        <f t="shared" si="28"/>
        <v/>
      </c>
      <c r="F123" s="2445" t="str">
        <f t="shared" si="41"/>
        <v/>
      </c>
      <c r="G123" s="2434" t="str">
        <f t="shared" si="25"/>
        <v/>
      </c>
      <c r="H123" s="2434" t="str">
        <f t="shared" si="26"/>
        <v/>
      </c>
      <c r="I123" s="92"/>
      <c r="J123" s="92"/>
      <c r="K123" s="1634" t="str">
        <f t="shared" si="38"/>
        <v/>
      </c>
      <c r="L123" s="1634" t="str">
        <f>Velocity(PitotIDAft2,PitotCoeffAft2,AB123,E123,F123,StackTempAvgAft2,AbsPressAft2,MolecularWt)</f>
        <v/>
      </c>
      <c r="M123" s="1635" t="str">
        <f t="shared" si="39"/>
        <v/>
      </c>
      <c r="P123" s="1669" t="str">
        <f>'Flows &amp; Isokinetics'!E124</f>
        <v/>
      </c>
      <c r="Q123" s="2480"/>
      <c r="R123" s="2480"/>
      <c r="S123" s="2480"/>
      <c r="T123" s="2479"/>
      <c r="U123" s="2486"/>
      <c r="V123" s="1655" t="str">
        <f t="shared" si="31"/>
        <v/>
      </c>
      <c r="W123" s="1656" t="str">
        <f t="shared" si="32"/>
        <v/>
      </c>
      <c r="X123" s="1656" t="str">
        <f t="shared" si="33"/>
        <v/>
      </c>
      <c r="Y123" s="1657" t="str">
        <f t="shared" si="34"/>
        <v/>
      </c>
      <c r="Z123" s="1656" t="str">
        <f t="shared" si="35"/>
        <v/>
      </c>
      <c r="AA123" s="1656" t="str">
        <f t="shared" si="36"/>
        <v/>
      </c>
      <c r="AB123" s="1658" t="str">
        <f t="shared" si="37"/>
        <v/>
      </c>
    </row>
    <row r="124" spans="1:28" ht="10.5" hidden="1" customHeight="1" outlineLevel="1">
      <c r="A124" s="2437" t="b">
        <f t="shared" si="40"/>
        <v>1</v>
      </c>
      <c r="B124" s="1618" t="str">
        <f>'Flows &amp; Isokinetics'!E59</f>
        <v/>
      </c>
      <c r="C124" s="1619" t="str">
        <f>'Flows &amp; Isokinetics'!F59</f>
        <v/>
      </c>
      <c r="D124" s="2434" t="str">
        <f t="shared" si="27"/>
        <v/>
      </c>
      <c r="E124" s="2434" t="str">
        <f t="shared" si="28"/>
        <v/>
      </c>
      <c r="F124" s="2445" t="str">
        <f t="shared" si="41"/>
        <v/>
      </c>
      <c r="G124" s="2434" t="str">
        <f t="shared" si="25"/>
        <v/>
      </c>
      <c r="H124" s="2434" t="str">
        <f t="shared" si="26"/>
        <v/>
      </c>
      <c r="I124" s="92"/>
      <c r="J124" s="92"/>
      <c r="K124" s="1634" t="str">
        <f t="shared" si="38"/>
        <v/>
      </c>
      <c r="L124" s="1634" t="str">
        <f>Velocity(PitotIDAft2,PitotCoeffAft2,AB124,E124,F124,StackTempAvgAft2,AbsPressAft2,MolecularWt)</f>
        <v/>
      </c>
      <c r="M124" s="1635" t="str">
        <f t="shared" si="39"/>
        <v/>
      </c>
      <c r="P124" s="1669" t="str">
        <f>'Flows &amp; Isokinetics'!E125</f>
        <v/>
      </c>
      <c r="Q124" s="2480"/>
      <c r="R124" s="2480"/>
      <c r="S124" s="2480"/>
      <c r="T124" s="2479"/>
      <c r="U124" s="2486"/>
      <c r="V124" s="1655" t="str">
        <f t="shared" si="31"/>
        <v/>
      </c>
      <c r="W124" s="1656" t="str">
        <f t="shared" si="32"/>
        <v/>
      </c>
      <c r="X124" s="1656" t="str">
        <f t="shared" si="33"/>
        <v/>
      </c>
      <c r="Y124" s="1657" t="str">
        <f t="shared" si="34"/>
        <v/>
      </c>
      <c r="Z124" s="1656" t="str">
        <f t="shared" si="35"/>
        <v/>
      </c>
      <c r="AA124" s="1656" t="str">
        <f t="shared" si="36"/>
        <v/>
      </c>
      <c r="AB124" s="1658" t="str">
        <f t="shared" si="37"/>
        <v/>
      </c>
    </row>
    <row r="125" spans="1:28" ht="10.5" hidden="1" customHeight="1" outlineLevel="1">
      <c r="A125" s="2437" t="b">
        <f t="shared" si="40"/>
        <v>1</v>
      </c>
      <c r="B125" s="1618" t="str">
        <f>'Flows &amp; Isokinetics'!E60</f>
        <v/>
      </c>
      <c r="C125" s="1619" t="str">
        <f>'Flows &amp; Isokinetics'!F60</f>
        <v/>
      </c>
      <c r="D125" s="2434" t="str">
        <f t="shared" si="27"/>
        <v/>
      </c>
      <c r="E125" s="2434" t="str">
        <f t="shared" si="28"/>
        <v/>
      </c>
      <c r="F125" s="2445" t="str">
        <f t="shared" si="41"/>
        <v/>
      </c>
      <c r="G125" s="2434" t="str">
        <f t="shared" si="25"/>
        <v/>
      </c>
      <c r="H125" s="2434" t="str">
        <f t="shared" si="26"/>
        <v/>
      </c>
      <c r="I125" s="92"/>
      <c r="J125" s="92"/>
      <c r="K125" s="1634" t="str">
        <f t="shared" si="38"/>
        <v/>
      </c>
      <c r="L125" s="1634" t="str">
        <f>Velocity(PitotIDAft2,PitotCoeffAft2,AB125,E125,F125,StackTempAvgAft2,AbsPressAft2,MolecularWt)</f>
        <v/>
      </c>
      <c r="M125" s="1635" t="str">
        <f t="shared" si="39"/>
        <v/>
      </c>
      <c r="P125" s="1669" t="str">
        <f>'Flows &amp; Isokinetics'!E126</f>
        <v/>
      </c>
      <c r="Q125" s="2480"/>
      <c r="R125" s="2480"/>
      <c r="S125" s="2480"/>
      <c r="T125" s="2479"/>
      <c r="U125" s="2486"/>
      <c r="V125" s="1655" t="str">
        <f t="shared" si="31"/>
        <v/>
      </c>
      <c r="W125" s="1656" t="str">
        <f t="shared" si="32"/>
        <v/>
      </c>
      <c r="X125" s="1656" t="str">
        <f t="shared" si="33"/>
        <v/>
      </c>
      <c r="Y125" s="1657" t="str">
        <f t="shared" si="34"/>
        <v/>
      </c>
      <c r="Z125" s="1656" t="str">
        <f t="shared" si="35"/>
        <v/>
      </c>
      <c r="AA125" s="1656" t="str">
        <f t="shared" si="36"/>
        <v/>
      </c>
      <c r="AB125" s="1658" t="str">
        <f t="shared" si="37"/>
        <v/>
      </c>
    </row>
    <row r="126" spans="1:28" ht="10.5" hidden="1" customHeight="1" outlineLevel="1">
      <c r="A126" s="2437" t="b">
        <f t="shared" si="40"/>
        <v>1</v>
      </c>
      <c r="B126" s="1618" t="str">
        <f>'Flows &amp; Isokinetics'!E61</f>
        <v/>
      </c>
      <c r="C126" s="1619" t="str">
        <f>'Flows &amp; Isokinetics'!F61</f>
        <v/>
      </c>
      <c r="D126" s="2434" t="str">
        <f t="shared" si="27"/>
        <v/>
      </c>
      <c r="E126" s="2434" t="str">
        <f t="shared" si="28"/>
        <v/>
      </c>
      <c r="F126" s="2445" t="str">
        <f t="shared" si="41"/>
        <v/>
      </c>
      <c r="G126" s="2434" t="str">
        <f t="shared" si="25"/>
        <v/>
      </c>
      <c r="H126" s="2434" t="str">
        <f t="shared" si="26"/>
        <v/>
      </c>
      <c r="I126" s="92"/>
      <c r="J126" s="92"/>
      <c r="K126" s="1634" t="str">
        <f t="shared" si="38"/>
        <v/>
      </c>
      <c r="L126" s="1634" t="str">
        <f>Velocity(PitotIDAft2,PitotCoeffAft2,AB126,E126,F126,StackTempAvgAft2,AbsPressAft2,MolecularWt)</f>
        <v/>
      </c>
      <c r="M126" s="1635" t="str">
        <f t="shared" si="39"/>
        <v/>
      </c>
      <c r="P126" s="1669" t="str">
        <f>'Flows &amp; Isokinetics'!E127</f>
        <v/>
      </c>
      <c r="Q126" s="2480"/>
      <c r="R126" s="2480"/>
      <c r="S126" s="2480"/>
      <c r="T126" s="2479"/>
      <c r="U126" s="2486"/>
      <c r="V126" s="1655" t="str">
        <f t="shared" si="31"/>
        <v/>
      </c>
      <c r="W126" s="1656" t="str">
        <f t="shared" si="32"/>
        <v/>
      </c>
      <c r="X126" s="1656" t="str">
        <f t="shared" si="33"/>
        <v/>
      </c>
      <c r="Y126" s="1657" t="str">
        <f t="shared" si="34"/>
        <v/>
      </c>
      <c r="Z126" s="1656" t="str">
        <f t="shared" si="35"/>
        <v/>
      </c>
      <c r="AA126" s="1656" t="str">
        <f t="shared" si="36"/>
        <v/>
      </c>
      <c r="AB126" s="1658" t="str">
        <f t="shared" si="37"/>
        <v/>
      </c>
    </row>
    <row r="127" spans="1:28" ht="10.5" hidden="1" customHeight="1" outlineLevel="1">
      <c r="A127" s="2437" t="b">
        <f t="shared" si="40"/>
        <v>1</v>
      </c>
      <c r="B127" s="1618" t="str">
        <f>'Flows &amp; Isokinetics'!E62</f>
        <v/>
      </c>
      <c r="C127" s="1619" t="str">
        <f>'Flows &amp; Isokinetics'!F62</f>
        <v/>
      </c>
      <c r="D127" s="2434" t="str">
        <f t="shared" si="27"/>
        <v/>
      </c>
      <c r="E127" s="2434" t="str">
        <f t="shared" si="28"/>
        <v/>
      </c>
      <c r="F127" s="2445" t="str">
        <f t="shared" si="41"/>
        <v/>
      </c>
      <c r="G127" s="2434" t="str">
        <f t="shared" si="25"/>
        <v/>
      </c>
      <c r="H127" s="2434" t="str">
        <f t="shared" si="26"/>
        <v/>
      </c>
      <c r="I127" s="92"/>
      <c r="J127" s="92"/>
      <c r="K127" s="1634" t="str">
        <f t="shared" si="38"/>
        <v/>
      </c>
      <c r="L127" s="1634" t="str">
        <f>Velocity(PitotIDAft2,PitotCoeffAft2,AB127,E127,F127,StackTempAvgAft2,AbsPressAft2,MolecularWt)</f>
        <v/>
      </c>
      <c r="M127" s="1635" t="str">
        <f t="shared" si="39"/>
        <v/>
      </c>
      <c r="P127" s="1669" t="str">
        <f>'Flows &amp; Isokinetics'!E128</f>
        <v/>
      </c>
      <c r="Q127" s="2480"/>
      <c r="R127" s="2480"/>
      <c r="S127" s="2480"/>
      <c r="T127" s="2479"/>
      <c r="U127" s="2486"/>
      <c r="V127" s="1655" t="str">
        <f t="shared" si="31"/>
        <v/>
      </c>
      <c r="W127" s="1656" t="str">
        <f t="shared" si="32"/>
        <v/>
      </c>
      <c r="X127" s="1656" t="str">
        <f t="shared" si="33"/>
        <v/>
      </c>
      <c r="Y127" s="1657" t="str">
        <f t="shared" si="34"/>
        <v/>
      </c>
      <c r="Z127" s="1656" t="str">
        <f t="shared" si="35"/>
        <v/>
      </c>
      <c r="AA127" s="1656" t="str">
        <f t="shared" si="36"/>
        <v/>
      </c>
      <c r="AB127" s="1658" t="str">
        <f t="shared" si="37"/>
        <v/>
      </c>
    </row>
    <row r="128" spans="1:28" ht="10.5" hidden="1" customHeight="1" outlineLevel="1">
      <c r="A128" s="2437" t="b">
        <f t="shared" si="40"/>
        <v>1</v>
      </c>
      <c r="B128" s="1618" t="str">
        <f>'Flows &amp; Isokinetics'!E63</f>
        <v/>
      </c>
      <c r="C128" s="1619" t="str">
        <f>'Flows &amp; Isokinetics'!F63</f>
        <v/>
      </c>
      <c r="D128" s="2434" t="str">
        <f t="shared" si="27"/>
        <v/>
      </c>
      <c r="E128" s="2434" t="str">
        <f t="shared" si="28"/>
        <v/>
      </c>
      <c r="F128" s="2445" t="str">
        <f t="shared" si="41"/>
        <v/>
      </c>
      <c r="G128" s="2434" t="str">
        <f t="shared" si="25"/>
        <v/>
      </c>
      <c r="H128" s="2434" t="str">
        <f t="shared" si="26"/>
        <v/>
      </c>
      <c r="I128" s="92"/>
      <c r="J128" s="92"/>
      <c r="K128" s="1634" t="str">
        <f t="shared" si="38"/>
        <v/>
      </c>
      <c r="L128" s="1634" t="str">
        <f>Velocity(PitotIDAft2,PitotCoeffAft2,AB128,E128,F128,StackTempAvgAft2,AbsPressAft2,MolecularWt)</f>
        <v/>
      </c>
      <c r="M128" s="1635" t="str">
        <f t="shared" si="39"/>
        <v/>
      </c>
      <c r="P128" s="1669" t="str">
        <f>'Flows &amp; Isokinetics'!E129</f>
        <v/>
      </c>
      <c r="Q128" s="2480"/>
      <c r="R128" s="2480"/>
      <c r="S128" s="2480"/>
      <c r="T128" s="2479"/>
      <c r="U128" s="2486"/>
      <c r="V128" s="1655" t="str">
        <f t="shared" si="31"/>
        <v/>
      </c>
      <c r="W128" s="1656" t="str">
        <f t="shared" si="32"/>
        <v/>
      </c>
      <c r="X128" s="1656" t="str">
        <f t="shared" si="33"/>
        <v/>
      </c>
      <c r="Y128" s="1657" t="str">
        <f t="shared" si="34"/>
        <v/>
      </c>
      <c r="Z128" s="1656" t="str">
        <f t="shared" si="35"/>
        <v/>
      </c>
      <c r="AA128" s="1656" t="str">
        <f t="shared" si="36"/>
        <v/>
      </c>
      <c r="AB128" s="1658" t="str">
        <f t="shared" si="37"/>
        <v/>
      </c>
    </row>
    <row r="129" spans="1:28" ht="10.5" hidden="1" customHeight="1" outlineLevel="1">
      <c r="A129" s="2437" t="b">
        <f t="shared" si="40"/>
        <v>1</v>
      </c>
      <c r="B129" s="1618" t="str">
        <f>'Flows &amp; Isokinetics'!E64</f>
        <v/>
      </c>
      <c r="C129" s="1619" t="str">
        <f>'Flows &amp; Isokinetics'!F64</f>
        <v/>
      </c>
      <c r="D129" s="2434" t="str">
        <f t="shared" si="27"/>
        <v/>
      </c>
      <c r="E129" s="2434" t="str">
        <f t="shared" si="28"/>
        <v/>
      </c>
      <c r="F129" s="2445" t="str">
        <f t="shared" si="41"/>
        <v/>
      </c>
      <c r="G129" s="2434" t="str">
        <f t="shared" si="25"/>
        <v/>
      </c>
      <c r="H129" s="2434" t="str">
        <f t="shared" si="26"/>
        <v/>
      </c>
      <c r="I129" s="92"/>
      <c r="J129" s="92"/>
      <c r="K129" s="1634" t="str">
        <f t="shared" si="38"/>
        <v/>
      </c>
      <c r="L129" s="1634" t="str">
        <f>Velocity(PitotIDAft2,PitotCoeffAft2,AB129,E129,F129,StackTempAvgAft2,AbsPressAft2,MolecularWt)</f>
        <v/>
      </c>
      <c r="M129" s="1635" t="str">
        <f t="shared" si="39"/>
        <v/>
      </c>
      <c r="P129" s="1669" t="str">
        <f>'Flows &amp; Isokinetics'!E130</f>
        <v/>
      </c>
      <c r="Q129" s="2480"/>
      <c r="R129" s="2480"/>
      <c r="S129" s="2480"/>
      <c r="T129" s="2479"/>
      <c r="U129" s="2486"/>
      <c r="V129" s="1655" t="str">
        <f t="shared" si="31"/>
        <v/>
      </c>
      <c r="W129" s="1656" t="str">
        <f t="shared" si="32"/>
        <v/>
      </c>
      <c r="X129" s="1656" t="str">
        <f t="shared" si="33"/>
        <v/>
      </c>
      <c r="Y129" s="1657" t="str">
        <f t="shared" si="34"/>
        <v/>
      </c>
      <c r="Z129" s="1656" t="str">
        <f t="shared" si="35"/>
        <v/>
      </c>
      <c r="AA129" s="1656" t="str">
        <f t="shared" si="36"/>
        <v/>
      </c>
      <c r="AB129" s="1658" t="str">
        <f t="shared" si="37"/>
        <v/>
      </c>
    </row>
    <row r="130" spans="1:28" ht="10.5" hidden="1" customHeight="1" outlineLevel="1">
      <c r="A130" s="2437" t="b">
        <f t="shared" si="40"/>
        <v>1</v>
      </c>
      <c r="B130" s="1618" t="str">
        <f>'Flows &amp; Isokinetics'!E65</f>
        <v/>
      </c>
      <c r="C130" s="1619" t="str">
        <f>'Flows &amp; Isokinetics'!F65</f>
        <v/>
      </c>
      <c r="D130" s="2434" t="str">
        <f t="shared" si="27"/>
        <v/>
      </c>
      <c r="E130" s="2434" t="str">
        <f t="shared" si="28"/>
        <v/>
      </c>
      <c r="F130" s="2445" t="str">
        <f t="shared" si="41"/>
        <v/>
      </c>
      <c r="G130" s="2434" t="str">
        <f t="shared" si="25"/>
        <v/>
      </c>
      <c r="H130" s="2434" t="str">
        <f t="shared" si="26"/>
        <v/>
      </c>
      <c r="I130" s="92"/>
      <c r="J130" s="92"/>
      <c r="K130" s="1634" t="str">
        <f t="shared" si="38"/>
        <v/>
      </c>
      <c r="L130" s="1634" t="str">
        <f>Velocity(PitotIDAft2,PitotCoeffAft2,AB130,E130,F130,StackTempAvgAft2,AbsPressAft2,MolecularWt)</f>
        <v/>
      </c>
      <c r="M130" s="1635" t="str">
        <f t="shared" si="39"/>
        <v/>
      </c>
      <c r="P130" s="1669" t="str">
        <f>'Flows &amp; Isokinetics'!E131</f>
        <v/>
      </c>
      <c r="Q130" s="2480"/>
      <c r="R130" s="2480"/>
      <c r="S130" s="2480"/>
      <c r="T130" s="2479"/>
      <c r="U130" s="2486"/>
      <c r="V130" s="1655" t="str">
        <f t="shared" si="31"/>
        <v/>
      </c>
      <c r="W130" s="1656" t="str">
        <f t="shared" si="32"/>
        <v/>
      </c>
      <c r="X130" s="1656" t="str">
        <f t="shared" si="33"/>
        <v/>
      </c>
      <c r="Y130" s="1657" t="str">
        <f t="shared" si="34"/>
        <v/>
      </c>
      <c r="Z130" s="1656" t="str">
        <f t="shared" si="35"/>
        <v/>
      </c>
      <c r="AA130" s="1656" t="str">
        <f t="shared" si="36"/>
        <v/>
      </c>
      <c r="AB130" s="1658" t="str">
        <f t="shared" si="37"/>
        <v/>
      </c>
    </row>
    <row r="131" spans="1:28" ht="10.5" hidden="1" customHeight="1" outlineLevel="1">
      <c r="A131" s="2437" t="b">
        <f t="shared" si="40"/>
        <v>1</v>
      </c>
      <c r="B131" s="1618" t="str">
        <f>'Flows &amp; Isokinetics'!E66</f>
        <v/>
      </c>
      <c r="C131" s="1619" t="str">
        <f>'Flows &amp; Isokinetics'!F66</f>
        <v/>
      </c>
      <c r="D131" s="2434" t="str">
        <f t="shared" si="27"/>
        <v/>
      </c>
      <c r="E131" s="2434" t="str">
        <f t="shared" si="28"/>
        <v/>
      </c>
      <c r="F131" s="2445" t="str">
        <f t="shared" si="41"/>
        <v/>
      </c>
      <c r="G131" s="2434" t="str">
        <f t="shared" si="25"/>
        <v/>
      </c>
      <c r="H131" s="2434" t="str">
        <f t="shared" si="26"/>
        <v/>
      </c>
      <c r="I131" s="92"/>
      <c r="J131" s="92"/>
      <c r="K131" s="1634" t="str">
        <f t="shared" si="38"/>
        <v/>
      </c>
      <c r="L131" s="1634" t="str">
        <f>Velocity(PitotIDAft2,PitotCoeffAft2,AB131,E131,F131,StackTempAvgAft2,AbsPressAft2,MolecularWt)</f>
        <v/>
      </c>
      <c r="M131" s="1635" t="str">
        <f t="shared" si="39"/>
        <v/>
      </c>
      <c r="P131" s="1669" t="str">
        <f>'Flows &amp; Isokinetics'!E132</f>
        <v/>
      </c>
      <c r="Q131" s="2480"/>
      <c r="R131" s="2480"/>
      <c r="S131" s="2480"/>
      <c r="T131" s="2479"/>
      <c r="U131" s="2486"/>
      <c r="V131" s="1655" t="str">
        <f t="shared" si="31"/>
        <v/>
      </c>
      <c r="W131" s="1656" t="str">
        <f t="shared" si="32"/>
        <v/>
      </c>
      <c r="X131" s="1656" t="str">
        <f t="shared" si="33"/>
        <v/>
      </c>
      <c r="Y131" s="1657" t="str">
        <f t="shared" si="34"/>
        <v/>
      </c>
      <c r="Z131" s="1656" t="str">
        <f t="shared" si="35"/>
        <v/>
      </c>
      <c r="AA131" s="1656" t="str">
        <f t="shared" si="36"/>
        <v/>
      </c>
      <c r="AB131" s="1658" t="str">
        <f t="shared" si="37"/>
        <v/>
      </c>
    </row>
    <row r="132" spans="1:28" ht="10.5" hidden="1" customHeight="1" outlineLevel="1">
      <c r="A132" s="2437" t="b">
        <f t="shared" si="40"/>
        <v>1</v>
      </c>
      <c r="B132" s="1618" t="str">
        <f>'Flows &amp; Isokinetics'!E67</f>
        <v/>
      </c>
      <c r="C132" s="1619" t="str">
        <f>'Flows &amp; Isokinetics'!F67</f>
        <v/>
      </c>
      <c r="D132" s="2434" t="str">
        <f t="shared" si="27"/>
        <v/>
      </c>
      <c r="E132" s="2434" t="str">
        <f t="shared" si="28"/>
        <v/>
      </c>
      <c r="F132" s="2445" t="str">
        <f t="shared" si="41"/>
        <v/>
      </c>
      <c r="G132" s="2434" t="str">
        <f t="shared" si="25"/>
        <v/>
      </c>
      <c r="H132" s="2434" t="str">
        <f t="shared" si="26"/>
        <v/>
      </c>
      <c r="I132" s="92"/>
      <c r="J132" s="92"/>
      <c r="K132" s="1634" t="str">
        <f t="shared" si="38"/>
        <v/>
      </c>
      <c r="L132" s="1634" t="str">
        <f>Velocity(PitotIDAft2,PitotCoeffAft2,AB132,E132,F132,StackTempAvgAft2,AbsPressAft2,MolecularWt)</f>
        <v/>
      </c>
      <c r="M132" s="1635" t="str">
        <f t="shared" si="39"/>
        <v/>
      </c>
      <c r="P132" s="1669" t="str">
        <f>'Flows &amp; Isokinetics'!E133</f>
        <v/>
      </c>
      <c r="Q132" s="2480"/>
      <c r="R132" s="2480"/>
      <c r="S132" s="2480"/>
      <c r="T132" s="2479"/>
      <c r="U132" s="2486"/>
      <c r="V132" s="1655" t="str">
        <f t="shared" si="31"/>
        <v/>
      </c>
      <c r="W132" s="1656" t="str">
        <f t="shared" si="32"/>
        <v/>
      </c>
      <c r="X132" s="1656" t="str">
        <f t="shared" si="33"/>
        <v/>
      </c>
      <c r="Y132" s="1657" t="str">
        <f t="shared" si="34"/>
        <v/>
      </c>
      <c r="Z132" s="1656" t="str">
        <f t="shared" si="35"/>
        <v/>
      </c>
      <c r="AA132" s="1656" t="str">
        <f t="shared" si="36"/>
        <v/>
      </c>
      <c r="AB132" s="1658" t="str">
        <f t="shared" si="37"/>
        <v/>
      </c>
    </row>
    <row r="133" spans="1:28" ht="10.5" hidden="1" customHeight="1" outlineLevel="1">
      <c r="A133" s="2437" t="b">
        <f t="shared" si="40"/>
        <v>1</v>
      </c>
      <c r="B133" s="1618" t="str">
        <f>'Flows &amp; Isokinetics'!E68</f>
        <v/>
      </c>
      <c r="C133" s="1619" t="str">
        <f>'Flows &amp; Isokinetics'!F68</f>
        <v/>
      </c>
      <c r="D133" s="2434" t="str">
        <f t="shared" si="27"/>
        <v/>
      </c>
      <c r="E133" s="2434" t="str">
        <f t="shared" si="28"/>
        <v/>
      </c>
      <c r="F133" s="2445" t="str">
        <f t="shared" si="41"/>
        <v/>
      </c>
      <c r="G133" s="2434" t="str">
        <f t="shared" si="25"/>
        <v/>
      </c>
      <c r="H133" s="2434" t="str">
        <f t="shared" si="26"/>
        <v/>
      </c>
      <c r="I133" s="92"/>
      <c r="J133" s="92"/>
      <c r="K133" s="1634" t="str">
        <f t="shared" si="38"/>
        <v/>
      </c>
      <c r="L133" s="1634" t="str">
        <f>Velocity(PitotIDAft2,PitotCoeffAft2,AB133,E133,F133,StackTempAvgAft2,AbsPressAft2,MolecularWt)</f>
        <v/>
      </c>
      <c r="M133" s="1635" t="str">
        <f t="shared" si="39"/>
        <v/>
      </c>
      <c r="P133" s="1669" t="str">
        <f>'Flows &amp; Isokinetics'!E134</f>
        <v/>
      </c>
      <c r="Q133" s="2480"/>
      <c r="R133" s="2480"/>
      <c r="S133" s="2480"/>
      <c r="T133" s="2479"/>
      <c r="U133" s="2486"/>
      <c r="V133" s="1655" t="str">
        <f t="shared" si="31"/>
        <v/>
      </c>
      <c r="W133" s="1656" t="str">
        <f t="shared" si="32"/>
        <v/>
      </c>
      <c r="X133" s="1656" t="str">
        <f t="shared" si="33"/>
        <v/>
      </c>
      <c r="Y133" s="1657" t="str">
        <f t="shared" si="34"/>
        <v/>
      </c>
      <c r="Z133" s="1656" t="str">
        <f t="shared" si="35"/>
        <v/>
      </c>
      <c r="AA133" s="1656" t="str">
        <f t="shared" si="36"/>
        <v/>
      </c>
      <c r="AB133" s="1658" t="str">
        <f t="shared" si="37"/>
        <v/>
      </c>
    </row>
    <row r="134" spans="1:28" ht="10.5" hidden="1" customHeight="1" outlineLevel="1">
      <c r="A134" s="2437" t="b">
        <f t="shared" si="40"/>
        <v>1</v>
      </c>
      <c r="B134" s="1618" t="str">
        <f>'Flows &amp; Isokinetics'!E69</f>
        <v/>
      </c>
      <c r="C134" s="1619" t="str">
        <f>'Flows &amp; Isokinetics'!F69</f>
        <v/>
      </c>
      <c r="D134" s="2434" t="str">
        <f t="shared" si="27"/>
        <v/>
      </c>
      <c r="E134" s="2434" t="str">
        <f t="shared" si="28"/>
        <v/>
      </c>
      <c r="F134" s="2445" t="str">
        <f t="shared" si="41"/>
        <v/>
      </c>
      <c r="G134" s="2434" t="str">
        <f t="shared" si="25"/>
        <v/>
      </c>
      <c r="H134" s="2434" t="str">
        <f t="shared" si="26"/>
        <v/>
      </c>
      <c r="I134" s="92"/>
      <c r="J134" s="92"/>
      <c r="K134" s="1634" t="str">
        <f t="shared" si="38"/>
        <v/>
      </c>
      <c r="L134" s="1634" t="str">
        <f>Velocity(PitotIDAft2,PitotCoeffAft2,AB134,E134,F134,StackTempAvgAft2,AbsPressAft2,MolecularWt)</f>
        <v/>
      </c>
      <c r="M134" s="1635" t="str">
        <f t="shared" si="39"/>
        <v/>
      </c>
      <c r="P134" s="1669" t="str">
        <f>'Flows &amp; Isokinetics'!E135</f>
        <v/>
      </c>
      <c r="Q134" s="2480"/>
      <c r="R134" s="2480"/>
      <c r="S134" s="2480"/>
      <c r="T134" s="2479"/>
      <c r="U134" s="2486"/>
      <c r="V134" s="1655" t="str">
        <f t="shared" si="31"/>
        <v/>
      </c>
      <c r="W134" s="1656" t="str">
        <f t="shared" si="32"/>
        <v/>
      </c>
      <c r="X134" s="1656" t="str">
        <f t="shared" si="33"/>
        <v/>
      </c>
      <c r="Y134" s="1657" t="str">
        <f t="shared" si="34"/>
        <v/>
      </c>
      <c r="Z134" s="1656" t="str">
        <f t="shared" si="35"/>
        <v/>
      </c>
      <c r="AA134" s="1656" t="str">
        <f t="shared" si="36"/>
        <v/>
      </c>
      <c r="AB134" s="1658" t="str">
        <f t="shared" si="37"/>
        <v/>
      </c>
    </row>
    <row r="135" spans="1:28" ht="10.5" hidden="1" customHeight="1" outlineLevel="1">
      <c r="A135" s="2437" t="b">
        <f t="shared" si="40"/>
        <v>1</v>
      </c>
      <c r="B135" s="1618" t="str">
        <f>'Flows &amp; Isokinetics'!E70</f>
        <v/>
      </c>
      <c r="C135" s="1619" t="str">
        <f>'Flows &amp; Isokinetics'!F70</f>
        <v/>
      </c>
      <c r="D135" s="2434" t="str">
        <f t="shared" si="27"/>
        <v/>
      </c>
      <c r="E135" s="2434" t="str">
        <f t="shared" si="28"/>
        <v/>
      </c>
      <c r="F135" s="2445" t="str">
        <f t="shared" si="41"/>
        <v/>
      </c>
      <c r="G135" s="2434" t="str">
        <f t="shared" si="25"/>
        <v/>
      </c>
      <c r="H135" s="2434" t="str">
        <f t="shared" si="26"/>
        <v/>
      </c>
      <c r="I135" s="92"/>
      <c r="J135" s="92"/>
      <c r="K135" s="1634" t="str">
        <f t="shared" si="38"/>
        <v/>
      </c>
      <c r="L135" s="1634" t="str">
        <f>Velocity(PitotIDAft2,PitotCoeffAft2,AB135,E135,F135,StackTempAvgAft2,AbsPressAft2,MolecularWt)</f>
        <v/>
      </c>
      <c r="M135" s="1635" t="str">
        <f t="shared" si="39"/>
        <v/>
      </c>
      <c r="P135" s="1669" t="str">
        <f>'Flows &amp; Isokinetics'!E136</f>
        <v/>
      </c>
      <c r="Q135" s="2480"/>
      <c r="R135" s="2480"/>
      <c r="S135" s="2480"/>
      <c r="T135" s="2479"/>
      <c r="U135" s="2486"/>
      <c r="V135" s="1655" t="str">
        <f t="shared" si="31"/>
        <v/>
      </c>
      <c r="W135" s="1656" t="str">
        <f t="shared" si="32"/>
        <v/>
      </c>
      <c r="X135" s="1656" t="str">
        <f t="shared" si="33"/>
        <v/>
      </c>
      <c r="Y135" s="1657" t="str">
        <f t="shared" si="34"/>
        <v/>
      </c>
      <c r="Z135" s="1656" t="str">
        <f t="shared" si="35"/>
        <v/>
      </c>
      <c r="AA135" s="1656" t="str">
        <f t="shared" si="36"/>
        <v/>
      </c>
      <c r="AB135" s="1658" t="str">
        <f t="shared" si="37"/>
        <v/>
      </c>
    </row>
    <row r="136" spans="1:28" ht="10.5" hidden="1" customHeight="1" outlineLevel="1">
      <c r="A136" s="2437" t="b">
        <f t="shared" si="40"/>
        <v>1</v>
      </c>
      <c r="B136" s="1618" t="str">
        <f>'Flows &amp; Isokinetics'!E71</f>
        <v/>
      </c>
      <c r="C136" s="1619" t="str">
        <f>'Flows &amp; Isokinetics'!F71</f>
        <v/>
      </c>
      <c r="D136" s="2434" t="str">
        <f t="shared" si="27"/>
        <v/>
      </c>
      <c r="E136" s="2434" t="str">
        <f t="shared" si="28"/>
        <v/>
      </c>
      <c r="F136" s="2445" t="str">
        <f t="shared" si="41"/>
        <v/>
      </c>
      <c r="G136" s="2434" t="str">
        <f t="shared" si="25"/>
        <v/>
      </c>
      <c r="H136" s="2434" t="str">
        <f t="shared" si="26"/>
        <v/>
      </c>
      <c r="I136" s="92"/>
      <c r="J136" s="92"/>
      <c r="K136" s="1634" t="str">
        <f t="shared" si="38"/>
        <v/>
      </c>
      <c r="L136" s="1634" t="str">
        <f>Velocity(PitotIDAft2,PitotCoeffAft2,AB136,E136,F136,StackTempAvgAft2,AbsPressAft2,MolecularWt)</f>
        <v/>
      </c>
      <c r="M136" s="1635" t="str">
        <f t="shared" si="39"/>
        <v/>
      </c>
      <c r="P136" s="1669" t="str">
        <f>'Flows &amp; Isokinetics'!E137</f>
        <v/>
      </c>
      <c r="Q136" s="2480"/>
      <c r="R136" s="2480"/>
      <c r="S136" s="2480"/>
      <c r="T136" s="2479"/>
      <c r="U136" s="2486"/>
      <c r="V136" s="1655" t="str">
        <f t="shared" si="31"/>
        <v/>
      </c>
      <c r="W136" s="1656" t="str">
        <f t="shared" si="32"/>
        <v/>
      </c>
      <c r="X136" s="1656" t="str">
        <f t="shared" si="33"/>
        <v/>
      </c>
      <c r="Y136" s="1657" t="str">
        <f t="shared" si="34"/>
        <v/>
      </c>
      <c r="Z136" s="1656" t="str">
        <f t="shared" si="35"/>
        <v/>
      </c>
      <c r="AA136" s="1656" t="str">
        <f t="shared" si="36"/>
        <v/>
      </c>
      <c r="AB136" s="1658" t="str">
        <f t="shared" si="37"/>
        <v/>
      </c>
    </row>
    <row r="137" spans="1:28" ht="10.5" hidden="1" customHeight="1" outlineLevel="1">
      <c r="A137" s="2437" t="b">
        <f t="shared" si="40"/>
        <v>1</v>
      </c>
      <c r="B137" s="1618" t="str">
        <f>'Flows &amp; Isokinetics'!E72</f>
        <v/>
      </c>
      <c r="C137" s="1619" t="str">
        <f>'Flows &amp; Isokinetics'!F72</f>
        <v/>
      </c>
      <c r="D137" s="2434" t="str">
        <f t="shared" si="27"/>
        <v/>
      </c>
      <c r="E137" s="2434" t="str">
        <f t="shared" si="28"/>
        <v/>
      </c>
      <c r="F137" s="2445" t="str">
        <f t="shared" si="41"/>
        <v/>
      </c>
      <c r="G137" s="2434" t="str">
        <f t="shared" si="25"/>
        <v/>
      </c>
      <c r="H137" s="2434" t="str">
        <f t="shared" si="26"/>
        <v/>
      </c>
      <c r="I137" s="92"/>
      <c r="J137" s="92"/>
      <c r="K137" s="1634" t="str">
        <f t="shared" si="38"/>
        <v/>
      </c>
      <c r="L137" s="1634" t="str">
        <f>Velocity(PitotIDAft2,PitotCoeffAft2,AB137,E137,F137,StackTempAvgAft2,AbsPressAft2,MolecularWt)</f>
        <v/>
      </c>
      <c r="M137" s="1635" t="str">
        <f t="shared" si="39"/>
        <v/>
      </c>
      <c r="P137" s="1669" t="str">
        <f>'Flows &amp; Isokinetics'!E138</f>
        <v/>
      </c>
      <c r="Q137" s="2480"/>
      <c r="R137" s="2480"/>
      <c r="S137" s="2480"/>
      <c r="T137" s="2479"/>
      <c r="U137" s="2486"/>
      <c r="V137" s="1655" t="str">
        <f t="shared" si="31"/>
        <v/>
      </c>
      <c r="W137" s="1656" t="str">
        <f t="shared" si="32"/>
        <v/>
      </c>
      <c r="X137" s="1656" t="str">
        <f t="shared" si="33"/>
        <v/>
      </c>
      <c r="Y137" s="1657" t="str">
        <f t="shared" si="34"/>
        <v/>
      </c>
      <c r="Z137" s="1656" t="str">
        <f t="shared" si="35"/>
        <v/>
      </c>
      <c r="AA137" s="1656" t="str">
        <f t="shared" si="36"/>
        <v/>
      </c>
      <c r="AB137" s="1658" t="str">
        <f t="shared" si="37"/>
        <v/>
      </c>
    </row>
    <row r="138" spans="1:28" ht="10.5" hidden="1" customHeight="1" outlineLevel="1">
      <c r="A138" s="2437" t="b">
        <f t="shared" si="40"/>
        <v>1</v>
      </c>
      <c r="B138" s="1618" t="str">
        <f>'Flows &amp; Isokinetics'!E73</f>
        <v/>
      </c>
      <c r="C138" s="1619" t="str">
        <f>'Flows &amp; Isokinetics'!F73</f>
        <v/>
      </c>
      <c r="D138" s="2434" t="str">
        <f t="shared" si="27"/>
        <v/>
      </c>
      <c r="E138" s="2434" t="str">
        <f t="shared" si="28"/>
        <v/>
      </c>
      <c r="F138" s="2445" t="str">
        <f t="shared" si="41"/>
        <v/>
      </c>
      <c r="G138" s="2434" t="str">
        <f t="shared" si="25"/>
        <v/>
      </c>
      <c r="H138" s="2434" t="str">
        <f t="shared" si="26"/>
        <v/>
      </c>
      <c r="I138" s="92"/>
      <c r="J138" s="92"/>
      <c r="K138" s="1634" t="str">
        <f t="shared" si="38"/>
        <v/>
      </c>
      <c r="L138" s="1634" t="str">
        <f>Velocity(PitotIDAft2,PitotCoeffAft2,AB138,E138,F138,StackTempAvgAft2,AbsPressAft2,MolecularWt)</f>
        <v/>
      </c>
      <c r="M138" s="1635" t="str">
        <f t="shared" si="39"/>
        <v/>
      </c>
      <c r="P138" s="1669" t="str">
        <f>'Flows &amp; Isokinetics'!E139</f>
        <v/>
      </c>
      <c r="Q138" s="2480"/>
      <c r="R138" s="2480"/>
      <c r="S138" s="2480"/>
      <c r="T138" s="2479"/>
      <c r="U138" s="2486"/>
      <c r="V138" s="1655" t="str">
        <f t="shared" si="31"/>
        <v/>
      </c>
      <c r="W138" s="1656" t="str">
        <f t="shared" si="32"/>
        <v/>
      </c>
      <c r="X138" s="1656" t="str">
        <f t="shared" si="33"/>
        <v/>
      </c>
      <c r="Y138" s="1657" t="str">
        <f t="shared" si="34"/>
        <v/>
      </c>
      <c r="Z138" s="1656" t="str">
        <f t="shared" si="35"/>
        <v/>
      </c>
      <c r="AA138" s="1656" t="str">
        <f t="shared" si="36"/>
        <v/>
      </c>
      <c r="AB138" s="1658" t="str">
        <f t="shared" si="37"/>
        <v/>
      </c>
    </row>
    <row r="139" spans="1:28" ht="10.5" hidden="1" customHeight="1" outlineLevel="1">
      <c r="A139" s="2437" t="b">
        <f t="shared" si="40"/>
        <v>1</v>
      </c>
      <c r="B139" s="1618" t="str">
        <f>'Flows &amp; Isokinetics'!E74</f>
        <v/>
      </c>
      <c r="C139" s="1619" t="str">
        <f>'Flows &amp; Isokinetics'!F74</f>
        <v/>
      </c>
      <c r="D139" s="2434" t="str">
        <f t="shared" si="27"/>
        <v/>
      </c>
      <c r="E139" s="2434" t="str">
        <f>IF(D139="","",IF(D139&lt;E$79,E$79,D139))</f>
        <v/>
      </c>
      <c r="F139" s="2445" t="str">
        <f t="shared" si="41"/>
        <v/>
      </c>
      <c r="G139" s="2434" t="str">
        <f t="shared" si="25"/>
        <v/>
      </c>
      <c r="H139" s="2434" t="str">
        <f t="shared" si="26"/>
        <v/>
      </c>
      <c r="I139" s="92"/>
      <c r="J139" s="92"/>
      <c r="K139" s="1634" t="str">
        <f t="shared" si="38"/>
        <v/>
      </c>
      <c r="L139" s="1634" t="str">
        <f>Velocity(PitotIDAft2,PitotCoeffAft2,AB139,E139,F139,StackTempAvgAft2,AbsPressAft2,MolecularWt)</f>
        <v/>
      </c>
      <c r="M139" s="1635" t="str">
        <f t="shared" si="39"/>
        <v/>
      </c>
      <c r="P139" s="1669" t="str">
        <f>'Flows &amp; Isokinetics'!E140</f>
        <v/>
      </c>
      <c r="Q139" s="2480"/>
      <c r="R139" s="2480"/>
      <c r="S139" s="2480"/>
      <c r="T139" s="2479"/>
      <c r="U139" s="2486"/>
      <c r="V139" s="1655" t="str">
        <f t="shared" si="31"/>
        <v/>
      </c>
      <c r="W139" s="1656" t="str">
        <f t="shared" si="32"/>
        <v/>
      </c>
      <c r="X139" s="1656" t="str">
        <f t="shared" si="33"/>
        <v/>
      </c>
      <c r="Y139" s="1657" t="str">
        <f t="shared" si="34"/>
        <v/>
      </c>
      <c r="Z139" s="1656" t="str">
        <f t="shared" si="35"/>
        <v/>
      </c>
      <c r="AA139" s="1656" t="str">
        <f t="shared" si="36"/>
        <v/>
      </c>
      <c r="AB139" s="1658" t="str">
        <f t="shared" si="37"/>
        <v/>
      </c>
    </row>
    <row r="140" spans="1:28" ht="10.5" customHeight="1" collapsed="1">
      <c r="B140" s="1620"/>
      <c r="C140" s="1621"/>
      <c r="D140" s="1623" t="str">
        <f>D78</f>
        <v>Pressure</v>
      </c>
      <c r="E140" s="1623"/>
      <c r="F140" s="1623" t="str">
        <f t="shared" ref="F140:L140" si="42">F78</f>
        <v>Stack (°C)</v>
      </c>
      <c r="G140" s="1623" t="str">
        <f t="shared" si="42"/>
        <v>Yaw (°)</v>
      </c>
      <c r="H140" s="1623" t="str">
        <f>H78</f>
        <v>Pitch (°)</v>
      </c>
      <c r="I140" s="1623" t="str">
        <f t="shared" si="42"/>
        <v>Probe</v>
      </c>
      <c r="J140" s="1623" t="str">
        <f t="shared" si="42"/>
        <v>Impinger</v>
      </c>
      <c r="K140" s="1623" t="str">
        <f t="shared" si="42"/>
        <v>Sqrt(Pa)</v>
      </c>
      <c r="L140" s="1623" t="str">
        <f t="shared" si="42"/>
        <v>Gas Velocity</v>
      </c>
      <c r="M140" s="1624" t="s">
        <v>844</v>
      </c>
      <c r="P140" s="1620"/>
      <c r="Q140" s="1660" t="str">
        <f>Q78</f>
        <v>Temp</v>
      </c>
      <c r="R140" s="1660" t="str">
        <f>R78</f>
        <v>Velocity ΔP</v>
      </c>
      <c r="S140" s="1660" t="str">
        <f>S78</f>
        <v>Yaw</v>
      </c>
      <c r="T140" s="1661" t="str">
        <f>T78</f>
        <v>Pitch ΔP</v>
      </c>
      <c r="U140" s="2489"/>
      <c r="V140" s="1659" t="str">
        <f t="shared" ref="V140:AB140" si="43">V78</f>
        <v>Temp</v>
      </c>
      <c r="W140" s="1660" t="str">
        <f t="shared" si="43"/>
        <v>Velocity ΔP</v>
      </c>
      <c r="X140" s="1660" t="str">
        <f t="shared" si="43"/>
        <v>Pitch ΔP</v>
      </c>
      <c r="Y140" s="1660" t="str">
        <f t="shared" si="43"/>
        <v>F1</v>
      </c>
      <c r="Z140" s="1660" t="str">
        <f>Z78&amp;Z79</f>
        <v>Yaw (°)</v>
      </c>
      <c r="AA140" s="1660" t="str">
        <f>AA78&amp;AA79</f>
        <v>Pitch (°)</v>
      </c>
      <c r="AB140" s="1661" t="str">
        <f t="shared" si="43"/>
        <v>F2</v>
      </c>
    </row>
    <row r="141" spans="1:28" ht="10.5" customHeight="1">
      <c r="B141" s="1620"/>
      <c r="C141" s="1621" t="s">
        <v>1460</v>
      </c>
      <c r="D141" s="1625" t="e">
        <f>AVERAGE(D80:D139)</f>
        <v>#DIV/0!</v>
      </c>
      <c r="E141" s="1625"/>
      <c r="F141" s="1626" t="e">
        <f t="shared" ref="F141:M141" si="44">AVERAGE(F80:F139)</f>
        <v>#DIV/0!</v>
      </c>
      <c r="G141" s="1625" t="e">
        <f t="shared" si="44"/>
        <v>#DIV/0!</v>
      </c>
      <c r="H141" s="1625" t="e">
        <f>AVERAGE(H80:H139)</f>
        <v>#DIV/0!</v>
      </c>
      <c r="I141" s="1626" t="e">
        <f t="shared" si="44"/>
        <v>#DIV/0!</v>
      </c>
      <c r="J141" s="1626" t="e">
        <f t="shared" si="44"/>
        <v>#DIV/0!</v>
      </c>
      <c r="K141" s="1627" t="e">
        <f t="shared" si="44"/>
        <v>#DIV/0!</v>
      </c>
      <c r="L141" s="1627" t="e">
        <f t="shared" si="44"/>
        <v>#DIV/0!</v>
      </c>
      <c r="M141" s="1628" t="e">
        <f t="shared" si="44"/>
        <v>#DIV/0!</v>
      </c>
      <c r="P141" s="1620"/>
      <c r="Q141" s="1670" t="e">
        <f>AVERAGE(Q80:Q139)</f>
        <v>#DIV/0!</v>
      </c>
      <c r="R141" s="1664" t="e">
        <f>AVERAGE(R80:R139)</f>
        <v>#DIV/0!</v>
      </c>
      <c r="S141" s="1664" t="e">
        <f>AVERAGE(S80:S139)</f>
        <v>#DIV/0!</v>
      </c>
      <c r="T141" s="1665" t="e">
        <f>AVERAGE(T80:T139)</f>
        <v>#DIV/0!</v>
      </c>
      <c r="U141" s="2489"/>
      <c r="V141" s="1662" t="e">
        <f t="shared" ref="V141:AB141" si="45">AVERAGE(V80:V139)</f>
        <v>#DIV/0!</v>
      </c>
      <c r="W141" s="1663" t="e">
        <f t="shared" si="45"/>
        <v>#DIV/0!</v>
      </c>
      <c r="X141" s="1663" t="e">
        <f t="shared" si="45"/>
        <v>#DIV/0!</v>
      </c>
      <c r="Y141" s="1664" t="e">
        <f t="shared" si="45"/>
        <v>#DIV/0!</v>
      </c>
      <c r="Z141" s="1664" t="e">
        <f t="shared" si="45"/>
        <v>#DIV/0!</v>
      </c>
      <c r="AA141" s="1663" t="e">
        <f t="shared" si="45"/>
        <v>#DIV/0!</v>
      </c>
      <c r="AB141" s="1665" t="e">
        <f t="shared" si="45"/>
        <v>#DIV/0!</v>
      </c>
    </row>
    <row r="142" spans="1:28" ht="10.5" customHeight="1" thickBot="1">
      <c r="B142" s="1622"/>
      <c r="C142" s="1601"/>
      <c r="D142" s="1629" t="str">
        <f>IF(ISERROR(D141),"",IF(D141&lt;AftFlowDL2,"&lt;",""))</f>
        <v/>
      </c>
      <c r="E142" s="1629"/>
      <c r="F142" s="1630" t="e">
        <f>F141+273.15</f>
        <v>#DIV/0!</v>
      </c>
      <c r="G142" s="1630"/>
      <c r="H142" s="1630"/>
      <c r="I142" s="1630"/>
      <c r="J142" s="1630"/>
      <c r="K142" s="1631"/>
      <c r="L142" s="1632"/>
      <c r="M142" s="1633"/>
      <c r="P142" s="1622"/>
      <c r="Q142" s="1667"/>
      <c r="R142" s="1667"/>
      <c r="S142" s="1667"/>
      <c r="T142" s="1668"/>
      <c r="U142" s="2489"/>
      <c r="V142" s="1666"/>
      <c r="W142" s="1667"/>
      <c r="X142" s="1667"/>
      <c r="Y142" s="1667"/>
      <c r="Z142" s="1667"/>
      <c r="AA142" s="1667"/>
      <c r="AB142" s="1668"/>
    </row>
    <row r="143" spans="1:28" ht="10.5" customHeight="1">
      <c r="B143" s="2456" t="s">
        <v>41</v>
      </c>
      <c r="C143" s="2456" t="s">
        <v>41</v>
      </c>
      <c r="D143" s="2456" t="s">
        <v>41</v>
      </c>
      <c r="E143" s="2456"/>
      <c r="F143" s="2456" t="s">
        <v>41</v>
      </c>
      <c r="G143" s="2456" t="s">
        <v>41</v>
      </c>
      <c r="H143" s="2456" t="s">
        <v>41</v>
      </c>
      <c r="I143" s="2456" t="s">
        <v>41</v>
      </c>
      <c r="J143" s="2456" t="s">
        <v>41</v>
      </c>
      <c r="K143" s="2456" t="s">
        <v>41</v>
      </c>
      <c r="L143" s="2456" t="s">
        <v>41</v>
      </c>
      <c r="M143" s="2456" t="s">
        <v>41</v>
      </c>
    </row>
    <row r="144" spans="1:28" ht="10.5" customHeight="1">
      <c r="F144" s="201" t="s">
        <v>1198</v>
      </c>
      <c r="G144" s="2457"/>
      <c r="J144" s="2437"/>
      <c r="K144" s="201" t="s">
        <v>1199</v>
      </c>
      <c r="L144" s="202"/>
      <c r="M144" s="2437"/>
    </row>
    <row r="145" spans="6:12" ht="10.5" customHeight="1">
      <c r="F145" s="2597"/>
      <c r="G145" s="2598"/>
      <c r="K145" s="2597"/>
      <c r="L145" s="2598"/>
    </row>
    <row r="146" spans="6:12" ht="10.5" customHeight="1">
      <c r="F146" s="2599"/>
      <c r="G146" s="2600"/>
      <c r="K146" s="2599"/>
      <c r="L146" s="2600"/>
    </row>
  </sheetData>
  <sheetProtection sheet="1"/>
  <mergeCells count="4">
    <mergeCell ref="P6:T6"/>
    <mergeCell ref="F145:G146"/>
    <mergeCell ref="K145:L146"/>
    <mergeCell ref="K4:M4"/>
  </mergeCells>
  <phoneticPr fontId="0" type="noConversion"/>
  <conditionalFormatting sqref="F79">
    <cfRule type="expression" dxfId="175" priority="10">
      <formula>$A79=""</formula>
    </cfRule>
  </conditionalFormatting>
  <conditionalFormatting sqref="F13">
    <cfRule type="expression" dxfId="174" priority="9">
      <formula>$A13=""</formula>
    </cfRule>
  </conditionalFormatting>
  <conditionalFormatting sqref="D14:D73">
    <cfRule type="expression" dxfId="173" priority="8">
      <formula>$A14=""</formula>
    </cfRule>
  </conditionalFormatting>
  <conditionalFormatting sqref="D80:D139">
    <cfRule type="expression" dxfId="172" priority="7">
      <formula>$A80=""</formula>
    </cfRule>
  </conditionalFormatting>
  <conditionalFormatting sqref="D2">
    <cfRule type="expression" dxfId="171" priority="6">
      <formula>A2=""</formula>
    </cfRule>
  </conditionalFormatting>
  <conditionalFormatting sqref="D3">
    <cfRule type="expression" dxfId="170" priority="5">
      <formula>$A$3=""</formula>
    </cfRule>
  </conditionalFormatting>
  <conditionalFormatting sqref="D5">
    <cfRule type="expression" dxfId="169" priority="4">
      <formula>$A$7=""</formula>
    </cfRule>
  </conditionalFormatting>
  <conditionalFormatting sqref="D7:D9">
    <cfRule type="expression" dxfId="168" priority="3">
      <formula>$A$7=""</formula>
    </cfRule>
  </conditionalFormatting>
  <conditionalFormatting sqref="H9">
    <cfRule type="expression" dxfId="167" priority="2">
      <formula>$A$10=""</formula>
    </cfRule>
  </conditionalFormatting>
  <conditionalFormatting sqref="I9">
    <cfRule type="expression" dxfId="166" priority="1">
      <formula>$A$11=""</formula>
    </cfRule>
  </conditionalFormatting>
  <dataValidations disablePrompts="1" count="1">
    <dataValidation type="list" allowBlank="1" showInputMessage="1" showErrorMessage="1" sqref="F5">
      <formula1>Pitot</formula1>
    </dataValidation>
  </dataValidations>
  <printOptions horizontalCentered="1"/>
  <pageMargins left="0.19685039370078741" right="0.19685039370078741" top="0.62992125984251968" bottom="0.39370078740157483" header="0.31496062992125984" footer="0.19685039370078741"/>
  <pageSetup paperSize="9" orientation="portrait" horizontalDpi="300" verticalDpi="300"/>
  <headerFooter alignWithMargins="0">
    <oddHeader>&amp;C&amp;"MS Sans Serif,Bold"&amp;16&amp;A</oddHeader>
    <oddFooter>&amp;L&amp;8&amp;Z&amp;F&amp;R&amp;8&amp;D  &amp;T</oddFooter>
  </headerFooter>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tabColor indexed="47"/>
  </sheetPr>
  <dimension ref="A1:AT147"/>
  <sheetViews>
    <sheetView zoomScaleNormal="90" zoomScalePageLayoutView="90" workbookViewId="0">
      <selection activeCell="C2" sqref="C2"/>
    </sheetView>
  </sheetViews>
  <sheetFormatPr baseColWidth="10" defaultColWidth="8.7109375" defaultRowHeight="10.5" customHeight="1" outlineLevelRow="1" x14ac:dyDescent="0"/>
  <cols>
    <col min="1" max="1" width="2.85546875" style="65" customWidth="1"/>
    <col min="2" max="2" width="7.140625" style="65" customWidth="1"/>
    <col min="3" max="3" width="9.28515625" style="65" customWidth="1"/>
    <col min="4" max="4" width="9.28515625" style="65" hidden="1" customWidth="1"/>
    <col min="5" max="7" width="9.28515625" style="65" customWidth="1"/>
    <col min="8" max="8" width="9.5703125" style="65" customWidth="1"/>
    <col min="9" max="9" width="9.28515625" style="65" customWidth="1"/>
    <col min="10" max="11" width="9.28515625" style="65" hidden="1" customWidth="1"/>
    <col min="12" max="14" width="9.28515625" style="65" customWidth="1"/>
    <col min="15" max="15" width="8.7109375" style="79"/>
    <col min="16" max="16" width="4.28515625" style="79" customWidth="1"/>
    <col min="17" max="21" width="8.7109375" style="79"/>
    <col min="22" max="25" width="8.7109375" style="65"/>
    <col min="26" max="26" width="4.28515625" style="65" customWidth="1"/>
    <col min="27" max="31" width="8.7109375" style="65"/>
    <col min="32" max="34" width="8.7109375" style="79"/>
    <col min="35" max="37" width="8.7109375" style="65"/>
    <col min="38" max="40" width="7.7109375" style="65" customWidth="1"/>
    <col min="41" max="43" width="8.7109375" style="65"/>
    <col min="44" max="45" width="9.28515625" style="65" bestFit="1" customWidth="1"/>
    <col min="46" max="16384" width="8.7109375" style="65"/>
  </cols>
  <sheetData>
    <row r="1" spans="1:46" ht="10.5" customHeight="1">
      <c r="A1" s="2690"/>
      <c r="B1" s="2678"/>
      <c r="C1" s="285" t="s">
        <v>8</v>
      </c>
      <c r="D1" s="285"/>
      <c r="E1" s="285" t="s">
        <v>9</v>
      </c>
      <c r="F1" s="284"/>
      <c r="G1" s="285" t="s">
        <v>8</v>
      </c>
      <c r="H1" s="285" t="s">
        <v>9</v>
      </c>
      <c r="I1" s="2691" t="s">
        <v>1343</v>
      </c>
      <c r="J1" s="2691"/>
      <c r="K1" s="2691"/>
      <c r="L1" s="173" t="str">
        <f>IF(Client="","",Client)</f>
        <v/>
      </c>
      <c r="M1" s="63"/>
      <c r="N1" s="64"/>
      <c r="P1" s="292" t="s">
        <v>8</v>
      </c>
      <c r="Q1" s="894"/>
      <c r="R1" s="728" t="s">
        <v>503</v>
      </c>
      <c r="S1" s="1006" t="e">
        <f>INDEX(Flowmeters!A$1:BD$9,MATCH("Type",Flowmeters!A$1:A$8,0),MATCH(Flowmeter3,Flowmeters!A$9:BD$9,0))</f>
        <v>#N/A</v>
      </c>
      <c r="T1" s="1007" t="s">
        <v>251</v>
      </c>
    </row>
    <row r="2" spans="1:46" ht="10.5" customHeight="1">
      <c r="A2" s="68"/>
      <c r="B2" s="69" t="s">
        <v>1446</v>
      </c>
      <c r="C2" s="297"/>
      <c r="D2" s="297"/>
      <c r="E2" s="455" t="str">
        <f>IF(BaroPress3="","",BaroPress3)</f>
        <v/>
      </c>
      <c r="F2" s="71" t="s">
        <v>1325</v>
      </c>
      <c r="G2" s="62"/>
      <c r="H2" s="62"/>
      <c r="I2" s="2679" t="s">
        <v>1204</v>
      </c>
      <c r="J2" s="2680"/>
      <c r="K2" s="2680"/>
      <c r="L2" s="221" t="str">
        <f>IF(StackID="","",StackID)</f>
        <v/>
      </c>
      <c r="M2" s="73"/>
      <c r="N2" s="74"/>
      <c r="P2" s="68"/>
      <c r="Q2" s="69"/>
      <c r="R2" s="71" t="s">
        <v>607</v>
      </c>
      <c r="S2" s="304" t="e">
        <f>INDEX(Flowmeters!A$1:BD$9,MATCH(R2,Flowmeters!A$1:A$8,0),MATCH(Flowmeter3,Flowmeters!A$9:BD$9,0))</f>
        <v>#N/A</v>
      </c>
      <c r="T2" s="634" t="e">
        <f>INDEX(Flowmeters!A$1:BD$9,MATCH(Flowmeters!$A$8,Flowmeters!A$1:A$8,0),MATCH(Flowmeter3,Flowmeters!A$9:BD$9,0))</f>
        <v>#N/A</v>
      </c>
    </row>
    <row r="3" spans="1:46" ht="10.5" customHeight="1">
      <c r="A3" s="68"/>
      <c r="B3" s="69" t="s">
        <v>1447</v>
      </c>
      <c r="C3" s="70">
        <v>0</v>
      </c>
      <c r="D3" s="70"/>
      <c r="E3" s="305">
        <f>IF(StaticPress3="","",StaticPress3)</f>
        <v>0</v>
      </c>
      <c r="F3" s="71" t="s">
        <v>1322</v>
      </c>
      <c r="G3" s="62"/>
      <c r="H3" s="62"/>
      <c r="I3" s="2679" t="s">
        <v>1196</v>
      </c>
      <c r="J3" s="2680"/>
      <c r="K3" s="2680"/>
      <c r="L3" s="548">
        <f>Date</f>
        <v>0</v>
      </c>
      <c r="M3" s="73"/>
      <c r="N3" s="74"/>
      <c r="P3" s="80"/>
      <c r="Q3" s="77"/>
      <c r="R3" s="69" t="s">
        <v>608</v>
      </c>
      <c r="S3" s="304" t="e">
        <f>INDEX(Flowmeters!A$1:BD$9,MATCH(R3,Flowmeters!A$1:A$8,0),MATCH(Flowmeter3,Flowmeters!A$9:BD$9,0))</f>
        <v>#N/A</v>
      </c>
      <c r="T3" s="899"/>
    </row>
    <row r="4" spans="1:46" ht="10.5" customHeight="1">
      <c r="A4" s="68"/>
      <c r="B4" s="77" t="s">
        <v>1449</v>
      </c>
      <c r="C4" s="78">
        <f>BaroPress3+(StaticPress3/DPF/100)</f>
        <v>0</v>
      </c>
      <c r="D4" s="78"/>
      <c r="E4" s="78" t="str">
        <f>IF(BaroPress4="","",BaroPress4+(StaticPress4/DPF/100))</f>
        <v/>
      </c>
      <c r="F4" s="71" t="s">
        <v>1451</v>
      </c>
      <c r="G4" s="676"/>
      <c r="H4" s="676"/>
      <c r="I4" s="69"/>
      <c r="J4" s="69"/>
      <c r="K4" s="69"/>
      <c r="L4" s="307"/>
      <c r="M4" s="283"/>
      <c r="N4" s="286"/>
      <c r="P4" s="68"/>
      <c r="Q4" s="69"/>
      <c r="R4" s="69" t="s">
        <v>609</v>
      </c>
      <c r="S4" s="304" t="e">
        <f>INDEX(Flowmeters!A$1:BD$9,MATCH(R4,Flowmeters!A$1:A$8,0),MATCH(Flowmeter3,Flowmeters!A$9:BD$9,0))</f>
        <v>#N/A</v>
      </c>
      <c r="T4" s="899"/>
    </row>
    <row r="5" spans="1:46" ht="10.5" customHeight="1">
      <c r="A5" s="68"/>
      <c r="B5" s="1407" t="s">
        <v>1566</v>
      </c>
      <c r="C5" s="1070"/>
      <c r="D5" s="1070"/>
      <c r="E5" s="1074" t="str">
        <f>IF(WetBulb3="","",WetBulb3)</f>
        <v/>
      </c>
      <c r="F5" s="71" t="s">
        <v>1326</v>
      </c>
      <c r="G5" s="62"/>
      <c r="H5" s="72"/>
      <c r="I5" s="69"/>
      <c r="J5" s="69"/>
      <c r="K5" s="69"/>
      <c r="L5" s="307"/>
      <c r="M5" s="283"/>
      <c r="N5" s="286"/>
      <c r="P5" s="68"/>
      <c r="Q5" s="69"/>
      <c r="R5" s="69" t="s">
        <v>610</v>
      </c>
      <c r="S5" s="304" t="e">
        <f>INDEX(Flowmeters!A$1:BD$9,MATCH(R5,Flowmeters!A$1:A$8,0),MATCH(Flowmeter3,Flowmeters!A$9:BD$9,0))</f>
        <v>#N/A</v>
      </c>
      <c r="T5" s="899"/>
    </row>
    <row r="6" spans="1:46" ht="10.5" customHeight="1">
      <c r="A6" s="68"/>
      <c r="B6" s="71" t="s">
        <v>80</v>
      </c>
      <c r="C6" s="62"/>
      <c r="D6" s="62"/>
      <c r="E6" s="282" t="str">
        <f>IF(PitotID3="","",PitotID3)</f>
        <v/>
      </c>
      <c r="F6" s="71" t="s">
        <v>1327</v>
      </c>
      <c r="G6" s="62"/>
      <c r="H6" s="72"/>
      <c r="I6" s="69"/>
      <c r="J6" s="69"/>
      <c r="K6" s="69"/>
      <c r="L6" s="307"/>
      <c r="M6" s="283"/>
      <c r="N6" s="286"/>
      <c r="P6" s="723" t="s">
        <v>9</v>
      </c>
      <c r="Q6" s="895"/>
      <c r="R6" s="729" t="s">
        <v>503</v>
      </c>
      <c r="S6" s="304" t="e">
        <f>INDEX(Flowmeters!A$1:BD$9,MATCH("Type",Flowmeters!A$1:A$8,0),MATCH(Flowmeter4,Flowmeters!A$9:BD$9,0))</f>
        <v>#N/A</v>
      </c>
      <c r="T6" s="1009" t="s">
        <v>251</v>
      </c>
    </row>
    <row r="7" spans="1:46" ht="10.5" customHeight="1">
      <c r="A7" s="68"/>
      <c r="B7" s="71" t="s">
        <v>81</v>
      </c>
      <c r="C7" s="298" t="str">
        <f>IF(PitotID3="","",VLOOKUP(PitotID3,PitotTable,2,FALSE))</f>
        <v/>
      </c>
      <c r="D7" s="298"/>
      <c r="E7" s="298" t="str">
        <f>IF(PitotID4="","",VLOOKUP(PitotID4,PitotTable,2,FALSE))</f>
        <v/>
      </c>
      <c r="F7" s="71" t="s">
        <v>33</v>
      </c>
      <c r="G7" s="472"/>
      <c r="H7" s="472"/>
      <c r="I7" s="69"/>
      <c r="J7" s="69"/>
      <c r="K7" s="69"/>
      <c r="L7" s="283" t="s">
        <v>8</v>
      </c>
      <c r="M7" s="283" t="s">
        <v>9</v>
      </c>
      <c r="N7" s="540" t="s">
        <v>283</v>
      </c>
      <c r="P7" s="80"/>
      <c r="Q7" s="77"/>
      <c r="R7" s="71" t="s">
        <v>607</v>
      </c>
      <c r="S7" s="304" t="e">
        <f>INDEX(Flowmeters!A$1:BD$9,MATCH(R7,Flowmeters!A$1:A$8,0),MATCH(Flowmeter4,Flowmeters!A$9:BD$9,0))</f>
        <v>#N/A</v>
      </c>
      <c r="T7" s="634" t="e">
        <f>INDEX(Flowmeters!A$1:BD$9,MATCH(Flowmeters!$A$8,Flowmeters!A$1:A$8,0),MATCH(Flowmeter4,Flowmeters!A$9:BD$9,0))</f>
        <v>#N/A</v>
      </c>
    </row>
    <row r="8" spans="1:46" ht="10.5" customHeight="1">
      <c r="A8" s="68"/>
      <c r="B8" s="71" t="s">
        <v>1455</v>
      </c>
      <c r="C8" s="62" t="str">
        <f>IF(Flowmeter3="ECS","ECS Box","")</f>
        <v/>
      </c>
      <c r="D8" s="62"/>
      <c r="E8" s="288" t="str">
        <f>IF(C8="","",C8)</f>
        <v/>
      </c>
      <c r="F8" s="71" t="s">
        <v>34</v>
      </c>
      <c r="G8" s="472"/>
      <c r="H8" s="472"/>
      <c r="I8" s="2681" t="s">
        <v>1436</v>
      </c>
      <c r="J8" s="2682"/>
      <c r="K8" s="2683"/>
      <c r="L8" s="306" t="s">
        <v>289</v>
      </c>
      <c r="M8" s="306" t="s">
        <v>289</v>
      </c>
      <c r="N8" s="545"/>
      <c r="P8" s="68"/>
      <c r="Q8" s="69"/>
      <c r="R8" s="71" t="s">
        <v>608</v>
      </c>
      <c r="S8" s="304" t="e">
        <f>INDEX(Flowmeters!A$1:BD$9,MATCH(R8,Flowmeters!A$1:A$8,0),MATCH(Flowmeter4,Flowmeters!A$9:BD$9,0))</f>
        <v>#N/A</v>
      </c>
      <c r="T8" s="899"/>
    </row>
    <row r="9" spans="1:46" ht="10.5" customHeight="1">
      <c r="A9" s="68"/>
      <c r="B9" s="71" t="s">
        <v>75</v>
      </c>
      <c r="C9" s="62"/>
      <c r="D9" s="62"/>
      <c r="E9" s="288" t="str">
        <f>IF(C9="","",C9)</f>
        <v/>
      </c>
      <c r="F9" s="299" t="s">
        <v>1454</v>
      </c>
      <c r="G9" s="472"/>
      <c r="H9" s="472"/>
      <c r="I9" s="2692" t="s">
        <v>171</v>
      </c>
      <c r="J9" s="2693"/>
      <c r="K9" s="2694"/>
      <c r="L9" s="76">
        <f>IF(ISNUMBER(VolumePreMeter3),VolumePreMeter3,"")</f>
        <v>0</v>
      </c>
      <c r="M9" s="76">
        <f>IF(ISNUMBER(VolumePreMeter4),VolumePreMeter4,"")</f>
        <v>0</v>
      </c>
      <c r="N9" s="544">
        <f>IF(N8="",0,N8/AreaSP/10000)</f>
        <v>0</v>
      </c>
      <c r="P9" s="68"/>
      <c r="Q9" s="69"/>
      <c r="R9" s="69" t="s">
        <v>609</v>
      </c>
      <c r="S9" s="304" t="e">
        <f>INDEX(Flowmeters!A$1:BD$9,MATCH(R9,Flowmeters!A$1:A$8,0),MATCH(Flowmeter4,Flowmeters!A$9:BD$9,0))</f>
        <v>#N/A</v>
      </c>
      <c r="T9" s="899"/>
    </row>
    <row r="10" spans="1:46" ht="10.5" customHeight="1" thickBot="1">
      <c r="A10" s="300"/>
      <c r="B10" s="71" t="s">
        <v>76</v>
      </c>
      <c r="C10" s="72"/>
      <c r="D10" s="72"/>
      <c r="E10" s="288" t="str">
        <f>IF(C10="","",C10)</f>
        <v/>
      </c>
      <c r="F10" s="69"/>
      <c r="G10" s="69"/>
      <c r="H10" s="69"/>
      <c r="I10" s="69" t="str">
        <f>NTPSTP&amp;" vol"</f>
        <v>STP vol</v>
      </c>
      <c r="J10" s="69"/>
      <c r="K10" s="69"/>
      <c r="L10" s="76">
        <f>IF(ISNUMBER(VolumePreNTP3),VolumePreNTP3,"")</f>
        <v>0</v>
      </c>
      <c r="M10" s="76" t="str">
        <f>IF(ISNUMBER(VolumePreNTP4),VolumePreNTP4,"")</f>
        <v/>
      </c>
      <c r="N10" s="544">
        <f>IF(PBF_2&gt;0.03,1/(1-PBF_2),1)</f>
        <v>1</v>
      </c>
      <c r="P10" s="295"/>
      <c r="Q10" s="100"/>
      <c r="R10" s="296" t="s">
        <v>610</v>
      </c>
      <c r="S10" s="1008" t="e">
        <f>INDEX(Flowmeters!A$1:BD$9,MATCH(R10,Flowmeters!A$1:A$8,0),MATCH(Flowmeter4,Flowmeters!A$9:BD$9,0))</f>
        <v>#N/A</v>
      </c>
      <c r="T10" s="901"/>
    </row>
    <row r="11" spans="1:46" ht="10.5" customHeight="1" thickBot="1">
      <c r="A11" s="295"/>
      <c r="B11" s="301"/>
      <c r="C11" s="301"/>
      <c r="D11" s="301"/>
      <c r="E11" s="100"/>
      <c r="F11" s="2684" t="s">
        <v>1724</v>
      </c>
      <c r="G11" s="2685"/>
      <c r="H11" s="2686"/>
      <c r="I11" s="301"/>
      <c r="J11" s="301"/>
      <c r="K11" s="301"/>
      <c r="L11" s="301"/>
      <c r="M11" s="301"/>
      <c r="N11" s="302"/>
      <c r="P11" s="69"/>
      <c r="Q11" s="69"/>
      <c r="R11" s="71"/>
      <c r="S11" s="1406"/>
      <c r="T11" s="307"/>
    </row>
    <row r="12" spans="1:46" ht="10.5" customHeight="1" thickBot="1"/>
    <row r="13" spans="1:46" ht="10.5" customHeight="1">
      <c r="A13" s="303" t="s">
        <v>8</v>
      </c>
      <c r="B13" s="67"/>
      <c r="C13" s="284" t="str">
        <f>IF(PitotID3="anemom","Velocity","Pressure")</f>
        <v>Pressure</v>
      </c>
      <c r="D13" s="1586" t="s">
        <v>1721</v>
      </c>
      <c r="E13" s="293" t="s">
        <v>1448</v>
      </c>
      <c r="F13" s="293" t="s">
        <v>1414</v>
      </c>
      <c r="G13" s="293" t="s">
        <v>502</v>
      </c>
      <c r="H13" s="293" t="s">
        <v>1415</v>
      </c>
      <c r="I13" s="293" t="s">
        <v>1470</v>
      </c>
      <c r="J13" s="284" t="s">
        <v>835</v>
      </c>
      <c r="K13" s="284" t="s">
        <v>836</v>
      </c>
      <c r="L13" s="308" t="s">
        <v>1241</v>
      </c>
      <c r="M13" s="309"/>
      <c r="N13" s="310"/>
      <c r="P13" s="66"/>
      <c r="Q13" s="284" t="s">
        <v>1001</v>
      </c>
      <c r="R13" s="67"/>
      <c r="S13" s="284" t="s">
        <v>268</v>
      </c>
      <c r="T13" s="284" t="s">
        <v>35</v>
      </c>
      <c r="U13" s="284" t="str">
        <f>PMtest3</f>
        <v>PM10&amp;2.5</v>
      </c>
      <c r="V13" s="67"/>
      <c r="W13" s="284" t="s">
        <v>1206</v>
      </c>
      <c r="X13" s="294" t="s">
        <v>1214</v>
      </c>
      <c r="Z13" s="66"/>
      <c r="AA13" s="2678" t="s">
        <v>1473</v>
      </c>
      <c r="AB13" s="2678"/>
      <c r="AC13" s="2678" t="s">
        <v>1471</v>
      </c>
      <c r="AD13" s="2678"/>
      <c r="AE13" s="2678"/>
      <c r="AF13" s="67"/>
      <c r="AG13" s="284" t="s">
        <v>1440</v>
      </c>
      <c r="AH13" s="910"/>
      <c r="AJ13" s="912" t="s">
        <v>8</v>
      </c>
      <c r="AK13" s="913"/>
      <c r="AL13" s="913"/>
      <c r="AM13" s="914"/>
      <c r="AN13" s="913"/>
      <c r="AO13" s="913"/>
      <c r="AP13" s="913"/>
      <c r="AQ13" s="913"/>
      <c r="AR13" s="913"/>
      <c r="AS13" s="913"/>
      <c r="AT13" s="915"/>
    </row>
    <row r="14" spans="1:46" ht="10.5" customHeight="1">
      <c r="A14" s="84"/>
      <c r="B14" s="85" t="s">
        <v>14</v>
      </c>
      <c r="C14" s="85" t="str">
        <f>IF(PitotID3="anemom","("&amp;VU&amp;")","("&amp;DPU&amp;")")</f>
        <v>(Pa)</v>
      </c>
      <c r="D14" s="85">
        <f>IF(PitotID3="Anemom (Hot)",0.02,IF(PitotID3="Anemom (Vane)",0.4,IF(Flowmeter3="ECS",0.1,2)))</f>
        <v>2</v>
      </c>
      <c r="E14" s="675"/>
      <c r="F14" s="675"/>
      <c r="G14" s="674">
        <v>0</v>
      </c>
      <c r="H14" s="330" t="str">
        <f>IF(ISNUMBER(NozzleSuggest3),NozzleSuggest3,"")</f>
        <v/>
      </c>
      <c r="I14" s="331">
        <v>5</v>
      </c>
      <c r="J14" s="85"/>
      <c r="K14" s="85"/>
      <c r="L14" s="110" t="s">
        <v>1290</v>
      </c>
      <c r="M14" s="97"/>
      <c r="N14" s="111" t="e">
        <f>AS21</f>
        <v>#VALUE!</v>
      </c>
      <c r="O14" s="65"/>
      <c r="P14" s="896" t="s">
        <v>1205</v>
      </c>
      <c r="Q14" s="85" t="s">
        <v>1236</v>
      </c>
      <c r="R14" s="85" t="str">
        <f>"Sqrt"&amp;"("&amp;DPU&amp;")"</f>
        <v>Sqrt(Pa)</v>
      </c>
      <c r="S14" s="85" t="s">
        <v>1214</v>
      </c>
      <c r="T14" s="85" t="s">
        <v>1287</v>
      </c>
      <c r="U14" s="85" t="s">
        <v>1287</v>
      </c>
      <c r="V14" s="85" t="s">
        <v>1215</v>
      </c>
      <c r="W14" s="85" t="s">
        <v>252</v>
      </c>
      <c r="X14" s="86" t="s">
        <v>843</v>
      </c>
      <c r="Z14" s="896" t="s">
        <v>1205</v>
      </c>
      <c r="AA14" s="85" t="s">
        <v>298</v>
      </c>
      <c r="AB14" s="85" t="s">
        <v>1272</v>
      </c>
      <c r="AC14" s="85" t="s">
        <v>298</v>
      </c>
      <c r="AD14" s="85" t="s">
        <v>276</v>
      </c>
      <c r="AE14" s="85" t="s">
        <v>1272</v>
      </c>
      <c r="AF14" s="85" t="s">
        <v>276</v>
      </c>
      <c r="AG14" s="85" t="s">
        <v>1272</v>
      </c>
      <c r="AH14" s="86" t="s">
        <v>1472</v>
      </c>
      <c r="AJ14" s="916"/>
      <c r="AK14" s="917"/>
      <c r="AL14" s="917"/>
      <c r="AM14" s="918" t="s">
        <v>301</v>
      </c>
      <c r="AN14" s="917"/>
      <c r="AO14" s="917"/>
      <c r="AP14" s="919"/>
      <c r="AQ14" s="920"/>
      <c r="AR14" s="2689" t="s">
        <v>302</v>
      </c>
      <c r="AS14" s="2689"/>
      <c r="AT14" s="921"/>
    </row>
    <row r="15" spans="1:46" ht="10.5" customHeight="1">
      <c r="A15" s="87" t="str">
        <f>'Flows &amp; Isokinetics'!E15</f>
        <v/>
      </c>
      <c r="B15" s="88" t="str">
        <f>'Flows &amp; Isokinetics'!F15</f>
        <v/>
      </c>
      <c r="C15" s="777" t="str">
        <f>IF(Afterflows!W14="","",Afterflows!W14)</f>
        <v/>
      </c>
      <c r="D15" s="88" t="str">
        <f>IF(C15&lt;D$14,D$14,C15)</f>
        <v/>
      </c>
      <c r="E15" s="288" t="str">
        <f>IF(ISNUMBER(C15),IF(ISNUMBER(StackTemp3),StackTemp3,IF(Afterflows!V14="","",Afterflows!V14)),"")</f>
        <v/>
      </c>
      <c r="F15" s="89" t="str">
        <f t="shared" ref="F15:F74" si="0">IF(ISNUMBER(C15),IF(ISNUMBER(MeterTemp3),MeterTemp3,""),"")</f>
        <v/>
      </c>
      <c r="G15" s="89" t="str">
        <f t="shared" ref="G15:G74" si="1">IF(ISNUMBER(C15),IF(ISNUMBER(MeterPress3),MeterPress3,""),"")</f>
        <v/>
      </c>
      <c r="H15" s="89" t="str">
        <f t="shared" ref="H15:H74" si="2">IF(ISNUMBER(C15),IF(ISNUMBER(NozzleSelect3),NozzleSelect3,""),"")</f>
        <v/>
      </c>
      <c r="I15" s="112" t="str">
        <f t="shared" ref="I15:I46" si="3">Dwell(Pascal3,D15,AvgSqrtPa3,TimePoint3)</f>
        <v/>
      </c>
      <c r="J15" s="777" t="str">
        <f>IF(C15="","",Afterflows!G14)</f>
        <v/>
      </c>
      <c r="K15" s="777" t="str">
        <f>IF(E15="","",Afterflows!H14)</f>
        <v/>
      </c>
      <c r="L15" s="110" t="s">
        <v>3</v>
      </c>
      <c r="M15" s="97" t="e">
        <f>IF(NozzleIdeal3="","",Nozzles!E5&amp;"~"&amp;Nozzles!E6)</f>
        <v>#VALUE!</v>
      </c>
      <c r="N15" s="111" t="str">
        <f>IF(ISNUMBER(NozzleIdeal3),NozzleMatch3,"")</f>
        <v/>
      </c>
      <c r="O15" s="113"/>
      <c r="P15" s="87" t="str">
        <f t="shared" ref="P15:P46" si="4">A15</f>
        <v/>
      </c>
      <c r="Q15" s="2071" t="str">
        <f>IF(I15="","",TIME((LEFT($G$7,2)),(RIGHT($G$7,2)),0)+TIME(0,(I15),0))</f>
        <v/>
      </c>
      <c r="R15" s="90" t="str">
        <f>IF(C15="","",SQRT(D15))</f>
        <v/>
      </c>
      <c r="S15" s="90" t="str">
        <f>Velocity(PitotID3,PitotCoeff3,Afterflows!AB14,D15,E15,StackTempAvg3,AbsPress3,MolecularWt)</f>
        <v/>
      </c>
      <c r="T15" s="91" t="str">
        <f t="shared" ref="T15:T46" si="5">SampleRate(S15,PBF_2,E15,F15,G15,H15,StackTempAvg3,AbsPress3,BaroPress3,Bws)</f>
        <v/>
      </c>
      <c r="U15" s="91" t="str">
        <f t="shared" ref="U15:U46" si="6">IF(C15="","",MeterRate3)</f>
        <v/>
      </c>
      <c r="V15" s="91" t="str">
        <f t="shared" ref="V15:V46" si="7">IF(ISNUMBER(I15),I15*U15,"")</f>
        <v/>
      </c>
      <c r="W15" s="91" t="str">
        <f>IF(ISNUMBER(V15),$G$5+SUM(V$15:V15)/Mratio3,"")</f>
        <v/>
      </c>
      <c r="X15" s="93" t="str">
        <f t="shared" ref="X15:X46" si="8">Velocity3D(S15,J15,K15)</f>
        <v/>
      </c>
      <c r="Z15" s="902" t="str">
        <f t="shared" ref="Z15:Z46" si="9">A15</f>
        <v/>
      </c>
      <c r="AA15" s="90" t="str">
        <f t="shared" ref="AA15:AA38" si="10">IF(ISNUMBER(S15),SQRT(QsLmin3*4*10^6/(PBVF2*S15*PI()*60*1000)),"")</f>
        <v/>
      </c>
      <c r="AB15" s="90" t="str">
        <f t="shared" ref="AB15:AB46" si="11">IF(ISNUMBER(S15),H15,"")</f>
        <v/>
      </c>
      <c r="AC15" s="90" t="str">
        <f t="shared" ref="AC15:AC38" si="12">IF(ISNUMBER(AA15),QsLmin3*1000/60/(PI()*AA15^2/4),"")</f>
        <v/>
      </c>
      <c r="AD15" s="90" t="str">
        <f t="shared" ref="AD15:AD38" si="13">IF(AB15="","",$AL$41*1000/60/(PI()*AB15^2/4))</f>
        <v/>
      </c>
      <c r="AE15" s="90" t="str">
        <f t="shared" ref="AE15:AE38" si="14">IF(ISNUMBER(AB15),$AM$41*1000/60/(PI()*AB15^2/4),"")</f>
        <v/>
      </c>
      <c r="AF15" s="90" t="str">
        <f t="shared" ref="AF15:AF46" si="15">IF(ISNUMBER(S15),AD15/(S15*PBVF2)*100,"")</f>
        <v/>
      </c>
      <c r="AG15" s="90" t="str">
        <f t="shared" ref="AG15:AG46" si="16">IF(ISNUMBER(S15),AE15/(S15*PBVF2)*100,"")</f>
        <v/>
      </c>
      <c r="AH15" s="93" t="str">
        <f t="shared" ref="AH15:AH46" si="17">IF(ISNUMBER(S15),AG15*I15/TimePoint3,"")</f>
        <v/>
      </c>
      <c r="AJ15" s="916"/>
      <c r="AK15" s="917"/>
      <c r="AL15" s="920"/>
      <c r="AM15" s="920"/>
      <c r="AN15" s="920"/>
      <c r="AO15" s="917"/>
      <c r="AP15" s="922"/>
      <c r="AQ15" s="920"/>
      <c r="AR15" s="920"/>
      <c r="AS15" s="920"/>
      <c r="AT15" s="921"/>
    </row>
    <row r="16" spans="1:46" ht="10.5" customHeight="1">
      <c r="A16" s="87" t="str">
        <f>'Flows &amp; Isokinetics'!E16</f>
        <v/>
      </c>
      <c r="B16" s="88" t="str">
        <f>'Flows &amp; Isokinetics'!F16</f>
        <v/>
      </c>
      <c r="C16" s="777" t="str">
        <f>IF(Afterflows!W15="","",Afterflows!W15)</f>
        <v/>
      </c>
      <c r="D16" s="88" t="str">
        <f t="shared" ref="D16:D74" si="18">IF(C16&lt;D$14,D$14,C16)</f>
        <v/>
      </c>
      <c r="E16" s="288" t="str">
        <f>IF(ISNUMBER(C16),IF(ISNUMBER(StackTemp3),StackTemp3,IF(Afterflows!V15="","",Afterflows!V15)),"")</f>
        <v/>
      </c>
      <c r="F16" s="89" t="str">
        <f t="shared" si="0"/>
        <v/>
      </c>
      <c r="G16" s="89" t="str">
        <f t="shared" si="1"/>
        <v/>
      </c>
      <c r="H16" s="89" t="str">
        <f t="shared" si="2"/>
        <v/>
      </c>
      <c r="I16" s="112" t="str">
        <f t="shared" si="3"/>
        <v/>
      </c>
      <c r="J16" s="777" t="str">
        <f>IF(C16="","",Afterflows!G15)</f>
        <v/>
      </c>
      <c r="K16" s="777" t="str">
        <f>IF(E16="","",Afterflows!H15)</f>
        <v/>
      </c>
      <c r="L16" s="110" t="s">
        <v>1288</v>
      </c>
      <c r="M16" s="97"/>
      <c r="N16" s="111" t="e">
        <f>AS49</f>
        <v>#VALUE!</v>
      </c>
      <c r="O16" s="113"/>
      <c r="P16" s="87" t="str">
        <f t="shared" si="4"/>
        <v/>
      </c>
      <c r="Q16" s="2071" t="str">
        <f>IF(I16="","",Q15+TIME(0,I16,0))</f>
        <v/>
      </c>
      <c r="R16" s="90" t="str">
        <f t="shared" ref="R16:R74" si="19">IF(C16="","",SQRT(D16))</f>
        <v/>
      </c>
      <c r="S16" s="90" t="str">
        <f>Velocity(PitotID3,PitotCoeff3,Afterflows!AB15,D16,E16,StackTempAvg3,AbsPress3,MolecularWt)</f>
        <v/>
      </c>
      <c r="T16" s="91" t="str">
        <f t="shared" si="5"/>
        <v/>
      </c>
      <c r="U16" s="91" t="str">
        <f t="shared" si="6"/>
        <v/>
      </c>
      <c r="V16" s="91" t="str">
        <f t="shared" si="7"/>
        <v/>
      </c>
      <c r="W16" s="91" t="str">
        <f>IF(ISNUMBER(V16),$G$5+SUM(V$15:V16)/Mratio3,"")</f>
        <v/>
      </c>
      <c r="X16" s="93" t="str">
        <f t="shared" si="8"/>
        <v/>
      </c>
      <c r="Z16" s="902" t="str">
        <f t="shared" si="9"/>
        <v/>
      </c>
      <c r="AA16" s="90" t="str">
        <f t="shared" si="10"/>
        <v/>
      </c>
      <c r="AB16" s="90" t="str">
        <f t="shared" si="11"/>
        <v/>
      </c>
      <c r="AC16" s="90" t="str">
        <f t="shared" si="12"/>
        <v/>
      </c>
      <c r="AD16" s="90" t="str">
        <f t="shared" si="13"/>
        <v/>
      </c>
      <c r="AE16" s="90" t="str">
        <f t="shared" si="14"/>
        <v/>
      </c>
      <c r="AF16" s="90" t="str">
        <f t="shared" si="15"/>
        <v/>
      </c>
      <c r="AG16" s="90" t="str">
        <f t="shared" si="16"/>
        <v/>
      </c>
      <c r="AH16" s="93" t="str">
        <f t="shared" si="17"/>
        <v/>
      </c>
      <c r="AJ16" s="916"/>
      <c r="AK16" s="923"/>
      <c r="AL16" s="924" t="s">
        <v>1288</v>
      </c>
      <c r="AM16" s="918" t="s">
        <v>1242</v>
      </c>
      <c r="AN16" s="924" t="s">
        <v>1289</v>
      </c>
      <c r="AO16" s="922"/>
      <c r="AP16" s="919"/>
      <c r="AQ16" s="920"/>
      <c r="AR16" s="920"/>
      <c r="AS16" s="920"/>
      <c r="AT16" s="921"/>
    </row>
    <row r="17" spans="1:46" ht="10.5" customHeight="1">
      <c r="A17" s="87" t="str">
        <f>'Flows &amp; Isokinetics'!E17</f>
        <v/>
      </c>
      <c r="B17" s="88" t="str">
        <f>'Flows &amp; Isokinetics'!F17</f>
        <v/>
      </c>
      <c r="C17" s="777" t="str">
        <f>IF(Afterflows!W16="","",Afterflows!W16)</f>
        <v/>
      </c>
      <c r="D17" s="88" t="str">
        <f t="shared" si="18"/>
        <v/>
      </c>
      <c r="E17" s="288" t="str">
        <f>IF(ISNUMBER(C17),IF(ISNUMBER(StackTemp3),StackTemp3,IF(Afterflows!V16="","",Afterflows!V16)),"")</f>
        <v/>
      </c>
      <c r="F17" s="89" t="str">
        <f t="shared" si="0"/>
        <v/>
      </c>
      <c r="G17" s="89" t="str">
        <f t="shared" si="1"/>
        <v/>
      </c>
      <c r="H17" s="89" t="str">
        <f t="shared" si="2"/>
        <v/>
      </c>
      <c r="I17" s="112" t="str">
        <f t="shared" si="3"/>
        <v/>
      </c>
      <c r="J17" s="777" t="str">
        <f>IF(C17="","",Afterflows!G16)</f>
        <v/>
      </c>
      <c r="K17" s="777" t="str">
        <f>IF(E17="","",Afterflows!H16)</f>
        <v/>
      </c>
      <c r="L17" s="110" t="s">
        <v>1289</v>
      </c>
      <c r="M17" s="97"/>
      <c r="N17" s="111" t="e">
        <f>AS56</f>
        <v>#VALUE!</v>
      </c>
      <c r="O17" s="113"/>
      <c r="P17" s="87" t="str">
        <f t="shared" si="4"/>
        <v/>
      </c>
      <c r="Q17" s="2071" t="str">
        <f t="shared" ref="Q17:Q74" si="20">IF(I17="","",Q16+TIME(0,I17,0))</f>
        <v/>
      </c>
      <c r="R17" s="90" t="str">
        <f t="shared" si="19"/>
        <v/>
      </c>
      <c r="S17" s="90" t="str">
        <f>Velocity(PitotID3,PitotCoeff3,Afterflows!AB16,D17,E17,StackTempAvg3,AbsPress3,MolecularWt)</f>
        <v/>
      </c>
      <c r="T17" s="91" t="str">
        <f t="shared" si="5"/>
        <v/>
      </c>
      <c r="U17" s="91" t="str">
        <f t="shared" si="6"/>
        <v/>
      </c>
      <c r="V17" s="91" t="str">
        <f t="shared" si="7"/>
        <v/>
      </c>
      <c r="W17" s="91" t="str">
        <f>IF(ISNUMBER(V17),$G$5+SUM(V$15:V17)/Mratio3,"")</f>
        <v/>
      </c>
      <c r="X17" s="93" t="str">
        <f t="shared" si="8"/>
        <v/>
      </c>
      <c r="Z17" s="902" t="str">
        <f t="shared" si="9"/>
        <v/>
      </c>
      <c r="AA17" s="90" t="str">
        <f t="shared" si="10"/>
        <v/>
      </c>
      <c r="AB17" s="90" t="str">
        <f t="shared" si="11"/>
        <v/>
      </c>
      <c r="AC17" s="90" t="str">
        <f t="shared" si="12"/>
        <v/>
      </c>
      <c r="AD17" s="90" t="str">
        <f t="shared" si="13"/>
        <v/>
      </c>
      <c r="AE17" s="90" t="str">
        <f t="shared" si="14"/>
        <v/>
      </c>
      <c r="AF17" s="90" t="str">
        <f t="shared" si="15"/>
        <v/>
      </c>
      <c r="AG17" s="90" t="str">
        <f t="shared" si="16"/>
        <v/>
      </c>
      <c r="AH17" s="93" t="str">
        <f t="shared" si="17"/>
        <v/>
      </c>
      <c r="AJ17" s="925"/>
      <c r="AK17" s="923"/>
      <c r="AL17" s="919"/>
      <c r="AM17" s="919"/>
      <c r="AN17" s="919"/>
      <c r="AO17" s="922"/>
      <c r="AP17" s="919"/>
      <c r="AQ17" s="920"/>
      <c r="AR17" s="920"/>
      <c r="AS17" s="920"/>
      <c r="AT17" s="921"/>
    </row>
    <row r="18" spans="1:46" ht="10.5" customHeight="1">
      <c r="A18" s="87" t="str">
        <f>'Flows &amp; Isokinetics'!E18</f>
        <v/>
      </c>
      <c r="B18" s="88" t="str">
        <f>'Flows &amp; Isokinetics'!F18</f>
        <v/>
      </c>
      <c r="C18" s="777" t="str">
        <f>IF(Afterflows!W17="","",Afterflows!W17)</f>
        <v/>
      </c>
      <c r="D18" s="88" t="str">
        <f t="shared" si="18"/>
        <v/>
      </c>
      <c r="E18" s="288" t="str">
        <f>IF(ISNUMBER(C18),IF(ISNUMBER(StackTemp3),StackTemp3,IF(Afterflows!V17="","",Afterflows!V17)),"")</f>
        <v/>
      </c>
      <c r="F18" s="89" t="str">
        <f t="shared" si="0"/>
        <v/>
      </c>
      <c r="G18" s="89" t="str">
        <f t="shared" si="1"/>
        <v/>
      </c>
      <c r="H18" s="89" t="str">
        <f t="shared" si="2"/>
        <v/>
      </c>
      <c r="I18" s="112" t="str">
        <f t="shared" si="3"/>
        <v/>
      </c>
      <c r="J18" s="777" t="str">
        <f>IF(C18="","",Afterflows!G17)</f>
        <v/>
      </c>
      <c r="K18" s="777" t="str">
        <f>IF(E18="","",Afterflows!H17)</f>
        <v/>
      </c>
      <c r="L18" s="115" t="s">
        <v>1271</v>
      </c>
      <c r="M18" s="97"/>
      <c r="N18" s="114"/>
      <c r="O18" s="113"/>
      <c r="P18" s="87" t="str">
        <f t="shared" si="4"/>
        <v/>
      </c>
      <c r="Q18" s="2071" t="str">
        <f t="shared" si="20"/>
        <v/>
      </c>
      <c r="R18" s="90" t="str">
        <f t="shared" si="19"/>
        <v/>
      </c>
      <c r="S18" s="90" t="str">
        <f>Velocity(PitotID3,PitotCoeff3,Afterflows!AB17,D18,E18,StackTempAvg3,AbsPress3,MolecularWt)</f>
        <v/>
      </c>
      <c r="T18" s="91" t="str">
        <f t="shared" si="5"/>
        <v/>
      </c>
      <c r="U18" s="91" t="str">
        <f t="shared" si="6"/>
        <v/>
      </c>
      <c r="V18" s="91" t="str">
        <f t="shared" si="7"/>
        <v/>
      </c>
      <c r="W18" s="91" t="str">
        <f>IF(ISNUMBER(V18),$G$5+SUM(V$15:V18)/Mratio3,"")</f>
        <v/>
      </c>
      <c r="X18" s="93" t="str">
        <f t="shared" si="8"/>
        <v/>
      </c>
      <c r="Z18" s="902" t="str">
        <f t="shared" si="9"/>
        <v/>
      </c>
      <c r="AA18" s="90" t="str">
        <f t="shared" si="10"/>
        <v/>
      </c>
      <c r="AB18" s="90" t="str">
        <f t="shared" si="11"/>
        <v/>
      </c>
      <c r="AC18" s="90" t="str">
        <f t="shared" si="12"/>
        <v/>
      </c>
      <c r="AD18" s="90" t="str">
        <f t="shared" si="13"/>
        <v/>
      </c>
      <c r="AE18" s="90" t="str">
        <f t="shared" si="14"/>
        <v/>
      </c>
      <c r="AF18" s="90" t="str">
        <f t="shared" si="15"/>
        <v/>
      </c>
      <c r="AG18" s="90" t="str">
        <f t="shared" si="16"/>
        <v/>
      </c>
      <c r="AH18" s="93" t="str">
        <f t="shared" si="17"/>
        <v/>
      </c>
      <c r="AJ18" s="925"/>
      <c r="AK18" s="923"/>
      <c r="AL18" s="919"/>
      <c r="AM18" s="924" t="s">
        <v>300</v>
      </c>
      <c r="AN18" s="919"/>
      <c r="AO18" s="922"/>
      <c r="AP18" s="919"/>
      <c r="AQ18" s="919"/>
      <c r="AR18" s="2695" t="str">
        <f>PMtest3</f>
        <v>PM10&amp;2.5</v>
      </c>
      <c r="AS18" s="2695"/>
      <c r="AT18" s="926"/>
    </row>
    <row r="19" spans="1:46" ht="10.5" customHeight="1">
      <c r="A19" s="87" t="str">
        <f>'Flows &amp; Isokinetics'!E19</f>
        <v/>
      </c>
      <c r="B19" s="88" t="str">
        <f>'Flows &amp; Isokinetics'!F19</f>
        <v/>
      </c>
      <c r="C19" s="777" t="str">
        <f>IF(Afterflows!W18="","",Afterflows!W18)</f>
        <v/>
      </c>
      <c r="D19" s="88" t="str">
        <f t="shared" si="18"/>
        <v/>
      </c>
      <c r="E19" s="288" t="str">
        <f>IF(ISNUMBER(C19),IF(ISNUMBER(StackTemp3),StackTemp3,IF(Afterflows!V18="","",Afterflows!V18)),"")</f>
        <v/>
      </c>
      <c r="F19" s="89" t="str">
        <f t="shared" si="0"/>
        <v/>
      </c>
      <c r="G19" s="89" t="str">
        <f t="shared" si="1"/>
        <v/>
      </c>
      <c r="H19" s="89" t="str">
        <f t="shared" si="2"/>
        <v/>
      </c>
      <c r="I19" s="112" t="str">
        <f t="shared" si="3"/>
        <v/>
      </c>
      <c r="J19" s="777" t="str">
        <f>IF(C19="","",Afterflows!G18)</f>
        <v/>
      </c>
      <c r="K19" s="777" t="str">
        <f>IF(E19="","",Afterflows!H18)</f>
        <v/>
      </c>
      <c r="L19" s="699" t="s">
        <v>568</v>
      </c>
      <c r="M19" s="700" t="s">
        <v>1206</v>
      </c>
      <c r="N19" s="701" t="s">
        <v>503</v>
      </c>
      <c r="O19" s="113"/>
      <c r="P19" s="87" t="str">
        <f t="shared" si="4"/>
        <v/>
      </c>
      <c r="Q19" s="2071" t="str">
        <f t="shared" si="20"/>
        <v/>
      </c>
      <c r="R19" s="90" t="str">
        <f t="shared" si="19"/>
        <v/>
      </c>
      <c r="S19" s="90" t="str">
        <f>Velocity(PitotID3,PitotCoeff3,Afterflows!AB18,D19,E19,StackTempAvg3,AbsPress3,MolecularWt)</f>
        <v/>
      </c>
      <c r="T19" s="91" t="str">
        <f t="shared" si="5"/>
        <v/>
      </c>
      <c r="U19" s="91" t="str">
        <f t="shared" si="6"/>
        <v/>
      </c>
      <c r="V19" s="91" t="str">
        <f t="shared" si="7"/>
        <v/>
      </c>
      <c r="W19" s="91" t="str">
        <f>IF(ISNUMBER(V19),$G$5+SUM(V$15:V19)/Mratio3,"")</f>
        <v/>
      </c>
      <c r="X19" s="93" t="str">
        <f t="shared" si="8"/>
        <v/>
      </c>
      <c r="Z19" s="902" t="str">
        <f t="shared" si="9"/>
        <v/>
      </c>
      <c r="AA19" s="90" t="str">
        <f t="shared" si="10"/>
        <v/>
      </c>
      <c r="AB19" s="90" t="str">
        <f t="shared" si="11"/>
        <v/>
      </c>
      <c r="AC19" s="90" t="str">
        <f t="shared" si="12"/>
        <v/>
      </c>
      <c r="AD19" s="90" t="str">
        <f t="shared" si="13"/>
        <v/>
      </c>
      <c r="AE19" s="90" t="str">
        <f t="shared" si="14"/>
        <v/>
      </c>
      <c r="AF19" s="90" t="str">
        <f t="shared" si="15"/>
        <v/>
      </c>
      <c r="AG19" s="90" t="str">
        <f t="shared" si="16"/>
        <v/>
      </c>
      <c r="AH19" s="93" t="str">
        <f t="shared" si="17"/>
        <v/>
      </c>
      <c r="AJ19" s="927"/>
      <c r="AK19" s="923" t="s">
        <v>1297</v>
      </c>
      <c r="AL19" s="919"/>
      <c r="AM19" s="928">
        <f>MolecularWt</f>
        <v>28.845074441969999</v>
      </c>
      <c r="AN19" s="919"/>
      <c r="AO19" s="922"/>
      <c r="AP19" s="922"/>
      <c r="AQ19" s="923" t="s">
        <v>1263</v>
      </c>
      <c r="AR19" s="929" t="e">
        <f>SelectSR(PMtest3,NozzleKitID3,Viscosity3,StackTempAvgR3,MolecularWt,StackGasPressInHg3)</f>
        <v>#VALUE!</v>
      </c>
      <c r="AS19" s="919" t="e">
        <f>AR19*28.32</f>
        <v>#VALUE!</v>
      </c>
      <c r="AT19" s="930" t="e">
        <f>AS19/1000</f>
        <v>#VALUE!</v>
      </c>
    </row>
    <row r="20" spans="1:46" ht="10.5" customHeight="1">
      <c r="A20" s="87" t="str">
        <f>'Flows &amp; Isokinetics'!E20</f>
        <v/>
      </c>
      <c r="B20" s="88" t="str">
        <f>'Flows &amp; Isokinetics'!F20</f>
        <v/>
      </c>
      <c r="C20" s="777" t="str">
        <f>IF(Afterflows!W19="","",Afterflows!W19)</f>
        <v/>
      </c>
      <c r="D20" s="88" t="str">
        <f t="shared" si="18"/>
        <v/>
      </c>
      <c r="E20" s="288" t="str">
        <f>IF(ISNUMBER(C20),IF(ISNUMBER(StackTemp3),StackTemp3,IF(Afterflows!V19="","",Afterflows!V19)),"")</f>
        <v/>
      </c>
      <c r="F20" s="89" t="str">
        <f t="shared" si="0"/>
        <v/>
      </c>
      <c r="G20" s="89" t="str">
        <f t="shared" si="1"/>
        <v/>
      </c>
      <c r="H20" s="89" t="str">
        <f t="shared" si="2"/>
        <v/>
      </c>
      <c r="I20" s="112" t="str">
        <f t="shared" si="3"/>
        <v/>
      </c>
      <c r="J20" s="777" t="str">
        <f>IF(C20="","",Afterflows!G19)</f>
        <v/>
      </c>
      <c r="K20" s="777" t="str">
        <f>IF(E20="","",Afterflows!H19)</f>
        <v/>
      </c>
      <c r="L20" s="702" t="e">
        <f>QsLmin3</f>
        <v>#VALUE!</v>
      </c>
      <c r="M20" s="703" t="e">
        <f>QsLmin3*(MeterTempAvg3+273.15)/(StackTempAvg3+273.15)*AbsPress3/(BaroPress3+MeterPress3*10)*(1-Bws)</f>
        <v>#VALUE!</v>
      </c>
      <c r="N20" s="704" t="str">
        <f>FlowSet(S$1,MeterRate3,S$2,S$3,S$4,S$5,MeterTempAvg3,MeterPressAvg3,BaroPress3,OPF)</f>
        <v/>
      </c>
      <c r="O20" s="113"/>
      <c r="P20" s="87" t="str">
        <f t="shared" si="4"/>
        <v/>
      </c>
      <c r="Q20" s="2071" t="str">
        <f t="shared" si="20"/>
        <v/>
      </c>
      <c r="R20" s="90" t="str">
        <f t="shared" si="19"/>
        <v/>
      </c>
      <c r="S20" s="90" t="str">
        <f>Velocity(PitotID3,PitotCoeff3,Afterflows!AB19,D20,E20,StackTempAvg3,AbsPress3,MolecularWt)</f>
        <v/>
      </c>
      <c r="T20" s="91" t="str">
        <f t="shared" si="5"/>
        <v/>
      </c>
      <c r="U20" s="91" t="str">
        <f t="shared" si="6"/>
        <v/>
      </c>
      <c r="V20" s="91" t="str">
        <f t="shared" si="7"/>
        <v/>
      </c>
      <c r="W20" s="91" t="str">
        <f>IF(ISNUMBER(V20),$G$5+SUM(V$15:V20)/Mratio3,"")</f>
        <v/>
      </c>
      <c r="X20" s="93" t="str">
        <f t="shared" si="8"/>
        <v/>
      </c>
      <c r="Z20" s="902" t="str">
        <f t="shared" si="9"/>
        <v/>
      </c>
      <c r="AA20" s="90" t="str">
        <f t="shared" si="10"/>
        <v/>
      </c>
      <c r="AB20" s="90" t="str">
        <f t="shared" si="11"/>
        <v/>
      </c>
      <c r="AC20" s="90" t="str">
        <f t="shared" si="12"/>
        <v/>
      </c>
      <c r="AD20" s="90" t="str">
        <f t="shared" si="13"/>
        <v/>
      </c>
      <c r="AE20" s="90" t="str">
        <f t="shared" si="14"/>
        <v/>
      </c>
      <c r="AF20" s="90" t="str">
        <f t="shared" si="15"/>
        <v/>
      </c>
      <c r="AG20" s="90" t="str">
        <f t="shared" si="16"/>
        <v/>
      </c>
      <c r="AH20" s="93" t="str">
        <f t="shared" si="17"/>
        <v/>
      </c>
      <c r="AJ20" s="925"/>
      <c r="AK20" s="923" t="s">
        <v>1298</v>
      </c>
      <c r="AL20" s="919"/>
      <c r="AM20" s="928">
        <f>MolecularWtDry</f>
        <v>28.954466102999998</v>
      </c>
      <c r="AN20" s="919"/>
      <c r="AO20" s="922"/>
      <c r="AP20" s="920"/>
      <c r="AQ20" s="923" t="s">
        <v>1262</v>
      </c>
      <c r="AR20" s="919" t="e">
        <f>85.49*PitotCoeff3*(AvgSqrtVelocityHead3)*SQRT(StackTempAvgR3/(StackGasPressInHg3*MolecularWtWet))*PBVF2</f>
        <v>#VALUE!</v>
      </c>
      <c r="AS20" s="919" t="e">
        <f>12.89*PitotCoeff3*(AvgSqrtPa3)*SQRT(StackTempAvgK3/(AbsPress3*MolecularWtWet))*PBVF2</f>
        <v>#VALUE!</v>
      </c>
      <c r="AT20" s="931"/>
    </row>
    <row r="21" spans="1:46" ht="10.5" customHeight="1">
      <c r="A21" s="87" t="str">
        <f>'Flows &amp; Isokinetics'!E21</f>
        <v/>
      </c>
      <c r="B21" s="88" t="str">
        <f>'Flows &amp; Isokinetics'!F21</f>
        <v/>
      </c>
      <c r="C21" s="777" t="str">
        <f>IF(Afterflows!W20="","",Afterflows!W20)</f>
        <v/>
      </c>
      <c r="D21" s="88" t="str">
        <f t="shared" si="18"/>
        <v/>
      </c>
      <c r="E21" s="288" t="str">
        <f>IF(ISNUMBER(C21),IF(ISNUMBER(StackTemp3),StackTemp3,IF(Afterflows!V20="","",Afterflows!V20)),"")</f>
        <v/>
      </c>
      <c r="F21" s="89" t="str">
        <f t="shared" si="0"/>
        <v/>
      </c>
      <c r="G21" s="89" t="str">
        <f t="shared" si="1"/>
        <v/>
      </c>
      <c r="H21" s="89" t="str">
        <f t="shared" si="2"/>
        <v/>
      </c>
      <c r="I21" s="112" t="str">
        <f t="shared" si="3"/>
        <v/>
      </c>
      <c r="J21" s="777" t="str">
        <f>IF(C21="","",Afterflows!G20)</f>
        <v/>
      </c>
      <c r="K21" s="777" t="str">
        <f>IF(E21="","",Afterflows!H20)</f>
        <v/>
      </c>
      <c r="L21" s="697" t="e">
        <f>AS47</f>
        <v>#VALUE!</v>
      </c>
      <c r="M21" s="698" t="e">
        <f>L21*(MeterTempAvg3+273.15)/(StackTempAvg3+273.15)*AbsPress3/(BaroPress3+MeterPress3*10)*(1-Bws)</f>
        <v>#VALUE!</v>
      </c>
      <c r="N21" s="114" t="str">
        <f>FlowSet(S$1,M21,S$2,S$3,S$4,S$5,MeterTempAvg3,MeterPressAvg3,BaroPress3,OPF)</f>
        <v/>
      </c>
      <c r="O21" s="113"/>
      <c r="P21" s="87" t="str">
        <f t="shared" si="4"/>
        <v/>
      </c>
      <c r="Q21" s="2071" t="str">
        <f t="shared" si="20"/>
        <v/>
      </c>
      <c r="R21" s="90" t="str">
        <f t="shared" si="19"/>
        <v/>
      </c>
      <c r="S21" s="90" t="str">
        <f>Velocity(PitotID3,PitotCoeff3,Afterflows!AB20,D21,E21,StackTempAvg3,AbsPress3,MolecularWt)</f>
        <v/>
      </c>
      <c r="T21" s="91" t="str">
        <f t="shared" si="5"/>
        <v/>
      </c>
      <c r="U21" s="91" t="str">
        <f t="shared" si="6"/>
        <v/>
      </c>
      <c r="V21" s="91" t="str">
        <f t="shared" si="7"/>
        <v/>
      </c>
      <c r="W21" s="91" t="str">
        <f>IF(ISNUMBER(V21),$G$5+SUM(V$15:V21)/Mratio3,"")</f>
        <v/>
      </c>
      <c r="X21" s="93" t="str">
        <f t="shared" si="8"/>
        <v/>
      </c>
      <c r="Z21" s="902" t="str">
        <f t="shared" si="9"/>
        <v/>
      </c>
      <c r="AA21" s="90" t="str">
        <f t="shared" si="10"/>
        <v/>
      </c>
      <c r="AB21" s="90" t="str">
        <f t="shared" si="11"/>
        <v/>
      </c>
      <c r="AC21" s="90" t="str">
        <f t="shared" si="12"/>
        <v/>
      </c>
      <c r="AD21" s="90" t="str">
        <f t="shared" si="13"/>
        <v/>
      </c>
      <c r="AE21" s="90" t="str">
        <f t="shared" si="14"/>
        <v/>
      </c>
      <c r="AF21" s="90" t="str">
        <f t="shared" si="15"/>
        <v/>
      </c>
      <c r="AG21" s="90" t="str">
        <f t="shared" si="16"/>
        <v/>
      </c>
      <c r="AH21" s="93" t="str">
        <f t="shared" si="17"/>
        <v/>
      </c>
      <c r="AJ21" s="925"/>
      <c r="AK21" s="917"/>
      <c r="AL21" s="919"/>
      <c r="AM21" s="917"/>
      <c r="AN21" s="919"/>
      <c r="AO21" s="917"/>
      <c r="AP21" s="919"/>
      <c r="AQ21" s="923" t="s">
        <v>1258</v>
      </c>
      <c r="AR21" s="919" t="e">
        <f>SQRT((3.056*AR19)/AR20)</f>
        <v>#VALUE!</v>
      </c>
      <c r="AS21" s="919" t="e">
        <f>IF(ISNUMBER(AS20),2*SQRT((QsLmin3/AS20)*(1000000/(PI()*60000))),2*SQRT((QsLmin3/(VelocityAverage3*PBVF2))*(1000000/(PI()*60000))))</f>
        <v>#VALUE!</v>
      </c>
      <c r="AT21" s="931"/>
    </row>
    <row r="22" spans="1:46" ht="10.5" customHeight="1">
      <c r="A22" s="87" t="str">
        <f>'Flows &amp; Isokinetics'!E22</f>
        <v/>
      </c>
      <c r="B22" s="88" t="str">
        <f>'Flows &amp; Isokinetics'!F22</f>
        <v/>
      </c>
      <c r="C22" s="777" t="str">
        <f>IF(Afterflows!W21="","",Afterflows!W21)</f>
        <v/>
      </c>
      <c r="D22" s="88" t="str">
        <f t="shared" si="18"/>
        <v/>
      </c>
      <c r="E22" s="288" t="str">
        <f>IF(ISNUMBER(C22),IF(ISNUMBER(StackTemp3),StackTemp3,IF(Afterflows!V21="","",Afterflows!V21)),"")</f>
        <v/>
      </c>
      <c r="F22" s="89" t="str">
        <f t="shared" si="0"/>
        <v/>
      </c>
      <c r="G22" s="89" t="str">
        <f t="shared" si="1"/>
        <v/>
      </c>
      <c r="H22" s="89" t="str">
        <f t="shared" si="2"/>
        <v/>
      </c>
      <c r="I22" s="112" t="str">
        <f t="shared" si="3"/>
        <v/>
      </c>
      <c r="J22" s="777" t="str">
        <f>IF(C22="","",Afterflows!G21)</f>
        <v/>
      </c>
      <c r="K22" s="777" t="str">
        <f>IF(E22="","",Afterflows!H21)</f>
        <v/>
      </c>
      <c r="L22" s="697" t="e">
        <f>AS54</f>
        <v>#VALUE!</v>
      </c>
      <c r="M22" s="698" t="e">
        <f>L22*(MeterTempAvg3+273.15)/(StackTempAvg3+273.15)*AbsPress3/(BaroPress3+MeterPress3*10)*(1-Bws)</f>
        <v>#VALUE!</v>
      </c>
      <c r="N22" s="114" t="str">
        <f>FlowSet(S$1,M22,S$2,S$3,S$4,S$5,MeterTempAvg3,MeterPressAvg3,BaroPress3,OPF)</f>
        <v/>
      </c>
      <c r="O22" s="113"/>
      <c r="P22" s="87" t="str">
        <f t="shared" si="4"/>
        <v/>
      </c>
      <c r="Q22" s="2071" t="str">
        <f t="shared" si="20"/>
        <v/>
      </c>
      <c r="R22" s="90" t="str">
        <f t="shared" si="19"/>
        <v/>
      </c>
      <c r="S22" s="90" t="str">
        <f>Velocity(PitotID3,PitotCoeff3,Afterflows!AB21,D22,E22,StackTempAvg3,AbsPress3,MolecularWt)</f>
        <v/>
      </c>
      <c r="T22" s="91" t="str">
        <f t="shared" si="5"/>
        <v/>
      </c>
      <c r="U22" s="91" t="str">
        <f t="shared" si="6"/>
        <v/>
      </c>
      <c r="V22" s="91" t="str">
        <f t="shared" si="7"/>
        <v/>
      </c>
      <c r="W22" s="91" t="str">
        <f>IF(ISNUMBER(V22),$G$5+SUM(V$15:V22)/Mratio3,"")</f>
        <v/>
      </c>
      <c r="X22" s="93" t="str">
        <f t="shared" si="8"/>
        <v/>
      </c>
      <c r="Z22" s="902" t="str">
        <f t="shared" si="9"/>
        <v/>
      </c>
      <c r="AA22" s="90" t="str">
        <f t="shared" si="10"/>
        <v/>
      </c>
      <c r="AB22" s="90" t="str">
        <f t="shared" si="11"/>
        <v/>
      </c>
      <c r="AC22" s="90" t="str">
        <f t="shared" si="12"/>
        <v/>
      </c>
      <c r="AD22" s="90" t="str">
        <f t="shared" si="13"/>
        <v/>
      </c>
      <c r="AE22" s="90" t="str">
        <f t="shared" si="14"/>
        <v/>
      </c>
      <c r="AF22" s="90" t="str">
        <f t="shared" si="15"/>
        <v/>
      </c>
      <c r="AG22" s="90" t="str">
        <f t="shared" si="16"/>
        <v/>
      </c>
      <c r="AH22" s="93" t="str">
        <f t="shared" si="17"/>
        <v/>
      </c>
      <c r="AJ22" s="925"/>
      <c r="AK22" s="932" t="s">
        <v>288</v>
      </c>
      <c r="AL22" s="933" t="e">
        <f>ViscositySelect(PMtest3,AL23,AL24)</f>
        <v>#VALUE!</v>
      </c>
      <c r="AM22" s="933" t="e">
        <f>ViscositySelect(PMtest3,Viscosity201A3,ViscosityCTM3)</f>
        <v>#VALUE!</v>
      </c>
      <c r="AN22" s="933" t="e">
        <f>ViscositySelect(PMtest3,AN23,AN24)</f>
        <v>#VALUE!</v>
      </c>
      <c r="AO22" s="922" t="s">
        <v>1247</v>
      </c>
      <c r="AP22" s="922"/>
      <c r="AQ22" s="923" t="s">
        <v>284</v>
      </c>
      <c r="AR22" s="919" t="e">
        <f>SelectPM10(PMtest3,NozzleKitID3,Viscosity3,StackTempAvgR3,AM27,MolecularWt,StackGasPressInHg3,StackGasPressmmHg3,QsM3min3,SamplingRate3)</f>
        <v>#VALUE!</v>
      </c>
      <c r="AS22" s="919" t="e">
        <f>SelectPM10(PMtest3,NozzleKitID3,AM47,AM55,AM53,MolecularWt,AM60,AM61,SamplingRateAct3,AM43)</f>
        <v>#VALUE!</v>
      </c>
      <c r="AT22" s="931"/>
    </row>
    <row r="23" spans="1:46" ht="10.5" customHeight="1">
      <c r="A23" s="87" t="str">
        <f>'Flows &amp; Isokinetics'!E23</f>
        <v/>
      </c>
      <c r="B23" s="88" t="str">
        <f>'Flows &amp; Isokinetics'!F23</f>
        <v/>
      </c>
      <c r="C23" s="777" t="str">
        <f>IF(Afterflows!W22="","",Afterflows!W22)</f>
        <v/>
      </c>
      <c r="D23" s="88" t="str">
        <f t="shared" si="18"/>
        <v/>
      </c>
      <c r="E23" s="288" t="str">
        <f>IF(ISNUMBER(C23),IF(ISNUMBER(StackTemp3),StackTemp3,IF(Afterflows!V22="","",Afterflows!V22)),"")</f>
        <v/>
      </c>
      <c r="F23" s="89" t="str">
        <f t="shared" si="0"/>
        <v/>
      </c>
      <c r="G23" s="89" t="str">
        <f t="shared" si="1"/>
        <v/>
      </c>
      <c r="H23" s="89" t="str">
        <f t="shared" si="2"/>
        <v/>
      </c>
      <c r="I23" s="112" t="str">
        <f t="shared" si="3"/>
        <v/>
      </c>
      <c r="J23" s="777" t="str">
        <f>IF(C23="","",Afterflows!G22)</f>
        <v/>
      </c>
      <c r="K23" s="777" t="str">
        <f>IF(E23="","",Afterflows!H22)</f>
        <v/>
      </c>
      <c r="L23" s="115" t="s">
        <v>1270</v>
      </c>
      <c r="M23" s="97"/>
      <c r="N23" s="114"/>
      <c r="O23" s="113"/>
      <c r="P23" s="87" t="str">
        <f t="shared" si="4"/>
        <v/>
      </c>
      <c r="Q23" s="2071" t="str">
        <f t="shared" si="20"/>
        <v/>
      </c>
      <c r="R23" s="90" t="str">
        <f t="shared" si="19"/>
        <v/>
      </c>
      <c r="S23" s="90" t="str">
        <f>Velocity(PitotID3,PitotCoeff3,Afterflows!AB22,D23,E23,StackTempAvg3,AbsPress3,MolecularWt)</f>
        <v/>
      </c>
      <c r="T23" s="91" t="str">
        <f t="shared" si="5"/>
        <v/>
      </c>
      <c r="U23" s="91" t="str">
        <f t="shared" si="6"/>
        <v/>
      </c>
      <c r="V23" s="91" t="str">
        <f t="shared" si="7"/>
        <v/>
      </c>
      <c r="W23" s="91" t="str">
        <f>IF(ISNUMBER(V23),$G$5+SUM(V$15:V23)/Mratio3,"")</f>
        <v/>
      </c>
      <c r="X23" s="93" t="str">
        <f t="shared" si="8"/>
        <v/>
      </c>
      <c r="Z23" s="902" t="str">
        <f t="shared" si="9"/>
        <v/>
      </c>
      <c r="AA23" s="90" t="str">
        <f t="shared" si="10"/>
        <v/>
      </c>
      <c r="AB23" s="90" t="str">
        <f t="shared" si="11"/>
        <v/>
      </c>
      <c r="AC23" s="90" t="str">
        <f t="shared" si="12"/>
        <v/>
      </c>
      <c r="AD23" s="90" t="str">
        <f t="shared" si="13"/>
        <v/>
      </c>
      <c r="AE23" s="90" t="str">
        <f t="shared" si="14"/>
        <v/>
      </c>
      <c r="AF23" s="90" t="str">
        <f t="shared" si="15"/>
        <v/>
      </c>
      <c r="AG23" s="90" t="str">
        <f t="shared" si="16"/>
        <v/>
      </c>
      <c r="AH23" s="93" t="str">
        <f t="shared" si="17"/>
        <v/>
      </c>
      <c r="AJ23" s="925"/>
      <c r="AK23" s="923" t="s">
        <v>278</v>
      </c>
      <c r="AL23" s="933" t="e">
        <f>Viscosity201A(AL29,O2dry,Bws)</f>
        <v>#VALUE!</v>
      </c>
      <c r="AM23" s="933" t="e">
        <f>Viscosity201A(StackTempAvgR3,O2dry,Bws)</f>
        <v>#VALUE!</v>
      </c>
      <c r="AN23" s="933" t="e">
        <f>Viscosity201A(AN29,O2dry,Bws)</f>
        <v>#VALUE!</v>
      </c>
      <c r="AO23" s="922" t="s">
        <v>1247</v>
      </c>
      <c r="AP23" s="922"/>
      <c r="AQ23" s="923" t="s">
        <v>285</v>
      </c>
      <c r="AR23" s="919" t="e">
        <f>SelectPM25(PMtest3,NozzleKitID3,Viscosity3,StackTempAvgR3,MolecularWt,StackGasPressInHg3,SamplingRate3,AR25)</f>
        <v>#VALUE!</v>
      </c>
      <c r="AS23" s="917" t="e">
        <f>SelectPM25(PMtest3,NozzleKitID3,AM47,AM55,MolecularWt,AM60,AM43,AS25)</f>
        <v>#VALUE!</v>
      </c>
      <c r="AT23" s="931"/>
    </row>
    <row r="24" spans="1:46" ht="10.5" customHeight="1">
      <c r="A24" s="87" t="str">
        <f>'Flows &amp; Isokinetics'!E24</f>
        <v/>
      </c>
      <c r="B24" s="88" t="str">
        <f>'Flows &amp; Isokinetics'!F24</f>
        <v/>
      </c>
      <c r="C24" s="777" t="str">
        <f>IF(Afterflows!W23="","",Afterflows!W23)</f>
        <v/>
      </c>
      <c r="D24" s="88" t="str">
        <f t="shared" si="18"/>
        <v/>
      </c>
      <c r="E24" s="288" t="str">
        <f>IF(ISNUMBER(C24),IF(ISNUMBER(StackTemp3),StackTemp3,IF(Afterflows!V23="","",Afterflows!V23)),"")</f>
        <v/>
      </c>
      <c r="F24" s="89" t="str">
        <f t="shared" si="0"/>
        <v/>
      </c>
      <c r="G24" s="89" t="str">
        <f t="shared" si="1"/>
        <v/>
      </c>
      <c r="H24" s="89" t="str">
        <f t="shared" si="2"/>
        <v/>
      </c>
      <c r="I24" s="112" t="str">
        <f t="shared" si="3"/>
        <v/>
      </c>
      <c r="J24" s="777" t="str">
        <f>IF(C24="","",Afterflows!G23)</f>
        <v/>
      </c>
      <c r="K24" s="777" t="str">
        <f>IF(E24="","",Afterflows!H23)</f>
        <v/>
      </c>
      <c r="L24" s="110" t="s">
        <v>1260</v>
      </c>
      <c r="M24" s="97"/>
      <c r="N24" s="116" t="e">
        <f>AR33</f>
        <v>#DIV/0!</v>
      </c>
      <c r="O24" s="113"/>
      <c r="P24" s="87" t="str">
        <f t="shared" si="4"/>
        <v/>
      </c>
      <c r="Q24" s="2071" t="str">
        <f t="shared" si="20"/>
        <v/>
      </c>
      <c r="R24" s="90" t="str">
        <f t="shared" si="19"/>
        <v/>
      </c>
      <c r="S24" s="90" t="str">
        <f>Velocity(PitotID3,PitotCoeff3,Afterflows!AB23,D24,E24,StackTempAvg3,AbsPress3,MolecularWt)</f>
        <v/>
      </c>
      <c r="T24" s="91" t="str">
        <f t="shared" si="5"/>
        <v/>
      </c>
      <c r="U24" s="91" t="str">
        <f t="shared" si="6"/>
        <v/>
      </c>
      <c r="V24" s="91" t="str">
        <f t="shared" si="7"/>
        <v/>
      </c>
      <c r="W24" s="91" t="str">
        <f>IF(ISNUMBER(V24),$G$5+SUM(V$15:V24)/Mratio3,"")</f>
        <v/>
      </c>
      <c r="X24" s="93" t="str">
        <f t="shared" si="8"/>
        <v/>
      </c>
      <c r="Z24" s="902" t="str">
        <f t="shared" si="9"/>
        <v/>
      </c>
      <c r="AA24" s="90" t="str">
        <f t="shared" si="10"/>
        <v/>
      </c>
      <c r="AB24" s="90" t="str">
        <f t="shared" si="11"/>
        <v/>
      </c>
      <c r="AC24" s="90" t="str">
        <f t="shared" si="12"/>
        <v/>
      </c>
      <c r="AD24" s="90" t="str">
        <f t="shared" si="13"/>
        <v/>
      </c>
      <c r="AE24" s="90" t="str">
        <f t="shared" si="14"/>
        <v/>
      </c>
      <c r="AF24" s="90" t="str">
        <f t="shared" si="15"/>
        <v/>
      </c>
      <c r="AG24" s="90" t="str">
        <f t="shared" si="16"/>
        <v/>
      </c>
      <c r="AH24" s="93" t="str">
        <f t="shared" si="17"/>
        <v/>
      </c>
      <c r="AJ24" s="925"/>
      <c r="AK24" s="923" t="s">
        <v>277</v>
      </c>
      <c r="AL24" s="933" t="e">
        <f>ViscosityCTM040(AL29,O2wet,Bws)</f>
        <v>#VALUE!</v>
      </c>
      <c r="AM24" s="933" t="e">
        <f>ViscosityCTM040(StackTempAvgR3,O2wet,Bws)</f>
        <v>#VALUE!</v>
      </c>
      <c r="AN24" s="933" t="e">
        <f>ViscosityCTM040(AN29,O2wet,Bws)</f>
        <v>#VALUE!</v>
      </c>
      <c r="AO24" s="922" t="s">
        <v>1247</v>
      </c>
      <c r="AP24" s="920"/>
      <c r="AQ24" s="934" t="s">
        <v>280</v>
      </c>
      <c r="AR24" s="920" t="e">
        <f>IF(AR23="","",CCF(Viscosity3,StackGasPressInHg3,AR23,StackTempAvgR3,MolecularWt))</f>
        <v>#VALUE!</v>
      </c>
      <c r="AS24" s="917" t="e">
        <f>IF(AS23="","",CCF(AM47,AM60,AS23,AM55,MolecularWt))</f>
        <v>#VALUE!</v>
      </c>
      <c r="AT24" s="921"/>
    </row>
    <row r="25" spans="1:46" ht="10.5" customHeight="1">
      <c r="A25" s="87" t="str">
        <f>'Flows &amp; Isokinetics'!E25</f>
        <v/>
      </c>
      <c r="B25" s="88" t="str">
        <f>'Flows &amp; Isokinetics'!F25</f>
        <v/>
      </c>
      <c r="C25" s="777" t="str">
        <f>IF(Afterflows!W24="","",Afterflows!W24)</f>
        <v/>
      </c>
      <c r="D25" s="88" t="str">
        <f t="shared" si="18"/>
        <v/>
      </c>
      <c r="E25" s="288" t="str">
        <f>IF(ISNUMBER(C25),IF(ISNUMBER(StackTemp3),StackTemp3,IF(Afterflows!V24="","",Afterflows!V24)),"")</f>
        <v/>
      </c>
      <c r="F25" s="89" t="str">
        <f t="shared" si="0"/>
        <v/>
      </c>
      <c r="G25" s="89" t="str">
        <f t="shared" si="1"/>
        <v/>
      </c>
      <c r="H25" s="89" t="str">
        <f t="shared" si="2"/>
        <v/>
      </c>
      <c r="I25" s="112" t="str">
        <f t="shared" si="3"/>
        <v/>
      </c>
      <c r="J25" s="777" t="str">
        <f>IF(C25="","",Afterflows!G24)</f>
        <v/>
      </c>
      <c r="K25" s="777" t="str">
        <f>IF(E25="","",Afterflows!H24)</f>
        <v/>
      </c>
      <c r="L25" s="110" t="s">
        <v>1261</v>
      </c>
      <c r="M25" s="97"/>
      <c r="N25" s="116" t="e">
        <f>AS33</f>
        <v>#DIV/0!</v>
      </c>
      <c r="O25" s="65"/>
      <c r="P25" s="87" t="str">
        <f t="shared" si="4"/>
        <v/>
      </c>
      <c r="Q25" s="2071" t="str">
        <f t="shared" si="20"/>
        <v/>
      </c>
      <c r="R25" s="90" t="str">
        <f t="shared" si="19"/>
        <v/>
      </c>
      <c r="S25" s="90" t="str">
        <f>Velocity(PitotID3,PitotCoeff3,Afterflows!AB24,D25,E25,StackTempAvg3,AbsPress3,MolecularWt)</f>
        <v/>
      </c>
      <c r="T25" s="91" t="str">
        <f t="shared" si="5"/>
        <v/>
      </c>
      <c r="U25" s="91" t="str">
        <f t="shared" si="6"/>
        <v/>
      </c>
      <c r="V25" s="91" t="str">
        <f t="shared" si="7"/>
        <v/>
      </c>
      <c r="W25" s="91" t="str">
        <f>IF(ISNUMBER(V25),$G$5+SUM(V$15:V25)/Mratio3,"")</f>
        <v/>
      </c>
      <c r="X25" s="93" t="str">
        <f t="shared" si="8"/>
        <v/>
      </c>
      <c r="Z25" s="902" t="str">
        <f t="shared" si="9"/>
        <v/>
      </c>
      <c r="AA25" s="90" t="str">
        <f t="shared" si="10"/>
        <v/>
      </c>
      <c r="AB25" s="90" t="str">
        <f t="shared" si="11"/>
        <v/>
      </c>
      <c r="AC25" s="90" t="str">
        <f t="shared" si="12"/>
        <v/>
      </c>
      <c r="AD25" s="90" t="str">
        <f t="shared" si="13"/>
        <v/>
      </c>
      <c r="AE25" s="90" t="str">
        <f t="shared" si="14"/>
        <v/>
      </c>
      <c r="AF25" s="90" t="str">
        <f t="shared" si="15"/>
        <v/>
      </c>
      <c r="AG25" s="90" t="str">
        <f t="shared" si="16"/>
        <v/>
      </c>
      <c r="AH25" s="93" t="str">
        <f t="shared" si="17"/>
        <v/>
      </c>
      <c r="AJ25" s="925"/>
      <c r="AK25" s="923"/>
      <c r="AL25" s="919"/>
      <c r="AM25" s="917"/>
      <c r="AN25" s="919"/>
      <c r="AO25" s="922"/>
      <c r="AP25" s="920"/>
      <c r="AQ25" s="934" t="s">
        <v>279</v>
      </c>
      <c r="AR25" s="917" t="e">
        <f>Nre(StackGasPressInHg3,MolecularWt,StackTempAvgR3,SamplingRate3,Viscosity3)</f>
        <v>#VALUE!</v>
      </c>
      <c r="AS25" s="917" t="e">
        <f>Nre(AM60,MolecularWt,AM55,AM43,AM47)</f>
        <v>#VALUE!</v>
      </c>
      <c r="AT25" s="931"/>
    </row>
    <row r="26" spans="1:46" ht="10.5" customHeight="1">
      <c r="A26" s="87" t="str">
        <f>'Flows &amp; Isokinetics'!E26</f>
        <v/>
      </c>
      <c r="B26" s="88" t="str">
        <f>'Flows &amp; Isokinetics'!F26</f>
        <v/>
      </c>
      <c r="C26" s="777" t="str">
        <f>IF(Afterflows!W25="","",Afterflows!W25)</f>
        <v/>
      </c>
      <c r="D26" s="88" t="str">
        <f t="shared" si="18"/>
        <v/>
      </c>
      <c r="E26" s="288" t="str">
        <f>IF(ISNUMBER(C26),IF(ISNUMBER(StackTemp3),StackTemp3,IF(Afterflows!V25="","",Afterflows!V25)),"")</f>
        <v/>
      </c>
      <c r="F26" s="89" t="str">
        <f t="shared" si="0"/>
        <v/>
      </c>
      <c r="G26" s="89" t="str">
        <f t="shared" si="1"/>
        <v/>
      </c>
      <c r="H26" s="89" t="str">
        <f t="shared" si="2"/>
        <v/>
      </c>
      <c r="I26" s="112" t="str">
        <f t="shared" si="3"/>
        <v/>
      </c>
      <c r="J26" s="777" t="str">
        <f>IF(C26="","",Afterflows!G25)</f>
        <v/>
      </c>
      <c r="K26" s="777" t="str">
        <f>IF(E26="","",Afterflows!H25)</f>
        <v/>
      </c>
      <c r="L26" s="115" t="s">
        <v>282</v>
      </c>
      <c r="M26" s="97"/>
      <c r="N26" s="114"/>
      <c r="O26" s="65"/>
      <c r="P26" s="87" t="str">
        <f t="shared" si="4"/>
        <v/>
      </c>
      <c r="Q26" s="2071" t="str">
        <f t="shared" si="20"/>
        <v/>
      </c>
      <c r="R26" s="90" t="str">
        <f t="shared" si="19"/>
        <v/>
      </c>
      <c r="S26" s="90" t="str">
        <f>Velocity(PitotID3,PitotCoeff3,Afterflows!AB25,D26,E26,StackTempAvg3,AbsPress3,MolecularWt)</f>
        <v/>
      </c>
      <c r="T26" s="91" t="str">
        <f t="shared" si="5"/>
        <v/>
      </c>
      <c r="U26" s="91" t="str">
        <f t="shared" si="6"/>
        <v/>
      </c>
      <c r="V26" s="91" t="str">
        <f t="shared" si="7"/>
        <v/>
      </c>
      <c r="W26" s="91" t="str">
        <f>IF(ISNUMBER(V26),$G$5+SUM(V$15:V26)/Mratio3,"")</f>
        <v/>
      </c>
      <c r="X26" s="93" t="str">
        <f t="shared" si="8"/>
        <v/>
      </c>
      <c r="Z26" s="902" t="str">
        <f t="shared" si="9"/>
        <v/>
      </c>
      <c r="AA26" s="90" t="str">
        <f t="shared" si="10"/>
        <v/>
      </c>
      <c r="AB26" s="90" t="str">
        <f t="shared" si="11"/>
        <v/>
      </c>
      <c r="AC26" s="90" t="str">
        <f t="shared" si="12"/>
        <v/>
      </c>
      <c r="AD26" s="90" t="str">
        <f t="shared" si="13"/>
        <v/>
      </c>
      <c r="AE26" s="90" t="str">
        <f t="shared" si="14"/>
        <v/>
      </c>
      <c r="AF26" s="90" t="str">
        <f t="shared" si="15"/>
        <v/>
      </c>
      <c r="AG26" s="90" t="str">
        <f t="shared" si="16"/>
        <v/>
      </c>
      <c r="AH26" s="93" t="str">
        <f t="shared" si="17"/>
        <v/>
      </c>
      <c r="AJ26" s="925"/>
      <c r="AK26" s="923" t="s">
        <v>2</v>
      </c>
      <c r="AL26" s="919" t="e">
        <f>StackTempAvg3-28</f>
        <v>#DIV/0!</v>
      </c>
      <c r="AM26" s="928" t="e">
        <f>StackTempAvg3</f>
        <v>#DIV/0!</v>
      </c>
      <c r="AN26" s="919" t="e">
        <f>StackTempAvg3+28</f>
        <v>#DIV/0!</v>
      </c>
      <c r="AO26" s="922" t="s">
        <v>1197</v>
      </c>
      <c r="AP26" s="920"/>
      <c r="AQ26" s="917"/>
      <c r="AR26" s="917"/>
      <c r="AS26" s="917"/>
      <c r="AT26" s="935"/>
    </row>
    <row r="27" spans="1:46" ht="10.5" customHeight="1">
      <c r="A27" s="87" t="str">
        <f>'Flows &amp; Isokinetics'!E27</f>
        <v/>
      </c>
      <c r="B27" s="88" t="str">
        <f>'Flows &amp; Isokinetics'!F27</f>
        <v/>
      </c>
      <c r="C27" s="777" t="str">
        <f>IF(Afterflows!W26="","",Afterflows!W26)</f>
        <v/>
      </c>
      <c r="D27" s="88" t="str">
        <f t="shared" si="18"/>
        <v/>
      </c>
      <c r="E27" s="288" t="str">
        <f>IF(ISNUMBER(C27),IF(ISNUMBER(StackTemp3),StackTemp3,IF(Afterflows!V26="","",Afterflows!V26)),"")</f>
        <v/>
      </c>
      <c r="F27" s="89" t="str">
        <f t="shared" si="0"/>
        <v/>
      </c>
      <c r="G27" s="89" t="str">
        <f t="shared" si="1"/>
        <v/>
      </c>
      <c r="H27" s="89" t="str">
        <f t="shared" si="2"/>
        <v/>
      </c>
      <c r="I27" s="112" t="str">
        <f t="shared" si="3"/>
        <v/>
      </c>
      <c r="J27" s="777" t="str">
        <f>IF(C27="","",Afterflows!G26)</f>
        <v/>
      </c>
      <c r="K27" s="777" t="str">
        <f>IF(E27="","",Afterflows!H26)</f>
        <v/>
      </c>
      <c r="L27" s="110" t="s">
        <v>54</v>
      </c>
      <c r="M27" s="97"/>
      <c r="N27" s="114" t="e">
        <f>Viscosity3</f>
        <v>#VALUE!</v>
      </c>
      <c r="P27" s="87" t="str">
        <f t="shared" si="4"/>
        <v/>
      </c>
      <c r="Q27" s="2071" t="str">
        <f t="shared" si="20"/>
        <v/>
      </c>
      <c r="R27" s="90" t="str">
        <f t="shared" si="19"/>
        <v/>
      </c>
      <c r="S27" s="90" t="str">
        <f>Velocity(PitotID3,PitotCoeff3,Afterflows!AB26,D27,E27,StackTempAvg3,AbsPress3,MolecularWt)</f>
        <v/>
      </c>
      <c r="T27" s="91" t="str">
        <f t="shared" si="5"/>
        <v/>
      </c>
      <c r="U27" s="91" t="str">
        <f t="shared" si="6"/>
        <v/>
      </c>
      <c r="V27" s="91" t="str">
        <f t="shared" si="7"/>
        <v/>
      </c>
      <c r="W27" s="91" t="str">
        <f>IF(ISNUMBER(V27),$G$5+SUM(V$15:V27)/Mratio3,"")</f>
        <v/>
      </c>
      <c r="X27" s="93" t="str">
        <f t="shared" si="8"/>
        <v/>
      </c>
      <c r="Z27" s="902" t="str">
        <f t="shared" si="9"/>
        <v/>
      </c>
      <c r="AA27" s="90" t="str">
        <f t="shared" si="10"/>
        <v/>
      </c>
      <c r="AB27" s="90" t="str">
        <f t="shared" si="11"/>
        <v/>
      </c>
      <c r="AC27" s="90" t="str">
        <f t="shared" si="12"/>
        <v/>
      </c>
      <c r="AD27" s="90" t="str">
        <f t="shared" si="13"/>
        <v/>
      </c>
      <c r="AE27" s="90" t="str">
        <f t="shared" si="14"/>
        <v/>
      </c>
      <c r="AF27" s="90" t="str">
        <f t="shared" si="15"/>
        <v/>
      </c>
      <c r="AG27" s="90" t="str">
        <f t="shared" si="16"/>
        <v/>
      </c>
      <c r="AH27" s="93" t="str">
        <f t="shared" si="17"/>
        <v/>
      </c>
      <c r="AJ27" s="925"/>
      <c r="AK27" s="923" t="s">
        <v>2</v>
      </c>
      <c r="AL27" s="919" t="e">
        <f>StackTempAvgK3-28</f>
        <v>#DIV/0!</v>
      </c>
      <c r="AM27" s="928" t="e">
        <f>AM26+273.15</f>
        <v>#DIV/0!</v>
      </c>
      <c r="AN27" s="919" t="e">
        <f>StackTempAvgK3+28</f>
        <v>#DIV/0!</v>
      </c>
      <c r="AO27" s="922" t="s">
        <v>1248</v>
      </c>
      <c r="AP27" s="920"/>
      <c r="AQ27" s="919"/>
      <c r="AR27" s="920"/>
      <c r="AS27" s="917"/>
      <c r="AT27" s="931"/>
    </row>
    <row r="28" spans="1:46" ht="10.5" customHeight="1">
      <c r="A28" s="87" t="str">
        <f>'Flows &amp; Isokinetics'!E28</f>
        <v/>
      </c>
      <c r="B28" s="88" t="str">
        <f>'Flows &amp; Isokinetics'!F28</f>
        <v/>
      </c>
      <c r="C28" s="777" t="str">
        <f>IF(Afterflows!W27="","",Afterflows!W27)</f>
        <v/>
      </c>
      <c r="D28" s="88" t="str">
        <f t="shared" si="18"/>
        <v/>
      </c>
      <c r="E28" s="288" t="str">
        <f>IF(ISNUMBER(C28),IF(ISNUMBER(StackTemp3),StackTemp3,IF(Afterflows!V27="","",Afterflows!V27)),"")</f>
        <v/>
      </c>
      <c r="F28" s="89" t="str">
        <f t="shared" si="0"/>
        <v/>
      </c>
      <c r="G28" s="89" t="str">
        <f t="shared" si="1"/>
        <v/>
      </c>
      <c r="H28" s="89" t="str">
        <f t="shared" si="2"/>
        <v/>
      </c>
      <c r="I28" s="112" t="str">
        <f t="shared" si="3"/>
        <v/>
      </c>
      <c r="J28" s="777" t="str">
        <f>IF(C28="","",Afterflows!G27)</f>
        <v/>
      </c>
      <c r="K28" s="777" t="str">
        <f>IF(E28="","",Afterflows!H27)</f>
        <v/>
      </c>
      <c r="L28" s="110" t="s">
        <v>1269</v>
      </c>
      <c r="M28" s="97"/>
      <c r="N28" s="114">
        <f>MolecularWt</f>
        <v>28.845074441969999</v>
      </c>
      <c r="P28" s="87" t="str">
        <f t="shared" si="4"/>
        <v/>
      </c>
      <c r="Q28" s="2071" t="str">
        <f t="shared" si="20"/>
        <v/>
      </c>
      <c r="R28" s="90" t="str">
        <f t="shared" si="19"/>
        <v/>
      </c>
      <c r="S28" s="90" t="str">
        <f>Velocity(PitotID3,PitotCoeff3,Afterflows!AB27,D28,E28,StackTempAvg3,AbsPress3,MolecularWt)</f>
        <v/>
      </c>
      <c r="T28" s="91" t="str">
        <f t="shared" si="5"/>
        <v/>
      </c>
      <c r="U28" s="91" t="str">
        <f t="shared" si="6"/>
        <v/>
      </c>
      <c r="V28" s="91" t="str">
        <f t="shared" si="7"/>
        <v/>
      </c>
      <c r="W28" s="91" t="str">
        <f>IF(ISNUMBER(V28),$G$5+SUM(V$15:V28)/Mratio3,"")</f>
        <v/>
      </c>
      <c r="X28" s="93" t="str">
        <f t="shared" si="8"/>
        <v/>
      </c>
      <c r="Z28" s="902" t="str">
        <f t="shared" si="9"/>
        <v/>
      </c>
      <c r="AA28" s="90" t="str">
        <f t="shared" si="10"/>
        <v/>
      </c>
      <c r="AB28" s="90" t="str">
        <f t="shared" si="11"/>
        <v/>
      </c>
      <c r="AC28" s="90" t="str">
        <f t="shared" si="12"/>
        <v/>
      </c>
      <c r="AD28" s="90" t="str">
        <f t="shared" si="13"/>
        <v/>
      </c>
      <c r="AE28" s="90" t="str">
        <f t="shared" si="14"/>
        <v/>
      </c>
      <c r="AF28" s="90" t="str">
        <f t="shared" si="15"/>
        <v/>
      </c>
      <c r="AG28" s="90" t="str">
        <f t="shared" si="16"/>
        <v/>
      </c>
      <c r="AH28" s="93" t="str">
        <f t="shared" si="17"/>
        <v/>
      </c>
      <c r="AJ28" s="925"/>
      <c r="AK28" s="923" t="s">
        <v>2</v>
      </c>
      <c r="AL28" s="919" t="e">
        <f>StackTempAvgF3-50.4</f>
        <v>#DIV/0!</v>
      </c>
      <c r="AM28" s="928" t="e">
        <f>AM26*1.8+32</f>
        <v>#DIV/0!</v>
      </c>
      <c r="AN28" s="919" t="e">
        <f>StackTempAvgF3+50.4</f>
        <v>#DIV/0!</v>
      </c>
      <c r="AO28" s="922" t="s">
        <v>1249</v>
      </c>
      <c r="AP28" s="920"/>
      <c r="AQ28" s="2695" t="s">
        <v>281</v>
      </c>
      <c r="AR28" s="2695"/>
      <c r="AS28" s="2695"/>
      <c r="AT28" s="2696"/>
    </row>
    <row r="29" spans="1:46" ht="10.5" customHeight="1">
      <c r="A29" s="87" t="str">
        <f>'Flows &amp; Isokinetics'!E29</f>
        <v/>
      </c>
      <c r="B29" s="88" t="str">
        <f>'Flows &amp; Isokinetics'!F29</f>
        <v/>
      </c>
      <c r="C29" s="777" t="str">
        <f>IF(Afterflows!W28="","",Afterflows!W28)</f>
        <v/>
      </c>
      <c r="D29" s="88" t="str">
        <f t="shared" si="18"/>
        <v/>
      </c>
      <c r="E29" s="288" t="str">
        <f>IF(ISNUMBER(C29),IF(ISNUMBER(StackTemp3),StackTemp3,IF(Afterflows!V28="","",Afterflows!V28)),"")</f>
        <v/>
      </c>
      <c r="F29" s="89" t="str">
        <f t="shared" si="0"/>
        <v/>
      </c>
      <c r="G29" s="89" t="str">
        <f t="shared" si="1"/>
        <v/>
      </c>
      <c r="H29" s="89" t="str">
        <f t="shared" si="2"/>
        <v/>
      </c>
      <c r="I29" s="112" t="str">
        <f t="shared" si="3"/>
        <v/>
      </c>
      <c r="J29" s="777" t="str">
        <f>IF(C29="","",Afterflows!G28)</f>
        <v/>
      </c>
      <c r="K29" s="777" t="str">
        <f>IF(E29="","",Afterflows!H28)</f>
        <v/>
      </c>
      <c r="L29" s="110" t="s">
        <v>10</v>
      </c>
      <c r="M29" s="97"/>
      <c r="N29" s="114">
        <f>StackGasDensity</f>
        <v>1.2869955684701349</v>
      </c>
      <c r="P29" s="87" t="str">
        <f t="shared" si="4"/>
        <v/>
      </c>
      <c r="Q29" s="2071" t="str">
        <f t="shared" si="20"/>
        <v/>
      </c>
      <c r="R29" s="90" t="str">
        <f t="shared" si="19"/>
        <v/>
      </c>
      <c r="S29" s="90" t="str">
        <f>Velocity(PitotID3,PitotCoeff3,Afterflows!AB28,D29,E29,StackTempAvg3,AbsPress3,MolecularWt)</f>
        <v/>
      </c>
      <c r="T29" s="91" t="str">
        <f t="shared" si="5"/>
        <v/>
      </c>
      <c r="U29" s="91" t="str">
        <f t="shared" si="6"/>
        <v/>
      </c>
      <c r="V29" s="91" t="str">
        <f t="shared" si="7"/>
        <v/>
      </c>
      <c r="W29" s="91" t="str">
        <f>IF(ISNUMBER(V29),$G$5+SUM(V$15:V29)/Mratio3,"")</f>
        <v/>
      </c>
      <c r="X29" s="93" t="str">
        <f t="shared" si="8"/>
        <v/>
      </c>
      <c r="Z29" s="902" t="str">
        <f t="shared" si="9"/>
        <v/>
      </c>
      <c r="AA29" s="90" t="str">
        <f t="shared" si="10"/>
        <v/>
      </c>
      <c r="AB29" s="90" t="str">
        <f t="shared" si="11"/>
        <v/>
      </c>
      <c r="AC29" s="90" t="str">
        <f t="shared" si="12"/>
        <v/>
      </c>
      <c r="AD29" s="90" t="str">
        <f t="shared" si="13"/>
        <v/>
      </c>
      <c r="AE29" s="90" t="str">
        <f t="shared" si="14"/>
        <v/>
      </c>
      <c r="AF29" s="90" t="str">
        <f t="shared" si="15"/>
        <v/>
      </c>
      <c r="AG29" s="90" t="str">
        <f t="shared" si="16"/>
        <v/>
      </c>
      <c r="AH29" s="93" t="str">
        <f t="shared" si="17"/>
        <v/>
      </c>
      <c r="AJ29" s="925"/>
      <c r="AK29" s="923" t="s">
        <v>2</v>
      </c>
      <c r="AL29" s="919" t="e">
        <f>StackTempAvgR3-50.4</f>
        <v>#DIV/0!</v>
      </c>
      <c r="AM29" s="936" t="e">
        <f>AM26*1.8+491.67</f>
        <v>#DIV/0!</v>
      </c>
      <c r="AN29" s="919" t="e">
        <f>StackTempAvgR3+50.4</f>
        <v>#DIV/0!</v>
      </c>
      <c r="AO29" s="922" t="s">
        <v>1253</v>
      </c>
      <c r="AP29" s="920"/>
      <c r="AQ29" s="923" t="s">
        <v>1214</v>
      </c>
      <c r="AR29" s="919" t="e">
        <f>(SamplingRate3/60)/(PI()*(NozzleSelect3/25.4/12)^2/4)*PBVF2</f>
        <v>#VALUE!</v>
      </c>
      <c r="AS29" s="919" t="e">
        <f>AR29*(12*25.4/1000)*PBVF2</f>
        <v>#VALUE!</v>
      </c>
      <c r="AT29" s="931" t="s">
        <v>1214</v>
      </c>
    </row>
    <row r="30" spans="1:46" ht="10.5" customHeight="1">
      <c r="A30" s="87" t="str">
        <f>'Flows &amp; Isokinetics'!E30</f>
        <v/>
      </c>
      <c r="B30" s="88" t="str">
        <f>'Flows &amp; Isokinetics'!F30</f>
        <v/>
      </c>
      <c r="C30" s="777" t="str">
        <f>IF(Afterflows!W29="","",Afterflows!W29)</f>
        <v/>
      </c>
      <c r="D30" s="88" t="str">
        <f t="shared" si="18"/>
        <v/>
      </c>
      <c r="E30" s="288" t="str">
        <f>IF(ISNUMBER(C30),IF(ISNUMBER(StackTemp3),StackTemp3,IF(Afterflows!V29="","",Afterflows!V29)),"")</f>
        <v/>
      </c>
      <c r="F30" s="89" t="str">
        <f t="shared" si="0"/>
        <v/>
      </c>
      <c r="G30" s="89" t="str">
        <f t="shared" si="1"/>
        <v/>
      </c>
      <c r="H30" s="89" t="str">
        <f t="shared" si="2"/>
        <v/>
      </c>
      <c r="I30" s="112" t="str">
        <f t="shared" si="3"/>
        <v/>
      </c>
      <c r="J30" s="777" t="str">
        <f>IF(C30="","",Afterflows!G29)</f>
        <v/>
      </c>
      <c r="K30" s="777" t="str">
        <f>IF(E30="","",Afterflows!H29)</f>
        <v/>
      </c>
      <c r="L30" s="115" t="s">
        <v>1291</v>
      </c>
      <c r="M30" s="97"/>
      <c r="N30" s="114"/>
      <c r="P30" s="87" t="str">
        <f t="shared" si="4"/>
        <v/>
      </c>
      <c r="Q30" s="2071" t="str">
        <f t="shared" si="20"/>
        <v/>
      </c>
      <c r="R30" s="90" t="str">
        <f t="shared" si="19"/>
        <v/>
      </c>
      <c r="S30" s="90" t="str">
        <f>Velocity(PitotID3,PitotCoeff3,Afterflows!AB29,D30,E30,StackTempAvg3,AbsPress3,MolecularWt)</f>
        <v/>
      </c>
      <c r="T30" s="91" t="str">
        <f t="shared" si="5"/>
        <v/>
      </c>
      <c r="U30" s="91" t="str">
        <f t="shared" si="6"/>
        <v/>
      </c>
      <c r="V30" s="91" t="str">
        <f t="shared" si="7"/>
        <v/>
      </c>
      <c r="W30" s="91" t="str">
        <f>IF(ISNUMBER(V30),$G$5+SUM(V$15:V30)/Mratio3,"")</f>
        <v/>
      </c>
      <c r="X30" s="93" t="str">
        <f t="shared" si="8"/>
        <v/>
      </c>
      <c r="Z30" s="902" t="str">
        <f t="shared" si="9"/>
        <v/>
      </c>
      <c r="AA30" s="90" t="str">
        <f t="shared" si="10"/>
        <v/>
      </c>
      <c r="AB30" s="90" t="str">
        <f t="shared" si="11"/>
        <v/>
      </c>
      <c r="AC30" s="90" t="str">
        <f t="shared" si="12"/>
        <v/>
      </c>
      <c r="AD30" s="90" t="str">
        <f t="shared" si="13"/>
        <v/>
      </c>
      <c r="AE30" s="90" t="str">
        <f t="shared" si="14"/>
        <v/>
      </c>
      <c r="AF30" s="90" t="str">
        <f t="shared" si="15"/>
        <v/>
      </c>
      <c r="AG30" s="90" t="str">
        <f t="shared" si="16"/>
        <v/>
      </c>
      <c r="AH30" s="93" t="str">
        <f t="shared" si="17"/>
        <v/>
      </c>
      <c r="AJ30" s="925"/>
      <c r="AK30" s="922"/>
      <c r="AL30" s="919"/>
      <c r="AM30" s="919"/>
      <c r="AN30" s="919"/>
      <c r="AO30" s="922"/>
      <c r="AP30" s="920"/>
      <c r="AQ30" s="923" t="s">
        <v>1254</v>
      </c>
      <c r="AR30" s="919" t="e">
        <f>0.2457+SQRT(0.3072-(0.2603*Viscosity3*SQRT(SamplingRate3)/(NozzleVelocity3^1.5)))</f>
        <v>#VALUE!</v>
      </c>
      <c r="AS30" s="919" t="e">
        <f>0.4457+SQRT(0.569+(0.2603*Viscosity3*SQRT(SamplingRate3)/(NozzleVelocity3^1.5)))</f>
        <v>#VALUE!</v>
      </c>
      <c r="AT30" s="931" t="s">
        <v>1255</v>
      </c>
    </row>
    <row r="31" spans="1:46" ht="10.5" customHeight="1">
      <c r="A31" s="87" t="str">
        <f>'Flows &amp; Isokinetics'!E31</f>
        <v/>
      </c>
      <c r="B31" s="88" t="str">
        <f>'Flows &amp; Isokinetics'!F31</f>
        <v/>
      </c>
      <c r="C31" s="777" t="str">
        <f>IF(Afterflows!W30="","",Afterflows!W30)</f>
        <v/>
      </c>
      <c r="D31" s="88" t="str">
        <f t="shared" si="18"/>
        <v/>
      </c>
      <c r="E31" s="288" t="str">
        <f>IF(ISNUMBER(C31),IF(ISNUMBER(StackTemp3),StackTemp3,IF(Afterflows!V30="","",Afterflows!V30)),"")</f>
        <v/>
      </c>
      <c r="F31" s="89" t="str">
        <f t="shared" si="0"/>
        <v/>
      </c>
      <c r="G31" s="89" t="str">
        <f t="shared" si="1"/>
        <v/>
      </c>
      <c r="H31" s="89" t="str">
        <f t="shared" si="2"/>
        <v/>
      </c>
      <c r="I31" s="112" t="str">
        <f t="shared" si="3"/>
        <v/>
      </c>
      <c r="J31" s="777" t="str">
        <f>IF(C31="","",Afterflows!G30)</f>
        <v/>
      </c>
      <c r="K31" s="777" t="str">
        <f>IF(E31="","",Afterflows!H30)</f>
        <v/>
      </c>
      <c r="L31" s="110"/>
      <c r="M31" s="537" t="s">
        <v>276</v>
      </c>
      <c r="N31" s="538" t="s">
        <v>1272</v>
      </c>
      <c r="P31" s="87" t="str">
        <f t="shared" si="4"/>
        <v/>
      </c>
      <c r="Q31" s="2071" t="str">
        <f t="shared" si="20"/>
        <v/>
      </c>
      <c r="R31" s="90" t="str">
        <f t="shared" si="19"/>
        <v/>
      </c>
      <c r="S31" s="90" t="str">
        <f>Velocity(PitotID3,PitotCoeff3,Afterflows!AB30,D31,E31,StackTempAvg3,AbsPress3,MolecularWt)</f>
        <v/>
      </c>
      <c r="T31" s="91" t="str">
        <f t="shared" si="5"/>
        <v/>
      </c>
      <c r="U31" s="91" t="str">
        <f t="shared" si="6"/>
        <v/>
      </c>
      <c r="V31" s="91" t="str">
        <f t="shared" si="7"/>
        <v/>
      </c>
      <c r="W31" s="91" t="str">
        <f>IF(ISNUMBER(V31),$G$5+SUM(V$15:V31)/Mratio3,"")</f>
        <v/>
      </c>
      <c r="X31" s="93" t="str">
        <f t="shared" si="8"/>
        <v/>
      </c>
      <c r="Z31" s="902" t="str">
        <f t="shared" si="9"/>
        <v/>
      </c>
      <c r="AA31" s="90" t="str">
        <f t="shared" si="10"/>
        <v/>
      </c>
      <c r="AB31" s="90" t="str">
        <f t="shared" si="11"/>
        <v/>
      </c>
      <c r="AC31" s="90" t="str">
        <f t="shared" si="12"/>
        <v/>
      </c>
      <c r="AD31" s="90" t="str">
        <f t="shared" si="13"/>
        <v/>
      </c>
      <c r="AE31" s="90" t="str">
        <f t="shared" si="14"/>
        <v/>
      </c>
      <c r="AF31" s="90" t="str">
        <f t="shared" si="15"/>
        <v/>
      </c>
      <c r="AG31" s="90" t="str">
        <f t="shared" si="16"/>
        <v/>
      </c>
      <c r="AH31" s="93" t="str">
        <f t="shared" si="17"/>
        <v/>
      </c>
      <c r="AJ31" s="925"/>
      <c r="AK31" s="923" t="s">
        <v>1</v>
      </c>
      <c r="AL31" s="919"/>
      <c r="AM31" s="936" t="e">
        <f>AvgSqrtPa3</f>
        <v>#DIV/0!</v>
      </c>
      <c r="AN31" s="919"/>
      <c r="AO31" s="922" t="s">
        <v>1245</v>
      </c>
      <c r="AP31" s="920"/>
      <c r="AQ31" s="923" t="s">
        <v>1256</v>
      </c>
      <c r="AR31" s="919" t="e">
        <f>IF(ISERROR(AR30),NozzleVelocity3*0.5,IF(AR30&lt;=0.5,NozzleVelocity3*0.5,NozzleVelocity3*AR30))</f>
        <v>#VALUE!</v>
      </c>
      <c r="AS31" s="919" t="e">
        <f>IF(AS30&lt;=1.5,NozzleVelocity3*AS30,NozzleVelocity3*1.5)</f>
        <v>#VALUE!</v>
      </c>
      <c r="AT31" s="931" t="s">
        <v>1257</v>
      </c>
    </row>
    <row r="32" spans="1:46" ht="10.5" customHeight="1">
      <c r="A32" s="87" t="str">
        <f>'Flows &amp; Isokinetics'!E32</f>
        <v/>
      </c>
      <c r="B32" s="88" t="str">
        <f>'Flows &amp; Isokinetics'!F32</f>
        <v/>
      </c>
      <c r="C32" s="777" t="str">
        <f>IF(Afterflows!W31="","",Afterflows!W31)</f>
        <v/>
      </c>
      <c r="D32" s="88" t="str">
        <f t="shared" si="18"/>
        <v/>
      </c>
      <c r="E32" s="288" t="str">
        <f>IF(ISNUMBER(C32),IF(ISNUMBER(StackTemp3),StackTemp3,IF(Afterflows!V31="","",Afterflows!V31)),"")</f>
        <v/>
      </c>
      <c r="F32" s="89" t="str">
        <f t="shared" si="0"/>
        <v/>
      </c>
      <c r="G32" s="89" t="str">
        <f t="shared" si="1"/>
        <v/>
      </c>
      <c r="H32" s="89" t="str">
        <f t="shared" si="2"/>
        <v/>
      </c>
      <c r="I32" s="112" t="str">
        <f t="shared" si="3"/>
        <v/>
      </c>
      <c r="J32" s="777" t="str">
        <f>IF(C32="","",Afterflows!G31)</f>
        <v/>
      </c>
      <c r="K32" s="777" t="str">
        <f>IF(E32="","",Afterflows!H31)</f>
        <v/>
      </c>
      <c r="L32" s="110" t="s">
        <v>1243</v>
      </c>
      <c r="M32" s="536" t="e">
        <f>AR22</f>
        <v>#VALUE!</v>
      </c>
      <c r="N32" s="117" t="e">
        <f>AS22</f>
        <v>#VALUE!</v>
      </c>
      <c r="P32" s="87" t="str">
        <f t="shared" si="4"/>
        <v/>
      </c>
      <c r="Q32" s="2071" t="str">
        <f t="shared" si="20"/>
        <v/>
      </c>
      <c r="R32" s="90" t="str">
        <f t="shared" si="19"/>
        <v/>
      </c>
      <c r="S32" s="90" t="str">
        <f>Velocity(PitotID3,PitotCoeff3,Afterflows!AB31,D32,E32,StackTempAvg3,AbsPress3,MolecularWt)</f>
        <v/>
      </c>
      <c r="T32" s="91" t="str">
        <f t="shared" si="5"/>
        <v/>
      </c>
      <c r="U32" s="91" t="str">
        <f t="shared" si="6"/>
        <v/>
      </c>
      <c r="V32" s="91" t="str">
        <f t="shared" si="7"/>
        <v/>
      </c>
      <c r="W32" s="91" t="str">
        <f>IF(ISNUMBER(V32),$G$5+SUM(V$15:V32)/Mratio3,"")</f>
        <v/>
      </c>
      <c r="X32" s="93" t="str">
        <f t="shared" si="8"/>
        <v/>
      </c>
      <c r="Z32" s="902" t="str">
        <f t="shared" si="9"/>
        <v/>
      </c>
      <c r="AA32" s="90" t="str">
        <f t="shared" si="10"/>
        <v/>
      </c>
      <c r="AB32" s="90" t="str">
        <f t="shared" si="11"/>
        <v/>
      </c>
      <c r="AC32" s="90" t="str">
        <f t="shared" si="12"/>
        <v/>
      </c>
      <c r="AD32" s="90" t="str">
        <f t="shared" si="13"/>
        <v/>
      </c>
      <c r="AE32" s="90" t="str">
        <f t="shared" si="14"/>
        <v/>
      </c>
      <c r="AF32" s="90" t="str">
        <f t="shared" si="15"/>
        <v/>
      </c>
      <c r="AG32" s="90" t="str">
        <f t="shared" si="16"/>
        <v/>
      </c>
      <c r="AH32" s="93" t="str">
        <f t="shared" si="17"/>
        <v/>
      </c>
      <c r="AJ32" s="925"/>
      <c r="AK32" s="923" t="s">
        <v>1</v>
      </c>
      <c r="AL32" s="919"/>
      <c r="AM32" s="937" t="e">
        <f>0.0633609*AvgSqrtPa3</f>
        <v>#DIV/0!</v>
      </c>
      <c r="AN32" s="919"/>
      <c r="AO32" s="922" t="s">
        <v>1259</v>
      </c>
      <c r="AP32" s="919"/>
      <c r="AQ32" s="923" t="s">
        <v>1260</v>
      </c>
      <c r="AR32" s="919" t="e">
        <f>1.3686*10^-4*(StackGasPressInHg3*MolecularWtWet)/StackTempAvgR3*(AR31/PitotCoeff3)^2</f>
        <v>#DIV/0!</v>
      </c>
      <c r="AS32" s="919" t="e">
        <f>1.3686*10^-4*(StackGasPressInHg3*MolecularWtWet)/StackTempAvgR3*(AS31/PitotCoeff3)^2</f>
        <v>#DIV/0!</v>
      </c>
      <c r="AT32" s="931" t="s">
        <v>1261</v>
      </c>
    </row>
    <row r="33" spans="1:46" ht="10.5" customHeight="1">
      <c r="A33" s="87" t="str">
        <f>'Flows &amp; Isokinetics'!E33</f>
        <v/>
      </c>
      <c r="B33" s="88" t="str">
        <f>'Flows &amp; Isokinetics'!F33</f>
        <v/>
      </c>
      <c r="C33" s="777" t="str">
        <f>IF(Afterflows!W32="","",Afterflows!W32)</f>
        <v/>
      </c>
      <c r="D33" s="88" t="str">
        <f t="shared" si="18"/>
        <v/>
      </c>
      <c r="E33" s="288" t="str">
        <f>IF(ISNUMBER(C33),IF(ISNUMBER(StackTemp3),StackTemp3,IF(Afterflows!V32="","",Afterflows!V32)),"")</f>
        <v/>
      </c>
      <c r="F33" s="89" t="str">
        <f t="shared" si="0"/>
        <v/>
      </c>
      <c r="G33" s="89" t="str">
        <f t="shared" si="1"/>
        <v/>
      </c>
      <c r="H33" s="89" t="str">
        <f t="shared" si="2"/>
        <v/>
      </c>
      <c r="I33" s="112" t="str">
        <f t="shared" si="3"/>
        <v/>
      </c>
      <c r="J33" s="777" t="str">
        <f>IF(C33="","",Afterflows!G32)</f>
        <v/>
      </c>
      <c r="K33" s="777" t="str">
        <f>IF(E33="","",Afterflows!H32)</f>
        <v/>
      </c>
      <c r="L33" s="110" t="s">
        <v>1244</v>
      </c>
      <c r="M33" s="542" t="e">
        <f>AR23</f>
        <v>#VALUE!</v>
      </c>
      <c r="N33" s="543" t="e">
        <f>AS23</f>
        <v>#VALUE!</v>
      </c>
      <c r="P33" s="87" t="str">
        <f t="shared" si="4"/>
        <v/>
      </c>
      <c r="Q33" s="2071" t="str">
        <f t="shared" si="20"/>
        <v/>
      </c>
      <c r="R33" s="90" t="str">
        <f t="shared" si="19"/>
        <v/>
      </c>
      <c r="S33" s="90" t="str">
        <f>Velocity(PitotID3,PitotCoeff3,Afterflows!AB32,D33,E33,StackTempAvg3,AbsPress3,MolecularWt)</f>
        <v/>
      </c>
      <c r="T33" s="91" t="str">
        <f t="shared" si="5"/>
        <v/>
      </c>
      <c r="U33" s="91" t="str">
        <f t="shared" si="6"/>
        <v/>
      </c>
      <c r="V33" s="91" t="str">
        <f t="shared" si="7"/>
        <v/>
      </c>
      <c r="W33" s="91" t="str">
        <f>IF(ISNUMBER(V33),$G$5+SUM(V$15:V33)/Mratio3,"")</f>
        <v/>
      </c>
      <c r="X33" s="93" t="str">
        <f t="shared" si="8"/>
        <v/>
      </c>
      <c r="Z33" s="902" t="str">
        <f t="shared" si="9"/>
        <v/>
      </c>
      <c r="AA33" s="90" t="str">
        <f t="shared" si="10"/>
        <v/>
      </c>
      <c r="AB33" s="90" t="str">
        <f t="shared" si="11"/>
        <v/>
      </c>
      <c r="AC33" s="90" t="str">
        <f t="shared" si="12"/>
        <v/>
      </c>
      <c r="AD33" s="90" t="str">
        <f t="shared" si="13"/>
        <v/>
      </c>
      <c r="AE33" s="90" t="str">
        <f t="shared" si="14"/>
        <v/>
      </c>
      <c r="AF33" s="90" t="str">
        <f t="shared" si="15"/>
        <v/>
      </c>
      <c r="AG33" s="90" t="str">
        <f t="shared" si="16"/>
        <v/>
      </c>
      <c r="AH33" s="93" t="str">
        <f t="shared" si="17"/>
        <v/>
      </c>
      <c r="AJ33" s="925"/>
      <c r="AK33" s="922"/>
      <c r="AL33" s="919"/>
      <c r="AM33" s="919"/>
      <c r="AN33" s="919"/>
      <c r="AO33" s="922"/>
      <c r="AP33" s="922"/>
      <c r="AQ33" s="923" t="s">
        <v>1260</v>
      </c>
      <c r="AR33" s="928" t="e">
        <f>AR32/0.00401463</f>
        <v>#DIV/0!</v>
      </c>
      <c r="AS33" s="928" t="e">
        <f>AS32/0.00401463</f>
        <v>#DIV/0!</v>
      </c>
      <c r="AT33" s="931" t="s">
        <v>1261</v>
      </c>
    </row>
    <row r="34" spans="1:46" ht="10.5" customHeight="1">
      <c r="A34" s="87" t="str">
        <f>'Flows &amp; Isokinetics'!E34</f>
        <v/>
      </c>
      <c r="B34" s="88" t="str">
        <f>'Flows &amp; Isokinetics'!F34</f>
        <v/>
      </c>
      <c r="C34" s="777" t="str">
        <f>IF(Afterflows!W33="","",Afterflows!W33)</f>
        <v/>
      </c>
      <c r="D34" s="88" t="str">
        <f t="shared" si="18"/>
        <v/>
      </c>
      <c r="E34" s="288" t="str">
        <f>IF(ISNUMBER(C34),IF(ISNUMBER(StackTemp3),StackTemp3,IF(Afterflows!V33="","",Afterflows!V33)),"")</f>
        <v/>
      </c>
      <c r="F34" s="89" t="str">
        <f t="shared" si="0"/>
        <v/>
      </c>
      <c r="G34" s="89" t="str">
        <f t="shared" si="1"/>
        <v/>
      </c>
      <c r="H34" s="89" t="str">
        <f t="shared" si="2"/>
        <v/>
      </c>
      <c r="I34" s="112" t="str">
        <f t="shared" si="3"/>
        <v/>
      </c>
      <c r="J34" s="777" t="str">
        <f>IF(C34="","",Afterflows!G33)</f>
        <v/>
      </c>
      <c r="K34" s="777" t="str">
        <f>IF(E34="","",Afterflows!H33)</f>
        <v/>
      </c>
      <c r="L34" s="110" t="s">
        <v>73</v>
      </c>
      <c r="M34" s="539" t="e">
        <f>AF76</f>
        <v>#DIV/0!</v>
      </c>
      <c r="N34" s="119" t="e">
        <f>AH76</f>
        <v>#DIV/0!</v>
      </c>
      <c r="P34" s="87" t="str">
        <f t="shared" si="4"/>
        <v/>
      </c>
      <c r="Q34" s="2071" t="str">
        <f t="shared" si="20"/>
        <v/>
      </c>
      <c r="R34" s="90" t="str">
        <f t="shared" si="19"/>
        <v/>
      </c>
      <c r="S34" s="90" t="str">
        <f>Velocity(PitotID3,PitotCoeff3,Afterflows!AB33,D34,E34,StackTempAvg3,AbsPress3,MolecularWt)</f>
        <v/>
      </c>
      <c r="T34" s="91" t="str">
        <f t="shared" si="5"/>
        <v/>
      </c>
      <c r="U34" s="91" t="str">
        <f t="shared" si="6"/>
        <v/>
      </c>
      <c r="V34" s="91" t="str">
        <f t="shared" si="7"/>
        <v/>
      </c>
      <c r="W34" s="91" t="str">
        <f>IF(ISNUMBER(V34),$G$5+SUM(V$15:V34)/Mratio3,"")</f>
        <v/>
      </c>
      <c r="X34" s="93" t="str">
        <f t="shared" si="8"/>
        <v/>
      </c>
      <c r="Z34" s="902" t="str">
        <f t="shared" si="9"/>
        <v/>
      </c>
      <c r="AA34" s="90" t="str">
        <f t="shared" si="10"/>
        <v/>
      </c>
      <c r="AB34" s="90" t="str">
        <f t="shared" si="11"/>
        <v/>
      </c>
      <c r="AC34" s="90" t="str">
        <f t="shared" si="12"/>
        <v/>
      </c>
      <c r="AD34" s="90" t="str">
        <f t="shared" si="13"/>
        <v/>
      </c>
      <c r="AE34" s="90" t="str">
        <f t="shared" si="14"/>
        <v/>
      </c>
      <c r="AF34" s="90" t="str">
        <f t="shared" si="15"/>
        <v/>
      </c>
      <c r="AG34" s="90" t="str">
        <f t="shared" si="16"/>
        <v/>
      </c>
      <c r="AH34" s="93" t="str">
        <f t="shared" si="17"/>
        <v/>
      </c>
      <c r="AJ34" s="925"/>
      <c r="AK34" s="923" t="s">
        <v>1252</v>
      </c>
      <c r="AL34" s="919"/>
      <c r="AM34" s="937">
        <f>AbsPress3*0.02953</f>
        <v>0</v>
      </c>
      <c r="AN34" s="919"/>
      <c r="AO34" s="922" t="s">
        <v>1250</v>
      </c>
      <c r="AP34" s="922"/>
      <c r="AQ34" s="920"/>
      <c r="AR34" s="920"/>
      <c r="AS34" s="920"/>
      <c r="AT34" s="921"/>
    </row>
    <row r="35" spans="1:46" ht="10.5" customHeight="1">
      <c r="A35" s="87" t="str">
        <f>'Flows &amp; Isokinetics'!E35</f>
        <v/>
      </c>
      <c r="B35" s="88" t="str">
        <f>'Flows &amp; Isokinetics'!F35</f>
        <v/>
      </c>
      <c r="C35" s="777" t="str">
        <f>IF(Afterflows!W34="","",Afterflows!W34)</f>
        <v/>
      </c>
      <c r="D35" s="88" t="str">
        <f t="shared" si="18"/>
        <v/>
      </c>
      <c r="E35" s="288" t="str">
        <f>IF(ISNUMBER(C35),IF(ISNUMBER(StackTemp3),StackTemp3,IF(Afterflows!V34="","",Afterflows!V34)),"")</f>
        <v/>
      </c>
      <c r="F35" s="89" t="str">
        <f t="shared" si="0"/>
        <v/>
      </c>
      <c r="G35" s="89" t="str">
        <f t="shared" si="1"/>
        <v/>
      </c>
      <c r="H35" s="89" t="str">
        <f t="shared" si="2"/>
        <v/>
      </c>
      <c r="I35" s="112" t="str">
        <f t="shared" si="3"/>
        <v/>
      </c>
      <c r="J35" s="777" t="str">
        <f>IF(C35="","",Afterflows!G34)</f>
        <v/>
      </c>
      <c r="K35" s="777" t="str">
        <f>IF(E35="","",Afterflows!H34)</f>
        <v/>
      </c>
      <c r="L35" s="110" t="s">
        <v>280</v>
      </c>
      <c r="M35" s="96" t="e">
        <f>AR24</f>
        <v>#VALUE!</v>
      </c>
      <c r="N35" s="111" t="e">
        <f>AS24</f>
        <v>#VALUE!</v>
      </c>
      <c r="P35" s="87" t="str">
        <f t="shared" si="4"/>
        <v/>
      </c>
      <c r="Q35" s="2071" t="str">
        <f t="shared" si="20"/>
        <v/>
      </c>
      <c r="R35" s="90" t="str">
        <f t="shared" si="19"/>
        <v/>
      </c>
      <c r="S35" s="90" t="str">
        <f>Velocity(PitotID3,PitotCoeff3,Afterflows!AB34,D35,E35,StackTempAvg3,AbsPress3,MolecularWt)</f>
        <v/>
      </c>
      <c r="T35" s="91" t="str">
        <f t="shared" si="5"/>
        <v/>
      </c>
      <c r="U35" s="91" t="str">
        <f t="shared" si="6"/>
        <v/>
      </c>
      <c r="V35" s="91" t="str">
        <f t="shared" si="7"/>
        <v/>
      </c>
      <c r="W35" s="91" t="str">
        <f>IF(ISNUMBER(V35),$G$5+SUM(V$15:V35)/Mratio3,"")</f>
        <v/>
      </c>
      <c r="X35" s="93" t="str">
        <f t="shared" si="8"/>
        <v/>
      </c>
      <c r="Z35" s="902" t="str">
        <f t="shared" si="9"/>
        <v/>
      </c>
      <c r="AA35" s="90" t="str">
        <f t="shared" si="10"/>
        <v/>
      </c>
      <c r="AB35" s="90" t="str">
        <f t="shared" si="11"/>
        <v/>
      </c>
      <c r="AC35" s="90" t="str">
        <f t="shared" si="12"/>
        <v/>
      </c>
      <c r="AD35" s="90" t="str">
        <f t="shared" si="13"/>
        <v/>
      </c>
      <c r="AE35" s="90" t="str">
        <f t="shared" si="14"/>
        <v/>
      </c>
      <c r="AF35" s="90" t="str">
        <f t="shared" si="15"/>
        <v/>
      </c>
      <c r="AG35" s="90" t="str">
        <f t="shared" si="16"/>
        <v/>
      </c>
      <c r="AH35" s="93" t="str">
        <f t="shared" si="17"/>
        <v/>
      </c>
      <c r="AJ35" s="925"/>
      <c r="AK35" s="923" t="s">
        <v>1252</v>
      </c>
      <c r="AL35" s="919"/>
      <c r="AM35" s="933">
        <f>AbsPress3*0.750062</f>
        <v>0</v>
      </c>
      <c r="AN35" s="919"/>
      <c r="AO35" s="922" t="s">
        <v>1251</v>
      </c>
      <c r="AP35" s="922"/>
      <c r="AQ35" s="920"/>
      <c r="AR35" s="920"/>
      <c r="AS35" s="920"/>
      <c r="AT35" s="921"/>
    </row>
    <row r="36" spans="1:46" ht="10.5" customHeight="1">
      <c r="A36" s="87" t="str">
        <f>'Flows &amp; Isokinetics'!E36</f>
        <v/>
      </c>
      <c r="B36" s="88" t="str">
        <f>'Flows &amp; Isokinetics'!F36</f>
        <v/>
      </c>
      <c r="C36" s="777" t="str">
        <f>IF(Afterflows!W35="","",Afterflows!W35)</f>
        <v/>
      </c>
      <c r="D36" s="88" t="str">
        <f t="shared" si="18"/>
        <v/>
      </c>
      <c r="E36" s="288" t="str">
        <f>IF(ISNUMBER(C36),IF(ISNUMBER(StackTemp3),StackTemp3,IF(Afterflows!V35="","",Afterflows!V35)),"")</f>
        <v/>
      </c>
      <c r="F36" s="89" t="str">
        <f t="shared" si="0"/>
        <v/>
      </c>
      <c r="G36" s="89" t="str">
        <f t="shared" si="1"/>
        <v/>
      </c>
      <c r="H36" s="89" t="str">
        <f t="shared" si="2"/>
        <v/>
      </c>
      <c r="I36" s="112" t="str">
        <f t="shared" si="3"/>
        <v/>
      </c>
      <c r="J36" s="777" t="str">
        <f>IF(C36="","",Afterflows!G35)</f>
        <v/>
      </c>
      <c r="K36" s="777" t="str">
        <f>IF(E36="","",Afterflows!H35)</f>
        <v/>
      </c>
      <c r="L36" s="110" t="s">
        <v>279</v>
      </c>
      <c r="M36" s="174" t="e">
        <f>AR25</f>
        <v>#VALUE!</v>
      </c>
      <c r="N36" s="541" t="e">
        <f>AS25</f>
        <v>#VALUE!</v>
      </c>
      <c r="P36" s="87" t="str">
        <f t="shared" si="4"/>
        <v/>
      </c>
      <c r="Q36" s="2071" t="str">
        <f t="shared" si="20"/>
        <v/>
      </c>
      <c r="R36" s="90" t="str">
        <f t="shared" si="19"/>
        <v/>
      </c>
      <c r="S36" s="90" t="str">
        <f>Velocity(PitotID3,PitotCoeff3,Afterflows!AB35,D36,E36,StackTempAvg3,AbsPress3,MolecularWt)</f>
        <v/>
      </c>
      <c r="T36" s="91" t="str">
        <f t="shared" si="5"/>
        <v/>
      </c>
      <c r="U36" s="91" t="str">
        <f t="shared" si="6"/>
        <v/>
      </c>
      <c r="V36" s="91" t="str">
        <f t="shared" si="7"/>
        <v/>
      </c>
      <c r="W36" s="91" t="str">
        <f>IF(ISNUMBER(V36),$G$5+SUM(V$15:V36)/Mratio3,"")</f>
        <v/>
      </c>
      <c r="X36" s="93" t="str">
        <f t="shared" si="8"/>
        <v/>
      </c>
      <c r="Z36" s="902" t="str">
        <f t="shared" si="9"/>
        <v/>
      </c>
      <c r="AA36" s="90" t="str">
        <f t="shared" si="10"/>
        <v/>
      </c>
      <c r="AB36" s="90" t="str">
        <f t="shared" si="11"/>
        <v/>
      </c>
      <c r="AC36" s="90" t="str">
        <f t="shared" si="12"/>
        <v/>
      </c>
      <c r="AD36" s="90" t="str">
        <f t="shared" si="13"/>
        <v/>
      </c>
      <c r="AE36" s="90" t="str">
        <f t="shared" si="14"/>
        <v/>
      </c>
      <c r="AF36" s="90" t="str">
        <f t="shared" si="15"/>
        <v/>
      </c>
      <c r="AG36" s="90" t="str">
        <f t="shared" si="16"/>
        <v/>
      </c>
      <c r="AH36" s="93" t="str">
        <f t="shared" si="17"/>
        <v/>
      </c>
      <c r="AJ36" s="927"/>
      <c r="AK36" s="922"/>
      <c r="AL36" s="919"/>
      <c r="AM36" s="919"/>
      <c r="AN36" s="919"/>
      <c r="AO36" s="922"/>
      <c r="AP36" s="922"/>
      <c r="AQ36" s="920"/>
      <c r="AR36" s="920"/>
      <c r="AS36" s="920"/>
      <c r="AT36" s="921"/>
    </row>
    <row r="37" spans="1:46" ht="10.5" customHeight="1">
      <c r="A37" s="87" t="str">
        <f>'Flows &amp; Isokinetics'!E37</f>
        <v/>
      </c>
      <c r="B37" s="88" t="str">
        <f>'Flows &amp; Isokinetics'!F37</f>
        <v/>
      </c>
      <c r="C37" s="777" t="str">
        <f>IF(Afterflows!W36="","",Afterflows!W36)</f>
        <v/>
      </c>
      <c r="D37" s="88" t="str">
        <f t="shared" si="18"/>
        <v/>
      </c>
      <c r="E37" s="288" t="str">
        <f>IF(ISNUMBER(C37),IF(ISNUMBER(StackTemp3),StackTemp3,IF(Afterflows!V36="","",Afterflows!V36)),"")</f>
        <v/>
      </c>
      <c r="F37" s="89" t="str">
        <f t="shared" si="0"/>
        <v/>
      </c>
      <c r="G37" s="89" t="str">
        <f t="shared" si="1"/>
        <v/>
      </c>
      <c r="H37" s="89" t="str">
        <f t="shared" si="2"/>
        <v/>
      </c>
      <c r="I37" s="112" t="str">
        <f t="shared" si="3"/>
        <v/>
      </c>
      <c r="J37" s="777" t="str">
        <f>IF(C37="","",Afterflows!G36)</f>
        <v/>
      </c>
      <c r="K37" s="777" t="str">
        <f>IF(E37="","",Afterflows!H36)</f>
        <v/>
      </c>
      <c r="L37" s="110"/>
      <c r="M37" s="97"/>
      <c r="N37" s="114"/>
      <c r="P37" s="87" t="str">
        <f t="shared" si="4"/>
        <v/>
      </c>
      <c r="Q37" s="2071" t="str">
        <f t="shared" si="20"/>
        <v/>
      </c>
      <c r="R37" s="90" t="str">
        <f t="shared" si="19"/>
        <v/>
      </c>
      <c r="S37" s="90" t="str">
        <f>Velocity(PitotID3,PitotCoeff3,Afterflows!AB36,D37,E37,StackTempAvg3,AbsPress3,MolecularWt)</f>
        <v/>
      </c>
      <c r="T37" s="91" t="str">
        <f t="shared" si="5"/>
        <v/>
      </c>
      <c r="U37" s="91" t="str">
        <f t="shared" si="6"/>
        <v/>
      </c>
      <c r="V37" s="91" t="str">
        <f t="shared" si="7"/>
        <v/>
      </c>
      <c r="W37" s="91" t="str">
        <f>IF(ISNUMBER(V37),$G$5+SUM(V$15:V37)/Mratio3,"")</f>
        <v/>
      </c>
      <c r="X37" s="93" t="str">
        <f t="shared" si="8"/>
        <v/>
      </c>
      <c r="Z37" s="902" t="str">
        <f t="shared" si="9"/>
        <v/>
      </c>
      <c r="AA37" s="90" t="str">
        <f t="shared" si="10"/>
        <v/>
      </c>
      <c r="AB37" s="90" t="str">
        <f t="shared" si="11"/>
        <v/>
      </c>
      <c r="AC37" s="90" t="str">
        <f t="shared" si="12"/>
        <v/>
      </c>
      <c r="AD37" s="90" t="str">
        <f t="shared" si="13"/>
        <v/>
      </c>
      <c r="AE37" s="90" t="str">
        <f t="shared" si="14"/>
        <v/>
      </c>
      <c r="AF37" s="90" t="str">
        <f t="shared" si="15"/>
        <v/>
      </c>
      <c r="AG37" s="90" t="str">
        <f t="shared" si="16"/>
        <v/>
      </c>
      <c r="AH37" s="93" t="str">
        <f t="shared" si="17"/>
        <v/>
      </c>
      <c r="AJ37" s="925"/>
      <c r="AK37" s="923" t="s">
        <v>1475</v>
      </c>
      <c r="AL37" s="919">
        <f>VolumePreMeter3</f>
        <v>0</v>
      </c>
      <c r="AM37" s="919" t="e">
        <f>VolumeMeter3</f>
        <v>#N/A</v>
      </c>
      <c r="AN37" s="919"/>
      <c r="AO37" s="922" t="s">
        <v>1266</v>
      </c>
      <c r="AP37" s="922"/>
      <c r="AQ37" s="920"/>
      <c r="AR37" s="920"/>
      <c r="AS37" s="920"/>
      <c r="AT37" s="921"/>
    </row>
    <row r="38" spans="1:46" ht="10.5" customHeight="1">
      <c r="A38" s="87" t="str">
        <f>'Flows &amp; Isokinetics'!E38</f>
        <v/>
      </c>
      <c r="B38" s="88" t="str">
        <f>'Flows &amp; Isokinetics'!F38</f>
        <v/>
      </c>
      <c r="C38" s="777" t="str">
        <f>IF(Afterflows!W37="","",Afterflows!W37)</f>
        <v/>
      </c>
      <c r="D38" s="88" t="str">
        <f t="shared" si="18"/>
        <v/>
      </c>
      <c r="E38" s="288" t="str">
        <f>IF(ISNUMBER(C38),IF(ISNUMBER(StackTemp3),StackTemp3,IF(Afterflows!V37="","",Afterflows!V37)),"")</f>
        <v/>
      </c>
      <c r="F38" s="89" t="str">
        <f t="shared" si="0"/>
        <v/>
      </c>
      <c r="G38" s="89" t="str">
        <f t="shared" si="1"/>
        <v/>
      </c>
      <c r="H38" s="89" t="str">
        <f t="shared" si="2"/>
        <v/>
      </c>
      <c r="I38" s="112" t="str">
        <f t="shared" si="3"/>
        <v/>
      </c>
      <c r="J38" s="777" t="str">
        <f>IF(C38="","",Afterflows!G37)</f>
        <v/>
      </c>
      <c r="K38" s="777" t="str">
        <f>IF(E38="","",Afterflows!H37)</f>
        <v/>
      </c>
      <c r="L38" s="110"/>
      <c r="M38" s="97"/>
      <c r="N38" s="114"/>
      <c r="P38" s="87" t="str">
        <f t="shared" si="4"/>
        <v/>
      </c>
      <c r="Q38" s="2071" t="str">
        <f t="shared" si="20"/>
        <v/>
      </c>
      <c r="R38" s="90" t="str">
        <f t="shared" si="19"/>
        <v/>
      </c>
      <c r="S38" s="90" t="str">
        <f>Velocity(PitotID3,PitotCoeff3,Afterflows!AB37,D38,E38,StackTempAvg3,AbsPress3,MolecularWt)</f>
        <v/>
      </c>
      <c r="T38" s="91" t="str">
        <f t="shared" si="5"/>
        <v/>
      </c>
      <c r="U38" s="91" t="str">
        <f t="shared" si="6"/>
        <v/>
      </c>
      <c r="V38" s="91" t="str">
        <f t="shared" si="7"/>
        <v/>
      </c>
      <c r="W38" s="91" t="str">
        <f>IF(ISNUMBER(V38),$G$5+SUM(V$15:V38)/Mratio3,"")</f>
        <v/>
      </c>
      <c r="X38" s="93" t="str">
        <f t="shared" si="8"/>
        <v/>
      </c>
      <c r="Z38" s="902" t="str">
        <f t="shared" si="9"/>
        <v/>
      </c>
      <c r="AA38" s="90" t="str">
        <f t="shared" si="10"/>
        <v/>
      </c>
      <c r="AB38" s="90" t="str">
        <f t="shared" si="11"/>
        <v/>
      </c>
      <c r="AC38" s="90" t="str">
        <f t="shared" si="12"/>
        <v/>
      </c>
      <c r="AD38" s="90" t="str">
        <f t="shared" si="13"/>
        <v/>
      </c>
      <c r="AE38" s="90" t="str">
        <f t="shared" si="14"/>
        <v/>
      </c>
      <c r="AF38" s="90" t="str">
        <f t="shared" si="15"/>
        <v/>
      </c>
      <c r="AG38" s="90" t="str">
        <f t="shared" si="16"/>
        <v/>
      </c>
      <c r="AH38" s="93" t="str">
        <f t="shared" si="17"/>
        <v/>
      </c>
      <c r="AJ38" s="925"/>
      <c r="AK38" s="923" t="s">
        <v>0</v>
      </c>
      <c r="AL38" s="919" t="e">
        <f>AL37*(StackTempAvg3+273.15)/(MeterTempAvg3+273.15)*(BaroPress3+MeterPress3*10)/AbsPress3*(1/(1-Bws))</f>
        <v>#DIV/0!</v>
      </c>
      <c r="AM38" s="919" t="e">
        <f>AM37*(AM52+273.15)/(MeterTempAvg3+273.15)*(AverageBaroPress3+MeterPress3*10)/AverageAbsPress3*(1/(1-Bws))</f>
        <v>#N/A</v>
      </c>
      <c r="AN38" s="919"/>
      <c r="AO38" s="922" t="s">
        <v>1266</v>
      </c>
      <c r="AP38" s="922"/>
      <c r="AQ38" s="920"/>
      <c r="AR38" s="920"/>
      <c r="AS38" s="920"/>
      <c r="AT38" s="921"/>
    </row>
    <row r="39" spans="1:46" ht="10.5" hidden="1" customHeight="1" outlineLevel="1">
      <c r="A39" s="87" t="str">
        <f>'Flows &amp; Isokinetics'!E39</f>
        <v/>
      </c>
      <c r="B39" s="88" t="str">
        <f>'Flows &amp; Isokinetics'!F39</f>
        <v/>
      </c>
      <c r="C39" s="777" t="str">
        <f>IF(Afterflows!W38="","",Afterflows!W38)</f>
        <v/>
      </c>
      <c r="D39" s="88" t="str">
        <f t="shared" si="18"/>
        <v/>
      </c>
      <c r="E39" s="288" t="str">
        <f>IF(ISNUMBER(C39),IF(ISNUMBER(StackTemp3),StackTemp3,IF(Afterflows!V38="","",Afterflows!V38)),"")</f>
        <v/>
      </c>
      <c r="F39" s="89" t="str">
        <f t="shared" si="0"/>
        <v/>
      </c>
      <c r="G39" s="89" t="str">
        <f t="shared" si="1"/>
        <v/>
      </c>
      <c r="H39" s="89" t="str">
        <f t="shared" si="2"/>
        <v/>
      </c>
      <c r="I39" s="112" t="str">
        <f t="shared" si="3"/>
        <v/>
      </c>
      <c r="J39" s="777" t="str">
        <f>IF(C39="","",Afterflows!G38)</f>
        <v/>
      </c>
      <c r="K39" s="777" t="str">
        <f>IF(E39="","",Afterflows!H38)</f>
        <v/>
      </c>
      <c r="L39" s="110"/>
      <c r="M39" s="97"/>
      <c r="N39" s="114"/>
      <c r="P39" s="87" t="str">
        <f t="shared" si="4"/>
        <v/>
      </c>
      <c r="Q39" s="2071" t="str">
        <f t="shared" si="20"/>
        <v/>
      </c>
      <c r="R39" s="90" t="str">
        <f t="shared" si="19"/>
        <v/>
      </c>
      <c r="S39" s="90" t="str">
        <f>Velocity(PitotID3,PitotCoeff3,Afterflows!AB38,D39,E39,StackTempAvg3,AbsPress3,MolecularWt)</f>
        <v/>
      </c>
      <c r="T39" s="91" t="str">
        <f t="shared" si="5"/>
        <v/>
      </c>
      <c r="U39" s="91" t="str">
        <f t="shared" si="6"/>
        <v/>
      </c>
      <c r="V39" s="91" t="str">
        <f t="shared" si="7"/>
        <v/>
      </c>
      <c r="W39" s="91" t="str">
        <f>IF(ISNUMBER(V39),$G$5+SUM(V$15:V39)/Mratio3,"")</f>
        <v/>
      </c>
      <c r="X39" s="93" t="str">
        <f t="shared" si="8"/>
        <v/>
      </c>
      <c r="Z39" s="902" t="str">
        <f t="shared" si="9"/>
        <v/>
      </c>
      <c r="AA39" s="90" t="str">
        <f t="shared" ref="AA39:AA71" si="21">IF(ISNUMBER(S39),SQRT(QsLmin3*4*10^6/(PBVF2*S39*PI()*60*1000)),"")</f>
        <v/>
      </c>
      <c r="AB39" s="90" t="str">
        <f t="shared" si="11"/>
        <v/>
      </c>
      <c r="AC39" s="90" t="str">
        <f t="shared" ref="AC39:AC71" si="22">IF(ISNUMBER(AA39),QsLmin3*1000/60/(PI()*AA39^2/4),"")</f>
        <v/>
      </c>
      <c r="AD39" s="90" t="str">
        <f t="shared" ref="AD39:AD71" si="23">IF(AB39="","",$AL$41*1000/60/(PI()*AB39^2/4))</f>
        <v/>
      </c>
      <c r="AE39" s="90" t="str">
        <f t="shared" ref="AE39:AE71" si="24">IF(ISNUMBER(AB39),$AM$41*1000/60/(PI()*AB39^2/4),"")</f>
        <v/>
      </c>
      <c r="AF39" s="90" t="str">
        <f t="shared" si="15"/>
        <v/>
      </c>
      <c r="AG39" s="90" t="str">
        <f t="shared" si="16"/>
        <v/>
      </c>
      <c r="AH39" s="93" t="str">
        <f t="shared" si="17"/>
        <v/>
      </c>
      <c r="AJ39" s="925"/>
      <c r="AK39" s="922"/>
      <c r="AL39" s="919"/>
      <c r="AM39" s="917"/>
      <c r="AN39" s="919"/>
      <c r="AO39" s="917"/>
      <c r="AP39" s="922"/>
      <c r="AQ39" s="920"/>
      <c r="AR39" s="920"/>
      <c r="AS39" s="920"/>
      <c r="AT39" s="921"/>
    </row>
    <row r="40" spans="1:46" ht="10.5" hidden="1" customHeight="1" outlineLevel="1">
      <c r="A40" s="87" t="str">
        <f>'Flows &amp; Isokinetics'!E40</f>
        <v/>
      </c>
      <c r="B40" s="88" t="str">
        <f>'Flows &amp; Isokinetics'!F40</f>
        <v/>
      </c>
      <c r="C40" s="777" t="str">
        <f>IF(Afterflows!W39="","",Afterflows!W39)</f>
        <v/>
      </c>
      <c r="D40" s="88" t="str">
        <f t="shared" si="18"/>
        <v/>
      </c>
      <c r="E40" s="288" t="str">
        <f>IF(ISNUMBER(C40),IF(ISNUMBER(StackTemp3),StackTemp3,IF(Afterflows!V39="","",Afterflows!V39)),"")</f>
        <v/>
      </c>
      <c r="F40" s="89" t="str">
        <f t="shared" si="0"/>
        <v/>
      </c>
      <c r="G40" s="89" t="str">
        <f t="shared" si="1"/>
        <v/>
      </c>
      <c r="H40" s="89" t="str">
        <f t="shared" si="2"/>
        <v/>
      </c>
      <c r="I40" s="112" t="str">
        <f t="shared" si="3"/>
        <v/>
      </c>
      <c r="J40" s="777" t="str">
        <f>IF(C40="","",Afterflows!G39)</f>
        <v/>
      </c>
      <c r="K40" s="777" t="str">
        <f>IF(E40="","",Afterflows!H39)</f>
        <v/>
      </c>
      <c r="L40" s="110"/>
      <c r="M40" s="97"/>
      <c r="N40" s="114"/>
      <c r="P40" s="87" t="str">
        <f t="shared" si="4"/>
        <v/>
      </c>
      <c r="Q40" s="2071" t="str">
        <f t="shared" si="20"/>
        <v/>
      </c>
      <c r="R40" s="90" t="str">
        <f t="shared" si="19"/>
        <v/>
      </c>
      <c r="S40" s="90" t="str">
        <f>Velocity(PitotID3,PitotCoeff3,Afterflows!AB39,D40,E40,StackTempAvg3,AbsPress3,MolecularWt)</f>
        <v/>
      </c>
      <c r="T40" s="91" t="str">
        <f t="shared" si="5"/>
        <v/>
      </c>
      <c r="U40" s="91" t="str">
        <f t="shared" si="6"/>
        <v/>
      </c>
      <c r="V40" s="91" t="str">
        <f t="shared" si="7"/>
        <v/>
      </c>
      <c r="W40" s="91" t="str">
        <f>IF(ISNUMBER(V40),$G$5+SUM(V$15:V40)/Mratio3,"")</f>
        <v/>
      </c>
      <c r="X40" s="93" t="str">
        <f t="shared" si="8"/>
        <v/>
      </c>
      <c r="Z40" s="902" t="str">
        <f t="shared" si="9"/>
        <v/>
      </c>
      <c r="AA40" s="90" t="str">
        <f t="shared" si="21"/>
        <v/>
      </c>
      <c r="AB40" s="90" t="str">
        <f t="shared" si="11"/>
        <v/>
      </c>
      <c r="AC40" s="90" t="str">
        <f t="shared" si="22"/>
        <v/>
      </c>
      <c r="AD40" s="90" t="str">
        <f t="shared" si="23"/>
        <v/>
      </c>
      <c r="AE40" s="90" t="str">
        <f t="shared" si="24"/>
        <v/>
      </c>
      <c r="AF40" s="90" t="str">
        <f t="shared" si="15"/>
        <v/>
      </c>
      <c r="AG40" s="90" t="str">
        <f t="shared" si="16"/>
        <v/>
      </c>
      <c r="AH40" s="93" t="str">
        <f t="shared" si="17"/>
        <v/>
      </c>
      <c r="AJ40" s="925"/>
      <c r="AK40" s="923" t="s">
        <v>499</v>
      </c>
      <c r="AL40" s="919">
        <f>TotalTime3</f>
        <v>0</v>
      </c>
      <c r="AM40" s="919">
        <f>TotalTime3</f>
        <v>0</v>
      </c>
      <c r="AN40" s="919"/>
      <c r="AO40" s="922" t="s">
        <v>1203</v>
      </c>
      <c r="AP40" s="922"/>
      <c r="AQ40" s="920"/>
      <c r="AR40" s="920"/>
      <c r="AS40" s="920"/>
      <c r="AT40" s="921"/>
    </row>
    <row r="41" spans="1:46" ht="10.5" hidden="1" customHeight="1" outlineLevel="1">
      <c r="A41" s="87" t="str">
        <f>'Flows &amp; Isokinetics'!E41</f>
        <v/>
      </c>
      <c r="B41" s="88" t="str">
        <f>'Flows &amp; Isokinetics'!F41</f>
        <v/>
      </c>
      <c r="C41" s="777" t="str">
        <f>IF(Afterflows!W40="","",Afterflows!W40)</f>
        <v/>
      </c>
      <c r="D41" s="88" t="str">
        <f t="shared" si="18"/>
        <v/>
      </c>
      <c r="E41" s="288" t="str">
        <f>IF(ISNUMBER(C41),IF(ISNUMBER(StackTemp3),StackTemp3,IF(Afterflows!V40="","",Afterflows!V40)),"")</f>
        <v/>
      </c>
      <c r="F41" s="89" t="str">
        <f t="shared" si="0"/>
        <v/>
      </c>
      <c r="G41" s="89" t="str">
        <f t="shared" si="1"/>
        <v/>
      </c>
      <c r="H41" s="89" t="str">
        <f t="shared" si="2"/>
        <v/>
      </c>
      <c r="I41" s="112" t="str">
        <f t="shared" si="3"/>
        <v/>
      </c>
      <c r="J41" s="777" t="str">
        <f>IF(C41="","",Afterflows!G40)</f>
        <v/>
      </c>
      <c r="K41" s="777" t="str">
        <f>IF(E41="","",Afterflows!H40)</f>
        <v/>
      </c>
      <c r="L41" s="110"/>
      <c r="M41" s="97"/>
      <c r="N41" s="114"/>
      <c r="P41" s="87" t="str">
        <f t="shared" si="4"/>
        <v/>
      </c>
      <c r="Q41" s="2071" t="str">
        <f t="shared" si="20"/>
        <v/>
      </c>
      <c r="R41" s="90" t="str">
        <f t="shared" si="19"/>
        <v/>
      </c>
      <c r="S41" s="90" t="str">
        <f>Velocity(PitotID3,PitotCoeff3,Afterflows!AB40,D41,E41,StackTempAvg3,AbsPress3,MolecularWt)</f>
        <v/>
      </c>
      <c r="T41" s="91" t="str">
        <f t="shared" si="5"/>
        <v/>
      </c>
      <c r="U41" s="91" t="str">
        <f t="shared" si="6"/>
        <v/>
      </c>
      <c r="V41" s="91" t="str">
        <f t="shared" si="7"/>
        <v/>
      </c>
      <c r="W41" s="91" t="str">
        <f>IF(ISNUMBER(V41),$G$5+SUM(V$15:V41)/Mratio3,"")</f>
        <v/>
      </c>
      <c r="X41" s="93" t="str">
        <f t="shared" si="8"/>
        <v/>
      </c>
      <c r="Z41" s="902" t="str">
        <f t="shared" si="9"/>
        <v/>
      </c>
      <c r="AA41" s="90" t="str">
        <f t="shared" si="21"/>
        <v/>
      </c>
      <c r="AB41" s="90" t="str">
        <f t="shared" si="11"/>
        <v/>
      </c>
      <c r="AC41" s="90" t="str">
        <f t="shared" si="22"/>
        <v/>
      </c>
      <c r="AD41" s="90" t="str">
        <f t="shared" si="23"/>
        <v/>
      </c>
      <c r="AE41" s="90" t="str">
        <f t="shared" si="24"/>
        <v/>
      </c>
      <c r="AF41" s="90" t="str">
        <f t="shared" si="15"/>
        <v/>
      </c>
      <c r="AG41" s="90" t="str">
        <f t="shared" si="16"/>
        <v/>
      </c>
      <c r="AH41" s="93" t="str">
        <f t="shared" si="17"/>
        <v/>
      </c>
      <c r="AJ41" s="925"/>
      <c r="AK41" s="923" t="s">
        <v>500</v>
      </c>
      <c r="AL41" s="919" t="e">
        <f>AL38/AL40</f>
        <v>#DIV/0!</v>
      </c>
      <c r="AM41" s="919" t="e">
        <f>AM38/AM40</f>
        <v>#N/A</v>
      </c>
      <c r="AN41" s="919"/>
      <c r="AO41" s="922" t="s">
        <v>1265</v>
      </c>
      <c r="AP41" s="922"/>
      <c r="AQ41" s="920"/>
      <c r="AR41" s="920"/>
      <c r="AS41" s="920"/>
      <c r="AT41" s="921"/>
    </row>
    <row r="42" spans="1:46" ht="10.5" hidden="1" customHeight="1" outlineLevel="1">
      <c r="A42" s="87" t="str">
        <f>'Flows &amp; Isokinetics'!E42</f>
        <v/>
      </c>
      <c r="B42" s="88" t="str">
        <f>'Flows &amp; Isokinetics'!F42</f>
        <v/>
      </c>
      <c r="C42" s="777" t="str">
        <f>IF(Afterflows!W41="","",Afterflows!W41)</f>
        <v/>
      </c>
      <c r="D42" s="88" t="str">
        <f t="shared" si="18"/>
        <v/>
      </c>
      <c r="E42" s="288" t="str">
        <f>IF(ISNUMBER(C42),IF(ISNUMBER(StackTemp3),StackTemp3,IF(Afterflows!V41="","",Afterflows!V41)),"")</f>
        <v/>
      </c>
      <c r="F42" s="89" t="str">
        <f t="shared" si="0"/>
        <v/>
      </c>
      <c r="G42" s="89" t="str">
        <f t="shared" si="1"/>
        <v/>
      </c>
      <c r="H42" s="89" t="str">
        <f t="shared" si="2"/>
        <v/>
      </c>
      <c r="I42" s="112" t="str">
        <f t="shared" si="3"/>
        <v/>
      </c>
      <c r="J42" s="777" t="str">
        <f>IF(C42="","",Afterflows!G41)</f>
        <v/>
      </c>
      <c r="K42" s="777" t="str">
        <f>IF(E42="","",Afterflows!H41)</f>
        <v/>
      </c>
      <c r="L42" s="110"/>
      <c r="M42" s="97"/>
      <c r="N42" s="114"/>
      <c r="P42" s="87" t="str">
        <f t="shared" si="4"/>
        <v/>
      </c>
      <c r="Q42" s="2071" t="str">
        <f t="shared" si="20"/>
        <v/>
      </c>
      <c r="R42" s="90" t="str">
        <f t="shared" si="19"/>
        <v/>
      </c>
      <c r="S42" s="90" t="str">
        <f>Velocity(PitotID3,PitotCoeff3,Afterflows!AB41,D42,E42,StackTempAvg3,AbsPress3,MolecularWt)</f>
        <v/>
      </c>
      <c r="T42" s="91" t="str">
        <f t="shared" si="5"/>
        <v/>
      </c>
      <c r="U42" s="91" t="str">
        <f t="shared" si="6"/>
        <v/>
      </c>
      <c r="V42" s="91" t="str">
        <f t="shared" si="7"/>
        <v/>
      </c>
      <c r="W42" s="91" t="str">
        <f>IF(ISNUMBER(V42),$G$5+SUM(V$15:V42)/Mratio3,"")</f>
        <v/>
      </c>
      <c r="X42" s="93" t="str">
        <f t="shared" si="8"/>
        <v/>
      </c>
      <c r="Z42" s="902" t="str">
        <f t="shared" si="9"/>
        <v/>
      </c>
      <c r="AA42" s="90" t="str">
        <f t="shared" si="21"/>
        <v/>
      </c>
      <c r="AB42" s="90" t="str">
        <f t="shared" si="11"/>
        <v/>
      </c>
      <c r="AC42" s="90" t="str">
        <f t="shared" si="22"/>
        <v/>
      </c>
      <c r="AD42" s="90" t="str">
        <f t="shared" si="23"/>
        <v/>
      </c>
      <c r="AE42" s="90" t="str">
        <f t="shared" si="24"/>
        <v/>
      </c>
      <c r="AF42" s="90" t="str">
        <f t="shared" si="15"/>
        <v/>
      </c>
      <c r="AG42" s="90" t="str">
        <f t="shared" si="16"/>
        <v/>
      </c>
      <c r="AH42" s="93" t="str">
        <f t="shared" si="17"/>
        <v/>
      </c>
      <c r="AJ42" s="925"/>
      <c r="AK42" s="923" t="s">
        <v>500</v>
      </c>
      <c r="AL42" s="919" t="e">
        <f>AL41/1000</f>
        <v>#DIV/0!</v>
      </c>
      <c r="AM42" s="919" t="e">
        <f>AM41/1000</f>
        <v>#N/A</v>
      </c>
      <c r="AN42" s="919"/>
      <c r="AO42" s="922" t="s">
        <v>1264</v>
      </c>
      <c r="AP42" s="922"/>
      <c r="AQ42" s="917"/>
      <c r="AR42" s="917"/>
      <c r="AS42" s="917"/>
      <c r="AT42" s="931"/>
    </row>
    <row r="43" spans="1:46" ht="10.5" hidden="1" customHeight="1" outlineLevel="1">
      <c r="A43" s="87" t="str">
        <f>'Flows &amp; Isokinetics'!E43</f>
        <v/>
      </c>
      <c r="B43" s="88" t="str">
        <f>'Flows &amp; Isokinetics'!F43</f>
        <v/>
      </c>
      <c r="C43" s="777" t="str">
        <f>IF(Afterflows!W42="","",Afterflows!W42)</f>
        <v/>
      </c>
      <c r="D43" s="88" t="str">
        <f t="shared" si="18"/>
        <v/>
      </c>
      <c r="E43" s="288" t="str">
        <f>IF(ISNUMBER(C43),IF(ISNUMBER(StackTemp3),StackTemp3,IF(Afterflows!V42="","",Afterflows!V42)),"")</f>
        <v/>
      </c>
      <c r="F43" s="89" t="str">
        <f t="shared" si="0"/>
        <v/>
      </c>
      <c r="G43" s="89" t="str">
        <f t="shared" si="1"/>
        <v/>
      </c>
      <c r="H43" s="89" t="str">
        <f t="shared" si="2"/>
        <v/>
      </c>
      <c r="I43" s="112" t="str">
        <f t="shared" si="3"/>
        <v/>
      </c>
      <c r="J43" s="777" t="str">
        <f>IF(C43="","",Afterflows!G42)</f>
        <v/>
      </c>
      <c r="K43" s="777" t="str">
        <f>IF(E43="","",Afterflows!H42)</f>
        <v/>
      </c>
      <c r="L43" s="110"/>
      <c r="M43" s="97"/>
      <c r="N43" s="114"/>
      <c r="P43" s="87" t="str">
        <f t="shared" si="4"/>
        <v/>
      </c>
      <c r="Q43" s="2071" t="str">
        <f t="shared" si="20"/>
        <v/>
      </c>
      <c r="R43" s="90" t="str">
        <f t="shared" si="19"/>
        <v/>
      </c>
      <c r="S43" s="90" t="str">
        <f>Velocity(PitotID3,PitotCoeff3,Afterflows!AB42,D43,E43,StackTempAvg3,AbsPress3,MolecularWt)</f>
        <v/>
      </c>
      <c r="T43" s="91" t="str">
        <f t="shared" si="5"/>
        <v/>
      </c>
      <c r="U43" s="91" t="str">
        <f t="shared" si="6"/>
        <v/>
      </c>
      <c r="V43" s="91" t="str">
        <f t="shared" si="7"/>
        <v/>
      </c>
      <c r="W43" s="91" t="str">
        <f>IF(ISNUMBER(V43),$G$5+SUM(V$15:V43)/Mratio3,"")</f>
        <v/>
      </c>
      <c r="X43" s="93" t="str">
        <f t="shared" si="8"/>
        <v/>
      </c>
      <c r="Z43" s="902" t="str">
        <f t="shared" si="9"/>
        <v/>
      </c>
      <c r="AA43" s="90" t="str">
        <f t="shared" si="21"/>
        <v/>
      </c>
      <c r="AB43" s="90" t="str">
        <f t="shared" si="11"/>
        <v/>
      </c>
      <c r="AC43" s="90" t="str">
        <f t="shared" si="22"/>
        <v/>
      </c>
      <c r="AD43" s="90" t="str">
        <f t="shared" si="23"/>
        <v/>
      </c>
      <c r="AE43" s="90" t="str">
        <f t="shared" si="24"/>
        <v/>
      </c>
      <c r="AF43" s="90" t="str">
        <f t="shared" si="15"/>
        <v/>
      </c>
      <c r="AG43" s="90" t="str">
        <f t="shared" si="16"/>
        <v/>
      </c>
      <c r="AH43" s="93" t="str">
        <f t="shared" si="17"/>
        <v/>
      </c>
      <c r="AJ43" s="925"/>
      <c r="AK43" s="923" t="s">
        <v>500</v>
      </c>
      <c r="AL43" s="938" t="e">
        <f>AL41/28.32</f>
        <v>#DIV/0!</v>
      </c>
      <c r="AM43" s="938" t="e">
        <f>AM41/28.32</f>
        <v>#N/A</v>
      </c>
      <c r="AN43" s="919"/>
      <c r="AO43" s="922" t="s">
        <v>1246</v>
      </c>
      <c r="AP43" s="922"/>
      <c r="AQ43" s="917"/>
      <c r="AR43" s="917"/>
      <c r="AS43" s="917"/>
      <c r="AT43" s="931"/>
    </row>
    <row r="44" spans="1:46" ht="10.5" hidden="1" customHeight="1" outlineLevel="1">
      <c r="A44" s="87" t="str">
        <f>'Flows &amp; Isokinetics'!E44</f>
        <v/>
      </c>
      <c r="B44" s="88" t="str">
        <f>'Flows &amp; Isokinetics'!F44</f>
        <v/>
      </c>
      <c r="C44" s="777" t="str">
        <f>IF(Afterflows!W43="","",Afterflows!W43)</f>
        <v/>
      </c>
      <c r="D44" s="88" t="str">
        <f t="shared" si="18"/>
        <v/>
      </c>
      <c r="E44" s="288" t="str">
        <f>IF(ISNUMBER(C44),IF(ISNUMBER(StackTemp3),StackTemp3,IF(Afterflows!V43="","",Afterflows!V43)),"")</f>
        <v/>
      </c>
      <c r="F44" s="89" t="str">
        <f t="shared" si="0"/>
        <v/>
      </c>
      <c r="G44" s="89" t="str">
        <f t="shared" si="1"/>
        <v/>
      </c>
      <c r="H44" s="89" t="str">
        <f t="shared" si="2"/>
        <v/>
      </c>
      <c r="I44" s="112" t="str">
        <f t="shared" si="3"/>
        <v/>
      </c>
      <c r="J44" s="777" t="str">
        <f>IF(C44="","",Afterflows!G43)</f>
        <v/>
      </c>
      <c r="K44" s="777" t="str">
        <f>IF(E44="","",Afterflows!H43)</f>
        <v/>
      </c>
      <c r="L44" s="110"/>
      <c r="M44" s="97"/>
      <c r="N44" s="114"/>
      <c r="P44" s="87" t="str">
        <f t="shared" si="4"/>
        <v/>
      </c>
      <c r="Q44" s="2071" t="str">
        <f t="shared" si="20"/>
        <v/>
      </c>
      <c r="R44" s="90" t="str">
        <f t="shared" si="19"/>
        <v/>
      </c>
      <c r="S44" s="90" t="str">
        <f>Velocity(PitotID3,PitotCoeff3,Afterflows!AB43,D44,E44,StackTempAvg3,AbsPress3,MolecularWt)</f>
        <v/>
      </c>
      <c r="T44" s="91" t="str">
        <f t="shared" si="5"/>
        <v/>
      </c>
      <c r="U44" s="91" t="str">
        <f t="shared" si="6"/>
        <v/>
      </c>
      <c r="V44" s="91" t="str">
        <f t="shared" si="7"/>
        <v/>
      </c>
      <c r="W44" s="91" t="str">
        <f>IF(ISNUMBER(V44),$G$5+SUM(V$15:V44)/Mratio3,"")</f>
        <v/>
      </c>
      <c r="X44" s="93" t="str">
        <f t="shared" si="8"/>
        <v/>
      </c>
      <c r="Z44" s="902" t="str">
        <f t="shared" si="9"/>
        <v/>
      </c>
      <c r="AA44" s="90" t="str">
        <f t="shared" si="21"/>
        <v/>
      </c>
      <c r="AB44" s="90" t="str">
        <f t="shared" si="11"/>
        <v/>
      </c>
      <c r="AC44" s="90" t="str">
        <f t="shared" si="22"/>
        <v/>
      </c>
      <c r="AD44" s="90" t="str">
        <f t="shared" si="23"/>
        <v/>
      </c>
      <c r="AE44" s="90" t="str">
        <f t="shared" si="24"/>
        <v/>
      </c>
      <c r="AF44" s="90" t="str">
        <f t="shared" si="15"/>
        <v/>
      </c>
      <c r="AG44" s="90" t="str">
        <f t="shared" si="16"/>
        <v/>
      </c>
      <c r="AH44" s="93" t="str">
        <f t="shared" si="17"/>
        <v/>
      </c>
      <c r="AJ44" s="925"/>
      <c r="AK44" s="922"/>
      <c r="AL44" s="922"/>
      <c r="AM44" s="922"/>
      <c r="AN44" s="922"/>
      <c r="AO44" s="922"/>
      <c r="AP44" s="920"/>
      <c r="AQ44" s="920"/>
      <c r="AR44" s="920"/>
      <c r="AS44" s="920"/>
      <c r="AT44" s="921"/>
    </row>
    <row r="45" spans="1:46" ht="10.5" hidden="1" customHeight="1" outlineLevel="1">
      <c r="A45" s="87" t="str">
        <f>'Flows &amp; Isokinetics'!E45</f>
        <v/>
      </c>
      <c r="B45" s="88" t="str">
        <f>'Flows &amp; Isokinetics'!F45</f>
        <v/>
      </c>
      <c r="C45" s="777" t="str">
        <f>IF(Afterflows!W44="","",Afterflows!W44)</f>
        <v/>
      </c>
      <c r="D45" s="88" t="str">
        <f t="shared" si="18"/>
        <v/>
      </c>
      <c r="E45" s="288" t="str">
        <f>IF(ISNUMBER(C45),IF(ISNUMBER(StackTemp3),StackTemp3,IF(Afterflows!V44="","",Afterflows!V44)),"")</f>
        <v/>
      </c>
      <c r="F45" s="89" t="str">
        <f t="shared" si="0"/>
        <v/>
      </c>
      <c r="G45" s="89" t="str">
        <f t="shared" si="1"/>
        <v/>
      </c>
      <c r="H45" s="89" t="str">
        <f t="shared" si="2"/>
        <v/>
      </c>
      <c r="I45" s="112" t="str">
        <f t="shared" si="3"/>
        <v/>
      </c>
      <c r="J45" s="777" t="str">
        <f>IF(C45="","",Afterflows!G44)</f>
        <v/>
      </c>
      <c r="K45" s="777" t="str">
        <f>IF(E45="","",Afterflows!H44)</f>
        <v/>
      </c>
      <c r="L45" s="110"/>
      <c r="M45" s="97"/>
      <c r="N45" s="114"/>
      <c r="P45" s="87" t="str">
        <f t="shared" si="4"/>
        <v/>
      </c>
      <c r="Q45" s="2071" t="str">
        <f t="shared" si="20"/>
        <v/>
      </c>
      <c r="R45" s="90" t="str">
        <f t="shared" si="19"/>
        <v/>
      </c>
      <c r="S45" s="90" t="str">
        <f>Velocity(PitotID3,PitotCoeff3,Afterflows!AB44,D45,E45,StackTempAvg3,AbsPress3,MolecularWt)</f>
        <v/>
      </c>
      <c r="T45" s="91" t="str">
        <f t="shared" si="5"/>
        <v/>
      </c>
      <c r="U45" s="91" t="str">
        <f t="shared" si="6"/>
        <v/>
      </c>
      <c r="V45" s="91" t="str">
        <f t="shared" si="7"/>
        <v/>
      </c>
      <c r="W45" s="91" t="str">
        <f>IF(ISNUMBER(V45),$G$5+SUM(V$15:V45)/Mratio3,"")</f>
        <v/>
      </c>
      <c r="X45" s="93" t="str">
        <f t="shared" si="8"/>
        <v/>
      </c>
      <c r="Z45" s="902" t="str">
        <f t="shared" si="9"/>
        <v/>
      </c>
      <c r="AA45" s="90" t="str">
        <f t="shared" si="21"/>
        <v/>
      </c>
      <c r="AB45" s="90" t="str">
        <f t="shared" si="11"/>
        <v/>
      </c>
      <c r="AC45" s="90" t="str">
        <f t="shared" si="22"/>
        <v/>
      </c>
      <c r="AD45" s="90" t="str">
        <f t="shared" si="23"/>
        <v/>
      </c>
      <c r="AE45" s="90" t="str">
        <f t="shared" si="24"/>
        <v/>
      </c>
      <c r="AF45" s="90" t="str">
        <f t="shared" si="15"/>
        <v/>
      </c>
      <c r="AG45" s="90" t="str">
        <f t="shared" si="16"/>
        <v/>
      </c>
      <c r="AH45" s="93" t="str">
        <f t="shared" si="17"/>
        <v/>
      </c>
      <c r="AJ45" s="925"/>
      <c r="AK45" s="917"/>
      <c r="AL45" s="919"/>
      <c r="AM45" s="917"/>
      <c r="AN45" s="919"/>
      <c r="AO45" s="917"/>
      <c r="AP45" s="920"/>
      <c r="AQ45" s="920"/>
      <c r="AR45" s="920"/>
      <c r="AS45" s="920"/>
      <c r="AT45" s="921"/>
    </row>
    <row r="46" spans="1:46" ht="10.5" hidden="1" customHeight="1" outlineLevel="1">
      <c r="A46" s="87" t="str">
        <f>'Flows &amp; Isokinetics'!E46</f>
        <v/>
      </c>
      <c r="B46" s="88" t="str">
        <f>'Flows &amp; Isokinetics'!F46</f>
        <v/>
      </c>
      <c r="C46" s="777" t="str">
        <f>IF(Afterflows!W45="","",Afterflows!W45)</f>
        <v/>
      </c>
      <c r="D46" s="88" t="str">
        <f t="shared" si="18"/>
        <v/>
      </c>
      <c r="E46" s="288" t="str">
        <f>IF(ISNUMBER(C46),IF(ISNUMBER(StackTemp3),StackTemp3,IF(Afterflows!V45="","",Afterflows!V45)),"")</f>
        <v/>
      </c>
      <c r="F46" s="89" t="str">
        <f t="shared" si="0"/>
        <v/>
      </c>
      <c r="G46" s="89" t="str">
        <f t="shared" si="1"/>
        <v/>
      </c>
      <c r="H46" s="89" t="str">
        <f t="shared" si="2"/>
        <v/>
      </c>
      <c r="I46" s="112" t="str">
        <f t="shared" si="3"/>
        <v/>
      </c>
      <c r="J46" s="777" t="str">
        <f>IF(C46="","",Afterflows!G45)</f>
        <v/>
      </c>
      <c r="K46" s="777" t="str">
        <f>IF(E46="","",Afterflows!H45)</f>
        <v/>
      </c>
      <c r="L46" s="110"/>
      <c r="M46" s="97"/>
      <c r="N46" s="114"/>
      <c r="P46" s="87" t="str">
        <f t="shared" si="4"/>
        <v/>
      </c>
      <c r="Q46" s="2071" t="str">
        <f t="shared" si="20"/>
        <v/>
      </c>
      <c r="R46" s="90" t="str">
        <f t="shared" si="19"/>
        <v/>
      </c>
      <c r="S46" s="90" t="str">
        <f>Velocity(PitotID3,PitotCoeff3,Afterflows!AB45,D46,E46,StackTempAvg3,AbsPress3,MolecularWt)</f>
        <v/>
      </c>
      <c r="T46" s="91" t="str">
        <f t="shared" si="5"/>
        <v/>
      </c>
      <c r="U46" s="91" t="str">
        <f t="shared" si="6"/>
        <v/>
      </c>
      <c r="V46" s="91" t="str">
        <f t="shared" si="7"/>
        <v/>
      </c>
      <c r="W46" s="91" t="str">
        <f>IF(ISNUMBER(V46),$G$5+SUM(V$15:V46)/Mratio3,"")</f>
        <v/>
      </c>
      <c r="X46" s="93" t="str">
        <f t="shared" si="8"/>
        <v/>
      </c>
      <c r="Z46" s="902" t="str">
        <f t="shared" si="9"/>
        <v/>
      </c>
      <c r="AA46" s="90" t="str">
        <f t="shared" si="21"/>
        <v/>
      </c>
      <c r="AB46" s="90" t="str">
        <f t="shared" si="11"/>
        <v/>
      </c>
      <c r="AC46" s="90" t="str">
        <f t="shared" si="22"/>
        <v/>
      </c>
      <c r="AD46" s="90" t="str">
        <f t="shared" si="23"/>
        <v/>
      </c>
      <c r="AE46" s="90" t="str">
        <f t="shared" si="24"/>
        <v/>
      </c>
      <c r="AF46" s="90" t="str">
        <f t="shared" si="15"/>
        <v/>
      </c>
      <c r="AG46" s="90" t="str">
        <f t="shared" si="16"/>
        <v/>
      </c>
      <c r="AH46" s="93" t="str">
        <f t="shared" si="17"/>
        <v/>
      </c>
      <c r="AJ46" s="939"/>
      <c r="AK46" s="920"/>
      <c r="AL46" s="920"/>
      <c r="AM46" s="924" t="s">
        <v>299</v>
      </c>
      <c r="AN46" s="920"/>
      <c r="AO46" s="920"/>
      <c r="AP46" s="920"/>
      <c r="AQ46" s="919"/>
      <c r="AR46" s="2687" t="str">
        <f>PMtest3&amp;" (-28C)"</f>
        <v>PM10&amp;2.5 (-28C)</v>
      </c>
      <c r="AS46" s="2688"/>
      <c r="AT46" s="926"/>
    </row>
    <row r="47" spans="1:46" ht="10.5" hidden="1" customHeight="1" outlineLevel="1">
      <c r="A47" s="87" t="str">
        <f>'Flows &amp; Isokinetics'!E47</f>
        <v/>
      </c>
      <c r="B47" s="88" t="str">
        <f>'Flows &amp; Isokinetics'!F47</f>
        <v/>
      </c>
      <c r="C47" s="777" t="str">
        <f>IF(Afterflows!W46="","",Afterflows!W46)</f>
        <v/>
      </c>
      <c r="D47" s="88" t="str">
        <f t="shared" si="18"/>
        <v/>
      </c>
      <c r="E47" s="288" t="str">
        <f>IF(ISNUMBER(C47),IF(ISNUMBER(StackTemp3),StackTemp3,IF(Afterflows!V46="","",Afterflows!V46)),"")</f>
        <v/>
      </c>
      <c r="F47" s="89" t="str">
        <f t="shared" si="0"/>
        <v/>
      </c>
      <c r="G47" s="89" t="str">
        <f t="shared" si="1"/>
        <v/>
      </c>
      <c r="H47" s="89" t="str">
        <f t="shared" si="2"/>
        <v/>
      </c>
      <c r="I47" s="112" t="str">
        <f t="shared" ref="I47:I74" si="25">Dwell(Pascal3,D47,AvgSqrtPa3,TimePoint3)</f>
        <v/>
      </c>
      <c r="J47" s="777" t="str">
        <f>IF(C47="","",Afterflows!G46)</f>
        <v/>
      </c>
      <c r="K47" s="777" t="str">
        <f>IF(E47="","",Afterflows!H46)</f>
        <v/>
      </c>
      <c r="L47" s="110"/>
      <c r="M47" s="97"/>
      <c r="N47" s="114"/>
      <c r="P47" s="87" t="str">
        <f t="shared" ref="P47:P74" si="26">A47</f>
        <v/>
      </c>
      <c r="Q47" s="2071" t="str">
        <f t="shared" si="20"/>
        <v/>
      </c>
      <c r="R47" s="90" t="str">
        <f t="shared" si="19"/>
        <v/>
      </c>
      <c r="S47" s="90" t="str">
        <f>Velocity(PitotID3,PitotCoeff3,Afterflows!AB46,D47,E47,StackTempAvg3,AbsPress3,MolecularWt)</f>
        <v/>
      </c>
      <c r="T47" s="91" t="str">
        <f t="shared" ref="T47:T74" si="27">SampleRate(S47,PBF_2,E47,F47,G47,H47,StackTempAvg3,AbsPress3,BaroPress3,Bws)</f>
        <v/>
      </c>
      <c r="U47" s="91" t="str">
        <f t="shared" ref="U47:U74" si="28">IF(C47="","",MeterRate3)</f>
        <v/>
      </c>
      <c r="V47" s="91" t="str">
        <f t="shared" ref="V47:V74" si="29">IF(ISNUMBER(I47),I47*U47,"")</f>
        <v/>
      </c>
      <c r="W47" s="91" t="str">
        <f>IF(ISNUMBER(V47),$G$5+SUM(V$15:V47)/Mratio3,"")</f>
        <v/>
      </c>
      <c r="X47" s="93" t="str">
        <f t="shared" ref="X47:X74" si="30">Velocity3D(S47,J47,K47)</f>
        <v/>
      </c>
      <c r="Z47" s="902" t="str">
        <f t="shared" ref="Z47:Z74" si="31">A47</f>
        <v/>
      </c>
      <c r="AA47" s="90" t="str">
        <f t="shared" si="21"/>
        <v/>
      </c>
      <c r="AB47" s="90" t="str">
        <f t="shared" ref="AB47:AB74" si="32">IF(ISNUMBER(S47),H47,"")</f>
        <v/>
      </c>
      <c r="AC47" s="90" t="str">
        <f t="shared" si="22"/>
        <v/>
      </c>
      <c r="AD47" s="90" t="str">
        <f t="shared" si="23"/>
        <v/>
      </c>
      <c r="AE47" s="90" t="str">
        <f t="shared" si="24"/>
        <v/>
      </c>
      <c r="AF47" s="90" t="str">
        <f t="shared" ref="AF47:AF74" si="33">IF(ISNUMBER(S47),AD47/(S47*PBVF2)*100,"")</f>
        <v/>
      </c>
      <c r="AG47" s="90" t="str">
        <f t="shared" ref="AG47:AG74" si="34">IF(ISNUMBER(S47),AE47/(S47*PBVF2)*100,"")</f>
        <v/>
      </c>
      <c r="AH47" s="93" t="str">
        <f t="shared" ref="AH47:AH74" si="35">IF(ISNUMBER(S47),AG47*I47/TimePoint3,"")</f>
        <v/>
      </c>
      <c r="AJ47" s="925"/>
      <c r="AK47" s="932" t="s">
        <v>288</v>
      </c>
      <c r="AL47" s="933"/>
      <c r="AM47" s="933" t="e">
        <f>ViscositySelect(PMtest3,AM48,AM49)</f>
        <v>#VALUE!</v>
      </c>
      <c r="AN47" s="933"/>
      <c r="AO47" s="922" t="s">
        <v>1247</v>
      </c>
      <c r="AP47" s="920"/>
      <c r="AQ47" s="923" t="s">
        <v>1263</v>
      </c>
      <c r="AR47" s="929" t="e">
        <f>SelectSR(PMtest3,NozzleKitID3,ViscosityM28C3,AL29,MolecularWt,StackGasPressInHg3)</f>
        <v>#VALUE!</v>
      </c>
      <c r="AS47" s="919" t="e">
        <f>AR47*28.32</f>
        <v>#VALUE!</v>
      </c>
      <c r="AT47" s="930" t="e">
        <f>AS47/1000</f>
        <v>#VALUE!</v>
      </c>
    </row>
    <row r="48" spans="1:46" ht="10.5" hidden="1" customHeight="1" outlineLevel="1">
      <c r="A48" s="87" t="str">
        <f>'Flows &amp; Isokinetics'!E48</f>
        <v/>
      </c>
      <c r="B48" s="88" t="str">
        <f>'Flows &amp; Isokinetics'!F48</f>
        <v/>
      </c>
      <c r="C48" s="777" t="str">
        <f>IF(Afterflows!W47="","",Afterflows!W47)</f>
        <v/>
      </c>
      <c r="D48" s="88" t="str">
        <f t="shared" si="18"/>
        <v/>
      </c>
      <c r="E48" s="288" t="str">
        <f>IF(ISNUMBER(C48),IF(ISNUMBER(StackTemp3),StackTemp3,IF(Afterflows!V47="","",Afterflows!V47)),"")</f>
        <v/>
      </c>
      <c r="F48" s="89" t="str">
        <f t="shared" ref="F48:F73" si="36">IF(ISNUMBER(C48),IF(ISNUMBER(MeterTemp3),MeterTemp3,""),"")</f>
        <v/>
      </c>
      <c r="G48" s="89" t="str">
        <f t="shared" ref="G48:G73" si="37">IF(ISNUMBER(C48),IF(ISNUMBER(MeterPress3),MeterPress3,""),"")</f>
        <v/>
      </c>
      <c r="H48" s="89" t="str">
        <f t="shared" ref="H48:H73" si="38">IF(ISNUMBER(C48),IF(ISNUMBER(NozzleSelect3),NozzleSelect3,""),"")</f>
        <v/>
      </c>
      <c r="I48" s="112" t="str">
        <f t="shared" si="25"/>
        <v/>
      </c>
      <c r="J48" s="777" t="str">
        <f>IF(C48="","",Afterflows!G47)</f>
        <v/>
      </c>
      <c r="K48" s="777" t="str">
        <f>IF(E48="","",Afterflows!H47)</f>
        <v/>
      </c>
      <c r="L48" s="110"/>
      <c r="M48" s="97"/>
      <c r="N48" s="114"/>
      <c r="P48" s="87" t="str">
        <f t="shared" si="26"/>
        <v/>
      </c>
      <c r="Q48" s="2071" t="str">
        <f t="shared" si="20"/>
        <v/>
      </c>
      <c r="R48" s="90" t="str">
        <f t="shared" si="19"/>
        <v/>
      </c>
      <c r="S48" s="90" t="str">
        <f>Velocity(PitotID3,PitotCoeff3,Afterflows!AB47,D48,E48,StackTempAvg3,AbsPress3,MolecularWt)</f>
        <v/>
      </c>
      <c r="T48" s="91" t="str">
        <f t="shared" si="27"/>
        <v/>
      </c>
      <c r="U48" s="91" t="str">
        <f t="shared" si="28"/>
        <v/>
      </c>
      <c r="V48" s="91" t="str">
        <f t="shared" si="29"/>
        <v/>
      </c>
      <c r="W48" s="91" t="str">
        <f>IF(ISNUMBER(V48),$G$5+SUM(V$15:V48)/Mratio3,"")</f>
        <v/>
      </c>
      <c r="X48" s="93" t="str">
        <f t="shared" si="30"/>
        <v/>
      </c>
      <c r="Z48" s="902" t="str">
        <f t="shared" si="31"/>
        <v/>
      </c>
      <c r="AA48" s="90" t="str">
        <f t="shared" si="21"/>
        <v/>
      </c>
      <c r="AB48" s="90" t="str">
        <f t="shared" si="32"/>
        <v/>
      </c>
      <c r="AC48" s="90" t="str">
        <f t="shared" si="22"/>
        <v/>
      </c>
      <c r="AD48" s="90" t="str">
        <f t="shared" si="23"/>
        <v/>
      </c>
      <c r="AE48" s="90" t="str">
        <f t="shared" si="24"/>
        <v/>
      </c>
      <c r="AF48" s="90" t="str">
        <f t="shared" si="33"/>
        <v/>
      </c>
      <c r="AG48" s="90" t="str">
        <f t="shared" si="34"/>
        <v/>
      </c>
      <c r="AH48" s="93" t="str">
        <f t="shared" si="35"/>
        <v/>
      </c>
      <c r="AJ48" s="925"/>
      <c r="AK48" s="923" t="s">
        <v>278</v>
      </c>
      <c r="AL48" s="933"/>
      <c r="AM48" s="933" t="e">
        <f>Viscosity201A(AM55,O2dry,Bws)</f>
        <v>#VALUE!</v>
      </c>
      <c r="AN48" s="933"/>
      <c r="AO48" s="922" t="s">
        <v>1247</v>
      </c>
      <c r="AP48" s="920"/>
      <c r="AQ48" s="923" t="s">
        <v>1262</v>
      </c>
      <c r="AR48" s="919" t="e">
        <f>85.49*PitotCoeff3*(AvgSqrtVelocityHead3)*SQRT(AL29/(StackGasPressInHg3*MolecularWtWet))*PBVF2</f>
        <v>#VALUE!</v>
      </c>
      <c r="AS48" s="919" t="e">
        <f>12.89*PitotCoeff3*(AvgSqrtPa3)*SQRT(AL27/(AbsPress3*MolecularWtWet))*PBVF2</f>
        <v>#VALUE!</v>
      </c>
      <c r="AT48" s="931"/>
    </row>
    <row r="49" spans="1:46" ht="10.5" hidden="1" customHeight="1" outlineLevel="1">
      <c r="A49" s="87" t="str">
        <f>'Flows &amp; Isokinetics'!E49</f>
        <v/>
      </c>
      <c r="B49" s="88" t="str">
        <f>'Flows &amp; Isokinetics'!F49</f>
        <v/>
      </c>
      <c r="C49" s="777" t="str">
        <f>IF(Afterflows!W48="","",Afterflows!W48)</f>
        <v/>
      </c>
      <c r="D49" s="88" t="str">
        <f t="shared" si="18"/>
        <v/>
      </c>
      <c r="E49" s="288" t="str">
        <f>IF(ISNUMBER(C49),IF(ISNUMBER(StackTemp3),StackTemp3,IF(Afterflows!V48="","",Afterflows!V48)),"")</f>
        <v/>
      </c>
      <c r="F49" s="89" t="str">
        <f t="shared" si="36"/>
        <v/>
      </c>
      <c r="G49" s="89" t="str">
        <f t="shared" si="37"/>
        <v/>
      </c>
      <c r="H49" s="89" t="str">
        <f t="shared" si="38"/>
        <v/>
      </c>
      <c r="I49" s="112" t="str">
        <f t="shared" si="25"/>
        <v/>
      </c>
      <c r="J49" s="777" t="str">
        <f>IF(C49="","",Afterflows!G48)</f>
        <v/>
      </c>
      <c r="K49" s="777" t="str">
        <f>IF(E49="","",Afterflows!H48)</f>
        <v/>
      </c>
      <c r="L49" s="110"/>
      <c r="M49" s="97"/>
      <c r="N49" s="114"/>
      <c r="P49" s="87" t="str">
        <f t="shared" si="26"/>
        <v/>
      </c>
      <c r="Q49" s="2071" t="str">
        <f t="shared" si="20"/>
        <v/>
      </c>
      <c r="R49" s="90" t="str">
        <f t="shared" si="19"/>
        <v/>
      </c>
      <c r="S49" s="90" t="str">
        <f>Velocity(PitotID3,PitotCoeff3,Afterflows!AB48,D49,E49,StackTempAvg3,AbsPress3,MolecularWt)</f>
        <v/>
      </c>
      <c r="T49" s="91" t="str">
        <f t="shared" si="27"/>
        <v/>
      </c>
      <c r="U49" s="91" t="str">
        <f t="shared" si="28"/>
        <v/>
      </c>
      <c r="V49" s="91" t="str">
        <f t="shared" si="29"/>
        <v/>
      </c>
      <c r="W49" s="91" t="str">
        <f>IF(ISNUMBER(V49),$G$5+SUM(V$15:V49)/Mratio3,"")</f>
        <v/>
      </c>
      <c r="X49" s="93" t="str">
        <f t="shared" si="30"/>
        <v/>
      </c>
      <c r="Z49" s="902" t="str">
        <f t="shared" si="31"/>
        <v/>
      </c>
      <c r="AA49" s="90" t="str">
        <f t="shared" si="21"/>
        <v/>
      </c>
      <c r="AB49" s="90" t="str">
        <f t="shared" si="32"/>
        <v/>
      </c>
      <c r="AC49" s="90" t="str">
        <f t="shared" si="22"/>
        <v/>
      </c>
      <c r="AD49" s="90" t="str">
        <f t="shared" si="23"/>
        <v/>
      </c>
      <c r="AE49" s="90" t="str">
        <f t="shared" si="24"/>
        <v/>
      </c>
      <c r="AF49" s="90" t="str">
        <f t="shared" si="33"/>
        <v/>
      </c>
      <c r="AG49" s="90" t="str">
        <f t="shared" si="34"/>
        <v/>
      </c>
      <c r="AH49" s="93" t="str">
        <f t="shared" si="35"/>
        <v/>
      </c>
      <c r="AJ49" s="925"/>
      <c r="AK49" s="923" t="s">
        <v>277</v>
      </c>
      <c r="AL49" s="933"/>
      <c r="AM49" s="933" t="e">
        <f>ViscosityCTM040(AM55,O2wet,Bws)</f>
        <v>#VALUE!</v>
      </c>
      <c r="AN49" s="933"/>
      <c r="AO49" s="922" t="s">
        <v>1247</v>
      </c>
      <c r="AP49" s="920"/>
      <c r="AQ49" s="923" t="s">
        <v>1258</v>
      </c>
      <c r="AR49" s="919" t="e">
        <f>SQRT((3.056*AR47)/AR48)</f>
        <v>#VALUE!</v>
      </c>
      <c r="AS49" s="919" t="e">
        <f>2*SQRT((QsLmin3/AS48)*(1000000/(PI()*60000)))</f>
        <v>#VALUE!</v>
      </c>
      <c r="AT49" s="931"/>
    </row>
    <row r="50" spans="1:46" ht="10.5" hidden="1" customHeight="1" outlineLevel="1">
      <c r="A50" s="87" t="str">
        <f>'Flows &amp; Isokinetics'!E50</f>
        <v/>
      </c>
      <c r="B50" s="88" t="str">
        <f>'Flows &amp; Isokinetics'!F50</f>
        <v/>
      </c>
      <c r="C50" s="777" t="str">
        <f>IF(Afterflows!W49="","",Afterflows!W49)</f>
        <v/>
      </c>
      <c r="D50" s="88" t="str">
        <f t="shared" si="18"/>
        <v/>
      </c>
      <c r="E50" s="288" t="str">
        <f>IF(ISNUMBER(C50),IF(ISNUMBER(StackTemp3),StackTemp3,IF(Afterflows!V49="","",Afterflows!V49)),"")</f>
        <v/>
      </c>
      <c r="F50" s="89" t="str">
        <f t="shared" si="36"/>
        <v/>
      </c>
      <c r="G50" s="89" t="str">
        <f t="shared" si="37"/>
        <v/>
      </c>
      <c r="H50" s="89" t="str">
        <f t="shared" si="38"/>
        <v/>
      </c>
      <c r="I50" s="112" t="str">
        <f t="shared" si="25"/>
        <v/>
      </c>
      <c r="J50" s="777" t="str">
        <f>IF(C50="","",Afterflows!G49)</f>
        <v/>
      </c>
      <c r="K50" s="777" t="str">
        <f>IF(E50="","",Afterflows!H49)</f>
        <v/>
      </c>
      <c r="L50" s="110"/>
      <c r="M50" s="97"/>
      <c r="N50" s="114"/>
      <c r="P50" s="87" t="str">
        <f t="shared" si="26"/>
        <v/>
      </c>
      <c r="Q50" s="2071" t="str">
        <f t="shared" si="20"/>
        <v/>
      </c>
      <c r="R50" s="90" t="str">
        <f t="shared" si="19"/>
        <v/>
      </c>
      <c r="S50" s="90" t="str">
        <f>Velocity(PitotID3,PitotCoeff3,Afterflows!AB49,D50,E50,StackTempAvg3,AbsPress3,MolecularWt)</f>
        <v/>
      </c>
      <c r="T50" s="91" t="str">
        <f t="shared" si="27"/>
        <v/>
      </c>
      <c r="U50" s="91" t="str">
        <f t="shared" si="28"/>
        <v/>
      </c>
      <c r="V50" s="91" t="str">
        <f t="shared" si="29"/>
        <v/>
      </c>
      <c r="W50" s="91" t="str">
        <f>IF(ISNUMBER(V50),$G$5+SUM(V$15:V50)/Mratio3,"")</f>
        <v/>
      </c>
      <c r="X50" s="93" t="str">
        <f t="shared" si="30"/>
        <v/>
      </c>
      <c r="Z50" s="902" t="str">
        <f t="shared" si="31"/>
        <v/>
      </c>
      <c r="AA50" s="90" t="str">
        <f t="shared" si="21"/>
        <v/>
      </c>
      <c r="AB50" s="90" t="str">
        <f t="shared" si="32"/>
        <v/>
      </c>
      <c r="AC50" s="90" t="str">
        <f t="shared" si="22"/>
        <v/>
      </c>
      <c r="AD50" s="90" t="str">
        <f t="shared" si="23"/>
        <v/>
      </c>
      <c r="AE50" s="90" t="str">
        <f t="shared" si="24"/>
        <v/>
      </c>
      <c r="AF50" s="90" t="str">
        <f t="shared" si="33"/>
        <v/>
      </c>
      <c r="AG50" s="90" t="str">
        <f t="shared" si="34"/>
        <v/>
      </c>
      <c r="AH50" s="93" t="str">
        <f t="shared" si="35"/>
        <v/>
      </c>
      <c r="AJ50" s="925"/>
      <c r="AK50" s="923"/>
      <c r="AL50" s="933"/>
      <c r="AM50" s="933"/>
      <c r="AN50" s="933"/>
      <c r="AO50" s="922"/>
      <c r="AP50" s="920"/>
      <c r="AQ50" s="923"/>
      <c r="AR50" s="919"/>
      <c r="AS50" s="919"/>
      <c r="AT50" s="931"/>
    </row>
    <row r="51" spans="1:46" ht="10.5" hidden="1" customHeight="1" outlineLevel="1">
      <c r="A51" s="87" t="str">
        <f>'Flows &amp; Isokinetics'!E51</f>
        <v/>
      </c>
      <c r="B51" s="88" t="str">
        <f>'Flows &amp; Isokinetics'!F51</f>
        <v/>
      </c>
      <c r="C51" s="777" t="str">
        <f>IF(Afterflows!W50="","",Afterflows!W50)</f>
        <v/>
      </c>
      <c r="D51" s="88" t="str">
        <f t="shared" si="18"/>
        <v/>
      </c>
      <c r="E51" s="288" t="str">
        <f>IF(ISNUMBER(C51),IF(ISNUMBER(StackTemp3),StackTemp3,IF(Afterflows!V50="","",Afterflows!V50)),"")</f>
        <v/>
      </c>
      <c r="F51" s="89" t="str">
        <f t="shared" si="36"/>
        <v/>
      </c>
      <c r="G51" s="89" t="str">
        <f t="shared" si="37"/>
        <v/>
      </c>
      <c r="H51" s="89" t="str">
        <f t="shared" si="38"/>
        <v/>
      </c>
      <c r="I51" s="112" t="str">
        <f t="shared" si="25"/>
        <v/>
      </c>
      <c r="J51" s="777" t="str">
        <f>IF(C51="","",Afterflows!G50)</f>
        <v/>
      </c>
      <c r="K51" s="777" t="str">
        <f>IF(E51="","",Afterflows!H50)</f>
        <v/>
      </c>
      <c r="L51" s="110"/>
      <c r="M51" s="97"/>
      <c r="N51" s="114"/>
      <c r="P51" s="87" t="str">
        <f t="shared" si="26"/>
        <v/>
      </c>
      <c r="Q51" s="2071" t="str">
        <f t="shared" si="20"/>
        <v/>
      </c>
      <c r="R51" s="90" t="str">
        <f t="shared" si="19"/>
        <v/>
      </c>
      <c r="S51" s="90" t="str">
        <f>Velocity(PitotID3,PitotCoeff3,Afterflows!AB50,D51,E51,StackTempAvg3,AbsPress3,MolecularWt)</f>
        <v/>
      </c>
      <c r="T51" s="91" t="str">
        <f t="shared" si="27"/>
        <v/>
      </c>
      <c r="U51" s="91" t="str">
        <f t="shared" si="28"/>
        <v/>
      </c>
      <c r="V51" s="91" t="str">
        <f t="shared" si="29"/>
        <v/>
      </c>
      <c r="W51" s="91" t="str">
        <f>IF(ISNUMBER(V51),$G$5+SUM(V$15:V51)/Mratio3,"")</f>
        <v/>
      </c>
      <c r="X51" s="93" t="str">
        <f t="shared" si="30"/>
        <v/>
      </c>
      <c r="Z51" s="902" t="str">
        <f t="shared" si="31"/>
        <v/>
      </c>
      <c r="AA51" s="90" t="str">
        <f t="shared" si="21"/>
        <v/>
      </c>
      <c r="AB51" s="90" t="str">
        <f t="shared" si="32"/>
        <v/>
      </c>
      <c r="AC51" s="90" t="str">
        <f t="shared" si="22"/>
        <v/>
      </c>
      <c r="AD51" s="90" t="str">
        <f t="shared" si="23"/>
        <v/>
      </c>
      <c r="AE51" s="90" t="str">
        <f t="shared" si="24"/>
        <v/>
      </c>
      <c r="AF51" s="90" t="str">
        <f t="shared" si="33"/>
        <v/>
      </c>
      <c r="AG51" s="90" t="str">
        <f t="shared" si="34"/>
        <v/>
      </c>
      <c r="AH51" s="93" t="str">
        <f t="shared" si="35"/>
        <v/>
      </c>
      <c r="AJ51" s="925"/>
      <c r="AK51" s="923"/>
      <c r="AL51" s="933"/>
      <c r="AM51" s="933"/>
      <c r="AN51" s="933"/>
      <c r="AO51" s="922"/>
      <c r="AP51" s="920"/>
      <c r="AQ51" s="923"/>
      <c r="AR51" s="919"/>
      <c r="AS51" s="919"/>
      <c r="AT51" s="931"/>
    </row>
    <row r="52" spans="1:46" ht="10.5" hidden="1" customHeight="1" outlineLevel="1">
      <c r="A52" s="87" t="str">
        <f>'Flows &amp; Isokinetics'!E52</f>
        <v/>
      </c>
      <c r="B52" s="88" t="str">
        <f>'Flows &amp; Isokinetics'!F52</f>
        <v/>
      </c>
      <c r="C52" s="777" t="str">
        <f>IF(Afterflows!W51="","",Afterflows!W51)</f>
        <v/>
      </c>
      <c r="D52" s="88" t="str">
        <f t="shared" si="18"/>
        <v/>
      </c>
      <c r="E52" s="288" t="str">
        <f>IF(ISNUMBER(C52),IF(ISNUMBER(StackTemp3),StackTemp3,IF(Afterflows!V51="","",Afterflows!V51)),"")</f>
        <v/>
      </c>
      <c r="F52" s="89" t="str">
        <f t="shared" si="36"/>
        <v/>
      </c>
      <c r="G52" s="89" t="str">
        <f t="shared" si="37"/>
        <v/>
      </c>
      <c r="H52" s="89" t="str">
        <f t="shared" si="38"/>
        <v/>
      </c>
      <c r="I52" s="112" t="str">
        <f t="shared" si="25"/>
        <v/>
      </c>
      <c r="J52" s="777" t="str">
        <f>IF(C52="","",Afterflows!G51)</f>
        <v/>
      </c>
      <c r="K52" s="777" t="str">
        <f>IF(E52="","",Afterflows!H51)</f>
        <v/>
      </c>
      <c r="L52" s="110"/>
      <c r="M52" s="97"/>
      <c r="N52" s="114"/>
      <c r="P52" s="87" t="str">
        <f t="shared" si="26"/>
        <v/>
      </c>
      <c r="Q52" s="2071" t="str">
        <f t="shared" si="20"/>
        <v/>
      </c>
      <c r="R52" s="90" t="str">
        <f t="shared" si="19"/>
        <v/>
      </c>
      <c r="S52" s="90" t="str">
        <f>Velocity(PitotID3,PitotCoeff3,Afterflows!AB51,D52,E52,StackTempAvg3,AbsPress3,MolecularWt)</f>
        <v/>
      </c>
      <c r="T52" s="91" t="str">
        <f t="shared" si="27"/>
        <v/>
      </c>
      <c r="U52" s="91" t="str">
        <f t="shared" si="28"/>
        <v/>
      </c>
      <c r="V52" s="91" t="str">
        <f t="shared" si="29"/>
        <v/>
      </c>
      <c r="W52" s="91" t="str">
        <f>IF(ISNUMBER(V52),$G$5+SUM(V$15:V52)/Mratio3,"")</f>
        <v/>
      </c>
      <c r="X52" s="93" t="str">
        <f t="shared" si="30"/>
        <v/>
      </c>
      <c r="Z52" s="902" t="str">
        <f t="shared" si="31"/>
        <v/>
      </c>
      <c r="AA52" s="90" t="str">
        <f t="shared" si="21"/>
        <v/>
      </c>
      <c r="AB52" s="90" t="str">
        <f t="shared" si="32"/>
        <v/>
      </c>
      <c r="AC52" s="90" t="str">
        <f t="shared" si="22"/>
        <v/>
      </c>
      <c r="AD52" s="90" t="str">
        <f t="shared" si="23"/>
        <v/>
      </c>
      <c r="AE52" s="90" t="str">
        <f t="shared" si="24"/>
        <v/>
      </c>
      <c r="AF52" s="90" t="str">
        <f t="shared" si="33"/>
        <v/>
      </c>
      <c r="AG52" s="90" t="str">
        <f t="shared" si="34"/>
        <v/>
      </c>
      <c r="AH52" s="93" t="str">
        <f t="shared" si="35"/>
        <v/>
      </c>
      <c r="AJ52" s="925"/>
      <c r="AK52" s="923" t="s">
        <v>2</v>
      </c>
      <c r="AL52" s="919"/>
      <c r="AM52" s="928" t="e">
        <f>IF(ISERROR(StackTempAvgAft1),StackTempAvg3,AVERAGE(StackTempAvg3,StackTempAvgAft1))</f>
        <v>#DIV/0!</v>
      </c>
      <c r="AN52" s="919"/>
      <c r="AO52" s="922" t="s">
        <v>1197</v>
      </c>
      <c r="AP52" s="920"/>
      <c r="AQ52" s="919"/>
      <c r="AR52" s="920"/>
      <c r="AS52" s="924"/>
      <c r="AT52" s="931"/>
    </row>
    <row r="53" spans="1:46" ht="10.5" hidden="1" customHeight="1" outlineLevel="1">
      <c r="A53" s="87" t="str">
        <f>'Flows &amp; Isokinetics'!E53</f>
        <v/>
      </c>
      <c r="B53" s="88" t="str">
        <f>'Flows &amp; Isokinetics'!F53</f>
        <v/>
      </c>
      <c r="C53" s="777" t="str">
        <f>IF(Afterflows!W52="","",Afterflows!W52)</f>
        <v/>
      </c>
      <c r="D53" s="88" t="str">
        <f t="shared" si="18"/>
        <v/>
      </c>
      <c r="E53" s="288" t="str">
        <f>IF(ISNUMBER(C53),IF(ISNUMBER(StackTemp3),StackTemp3,IF(Afterflows!V52="","",Afterflows!V52)),"")</f>
        <v/>
      </c>
      <c r="F53" s="89" t="str">
        <f t="shared" si="36"/>
        <v/>
      </c>
      <c r="G53" s="89" t="str">
        <f t="shared" si="37"/>
        <v/>
      </c>
      <c r="H53" s="89" t="str">
        <f t="shared" si="38"/>
        <v/>
      </c>
      <c r="I53" s="112" t="str">
        <f t="shared" si="25"/>
        <v/>
      </c>
      <c r="J53" s="777" t="str">
        <f>IF(C53="","",Afterflows!G52)</f>
        <v/>
      </c>
      <c r="K53" s="777" t="str">
        <f>IF(E53="","",Afterflows!H52)</f>
        <v/>
      </c>
      <c r="L53" s="110"/>
      <c r="M53" s="97"/>
      <c r="N53" s="114"/>
      <c r="P53" s="87" t="str">
        <f t="shared" si="26"/>
        <v/>
      </c>
      <c r="Q53" s="2071" t="str">
        <f t="shared" si="20"/>
        <v/>
      </c>
      <c r="R53" s="90" t="str">
        <f t="shared" si="19"/>
        <v/>
      </c>
      <c r="S53" s="90" t="str">
        <f>Velocity(PitotID3,PitotCoeff3,Afterflows!AB52,D53,E53,StackTempAvg3,AbsPress3,MolecularWt)</f>
        <v/>
      </c>
      <c r="T53" s="91" t="str">
        <f t="shared" si="27"/>
        <v/>
      </c>
      <c r="U53" s="91" t="str">
        <f t="shared" si="28"/>
        <v/>
      </c>
      <c r="V53" s="91" t="str">
        <f t="shared" si="29"/>
        <v/>
      </c>
      <c r="W53" s="91" t="str">
        <f>IF(ISNUMBER(V53),$G$5+SUM(V$15:V53)/Mratio3,"")</f>
        <v/>
      </c>
      <c r="X53" s="93" t="str">
        <f t="shared" si="30"/>
        <v/>
      </c>
      <c r="Z53" s="902" t="str">
        <f t="shared" si="31"/>
        <v/>
      </c>
      <c r="AA53" s="90" t="str">
        <f t="shared" si="21"/>
        <v/>
      </c>
      <c r="AB53" s="90" t="str">
        <f t="shared" si="32"/>
        <v/>
      </c>
      <c r="AC53" s="90" t="str">
        <f t="shared" si="22"/>
        <v/>
      </c>
      <c r="AD53" s="90" t="str">
        <f t="shared" si="23"/>
        <v/>
      </c>
      <c r="AE53" s="90" t="str">
        <f t="shared" si="24"/>
        <v/>
      </c>
      <c r="AF53" s="90" t="str">
        <f t="shared" si="33"/>
        <v/>
      </c>
      <c r="AG53" s="90" t="str">
        <f t="shared" si="34"/>
        <v/>
      </c>
      <c r="AH53" s="93" t="str">
        <f t="shared" si="35"/>
        <v/>
      </c>
      <c r="AJ53" s="925"/>
      <c r="AK53" s="923" t="s">
        <v>2</v>
      </c>
      <c r="AL53" s="919"/>
      <c r="AM53" s="928" t="e">
        <f>AM52+273.15</f>
        <v>#DIV/0!</v>
      </c>
      <c r="AN53" s="919"/>
      <c r="AO53" s="922" t="s">
        <v>1248</v>
      </c>
      <c r="AP53" s="920"/>
      <c r="AQ53" s="919"/>
      <c r="AR53" s="2687" t="str">
        <f>PMtest3&amp;" (+28C)"</f>
        <v>PM10&amp;2.5 (+28C)</v>
      </c>
      <c r="AS53" s="2688"/>
      <c r="AT53" s="931"/>
    </row>
    <row r="54" spans="1:46" ht="10.5" hidden="1" customHeight="1" outlineLevel="1">
      <c r="A54" s="87" t="str">
        <f>'Flows &amp; Isokinetics'!E54</f>
        <v/>
      </c>
      <c r="B54" s="88" t="str">
        <f>'Flows &amp; Isokinetics'!F54</f>
        <v/>
      </c>
      <c r="C54" s="777" t="str">
        <f>IF(Afterflows!W53="","",Afterflows!W53)</f>
        <v/>
      </c>
      <c r="D54" s="88" t="str">
        <f t="shared" si="18"/>
        <v/>
      </c>
      <c r="E54" s="288" t="str">
        <f>IF(ISNUMBER(C54),IF(ISNUMBER(StackTemp3),StackTemp3,IF(Afterflows!V53="","",Afterflows!V53)),"")</f>
        <v/>
      </c>
      <c r="F54" s="89" t="str">
        <f t="shared" si="36"/>
        <v/>
      </c>
      <c r="G54" s="89" t="str">
        <f t="shared" si="37"/>
        <v/>
      </c>
      <c r="H54" s="89" t="str">
        <f t="shared" si="38"/>
        <v/>
      </c>
      <c r="I54" s="112" t="str">
        <f t="shared" si="25"/>
        <v/>
      </c>
      <c r="J54" s="777" t="str">
        <f>IF(C54="","",Afterflows!G53)</f>
        <v/>
      </c>
      <c r="K54" s="777" t="str">
        <f>IF(E54="","",Afterflows!H53)</f>
        <v/>
      </c>
      <c r="L54" s="110"/>
      <c r="M54" s="97"/>
      <c r="N54" s="114"/>
      <c r="P54" s="87" t="str">
        <f t="shared" si="26"/>
        <v/>
      </c>
      <c r="Q54" s="2071" t="str">
        <f t="shared" si="20"/>
        <v/>
      </c>
      <c r="R54" s="90" t="str">
        <f t="shared" si="19"/>
        <v/>
      </c>
      <c r="S54" s="90" t="str">
        <f>Velocity(PitotID3,PitotCoeff3,Afterflows!AB53,D54,E54,StackTempAvg3,AbsPress3,MolecularWt)</f>
        <v/>
      </c>
      <c r="T54" s="91" t="str">
        <f t="shared" si="27"/>
        <v/>
      </c>
      <c r="U54" s="91" t="str">
        <f t="shared" si="28"/>
        <v/>
      </c>
      <c r="V54" s="91" t="str">
        <f t="shared" si="29"/>
        <v/>
      </c>
      <c r="W54" s="91" t="str">
        <f>IF(ISNUMBER(V54),$G$5+SUM(V$15:V54)/Mratio3,"")</f>
        <v/>
      </c>
      <c r="X54" s="93" t="str">
        <f t="shared" si="30"/>
        <v/>
      </c>
      <c r="Z54" s="902" t="str">
        <f t="shared" si="31"/>
        <v/>
      </c>
      <c r="AA54" s="90" t="str">
        <f t="shared" si="21"/>
        <v/>
      </c>
      <c r="AB54" s="90" t="str">
        <f t="shared" si="32"/>
        <v/>
      </c>
      <c r="AC54" s="90" t="str">
        <f t="shared" si="22"/>
        <v/>
      </c>
      <c r="AD54" s="90" t="str">
        <f t="shared" si="23"/>
        <v/>
      </c>
      <c r="AE54" s="90" t="str">
        <f t="shared" si="24"/>
        <v/>
      </c>
      <c r="AF54" s="90" t="str">
        <f t="shared" si="33"/>
        <v/>
      </c>
      <c r="AG54" s="90" t="str">
        <f t="shared" si="34"/>
        <v/>
      </c>
      <c r="AH54" s="93" t="str">
        <f t="shared" si="35"/>
        <v/>
      </c>
      <c r="AJ54" s="925"/>
      <c r="AK54" s="923" t="s">
        <v>2</v>
      </c>
      <c r="AL54" s="919"/>
      <c r="AM54" s="928" t="e">
        <f>AM52*1.8+32</f>
        <v>#DIV/0!</v>
      </c>
      <c r="AN54" s="919"/>
      <c r="AO54" s="922" t="s">
        <v>1249</v>
      </c>
      <c r="AP54" s="920"/>
      <c r="AQ54" s="923" t="s">
        <v>1263</v>
      </c>
      <c r="AR54" s="929" t="e">
        <f>SelectSR(PMtest3,NozzleKitID3,ViscosityP28C3,AN29,MolecularWt,StackGasPressInHg3)</f>
        <v>#VALUE!</v>
      </c>
      <c r="AS54" s="919" t="e">
        <f>AR54*28.32</f>
        <v>#VALUE!</v>
      </c>
      <c r="AT54" s="930" t="e">
        <f>AS54/1000</f>
        <v>#VALUE!</v>
      </c>
    </row>
    <row r="55" spans="1:46" ht="10.5" hidden="1" customHeight="1" outlineLevel="1">
      <c r="A55" s="87" t="str">
        <f>'Flows &amp; Isokinetics'!E55</f>
        <v/>
      </c>
      <c r="B55" s="88" t="str">
        <f>'Flows &amp; Isokinetics'!F55</f>
        <v/>
      </c>
      <c r="C55" s="777" t="str">
        <f>IF(Afterflows!W54="","",Afterflows!W54)</f>
        <v/>
      </c>
      <c r="D55" s="88" t="str">
        <f t="shared" si="18"/>
        <v/>
      </c>
      <c r="E55" s="288" t="str">
        <f>IF(ISNUMBER(C55),IF(ISNUMBER(StackTemp3),StackTemp3,IF(Afterflows!V54="","",Afterflows!V54)),"")</f>
        <v/>
      </c>
      <c r="F55" s="89" t="str">
        <f t="shared" si="36"/>
        <v/>
      </c>
      <c r="G55" s="89" t="str">
        <f t="shared" si="37"/>
        <v/>
      </c>
      <c r="H55" s="89" t="str">
        <f t="shared" si="38"/>
        <v/>
      </c>
      <c r="I55" s="112" t="str">
        <f t="shared" si="25"/>
        <v/>
      </c>
      <c r="J55" s="777" t="str">
        <f>IF(C55="","",Afterflows!G54)</f>
        <v/>
      </c>
      <c r="K55" s="777" t="str">
        <f>IF(E55="","",Afterflows!H54)</f>
        <v/>
      </c>
      <c r="L55" s="110"/>
      <c r="M55" s="97"/>
      <c r="N55" s="114"/>
      <c r="P55" s="87" t="str">
        <f t="shared" si="26"/>
        <v/>
      </c>
      <c r="Q55" s="2071" t="str">
        <f t="shared" si="20"/>
        <v/>
      </c>
      <c r="R55" s="90" t="str">
        <f t="shared" si="19"/>
        <v/>
      </c>
      <c r="S55" s="90" t="str">
        <f>Velocity(PitotID3,PitotCoeff3,Afterflows!AB54,D55,E55,StackTempAvg3,AbsPress3,MolecularWt)</f>
        <v/>
      </c>
      <c r="T55" s="91" t="str">
        <f t="shared" si="27"/>
        <v/>
      </c>
      <c r="U55" s="91" t="str">
        <f t="shared" si="28"/>
        <v/>
      </c>
      <c r="V55" s="91" t="str">
        <f t="shared" si="29"/>
        <v/>
      </c>
      <c r="W55" s="91" t="str">
        <f>IF(ISNUMBER(V55),$G$5+SUM(V$15:V55)/Mratio3,"")</f>
        <v/>
      </c>
      <c r="X55" s="93" t="str">
        <f t="shared" si="30"/>
        <v/>
      </c>
      <c r="Z55" s="902" t="str">
        <f t="shared" si="31"/>
        <v/>
      </c>
      <c r="AA55" s="90" t="str">
        <f t="shared" si="21"/>
        <v/>
      </c>
      <c r="AB55" s="90" t="str">
        <f t="shared" si="32"/>
        <v/>
      </c>
      <c r="AC55" s="90" t="str">
        <f t="shared" si="22"/>
        <v/>
      </c>
      <c r="AD55" s="90" t="str">
        <f t="shared" si="23"/>
        <v/>
      </c>
      <c r="AE55" s="90" t="str">
        <f t="shared" si="24"/>
        <v/>
      </c>
      <c r="AF55" s="90" t="str">
        <f t="shared" si="33"/>
        <v/>
      </c>
      <c r="AG55" s="90" t="str">
        <f t="shared" si="34"/>
        <v/>
      </c>
      <c r="AH55" s="93" t="str">
        <f t="shared" si="35"/>
        <v/>
      </c>
      <c r="AJ55" s="925"/>
      <c r="AK55" s="923" t="s">
        <v>2</v>
      </c>
      <c r="AL55" s="919"/>
      <c r="AM55" s="936" t="e">
        <f>AM52*1.8+491.67</f>
        <v>#DIV/0!</v>
      </c>
      <c r="AN55" s="919"/>
      <c r="AO55" s="922" t="s">
        <v>1253</v>
      </c>
      <c r="AP55" s="920"/>
      <c r="AQ55" s="923" t="s">
        <v>1262</v>
      </c>
      <c r="AR55" s="919" t="e">
        <f>85.49*PitotCoeff3*(AvgSqrtVelocityHead3)*SQRT(AN29/(StackGasPressInHg3*MolecularWtWet))*PBVF2</f>
        <v>#VALUE!</v>
      </c>
      <c r="AS55" s="919" t="e">
        <f>12.89*PitotCoeff3*(AvgSqrtPa3)*SQRT(AN27/(AbsPress3*MolecularWtWet))*PBVF2</f>
        <v>#VALUE!</v>
      </c>
      <c r="AT55" s="931"/>
    </row>
    <row r="56" spans="1:46" ht="10.5" hidden="1" customHeight="1" outlineLevel="1">
      <c r="A56" s="87" t="str">
        <f>'Flows &amp; Isokinetics'!E56</f>
        <v/>
      </c>
      <c r="B56" s="88" t="str">
        <f>'Flows &amp; Isokinetics'!F56</f>
        <v/>
      </c>
      <c r="C56" s="777" t="str">
        <f>IF(Afterflows!W55="","",Afterflows!W55)</f>
        <v/>
      </c>
      <c r="D56" s="88" t="str">
        <f t="shared" si="18"/>
        <v/>
      </c>
      <c r="E56" s="288" t="str">
        <f>IF(ISNUMBER(C56),IF(ISNUMBER(StackTemp3),StackTemp3,IF(Afterflows!V55="","",Afterflows!V55)),"")</f>
        <v/>
      </c>
      <c r="F56" s="89" t="str">
        <f t="shared" si="36"/>
        <v/>
      </c>
      <c r="G56" s="89" t="str">
        <f t="shared" si="37"/>
        <v/>
      </c>
      <c r="H56" s="89" t="str">
        <f t="shared" si="38"/>
        <v/>
      </c>
      <c r="I56" s="112" t="str">
        <f t="shared" si="25"/>
        <v/>
      </c>
      <c r="J56" s="777" t="str">
        <f>IF(C56="","",Afterflows!G55)</f>
        <v/>
      </c>
      <c r="K56" s="777" t="str">
        <f>IF(E56="","",Afterflows!H55)</f>
        <v/>
      </c>
      <c r="L56" s="110"/>
      <c r="M56" s="97"/>
      <c r="N56" s="114"/>
      <c r="P56" s="87" t="str">
        <f t="shared" si="26"/>
        <v/>
      </c>
      <c r="Q56" s="2071" t="str">
        <f t="shared" si="20"/>
        <v/>
      </c>
      <c r="R56" s="90" t="str">
        <f t="shared" si="19"/>
        <v/>
      </c>
      <c r="S56" s="90" t="str">
        <f>Velocity(PitotID3,PitotCoeff3,Afterflows!AB55,D56,E56,StackTempAvg3,AbsPress3,MolecularWt)</f>
        <v/>
      </c>
      <c r="T56" s="91" t="str">
        <f t="shared" si="27"/>
        <v/>
      </c>
      <c r="U56" s="91" t="str">
        <f t="shared" si="28"/>
        <v/>
      </c>
      <c r="V56" s="91" t="str">
        <f t="shared" si="29"/>
        <v/>
      </c>
      <c r="W56" s="91" t="str">
        <f>IF(ISNUMBER(V56),$G$5+SUM(V$15:V56)/Mratio3,"")</f>
        <v/>
      </c>
      <c r="X56" s="93" t="str">
        <f t="shared" si="30"/>
        <v/>
      </c>
      <c r="Z56" s="902" t="str">
        <f t="shared" si="31"/>
        <v/>
      </c>
      <c r="AA56" s="90" t="str">
        <f t="shared" si="21"/>
        <v/>
      </c>
      <c r="AB56" s="90" t="str">
        <f t="shared" si="32"/>
        <v/>
      </c>
      <c r="AC56" s="90" t="str">
        <f t="shared" si="22"/>
        <v/>
      </c>
      <c r="AD56" s="90" t="str">
        <f t="shared" si="23"/>
        <v/>
      </c>
      <c r="AE56" s="90" t="str">
        <f t="shared" si="24"/>
        <v/>
      </c>
      <c r="AF56" s="90" t="str">
        <f t="shared" si="33"/>
        <v/>
      </c>
      <c r="AG56" s="90" t="str">
        <f t="shared" si="34"/>
        <v/>
      </c>
      <c r="AH56" s="93" t="str">
        <f t="shared" si="35"/>
        <v/>
      </c>
      <c r="AJ56" s="925"/>
      <c r="AK56" s="922"/>
      <c r="AL56" s="919"/>
      <c r="AM56" s="919"/>
      <c r="AN56" s="919"/>
      <c r="AO56" s="922"/>
      <c r="AP56" s="920"/>
      <c r="AQ56" s="923" t="s">
        <v>1258</v>
      </c>
      <c r="AR56" s="919" t="e">
        <f>SQRT((3.056*AR54)/AR55)</f>
        <v>#VALUE!</v>
      </c>
      <c r="AS56" s="919" t="e">
        <f>2*SQRT((QsLmin3/AS55)*(1000000/(PI()*60000)))</f>
        <v>#VALUE!</v>
      </c>
      <c r="AT56" s="931"/>
    </row>
    <row r="57" spans="1:46" ht="10.5" hidden="1" customHeight="1" outlineLevel="1">
      <c r="A57" s="87" t="str">
        <f>'Flows &amp; Isokinetics'!E57</f>
        <v/>
      </c>
      <c r="B57" s="88" t="str">
        <f>'Flows &amp; Isokinetics'!F57</f>
        <v/>
      </c>
      <c r="C57" s="777" t="str">
        <f>IF(Afterflows!W56="","",Afterflows!W56)</f>
        <v/>
      </c>
      <c r="D57" s="88" t="str">
        <f t="shared" si="18"/>
        <v/>
      </c>
      <c r="E57" s="288" t="str">
        <f>IF(ISNUMBER(C57),IF(ISNUMBER(StackTemp3),StackTemp3,IF(Afterflows!V56="","",Afterflows!V56)),"")</f>
        <v/>
      </c>
      <c r="F57" s="89" t="str">
        <f t="shared" si="36"/>
        <v/>
      </c>
      <c r="G57" s="89" t="str">
        <f t="shared" si="37"/>
        <v/>
      </c>
      <c r="H57" s="89" t="str">
        <f t="shared" si="38"/>
        <v/>
      </c>
      <c r="I57" s="112" t="str">
        <f t="shared" si="25"/>
        <v/>
      </c>
      <c r="J57" s="777" t="str">
        <f>IF(C57="","",Afterflows!G56)</f>
        <v/>
      </c>
      <c r="K57" s="777" t="str">
        <f>IF(E57="","",Afterflows!H56)</f>
        <v/>
      </c>
      <c r="L57" s="110"/>
      <c r="M57" s="97"/>
      <c r="N57" s="114"/>
      <c r="P57" s="87" t="str">
        <f t="shared" si="26"/>
        <v/>
      </c>
      <c r="Q57" s="2071" t="str">
        <f t="shared" si="20"/>
        <v/>
      </c>
      <c r="R57" s="90" t="str">
        <f t="shared" si="19"/>
        <v/>
      </c>
      <c r="S57" s="90" t="str">
        <f>Velocity(PitotID3,PitotCoeff3,Afterflows!AB56,D57,E57,StackTempAvg3,AbsPress3,MolecularWt)</f>
        <v/>
      </c>
      <c r="T57" s="91" t="str">
        <f t="shared" si="27"/>
        <v/>
      </c>
      <c r="U57" s="91" t="str">
        <f t="shared" si="28"/>
        <v/>
      </c>
      <c r="V57" s="91" t="str">
        <f t="shared" si="29"/>
        <v/>
      </c>
      <c r="W57" s="91" t="str">
        <f>IF(ISNUMBER(V57),$G$5+SUM(V$15:V57)/Mratio3,"")</f>
        <v/>
      </c>
      <c r="X57" s="93" t="str">
        <f t="shared" si="30"/>
        <v/>
      </c>
      <c r="Z57" s="902" t="str">
        <f t="shared" si="31"/>
        <v/>
      </c>
      <c r="AA57" s="90" t="str">
        <f t="shared" si="21"/>
        <v/>
      </c>
      <c r="AB57" s="90" t="str">
        <f t="shared" si="32"/>
        <v/>
      </c>
      <c r="AC57" s="90" t="str">
        <f t="shared" si="22"/>
        <v/>
      </c>
      <c r="AD57" s="90" t="str">
        <f t="shared" si="23"/>
        <v/>
      </c>
      <c r="AE57" s="90" t="str">
        <f t="shared" si="24"/>
        <v/>
      </c>
      <c r="AF57" s="90" t="str">
        <f t="shared" si="33"/>
        <v/>
      </c>
      <c r="AG57" s="90" t="str">
        <f t="shared" si="34"/>
        <v/>
      </c>
      <c r="AH57" s="93" t="str">
        <f t="shared" si="35"/>
        <v/>
      </c>
      <c r="AJ57" s="925"/>
      <c r="AK57" s="923" t="s">
        <v>1</v>
      </c>
      <c r="AL57" s="919"/>
      <c r="AM57" s="936" t="e">
        <f>IF(ISERROR(AvgSqrtPaAft1),AvgSqrtPa3,AVERAGE(AvgSqrtPa3,AvgSqrtPaAft1))</f>
        <v>#DIV/0!</v>
      </c>
      <c r="AN57" s="919"/>
      <c r="AO57" s="922" t="s">
        <v>1245</v>
      </c>
      <c r="AP57" s="920"/>
      <c r="AQ57" s="920"/>
      <c r="AR57" s="920"/>
      <c r="AS57" s="920"/>
      <c r="AT57" s="921"/>
    </row>
    <row r="58" spans="1:46" ht="10.5" hidden="1" customHeight="1" outlineLevel="1">
      <c r="A58" s="87" t="str">
        <f>'Flows &amp; Isokinetics'!E58</f>
        <v/>
      </c>
      <c r="B58" s="88" t="str">
        <f>'Flows &amp; Isokinetics'!F58</f>
        <v/>
      </c>
      <c r="C58" s="777" t="str">
        <f>IF(Afterflows!W57="","",Afterflows!W57)</f>
        <v/>
      </c>
      <c r="D58" s="88" t="str">
        <f t="shared" si="18"/>
        <v/>
      </c>
      <c r="E58" s="288" t="str">
        <f>IF(ISNUMBER(C58),IF(ISNUMBER(StackTemp3),StackTemp3,IF(Afterflows!V57="","",Afterflows!V57)),"")</f>
        <v/>
      </c>
      <c r="F58" s="89" t="str">
        <f t="shared" si="36"/>
        <v/>
      </c>
      <c r="G58" s="89" t="str">
        <f t="shared" si="37"/>
        <v/>
      </c>
      <c r="H58" s="89" t="str">
        <f t="shared" si="38"/>
        <v/>
      </c>
      <c r="I58" s="112" t="str">
        <f t="shared" si="25"/>
        <v/>
      </c>
      <c r="J58" s="777" t="str">
        <f>IF(C58="","",Afterflows!G57)</f>
        <v/>
      </c>
      <c r="K58" s="777" t="str">
        <f>IF(E58="","",Afterflows!H57)</f>
        <v/>
      </c>
      <c r="L58" s="110"/>
      <c r="M58" s="97"/>
      <c r="N58" s="114"/>
      <c r="P58" s="87" t="str">
        <f t="shared" si="26"/>
        <v/>
      </c>
      <c r="Q58" s="2071" t="str">
        <f t="shared" si="20"/>
        <v/>
      </c>
      <c r="R58" s="90" t="str">
        <f t="shared" si="19"/>
        <v/>
      </c>
      <c r="S58" s="90" t="str">
        <f>Velocity(PitotID3,PitotCoeff3,Afterflows!AB57,D58,E58,StackTempAvg3,AbsPress3,MolecularWt)</f>
        <v/>
      </c>
      <c r="T58" s="91" t="str">
        <f t="shared" si="27"/>
        <v/>
      </c>
      <c r="U58" s="91" t="str">
        <f t="shared" si="28"/>
        <v/>
      </c>
      <c r="V58" s="91" t="str">
        <f t="shared" si="29"/>
        <v/>
      </c>
      <c r="W58" s="91" t="str">
        <f>IF(ISNUMBER(V58),$G$5+SUM(V$15:V58)/Mratio3,"")</f>
        <v/>
      </c>
      <c r="X58" s="93" t="str">
        <f t="shared" si="30"/>
        <v/>
      </c>
      <c r="Z58" s="902" t="str">
        <f t="shared" si="31"/>
        <v/>
      </c>
      <c r="AA58" s="90" t="str">
        <f t="shared" si="21"/>
        <v/>
      </c>
      <c r="AB58" s="90" t="str">
        <f t="shared" si="32"/>
        <v/>
      </c>
      <c r="AC58" s="90" t="str">
        <f t="shared" si="22"/>
        <v/>
      </c>
      <c r="AD58" s="90" t="str">
        <f t="shared" si="23"/>
        <v/>
      </c>
      <c r="AE58" s="90" t="str">
        <f t="shared" si="24"/>
        <v/>
      </c>
      <c r="AF58" s="90" t="str">
        <f t="shared" si="33"/>
        <v/>
      </c>
      <c r="AG58" s="90" t="str">
        <f t="shared" si="34"/>
        <v/>
      </c>
      <c r="AH58" s="93" t="str">
        <f t="shared" si="35"/>
        <v/>
      </c>
      <c r="AJ58" s="925"/>
      <c r="AK58" s="923" t="s">
        <v>1</v>
      </c>
      <c r="AL58" s="919"/>
      <c r="AM58" s="937" t="e">
        <f>0.0633609*AM57</f>
        <v>#DIV/0!</v>
      </c>
      <c r="AN58" s="919"/>
      <c r="AO58" s="922" t="s">
        <v>1259</v>
      </c>
      <c r="AP58" s="920"/>
      <c r="AQ58" s="920"/>
      <c r="AR58" s="920"/>
      <c r="AS58" s="920"/>
      <c r="AT58" s="921"/>
    </row>
    <row r="59" spans="1:46" ht="10.5" hidden="1" customHeight="1" outlineLevel="1">
      <c r="A59" s="87" t="str">
        <f>'Flows &amp; Isokinetics'!E59</f>
        <v/>
      </c>
      <c r="B59" s="88" t="str">
        <f>'Flows &amp; Isokinetics'!F59</f>
        <v/>
      </c>
      <c r="C59" s="777" t="str">
        <f>IF(Afterflows!W58="","",Afterflows!W58)</f>
        <v/>
      </c>
      <c r="D59" s="88" t="str">
        <f t="shared" si="18"/>
        <v/>
      </c>
      <c r="E59" s="288" t="str">
        <f>IF(ISNUMBER(C59),IF(ISNUMBER(StackTemp3),StackTemp3,IF(Afterflows!V58="","",Afterflows!V58)),"")</f>
        <v/>
      </c>
      <c r="F59" s="89" t="str">
        <f t="shared" si="36"/>
        <v/>
      </c>
      <c r="G59" s="89" t="str">
        <f t="shared" si="37"/>
        <v/>
      </c>
      <c r="H59" s="89" t="str">
        <f t="shared" si="38"/>
        <v/>
      </c>
      <c r="I59" s="112" t="str">
        <f t="shared" si="25"/>
        <v/>
      </c>
      <c r="J59" s="777" t="str">
        <f>IF(C59="","",Afterflows!G58)</f>
        <v/>
      </c>
      <c r="K59" s="777" t="str">
        <f>IF(E59="","",Afterflows!H58)</f>
        <v/>
      </c>
      <c r="L59" s="110"/>
      <c r="M59" s="97"/>
      <c r="N59" s="114"/>
      <c r="P59" s="87" t="str">
        <f t="shared" si="26"/>
        <v/>
      </c>
      <c r="Q59" s="2071" t="str">
        <f t="shared" si="20"/>
        <v/>
      </c>
      <c r="R59" s="90" t="str">
        <f t="shared" si="19"/>
        <v/>
      </c>
      <c r="S59" s="90" t="str">
        <f>Velocity(PitotID3,PitotCoeff3,Afterflows!AB58,D59,E59,StackTempAvg3,AbsPress3,MolecularWt)</f>
        <v/>
      </c>
      <c r="T59" s="91" t="str">
        <f t="shared" si="27"/>
        <v/>
      </c>
      <c r="U59" s="91" t="str">
        <f t="shared" si="28"/>
        <v/>
      </c>
      <c r="V59" s="91" t="str">
        <f t="shared" si="29"/>
        <v/>
      </c>
      <c r="W59" s="91" t="str">
        <f>IF(ISNUMBER(V59),$G$5+SUM(V$15:V59)/Mratio3,"")</f>
        <v/>
      </c>
      <c r="X59" s="93" t="str">
        <f t="shared" si="30"/>
        <v/>
      </c>
      <c r="Z59" s="902" t="str">
        <f t="shared" si="31"/>
        <v/>
      </c>
      <c r="AA59" s="90" t="str">
        <f t="shared" si="21"/>
        <v/>
      </c>
      <c r="AB59" s="90" t="str">
        <f t="shared" si="32"/>
        <v/>
      </c>
      <c r="AC59" s="90" t="str">
        <f t="shared" si="22"/>
        <v/>
      </c>
      <c r="AD59" s="90" t="str">
        <f t="shared" si="23"/>
        <v/>
      </c>
      <c r="AE59" s="90" t="str">
        <f t="shared" si="24"/>
        <v/>
      </c>
      <c r="AF59" s="90" t="str">
        <f t="shared" si="33"/>
        <v/>
      </c>
      <c r="AG59" s="90" t="str">
        <f t="shared" si="34"/>
        <v/>
      </c>
      <c r="AH59" s="93" t="str">
        <f t="shared" si="35"/>
        <v/>
      </c>
      <c r="AJ59" s="925"/>
      <c r="AK59" s="922"/>
      <c r="AL59" s="919"/>
      <c r="AM59" s="919"/>
      <c r="AN59" s="919"/>
      <c r="AO59" s="922"/>
      <c r="AP59" s="920"/>
      <c r="AQ59" s="920"/>
      <c r="AR59" s="920"/>
      <c r="AS59" s="940" t="s">
        <v>1474</v>
      </c>
      <c r="AT59" s="921"/>
    </row>
    <row r="60" spans="1:46" ht="10.5" hidden="1" customHeight="1" outlineLevel="1">
      <c r="A60" s="87" t="str">
        <f>'Flows &amp; Isokinetics'!E60</f>
        <v/>
      </c>
      <c r="B60" s="88" t="str">
        <f>'Flows &amp; Isokinetics'!F60</f>
        <v/>
      </c>
      <c r="C60" s="777" t="str">
        <f>IF(Afterflows!W59="","",Afterflows!W59)</f>
        <v/>
      </c>
      <c r="D60" s="88" t="str">
        <f t="shared" si="18"/>
        <v/>
      </c>
      <c r="E60" s="288" t="str">
        <f>IF(ISNUMBER(C60),IF(ISNUMBER(StackTemp3),StackTemp3,IF(Afterflows!V59="","",Afterflows!V59)),"")</f>
        <v/>
      </c>
      <c r="F60" s="89" t="str">
        <f t="shared" si="36"/>
        <v/>
      </c>
      <c r="G60" s="89" t="str">
        <f t="shared" si="37"/>
        <v/>
      </c>
      <c r="H60" s="89" t="str">
        <f t="shared" si="38"/>
        <v/>
      </c>
      <c r="I60" s="112" t="str">
        <f t="shared" si="25"/>
        <v/>
      </c>
      <c r="J60" s="777" t="str">
        <f>IF(C60="","",Afterflows!G59)</f>
        <v/>
      </c>
      <c r="K60" s="777" t="str">
        <f>IF(E60="","",Afterflows!H59)</f>
        <v/>
      </c>
      <c r="L60" s="110"/>
      <c r="M60" s="97"/>
      <c r="N60" s="114"/>
      <c r="P60" s="87" t="str">
        <f t="shared" si="26"/>
        <v/>
      </c>
      <c r="Q60" s="2071" t="str">
        <f t="shared" si="20"/>
        <v/>
      </c>
      <c r="R60" s="90" t="str">
        <f t="shared" si="19"/>
        <v/>
      </c>
      <c r="S60" s="90" t="str">
        <f>Velocity(PitotID3,PitotCoeff3,Afterflows!AB59,D60,E60,StackTempAvg3,AbsPress3,MolecularWt)</f>
        <v/>
      </c>
      <c r="T60" s="91" t="str">
        <f t="shared" si="27"/>
        <v/>
      </c>
      <c r="U60" s="91" t="str">
        <f t="shared" si="28"/>
        <v/>
      </c>
      <c r="V60" s="91" t="str">
        <f t="shared" si="29"/>
        <v/>
      </c>
      <c r="W60" s="91" t="str">
        <f>IF(ISNUMBER(V60),$G$5+SUM(V$15:V60)/Mratio3,"")</f>
        <v/>
      </c>
      <c r="X60" s="93" t="str">
        <f t="shared" si="30"/>
        <v/>
      </c>
      <c r="Z60" s="902" t="str">
        <f t="shared" si="31"/>
        <v/>
      </c>
      <c r="AA60" s="90" t="str">
        <f t="shared" si="21"/>
        <v/>
      </c>
      <c r="AB60" s="90" t="str">
        <f t="shared" si="32"/>
        <v/>
      </c>
      <c r="AC60" s="90" t="str">
        <f t="shared" si="22"/>
        <v/>
      </c>
      <c r="AD60" s="90" t="str">
        <f t="shared" si="23"/>
        <v/>
      </c>
      <c r="AE60" s="90" t="str">
        <f t="shared" si="24"/>
        <v/>
      </c>
      <c r="AF60" s="90" t="str">
        <f t="shared" si="33"/>
        <v/>
      </c>
      <c r="AG60" s="90" t="str">
        <f t="shared" si="34"/>
        <v/>
      </c>
      <c r="AH60" s="93" t="str">
        <f t="shared" si="35"/>
        <v/>
      </c>
      <c r="AJ60" s="925"/>
      <c r="AK60" s="923" t="s">
        <v>1252</v>
      </c>
      <c r="AL60" s="919"/>
      <c r="AM60" s="937" t="e">
        <f>Details!G69*0.02953</f>
        <v>#DIV/0!</v>
      </c>
      <c r="AN60" s="919"/>
      <c r="AO60" s="922" t="s">
        <v>1250</v>
      </c>
      <c r="AP60" s="920"/>
      <c r="AQ60" s="920"/>
      <c r="AR60" s="920"/>
      <c r="AS60" s="941" t="s">
        <v>1243</v>
      </c>
      <c r="AT60" s="921"/>
    </row>
    <row r="61" spans="1:46" ht="10.5" hidden="1" customHeight="1" outlineLevel="1">
      <c r="A61" s="87" t="str">
        <f>'Flows &amp; Isokinetics'!E61</f>
        <v/>
      </c>
      <c r="B61" s="88" t="str">
        <f>'Flows &amp; Isokinetics'!F61</f>
        <v/>
      </c>
      <c r="C61" s="777" t="str">
        <f>IF(Afterflows!W60="","",Afterflows!W60)</f>
        <v/>
      </c>
      <c r="D61" s="88" t="str">
        <f t="shared" si="18"/>
        <v/>
      </c>
      <c r="E61" s="288" t="str">
        <f>IF(ISNUMBER(C61),IF(ISNUMBER(StackTemp3),StackTemp3,IF(Afterflows!V60="","",Afterflows!V60)),"")</f>
        <v/>
      </c>
      <c r="F61" s="89" t="str">
        <f t="shared" si="36"/>
        <v/>
      </c>
      <c r="G61" s="89" t="str">
        <f t="shared" si="37"/>
        <v/>
      </c>
      <c r="H61" s="89" t="str">
        <f t="shared" si="38"/>
        <v/>
      </c>
      <c r="I61" s="112" t="str">
        <f t="shared" si="25"/>
        <v/>
      </c>
      <c r="J61" s="777" t="str">
        <f>IF(C61="","",Afterflows!G60)</f>
        <v/>
      </c>
      <c r="K61" s="777" t="str">
        <f>IF(E61="","",Afterflows!H60)</f>
        <v/>
      </c>
      <c r="L61" s="110"/>
      <c r="M61" s="97"/>
      <c r="N61" s="114"/>
      <c r="P61" s="87" t="str">
        <f t="shared" si="26"/>
        <v/>
      </c>
      <c r="Q61" s="2071" t="str">
        <f t="shared" si="20"/>
        <v/>
      </c>
      <c r="R61" s="90" t="str">
        <f t="shared" si="19"/>
        <v/>
      </c>
      <c r="S61" s="90" t="str">
        <f>Velocity(PitotID3,PitotCoeff3,Afterflows!AB60,D61,E61,StackTempAvg3,AbsPress3,MolecularWt)</f>
        <v/>
      </c>
      <c r="T61" s="91" t="str">
        <f t="shared" si="27"/>
        <v/>
      </c>
      <c r="U61" s="91" t="str">
        <f t="shared" si="28"/>
        <v/>
      </c>
      <c r="V61" s="91" t="str">
        <f t="shared" si="29"/>
        <v/>
      </c>
      <c r="W61" s="91" t="str">
        <f>IF(ISNUMBER(V61),$G$5+SUM(V$15:V61)/Mratio3,"")</f>
        <v/>
      </c>
      <c r="X61" s="93" t="str">
        <f t="shared" si="30"/>
        <v/>
      </c>
      <c r="Z61" s="902" t="str">
        <f t="shared" si="31"/>
        <v/>
      </c>
      <c r="AA61" s="90" t="str">
        <f t="shared" si="21"/>
        <v/>
      </c>
      <c r="AB61" s="90" t="str">
        <f t="shared" si="32"/>
        <v/>
      </c>
      <c r="AC61" s="90" t="str">
        <f t="shared" si="22"/>
        <v/>
      </c>
      <c r="AD61" s="90" t="str">
        <f t="shared" si="23"/>
        <v/>
      </c>
      <c r="AE61" s="90" t="str">
        <f t="shared" si="24"/>
        <v/>
      </c>
      <c r="AF61" s="90" t="str">
        <f t="shared" si="33"/>
        <v/>
      </c>
      <c r="AG61" s="90" t="str">
        <f t="shared" si="34"/>
        <v/>
      </c>
      <c r="AH61" s="93" t="str">
        <f t="shared" si="35"/>
        <v/>
      </c>
      <c r="AJ61" s="925"/>
      <c r="AK61" s="923" t="s">
        <v>1252</v>
      </c>
      <c r="AL61" s="919"/>
      <c r="AM61" s="933" t="e">
        <f>Details!G69*0.750062</f>
        <v>#DIV/0!</v>
      </c>
      <c r="AN61" s="919"/>
      <c r="AO61" s="922" t="s">
        <v>1251</v>
      </c>
      <c r="AP61" s="920"/>
      <c r="AQ61" s="920"/>
      <c r="AR61" s="920"/>
      <c r="AS61" s="941" t="s">
        <v>1244</v>
      </c>
      <c r="AT61" s="921"/>
    </row>
    <row r="62" spans="1:46" ht="10.5" hidden="1" customHeight="1" outlineLevel="1">
      <c r="A62" s="87" t="str">
        <f>'Flows &amp; Isokinetics'!E62</f>
        <v/>
      </c>
      <c r="B62" s="88" t="str">
        <f>'Flows &amp; Isokinetics'!F62</f>
        <v/>
      </c>
      <c r="C62" s="777" t="str">
        <f>IF(Afterflows!W61="","",Afterflows!W61)</f>
        <v/>
      </c>
      <c r="D62" s="88" t="str">
        <f t="shared" si="18"/>
        <v/>
      </c>
      <c r="E62" s="288" t="str">
        <f>IF(ISNUMBER(C62),IF(ISNUMBER(StackTemp3),StackTemp3,IF(Afterflows!V61="","",Afterflows!V61)),"")</f>
        <v/>
      </c>
      <c r="F62" s="89" t="str">
        <f t="shared" si="36"/>
        <v/>
      </c>
      <c r="G62" s="89" t="str">
        <f t="shared" si="37"/>
        <v/>
      </c>
      <c r="H62" s="89" t="str">
        <f t="shared" si="38"/>
        <v/>
      </c>
      <c r="I62" s="112" t="str">
        <f t="shared" si="25"/>
        <v/>
      </c>
      <c r="J62" s="777" t="str">
        <f>IF(C62="","",Afterflows!G61)</f>
        <v/>
      </c>
      <c r="K62" s="777" t="str">
        <f>IF(E62="","",Afterflows!H61)</f>
        <v/>
      </c>
      <c r="L62" s="110"/>
      <c r="M62" s="97"/>
      <c r="N62" s="114"/>
      <c r="P62" s="87" t="str">
        <f t="shared" si="26"/>
        <v/>
      </c>
      <c r="Q62" s="2071" t="str">
        <f t="shared" si="20"/>
        <v/>
      </c>
      <c r="R62" s="90" t="str">
        <f t="shared" si="19"/>
        <v/>
      </c>
      <c r="S62" s="90" t="str">
        <f>Velocity(PitotID3,PitotCoeff3,Afterflows!AB61,D62,E62,StackTempAvg3,AbsPress3,MolecularWt)</f>
        <v/>
      </c>
      <c r="T62" s="91" t="str">
        <f t="shared" si="27"/>
        <v/>
      </c>
      <c r="U62" s="91" t="str">
        <f t="shared" si="28"/>
        <v/>
      </c>
      <c r="V62" s="91" t="str">
        <f t="shared" si="29"/>
        <v/>
      </c>
      <c r="W62" s="91" t="str">
        <f>IF(ISNUMBER(V62),$G$5+SUM(V$15:V62)/Mratio3,"")</f>
        <v/>
      </c>
      <c r="X62" s="93" t="str">
        <f t="shared" si="30"/>
        <v/>
      </c>
      <c r="Z62" s="902" t="str">
        <f t="shared" si="31"/>
        <v/>
      </c>
      <c r="AA62" s="90" t="str">
        <f t="shared" si="21"/>
        <v/>
      </c>
      <c r="AB62" s="90" t="str">
        <f t="shared" si="32"/>
        <v/>
      </c>
      <c r="AC62" s="90" t="str">
        <f t="shared" si="22"/>
        <v/>
      </c>
      <c r="AD62" s="90" t="str">
        <f t="shared" si="23"/>
        <v/>
      </c>
      <c r="AE62" s="90" t="str">
        <f t="shared" si="24"/>
        <v/>
      </c>
      <c r="AF62" s="90" t="str">
        <f t="shared" si="33"/>
        <v/>
      </c>
      <c r="AG62" s="90" t="str">
        <f t="shared" si="34"/>
        <v/>
      </c>
      <c r="AH62" s="93" t="str">
        <f t="shared" si="35"/>
        <v/>
      </c>
      <c r="AJ62" s="939"/>
      <c r="AK62" s="920"/>
      <c r="AL62" s="920"/>
      <c r="AM62" s="920"/>
      <c r="AN62" s="920"/>
      <c r="AO62" s="920"/>
      <c r="AP62" s="920"/>
      <c r="AQ62" s="920"/>
      <c r="AR62" s="920"/>
      <c r="AS62" s="941" t="s">
        <v>289</v>
      </c>
      <c r="AT62" s="921"/>
    </row>
    <row r="63" spans="1:46" ht="10.5" hidden="1" customHeight="1" outlineLevel="1">
      <c r="A63" s="87" t="str">
        <f>'Flows &amp; Isokinetics'!E63</f>
        <v/>
      </c>
      <c r="B63" s="88" t="str">
        <f>'Flows &amp; Isokinetics'!F63</f>
        <v/>
      </c>
      <c r="C63" s="777" t="str">
        <f>IF(Afterflows!W62="","",Afterflows!W62)</f>
        <v/>
      </c>
      <c r="D63" s="88" t="str">
        <f t="shared" si="18"/>
        <v/>
      </c>
      <c r="E63" s="288" t="str">
        <f>IF(ISNUMBER(C63),IF(ISNUMBER(StackTemp3),StackTemp3,IF(Afterflows!V62="","",Afterflows!V62)),"")</f>
        <v/>
      </c>
      <c r="F63" s="89" t="str">
        <f t="shared" si="36"/>
        <v/>
      </c>
      <c r="G63" s="89" t="str">
        <f t="shared" si="37"/>
        <v/>
      </c>
      <c r="H63" s="89" t="str">
        <f t="shared" si="38"/>
        <v/>
      </c>
      <c r="I63" s="112" t="str">
        <f t="shared" si="25"/>
        <v/>
      </c>
      <c r="J63" s="777" t="str">
        <f>IF(C63="","",Afterflows!G62)</f>
        <v/>
      </c>
      <c r="K63" s="777" t="str">
        <f>IF(E63="","",Afterflows!H62)</f>
        <v/>
      </c>
      <c r="L63" s="110"/>
      <c r="M63" s="97"/>
      <c r="N63" s="114"/>
      <c r="P63" s="87" t="str">
        <f t="shared" si="26"/>
        <v/>
      </c>
      <c r="Q63" s="2071" t="str">
        <f t="shared" si="20"/>
        <v/>
      </c>
      <c r="R63" s="90" t="str">
        <f t="shared" si="19"/>
        <v/>
      </c>
      <c r="S63" s="90" t="str">
        <f>Velocity(PitotID3,PitotCoeff3,Afterflows!AB62,D63,E63,StackTempAvg3,AbsPress3,MolecularWt)</f>
        <v/>
      </c>
      <c r="T63" s="91" t="str">
        <f t="shared" si="27"/>
        <v/>
      </c>
      <c r="U63" s="91" t="str">
        <f t="shared" si="28"/>
        <v/>
      </c>
      <c r="V63" s="91" t="str">
        <f t="shared" si="29"/>
        <v/>
      </c>
      <c r="W63" s="91" t="str">
        <f>IF(ISNUMBER(V63),$G$5+SUM(V$15:V63)/Mratio3,"")</f>
        <v/>
      </c>
      <c r="X63" s="93" t="str">
        <f t="shared" si="30"/>
        <v/>
      </c>
      <c r="Z63" s="902" t="str">
        <f t="shared" si="31"/>
        <v/>
      </c>
      <c r="AA63" s="90" t="str">
        <f t="shared" si="21"/>
        <v/>
      </c>
      <c r="AB63" s="90" t="str">
        <f t="shared" si="32"/>
        <v/>
      </c>
      <c r="AC63" s="90" t="str">
        <f t="shared" si="22"/>
        <v/>
      </c>
      <c r="AD63" s="90" t="str">
        <f t="shared" si="23"/>
        <v/>
      </c>
      <c r="AE63" s="90" t="str">
        <f t="shared" si="24"/>
        <v/>
      </c>
      <c r="AF63" s="90" t="str">
        <f t="shared" si="33"/>
        <v/>
      </c>
      <c r="AG63" s="90" t="str">
        <f t="shared" si="34"/>
        <v/>
      </c>
      <c r="AH63" s="93" t="str">
        <f t="shared" si="35"/>
        <v/>
      </c>
      <c r="AJ63" s="939"/>
      <c r="AK63" s="920"/>
      <c r="AL63" s="920"/>
      <c r="AM63" s="920"/>
      <c r="AN63" s="920"/>
      <c r="AO63" s="920"/>
      <c r="AP63" s="920"/>
      <c r="AQ63" s="920"/>
      <c r="AR63" s="920"/>
      <c r="AS63" s="941" t="s">
        <v>287</v>
      </c>
      <c r="AT63" s="921"/>
    </row>
    <row r="64" spans="1:46" ht="10.5" hidden="1" customHeight="1" outlineLevel="1">
      <c r="A64" s="87" t="str">
        <f>'Flows &amp; Isokinetics'!E64</f>
        <v/>
      </c>
      <c r="B64" s="88" t="str">
        <f>'Flows &amp; Isokinetics'!F64</f>
        <v/>
      </c>
      <c r="C64" s="777" t="str">
        <f>IF(Afterflows!W63="","",Afterflows!W63)</f>
        <v/>
      </c>
      <c r="D64" s="88" t="str">
        <f t="shared" si="18"/>
        <v/>
      </c>
      <c r="E64" s="288" t="str">
        <f>IF(ISNUMBER(C64),IF(ISNUMBER(StackTemp3),StackTemp3,IF(Afterflows!V63="","",Afterflows!V63)),"")</f>
        <v/>
      </c>
      <c r="F64" s="89" t="str">
        <f t="shared" si="36"/>
        <v/>
      </c>
      <c r="G64" s="89" t="str">
        <f t="shared" si="37"/>
        <v/>
      </c>
      <c r="H64" s="89" t="str">
        <f t="shared" si="38"/>
        <v/>
      </c>
      <c r="I64" s="112" t="str">
        <f t="shared" si="25"/>
        <v/>
      </c>
      <c r="J64" s="777" t="str">
        <f>IF(C64="","",Afterflows!G63)</f>
        <v/>
      </c>
      <c r="K64" s="777" t="str">
        <f>IF(E64="","",Afterflows!H63)</f>
        <v/>
      </c>
      <c r="L64" s="110"/>
      <c r="M64" s="97"/>
      <c r="N64" s="114"/>
      <c r="P64" s="87" t="str">
        <f t="shared" si="26"/>
        <v/>
      </c>
      <c r="Q64" s="2071" t="str">
        <f t="shared" si="20"/>
        <v/>
      </c>
      <c r="R64" s="90" t="str">
        <f t="shared" si="19"/>
        <v/>
      </c>
      <c r="S64" s="90" t="str">
        <f>Velocity(PitotID3,PitotCoeff3,Afterflows!AB63,D64,E64,StackTempAvg3,AbsPress3,MolecularWt)</f>
        <v/>
      </c>
      <c r="T64" s="91" t="str">
        <f t="shared" si="27"/>
        <v/>
      </c>
      <c r="U64" s="91" t="str">
        <f t="shared" si="28"/>
        <v/>
      </c>
      <c r="V64" s="91" t="str">
        <f t="shared" si="29"/>
        <v/>
      </c>
      <c r="W64" s="91" t="str">
        <f>IF(ISNUMBER(V64),$G$5+SUM(V$15:V64)/Mratio3,"")</f>
        <v/>
      </c>
      <c r="X64" s="93" t="str">
        <f t="shared" si="30"/>
        <v/>
      </c>
      <c r="Z64" s="902" t="str">
        <f t="shared" si="31"/>
        <v/>
      </c>
      <c r="AA64" s="90" t="str">
        <f t="shared" si="21"/>
        <v/>
      </c>
      <c r="AB64" s="90" t="str">
        <f t="shared" si="32"/>
        <v/>
      </c>
      <c r="AC64" s="90" t="str">
        <f t="shared" si="22"/>
        <v/>
      </c>
      <c r="AD64" s="90" t="str">
        <f t="shared" si="23"/>
        <v/>
      </c>
      <c r="AE64" s="90" t="str">
        <f t="shared" si="24"/>
        <v/>
      </c>
      <c r="AF64" s="90" t="str">
        <f t="shared" si="33"/>
        <v/>
      </c>
      <c r="AG64" s="90" t="str">
        <f t="shared" si="34"/>
        <v/>
      </c>
      <c r="AH64" s="93" t="str">
        <f t="shared" si="35"/>
        <v/>
      </c>
      <c r="AJ64" s="939"/>
      <c r="AK64" s="920"/>
      <c r="AL64" s="920"/>
      <c r="AM64" s="920"/>
      <c r="AN64" s="920"/>
      <c r="AO64" s="920"/>
      <c r="AP64" s="920"/>
      <c r="AQ64" s="920"/>
      <c r="AR64" s="920"/>
      <c r="AS64" s="942" t="s">
        <v>290</v>
      </c>
      <c r="AT64" s="921"/>
    </row>
    <row r="65" spans="1:46" ht="10.5" hidden="1" customHeight="1" outlineLevel="1">
      <c r="A65" s="87" t="str">
        <f>'Flows &amp; Isokinetics'!E65</f>
        <v/>
      </c>
      <c r="B65" s="88" t="str">
        <f>'Flows &amp; Isokinetics'!F65</f>
        <v/>
      </c>
      <c r="C65" s="777" t="str">
        <f>IF(Afterflows!W64="","",Afterflows!W64)</f>
        <v/>
      </c>
      <c r="D65" s="88" t="str">
        <f t="shared" si="18"/>
        <v/>
      </c>
      <c r="E65" s="288" t="str">
        <f>IF(ISNUMBER(C65),IF(ISNUMBER(StackTemp3),StackTemp3,IF(Afterflows!V64="","",Afterflows!V64)),"")</f>
        <v/>
      </c>
      <c r="F65" s="89" t="str">
        <f t="shared" si="36"/>
        <v/>
      </c>
      <c r="G65" s="89" t="str">
        <f t="shared" si="37"/>
        <v/>
      </c>
      <c r="H65" s="89" t="str">
        <f t="shared" si="38"/>
        <v/>
      </c>
      <c r="I65" s="112" t="str">
        <f t="shared" si="25"/>
        <v/>
      </c>
      <c r="J65" s="777" t="str">
        <f>IF(C65="","",Afterflows!G64)</f>
        <v/>
      </c>
      <c r="K65" s="777" t="str">
        <f>IF(E65="","",Afterflows!H64)</f>
        <v/>
      </c>
      <c r="L65" s="110"/>
      <c r="M65" s="97"/>
      <c r="N65" s="114"/>
      <c r="P65" s="87" t="str">
        <f t="shared" si="26"/>
        <v/>
      </c>
      <c r="Q65" s="2071" t="str">
        <f t="shared" si="20"/>
        <v/>
      </c>
      <c r="R65" s="90" t="str">
        <f t="shared" si="19"/>
        <v/>
      </c>
      <c r="S65" s="90" t="str">
        <f>Velocity(PitotID3,PitotCoeff3,Afterflows!AB64,D65,E65,StackTempAvg3,AbsPress3,MolecularWt)</f>
        <v/>
      </c>
      <c r="T65" s="91" t="str">
        <f t="shared" si="27"/>
        <v/>
      </c>
      <c r="U65" s="91" t="str">
        <f t="shared" si="28"/>
        <v/>
      </c>
      <c r="V65" s="91" t="str">
        <f t="shared" si="29"/>
        <v/>
      </c>
      <c r="W65" s="91" t="str">
        <f>IF(ISNUMBER(V65),$G$5+SUM(V$15:V65)/Mratio3,"")</f>
        <v/>
      </c>
      <c r="X65" s="93" t="str">
        <f t="shared" si="30"/>
        <v/>
      </c>
      <c r="Z65" s="902" t="str">
        <f t="shared" si="31"/>
        <v/>
      </c>
      <c r="AA65" s="90" t="str">
        <f t="shared" si="21"/>
        <v/>
      </c>
      <c r="AB65" s="90" t="str">
        <f t="shared" si="32"/>
        <v/>
      </c>
      <c r="AC65" s="90" t="str">
        <f t="shared" si="22"/>
        <v/>
      </c>
      <c r="AD65" s="90" t="str">
        <f t="shared" si="23"/>
        <v/>
      </c>
      <c r="AE65" s="90" t="str">
        <f t="shared" si="24"/>
        <v/>
      </c>
      <c r="AF65" s="90" t="str">
        <f t="shared" si="33"/>
        <v/>
      </c>
      <c r="AG65" s="90" t="str">
        <f t="shared" si="34"/>
        <v/>
      </c>
      <c r="AH65" s="93" t="str">
        <f t="shared" si="35"/>
        <v/>
      </c>
      <c r="AJ65" s="939"/>
      <c r="AK65" s="920"/>
      <c r="AL65" s="920"/>
      <c r="AM65" s="920"/>
      <c r="AN65" s="920"/>
      <c r="AO65" s="920"/>
      <c r="AP65" s="920"/>
      <c r="AQ65" s="920"/>
      <c r="AR65" s="920"/>
      <c r="AS65" s="941" t="s">
        <v>286</v>
      </c>
      <c r="AT65" s="921"/>
    </row>
    <row r="66" spans="1:46" ht="10.5" hidden="1" customHeight="1" outlineLevel="1">
      <c r="A66" s="87" t="str">
        <f>'Flows &amp; Isokinetics'!E66</f>
        <v/>
      </c>
      <c r="B66" s="88" t="str">
        <f>'Flows &amp; Isokinetics'!F66</f>
        <v/>
      </c>
      <c r="C66" s="777" t="str">
        <f>IF(Afterflows!W65="","",Afterflows!W65)</f>
        <v/>
      </c>
      <c r="D66" s="88" t="str">
        <f t="shared" si="18"/>
        <v/>
      </c>
      <c r="E66" s="288" t="str">
        <f>IF(ISNUMBER(C66),IF(ISNUMBER(StackTemp3),StackTemp3,IF(Afterflows!V65="","",Afterflows!V65)),"")</f>
        <v/>
      </c>
      <c r="F66" s="89" t="str">
        <f t="shared" si="36"/>
        <v/>
      </c>
      <c r="G66" s="89" t="str">
        <f t="shared" si="37"/>
        <v/>
      </c>
      <c r="H66" s="89" t="str">
        <f t="shared" si="38"/>
        <v/>
      </c>
      <c r="I66" s="112" t="str">
        <f t="shared" si="25"/>
        <v/>
      </c>
      <c r="J66" s="777" t="str">
        <f>IF(C66="","",Afterflows!G65)</f>
        <v/>
      </c>
      <c r="K66" s="777" t="str">
        <f>IF(E66="","",Afterflows!H65)</f>
        <v/>
      </c>
      <c r="L66" s="110"/>
      <c r="M66" s="97"/>
      <c r="N66" s="114"/>
      <c r="P66" s="87" t="str">
        <f t="shared" si="26"/>
        <v/>
      </c>
      <c r="Q66" s="2071" t="str">
        <f t="shared" si="20"/>
        <v/>
      </c>
      <c r="R66" s="90" t="str">
        <f t="shared" si="19"/>
        <v/>
      </c>
      <c r="S66" s="90" t="str">
        <f>Velocity(PitotID3,PitotCoeff3,Afterflows!AB65,D66,E66,StackTempAvg3,AbsPress3,MolecularWt)</f>
        <v/>
      </c>
      <c r="T66" s="91" t="str">
        <f t="shared" si="27"/>
        <v/>
      </c>
      <c r="U66" s="91" t="str">
        <f t="shared" si="28"/>
        <v/>
      </c>
      <c r="V66" s="91" t="str">
        <f t="shared" si="29"/>
        <v/>
      </c>
      <c r="W66" s="91" t="str">
        <f>IF(ISNUMBER(V66),$G$5+SUM(V$15:V66)/Mratio3,"")</f>
        <v/>
      </c>
      <c r="X66" s="93" t="str">
        <f t="shared" si="30"/>
        <v/>
      </c>
      <c r="Z66" s="902" t="str">
        <f t="shared" si="31"/>
        <v/>
      </c>
      <c r="AA66" s="90" t="str">
        <f t="shared" si="21"/>
        <v/>
      </c>
      <c r="AB66" s="90" t="str">
        <f t="shared" si="32"/>
        <v/>
      </c>
      <c r="AC66" s="90" t="str">
        <f t="shared" si="22"/>
        <v/>
      </c>
      <c r="AD66" s="90" t="str">
        <f t="shared" si="23"/>
        <v/>
      </c>
      <c r="AE66" s="90" t="str">
        <f t="shared" si="24"/>
        <v/>
      </c>
      <c r="AF66" s="90" t="str">
        <f t="shared" si="33"/>
        <v/>
      </c>
      <c r="AG66" s="90" t="str">
        <f t="shared" si="34"/>
        <v/>
      </c>
      <c r="AH66" s="93" t="str">
        <f t="shared" si="35"/>
        <v/>
      </c>
      <c r="AJ66" s="939"/>
      <c r="AK66" s="920"/>
      <c r="AL66" s="920"/>
      <c r="AM66" s="920"/>
      <c r="AN66" s="920"/>
      <c r="AO66" s="920"/>
      <c r="AP66" s="920"/>
      <c r="AQ66" s="920"/>
      <c r="AR66" s="920"/>
      <c r="AS66" s="942"/>
      <c r="AT66" s="921"/>
    </row>
    <row r="67" spans="1:46" ht="10.5" hidden="1" customHeight="1" outlineLevel="1">
      <c r="A67" s="87" t="str">
        <f>'Flows &amp; Isokinetics'!E67</f>
        <v/>
      </c>
      <c r="B67" s="88" t="str">
        <f>'Flows &amp; Isokinetics'!F67</f>
        <v/>
      </c>
      <c r="C67" s="777" t="str">
        <f>IF(Afterflows!W66="","",Afterflows!W66)</f>
        <v/>
      </c>
      <c r="D67" s="88" t="str">
        <f t="shared" si="18"/>
        <v/>
      </c>
      <c r="E67" s="288" t="str">
        <f>IF(ISNUMBER(C67),IF(ISNUMBER(StackTemp3),StackTemp3,IF(Afterflows!V66="","",Afterflows!V66)),"")</f>
        <v/>
      </c>
      <c r="F67" s="89" t="str">
        <f t="shared" si="36"/>
        <v/>
      </c>
      <c r="G67" s="89" t="str">
        <f t="shared" si="37"/>
        <v/>
      </c>
      <c r="H67" s="89" t="str">
        <f t="shared" si="38"/>
        <v/>
      </c>
      <c r="I67" s="112" t="str">
        <f t="shared" si="25"/>
        <v/>
      </c>
      <c r="J67" s="777" t="str">
        <f>IF(C67="","",Afterflows!G66)</f>
        <v/>
      </c>
      <c r="K67" s="777" t="str">
        <f>IF(E67="","",Afterflows!H66)</f>
        <v/>
      </c>
      <c r="L67" s="110"/>
      <c r="M67" s="97"/>
      <c r="N67" s="114"/>
      <c r="P67" s="87" t="str">
        <f t="shared" si="26"/>
        <v/>
      </c>
      <c r="Q67" s="2071" t="str">
        <f t="shared" si="20"/>
        <v/>
      </c>
      <c r="R67" s="90" t="str">
        <f t="shared" si="19"/>
        <v/>
      </c>
      <c r="S67" s="90" t="str">
        <f>Velocity(PitotID3,PitotCoeff3,Afterflows!AB66,D67,E67,StackTempAvg3,AbsPress3,MolecularWt)</f>
        <v/>
      </c>
      <c r="T67" s="91" t="str">
        <f t="shared" si="27"/>
        <v/>
      </c>
      <c r="U67" s="91" t="str">
        <f t="shared" si="28"/>
        <v/>
      </c>
      <c r="V67" s="91" t="str">
        <f t="shared" si="29"/>
        <v/>
      </c>
      <c r="W67" s="91" t="str">
        <f>IF(ISNUMBER(V67),$G$5+SUM(V$15:V67)/Mratio3,"")</f>
        <v/>
      </c>
      <c r="X67" s="93" t="str">
        <f t="shared" si="30"/>
        <v/>
      </c>
      <c r="Z67" s="902" t="str">
        <f t="shared" si="31"/>
        <v/>
      </c>
      <c r="AA67" s="90" t="str">
        <f t="shared" si="21"/>
        <v/>
      </c>
      <c r="AB67" s="90" t="str">
        <f t="shared" si="32"/>
        <v/>
      </c>
      <c r="AC67" s="90" t="str">
        <f t="shared" si="22"/>
        <v/>
      </c>
      <c r="AD67" s="90" t="str">
        <f t="shared" si="23"/>
        <v/>
      </c>
      <c r="AE67" s="90" t="str">
        <f t="shared" si="24"/>
        <v/>
      </c>
      <c r="AF67" s="90" t="str">
        <f t="shared" si="33"/>
        <v/>
      </c>
      <c r="AG67" s="90" t="str">
        <f t="shared" si="34"/>
        <v/>
      </c>
      <c r="AH67" s="93" t="str">
        <f t="shared" si="35"/>
        <v/>
      </c>
      <c r="AJ67" s="939"/>
      <c r="AK67" s="920"/>
      <c r="AL67" s="920"/>
      <c r="AM67" s="920"/>
      <c r="AN67" s="920"/>
      <c r="AO67" s="920"/>
      <c r="AP67" s="920"/>
      <c r="AQ67" s="920"/>
      <c r="AR67" s="920"/>
      <c r="AS67" s="942"/>
      <c r="AT67" s="921"/>
    </row>
    <row r="68" spans="1:46" ht="10.5" hidden="1" customHeight="1" outlineLevel="1">
      <c r="A68" s="87" t="str">
        <f>'Flows &amp; Isokinetics'!E68</f>
        <v/>
      </c>
      <c r="B68" s="88" t="str">
        <f>'Flows &amp; Isokinetics'!F68</f>
        <v/>
      </c>
      <c r="C68" s="777" t="str">
        <f>IF(Afterflows!W67="","",Afterflows!W67)</f>
        <v/>
      </c>
      <c r="D68" s="88" t="str">
        <f t="shared" si="18"/>
        <v/>
      </c>
      <c r="E68" s="288" t="str">
        <f>IF(ISNUMBER(C68),IF(ISNUMBER(StackTemp3),StackTemp3,IF(Afterflows!V67="","",Afterflows!V67)),"")</f>
        <v/>
      </c>
      <c r="F68" s="89" t="str">
        <f t="shared" si="36"/>
        <v/>
      </c>
      <c r="G68" s="89" t="str">
        <f t="shared" si="37"/>
        <v/>
      </c>
      <c r="H68" s="89" t="str">
        <f t="shared" si="38"/>
        <v/>
      </c>
      <c r="I68" s="112" t="str">
        <f t="shared" si="25"/>
        <v/>
      </c>
      <c r="J68" s="777" t="str">
        <f>IF(C68="","",Afterflows!G67)</f>
        <v/>
      </c>
      <c r="K68" s="777" t="str">
        <f>IF(E68="","",Afterflows!H67)</f>
        <v/>
      </c>
      <c r="L68" s="110"/>
      <c r="M68" s="97"/>
      <c r="N68" s="114"/>
      <c r="P68" s="87" t="str">
        <f t="shared" si="26"/>
        <v/>
      </c>
      <c r="Q68" s="2071" t="str">
        <f t="shared" si="20"/>
        <v/>
      </c>
      <c r="R68" s="90" t="str">
        <f t="shared" si="19"/>
        <v/>
      </c>
      <c r="S68" s="90" t="str">
        <f>Velocity(PitotID3,PitotCoeff3,Afterflows!AB67,D68,E68,StackTempAvg3,AbsPress3,MolecularWt)</f>
        <v/>
      </c>
      <c r="T68" s="91" t="str">
        <f t="shared" si="27"/>
        <v/>
      </c>
      <c r="U68" s="91" t="str">
        <f t="shared" si="28"/>
        <v/>
      </c>
      <c r="V68" s="91" t="str">
        <f t="shared" si="29"/>
        <v/>
      </c>
      <c r="W68" s="91" t="str">
        <f>IF(ISNUMBER(V68),$G$5+SUM(V$15:V68)/Mratio3,"")</f>
        <v/>
      </c>
      <c r="X68" s="93" t="str">
        <f t="shared" si="30"/>
        <v/>
      </c>
      <c r="Z68" s="902" t="str">
        <f t="shared" si="31"/>
        <v/>
      </c>
      <c r="AA68" s="90" t="str">
        <f t="shared" si="21"/>
        <v/>
      </c>
      <c r="AB68" s="90" t="str">
        <f t="shared" si="32"/>
        <v/>
      </c>
      <c r="AC68" s="90" t="str">
        <f t="shared" si="22"/>
        <v/>
      </c>
      <c r="AD68" s="90" t="str">
        <f t="shared" si="23"/>
        <v/>
      </c>
      <c r="AE68" s="90" t="str">
        <f t="shared" si="24"/>
        <v/>
      </c>
      <c r="AF68" s="90" t="str">
        <f t="shared" si="33"/>
        <v/>
      </c>
      <c r="AG68" s="90" t="str">
        <f t="shared" si="34"/>
        <v/>
      </c>
      <c r="AH68" s="93" t="str">
        <f t="shared" si="35"/>
        <v/>
      </c>
      <c r="AJ68" s="939"/>
      <c r="AK68" s="920"/>
      <c r="AL68" s="920"/>
      <c r="AM68" s="920"/>
      <c r="AN68" s="920"/>
      <c r="AO68" s="920"/>
      <c r="AP68" s="920"/>
      <c r="AQ68" s="920"/>
      <c r="AR68" s="920"/>
      <c r="AS68" s="942"/>
      <c r="AT68" s="921"/>
    </row>
    <row r="69" spans="1:46" ht="10.5" hidden="1" customHeight="1" outlineLevel="1">
      <c r="A69" s="87" t="str">
        <f>'Flows &amp; Isokinetics'!E69</f>
        <v/>
      </c>
      <c r="B69" s="88" t="str">
        <f>'Flows &amp; Isokinetics'!F69</f>
        <v/>
      </c>
      <c r="C69" s="777" t="str">
        <f>IF(Afterflows!W68="","",Afterflows!W68)</f>
        <v/>
      </c>
      <c r="D69" s="88" t="str">
        <f t="shared" si="18"/>
        <v/>
      </c>
      <c r="E69" s="288" t="str">
        <f>IF(ISNUMBER(C69),IF(ISNUMBER(StackTemp3),StackTemp3,IF(Afterflows!V68="","",Afterflows!V68)),"")</f>
        <v/>
      </c>
      <c r="F69" s="89" t="str">
        <f t="shared" si="36"/>
        <v/>
      </c>
      <c r="G69" s="89" t="str">
        <f t="shared" si="37"/>
        <v/>
      </c>
      <c r="H69" s="89" t="str">
        <f t="shared" si="38"/>
        <v/>
      </c>
      <c r="I69" s="112" t="str">
        <f t="shared" si="25"/>
        <v/>
      </c>
      <c r="J69" s="777" t="str">
        <f>IF(C69="","",Afterflows!G68)</f>
        <v/>
      </c>
      <c r="K69" s="777" t="str">
        <f>IF(E69="","",Afterflows!H68)</f>
        <v/>
      </c>
      <c r="L69" s="110"/>
      <c r="M69" s="97"/>
      <c r="N69" s="114"/>
      <c r="P69" s="87" t="str">
        <f t="shared" si="26"/>
        <v/>
      </c>
      <c r="Q69" s="2071" t="str">
        <f t="shared" si="20"/>
        <v/>
      </c>
      <c r="R69" s="90" t="str">
        <f t="shared" si="19"/>
        <v/>
      </c>
      <c r="S69" s="90" t="str">
        <f>Velocity(PitotID3,PitotCoeff3,Afterflows!AB68,D69,E69,StackTempAvg3,AbsPress3,MolecularWt)</f>
        <v/>
      </c>
      <c r="T69" s="91" t="str">
        <f t="shared" si="27"/>
        <v/>
      </c>
      <c r="U69" s="91" t="str">
        <f t="shared" si="28"/>
        <v/>
      </c>
      <c r="V69" s="91" t="str">
        <f t="shared" si="29"/>
        <v/>
      </c>
      <c r="W69" s="91" t="str">
        <f>IF(ISNUMBER(V69),$G$5+SUM(V$15:V69)/Mratio3,"")</f>
        <v/>
      </c>
      <c r="X69" s="93" t="str">
        <f t="shared" si="30"/>
        <v/>
      </c>
      <c r="Z69" s="902" t="str">
        <f t="shared" si="31"/>
        <v/>
      </c>
      <c r="AA69" s="90" t="str">
        <f t="shared" si="21"/>
        <v/>
      </c>
      <c r="AB69" s="90" t="str">
        <f t="shared" si="32"/>
        <v/>
      </c>
      <c r="AC69" s="90" t="str">
        <f t="shared" si="22"/>
        <v/>
      </c>
      <c r="AD69" s="90" t="str">
        <f t="shared" si="23"/>
        <v/>
      </c>
      <c r="AE69" s="90" t="str">
        <f t="shared" si="24"/>
        <v/>
      </c>
      <c r="AF69" s="90" t="str">
        <f t="shared" si="33"/>
        <v/>
      </c>
      <c r="AG69" s="90" t="str">
        <f t="shared" si="34"/>
        <v/>
      </c>
      <c r="AH69" s="93" t="str">
        <f t="shared" si="35"/>
        <v/>
      </c>
      <c r="AJ69" s="939"/>
      <c r="AK69" s="920"/>
      <c r="AL69" s="920"/>
      <c r="AM69" s="920"/>
      <c r="AN69" s="920"/>
      <c r="AO69" s="920"/>
      <c r="AP69" s="920"/>
      <c r="AQ69" s="920"/>
      <c r="AR69" s="920"/>
      <c r="AS69" s="942"/>
      <c r="AT69" s="921"/>
    </row>
    <row r="70" spans="1:46" ht="10.5" hidden="1" customHeight="1" outlineLevel="1">
      <c r="A70" s="87" t="str">
        <f>'Flows &amp; Isokinetics'!E70</f>
        <v/>
      </c>
      <c r="B70" s="88" t="str">
        <f>'Flows &amp; Isokinetics'!F70</f>
        <v/>
      </c>
      <c r="C70" s="777" t="str">
        <f>IF(Afterflows!W69="","",Afterflows!W69)</f>
        <v/>
      </c>
      <c r="D70" s="88" t="str">
        <f t="shared" si="18"/>
        <v/>
      </c>
      <c r="E70" s="288" t="str">
        <f>IF(ISNUMBER(C70),IF(ISNUMBER(StackTemp3),StackTemp3,IF(Afterflows!V69="","",Afterflows!V69)),"")</f>
        <v/>
      </c>
      <c r="F70" s="89" t="str">
        <f t="shared" si="36"/>
        <v/>
      </c>
      <c r="G70" s="89" t="str">
        <f t="shared" si="37"/>
        <v/>
      </c>
      <c r="H70" s="89" t="str">
        <f t="shared" si="38"/>
        <v/>
      </c>
      <c r="I70" s="112" t="str">
        <f t="shared" si="25"/>
        <v/>
      </c>
      <c r="J70" s="777" t="str">
        <f>IF(C70="","",Afterflows!G69)</f>
        <v/>
      </c>
      <c r="K70" s="777" t="str">
        <f>IF(E70="","",Afterflows!H69)</f>
        <v/>
      </c>
      <c r="L70" s="110"/>
      <c r="M70" s="97"/>
      <c r="N70" s="114"/>
      <c r="P70" s="87" t="str">
        <f t="shared" si="26"/>
        <v/>
      </c>
      <c r="Q70" s="2071" t="str">
        <f t="shared" si="20"/>
        <v/>
      </c>
      <c r="R70" s="90" t="str">
        <f t="shared" si="19"/>
        <v/>
      </c>
      <c r="S70" s="90" t="str">
        <f>Velocity(PitotID3,PitotCoeff3,Afterflows!AB69,D70,E70,StackTempAvg3,AbsPress3,MolecularWt)</f>
        <v/>
      </c>
      <c r="T70" s="91" t="str">
        <f t="shared" si="27"/>
        <v/>
      </c>
      <c r="U70" s="91" t="str">
        <f t="shared" si="28"/>
        <v/>
      </c>
      <c r="V70" s="91" t="str">
        <f t="shared" si="29"/>
        <v/>
      </c>
      <c r="W70" s="91" t="str">
        <f>IF(ISNUMBER(V70),$G$5+SUM(V$15:V70)/Mratio3,"")</f>
        <v/>
      </c>
      <c r="X70" s="93" t="str">
        <f t="shared" si="30"/>
        <v/>
      </c>
      <c r="Z70" s="902" t="str">
        <f t="shared" si="31"/>
        <v/>
      </c>
      <c r="AA70" s="90" t="str">
        <f t="shared" si="21"/>
        <v/>
      </c>
      <c r="AB70" s="90" t="str">
        <f t="shared" si="32"/>
        <v/>
      </c>
      <c r="AC70" s="90" t="str">
        <f t="shared" si="22"/>
        <v/>
      </c>
      <c r="AD70" s="90" t="str">
        <f t="shared" si="23"/>
        <v/>
      </c>
      <c r="AE70" s="90" t="str">
        <f t="shared" si="24"/>
        <v/>
      </c>
      <c r="AF70" s="90" t="str">
        <f t="shared" si="33"/>
        <v/>
      </c>
      <c r="AG70" s="90" t="str">
        <f t="shared" si="34"/>
        <v/>
      </c>
      <c r="AH70" s="93" t="str">
        <f t="shared" si="35"/>
        <v/>
      </c>
      <c r="AJ70" s="939"/>
      <c r="AK70" s="920"/>
      <c r="AL70" s="920"/>
      <c r="AM70" s="920"/>
      <c r="AN70" s="920"/>
      <c r="AO70" s="920"/>
      <c r="AP70" s="920"/>
      <c r="AQ70" s="920"/>
      <c r="AR70" s="920"/>
      <c r="AS70" s="942"/>
      <c r="AT70" s="921"/>
    </row>
    <row r="71" spans="1:46" ht="10.5" hidden="1" customHeight="1" outlineLevel="1">
      <c r="A71" s="87" t="str">
        <f>'Flows &amp; Isokinetics'!E71</f>
        <v/>
      </c>
      <c r="B71" s="88" t="str">
        <f>'Flows &amp; Isokinetics'!F71</f>
        <v/>
      </c>
      <c r="C71" s="777" t="str">
        <f>IF(Afterflows!W70="","",Afterflows!W70)</f>
        <v/>
      </c>
      <c r="D71" s="88" t="str">
        <f t="shared" si="18"/>
        <v/>
      </c>
      <c r="E71" s="288" t="str">
        <f>IF(ISNUMBER(C71),IF(ISNUMBER(StackTemp3),StackTemp3,IF(Afterflows!V70="","",Afterflows!V70)),"")</f>
        <v/>
      </c>
      <c r="F71" s="89" t="str">
        <f t="shared" si="36"/>
        <v/>
      </c>
      <c r="G71" s="89" t="str">
        <f t="shared" si="37"/>
        <v/>
      </c>
      <c r="H71" s="89" t="str">
        <f t="shared" si="38"/>
        <v/>
      </c>
      <c r="I71" s="112" t="str">
        <f t="shared" si="25"/>
        <v/>
      </c>
      <c r="J71" s="777" t="str">
        <f>IF(C71="","",Afterflows!G70)</f>
        <v/>
      </c>
      <c r="K71" s="777" t="str">
        <f>IF(E71="","",Afterflows!H70)</f>
        <v/>
      </c>
      <c r="L71" s="110"/>
      <c r="M71" s="97"/>
      <c r="N71" s="114"/>
      <c r="P71" s="87" t="str">
        <f t="shared" si="26"/>
        <v/>
      </c>
      <c r="Q71" s="2071" t="str">
        <f t="shared" si="20"/>
        <v/>
      </c>
      <c r="R71" s="90" t="str">
        <f t="shared" si="19"/>
        <v/>
      </c>
      <c r="S71" s="90" t="str">
        <f>Velocity(PitotID3,PitotCoeff3,Afterflows!AB70,D71,E71,StackTempAvg3,AbsPress3,MolecularWt)</f>
        <v/>
      </c>
      <c r="T71" s="91" t="str">
        <f t="shared" si="27"/>
        <v/>
      </c>
      <c r="U71" s="91" t="str">
        <f t="shared" si="28"/>
        <v/>
      </c>
      <c r="V71" s="91" t="str">
        <f t="shared" si="29"/>
        <v/>
      </c>
      <c r="W71" s="91" t="str">
        <f>IF(ISNUMBER(V71),$G$5+SUM(V$15:V71)/Mratio3,"")</f>
        <v/>
      </c>
      <c r="X71" s="93" t="str">
        <f t="shared" si="30"/>
        <v/>
      </c>
      <c r="Z71" s="902" t="str">
        <f t="shared" si="31"/>
        <v/>
      </c>
      <c r="AA71" s="90" t="str">
        <f t="shared" si="21"/>
        <v/>
      </c>
      <c r="AB71" s="90" t="str">
        <f t="shared" si="32"/>
        <v/>
      </c>
      <c r="AC71" s="90" t="str">
        <f t="shared" si="22"/>
        <v/>
      </c>
      <c r="AD71" s="90" t="str">
        <f t="shared" si="23"/>
        <v/>
      </c>
      <c r="AE71" s="90" t="str">
        <f t="shared" si="24"/>
        <v/>
      </c>
      <c r="AF71" s="90" t="str">
        <f t="shared" si="33"/>
        <v/>
      </c>
      <c r="AG71" s="90" t="str">
        <f t="shared" si="34"/>
        <v/>
      </c>
      <c r="AH71" s="93" t="str">
        <f t="shared" si="35"/>
        <v/>
      </c>
      <c r="AJ71" s="939"/>
      <c r="AK71" s="920"/>
      <c r="AL71" s="920"/>
      <c r="AM71" s="920"/>
      <c r="AN71" s="920"/>
      <c r="AO71" s="920"/>
      <c r="AP71" s="920"/>
      <c r="AQ71" s="920"/>
      <c r="AR71" s="920"/>
      <c r="AS71" s="942"/>
      <c r="AT71" s="921"/>
    </row>
    <row r="72" spans="1:46" ht="10.5" hidden="1" customHeight="1" outlineLevel="1">
      <c r="A72" s="87" t="str">
        <f>'Flows &amp; Isokinetics'!E72</f>
        <v/>
      </c>
      <c r="B72" s="88" t="str">
        <f>'Flows &amp; Isokinetics'!F72</f>
        <v/>
      </c>
      <c r="C72" s="777" t="str">
        <f>IF(Afterflows!W71="","",Afterflows!W71)</f>
        <v/>
      </c>
      <c r="D72" s="88" t="str">
        <f t="shared" si="18"/>
        <v/>
      </c>
      <c r="E72" s="288" t="str">
        <f>IF(ISNUMBER(C72),IF(ISNUMBER(StackTemp3),StackTemp3,IF(Afterflows!V71="","",Afterflows!V71)),"")</f>
        <v/>
      </c>
      <c r="F72" s="89" t="str">
        <f t="shared" si="36"/>
        <v/>
      </c>
      <c r="G72" s="89" t="str">
        <f t="shared" si="37"/>
        <v/>
      </c>
      <c r="H72" s="89" t="str">
        <f t="shared" si="38"/>
        <v/>
      </c>
      <c r="I72" s="112" t="str">
        <f t="shared" si="25"/>
        <v/>
      </c>
      <c r="J72" s="777" t="str">
        <f>IF(C72="","",Afterflows!G71)</f>
        <v/>
      </c>
      <c r="K72" s="777" t="str">
        <f>IF(E72="","",Afterflows!H71)</f>
        <v/>
      </c>
      <c r="L72" s="110"/>
      <c r="M72" s="97"/>
      <c r="N72" s="114"/>
      <c r="P72" s="87" t="str">
        <f t="shared" si="26"/>
        <v/>
      </c>
      <c r="Q72" s="2071" t="str">
        <f t="shared" si="20"/>
        <v/>
      </c>
      <c r="R72" s="90" t="str">
        <f t="shared" si="19"/>
        <v/>
      </c>
      <c r="S72" s="90" t="str">
        <f>Velocity(PitotID3,PitotCoeff3,Afterflows!AB71,D72,E72,StackTempAvg3,AbsPress3,MolecularWt)</f>
        <v/>
      </c>
      <c r="T72" s="91" t="str">
        <f t="shared" si="27"/>
        <v/>
      </c>
      <c r="U72" s="91" t="str">
        <f t="shared" si="28"/>
        <v/>
      </c>
      <c r="V72" s="91" t="str">
        <f t="shared" si="29"/>
        <v/>
      </c>
      <c r="W72" s="91" t="str">
        <f>IF(ISNUMBER(V72),$G$5+SUM(V$15:V72)/Mratio3,"")</f>
        <v/>
      </c>
      <c r="X72" s="93" t="str">
        <f t="shared" si="30"/>
        <v/>
      </c>
      <c r="Z72" s="902" t="str">
        <f t="shared" si="31"/>
        <v/>
      </c>
      <c r="AA72" s="90" t="str">
        <f>IF(ISNUMBER(S72),SQRT(QsLmin3*4*10^6/(PBVF2*S72*PI()*60*1000)),"")</f>
        <v/>
      </c>
      <c r="AB72" s="90" t="str">
        <f t="shared" si="32"/>
        <v/>
      </c>
      <c r="AC72" s="90" t="str">
        <f>IF(ISNUMBER(AA72),QsLmin3*1000/60/(PI()*AA72^2/4),"")</f>
        <v/>
      </c>
      <c r="AD72" s="90" t="str">
        <f>IF(AB72="","",$AL$41*1000/60/(PI()*AB72^2/4))</f>
        <v/>
      </c>
      <c r="AE72" s="90" t="str">
        <f>IF(ISNUMBER(AB72),$AM$41*1000/60/(PI()*AB72^2/4),"")</f>
        <v/>
      </c>
      <c r="AF72" s="90" t="str">
        <f t="shared" si="33"/>
        <v/>
      </c>
      <c r="AG72" s="90" t="str">
        <f t="shared" si="34"/>
        <v/>
      </c>
      <c r="AH72" s="93" t="str">
        <f t="shared" si="35"/>
        <v/>
      </c>
      <c r="AJ72" s="939"/>
      <c r="AK72" s="920"/>
      <c r="AL72" s="920"/>
      <c r="AM72" s="920"/>
      <c r="AN72" s="920"/>
      <c r="AO72" s="920"/>
      <c r="AP72" s="920"/>
      <c r="AQ72" s="920"/>
      <c r="AR72" s="920"/>
      <c r="AS72" s="942"/>
      <c r="AT72" s="921"/>
    </row>
    <row r="73" spans="1:46" ht="10.5" hidden="1" customHeight="1" outlineLevel="1">
      <c r="A73" s="87" t="str">
        <f>'Flows &amp; Isokinetics'!E73</f>
        <v/>
      </c>
      <c r="B73" s="88" t="str">
        <f>'Flows &amp; Isokinetics'!F73</f>
        <v/>
      </c>
      <c r="C73" s="777" t="str">
        <f>IF(Afterflows!W72="","",Afterflows!W72)</f>
        <v/>
      </c>
      <c r="D73" s="88" t="str">
        <f t="shared" si="18"/>
        <v/>
      </c>
      <c r="E73" s="288" t="str">
        <f>IF(ISNUMBER(C73),IF(ISNUMBER(StackTemp3),StackTemp3,IF(Afterflows!V72="","",Afterflows!V72)),"")</f>
        <v/>
      </c>
      <c r="F73" s="89" t="str">
        <f t="shared" si="36"/>
        <v/>
      </c>
      <c r="G73" s="89" t="str">
        <f t="shared" si="37"/>
        <v/>
      </c>
      <c r="H73" s="89" t="str">
        <f t="shared" si="38"/>
        <v/>
      </c>
      <c r="I73" s="112" t="str">
        <f t="shared" si="25"/>
        <v/>
      </c>
      <c r="J73" s="777" t="str">
        <f>IF(C73="","",Afterflows!G72)</f>
        <v/>
      </c>
      <c r="K73" s="777" t="str">
        <f>IF(E73="","",Afterflows!H72)</f>
        <v/>
      </c>
      <c r="L73" s="110"/>
      <c r="M73" s="97"/>
      <c r="N73" s="114"/>
      <c r="P73" s="87" t="str">
        <f t="shared" si="26"/>
        <v/>
      </c>
      <c r="Q73" s="2071" t="str">
        <f t="shared" si="20"/>
        <v/>
      </c>
      <c r="R73" s="90" t="str">
        <f t="shared" si="19"/>
        <v/>
      </c>
      <c r="S73" s="90" t="str">
        <f>Velocity(PitotID3,PitotCoeff3,Afterflows!AB72,D73,E73,StackTempAvg3,AbsPress3,MolecularWt)</f>
        <v/>
      </c>
      <c r="T73" s="91" t="str">
        <f t="shared" si="27"/>
        <v/>
      </c>
      <c r="U73" s="91" t="str">
        <f t="shared" si="28"/>
        <v/>
      </c>
      <c r="V73" s="91" t="str">
        <f t="shared" si="29"/>
        <v/>
      </c>
      <c r="W73" s="91" t="str">
        <f>IF(ISNUMBER(V73),$G$5+SUM(V$15:V73)/Mratio3,"")</f>
        <v/>
      </c>
      <c r="X73" s="93" t="str">
        <f t="shared" si="30"/>
        <v/>
      </c>
      <c r="Z73" s="902" t="str">
        <f t="shared" si="31"/>
        <v/>
      </c>
      <c r="AA73" s="90" t="str">
        <f>IF(ISNUMBER(S73),SQRT(QsLmin3*4*10^6/(PBVF2*S73*PI()*60*1000)),"")</f>
        <v/>
      </c>
      <c r="AB73" s="90" t="str">
        <f t="shared" si="32"/>
        <v/>
      </c>
      <c r="AC73" s="90" t="str">
        <f>IF(ISNUMBER(AA73),QsLmin3*1000/60/(PI()*AA73^2/4),"")</f>
        <v/>
      </c>
      <c r="AD73" s="90" t="str">
        <f>IF(AB73="","",$AL$41*1000/60/(PI()*AB73^2/4))</f>
        <v/>
      </c>
      <c r="AE73" s="90" t="str">
        <f>IF(ISNUMBER(AB73),$AM$41*1000/60/(PI()*AB73^2/4),"")</f>
        <v/>
      </c>
      <c r="AF73" s="90" t="str">
        <f t="shared" si="33"/>
        <v/>
      </c>
      <c r="AG73" s="90" t="str">
        <f t="shared" si="34"/>
        <v/>
      </c>
      <c r="AH73" s="93" t="str">
        <f t="shared" si="35"/>
        <v/>
      </c>
      <c r="AJ73" s="939"/>
      <c r="AK73" s="920"/>
      <c r="AL73" s="920"/>
      <c r="AM73" s="920"/>
      <c r="AN73" s="920"/>
      <c r="AO73" s="920"/>
      <c r="AP73" s="920"/>
      <c r="AQ73" s="920"/>
      <c r="AR73" s="920"/>
      <c r="AS73" s="942"/>
      <c r="AT73" s="921"/>
    </row>
    <row r="74" spans="1:46" ht="10.5" hidden="1" customHeight="1" outlineLevel="1">
      <c r="A74" s="222" t="str">
        <f>'Flows &amp; Isokinetics'!E74</f>
        <v/>
      </c>
      <c r="B74" s="88" t="str">
        <f>'Flows &amp; Isokinetics'!F74</f>
        <v/>
      </c>
      <c r="C74" s="777" t="str">
        <f>IF(Afterflows!W73="","",Afterflows!W73)</f>
        <v/>
      </c>
      <c r="D74" s="88" t="str">
        <f t="shared" si="18"/>
        <v/>
      </c>
      <c r="E74" s="288" t="str">
        <f>IF(ISNUMBER(C74),IF(ISNUMBER(StackTemp3),StackTemp3,IF(Afterflows!V73="","",Afterflows!V73)),"")</f>
        <v/>
      </c>
      <c r="F74" s="89" t="str">
        <f t="shared" si="0"/>
        <v/>
      </c>
      <c r="G74" s="89" t="str">
        <f t="shared" si="1"/>
        <v/>
      </c>
      <c r="H74" s="89" t="str">
        <f t="shared" si="2"/>
        <v/>
      </c>
      <c r="I74" s="112" t="str">
        <f t="shared" si="25"/>
        <v/>
      </c>
      <c r="J74" s="777" t="str">
        <f>IF(C74="","",Afterflows!G73)</f>
        <v/>
      </c>
      <c r="K74" s="777" t="str">
        <f>IF(E74="","",Afterflows!H73)</f>
        <v/>
      </c>
      <c r="L74" s="118"/>
      <c r="M74" s="97"/>
      <c r="N74" s="114"/>
      <c r="P74" s="87" t="str">
        <f t="shared" si="26"/>
        <v/>
      </c>
      <c r="Q74" s="2071" t="str">
        <f t="shared" si="20"/>
        <v/>
      </c>
      <c r="R74" s="90" t="str">
        <f t="shared" si="19"/>
        <v/>
      </c>
      <c r="S74" s="90" t="str">
        <f>Velocity(PitotID3,PitotCoeff3,Afterflows!AB73,D74,E74,StackTempAvg3,AbsPress3,MolecularWt)</f>
        <v/>
      </c>
      <c r="T74" s="91" t="str">
        <f t="shared" si="27"/>
        <v/>
      </c>
      <c r="U74" s="91" t="str">
        <f t="shared" si="28"/>
        <v/>
      </c>
      <c r="V74" s="91" t="str">
        <f t="shared" si="29"/>
        <v/>
      </c>
      <c r="W74" s="91" t="str">
        <f>IF(ISNUMBER(V74),$G$5+SUM(V$15:V74)/Mratio3,"")</f>
        <v/>
      </c>
      <c r="X74" s="93" t="str">
        <f t="shared" si="30"/>
        <v/>
      </c>
      <c r="Z74" s="902" t="str">
        <f t="shared" si="31"/>
        <v/>
      </c>
      <c r="AA74" s="90" t="str">
        <f>IF(ISNUMBER(S74),SQRT(QsLmin3*4*10^6/(PBVF2*S74*PI()*60*1000)),"")</f>
        <v/>
      </c>
      <c r="AB74" s="90" t="str">
        <f t="shared" si="32"/>
        <v/>
      </c>
      <c r="AC74" s="90" t="str">
        <f>IF(ISNUMBER(AA74),QsLmin3*1000/60/(PI()*AA74^2/4),"")</f>
        <v/>
      </c>
      <c r="AD74" s="90" t="str">
        <f>IF(AB74="","",$AL$41*1000/60/(PI()*AB74^2/4))</f>
        <v/>
      </c>
      <c r="AE74" s="90" t="str">
        <f>IF(ISNUMBER(AB74),$AM$41*1000/60/(PI()*AB74^2/4),"")</f>
        <v/>
      </c>
      <c r="AF74" s="90" t="str">
        <f t="shared" si="33"/>
        <v/>
      </c>
      <c r="AG74" s="90" t="str">
        <f t="shared" si="34"/>
        <v/>
      </c>
      <c r="AH74" s="93" t="str">
        <f t="shared" si="35"/>
        <v/>
      </c>
      <c r="AJ74" s="939"/>
      <c r="AK74" s="920"/>
      <c r="AL74" s="920"/>
      <c r="AM74" s="920"/>
      <c r="AN74" s="920"/>
      <c r="AO74" s="920"/>
      <c r="AP74" s="920"/>
      <c r="AQ74" s="920"/>
      <c r="AR74" s="920"/>
      <c r="AS74" s="942"/>
      <c r="AT74" s="921"/>
    </row>
    <row r="75" spans="1:46" ht="10.5" customHeight="1" collapsed="1">
      <c r="A75" s="94"/>
      <c r="B75" s="83"/>
      <c r="C75" s="95" t="str">
        <f>C14</f>
        <v>(Pa)</v>
      </c>
      <c r="D75" s="95"/>
      <c r="E75" s="95" t="str">
        <f t="shared" ref="E75:K75" si="39">E13</f>
        <v>Stack (°C)</v>
      </c>
      <c r="F75" s="95" t="str">
        <f t="shared" si="39"/>
        <v>Meter (°C)</v>
      </c>
      <c r="G75" s="95" t="str">
        <f t="shared" si="39"/>
        <v>Meter (kPa)</v>
      </c>
      <c r="H75" s="95" t="str">
        <f t="shared" si="39"/>
        <v>Nozzle (mm)</v>
      </c>
      <c r="I75" s="95" t="str">
        <f t="shared" si="39"/>
        <v>Dwell Time</v>
      </c>
      <c r="J75" s="95" t="str">
        <f t="shared" si="39"/>
        <v>Yaw (°)</v>
      </c>
      <c r="K75" s="95" t="str">
        <f t="shared" si="39"/>
        <v>Pitch (°)</v>
      </c>
      <c r="L75" s="95"/>
      <c r="M75" s="95"/>
      <c r="N75" s="120"/>
      <c r="P75" s="902"/>
      <c r="Q75" s="903"/>
      <c r="R75" s="904" t="str">
        <f>R14</f>
        <v>Sqrt(Pa)</v>
      </c>
      <c r="S75" s="904" t="str">
        <f>S14</f>
        <v>Velocity</v>
      </c>
      <c r="T75" s="903" t="s">
        <v>269</v>
      </c>
      <c r="U75" s="904" t="s">
        <v>270</v>
      </c>
      <c r="V75" s="904" t="s">
        <v>1453</v>
      </c>
      <c r="W75" s="904" t="str">
        <f>NTPSTP&amp;" Vol"</f>
        <v>STP Vol</v>
      </c>
      <c r="X75" s="898" t="s">
        <v>844</v>
      </c>
      <c r="Z75" s="902"/>
      <c r="AA75" s="904" t="str">
        <f>AA14</f>
        <v>Ideal</v>
      </c>
      <c r="AB75" s="904" t="str">
        <f t="shared" ref="AB75:AH75" si="40">AB14</f>
        <v>Actual</v>
      </c>
      <c r="AC75" s="904" t="str">
        <f t="shared" si="40"/>
        <v>Ideal</v>
      </c>
      <c r="AD75" s="904" t="str">
        <f t="shared" si="40"/>
        <v>Predicted</v>
      </c>
      <c r="AE75" s="904" t="str">
        <f t="shared" si="40"/>
        <v>Actual</v>
      </c>
      <c r="AF75" s="904" t="str">
        <f t="shared" si="40"/>
        <v>Predicted</v>
      </c>
      <c r="AG75" s="904" t="str">
        <f t="shared" si="40"/>
        <v>Actual</v>
      </c>
      <c r="AH75" s="911" t="str">
        <f t="shared" si="40"/>
        <v>Dwell Adj</v>
      </c>
      <c r="AJ75" s="939"/>
      <c r="AK75" s="920"/>
      <c r="AL75" s="920"/>
      <c r="AM75" s="920"/>
      <c r="AN75" s="920"/>
      <c r="AO75" s="920"/>
      <c r="AP75" s="920"/>
      <c r="AQ75" s="920"/>
      <c r="AR75" s="920"/>
      <c r="AS75" s="942"/>
      <c r="AT75" s="921"/>
    </row>
    <row r="76" spans="1:46" ht="10.5" customHeight="1">
      <c r="A76" s="94"/>
      <c r="B76" s="83" t="s">
        <v>1460</v>
      </c>
      <c r="C76" s="97" t="e">
        <f>AVERAGE(C15:C74)</f>
        <v>#DIV/0!</v>
      </c>
      <c r="D76" s="97"/>
      <c r="E76" s="82" t="e">
        <f t="shared" ref="E76:K76" si="41">AVERAGE(E15:E74)</f>
        <v>#DIV/0!</v>
      </c>
      <c r="F76" s="82" t="e">
        <f t="shared" si="41"/>
        <v>#DIV/0!</v>
      </c>
      <c r="G76" s="82" t="e">
        <f t="shared" si="41"/>
        <v>#DIV/0!</v>
      </c>
      <c r="H76" s="82" t="e">
        <f t="shared" si="41"/>
        <v>#DIV/0!</v>
      </c>
      <c r="I76" s="96" t="e">
        <f t="shared" si="41"/>
        <v>#DIV/0!</v>
      </c>
      <c r="J76" s="97" t="e">
        <f t="shared" si="41"/>
        <v>#DIV/0!</v>
      </c>
      <c r="K76" s="97" t="e">
        <f t="shared" si="41"/>
        <v>#DIV/0!</v>
      </c>
      <c r="L76" s="96"/>
      <c r="M76" s="97"/>
      <c r="N76" s="98"/>
      <c r="P76" s="897" t="s">
        <v>1279</v>
      </c>
      <c r="Q76" s="905"/>
      <c r="R76" s="96" t="e">
        <f>AVERAGE(R15:R74)</f>
        <v>#DIV/0!</v>
      </c>
      <c r="S76" s="96" t="e">
        <f>AVERAGE(S15:S74)</f>
        <v>#DIV/0!</v>
      </c>
      <c r="T76" s="906" t="e">
        <f>AVERAGE(T15:T74)</f>
        <v>#DIV/0!</v>
      </c>
      <c r="U76" s="906" t="e">
        <f>AVERAGE(U15:U74)</f>
        <v>#DIV/0!</v>
      </c>
      <c r="V76" s="96"/>
      <c r="W76" s="96"/>
      <c r="X76" s="907" t="e">
        <f>AVERAGE(X15:X74)</f>
        <v>#DIV/0!</v>
      </c>
      <c r="Z76" s="897" t="s">
        <v>1279</v>
      </c>
      <c r="AA76" s="96" t="e">
        <f>AVERAGE(AA15:AA74)</f>
        <v>#DIV/0!</v>
      </c>
      <c r="AB76" s="96" t="e">
        <f t="shared" ref="AB76:AH76" si="42">AVERAGE(AB15:AB74)</f>
        <v>#DIV/0!</v>
      </c>
      <c r="AC76" s="96" t="e">
        <f t="shared" si="42"/>
        <v>#DIV/0!</v>
      </c>
      <c r="AD76" s="96" t="e">
        <f t="shared" si="42"/>
        <v>#DIV/0!</v>
      </c>
      <c r="AE76" s="96" t="e">
        <f t="shared" si="42"/>
        <v>#DIV/0!</v>
      </c>
      <c r="AF76" s="96" t="e">
        <f t="shared" si="42"/>
        <v>#DIV/0!</v>
      </c>
      <c r="AG76" s="96" t="e">
        <f t="shared" si="42"/>
        <v>#DIV/0!</v>
      </c>
      <c r="AH76" s="907" t="e">
        <f t="shared" si="42"/>
        <v>#DIV/0!</v>
      </c>
      <c r="AJ76" s="939"/>
      <c r="AK76" s="920"/>
      <c r="AL76" s="920"/>
      <c r="AM76" s="920"/>
      <c r="AN76" s="920"/>
      <c r="AO76" s="920"/>
      <c r="AP76" s="920"/>
      <c r="AQ76" s="920"/>
      <c r="AR76" s="920"/>
      <c r="AS76" s="941"/>
      <c r="AT76" s="921"/>
    </row>
    <row r="77" spans="1:46" ht="10.5" customHeight="1" thickBot="1">
      <c r="A77" s="99"/>
      <c r="B77" s="100"/>
      <c r="C77" s="103" t="str">
        <f>IF(ISERROR(C76),"",IF(C76&lt;FlowDL3,"&lt;",""))</f>
        <v/>
      </c>
      <c r="D77" s="103"/>
      <c r="E77" s="101" t="e">
        <f>E76+273.15</f>
        <v>#DIV/0!</v>
      </c>
      <c r="F77" s="101"/>
      <c r="G77" s="101"/>
      <c r="H77" s="101"/>
      <c r="I77" s="104">
        <f>SUM(I15:I74)</f>
        <v>0</v>
      </c>
      <c r="J77" s="101"/>
      <c r="K77" s="101"/>
      <c r="L77" s="101"/>
      <c r="M77" s="101"/>
      <c r="N77" s="102"/>
      <c r="P77" s="900" t="s">
        <v>1452</v>
      </c>
      <c r="Q77" s="908"/>
      <c r="R77" s="104"/>
      <c r="S77" s="105"/>
      <c r="T77" s="908"/>
      <c r="U77" s="103"/>
      <c r="V77" s="103">
        <f>SUM(V15:V74)</f>
        <v>0</v>
      </c>
      <c r="W77" s="103">
        <f>VolumePreMeter3*(TVC+273.15)/(MeterTemp3+273.15)*(BaroPress3+MeterPress3*10)/1013.25</f>
        <v>0</v>
      </c>
      <c r="X77" s="909"/>
      <c r="Z77" s="900"/>
      <c r="AA77" s="105"/>
      <c r="AB77" s="104"/>
      <c r="AC77" s="105"/>
      <c r="AD77" s="105"/>
      <c r="AE77" s="104"/>
      <c r="AF77" s="105"/>
      <c r="AG77" s="104"/>
      <c r="AH77" s="106"/>
      <c r="AJ77" s="943"/>
      <c r="AK77" s="944"/>
      <c r="AL77" s="944"/>
      <c r="AM77" s="944"/>
      <c r="AN77" s="944"/>
      <c r="AO77" s="944"/>
      <c r="AP77" s="944"/>
      <c r="AQ77" s="944"/>
      <c r="AR77" s="944"/>
      <c r="AS77" s="944"/>
      <c r="AT77" s="945"/>
    </row>
    <row r="78" spans="1:46" ht="10.5" customHeight="1" thickBot="1">
      <c r="A78" s="311" t="s">
        <v>41</v>
      </c>
      <c r="B78" s="311" t="s">
        <v>41</v>
      </c>
      <c r="C78" s="311" t="s">
        <v>41</v>
      </c>
      <c r="D78" s="311"/>
      <c r="E78" s="311" t="s">
        <v>41</v>
      </c>
      <c r="F78" s="311" t="s">
        <v>41</v>
      </c>
      <c r="G78" s="311" t="s">
        <v>41</v>
      </c>
      <c r="H78" s="311" t="s">
        <v>41</v>
      </c>
      <c r="I78" s="311" t="s">
        <v>41</v>
      </c>
      <c r="J78" s="311" t="s">
        <v>41</v>
      </c>
      <c r="K78" s="311" t="s">
        <v>41</v>
      </c>
      <c r="L78" s="311" t="s">
        <v>41</v>
      </c>
      <c r="M78" s="311" t="s">
        <v>41</v>
      </c>
      <c r="N78" s="312" t="s">
        <v>41</v>
      </c>
    </row>
    <row r="79" spans="1:46" ht="10.5" customHeight="1">
      <c r="A79" s="303" t="s">
        <v>9</v>
      </c>
      <c r="B79" s="284"/>
      <c r="C79" s="284" t="str">
        <f>IF(PitotID4="anemom","Velocity","Pressure")</f>
        <v>Pressure</v>
      </c>
      <c r="D79" s="1586" t="s">
        <v>1721</v>
      </c>
      <c r="E79" s="293" t="s">
        <v>1448</v>
      </c>
      <c r="F79" s="293" t="s">
        <v>1414</v>
      </c>
      <c r="G79" s="293" t="s">
        <v>502</v>
      </c>
      <c r="H79" s="293" t="s">
        <v>1415</v>
      </c>
      <c r="I79" s="293" t="s">
        <v>1470</v>
      </c>
      <c r="J79" s="284" t="s">
        <v>835</v>
      </c>
      <c r="K79" s="284" t="s">
        <v>836</v>
      </c>
      <c r="L79" s="308" t="s">
        <v>1241</v>
      </c>
      <c r="M79" s="309"/>
      <c r="N79" s="310"/>
      <c r="P79" s="66"/>
      <c r="Q79" s="284" t="s">
        <v>1001</v>
      </c>
      <c r="R79" s="67"/>
      <c r="S79" s="284" t="s">
        <v>268</v>
      </c>
      <c r="T79" s="284" t="s">
        <v>35</v>
      </c>
      <c r="U79" s="284" t="str">
        <f>PMtest4</f>
        <v>PM10&amp;2.5</v>
      </c>
      <c r="V79" s="67"/>
      <c r="W79" s="284" t="s">
        <v>1206</v>
      </c>
      <c r="X79" s="294" t="s">
        <v>1214</v>
      </c>
      <c r="Z79" s="66"/>
      <c r="AA79" s="2678" t="s">
        <v>1473</v>
      </c>
      <c r="AB79" s="2678"/>
      <c r="AC79" s="2678" t="s">
        <v>1471</v>
      </c>
      <c r="AD79" s="2678"/>
      <c r="AE79" s="2678"/>
      <c r="AF79" s="67"/>
      <c r="AG79" s="284" t="s">
        <v>1440</v>
      </c>
      <c r="AH79" s="910"/>
      <c r="AJ79" s="912" t="s">
        <v>9</v>
      </c>
      <c r="AK79" s="913"/>
      <c r="AL79" s="913"/>
      <c r="AM79" s="914"/>
      <c r="AN79" s="913"/>
      <c r="AO79" s="913"/>
      <c r="AP79" s="913"/>
      <c r="AQ79" s="913"/>
      <c r="AR79" s="913"/>
      <c r="AS79" s="913"/>
      <c r="AT79" s="915"/>
    </row>
    <row r="80" spans="1:46" ht="10.5" customHeight="1">
      <c r="A80" s="289"/>
      <c r="B80" s="287" t="s">
        <v>14</v>
      </c>
      <c r="C80" s="85" t="str">
        <f>IF(PitotID4="anemom","("&amp;VU&amp;")","("&amp;DPU&amp;")")</f>
        <v>(Pa)</v>
      </c>
      <c r="D80" s="85">
        <f>IF(PitotID4="Anemom (Hot)",0.02,IF(PitotID4="Anemom (Vane)",0.4,IF(Flowmeter4="ECS",0.1,2)))</f>
        <v>2</v>
      </c>
      <c r="E80" s="675"/>
      <c r="F80" s="675"/>
      <c r="G80" s="674">
        <v>0</v>
      </c>
      <c r="H80" s="330" t="str">
        <f>IF(ISNUMBER(NozzleSuggest4),NozzleSuggest4,"")</f>
        <v/>
      </c>
      <c r="I80" s="331">
        <v>5</v>
      </c>
      <c r="J80" s="85"/>
      <c r="K80" s="85"/>
      <c r="L80" s="110" t="s">
        <v>1290</v>
      </c>
      <c r="M80" s="97"/>
      <c r="N80" s="111" t="e">
        <f>AS87</f>
        <v>#VALUE!</v>
      </c>
      <c r="O80" s="65"/>
      <c r="P80" s="896" t="s">
        <v>1205</v>
      </c>
      <c r="Q80" s="85" t="s">
        <v>1236</v>
      </c>
      <c r="R80" s="85" t="str">
        <f>"Sqrt"&amp;"("&amp;DPU&amp;")"</f>
        <v>Sqrt(Pa)</v>
      </c>
      <c r="S80" s="85" t="s">
        <v>1214</v>
      </c>
      <c r="T80" s="85" t="s">
        <v>1287</v>
      </c>
      <c r="U80" s="85" t="s">
        <v>1287</v>
      </c>
      <c r="V80" s="85" t="s">
        <v>1215</v>
      </c>
      <c r="W80" s="85" t="s">
        <v>252</v>
      </c>
      <c r="X80" s="86" t="s">
        <v>843</v>
      </c>
      <c r="Z80" s="896" t="s">
        <v>1205</v>
      </c>
      <c r="AA80" s="85" t="s">
        <v>298</v>
      </c>
      <c r="AB80" s="85" t="s">
        <v>1272</v>
      </c>
      <c r="AC80" s="85" t="s">
        <v>298</v>
      </c>
      <c r="AD80" s="85" t="s">
        <v>276</v>
      </c>
      <c r="AE80" s="85" t="s">
        <v>1272</v>
      </c>
      <c r="AF80" s="85" t="s">
        <v>276</v>
      </c>
      <c r="AG80" s="85" t="s">
        <v>1272</v>
      </c>
      <c r="AH80" s="86" t="s">
        <v>1472</v>
      </c>
      <c r="AJ80" s="916"/>
      <c r="AK80" s="917"/>
      <c r="AL80" s="917"/>
      <c r="AM80" s="918" t="s">
        <v>301</v>
      </c>
      <c r="AN80" s="917"/>
      <c r="AO80" s="917"/>
      <c r="AP80" s="919"/>
      <c r="AQ80" s="920"/>
      <c r="AR80" s="2689" t="s">
        <v>302</v>
      </c>
      <c r="AS80" s="2689"/>
      <c r="AT80" s="921"/>
    </row>
    <row r="81" spans="1:46" ht="10.5" customHeight="1">
      <c r="A81" s="87" t="str">
        <f>'Flows &amp; Isokinetics'!E15</f>
        <v/>
      </c>
      <c r="B81" s="88" t="str">
        <f>'Flows &amp; Isokinetics'!F15</f>
        <v/>
      </c>
      <c r="C81" s="777" t="str">
        <f>IF(Afterflows!W80="","",Afterflows!W80)</f>
        <v/>
      </c>
      <c r="D81" s="88" t="str">
        <f t="shared" ref="D81:D112" si="43">IF(C81&lt;FlowDL4,FlowDL4,C81)</f>
        <v/>
      </c>
      <c r="E81" s="288" t="str">
        <f>IF(ISNUMBER(C81),IF(ISNUMBER(StackTemp4),StackTemp4,IF(Afterflows!V80="","",Afterflows!V80)),"")</f>
        <v/>
      </c>
      <c r="F81" s="89" t="str">
        <f t="shared" ref="F81:F140" si="44">IF(ISNUMBER(C81),IF(ISNUMBER(MeterTemp4),MeterTemp4,""),"")</f>
        <v/>
      </c>
      <c r="G81" s="89" t="str">
        <f t="shared" ref="G81:G140" si="45">IF(ISNUMBER(C81),IF(ISNUMBER(MeterPress4),MeterPress4,""),"")</f>
        <v/>
      </c>
      <c r="H81" s="89" t="str">
        <f t="shared" ref="H81:H140" si="46">IF(ISNUMBER(C81),IF(ISNUMBER(NozzleSelect4),NozzleSelect4,""),"")</f>
        <v/>
      </c>
      <c r="I81" s="112" t="str">
        <f t="shared" ref="I81:I112" si="47">Dwell(Pascal4,D81,AvgSqrtPa4,TimePoint4)</f>
        <v/>
      </c>
      <c r="J81" s="777" t="str">
        <f>IF(C81="","",Afterflows!G80)</f>
        <v/>
      </c>
      <c r="K81" s="777" t="str">
        <f>IF(E81="","",Afterflows!H80)</f>
        <v/>
      </c>
      <c r="L81" s="110" t="s">
        <v>3</v>
      </c>
      <c r="M81" s="97" t="e">
        <f>IF(NozzleIdeal4="","",Nozzles!G5&amp;"~"&amp;Nozzles!G6)</f>
        <v>#VALUE!</v>
      </c>
      <c r="N81" s="111" t="str">
        <f>IF(ISNUMBER(NozzleIdeal4),NozzleMatch4,"")</f>
        <v/>
      </c>
      <c r="O81" s="113"/>
      <c r="P81" s="87" t="str">
        <f t="shared" ref="P81:P112" si="48">A81</f>
        <v/>
      </c>
      <c r="Q81" s="2071" t="str">
        <f>IF(I81="","",TIME((LEFT($H$7,2)),(RIGHT($H$7,2)),0)+TIME(0,(I81),0))</f>
        <v/>
      </c>
      <c r="R81" s="90" t="str">
        <f>IF(C81="","",SQRT(D81))</f>
        <v/>
      </c>
      <c r="S81" s="90" t="str">
        <f>Velocity(PitotID4,PitotCoeff4,Afterflows!AB80,D81,E81,StackTempAvg4,AbsPress4,MolecularWt)</f>
        <v/>
      </c>
      <c r="T81" s="91" t="str">
        <f t="shared" ref="T81:T112" si="49">SampleRate(S81,PBF_2,E81,F81,G81,H81,StackTempAvg4,AbsPress4,BaroPress4,Bws)</f>
        <v/>
      </c>
      <c r="U81" s="91" t="str">
        <f t="shared" ref="U81:U112" si="50">IF(C81="","",MeterRate4)</f>
        <v/>
      </c>
      <c r="V81" s="91" t="str">
        <f t="shared" ref="V81:V112" si="51">IF(ISNUMBER(I81),I81*U81,"")</f>
        <v/>
      </c>
      <c r="W81" s="91" t="str">
        <f>IF(ISNUMBER(V81),$H$5+SUM(V$81:V81)/Mratio4,"")</f>
        <v/>
      </c>
      <c r="X81" s="93" t="str">
        <f t="shared" ref="X81:X112" si="52">Velocity3D(S81,J81,K81)</f>
        <v/>
      </c>
      <c r="Z81" s="902" t="str">
        <f t="shared" ref="Z81:Z112" si="53">A81</f>
        <v/>
      </c>
      <c r="AA81" s="90" t="str">
        <f t="shared" ref="AA81:AA140" si="54">IF(ISNUMBER(S81),SQRT(QsLmin4*4*10^6/(PBVF2*S81*PI()*60*1000)),"")</f>
        <v/>
      </c>
      <c r="AB81" s="90" t="str">
        <f t="shared" ref="AB81:AB112" si="55">IF(ISNUMBER(S81),H81,"")</f>
        <v/>
      </c>
      <c r="AC81" s="90" t="str">
        <f t="shared" ref="AC81:AC140" si="56">IF(ISNUMBER(AA81),QsLmin4*1000/60/(PI()*AA81^2/4),"")</f>
        <v/>
      </c>
      <c r="AD81" s="90" t="str">
        <f>IF(AB81="","",$AL$107*1000/60/(PI()*AB81^2/4))</f>
        <v/>
      </c>
      <c r="AE81" s="90" t="str">
        <f t="shared" ref="AE81:AE140" si="57">IF(ISNUMBER(AB81),$AM$107*1000/60/(PI()*AB81^2/4),"")</f>
        <v/>
      </c>
      <c r="AF81" s="90" t="str">
        <f t="shared" ref="AF81:AF112" si="58">IF(ISNUMBER(S81),AD81/(S81*PBVF2)*100,"")</f>
        <v/>
      </c>
      <c r="AG81" s="90" t="str">
        <f t="shared" ref="AG81:AG112" si="59">IF(ISNUMBER(S81),AE81/(S81*PBVF2)*100,"")</f>
        <v/>
      </c>
      <c r="AH81" s="93" t="str">
        <f t="shared" ref="AH81:AH112" si="60">IF(ISNUMBER(S81),AG81*I81/TimePoint4,"")</f>
        <v/>
      </c>
      <c r="AJ81" s="916"/>
      <c r="AK81" s="917"/>
      <c r="AL81" s="920"/>
      <c r="AM81" s="920"/>
      <c r="AN81" s="920"/>
      <c r="AO81" s="917"/>
      <c r="AP81" s="922"/>
      <c r="AQ81" s="920"/>
      <c r="AR81" s="920"/>
      <c r="AS81" s="920"/>
      <c r="AT81" s="921"/>
    </row>
    <row r="82" spans="1:46" ht="10.5" customHeight="1">
      <c r="A82" s="87" t="str">
        <f>'Flows &amp; Isokinetics'!E16</f>
        <v/>
      </c>
      <c r="B82" s="88" t="str">
        <f>'Flows &amp; Isokinetics'!F16</f>
        <v/>
      </c>
      <c r="C82" s="777" t="str">
        <f>IF(Afterflows!W81="","",Afterflows!W81)</f>
        <v/>
      </c>
      <c r="D82" s="88" t="str">
        <f t="shared" si="43"/>
        <v/>
      </c>
      <c r="E82" s="288" t="str">
        <f>IF(ISNUMBER(C82),IF(ISNUMBER(StackTemp4),StackTemp4,IF(Afterflows!V81="","",Afterflows!V81)),"")</f>
        <v/>
      </c>
      <c r="F82" s="89" t="str">
        <f t="shared" si="44"/>
        <v/>
      </c>
      <c r="G82" s="89" t="str">
        <f t="shared" si="45"/>
        <v/>
      </c>
      <c r="H82" s="89" t="str">
        <f t="shared" si="46"/>
        <v/>
      </c>
      <c r="I82" s="112" t="str">
        <f t="shared" si="47"/>
        <v/>
      </c>
      <c r="J82" s="777" t="str">
        <f>IF(C82="","",Afterflows!G81)</f>
        <v/>
      </c>
      <c r="K82" s="777" t="str">
        <f>IF(E82="","",Afterflows!H81)</f>
        <v/>
      </c>
      <c r="L82" s="110" t="s">
        <v>1288</v>
      </c>
      <c r="M82" s="97"/>
      <c r="N82" s="111" t="e">
        <f>AS115</f>
        <v>#VALUE!</v>
      </c>
      <c r="O82" s="113"/>
      <c r="P82" s="87" t="str">
        <f t="shared" si="48"/>
        <v/>
      </c>
      <c r="Q82" s="2071" t="str">
        <f>IF(I82="","",Q81+TIME(0,I82,0))</f>
        <v/>
      </c>
      <c r="R82" s="90" t="str">
        <f t="shared" ref="R82:R140" si="61">IF(C82="","",SQRT(D82))</f>
        <v/>
      </c>
      <c r="S82" s="90" t="str">
        <f>Velocity(PitotID4,PitotCoeff4,Afterflows!AB81,D82,E82,StackTempAvg4,AbsPress4,MolecularWt)</f>
        <v/>
      </c>
      <c r="T82" s="91" t="str">
        <f t="shared" si="49"/>
        <v/>
      </c>
      <c r="U82" s="91" t="str">
        <f t="shared" si="50"/>
        <v/>
      </c>
      <c r="V82" s="91" t="str">
        <f t="shared" si="51"/>
        <v/>
      </c>
      <c r="W82" s="91" t="str">
        <f>IF(ISNUMBER(V82),$H$5+SUM(V$81:V82)/Mratio4,"")</f>
        <v/>
      </c>
      <c r="X82" s="93" t="str">
        <f t="shared" si="52"/>
        <v/>
      </c>
      <c r="Z82" s="902" t="str">
        <f t="shared" si="53"/>
        <v/>
      </c>
      <c r="AA82" s="90" t="str">
        <f t="shared" si="54"/>
        <v/>
      </c>
      <c r="AB82" s="90" t="str">
        <f t="shared" si="55"/>
        <v/>
      </c>
      <c r="AC82" s="90" t="str">
        <f t="shared" si="56"/>
        <v/>
      </c>
      <c r="AD82" s="90" t="str">
        <f t="shared" ref="AD82:AD140" si="62">IF(AB82="","",$AL$107*1000/60/(PI()*AB82^2/4))</f>
        <v/>
      </c>
      <c r="AE82" s="90" t="str">
        <f t="shared" si="57"/>
        <v/>
      </c>
      <c r="AF82" s="90" t="str">
        <f t="shared" si="58"/>
        <v/>
      </c>
      <c r="AG82" s="90" t="str">
        <f t="shared" si="59"/>
        <v/>
      </c>
      <c r="AH82" s="93" t="str">
        <f t="shared" si="60"/>
        <v/>
      </c>
      <c r="AJ82" s="916"/>
      <c r="AK82" s="923"/>
      <c r="AL82" s="924" t="s">
        <v>1288</v>
      </c>
      <c r="AM82" s="918" t="s">
        <v>1242</v>
      </c>
      <c r="AN82" s="924" t="s">
        <v>1289</v>
      </c>
      <c r="AO82" s="922"/>
      <c r="AP82" s="919"/>
      <c r="AQ82" s="920"/>
      <c r="AR82" s="920"/>
      <c r="AS82" s="920"/>
      <c r="AT82" s="921"/>
    </row>
    <row r="83" spans="1:46" ht="10.5" customHeight="1">
      <c r="A83" s="87" t="str">
        <f>'Flows &amp; Isokinetics'!E17</f>
        <v/>
      </c>
      <c r="B83" s="88" t="str">
        <f>'Flows &amp; Isokinetics'!F17</f>
        <v/>
      </c>
      <c r="C83" s="777" t="str">
        <f>IF(Afterflows!W82="","",Afterflows!W82)</f>
        <v/>
      </c>
      <c r="D83" s="88" t="str">
        <f t="shared" si="43"/>
        <v/>
      </c>
      <c r="E83" s="288" t="str">
        <f>IF(ISNUMBER(C83),IF(ISNUMBER(StackTemp4),StackTemp4,IF(Afterflows!V82="","",Afterflows!V82)),"")</f>
        <v/>
      </c>
      <c r="F83" s="89" t="str">
        <f t="shared" si="44"/>
        <v/>
      </c>
      <c r="G83" s="89" t="str">
        <f t="shared" si="45"/>
        <v/>
      </c>
      <c r="H83" s="89" t="str">
        <f t="shared" si="46"/>
        <v/>
      </c>
      <c r="I83" s="112" t="str">
        <f t="shared" si="47"/>
        <v/>
      </c>
      <c r="J83" s="777" t="str">
        <f>IF(C83="","",Afterflows!G82)</f>
        <v/>
      </c>
      <c r="K83" s="777" t="str">
        <f>IF(E83="","",Afterflows!H82)</f>
        <v/>
      </c>
      <c r="L83" s="110" t="s">
        <v>1289</v>
      </c>
      <c r="M83" s="97"/>
      <c r="N83" s="111" t="e">
        <f>AS122</f>
        <v>#VALUE!</v>
      </c>
      <c r="O83" s="113"/>
      <c r="P83" s="87" t="str">
        <f t="shared" si="48"/>
        <v/>
      </c>
      <c r="Q83" s="2071" t="str">
        <f t="shared" ref="Q83:Q140" si="63">IF(I83="","",Q82+TIME(0,I83,0))</f>
        <v/>
      </c>
      <c r="R83" s="90" t="str">
        <f t="shared" si="61"/>
        <v/>
      </c>
      <c r="S83" s="90" t="str">
        <f>Velocity(PitotID4,PitotCoeff4,Afterflows!AB82,D83,E83,StackTempAvg4,AbsPress4,MolecularWt)</f>
        <v/>
      </c>
      <c r="T83" s="91" t="str">
        <f t="shared" si="49"/>
        <v/>
      </c>
      <c r="U83" s="91" t="str">
        <f t="shared" si="50"/>
        <v/>
      </c>
      <c r="V83" s="91" t="str">
        <f t="shared" si="51"/>
        <v/>
      </c>
      <c r="W83" s="91" t="str">
        <f>IF(ISNUMBER(V83),$H$5+SUM(V$81:V83)/Mratio4,"")</f>
        <v/>
      </c>
      <c r="X83" s="93" t="str">
        <f t="shared" si="52"/>
        <v/>
      </c>
      <c r="Z83" s="902" t="str">
        <f t="shared" si="53"/>
        <v/>
      </c>
      <c r="AA83" s="90" t="str">
        <f t="shared" si="54"/>
        <v/>
      </c>
      <c r="AB83" s="90" t="str">
        <f t="shared" si="55"/>
        <v/>
      </c>
      <c r="AC83" s="90" t="str">
        <f t="shared" si="56"/>
        <v/>
      </c>
      <c r="AD83" s="90" t="str">
        <f t="shared" si="62"/>
        <v/>
      </c>
      <c r="AE83" s="90" t="str">
        <f t="shared" si="57"/>
        <v/>
      </c>
      <c r="AF83" s="90" t="str">
        <f t="shared" si="58"/>
        <v/>
      </c>
      <c r="AG83" s="90" t="str">
        <f t="shared" si="59"/>
        <v/>
      </c>
      <c r="AH83" s="93" t="str">
        <f t="shared" si="60"/>
        <v/>
      </c>
      <c r="AJ83" s="925"/>
      <c r="AK83" s="923"/>
      <c r="AL83" s="919"/>
      <c r="AM83" s="919"/>
      <c r="AN83" s="919"/>
      <c r="AO83" s="922"/>
      <c r="AP83" s="919"/>
      <c r="AQ83" s="920"/>
      <c r="AR83" s="920"/>
      <c r="AS83" s="920"/>
      <c r="AT83" s="921"/>
    </row>
    <row r="84" spans="1:46" ht="10.5" customHeight="1">
      <c r="A84" s="87" t="str">
        <f>'Flows &amp; Isokinetics'!E18</f>
        <v/>
      </c>
      <c r="B84" s="88" t="str">
        <f>'Flows &amp; Isokinetics'!F18</f>
        <v/>
      </c>
      <c r="C84" s="777" t="str">
        <f>IF(Afterflows!W83="","",Afterflows!W83)</f>
        <v/>
      </c>
      <c r="D84" s="88" t="str">
        <f t="shared" si="43"/>
        <v/>
      </c>
      <c r="E84" s="288" t="str">
        <f>IF(ISNUMBER(C84),IF(ISNUMBER(StackTemp4),StackTemp4,IF(Afterflows!V83="","",Afterflows!V83)),"")</f>
        <v/>
      </c>
      <c r="F84" s="89" t="str">
        <f t="shared" si="44"/>
        <v/>
      </c>
      <c r="G84" s="89" t="str">
        <f t="shared" si="45"/>
        <v/>
      </c>
      <c r="H84" s="89" t="str">
        <f t="shared" si="46"/>
        <v/>
      </c>
      <c r="I84" s="112" t="str">
        <f t="shared" si="47"/>
        <v/>
      </c>
      <c r="J84" s="777" t="str">
        <f>IF(C84="","",Afterflows!G83)</f>
        <v/>
      </c>
      <c r="K84" s="777" t="str">
        <f>IF(E84="","",Afterflows!H83)</f>
        <v/>
      </c>
      <c r="L84" s="115" t="s">
        <v>1271</v>
      </c>
      <c r="M84" s="97"/>
      <c r="N84" s="114"/>
      <c r="O84" s="113"/>
      <c r="P84" s="87" t="str">
        <f t="shared" si="48"/>
        <v/>
      </c>
      <c r="Q84" s="2071" t="str">
        <f t="shared" si="63"/>
        <v/>
      </c>
      <c r="R84" s="90" t="str">
        <f t="shared" si="61"/>
        <v/>
      </c>
      <c r="S84" s="90" t="str">
        <f>Velocity(PitotID4,PitotCoeff4,Afterflows!AB83,D84,E84,StackTempAvg4,AbsPress4,MolecularWt)</f>
        <v/>
      </c>
      <c r="T84" s="91" t="str">
        <f t="shared" si="49"/>
        <v/>
      </c>
      <c r="U84" s="91" t="str">
        <f t="shared" si="50"/>
        <v/>
      </c>
      <c r="V84" s="91" t="str">
        <f t="shared" si="51"/>
        <v/>
      </c>
      <c r="W84" s="91" t="str">
        <f>IF(ISNUMBER(V84),$H$5+SUM(V$81:V84)/Mratio4,"")</f>
        <v/>
      </c>
      <c r="X84" s="93" t="str">
        <f t="shared" si="52"/>
        <v/>
      </c>
      <c r="Z84" s="902" t="str">
        <f t="shared" si="53"/>
        <v/>
      </c>
      <c r="AA84" s="90" t="str">
        <f t="shared" si="54"/>
        <v/>
      </c>
      <c r="AB84" s="90" t="str">
        <f t="shared" si="55"/>
        <v/>
      </c>
      <c r="AC84" s="90" t="str">
        <f t="shared" si="56"/>
        <v/>
      </c>
      <c r="AD84" s="90" t="str">
        <f t="shared" si="62"/>
        <v/>
      </c>
      <c r="AE84" s="90" t="str">
        <f t="shared" si="57"/>
        <v/>
      </c>
      <c r="AF84" s="90" t="str">
        <f t="shared" si="58"/>
        <v/>
      </c>
      <c r="AG84" s="90" t="str">
        <f t="shared" si="59"/>
        <v/>
      </c>
      <c r="AH84" s="93" t="str">
        <f t="shared" si="60"/>
        <v/>
      </c>
      <c r="AJ84" s="925"/>
      <c r="AK84" s="923"/>
      <c r="AL84" s="919"/>
      <c r="AM84" s="924" t="s">
        <v>300</v>
      </c>
      <c r="AN84" s="919"/>
      <c r="AO84" s="922"/>
      <c r="AP84" s="919"/>
      <c r="AQ84" s="919"/>
      <c r="AR84" s="2695" t="str">
        <f>PMtest4</f>
        <v>PM10&amp;2.5</v>
      </c>
      <c r="AS84" s="2695"/>
      <c r="AT84" s="926"/>
    </row>
    <row r="85" spans="1:46" ht="10.5" customHeight="1">
      <c r="A85" s="87" t="str">
        <f>'Flows &amp; Isokinetics'!E19</f>
        <v/>
      </c>
      <c r="B85" s="88" t="str">
        <f>'Flows &amp; Isokinetics'!F19</f>
        <v/>
      </c>
      <c r="C85" s="777" t="str">
        <f>IF(Afterflows!W84="","",Afterflows!W84)</f>
        <v/>
      </c>
      <c r="D85" s="88" t="str">
        <f t="shared" si="43"/>
        <v/>
      </c>
      <c r="E85" s="288" t="str">
        <f>IF(ISNUMBER(C85),IF(ISNUMBER(StackTemp4),StackTemp4,IF(Afterflows!V84="","",Afterflows!V84)),"")</f>
        <v/>
      </c>
      <c r="F85" s="89" t="str">
        <f t="shared" si="44"/>
        <v/>
      </c>
      <c r="G85" s="89" t="str">
        <f t="shared" si="45"/>
        <v/>
      </c>
      <c r="H85" s="89" t="str">
        <f t="shared" si="46"/>
        <v/>
      </c>
      <c r="I85" s="112" t="str">
        <f t="shared" si="47"/>
        <v/>
      </c>
      <c r="J85" s="777" t="str">
        <f>IF(C85="","",Afterflows!G84)</f>
        <v/>
      </c>
      <c r="K85" s="777" t="str">
        <f>IF(E85="","",Afterflows!H84)</f>
        <v/>
      </c>
      <c r="L85" s="699" t="s">
        <v>568</v>
      </c>
      <c r="M85" s="700" t="s">
        <v>1206</v>
      </c>
      <c r="N85" s="701" t="s">
        <v>503</v>
      </c>
      <c r="O85" s="113"/>
      <c r="P85" s="87" t="str">
        <f t="shared" si="48"/>
        <v/>
      </c>
      <c r="Q85" s="2071" t="str">
        <f t="shared" si="63"/>
        <v/>
      </c>
      <c r="R85" s="90" t="str">
        <f t="shared" si="61"/>
        <v/>
      </c>
      <c r="S85" s="90" t="str">
        <f>Velocity(PitotID4,PitotCoeff4,Afterflows!AB84,D85,E85,StackTempAvg4,AbsPress4,MolecularWt)</f>
        <v/>
      </c>
      <c r="T85" s="91" t="str">
        <f t="shared" si="49"/>
        <v/>
      </c>
      <c r="U85" s="91" t="str">
        <f t="shared" si="50"/>
        <v/>
      </c>
      <c r="V85" s="91" t="str">
        <f t="shared" si="51"/>
        <v/>
      </c>
      <c r="W85" s="91" t="str">
        <f>IF(ISNUMBER(V85),$H$5+SUM(V$81:V85)/Mratio4,"")</f>
        <v/>
      </c>
      <c r="X85" s="93" t="str">
        <f t="shared" si="52"/>
        <v/>
      </c>
      <c r="Z85" s="902" t="str">
        <f t="shared" si="53"/>
        <v/>
      </c>
      <c r="AA85" s="90" t="str">
        <f t="shared" si="54"/>
        <v/>
      </c>
      <c r="AB85" s="90" t="str">
        <f t="shared" si="55"/>
        <v/>
      </c>
      <c r="AC85" s="90" t="str">
        <f t="shared" si="56"/>
        <v/>
      </c>
      <c r="AD85" s="90" t="str">
        <f t="shared" si="62"/>
        <v/>
      </c>
      <c r="AE85" s="90" t="str">
        <f t="shared" si="57"/>
        <v/>
      </c>
      <c r="AF85" s="90" t="str">
        <f t="shared" si="58"/>
        <v/>
      </c>
      <c r="AG85" s="90" t="str">
        <f t="shared" si="59"/>
        <v/>
      </c>
      <c r="AH85" s="93" t="str">
        <f t="shared" si="60"/>
        <v/>
      </c>
      <c r="AJ85" s="927"/>
      <c r="AK85" s="923" t="s">
        <v>1297</v>
      </c>
      <c r="AL85" s="919"/>
      <c r="AM85" s="928">
        <f>MolecularWt</f>
        <v>28.845074441969999</v>
      </c>
      <c r="AN85" s="919"/>
      <c r="AO85" s="922"/>
      <c r="AP85" s="922"/>
      <c r="AQ85" s="923" t="s">
        <v>1263</v>
      </c>
      <c r="AR85" s="929" t="e">
        <f>SelectSR(PMtest4,NozzleKitID4,Viscosity4,StackTempAvgR4,MolecularWt,StackGasPressInHg4)</f>
        <v>#VALUE!</v>
      </c>
      <c r="AS85" s="919" t="e">
        <f>AR85*28.32</f>
        <v>#VALUE!</v>
      </c>
      <c r="AT85" s="930" t="e">
        <f>AS85/1000</f>
        <v>#VALUE!</v>
      </c>
    </row>
    <row r="86" spans="1:46" ht="10.5" customHeight="1">
      <c r="A86" s="87" t="str">
        <f>'Flows &amp; Isokinetics'!E20</f>
        <v/>
      </c>
      <c r="B86" s="88" t="str">
        <f>'Flows &amp; Isokinetics'!F20</f>
        <v/>
      </c>
      <c r="C86" s="777" t="str">
        <f>IF(Afterflows!W85="","",Afterflows!W85)</f>
        <v/>
      </c>
      <c r="D86" s="88" t="str">
        <f t="shared" si="43"/>
        <v/>
      </c>
      <c r="E86" s="288" t="str">
        <f>IF(ISNUMBER(C86),IF(ISNUMBER(StackTemp4),StackTemp4,IF(Afterflows!V85="","",Afterflows!V85)),"")</f>
        <v/>
      </c>
      <c r="F86" s="89" t="str">
        <f t="shared" si="44"/>
        <v/>
      </c>
      <c r="G86" s="89" t="str">
        <f t="shared" si="45"/>
        <v/>
      </c>
      <c r="H86" s="89" t="str">
        <f t="shared" si="46"/>
        <v/>
      </c>
      <c r="I86" s="112" t="str">
        <f t="shared" si="47"/>
        <v/>
      </c>
      <c r="J86" s="777" t="str">
        <f>IF(C86="","",Afterflows!G85)</f>
        <v/>
      </c>
      <c r="K86" s="777" t="str">
        <f>IF(E86="","",Afterflows!H85)</f>
        <v/>
      </c>
      <c r="L86" s="702" t="e">
        <f>QsLmin4</f>
        <v>#VALUE!</v>
      </c>
      <c r="M86" s="703" t="e">
        <f>QsLmin4*(MeterTempAvg4+273.15)/(StackTempAvg4+273.15)*AbsPress4/(BaroPress4+MeterPress4*10)*(1-Bws)</f>
        <v>#VALUE!</v>
      </c>
      <c r="N86" s="704" t="str">
        <f>FlowSet(S$6,MeterRate4,S$7,S$8,S$9,S$10,MeterTempAvg4,MeterPressAvg4,BaroPress4,OPF)</f>
        <v/>
      </c>
      <c r="O86" s="113"/>
      <c r="P86" s="87" t="str">
        <f t="shared" si="48"/>
        <v/>
      </c>
      <c r="Q86" s="2071" t="str">
        <f t="shared" si="63"/>
        <v/>
      </c>
      <c r="R86" s="90" t="str">
        <f t="shared" si="61"/>
        <v/>
      </c>
      <c r="S86" s="90" t="str">
        <f>Velocity(PitotID4,PitotCoeff4,Afterflows!AB85,D86,E86,StackTempAvg4,AbsPress4,MolecularWt)</f>
        <v/>
      </c>
      <c r="T86" s="91" t="str">
        <f t="shared" si="49"/>
        <v/>
      </c>
      <c r="U86" s="91" t="str">
        <f t="shared" si="50"/>
        <v/>
      </c>
      <c r="V86" s="91" t="str">
        <f t="shared" si="51"/>
        <v/>
      </c>
      <c r="W86" s="91" t="str">
        <f>IF(ISNUMBER(V86),$H$5+SUM(V$81:V86)/Mratio4,"")</f>
        <v/>
      </c>
      <c r="X86" s="93" t="str">
        <f t="shared" si="52"/>
        <v/>
      </c>
      <c r="Z86" s="902" t="str">
        <f t="shared" si="53"/>
        <v/>
      </c>
      <c r="AA86" s="90" t="str">
        <f t="shared" si="54"/>
        <v/>
      </c>
      <c r="AB86" s="90" t="str">
        <f t="shared" si="55"/>
        <v/>
      </c>
      <c r="AC86" s="90" t="str">
        <f t="shared" si="56"/>
        <v/>
      </c>
      <c r="AD86" s="90" t="str">
        <f t="shared" si="62"/>
        <v/>
      </c>
      <c r="AE86" s="90" t="str">
        <f t="shared" si="57"/>
        <v/>
      </c>
      <c r="AF86" s="90" t="str">
        <f t="shared" si="58"/>
        <v/>
      </c>
      <c r="AG86" s="90" t="str">
        <f t="shared" si="59"/>
        <v/>
      </c>
      <c r="AH86" s="93" t="str">
        <f t="shared" si="60"/>
        <v/>
      </c>
      <c r="AJ86" s="925"/>
      <c r="AK86" s="923" t="s">
        <v>1298</v>
      </c>
      <c r="AL86" s="919"/>
      <c r="AM86" s="928">
        <f>MolecularWtDry</f>
        <v>28.954466102999998</v>
      </c>
      <c r="AN86" s="919"/>
      <c r="AO86" s="922"/>
      <c r="AP86" s="920"/>
      <c r="AQ86" s="923" t="s">
        <v>1262</v>
      </c>
      <c r="AR86" s="919" t="e">
        <f>85.49*PitotCoeff4*(AvgSqrtVelocityHead4)*SQRT(StackTempAvgR4/(StackGasPressInHg4*MolecularWtWet))*PBVF2</f>
        <v>#VALUE!</v>
      </c>
      <c r="AS86" s="919" t="e">
        <f>12.89*PitotCoeff4*(AvgSqrtPa4)*SQRT(StackTempAvgK4/(AbsPress4*MolecularWtWet))*PBVF2</f>
        <v>#VALUE!</v>
      </c>
      <c r="AT86" s="931"/>
    </row>
    <row r="87" spans="1:46" ht="10.5" customHeight="1">
      <c r="A87" s="87" t="str">
        <f>'Flows &amp; Isokinetics'!E21</f>
        <v/>
      </c>
      <c r="B87" s="88" t="str">
        <f>'Flows &amp; Isokinetics'!F21</f>
        <v/>
      </c>
      <c r="C87" s="777" t="str">
        <f>IF(Afterflows!W86="","",Afterflows!W86)</f>
        <v/>
      </c>
      <c r="D87" s="88" t="str">
        <f t="shared" si="43"/>
        <v/>
      </c>
      <c r="E87" s="288" t="str">
        <f>IF(ISNUMBER(C87),IF(ISNUMBER(StackTemp4),StackTemp4,IF(Afterflows!V86="","",Afterflows!V86)),"")</f>
        <v/>
      </c>
      <c r="F87" s="89" t="str">
        <f t="shared" si="44"/>
        <v/>
      </c>
      <c r="G87" s="89" t="str">
        <f t="shared" si="45"/>
        <v/>
      </c>
      <c r="H87" s="89" t="str">
        <f t="shared" si="46"/>
        <v/>
      </c>
      <c r="I87" s="112" t="str">
        <f t="shared" si="47"/>
        <v/>
      </c>
      <c r="J87" s="777" t="str">
        <f>IF(C87="","",Afterflows!G86)</f>
        <v/>
      </c>
      <c r="K87" s="777" t="str">
        <f>IF(E87="","",Afterflows!H86)</f>
        <v/>
      </c>
      <c r="L87" s="697" t="e">
        <f>AS113</f>
        <v>#VALUE!</v>
      </c>
      <c r="M87" s="698" t="e">
        <f>L87*(MeterTempAvg4+273.15)/(StackTempAvg4+273.15)*AbsPress4/(BaroPress4+MeterPress4*10)*(1-Bws)</f>
        <v>#VALUE!</v>
      </c>
      <c r="N87" s="114" t="str">
        <f>FlowSet(S$6,M87,S$7,S$8,S$9,S$10,MeterTempAvg4,MeterPressAvg4,BaroPress4,OPF)</f>
        <v/>
      </c>
      <c r="O87" s="113"/>
      <c r="P87" s="87" t="str">
        <f t="shared" si="48"/>
        <v/>
      </c>
      <c r="Q87" s="2071" t="str">
        <f t="shared" si="63"/>
        <v/>
      </c>
      <c r="R87" s="90" t="str">
        <f t="shared" si="61"/>
        <v/>
      </c>
      <c r="S87" s="90" t="str">
        <f>Velocity(PitotID4,PitotCoeff4,Afterflows!AB86,D87,E87,StackTempAvg4,AbsPress4,MolecularWt)</f>
        <v/>
      </c>
      <c r="T87" s="91" t="str">
        <f t="shared" si="49"/>
        <v/>
      </c>
      <c r="U87" s="91" t="str">
        <f t="shared" si="50"/>
        <v/>
      </c>
      <c r="V87" s="91" t="str">
        <f t="shared" si="51"/>
        <v/>
      </c>
      <c r="W87" s="91" t="str">
        <f>IF(ISNUMBER(V87),$H$5+SUM(V$81:V87)/Mratio4,"")</f>
        <v/>
      </c>
      <c r="X87" s="93" t="str">
        <f t="shared" si="52"/>
        <v/>
      </c>
      <c r="Z87" s="902" t="str">
        <f t="shared" si="53"/>
        <v/>
      </c>
      <c r="AA87" s="90" t="str">
        <f t="shared" si="54"/>
        <v/>
      </c>
      <c r="AB87" s="90" t="str">
        <f t="shared" si="55"/>
        <v/>
      </c>
      <c r="AC87" s="90" t="str">
        <f t="shared" si="56"/>
        <v/>
      </c>
      <c r="AD87" s="90" t="str">
        <f t="shared" si="62"/>
        <v/>
      </c>
      <c r="AE87" s="90" t="str">
        <f t="shared" si="57"/>
        <v/>
      </c>
      <c r="AF87" s="90" t="str">
        <f t="shared" si="58"/>
        <v/>
      </c>
      <c r="AG87" s="90" t="str">
        <f t="shared" si="59"/>
        <v/>
      </c>
      <c r="AH87" s="93" t="str">
        <f t="shared" si="60"/>
        <v/>
      </c>
      <c r="AJ87" s="925"/>
      <c r="AK87" s="917"/>
      <c r="AL87" s="919"/>
      <c r="AM87" s="917"/>
      <c r="AN87" s="919"/>
      <c r="AO87" s="917"/>
      <c r="AP87" s="919"/>
      <c r="AQ87" s="923" t="s">
        <v>1258</v>
      </c>
      <c r="AR87" s="919" t="e">
        <f>SQRT((3.056*AR85)/AR86)</f>
        <v>#VALUE!</v>
      </c>
      <c r="AS87" s="919" t="e">
        <f>IF(ISNUMBER(AS86),2*SQRT((QsLmin4/AS86)*(1000000/(PI()*60000))),2*SQRT((QsLmin4/(VelocityAverage4*PBVF2))*(1000000/(PI()*60000))))</f>
        <v>#VALUE!</v>
      </c>
      <c r="AT87" s="931"/>
    </row>
    <row r="88" spans="1:46" ht="10.5" customHeight="1">
      <c r="A88" s="87" t="str">
        <f>'Flows &amp; Isokinetics'!E22</f>
        <v/>
      </c>
      <c r="B88" s="88" t="str">
        <f>'Flows &amp; Isokinetics'!F22</f>
        <v/>
      </c>
      <c r="C88" s="777" t="str">
        <f>IF(Afterflows!W87="","",Afterflows!W87)</f>
        <v/>
      </c>
      <c r="D88" s="88" t="str">
        <f t="shared" si="43"/>
        <v/>
      </c>
      <c r="E88" s="288" t="str">
        <f>IF(ISNUMBER(C88),IF(ISNUMBER(StackTemp4),StackTemp4,IF(Afterflows!V87="","",Afterflows!V87)),"")</f>
        <v/>
      </c>
      <c r="F88" s="89" t="str">
        <f t="shared" si="44"/>
        <v/>
      </c>
      <c r="G88" s="89" t="str">
        <f t="shared" si="45"/>
        <v/>
      </c>
      <c r="H88" s="89" t="str">
        <f t="shared" si="46"/>
        <v/>
      </c>
      <c r="I88" s="112" t="str">
        <f t="shared" si="47"/>
        <v/>
      </c>
      <c r="J88" s="777" t="str">
        <f>IF(C88="","",Afterflows!G87)</f>
        <v/>
      </c>
      <c r="K88" s="777" t="str">
        <f>IF(E88="","",Afterflows!H87)</f>
        <v/>
      </c>
      <c r="L88" s="697" t="e">
        <f>AS120</f>
        <v>#VALUE!</v>
      </c>
      <c r="M88" s="698" t="e">
        <f>L88*(MeterTempAvg4+273.15)/(StackTempAvg4+273.15)*AbsPress4/(BaroPress4+MeterPress4*10)*(1-Bws)</f>
        <v>#VALUE!</v>
      </c>
      <c r="N88" s="114" t="str">
        <f>FlowSet(S$6,M88,S$7,S$8,S$9,S$10,MeterTempAvg4,MeterPressAvg4,BaroPress4,OPF)</f>
        <v/>
      </c>
      <c r="O88" s="113"/>
      <c r="P88" s="87" t="str">
        <f t="shared" si="48"/>
        <v/>
      </c>
      <c r="Q88" s="2071" t="str">
        <f t="shared" si="63"/>
        <v/>
      </c>
      <c r="R88" s="90" t="str">
        <f t="shared" si="61"/>
        <v/>
      </c>
      <c r="S88" s="90" t="str">
        <f>Velocity(PitotID4,PitotCoeff4,Afterflows!AB87,D88,E88,StackTempAvg4,AbsPress4,MolecularWt)</f>
        <v/>
      </c>
      <c r="T88" s="91" t="str">
        <f t="shared" si="49"/>
        <v/>
      </c>
      <c r="U88" s="91" t="str">
        <f t="shared" si="50"/>
        <v/>
      </c>
      <c r="V88" s="91" t="str">
        <f t="shared" si="51"/>
        <v/>
      </c>
      <c r="W88" s="91" t="str">
        <f>IF(ISNUMBER(V88),$H$5+SUM(V$81:V88)/Mratio4,"")</f>
        <v/>
      </c>
      <c r="X88" s="93" t="str">
        <f t="shared" si="52"/>
        <v/>
      </c>
      <c r="Z88" s="902" t="str">
        <f t="shared" si="53"/>
        <v/>
      </c>
      <c r="AA88" s="90" t="str">
        <f t="shared" si="54"/>
        <v/>
      </c>
      <c r="AB88" s="90" t="str">
        <f t="shared" si="55"/>
        <v/>
      </c>
      <c r="AC88" s="90" t="str">
        <f t="shared" si="56"/>
        <v/>
      </c>
      <c r="AD88" s="90" t="str">
        <f t="shared" si="62"/>
        <v/>
      </c>
      <c r="AE88" s="90" t="str">
        <f t="shared" si="57"/>
        <v/>
      </c>
      <c r="AF88" s="90" t="str">
        <f t="shared" si="58"/>
        <v/>
      </c>
      <c r="AG88" s="90" t="str">
        <f t="shared" si="59"/>
        <v/>
      </c>
      <c r="AH88" s="93" t="str">
        <f t="shared" si="60"/>
        <v/>
      </c>
      <c r="AJ88" s="925"/>
      <c r="AK88" s="932" t="s">
        <v>288</v>
      </c>
      <c r="AL88" s="933" t="e">
        <f>ViscositySelect(PMtest4,AL89,AL90)</f>
        <v>#VALUE!</v>
      </c>
      <c r="AM88" s="933" t="e">
        <f>ViscositySelect(PMtest4,Viscosity201A4,ViscosityCTM4)</f>
        <v>#VALUE!</v>
      </c>
      <c r="AN88" s="933" t="e">
        <f>ViscositySelect(PMtest4,AN89,AN90)</f>
        <v>#VALUE!</v>
      </c>
      <c r="AO88" s="922" t="s">
        <v>1247</v>
      </c>
      <c r="AP88" s="922"/>
      <c r="AQ88" s="923" t="s">
        <v>284</v>
      </c>
      <c r="AR88" s="919" t="e">
        <f>SelectPM10(PMtest4,NozzleKitID4,Viscosity4,StackTempAvgR4,AM93,MolecularWt,StackGasPressInHg4,StackGasPressmmHg4,QsM3min4,SamplingRate4)</f>
        <v>#VALUE!</v>
      </c>
      <c r="AS88" s="919" t="e">
        <f>SelectPM10(PMtest4,NozzleKitID4,AM113,AM121,AM119,MolecularWt,AM126,AM127,SamplingRateAct4,AM109)</f>
        <v>#VALUE!</v>
      </c>
      <c r="AT88" s="931"/>
    </row>
    <row r="89" spans="1:46" ht="10.5" customHeight="1">
      <c r="A89" s="87" t="str">
        <f>'Flows &amp; Isokinetics'!E23</f>
        <v/>
      </c>
      <c r="B89" s="88" t="str">
        <f>'Flows &amp; Isokinetics'!F23</f>
        <v/>
      </c>
      <c r="C89" s="777" t="str">
        <f>IF(Afterflows!W88="","",Afterflows!W88)</f>
        <v/>
      </c>
      <c r="D89" s="88" t="str">
        <f t="shared" si="43"/>
        <v/>
      </c>
      <c r="E89" s="288" t="str">
        <f>IF(ISNUMBER(C89),IF(ISNUMBER(StackTemp4),StackTemp4,IF(Afterflows!V88="","",Afterflows!V88)),"")</f>
        <v/>
      </c>
      <c r="F89" s="89" t="str">
        <f t="shared" si="44"/>
        <v/>
      </c>
      <c r="G89" s="89" t="str">
        <f t="shared" si="45"/>
        <v/>
      </c>
      <c r="H89" s="89" t="str">
        <f t="shared" si="46"/>
        <v/>
      </c>
      <c r="I89" s="112" t="str">
        <f t="shared" si="47"/>
        <v/>
      </c>
      <c r="J89" s="777" t="str">
        <f>IF(C89="","",Afterflows!G88)</f>
        <v/>
      </c>
      <c r="K89" s="777" t="str">
        <f>IF(E89="","",Afterflows!H88)</f>
        <v/>
      </c>
      <c r="L89" s="115" t="s">
        <v>1270</v>
      </c>
      <c r="M89" s="97"/>
      <c r="N89" s="114"/>
      <c r="O89" s="113"/>
      <c r="P89" s="87" t="str">
        <f t="shared" si="48"/>
        <v/>
      </c>
      <c r="Q89" s="2071" t="str">
        <f t="shared" si="63"/>
        <v/>
      </c>
      <c r="R89" s="90" t="str">
        <f t="shared" si="61"/>
        <v/>
      </c>
      <c r="S89" s="90" t="str">
        <f>Velocity(PitotID4,PitotCoeff4,Afterflows!AB88,D89,E89,StackTempAvg4,AbsPress4,MolecularWt)</f>
        <v/>
      </c>
      <c r="T89" s="91" t="str">
        <f t="shared" si="49"/>
        <v/>
      </c>
      <c r="U89" s="91" t="str">
        <f t="shared" si="50"/>
        <v/>
      </c>
      <c r="V89" s="91" t="str">
        <f t="shared" si="51"/>
        <v/>
      </c>
      <c r="W89" s="91" t="str">
        <f>IF(ISNUMBER(V89),$H$5+SUM(V$81:V89)/Mratio4,"")</f>
        <v/>
      </c>
      <c r="X89" s="93" t="str">
        <f t="shared" si="52"/>
        <v/>
      </c>
      <c r="Z89" s="902" t="str">
        <f t="shared" si="53"/>
        <v/>
      </c>
      <c r="AA89" s="90" t="str">
        <f t="shared" si="54"/>
        <v/>
      </c>
      <c r="AB89" s="90" t="str">
        <f t="shared" si="55"/>
        <v/>
      </c>
      <c r="AC89" s="90" t="str">
        <f t="shared" si="56"/>
        <v/>
      </c>
      <c r="AD89" s="90" t="str">
        <f t="shared" si="62"/>
        <v/>
      </c>
      <c r="AE89" s="90" t="str">
        <f t="shared" si="57"/>
        <v/>
      </c>
      <c r="AF89" s="90" t="str">
        <f t="shared" si="58"/>
        <v/>
      </c>
      <c r="AG89" s="90" t="str">
        <f t="shared" si="59"/>
        <v/>
      </c>
      <c r="AH89" s="93" t="str">
        <f t="shared" si="60"/>
        <v/>
      </c>
      <c r="AJ89" s="925"/>
      <c r="AK89" s="923" t="s">
        <v>278</v>
      </c>
      <c r="AL89" s="933" t="e">
        <f>Viscosity201A(AL95,O2dry,Bws)</f>
        <v>#VALUE!</v>
      </c>
      <c r="AM89" s="933" t="e">
        <f>Viscosity201A(StackTempAvgR4,O2dry,Bws)</f>
        <v>#VALUE!</v>
      </c>
      <c r="AN89" s="933" t="e">
        <f>Viscosity201A(AN95,O2dry,Bws)</f>
        <v>#VALUE!</v>
      </c>
      <c r="AO89" s="922" t="s">
        <v>1247</v>
      </c>
      <c r="AP89" s="922"/>
      <c r="AQ89" s="923" t="s">
        <v>285</v>
      </c>
      <c r="AR89" s="919" t="e">
        <f>SelectPM25(PMtest4,NozzleKitID4,Viscosity4,StackTempAvgR4,MolecularWt,StackGasPressInHg4,SamplingRate4,AR91)</f>
        <v>#VALUE!</v>
      </c>
      <c r="AS89" s="917" t="e">
        <f>SelectPM25(PMtest4,NozzleKitID4,AM113,AM121,MolecularWt,AM126,AM109,AS91)</f>
        <v>#VALUE!</v>
      </c>
      <c r="AT89" s="931"/>
    </row>
    <row r="90" spans="1:46" ht="10.5" customHeight="1">
      <c r="A90" s="87" t="str">
        <f>'Flows &amp; Isokinetics'!E24</f>
        <v/>
      </c>
      <c r="B90" s="88" t="str">
        <f>'Flows &amp; Isokinetics'!F24</f>
        <v/>
      </c>
      <c r="C90" s="777" t="str">
        <f>IF(Afterflows!W89="","",Afterflows!W89)</f>
        <v/>
      </c>
      <c r="D90" s="88" t="str">
        <f t="shared" si="43"/>
        <v/>
      </c>
      <c r="E90" s="288" t="str">
        <f>IF(ISNUMBER(C90),IF(ISNUMBER(StackTemp4),StackTemp4,IF(Afterflows!V89="","",Afterflows!V89)),"")</f>
        <v/>
      </c>
      <c r="F90" s="89" t="str">
        <f t="shared" si="44"/>
        <v/>
      </c>
      <c r="G90" s="89" t="str">
        <f t="shared" si="45"/>
        <v/>
      </c>
      <c r="H90" s="89" t="str">
        <f t="shared" si="46"/>
        <v/>
      </c>
      <c r="I90" s="112" t="str">
        <f t="shared" si="47"/>
        <v/>
      </c>
      <c r="J90" s="777" t="str">
        <f>IF(C90="","",Afterflows!G89)</f>
        <v/>
      </c>
      <c r="K90" s="777" t="str">
        <f>IF(E90="","",Afterflows!H89)</f>
        <v/>
      </c>
      <c r="L90" s="110" t="s">
        <v>1260</v>
      </c>
      <c r="M90" s="97"/>
      <c r="N90" s="116" t="e">
        <f>AR99</f>
        <v>#VALUE!</v>
      </c>
      <c r="O90" s="113"/>
      <c r="P90" s="87" t="str">
        <f t="shared" si="48"/>
        <v/>
      </c>
      <c r="Q90" s="2071" t="str">
        <f t="shared" si="63"/>
        <v/>
      </c>
      <c r="R90" s="90" t="str">
        <f t="shared" si="61"/>
        <v/>
      </c>
      <c r="S90" s="90" t="str">
        <f>Velocity(PitotID4,PitotCoeff4,Afterflows!AB89,D90,E90,StackTempAvg4,AbsPress4,MolecularWt)</f>
        <v/>
      </c>
      <c r="T90" s="91" t="str">
        <f t="shared" si="49"/>
        <v/>
      </c>
      <c r="U90" s="91" t="str">
        <f t="shared" si="50"/>
        <v/>
      </c>
      <c r="V90" s="91" t="str">
        <f t="shared" si="51"/>
        <v/>
      </c>
      <c r="W90" s="91" t="str">
        <f>IF(ISNUMBER(V90),$H$5+SUM(V$81:V90)/Mratio4,"")</f>
        <v/>
      </c>
      <c r="X90" s="93" t="str">
        <f t="shared" si="52"/>
        <v/>
      </c>
      <c r="Z90" s="902" t="str">
        <f t="shared" si="53"/>
        <v/>
      </c>
      <c r="AA90" s="90" t="str">
        <f t="shared" si="54"/>
        <v/>
      </c>
      <c r="AB90" s="90" t="str">
        <f t="shared" si="55"/>
        <v/>
      </c>
      <c r="AC90" s="90" t="str">
        <f t="shared" si="56"/>
        <v/>
      </c>
      <c r="AD90" s="90" t="str">
        <f t="shared" si="62"/>
        <v/>
      </c>
      <c r="AE90" s="90" t="str">
        <f t="shared" si="57"/>
        <v/>
      </c>
      <c r="AF90" s="90" t="str">
        <f t="shared" si="58"/>
        <v/>
      </c>
      <c r="AG90" s="90" t="str">
        <f t="shared" si="59"/>
        <v/>
      </c>
      <c r="AH90" s="93" t="str">
        <f t="shared" si="60"/>
        <v/>
      </c>
      <c r="AJ90" s="925"/>
      <c r="AK90" s="923" t="s">
        <v>277</v>
      </c>
      <c r="AL90" s="933" t="e">
        <f>ViscosityCTM040(AL95,O2wet,Bws)</f>
        <v>#VALUE!</v>
      </c>
      <c r="AM90" s="933" t="e">
        <f>ViscosityCTM040(StackTempAvgR4,O2wet,Bws)</f>
        <v>#VALUE!</v>
      </c>
      <c r="AN90" s="933" t="e">
        <f>ViscosityCTM040(AN95,O2wet,Bws)</f>
        <v>#VALUE!</v>
      </c>
      <c r="AO90" s="922" t="s">
        <v>1247</v>
      </c>
      <c r="AP90" s="920"/>
      <c r="AQ90" s="934" t="s">
        <v>280</v>
      </c>
      <c r="AR90" s="920" t="e">
        <f>IF(AR89="","",CCF(Viscosity4,StackGasPressInHg4,AR89,StackTempAvgR4,MolecularWt))</f>
        <v>#VALUE!</v>
      </c>
      <c r="AS90" s="917" t="e">
        <f>IF(AS89="","",CCF(AM113,AM126,AS89,AM121,MolecularWt))</f>
        <v>#VALUE!</v>
      </c>
      <c r="AT90" s="921"/>
    </row>
    <row r="91" spans="1:46" ht="10.5" customHeight="1">
      <c r="A91" s="87" t="str">
        <f>'Flows &amp; Isokinetics'!E25</f>
        <v/>
      </c>
      <c r="B91" s="88" t="str">
        <f>'Flows &amp; Isokinetics'!F25</f>
        <v/>
      </c>
      <c r="C91" s="777" t="str">
        <f>IF(Afterflows!W90="","",Afterflows!W90)</f>
        <v/>
      </c>
      <c r="D91" s="88" t="str">
        <f t="shared" si="43"/>
        <v/>
      </c>
      <c r="E91" s="288" t="str">
        <f>IF(ISNUMBER(C91),IF(ISNUMBER(StackTemp4),StackTemp4,IF(Afterflows!V90="","",Afterflows!V90)),"")</f>
        <v/>
      </c>
      <c r="F91" s="89" t="str">
        <f t="shared" si="44"/>
        <v/>
      </c>
      <c r="G91" s="89" t="str">
        <f t="shared" si="45"/>
        <v/>
      </c>
      <c r="H91" s="89" t="str">
        <f t="shared" si="46"/>
        <v/>
      </c>
      <c r="I91" s="112" t="str">
        <f t="shared" si="47"/>
        <v/>
      </c>
      <c r="J91" s="777" t="str">
        <f>IF(C91="","",Afterflows!G90)</f>
        <v/>
      </c>
      <c r="K91" s="777" t="str">
        <f>IF(E91="","",Afterflows!H90)</f>
        <v/>
      </c>
      <c r="L91" s="110" t="s">
        <v>1261</v>
      </c>
      <c r="M91" s="97"/>
      <c r="N91" s="116" t="e">
        <f>AS99</f>
        <v>#VALUE!</v>
      </c>
      <c r="O91" s="65"/>
      <c r="P91" s="87" t="str">
        <f t="shared" si="48"/>
        <v/>
      </c>
      <c r="Q91" s="2071" t="str">
        <f t="shared" si="63"/>
        <v/>
      </c>
      <c r="R91" s="90" t="str">
        <f t="shared" si="61"/>
        <v/>
      </c>
      <c r="S91" s="90" t="str">
        <f>Velocity(PitotID4,PitotCoeff4,Afterflows!AB90,D91,E91,StackTempAvg4,AbsPress4,MolecularWt)</f>
        <v/>
      </c>
      <c r="T91" s="91" t="str">
        <f t="shared" si="49"/>
        <v/>
      </c>
      <c r="U91" s="91" t="str">
        <f t="shared" si="50"/>
        <v/>
      </c>
      <c r="V91" s="91" t="str">
        <f t="shared" si="51"/>
        <v/>
      </c>
      <c r="W91" s="91" t="str">
        <f>IF(ISNUMBER(V91),$H$5+SUM(V$81:V91)/Mratio4,"")</f>
        <v/>
      </c>
      <c r="X91" s="93" t="str">
        <f t="shared" si="52"/>
        <v/>
      </c>
      <c r="Z91" s="902" t="str">
        <f t="shared" si="53"/>
        <v/>
      </c>
      <c r="AA91" s="90" t="str">
        <f t="shared" si="54"/>
        <v/>
      </c>
      <c r="AB91" s="90" t="str">
        <f t="shared" si="55"/>
        <v/>
      </c>
      <c r="AC91" s="90" t="str">
        <f t="shared" si="56"/>
        <v/>
      </c>
      <c r="AD91" s="90" t="str">
        <f t="shared" si="62"/>
        <v/>
      </c>
      <c r="AE91" s="90" t="str">
        <f t="shared" si="57"/>
        <v/>
      </c>
      <c r="AF91" s="90" t="str">
        <f t="shared" si="58"/>
        <v/>
      </c>
      <c r="AG91" s="90" t="str">
        <f t="shared" si="59"/>
        <v/>
      </c>
      <c r="AH91" s="93" t="str">
        <f t="shared" si="60"/>
        <v/>
      </c>
      <c r="AJ91" s="925"/>
      <c r="AK91" s="923"/>
      <c r="AL91" s="919"/>
      <c r="AM91" s="917"/>
      <c r="AN91" s="919"/>
      <c r="AO91" s="922"/>
      <c r="AP91" s="920"/>
      <c r="AQ91" s="934" t="s">
        <v>279</v>
      </c>
      <c r="AR91" s="917" t="e">
        <f>Nre(StackGasPressInHg4,MolecularWt,StackTempAvgR4,SamplingRate4,Viscosity4)</f>
        <v>#VALUE!</v>
      </c>
      <c r="AS91" s="917" t="e">
        <f>Nre(AM126,MolecularWt,AM121,AM109,AM113)</f>
        <v>#VALUE!</v>
      </c>
      <c r="AT91" s="931"/>
    </row>
    <row r="92" spans="1:46" ht="10.5" customHeight="1">
      <c r="A92" s="87" t="str">
        <f>'Flows &amp; Isokinetics'!E26</f>
        <v/>
      </c>
      <c r="B92" s="88" t="str">
        <f>'Flows &amp; Isokinetics'!F26</f>
        <v/>
      </c>
      <c r="C92" s="777" t="str">
        <f>IF(Afterflows!W91="","",Afterflows!W91)</f>
        <v/>
      </c>
      <c r="D92" s="88" t="str">
        <f t="shared" si="43"/>
        <v/>
      </c>
      <c r="E92" s="288" t="str">
        <f>IF(ISNUMBER(C92),IF(ISNUMBER(StackTemp4),StackTemp4,IF(Afterflows!V91="","",Afterflows!V91)),"")</f>
        <v/>
      </c>
      <c r="F92" s="89" t="str">
        <f t="shared" si="44"/>
        <v/>
      </c>
      <c r="G92" s="89" t="str">
        <f t="shared" si="45"/>
        <v/>
      </c>
      <c r="H92" s="89" t="str">
        <f t="shared" si="46"/>
        <v/>
      </c>
      <c r="I92" s="112" t="str">
        <f t="shared" si="47"/>
        <v/>
      </c>
      <c r="J92" s="777" t="str">
        <f>IF(C92="","",Afterflows!G91)</f>
        <v/>
      </c>
      <c r="K92" s="777" t="str">
        <f>IF(E92="","",Afterflows!H91)</f>
        <v/>
      </c>
      <c r="L92" s="115" t="s">
        <v>282</v>
      </c>
      <c r="M92" s="97"/>
      <c r="N92" s="114"/>
      <c r="O92" s="65"/>
      <c r="P92" s="87" t="str">
        <f t="shared" si="48"/>
        <v/>
      </c>
      <c r="Q92" s="2071" t="str">
        <f t="shared" si="63"/>
        <v/>
      </c>
      <c r="R92" s="90" t="str">
        <f t="shared" si="61"/>
        <v/>
      </c>
      <c r="S92" s="90" t="str">
        <f>Velocity(PitotID4,PitotCoeff4,Afterflows!AB91,D92,E92,StackTempAvg4,AbsPress4,MolecularWt)</f>
        <v/>
      </c>
      <c r="T92" s="91" t="str">
        <f t="shared" si="49"/>
        <v/>
      </c>
      <c r="U92" s="91" t="str">
        <f t="shared" si="50"/>
        <v/>
      </c>
      <c r="V92" s="91" t="str">
        <f t="shared" si="51"/>
        <v/>
      </c>
      <c r="W92" s="91" t="str">
        <f>IF(ISNUMBER(V92),$H$5+SUM(V$81:V92)/Mratio4,"")</f>
        <v/>
      </c>
      <c r="X92" s="93" t="str">
        <f t="shared" si="52"/>
        <v/>
      </c>
      <c r="Z92" s="902" t="str">
        <f t="shared" si="53"/>
        <v/>
      </c>
      <c r="AA92" s="90" t="str">
        <f t="shared" si="54"/>
        <v/>
      </c>
      <c r="AB92" s="90" t="str">
        <f t="shared" si="55"/>
        <v/>
      </c>
      <c r="AC92" s="90" t="str">
        <f t="shared" si="56"/>
        <v/>
      </c>
      <c r="AD92" s="90" t="str">
        <f t="shared" si="62"/>
        <v/>
      </c>
      <c r="AE92" s="90" t="str">
        <f t="shared" si="57"/>
        <v/>
      </c>
      <c r="AF92" s="90" t="str">
        <f t="shared" si="58"/>
        <v/>
      </c>
      <c r="AG92" s="90" t="str">
        <f t="shared" si="59"/>
        <v/>
      </c>
      <c r="AH92" s="93" t="str">
        <f t="shared" si="60"/>
        <v/>
      </c>
      <c r="AJ92" s="925"/>
      <c r="AK92" s="923" t="s">
        <v>2</v>
      </c>
      <c r="AL92" s="919" t="e">
        <f>StackTempAvg4-28</f>
        <v>#DIV/0!</v>
      </c>
      <c r="AM92" s="928" t="e">
        <f>StackTempAvg4</f>
        <v>#DIV/0!</v>
      </c>
      <c r="AN92" s="919" t="e">
        <f>StackTempAvg4+28</f>
        <v>#DIV/0!</v>
      </c>
      <c r="AO92" s="922" t="s">
        <v>1197</v>
      </c>
      <c r="AP92" s="920"/>
      <c r="AQ92" s="917"/>
      <c r="AR92" s="917"/>
      <c r="AS92" s="917"/>
      <c r="AT92" s="935"/>
    </row>
    <row r="93" spans="1:46" ht="10.5" customHeight="1">
      <c r="A93" s="87" t="str">
        <f>'Flows &amp; Isokinetics'!E27</f>
        <v/>
      </c>
      <c r="B93" s="88" t="str">
        <f>'Flows &amp; Isokinetics'!F27</f>
        <v/>
      </c>
      <c r="C93" s="777" t="str">
        <f>IF(Afterflows!W92="","",Afterflows!W92)</f>
        <v/>
      </c>
      <c r="D93" s="88" t="str">
        <f t="shared" si="43"/>
        <v/>
      </c>
      <c r="E93" s="288" t="str">
        <f>IF(ISNUMBER(C93),IF(ISNUMBER(StackTemp4),StackTemp4,IF(Afterflows!V92="","",Afterflows!V92)),"")</f>
        <v/>
      </c>
      <c r="F93" s="89" t="str">
        <f t="shared" si="44"/>
        <v/>
      </c>
      <c r="G93" s="89" t="str">
        <f t="shared" si="45"/>
        <v/>
      </c>
      <c r="H93" s="89" t="str">
        <f t="shared" si="46"/>
        <v/>
      </c>
      <c r="I93" s="112" t="str">
        <f t="shared" si="47"/>
        <v/>
      </c>
      <c r="J93" s="777" t="str">
        <f>IF(C93="","",Afterflows!G92)</f>
        <v/>
      </c>
      <c r="K93" s="777" t="str">
        <f>IF(E93="","",Afterflows!H92)</f>
        <v/>
      </c>
      <c r="L93" s="110" t="s">
        <v>54</v>
      </c>
      <c r="M93" s="97"/>
      <c r="N93" s="114" t="e">
        <f>Viscosity4</f>
        <v>#VALUE!</v>
      </c>
      <c r="P93" s="87" t="str">
        <f t="shared" si="48"/>
        <v/>
      </c>
      <c r="Q93" s="2071" t="str">
        <f t="shared" si="63"/>
        <v/>
      </c>
      <c r="R93" s="90" t="str">
        <f t="shared" si="61"/>
        <v/>
      </c>
      <c r="S93" s="90" t="str">
        <f>Velocity(PitotID4,PitotCoeff4,Afterflows!AB92,D93,E93,StackTempAvg4,AbsPress4,MolecularWt)</f>
        <v/>
      </c>
      <c r="T93" s="91" t="str">
        <f t="shared" si="49"/>
        <v/>
      </c>
      <c r="U93" s="91" t="str">
        <f t="shared" si="50"/>
        <v/>
      </c>
      <c r="V93" s="91" t="str">
        <f t="shared" si="51"/>
        <v/>
      </c>
      <c r="W93" s="91" t="str">
        <f>IF(ISNUMBER(V93),$H$5+SUM(V$81:V93)/Mratio4,"")</f>
        <v/>
      </c>
      <c r="X93" s="93" t="str">
        <f t="shared" si="52"/>
        <v/>
      </c>
      <c r="Z93" s="902" t="str">
        <f t="shared" si="53"/>
        <v/>
      </c>
      <c r="AA93" s="90" t="str">
        <f t="shared" si="54"/>
        <v/>
      </c>
      <c r="AB93" s="90" t="str">
        <f t="shared" si="55"/>
        <v/>
      </c>
      <c r="AC93" s="90" t="str">
        <f t="shared" si="56"/>
        <v/>
      </c>
      <c r="AD93" s="90" t="str">
        <f t="shared" si="62"/>
        <v/>
      </c>
      <c r="AE93" s="90" t="str">
        <f t="shared" si="57"/>
        <v/>
      </c>
      <c r="AF93" s="90" t="str">
        <f t="shared" si="58"/>
        <v/>
      </c>
      <c r="AG93" s="90" t="str">
        <f t="shared" si="59"/>
        <v/>
      </c>
      <c r="AH93" s="93" t="str">
        <f t="shared" si="60"/>
        <v/>
      </c>
      <c r="AJ93" s="925"/>
      <c r="AK93" s="923" t="s">
        <v>2</v>
      </c>
      <c r="AL93" s="919" t="e">
        <f>StackTempAvgK4-28</f>
        <v>#DIV/0!</v>
      </c>
      <c r="AM93" s="928" t="e">
        <f>AM92+273.15</f>
        <v>#DIV/0!</v>
      </c>
      <c r="AN93" s="919" t="e">
        <f>StackTempAvgK4+28</f>
        <v>#DIV/0!</v>
      </c>
      <c r="AO93" s="922" t="s">
        <v>1248</v>
      </c>
      <c r="AP93" s="920"/>
      <c r="AQ93" s="919"/>
      <c r="AR93" s="920"/>
      <c r="AS93" s="917"/>
      <c r="AT93" s="931"/>
    </row>
    <row r="94" spans="1:46" ht="10.5" customHeight="1">
      <c r="A94" s="87" t="str">
        <f>'Flows &amp; Isokinetics'!E28</f>
        <v/>
      </c>
      <c r="B94" s="88" t="str">
        <f>'Flows &amp; Isokinetics'!F28</f>
        <v/>
      </c>
      <c r="C94" s="777" t="str">
        <f>IF(Afterflows!W93="","",Afterflows!W93)</f>
        <v/>
      </c>
      <c r="D94" s="88" t="str">
        <f t="shared" si="43"/>
        <v/>
      </c>
      <c r="E94" s="288" t="str">
        <f>IF(ISNUMBER(C94),IF(ISNUMBER(StackTemp4),StackTemp4,IF(Afterflows!V93="","",Afterflows!V93)),"")</f>
        <v/>
      </c>
      <c r="F94" s="89" t="str">
        <f t="shared" si="44"/>
        <v/>
      </c>
      <c r="G94" s="89" t="str">
        <f t="shared" si="45"/>
        <v/>
      </c>
      <c r="H94" s="89" t="str">
        <f t="shared" si="46"/>
        <v/>
      </c>
      <c r="I94" s="112" t="str">
        <f t="shared" si="47"/>
        <v/>
      </c>
      <c r="J94" s="777" t="str">
        <f>IF(C94="","",Afterflows!G93)</f>
        <v/>
      </c>
      <c r="K94" s="777" t="str">
        <f>IF(E94="","",Afterflows!H93)</f>
        <v/>
      </c>
      <c r="L94" s="110" t="s">
        <v>1269</v>
      </c>
      <c r="M94" s="97"/>
      <c r="N94" s="114">
        <f>MolecularWt</f>
        <v>28.845074441969999</v>
      </c>
      <c r="P94" s="87" t="str">
        <f t="shared" si="48"/>
        <v/>
      </c>
      <c r="Q94" s="2071" t="str">
        <f t="shared" si="63"/>
        <v/>
      </c>
      <c r="R94" s="90" t="str">
        <f t="shared" si="61"/>
        <v/>
      </c>
      <c r="S94" s="90" t="str">
        <f>Velocity(PitotID4,PitotCoeff4,Afterflows!AB93,D94,E94,StackTempAvg4,AbsPress4,MolecularWt)</f>
        <v/>
      </c>
      <c r="T94" s="91" t="str">
        <f t="shared" si="49"/>
        <v/>
      </c>
      <c r="U94" s="91" t="str">
        <f t="shared" si="50"/>
        <v/>
      </c>
      <c r="V94" s="91" t="str">
        <f t="shared" si="51"/>
        <v/>
      </c>
      <c r="W94" s="91" t="str">
        <f>IF(ISNUMBER(V94),$H$5+SUM(V$81:V94)/Mratio4,"")</f>
        <v/>
      </c>
      <c r="X94" s="93" t="str">
        <f t="shared" si="52"/>
        <v/>
      </c>
      <c r="Z94" s="902" t="str">
        <f t="shared" si="53"/>
        <v/>
      </c>
      <c r="AA94" s="90" t="str">
        <f t="shared" si="54"/>
        <v/>
      </c>
      <c r="AB94" s="90" t="str">
        <f t="shared" si="55"/>
        <v/>
      </c>
      <c r="AC94" s="90" t="str">
        <f t="shared" si="56"/>
        <v/>
      </c>
      <c r="AD94" s="90" t="str">
        <f t="shared" si="62"/>
        <v/>
      </c>
      <c r="AE94" s="90" t="str">
        <f t="shared" si="57"/>
        <v/>
      </c>
      <c r="AF94" s="90" t="str">
        <f t="shared" si="58"/>
        <v/>
      </c>
      <c r="AG94" s="90" t="str">
        <f t="shared" si="59"/>
        <v/>
      </c>
      <c r="AH94" s="93" t="str">
        <f t="shared" si="60"/>
        <v/>
      </c>
      <c r="AJ94" s="925"/>
      <c r="AK94" s="923" t="s">
        <v>2</v>
      </c>
      <c r="AL94" s="919" t="e">
        <f>StackTempAvgF4-50.4</f>
        <v>#DIV/0!</v>
      </c>
      <c r="AM94" s="928" t="e">
        <f>AM92*1.8+32</f>
        <v>#DIV/0!</v>
      </c>
      <c r="AN94" s="919" t="e">
        <f>StackTempAvgF4+50.4</f>
        <v>#DIV/0!</v>
      </c>
      <c r="AO94" s="922" t="s">
        <v>1249</v>
      </c>
      <c r="AP94" s="920"/>
      <c r="AQ94" s="2695" t="s">
        <v>281</v>
      </c>
      <c r="AR94" s="2695"/>
      <c r="AS94" s="2695"/>
      <c r="AT94" s="2696"/>
    </row>
    <row r="95" spans="1:46" ht="10.5" customHeight="1">
      <c r="A95" s="87" t="str">
        <f>'Flows &amp; Isokinetics'!E29</f>
        <v/>
      </c>
      <c r="B95" s="88" t="str">
        <f>'Flows &amp; Isokinetics'!F29</f>
        <v/>
      </c>
      <c r="C95" s="777" t="str">
        <f>IF(Afterflows!W94="","",Afterflows!W94)</f>
        <v/>
      </c>
      <c r="D95" s="88" t="str">
        <f t="shared" si="43"/>
        <v/>
      </c>
      <c r="E95" s="288" t="str">
        <f>IF(ISNUMBER(C95),IF(ISNUMBER(StackTemp4),StackTemp4,IF(Afterflows!V94="","",Afterflows!V94)),"")</f>
        <v/>
      </c>
      <c r="F95" s="89" t="str">
        <f t="shared" si="44"/>
        <v/>
      </c>
      <c r="G95" s="89" t="str">
        <f t="shared" si="45"/>
        <v/>
      </c>
      <c r="H95" s="89" t="str">
        <f t="shared" si="46"/>
        <v/>
      </c>
      <c r="I95" s="112" t="str">
        <f t="shared" si="47"/>
        <v/>
      </c>
      <c r="J95" s="777" t="str">
        <f>IF(C95="","",Afterflows!G94)</f>
        <v/>
      </c>
      <c r="K95" s="777" t="str">
        <f>IF(E95="","",Afterflows!H94)</f>
        <v/>
      </c>
      <c r="L95" s="110" t="s">
        <v>10</v>
      </c>
      <c r="M95" s="97"/>
      <c r="N95" s="114">
        <f>StackGasDensity</f>
        <v>1.2869955684701349</v>
      </c>
      <c r="P95" s="87" t="str">
        <f t="shared" si="48"/>
        <v/>
      </c>
      <c r="Q95" s="2071" t="str">
        <f t="shared" si="63"/>
        <v/>
      </c>
      <c r="R95" s="90" t="str">
        <f t="shared" si="61"/>
        <v/>
      </c>
      <c r="S95" s="90" t="str">
        <f>Velocity(PitotID4,PitotCoeff4,Afterflows!AB94,D95,E95,StackTempAvg4,AbsPress4,MolecularWt)</f>
        <v/>
      </c>
      <c r="T95" s="91" t="str">
        <f t="shared" si="49"/>
        <v/>
      </c>
      <c r="U95" s="91" t="str">
        <f t="shared" si="50"/>
        <v/>
      </c>
      <c r="V95" s="91" t="str">
        <f t="shared" si="51"/>
        <v/>
      </c>
      <c r="W95" s="91" t="str">
        <f>IF(ISNUMBER(V95),$H$5+SUM(V$81:V95)/Mratio4,"")</f>
        <v/>
      </c>
      <c r="X95" s="93" t="str">
        <f t="shared" si="52"/>
        <v/>
      </c>
      <c r="Z95" s="902" t="str">
        <f t="shared" si="53"/>
        <v/>
      </c>
      <c r="AA95" s="90" t="str">
        <f t="shared" si="54"/>
        <v/>
      </c>
      <c r="AB95" s="90" t="str">
        <f t="shared" si="55"/>
        <v/>
      </c>
      <c r="AC95" s="90" t="str">
        <f t="shared" si="56"/>
        <v/>
      </c>
      <c r="AD95" s="90" t="str">
        <f t="shared" si="62"/>
        <v/>
      </c>
      <c r="AE95" s="90" t="str">
        <f t="shared" si="57"/>
        <v/>
      </c>
      <c r="AF95" s="90" t="str">
        <f t="shared" si="58"/>
        <v/>
      </c>
      <c r="AG95" s="90" t="str">
        <f t="shared" si="59"/>
        <v/>
      </c>
      <c r="AH95" s="93" t="str">
        <f t="shared" si="60"/>
        <v/>
      </c>
      <c r="AJ95" s="925"/>
      <c r="AK95" s="923" t="s">
        <v>2</v>
      </c>
      <c r="AL95" s="919" t="e">
        <f>StackTempAvgR4-50.4</f>
        <v>#DIV/0!</v>
      </c>
      <c r="AM95" s="936" t="e">
        <f>AM92*1.8+491.67</f>
        <v>#DIV/0!</v>
      </c>
      <c r="AN95" s="919" t="e">
        <f>StackTempAvgR4+50.4</f>
        <v>#DIV/0!</v>
      </c>
      <c r="AO95" s="922" t="s">
        <v>1253</v>
      </c>
      <c r="AP95" s="920"/>
      <c r="AQ95" s="923" t="s">
        <v>1214</v>
      </c>
      <c r="AR95" s="919" t="e">
        <f>(SamplingRate4/60)/(PI()*(NozzleSelect4/25.4/12)^2/4)*PBVF2</f>
        <v>#VALUE!</v>
      </c>
      <c r="AS95" s="919" t="e">
        <f>AR95*(12*25.4/1000)*PBVF2</f>
        <v>#VALUE!</v>
      </c>
      <c r="AT95" s="931" t="s">
        <v>1214</v>
      </c>
    </row>
    <row r="96" spans="1:46" ht="10.5" customHeight="1">
      <c r="A96" s="87" t="str">
        <f>'Flows &amp; Isokinetics'!E30</f>
        <v/>
      </c>
      <c r="B96" s="88" t="str">
        <f>'Flows &amp; Isokinetics'!F30</f>
        <v/>
      </c>
      <c r="C96" s="777" t="str">
        <f>IF(Afterflows!W95="","",Afterflows!W95)</f>
        <v/>
      </c>
      <c r="D96" s="88" t="str">
        <f t="shared" si="43"/>
        <v/>
      </c>
      <c r="E96" s="288" t="str">
        <f>IF(ISNUMBER(C96),IF(ISNUMBER(StackTemp4),StackTemp4,IF(Afterflows!V95="","",Afterflows!V95)),"")</f>
        <v/>
      </c>
      <c r="F96" s="89" t="str">
        <f t="shared" si="44"/>
        <v/>
      </c>
      <c r="G96" s="89" t="str">
        <f t="shared" si="45"/>
        <v/>
      </c>
      <c r="H96" s="89" t="str">
        <f t="shared" si="46"/>
        <v/>
      </c>
      <c r="I96" s="112" t="str">
        <f t="shared" si="47"/>
        <v/>
      </c>
      <c r="J96" s="777" t="str">
        <f>IF(C96="","",Afterflows!G95)</f>
        <v/>
      </c>
      <c r="K96" s="777" t="str">
        <f>IF(E96="","",Afterflows!H95)</f>
        <v/>
      </c>
      <c r="L96" s="115" t="s">
        <v>1291</v>
      </c>
      <c r="M96" s="97"/>
      <c r="N96" s="114"/>
      <c r="P96" s="87" t="str">
        <f t="shared" si="48"/>
        <v/>
      </c>
      <c r="Q96" s="2071" t="str">
        <f t="shared" si="63"/>
        <v/>
      </c>
      <c r="R96" s="90" t="str">
        <f t="shared" si="61"/>
        <v/>
      </c>
      <c r="S96" s="90" t="str">
        <f>Velocity(PitotID4,PitotCoeff4,Afterflows!AB95,D96,E96,StackTempAvg4,AbsPress4,MolecularWt)</f>
        <v/>
      </c>
      <c r="T96" s="91" t="str">
        <f t="shared" si="49"/>
        <v/>
      </c>
      <c r="U96" s="91" t="str">
        <f t="shared" si="50"/>
        <v/>
      </c>
      <c r="V96" s="91" t="str">
        <f t="shared" si="51"/>
        <v/>
      </c>
      <c r="W96" s="91" t="str">
        <f>IF(ISNUMBER(V96),$H$5+SUM(V$81:V96)/Mratio4,"")</f>
        <v/>
      </c>
      <c r="X96" s="93" t="str">
        <f t="shared" si="52"/>
        <v/>
      </c>
      <c r="Z96" s="902" t="str">
        <f t="shared" si="53"/>
        <v/>
      </c>
      <c r="AA96" s="90" t="str">
        <f t="shared" si="54"/>
        <v/>
      </c>
      <c r="AB96" s="90" t="str">
        <f t="shared" si="55"/>
        <v/>
      </c>
      <c r="AC96" s="90" t="str">
        <f t="shared" si="56"/>
        <v/>
      </c>
      <c r="AD96" s="90" t="str">
        <f t="shared" si="62"/>
        <v/>
      </c>
      <c r="AE96" s="90" t="str">
        <f t="shared" si="57"/>
        <v/>
      </c>
      <c r="AF96" s="90" t="str">
        <f t="shared" si="58"/>
        <v/>
      </c>
      <c r="AG96" s="90" t="str">
        <f t="shared" si="59"/>
        <v/>
      </c>
      <c r="AH96" s="93" t="str">
        <f t="shared" si="60"/>
        <v/>
      </c>
      <c r="AJ96" s="925"/>
      <c r="AK96" s="922"/>
      <c r="AL96" s="919"/>
      <c r="AM96" s="919"/>
      <c r="AN96" s="919"/>
      <c r="AO96" s="922"/>
      <c r="AP96" s="920"/>
      <c r="AQ96" s="923" t="s">
        <v>1254</v>
      </c>
      <c r="AR96" s="919" t="e">
        <f>0.2457+SQRT(0.3072-(0.2603*Viscosity4*SQRT(SamplingRate4)/(NozzleVelocity4^1.5)))</f>
        <v>#VALUE!</v>
      </c>
      <c r="AS96" s="919" t="e">
        <f>0.4457+SQRT(0.569+(0.2603*Viscosity4*SQRT(SamplingRate4)/(NozzleVelocity4^1.5)))</f>
        <v>#VALUE!</v>
      </c>
      <c r="AT96" s="931" t="s">
        <v>1255</v>
      </c>
    </row>
    <row r="97" spans="1:46" ht="10.5" customHeight="1">
      <c r="A97" s="87" t="str">
        <f>'Flows &amp; Isokinetics'!E31</f>
        <v/>
      </c>
      <c r="B97" s="88" t="str">
        <f>'Flows &amp; Isokinetics'!F31</f>
        <v/>
      </c>
      <c r="C97" s="777" t="str">
        <f>IF(Afterflows!W96="","",Afterflows!W96)</f>
        <v/>
      </c>
      <c r="D97" s="88" t="str">
        <f t="shared" si="43"/>
        <v/>
      </c>
      <c r="E97" s="288" t="str">
        <f>IF(ISNUMBER(C97),IF(ISNUMBER(StackTemp4),StackTemp4,IF(Afterflows!V96="","",Afterflows!V96)),"")</f>
        <v/>
      </c>
      <c r="F97" s="89" t="str">
        <f t="shared" si="44"/>
        <v/>
      </c>
      <c r="G97" s="89" t="str">
        <f t="shared" si="45"/>
        <v/>
      </c>
      <c r="H97" s="89" t="str">
        <f t="shared" si="46"/>
        <v/>
      </c>
      <c r="I97" s="112" t="str">
        <f t="shared" si="47"/>
        <v/>
      </c>
      <c r="J97" s="777" t="str">
        <f>IF(C97="","",Afterflows!G96)</f>
        <v/>
      </c>
      <c r="K97" s="777" t="str">
        <f>IF(E97="","",Afterflows!H96)</f>
        <v/>
      </c>
      <c r="L97" s="110"/>
      <c r="M97" s="537" t="s">
        <v>276</v>
      </c>
      <c r="N97" s="538" t="s">
        <v>1272</v>
      </c>
      <c r="P97" s="87" t="str">
        <f t="shared" si="48"/>
        <v/>
      </c>
      <c r="Q97" s="2071" t="str">
        <f t="shared" si="63"/>
        <v/>
      </c>
      <c r="R97" s="90" t="str">
        <f t="shared" si="61"/>
        <v/>
      </c>
      <c r="S97" s="90" t="str">
        <f>Velocity(PitotID4,PitotCoeff4,Afterflows!AB96,D97,E97,StackTempAvg4,AbsPress4,MolecularWt)</f>
        <v/>
      </c>
      <c r="T97" s="91" t="str">
        <f t="shared" si="49"/>
        <v/>
      </c>
      <c r="U97" s="91" t="str">
        <f t="shared" si="50"/>
        <v/>
      </c>
      <c r="V97" s="91" t="str">
        <f t="shared" si="51"/>
        <v/>
      </c>
      <c r="W97" s="91" t="str">
        <f>IF(ISNUMBER(V97),$H$5+SUM(V$81:V97)/Mratio4,"")</f>
        <v/>
      </c>
      <c r="X97" s="93" t="str">
        <f t="shared" si="52"/>
        <v/>
      </c>
      <c r="Z97" s="902" t="str">
        <f t="shared" si="53"/>
        <v/>
      </c>
      <c r="AA97" s="90" t="str">
        <f t="shared" si="54"/>
        <v/>
      </c>
      <c r="AB97" s="90" t="str">
        <f t="shared" si="55"/>
        <v/>
      </c>
      <c r="AC97" s="90" t="str">
        <f t="shared" si="56"/>
        <v/>
      </c>
      <c r="AD97" s="90" t="str">
        <f t="shared" si="62"/>
        <v/>
      </c>
      <c r="AE97" s="90" t="str">
        <f t="shared" si="57"/>
        <v/>
      </c>
      <c r="AF97" s="90" t="str">
        <f t="shared" si="58"/>
        <v/>
      </c>
      <c r="AG97" s="90" t="str">
        <f t="shared" si="59"/>
        <v/>
      </c>
      <c r="AH97" s="93" t="str">
        <f t="shared" si="60"/>
        <v/>
      </c>
      <c r="AJ97" s="925"/>
      <c r="AK97" s="923" t="s">
        <v>1</v>
      </c>
      <c r="AL97" s="919"/>
      <c r="AM97" s="936" t="e">
        <f>AvgSqrtPa4</f>
        <v>#DIV/0!</v>
      </c>
      <c r="AN97" s="919"/>
      <c r="AO97" s="922" t="s">
        <v>1245</v>
      </c>
      <c r="AP97" s="920"/>
      <c r="AQ97" s="923" t="s">
        <v>1256</v>
      </c>
      <c r="AR97" s="919" t="e">
        <f>IF(ISERROR(AR96),NozzleVelocity4*0.5,IF(AR96&lt;=0.5,NozzleVelocity4*0.5,NozzleVelocity4*AR96))</f>
        <v>#VALUE!</v>
      </c>
      <c r="AS97" s="919" t="e">
        <f>IF(AS96&lt;=1.5,NozzleVelocity4*AS96,NozzleVelocity4*1.5)</f>
        <v>#VALUE!</v>
      </c>
      <c r="AT97" s="931" t="s">
        <v>1257</v>
      </c>
    </row>
    <row r="98" spans="1:46" ht="10.5" customHeight="1">
      <c r="A98" s="87" t="str">
        <f>'Flows &amp; Isokinetics'!E32</f>
        <v/>
      </c>
      <c r="B98" s="88" t="str">
        <f>'Flows &amp; Isokinetics'!F32</f>
        <v/>
      </c>
      <c r="C98" s="777" t="str">
        <f>IF(Afterflows!W97="","",Afterflows!W97)</f>
        <v/>
      </c>
      <c r="D98" s="88" t="str">
        <f t="shared" si="43"/>
        <v/>
      </c>
      <c r="E98" s="288" t="str">
        <f>IF(ISNUMBER(C98),IF(ISNUMBER(StackTemp4),StackTemp4,IF(Afterflows!V97="","",Afterflows!V97)),"")</f>
        <v/>
      </c>
      <c r="F98" s="89" t="str">
        <f t="shared" si="44"/>
        <v/>
      </c>
      <c r="G98" s="89" t="str">
        <f t="shared" si="45"/>
        <v/>
      </c>
      <c r="H98" s="89" t="str">
        <f t="shared" si="46"/>
        <v/>
      </c>
      <c r="I98" s="112" t="str">
        <f t="shared" si="47"/>
        <v/>
      </c>
      <c r="J98" s="777" t="str">
        <f>IF(C98="","",Afterflows!G97)</f>
        <v/>
      </c>
      <c r="K98" s="777" t="str">
        <f>IF(E98="","",Afterflows!H97)</f>
        <v/>
      </c>
      <c r="L98" s="110" t="s">
        <v>1243</v>
      </c>
      <c r="M98" s="536" t="e">
        <f>AR88</f>
        <v>#VALUE!</v>
      </c>
      <c r="N98" s="117" t="e">
        <f>AS88</f>
        <v>#VALUE!</v>
      </c>
      <c r="P98" s="87" t="str">
        <f t="shared" si="48"/>
        <v/>
      </c>
      <c r="Q98" s="2071" t="str">
        <f t="shared" si="63"/>
        <v/>
      </c>
      <c r="R98" s="90" t="str">
        <f t="shared" si="61"/>
        <v/>
      </c>
      <c r="S98" s="90" t="str">
        <f>Velocity(PitotID4,PitotCoeff4,Afterflows!AB97,D98,E98,StackTempAvg4,AbsPress4,MolecularWt)</f>
        <v/>
      </c>
      <c r="T98" s="91" t="str">
        <f t="shared" si="49"/>
        <v/>
      </c>
      <c r="U98" s="91" t="str">
        <f t="shared" si="50"/>
        <v/>
      </c>
      <c r="V98" s="91" t="str">
        <f t="shared" si="51"/>
        <v/>
      </c>
      <c r="W98" s="91" t="str">
        <f>IF(ISNUMBER(V98),$H$5+SUM(V$81:V98)/Mratio4,"")</f>
        <v/>
      </c>
      <c r="X98" s="93" t="str">
        <f t="shared" si="52"/>
        <v/>
      </c>
      <c r="Z98" s="902" t="str">
        <f t="shared" si="53"/>
        <v/>
      </c>
      <c r="AA98" s="90" t="str">
        <f t="shared" si="54"/>
        <v/>
      </c>
      <c r="AB98" s="90" t="str">
        <f t="shared" si="55"/>
        <v/>
      </c>
      <c r="AC98" s="90" t="str">
        <f t="shared" si="56"/>
        <v/>
      </c>
      <c r="AD98" s="90" t="str">
        <f t="shared" si="62"/>
        <v/>
      </c>
      <c r="AE98" s="90" t="str">
        <f t="shared" si="57"/>
        <v/>
      </c>
      <c r="AF98" s="90" t="str">
        <f t="shared" si="58"/>
        <v/>
      </c>
      <c r="AG98" s="90" t="str">
        <f t="shared" si="59"/>
        <v/>
      </c>
      <c r="AH98" s="93" t="str">
        <f t="shared" si="60"/>
        <v/>
      </c>
      <c r="AJ98" s="925"/>
      <c r="AK98" s="923" t="s">
        <v>1</v>
      </c>
      <c r="AL98" s="919"/>
      <c r="AM98" s="937" t="e">
        <f>0.0633609*AvgSqrtPa4</f>
        <v>#DIV/0!</v>
      </c>
      <c r="AN98" s="919"/>
      <c r="AO98" s="922" t="s">
        <v>1259</v>
      </c>
      <c r="AP98" s="919"/>
      <c r="AQ98" s="923" t="s">
        <v>1260</v>
      </c>
      <c r="AR98" s="919" t="e">
        <f>1.3686*10^-4*(StackGasPressInHg4*MolecularWtWet)/StackTempAvgR4*(AR97/PitotCoeff4)^2</f>
        <v>#VALUE!</v>
      </c>
      <c r="AS98" s="919" t="e">
        <f>1.3686*10^-4*(StackGasPressInHg4*MolecularWtWet)/StackTempAvgR4*(AS97/PitotCoeff4)^2</f>
        <v>#VALUE!</v>
      </c>
      <c r="AT98" s="931" t="s">
        <v>1261</v>
      </c>
    </row>
    <row r="99" spans="1:46" ht="10.5" customHeight="1">
      <c r="A99" s="87" t="str">
        <f>'Flows &amp; Isokinetics'!E33</f>
        <v/>
      </c>
      <c r="B99" s="88" t="str">
        <f>'Flows &amp; Isokinetics'!F33</f>
        <v/>
      </c>
      <c r="C99" s="777" t="str">
        <f>IF(Afterflows!W98="","",Afterflows!W98)</f>
        <v/>
      </c>
      <c r="D99" s="88" t="str">
        <f t="shared" si="43"/>
        <v/>
      </c>
      <c r="E99" s="288" t="str">
        <f>IF(ISNUMBER(C99),IF(ISNUMBER(StackTemp4),StackTemp4,IF(Afterflows!V98="","",Afterflows!V98)),"")</f>
        <v/>
      </c>
      <c r="F99" s="89" t="str">
        <f t="shared" si="44"/>
        <v/>
      </c>
      <c r="G99" s="89" t="str">
        <f t="shared" si="45"/>
        <v/>
      </c>
      <c r="H99" s="89" t="str">
        <f t="shared" si="46"/>
        <v/>
      </c>
      <c r="I99" s="112" t="str">
        <f t="shared" si="47"/>
        <v/>
      </c>
      <c r="J99" s="777" t="str">
        <f>IF(C99="","",Afterflows!G98)</f>
        <v/>
      </c>
      <c r="K99" s="777" t="str">
        <f>IF(E99="","",Afterflows!H98)</f>
        <v/>
      </c>
      <c r="L99" s="110" t="s">
        <v>1244</v>
      </c>
      <c r="M99" s="542" t="e">
        <f>AR89</f>
        <v>#VALUE!</v>
      </c>
      <c r="N99" s="543" t="e">
        <f>AS89</f>
        <v>#VALUE!</v>
      </c>
      <c r="P99" s="87" t="str">
        <f t="shared" si="48"/>
        <v/>
      </c>
      <c r="Q99" s="2071" t="str">
        <f t="shared" si="63"/>
        <v/>
      </c>
      <c r="R99" s="90" t="str">
        <f t="shared" si="61"/>
        <v/>
      </c>
      <c r="S99" s="90" t="str">
        <f>Velocity(PitotID4,PitotCoeff4,Afterflows!AB98,D99,E99,StackTempAvg4,AbsPress4,MolecularWt)</f>
        <v/>
      </c>
      <c r="T99" s="91" t="str">
        <f t="shared" si="49"/>
        <v/>
      </c>
      <c r="U99" s="91" t="str">
        <f t="shared" si="50"/>
        <v/>
      </c>
      <c r="V99" s="91" t="str">
        <f t="shared" si="51"/>
        <v/>
      </c>
      <c r="W99" s="91" t="str">
        <f>IF(ISNUMBER(V99),$H$5+SUM(V$81:V99)/Mratio4,"")</f>
        <v/>
      </c>
      <c r="X99" s="93" t="str">
        <f t="shared" si="52"/>
        <v/>
      </c>
      <c r="Z99" s="902" t="str">
        <f t="shared" si="53"/>
        <v/>
      </c>
      <c r="AA99" s="90" t="str">
        <f t="shared" si="54"/>
        <v/>
      </c>
      <c r="AB99" s="90" t="str">
        <f t="shared" si="55"/>
        <v/>
      </c>
      <c r="AC99" s="90" t="str">
        <f t="shared" si="56"/>
        <v/>
      </c>
      <c r="AD99" s="90" t="str">
        <f t="shared" si="62"/>
        <v/>
      </c>
      <c r="AE99" s="90" t="str">
        <f t="shared" si="57"/>
        <v/>
      </c>
      <c r="AF99" s="90" t="str">
        <f t="shared" si="58"/>
        <v/>
      </c>
      <c r="AG99" s="90" t="str">
        <f t="shared" si="59"/>
        <v/>
      </c>
      <c r="AH99" s="93" t="str">
        <f t="shared" si="60"/>
        <v/>
      </c>
      <c r="AJ99" s="925"/>
      <c r="AK99" s="922"/>
      <c r="AL99" s="919"/>
      <c r="AM99" s="919"/>
      <c r="AN99" s="919"/>
      <c r="AO99" s="922"/>
      <c r="AP99" s="922"/>
      <c r="AQ99" s="923" t="s">
        <v>1260</v>
      </c>
      <c r="AR99" s="928" t="e">
        <f>AR98/0.00401463</f>
        <v>#VALUE!</v>
      </c>
      <c r="AS99" s="928" t="e">
        <f>AS98/0.00401463</f>
        <v>#VALUE!</v>
      </c>
      <c r="AT99" s="931" t="s">
        <v>1261</v>
      </c>
    </row>
    <row r="100" spans="1:46" ht="10.5" customHeight="1">
      <c r="A100" s="87" t="str">
        <f>'Flows &amp; Isokinetics'!E34</f>
        <v/>
      </c>
      <c r="B100" s="88" t="str">
        <f>'Flows &amp; Isokinetics'!F34</f>
        <v/>
      </c>
      <c r="C100" s="777" t="str">
        <f>IF(Afterflows!W99="","",Afterflows!W99)</f>
        <v/>
      </c>
      <c r="D100" s="88" t="str">
        <f t="shared" si="43"/>
        <v/>
      </c>
      <c r="E100" s="288" t="str">
        <f>IF(ISNUMBER(C100),IF(ISNUMBER(StackTemp4),StackTemp4,IF(Afterflows!V99="","",Afterflows!V99)),"")</f>
        <v/>
      </c>
      <c r="F100" s="89" t="str">
        <f t="shared" si="44"/>
        <v/>
      </c>
      <c r="G100" s="89" t="str">
        <f t="shared" si="45"/>
        <v/>
      </c>
      <c r="H100" s="89" t="str">
        <f t="shared" si="46"/>
        <v/>
      </c>
      <c r="I100" s="112" t="str">
        <f t="shared" si="47"/>
        <v/>
      </c>
      <c r="J100" s="777" t="str">
        <f>IF(C100="","",Afterflows!G99)</f>
        <v/>
      </c>
      <c r="K100" s="777" t="str">
        <f>IF(E100="","",Afterflows!H99)</f>
        <v/>
      </c>
      <c r="L100" s="110" t="s">
        <v>73</v>
      </c>
      <c r="M100" s="539" t="e">
        <f>AF142</f>
        <v>#DIV/0!</v>
      </c>
      <c r="N100" s="119" t="e">
        <f>AH142</f>
        <v>#DIV/0!</v>
      </c>
      <c r="P100" s="87" t="str">
        <f t="shared" si="48"/>
        <v/>
      </c>
      <c r="Q100" s="2071" t="str">
        <f t="shared" si="63"/>
        <v/>
      </c>
      <c r="R100" s="90" t="str">
        <f t="shared" si="61"/>
        <v/>
      </c>
      <c r="S100" s="90" t="str">
        <f>Velocity(PitotID4,PitotCoeff4,Afterflows!AB99,D100,E100,StackTempAvg4,AbsPress4,MolecularWt)</f>
        <v/>
      </c>
      <c r="T100" s="91" t="str">
        <f t="shared" si="49"/>
        <v/>
      </c>
      <c r="U100" s="91" t="str">
        <f t="shared" si="50"/>
        <v/>
      </c>
      <c r="V100" s="91" t="str">
        <f t="shared" si="51"/>
        <v/>
      </c>
      <c r="W100" s="91" t="str">
        <f>IF(ISNUMBER(V100),$H$5+SUM(V$81:V100)/Mratio4,"")</f>
        <v/>
      </c>
      <c r="X100" s="93" t="str">
        <f t="shared" si="52"/>
        <v/>
      </c>
      <c r="Z100" s="902" t="str">
        <f t="shared" si="53"/>
        <v/>
      </c>
      <c r="AA100" s="90" t="str">
        <f t="shared" si="54"/>
        <v/>
      </c>
      <c r="AB100" s="90" t="str">
        <f t="shared" si="55"/>
        <v/>
      </c>
      <c r="AC100" s="90" t="str">
        <f t="shared" si="56"/>
        <v/>
      </c>
      <c r="AD100" s="90" t="str">
        <f t="shared" si="62"/>
        <v/>
      </c>
      <c r="AE100" s="90" t="str">
        <f t="shared" si="57"/>
        <v/>
      </c>
      <c r="AF100" s="90" t="str">
        <f t="shared" si="58"/>
        <v/>
      </c>
      <c r="AG100" s="90" t="str">
        <f t="shared" si="59"/>
        <v/>
      </c>
      <c r="AH100" s="93" t="str">
        <f t="shared" si="60"/>
        <v/>
      </c>
      <c r="AJ100" s="925"/>
      <c r="AK100" s="923" t="s">
        <v>1252</v>
      </c>
      <c r="AL100" s="919"/>
      <c r="AM100" s="937" t="e">
        <f>AbsPress4*0.02953</f>
        <v>#VALUE!</v>
      </c>
      <c r="AN100" s="919"/>
      <c r="AO100" s="922" t="s">
        <v>1250</v>
      </c>
      <c r="AP100" s="922"/>
      <c r="AQ100" s="920"/>
      <c r="AR100" s="920"/>
      <c r="AS100" s="920"/>
      <c r="AT100" s="921"/>
    </row>
    <row r="101" spans="1:46" ht="10.5" customHeight="1">
      <c r="A101" s="87" t="str">
        <f>'Flows &amp; Isokinetics'!E35</f>
        <v/>
      </c>
      <c r="B101" s="88" t="str">
        <f>'Flows &amp; Isokinetics'!F35</f>
        <v/>
      </c>
      <c r="C101" s="777" t="str">
        <f>IF(Afterflows!W100="","",Afterflows!W100)</f>
        <v/>
      </c>
      <c r="D101" s="88" t="str">
        <f t="shared" si="43"/>
        <v/>
      </c>
      <c r="E101" s="288" t="str">
        <f>IF(ISNUMBER(C101),IF(ISNUMBER(StackTemp4),StackTemp4,IF(Afterflows!V100="","",Afterflows!V100)),"")</f>
        <v/>
      </c>
      <c r="F101" s="89" t="str">
        <f t="shared" si="44"/>
        <v/>
      </c>
      <c r="G101" s="89" t="str">
        <f t="shared" si="45"/>
        <v/>
      </c>
      <c r="H101" s="89" t="str">
        <f t="shared" si="46"/>
        <v/>
      </c>
      <c r="I101" s="112" t="str">
        <f t="shared" si="47"/>
        <v/>
      </c>
      <c r="J101" s="777" t="str">
        <f>IF(C101="","",Afterflows!G100)</f>
        <v/>
      </c>
      <c r="K101" s="777" t="str">
        <f>IF(E101="","",Afterflows!H100)</f>
        <v/>
      </c>
      <c r="L101" s="110" t="s">
        <v>280</v>
      </c>
      <c r="M101" s="96" t="e">
        <f>AR90</f>
        <v>#VALUE!</v>
      </c>
      <c r="N101" s="111" t="e">
        <f>AS90</f>
        <v>#VALUE!</v>
      </c>
      <c r="P101" s="87" t="str">
        <f t="shared" si="48"/>
        <v/>
      </c>
      <c r="Q101" s="2071" t="str">
        <f t="shared" si="63"/>
        <v/>
      </c>
      <c r="R101" s="90" t="str">
        <f t="shared" si="61"/>
        <v/>
      </c>
      <c r="S101" s="90" t="str">
        <f>Velocity(PitotID4,PitotCoeff4,Afterflows!AB100,D101,E101,StackTempAvg4,AbsPress4,MolecularWt)</f>
        <v/>
      </c>
      <c r="T101" s="91" t="str">
        <f t="shared" si="49"/>
        <v/>
      </c>
      <c r="U101" s="91" t="str">
        <f t="shared" si="50"/>
        <v/>
      </c>
      <c r="V101" s="91" t="str">
        <f t="shared" si="51"/>
        <v/>
      </c>
      <c r="W101" s="91" t="str">
        <f>IF(ISNUMBER(V101),$H$5+SUM(V$81:V101)/Mratio4,"")</f>
        <v/>
      </c>
      <c r="X101" s="93" t="str">
        <f t="shared" si="52"/>
        <v/>
      </c>
      <c r="Z101" s="902" t="str">
        <f t="shared" si="53"/>
        <v/>
      </c>
      <c r="AA101" s="90" t="str">
        <f t="shared" si="54"/>
        <v/>
      </c>
      <c r="AB101" s="90" t="str">
        <f t="shared" si="55"/>
        <v/>
      </c>
      <c r="AC101" s="90" t="str">
        <f t="shared" si="56"/>
        <v/>
      </c>
      <c r="AD101" s="90" t="str">
        <f t="shared" si="62"/>
        <v/>
      </c>
      <c r="AE101" s="90" t="str">
        <f t="shared" si="57"/>
        <v/>
      </c>
      <c r="AF101" s="90" t="str">
        <f t="shared" si="58"/>
        <v/>
      </c>
      <c r="AG101" s="90" t="str">
        <f t="shared" si="59"/>
        <v/>
      </c>
      <c r="AH101" s="93" t="str">
        <f t="shared" si="60"/>
        <v/>
      </c>
      <c r="AJ101" s="925"/>
      <c r="AK101" s="923" t="s">
        <v>1252</v>
      </c>
      <c r="AL101" s="919"/>
      <c r="AM101" s="933" t="e">
        <f>AbsPress4*0.750062</f>
        <v>#VALUE!</v>
      </c>
      <c r="AN101" s="919"/>
      <c r="AO101" s="922" t="s">
        <v>1251</v>
      </c>
      <c r="AP101" s="922"/>
      <c r="AQ101" s="920"/>
      <c r="AR101" s="920"/>
      <c r="AS101" s="920"/>
      <c r="AT101" s="921"/>
    </row>
    <row r="102" spans="1:46" ht="10.5" customHeight="1">
      <c r="A102" s="87" t="str">
        <f>'Flows &amp; Isokinetics'!E36</f>
        <v/>
      </c>
      <c r="B102" s="88" t="str">
        <f>'Flows &amp; Isokinetics'!F36</f>
        <v/>
      </c>
      <c r="C102" s="777" t="str">
        <f>IF(Afterflows!W101="","",Afterflows!W101)</f>
        <v/>
      </c>
      <c r="D102" s="88" t="str">
        <f t="shared" si="43"/>
        <v/>
      </c>
      <c r="E102" s="288" t="str">
        <f>IF(ISNUMBER(C102),IF(ISNUMBER(StackTemp4),StackTemp4,IF(Afterflows!V101="","",Afterflows!V101)),"")</f>
        <v/>
      </c>
      <c r="F102" s="89" t="str">
        <f t="shared" si="44"/>
        <v/>
      </c>
      <c r="G102" s="89" t="str">
        <f t="shared" si="45"/>
        <v/>
      </c>
      <c r="H102" s="89" t="str">
        <f t="shared" si="46"/>
        <v/>
      </c>
      <c r="I102" s="112" t="str">
        <f t="shared" si="47"/>
        <v/>
      </c>
      <c r="J102" s="777" t="str">
        <f>IF(C102="","",Afterflows!G101)</f>
        <v/>
      </c>
      <c r="K102" s="777" t="str">
        <f>IF(E102="","",Afterflows!H101)</f>
        <v/>
      </c>
      <c r="L102" s="110" t="s">
        <v>279</v>
      </c>
      <c r="M102" s="174" t="e">
        <f>AR91</f>
        <v>#VALUE!</v>
      </c>
      <c r="N102" s="541" t="e">
        <f>AS91</f>
        <v>#VALUE!</v>
      </c>
      <c r="P102" s="87" t="str">
        <f t="shared" si="48"/>
        <v/>
      </c>
      <c r="Q102" s="2071" t="str">
        <f t="shared" si="63"/>
        <v/>
      </c>
      <c r="R102" s="90" t="str">
        <f t="shared" si="61"/>
        <v/>
      </c>
      <c r="S102" s="90" t="str">
        <f>Velocity(PitotID4,PitotCoeff4,Afterflows!AB101,D102,E102,StackTempAvg4,AbsPress4,MolecularWt)</f>
        <v/>
      </c>
      <c r="T102" s="91" t="str">
        <f t="shared" si="49"/>
        <v/>
      </c>
      <c r="U102" s="91" t="str">
        <f t="shared" si="50"/>
        <v/>
      </c>
      <c r="V102" s="91" t="str">
        <f t="shared" si="51"/>
        <v/>
      </c>
      <c r="W102" s="91" t="str">
        <f>IF(ISNUMBER(V102),$H$5+SUM(V$81:V102)/Mratio4,"")</f>
        <v/>
      </c>
      <c r="X102" s="93" t="str">
        <f t="shared" si="52"/>
        <v/>
      </c>
      <c r="Z102" s="902" t="str">
        <f t="shared" si="53"/>
        <v/>
      </c>
      <c r="AA102" s="90" t="str">
        <f t="shared" si="54"/>
        <v/>
      </c>
      <c r="AB102" s="90" t="str">
        <f t="shared" si="55"/>
        <v/>
      </c>
      <c r="AC102" s="90" t="str">
        <f t="shared" si="56"/>
        <v/>
      </c>
      <c r="AD102" s="90" t="str">
        <f t="shared" si="62"/>
        <v/>
      </c>
      <c r="AE102" s="90" t="str">
        <f t="shared" si="57"/>
        <v/>
      </c>
      <c r="AF102" s="90" t="str">
        <f t="shared" si="58"/>
        <v/>
      </c>
      <c r="AG102" s="90" t="str">
        <f t="shared" si="59"/>
        <v/>
      </c>
      <c r="AH102" s="93" t="str">
        <f t="shared" si="60"/>
        <v/>
      </c>
      <c r="AJ102" s="927"/>
      <c r="AK102" s="922"/>
      <c r="AL102" s="919"/>
      <c r="AM102" s="919"/>
      <c r="AN102" s="919"/>
      <c r="AO102" s="922"/>
      <c r="AP102" s="922"/>
      <c r="AQ102" s="920"/>
      <c r="AR102" s="920"/>
      <c r="AS102" s="920"/>
      <c r="AT102" s="921"/>
    </row>
    <row r="103" spans="1:46" ht="10.5" customHeight="1">
      <c r="A103" s="87" t="str">
        <f>'Flows &amp; Isokinetics'!E37</f>
        <v/>
      </c>
      <c r="B103" s="88" t="str">
        <f>'Flows &amp; Isokinetics'!F37</f>
        <v/>
      </c>
      <c r="C103" s="777" t="str">
        <f>IF(Afterflows!W102="","",Afterflows!W102)</f>
        <v/>
      </c>
      <c r="D103" s="88" t="str">
        <f t="shared" si="43"/>
        <v/>
      </c>
      <c r="E103" s="288" t="str">
        <f>IF(ISNUMBER(C103),IF(ISNUMBER(StackTemp4),StackTemp4,IF(Afterflows!V102="","",Afterflows!V102)),"")</f>
        <v/>
      </c>
      <c r="F103" s="89" t="str">
        <f t="shared" si="44"/>
        <v/>
      </c>
      <c r="G103" s="89" t="str">
        <f t="shared" si="45"/>
        <v/>
      </c>
      <c r="H103" s="89" t="str">
        <f t="shared" si="46"/>
        <v/>
      </c>
      <c r="I103" s="112" t="str">
        <f t="shared" si="47"/>
        <v/>
      </c>
      <c r="J103" s="777" t="str">
        <f>IF(C103="","",Afterflows!G102)</f>
        <v/>
      </c>
      <c r="K103" s="777" t="str">
        <f>IF(E103="","",Afterflows!H102)</f>
        <v/>
      </c>
      <c r="L103" s="110"/>
      <c r="M103" s="97"/>
      <c r="N103" s="114"/>
      <c r="P103" s="87" t="str">
        <f t="shared" si="48"/>
        <v/>
      </c>
      <c r="Q103" s="2071" t="str">
        <f t="shared" si="63"/>
        <v/>
      </c>
      <c r="R103" s="90" t="str">
        <f t="shared" si="61"/>
        <v/>
      </c>
      <c r="S103" s="90" t="str">
        <f>Velocity(PitotID4,PitotCoeff4,Afterflows!AB102,D103,E103,StackTempAvg4,AbsPress4,MolecularWt)</f>
        <v/>
      </c>
      <c r="T103" s="91" t="str">
        <f t="shared" si="49"/>
        <v/>
      </c>
      <c r="U103" s="91" t="str">
        <f t="shared" si="50"/>
        <v/>
      </c>
      <c r="V103" s="91" t="str">
        <f t="shared" si="51"/>
        <v/>
      </c>
      <c r="W103" s="91" t="str">
        <f>IF(ISNUMBER(V103),$H$5+SUM(V$81:V103)/Mratio4,"")</f>
        <v/>
      </c>
      <c r="X103" s="93" t="str">
        <f t="shared" si="52"/>
        <v/>
      </c>
      <c r="Z103" s="902" t="str">
        <f t="shared" si="53"/>
        <v/>
      </c>
      <c r="AA103" s="90" t="str">
        <f t="shared" si="54"/>
        <v/>
      </c>
      <c r="AB103" s="90" t="str">
        <f t="shared" si="55"/>
        <v/>
      </c>
      <c r="AC103" s="90" t="str">
        <f t="shared" si="56"/>
        <v/>
      </c>
      <c r="AD103" s="90" t="str">
        <f t="shared" si="62"/>
        <v/>
      </c>
      <c r="AE103" s="90" t="str">
        <f t="shared" si="57"/>
        <v/>
      </c>
      <c r="AF103" s="90" t="str">
        <f t="shared" si="58"/>
        <v/>
      </c>
      <c r="AG103" s="90" t="str">
        <f t="shared" si="59"/>
        <v/>
      </c>
      <c r="AH103" s="93" t="str">
        <f t="shared" si="60"/>
        <v/>
      </c>
      <c r="AJ103" s="925"/>
      <c r="AK103" s="923" t="s">
        <v>1475</v>
      </c>
      <c r="AL103" s="919">
        <f>VolumePreMeter4</f>
        <v>0</v>
      </c>
      <c r="AM103" s="919" t="e">
        <f>VolumeMeter4</f>
        <v>#N/A</v>
      </c>
      <c r="AN103" s="919"/>
      <c r="AO103" s="922" t="s">
        <v>1266</v>
      </c>
      <c r="AP103" s="922"/>
      <c r="AQ103" s="920"/>
      <c r="AR103" s="920"/>
      <c r="AS103" s="920"/>
      <c r="AT103" s="921"/>
    </row>
    <row r="104" spans="1:46" ht="10.5" customHeight="1">
      <c r="A104" s="87" t="str">
        <f>'Flows &amp; Isokinetics'!E38</f>
        <v/>
      </c>
      <c r="B104" s="88" t="str">
        <f>'Flows &amp; Isokinetics'!F38</f>
        <v/>
      </c>
      <c r="C104" s="777" t="str">
        <f>IF(Afterflows!W103="","",Afterflows!W103)</f>
        <v/>
      </c>
      <c r="D104" s="88" t="str">
        <f t="shared" si="43"/>
        <v/>
      </c>
      <c r="E104" s="288" t="str">
        <f>IF(ISNUMBER(C104),IF(ISNUMBER(StackTemp4),StackTemp4,IF(Afterflows!V103="","",Afterflows!V103)),"")</f>
        <v/>
      </c>
      <c r="F104" s="89" t="str">
        <f t="shared" si="44"/>
        <v/>
      </c>
      <c r="G104" s="89" t="str">
        <f t="shared" si="45"/>
        <v/>
      </c>
      <c r="H104" s="89" t="str">
        <f t="shared" si="46"/>
        <v/>
      </c>
      <c r="I104" s="112" t="str">
        <f t="shared" si="47"/>
        <v/>
      </c>
      <c r="J104" s="777" t="str">
        <f>IF(C104="","",Afterflows!G103)</f>
        <v/>
      </c>
      <c r="K104" s="777" t="str">
        <f>IF(E104="","",Afterflows!H103)</f>
        <v/>
      </c>
      <c r="L104" s="110"/>
      <c r="M104" s="97"/>
      <c r="N104" s="114"/>
      <c r="P104" s="87" t="str">
        <f t="shared" si="48"/>
        <v/>
      </c>
      <c r="Q104" s="2071" t="str">
        <f t="shared" si="63"/>
        <v/>
      </c>
      <c r="R104" s="90" t="str">
        <f t="shared" si="61"/>
        <v/>
      </c>
      <c r="S104" s="90" t="str">
        <f>Velocity(PitotID4,PitotCoeff4,Afterflows!AB103,D104,E104,StackTempAvg4,AbsPress4,MolecularWt)</f>
        <v/>
      </c>
      <c r="T104" s="91" t="str">
        <f t="shared" si="49"/>
        <v/>
      </c>
      <c r="U104" s="91" t="str">
        <f t="shared" si="50"/>
        <v/>
      </c>
      <c r="V104" s="91" t="str">
        <f t="shared" si="51"/>
        <v/>
      </c>
      <c r="W104" s="91" t="str">
        <f>IF(ISNUMBER(V104),$H$5+SUM(V$81:V104)/Mratio4,"")</f>
        <v/>
      </c>
      <c r="X104" s="93" t="str">
        <f t="shared" si="52"/>
        <v/>
      </c>
      <c r="Z104" s="902" t="str">
        <f t="shared" si="53"/>
        <v/>
      </c>
      <c r="AA104" s="90" t="str">
        <f t="shared" si="54"/>
        <v/>
      </c>
      <c r="AB104" s="90" t="str">
        <f t="shared" si="55"/>
        <v/>
      </c>
      <c r="AC104" s="90" t="str">
        <f t="shared" si="56"/>
        <v/>
      </c>
      <c r="AD104" s="90" t="str">
        <f t="shared" si="62"/>
        <v/>
      </c>
      <c r="AE104" s="90" t="str">
        <f t="shared" si="57"/>
        <v/>
      </c>
      <c r="AF104" s="90" t="str">
        <f t="shared" si="58"/>
        <v/>
      </c>
      <c r="AG104" s="90" t="str">
        <f t="shared" si="59"/>
        <v/>
      </c>
      <c r="AH104" s="93" t="str">
        <f t="shared" si="60"/>
        <v/>
      </c>
      <c r="AJ104" s="925"/>
      <c r="AK104" s="923" t="s">
        <v>0</v>
      </c>
      <c r="AL104" s="919" t="e">
        <f>AL103*(StackTempAvg4+273.15)/(MeterTempAvg4+273.15)*(BaroPress4+MeterPress4*10)/AbsPress4*(1/(1-Bws))</f>
        <v>#DIV/0!</v>
      </c>
      <c r="AM104" s="919" t="e">
        <f>AM103*(AM118+273.15)/(MeterTempAvg4+273.15)*(AverageBaroPress4+MeterPress4*10)/AverageAbsPress4*(1/(1-Bws))</f>
        <v>#N/A</v>
      </c>
      <c r="AN104" s="919"/>
      <c r="AO104" s="922" t="s">
        <v>1266</v>
      </c>
      <c r="AP104" s="922"/>
      <c r="AQ104" s="920"/>
      <c r="AR104" s="920"/>
      <c r="AS104" s="920"/>
      <c r="AT104" s="921"/>
    </row>
    <row r="105" spans="1:46" ht="10.5" hidden="1" customHeight="1" outlineLevel="1">
      <c r="A105" s="87" t="str">
        <f>'Flows &amp; Isokinetics'!E39</f>
        <v/>
      </c>
      <c r="B105" s="88" t="str">
        <f>'Flows &amp; Isokinetics'!F39</f>
        <v/>
      </c>
      <c r="C105" s="777" t="str">
        <f>IF(Afterflows!W104="","",Afterflows!W104)</f>
        <v/>
      </c>
      <c r="D105" s="88" t="str">
        <f t="shared" si="43"/>
        <v/>
      </c>
      <c r="E105" s="288" t="str">
        <f>IF(ISNUMBER(C105),IF(ISNUMBER(StackTemp4),StackTemp4,IF(Afterflows!V104="","",Afterflows!V104)),"")</f>
        <v/>
      </c>
      <c r="F105" s="89" t="str">
        <f t="shared" si="44"/>
        <v/>
      </c>
      <c r="G105" s="89" t="str">
        <f t="shared" si="45"/>
        <v/>
      </c>
      <c r="H105" s="89" t="str">
        <f t="shared" si="46"/>
        <v/>
      </c>
      <c r="I105" s="112" t="str">
        <f t="shared" si="47"/>
        <v/>
      </c>
      <c r="J105" s="777" t="str">
        <f>IF(C105="","",Afterflows!G104)</f>
        <v/>
      </c>
      <c r="K105" s="777" t="str">
        <f>IF(E105="","",Afterflows!H104)</f>
        <v/>
      </c>
      <c r="L105" s="110"/>
      <c r="M105" s="97"/>
      <c r="N105" s="114"/>
      <c r="P105" s="87" t="str">
        <f t="shared" si="48"/>
        <v/>
      </c>
      <c r="Q105" s="2071" t="str">
        <f t="shared" si="63"/>
        <v/>
      </c>
      <c r="R105" s="90" t="str">
        <f t="shared" si="61"/>
        <v/>
      </c>
      <c r="S105" s="90" t="str">
        <f>Velocity(PitotID4,PitotCoeff4,Afterflows!AB104,D105,E105,StackTempAvg4,AbsPress4,MolecularWt)</f>
        <v/>
      </c>
      <c r="T105" s="91" t="str">
        <f t="shared" si="49"/>
        <v/>
      </c>
      <c r="U105" s="91" t="str">
        <f t="shared" si="50"/>
        <v/>
      </c>
      <c r="V105" s="91" t="str">
        <f t="shared" si="51"/>
        <v/>
      </c>
      <c r="W105" s="91" t="str">
        <f>IF(ISNUMBER(V105),$H$5+SUM(V$81:V105)/Mratio4,"")</f>
        <v/>
      </c>
      <c r="X105" s="93" t="str">
        <f t="shared" si="52"/>
        <v/>
      </c>
      <c r="Z105" s="902" t="str">
        <f t="shared" si="53"/>
        <v/>
      </c>
      <c r="AA105" s="90" t="str">
        <f t="shared" si="54"/>
        <v/>
      </c>
      <c r="AB105" s="90" t="str">
        <f t="shared" si="55"/>
        <v/>
      </c>
      <c r="AC105" s="90" t="str">
        <f t="shared" si="56"/>
        <v/>
      </c>
      <c r="AD105" s="90" t="str">
        <f t="shared" si="62"/>
        <v/>
      </c>
      <c r="AE105" s="90" t="str">
        <f t="shared" si="57"/>
        <v/>
      </c>
      <c r="AF105" s="90" t="str">
        <f t="shared" si="58"/>
        <v/>
      </c>
      <c r="AG105" s="90" t="str">
        <f t="shared" si="59"/>
        <v/>
      </c>
      <c r="AH105" s="93" t="str">
        <f t="shared" si="60"/>
        <v/>
      </c>
      <c r="AJ105" s="925"/>
      <c r="AK105" s="922"/>
      <c r="AL105" s="919"/>
      <c r="AM105" s="917"/>
      <c r="AN105" s="919"/>
      <c r="AO105" s="917"/>
      <c r="AP105" s="922"/>
      <c r="AQ105" s="920"/>
      <c r="AR105" s="920"/>
      <c r="AS105" s="920"/>
      <c r="AT105" s="921"/>
    </row>
    <row r="106" spans="1:46" ht="10.5" hidden="1" customHeight="1" outlineLevel="1">
      <c r="A106" s="87" t="str">
        <f>'Flows &amp; Isokinetics'!E40</f>
        <v/>
      </c>
      <c r="B106" s="88" t="str">
        <f>'Flows &amp; Isokinetics'!F40</f>
        <v/>
      </c>
      <c r="C106" s="777" t="str">
        <f>IF(Afterflows!W105="","",Afterflows!W105)</f>
        <v/>
      </c>
      <c r="D106" s="88" t="str">
        <f t="shared" si="43"/>
        <v/>
      </c>
      <c r="E106" s="288" t="str">
        <f>IF(ISNUMBER(C106),IF(ISNUMBER(StackTemp4),StackTemp4,IF(Afterflows!V105="","",Afterflows!V105)),"")</f>
        <v/>
      </c>
      <c r="F106" s="89" t="str">
        <f t="shared" si="44"/>
        <v/>
      </c>
      <c r="G106" s="89" t="str">
        <f t="shared" si="45"/>
        <v/>
      </c>
      <c r="H106" s="89" t="str">
        <f t="shared" si="46"/>
        <v/>
      </c>
      <c r="I106" s="112" t="str">
        <f t="shared" si="47"/>
        <v/>
      </c>
      <c r="J106" s="777" t="str">
        <f>IF(C106="","",Afterflows!G105)</f>
        <v/>
      </c>
      <c r="K106" s="777" t="str">
        <f>IF(E106="","",Afterflows!H105)</f>
        <v/>
      </c>
      <c r="L106" s="110"/>
      <c r="M106" s="97"/>
      <c r="N106" s="114"/>
      <c r="P106" s="87" t="str">
        <f t="shared" si="48"/>
        <v/>
      </c>
      <c r="Q106" s="2071" t="str">
        <f t="shared" si="63"/>
        <v/>
      </c>
      <c r="R106" s="90" t="str">
        <f t="shared" si="61"/>
        <v/>
      </c>
      <c r="S106" s="90" t="str">
        <f>Velocity(PitotID4,PitotCoeff4,Afterflows!AB105,D106,E106,StackTempAvg4,AbsPress4,MolecularWt)</f>
        <v/>
      </c>
      <c r="T106" s="91" t="str">
        <f t="shared" si="49"/>
        <v/>
      </c>
      <c r="U106" s="91" t="str">
        <f t="shared" si="50"/>
        <v/>
      </c>
      <c r="V106" s="91" t="str">
        <f t="shared" si="51"/>
        <v/>
      </c>
      <c r="W106" s="91" t="str">
        <f>IF(ISNUMBER(V106),$H$5+SUM(V$81:V106)/Mratio4,"")</f>
        <v/>
      </c>
      <c r="X106" s="93" t="str">
        <f t="shared" si="52"/>
        <v/>
      </c>
      <c r="Z106" s="902" t="str">
        <f t="shared" si="53"/>
        <v/>
      </c>
      <c r="AA106" s="90" t="str">
        <f t="shared" si="54"/>
        <v/>
      </c>
      <c r="AB106" s="90" t="str">
        <f t="shared" si="55"/>
        <v/>
      </c>
      <c r="AC106" s="90" t="str">
        <f t="shared" si="56"/>
        <v/>
      </c>
      <c r="AD106" s="90" t="str">
        <f t="shared" si="62"/>
        <v/>
      </c>
      <c r="AE106" s="90" t="str">
        <f t="shared" si="57"/>
        <v/>
      </c>
      <c r="AF106" s="90" t="str">
        <f t="shared" si="58"/>
        <v/>
      </c>
      <c r="AG106" s="90" t="str">
        <f t="shared" si="59"/>
        <v/>
      </c>
      <c r="AH106" s="93" t="str">
        <f t="shared" si="60"/>
        <v/>
      </c>
      <c r="AJ106" s="925"/>
      <c r="AK106" s="923" t="s">
        <v>499</v>
      </c>
      <c r="AL106" s="919">
        <f>TotalTime4</f>
        <v>0</v>
      </c>
      <c r="AM106" s="919">
        <f>TotalTime4</f>
        <v>0</v>
      </c>
      <c r="AN106" s="919"/>
      <c r="AO106" s="922" t="s">
        <v>1203</v>
      </c>
      <c r="AP106" s="922"/>
      <c r="AQ106" s="920"/>
      <c r="AR106" s="920"/>
      <c r="AS106" s="920"/>
      <c r="AT106" s="921"/>
    </row>
    <row r="107" spans="1:46" ht="10.5" hidden="1" customHeight="1" outlineLevel="1">
      <c r="A107" s="87" t="str">
        <f>'Flows &amp; Isokinetics'!E41</f>
        <v/>
      </c>
      <c r="B107" s="88" t="str">
        <f>'Flows &amp; Isokinetics'!F41</f>
        <v/>
      </c>
      <c r="C107" s="777" t="str">
        <f>IF(Afterflows!W106="","",Afterflows!W106)</f>
        <v/>
      </c>
      <c r="D107" s="88" t="str">
        <f t="shared" si="43"/>
        <v/>
      </c>
      <c r="E107" s="288" t="str">
        <f>IF(ISNUMBER(C107),IF(ISNUMBER(StackTemp4),StackTemp4,IF(Afterflows!V106="","",Afterflows!V106)),"")</f>
        <v/>
      </c>
      <c r="F107" s="89" t="str">
        <f t="shared" si="44"/>
        <v/>
      </c>
      <c r="G107" s="89" t="str">
        <f t="shared" si="45"/>
        <v/>
      </c>
      <c r="H107" s="89" t="str">
        <f t="shared" si="46"/>
        <v/>
      </c>
      <c r="I107" s="112" t="str">
        <f t="shared" si="47"/>
        <v/>
      </c>
      <c r="J107" s="777" t="str">
        <f>IF(C107="","",Afterflows!G106)</f>
        <v/>
      </c>
      <c r="K107" s="777" t="str">
        <f>IF(E107="","",Afterflows!H106)</f>
        <v/>
      </c>
      <c r="L107" s="110"/>
      <c r="M107" s="97"/>
      <c r="N107" s="114"/>
      <c r="P107" s="87" t="str">
        <f t="shared" si="48"/>
        <v/>
      </c>
      <c r="Q107" s="2071" t="str">
        <f t="shared" si="63"/>
        <v/>
      </c>
      <c r="R107" s="90" t="str">
        <f t="shared" si="61"/>
        <v/>
      </c>
      <c r="S107" s="90" t="str">
        <f>Velocity(PitotID4,PitotCoeff4,Afterflows!AB106,D107,E107,StackTempAvg4,AbsPress4,MolecularWt)</f>
        <v/>
      </c>
      <c r="T107" s="91" t="str">
        <f t="shared" si="49"/>
        <v/>
      </c>
      <c r="U107" s="91" t="str">
        <f t="shared" si="50"/>
        <v/>
      </c>
      <c r="V107" s="91" t="str">
        <f t="shared" si="51"/>
        <v/>
      </c>
      <c r="W107" s="91" t="str">
        <f>IF(ISNUMBER(V107),$H$5+SUM(V$81:V107)/Mratio4,"")</f>
        <v/>
      </c>
      <c r="X107" s="93" t="str">
        <f t="shared" si="52"/>
        <v/>
      </c>
      <c r="Z107" s="902" t="str">
        <f t="shared" si="53"/>
        <v/>
      </c>
      <c r="AA107" s="90" t="str">
        <f t="shared" si="54"/>
        <v/>
      </c>
      <c r="AB107" s="90" t="str">
        <f t="shared" si="55"/>
        <v/>
      </c>
      <c r="AC107" s="90" t="str">
        <f t="shared" si="56"/>
        <v/>
      </c>
      <c r="AD107" s="90" t="str">
        <f t="shared" si="62"/>
        <v/>
      </c>
      <c r="AE107" s="90" t="str">
        <f t="shared" si="57"/>
        <v/>
      </c>
      <c r="AF107" s="90" t="str">
        <f t="shared" si="58"/>
        <v/>
      </c>
      <c r="AG107" s="90" t="str">
        <f t="shared" si="59"/>
        <v/>
      </c>
      <c r="AH107" s="93" t="str">
        <f t="shared" si="60"/>
        <v/>
      </c>
      <c r="AJ107" s="925"/>
      <c r="AK107" s="923" t="s">
        <v>500</v>
      </c>
      <c r="AL107" s="919" t="e">
        <f>AL104/AL106</f>
        <v>#DIV/0!</v>
      </c>
      <c r="AM107" s="919" t="e">
        <f>AM104/AM106</f>
        <v>#N/A</v>
      </c>
      <c r="AN107" s="919"/>
      <c r="AO107" s="922" t="s">
        <v>1265</v>
      </c>
      <c r="AP107" s="922"/>
      <c r="AQ107" s="920"/>
      <c r="AR107" s="920"/>
      <c r="AS107" s="920"/>
      <c r="AT107" s="921"/>
    </row>
    <row r="108" spans="1:46" ht="10.5" hidden="1" customHeight="1" outlineLevel="1">
      <c r="A108" s="87" t="str">
        <f>'Flows &amp; Isokinetics'!E42</f>
        <v/>
      </c>
      <c r="B108" s="88" t="str">
        <f>'Flows &amp; Isokinetics'!F42</f>
        <v/>
      </c>
      <c r="C108" s="777" t="str">
        <f>IF(Afterflows!W107="","",Afterflows!W107)</f>
        <v/>
      </c>
      <c r="D108" s="88" t="str">
        <f t="shared" si="43"/>
        <v/>
      </c>
      <c r="E108" s="288" t="str">
        <f>IF(ISNUMBER(C108),IF(ISNUMBER(StackTemp4),StackTemp4,IF(Afterflows!V107="","",Afterflows!V107)),"")</f>
        <v/>
      </c>
      <c r="F108" s="89" t="str">
        <f t="shared" si="44"/>
        <v/>
      </c>
      <c r="G108" s="89" t="str">
        <f t="shared" si="45"/>
        <v/>
      </c>
      <c r="H108" s="89" t="str">
        <f t="shared" si="46"/>
        <v/>
      </c>
      <c r="I108" s="112" t="str">
        <f t="shared" si="47"/>
        <v/>
      </c>
      <c r="J108" s="777" t="str">
        <f>IF(C108="","",Afterflows!G107)</f>
        <v/>
      </c>
      <c r="K108" s="777" t="str">
        <f>IF(E108="","",Afterflows!H107)</f>
        <v/>
      </c>
      <c r="L108" s="110"/>
      <c r="M108" s="97"/>
      <c r="N108" s="114"/>
      <c r="P108" s="87" t="str">
        <f t="shared" si="48"/>
        <v/>
      </c>
      <c r="Q108" s="2071" t="str">
        <f t="shared" si="63"/>
        <v/>
      </c>
      <c r="R108" s="90" t="str">
        <f t="shared" si="61"/>
        <v/>
      </c>
      <c r="S108" s="90" t="str">
        <f>Velocity(PitotID4,PitotCoeff4,Afterflows!AB107,D108,E108,StackTempAvg4,AbsPress4,MolecularWt)</f>
        <v/>
      </c>
      <c r="T108" s="91" t="str">
        <f t="shared" si="49"/>
        <v/>
      </c>
      <c r="U108" s="91" t="str">
        <f t="shared" si="50"/>
        <v/>
      </c>
      <c r="V108" s="91" t="str">
        <f t="shared" si="51"/>
        <v/>
      </c>
      <c r="W108" s="91" t="str">
        <f>IF(ISNUMBER(V108),$H$5+SUM(V$81:V108)/Mratio4,"")</f>
        <v/>
      </c>
      <c r="X108" s="93" t="str">
        <f t="shared" si="52"/>
        <v/>
      </c>
      <c r="Z108" s="902" t="str">
        <f t="shared" si="53"/>
        <v/>
      </c>
      <c r="AA108" s="90" t="str">
        <f t="shared" si="54"/>
        <v/>
      </c>
      <c r="AB108" s="90" t="str">
        <f t="shared" si="55"/>
        <v/>
      </c>
      <c r="AC108" s="90" t="str">
        <f t="shared" si="56"/>
        <v/>
      </c>
      <c r="AD108" s="90" t="str">
        <f t="shared" si="62"/>
        <v/>
      </c>
      <c r="AE108" s="90" t="str">
        <f t="shared" si="57"/>
        <v/>
      </c>
      <c r="AF108" s="90" t="str">
        <f t="shared" si="58"/>
        <v/>
      </c>
      <c r="AG108" s="90" t="str">
        <f t="shared" si="59"/>
        <v/>
      </c>
      <c r="AH108" s="93" t="str">
        <f t="shared" si="60"/>
        <v/>
      </c>
      <c r="AJ108" s="925"/>
      <c r="AK108" s="923" t="s">
        <v>500</v>
      </c>
      <c r="AL108" s="919" t="e">
        <f>AL107/1000</f>
        <v>#DIV/0!</v>
      </c>
      <c r="AM108" s="919" t="e">
        <f>AM107/1000</f>
        <v>#N/A</v>
      </c>
      <c r="AN108" s="919"/>
      <c r="AO108" s="922" t="s">
        <v>1264</v>
      </c>
      <c r="AP108" s="922"/>
      <c r="AQ108" s="917"/>
      <c r="AR108" s="917"/>
      <c r="AS108" s="917"/>
      <c r="AT108" s="931"/>
    </row>
    <row r="109" spans="1:46" ht="10.5" hidden="1" customHeight="1" outlineLevel="1">
      <c r="A109" s="87" t="str">
        <f>'Flows &amp; Isokinetics'!E43</f>
        <v/>
      </c>
      <c r="B109" s="88" t="str">
        <f>'Flows &amp; Isokinetics'!F43</f>
        <v/>
      </c>
      <c r="C109" s="777" t="str">
        <f>IF(Afterflows!W108="","",Afterflows!W108)</f>
        <v/>
      </c>
      <c r="D109" s="88" t="str">
        <f t="shared" si="43"/>
        <v/>
      </c>
      <c r="E109" s="288" t="str">
        <f>IF(ISNUMBER(C109),IF(ISNUMBER(StackTemp4),StackTemp4,IF(Afterflows!V108="","",Afterflows!V108)),"")</f>
        <v/>
      </c>
      <c r="F109" s="89" t="str">
        <f t="shared" si="44"/>
        <v/>
      </c>
      <c r="G109" s="89" t="str">
        <f t="shared" si="45"/>
        <v/>
      </c>
      <c r="H109" s="89" t="str">
        <f t="shared" si="46"/>
        <v/>
      </c>
      <c r="I109" s="112" t="str">
        <f t="shared" si="47"/>
        <v/>
      </c>
      <c r="J109" s="777" t="str">
        <f>IF(C109="","",Afterflows!G108)</f>
        <v/>
      </c>
      <c r="K109" s="777" t="str">
        <f>IF(E109="","",Afterflows!H108)</f>
        <v/>
      </c>
      <c r="L109" s="110"/>
      <c r="M109" s="97"/>
      <c r="N109" s="114"/>
      <c r="P109" s="87" t="str">
        <f t="shared" si="48"/>
        <v/>
      </c>
      <c r="Q109" s="2071" t="str">
        <f t="shared" si="63"/>
        <v/>
      </c>
      <c r="R109" s="90" t="str">
        <f t="shared" si="61"/>
        <v/>
      </c>
      <c r="S109" s="90" t="str">
        <f>Velocity(PitotID4,PitotCoeff4,Afterflows!AB108,D109,E109,StackTempAvg4,AbsPress4,MolecularWt)</f>
        <v/>
      </c>
      <c r="T109" s="91" t="str">
        <f t="shared" si="49"/>
        <v/>
      </c>
      <c r="U109" s="91" t="str">
        <f t="shared" si="50"/>
        <v/>
      </c>
      <c r="V109" s="91" t="str">
        <f t="shared" si="51"/>
        <v/>
      </c>
      <c r="W109" s="91" t="str">
        <f>IF(ISNUMBER(V109),$H$5+SUM(V$81:V109)/Mratio4,"")</f>
        <v/>
      </c>
      <c r="X109" s="93" t="str">
        <f t="shared" si="52"/>
        <v/>
      </c>
      <c r="Z109" s="902" t="str">
        <f t="shared" si="53"/>
        <v/>
      </c>
      <c r="AA109" s="90" t="str">
        <f t="shared" si="54"/>
        <v/>
      </c>
      <c r="AB109" s="90" t="str">
        <f t="shared" si="55"/>
        <v/>
      </c>
      <c r="AC109" s="90" t="str">
        <f t="shared" si="56"/>
        <v/>
      </c>
      <c r="AD109" s="90" t="str">
        <f t="shared" si="62"/>
        <v/>
      </c>
      <c r="AE109" s="90" t="str">
        <f t="shared" si="57"/>
        <v/>
      </c>
      <c r="AF109" s="90" t="str">
        <f t="shared" si="58"/>
        <v/>
      </c>
      <c r="AG109" s="90" t="str">
        <f t="shared" si="59"/>
        <v/>
      </c>
      <c r="AH109" s="93" t="str">
        <f t="shared" si="60"/>
        <v/>
      </c>
      <c r="AJ109" s="925"/>
      <c r="AK109" s="923" t="s">
        <v>500</v>
      </c>
      <c r="AL109" s="938" t="e">
        <f>AL107/28.32</f>
        <v>#DIV/0!</v>
      </c>
      <c r="AM109" s="938" t="e">
        <f>AM107/28.32</f>
        <v>#N/A</v>
      </c>
      <c r="AN109" s="919"/>
      <c r="AO109" s="922" t="s">
        <v>1246</v>
      </c>
      <c r="AP109" s="922"/>
      <c r="AQ109" s="917"/>
      <c r="AR109" s="917"/>
      <c r="AS109" s="917"/>
      <c r="AT109" s="931"/>
    </row>
    <row r="110" spans="1:46" ht="10.5" hidden="1" customHeight="1" outlineLevel="1">
      <c r="A110" s="87" t="str">
        <f>'Flows &amp; Isokinetics'!E44</f>
        <v/>
      </c>
      <c r="B110" s="88" t="str">
        <f>'Flows &amp; Isokinetics'!F44</f>
        <v/>
      </c>
      <c r="C110" s="777" t="str">
        <f>IF(Afterflows!W109="","",Afterflows!W109)</f>
        <v/>
      </c>
      <c r="D110" s="88" t="str">
        <f t="shared" si="43"/>
        <v/>
      </c>
      <c r="E110" s="288" t="str">
        <f>IF(ISNUMBER(C110),IF(ISNUMBER(StackTemp4),StackTemp4,IF(Afterflows!V109="","",Afterflows!V109)),"")</f>
        <v/>
      </c>
      <c r="F110" s="89" t="str">
        <f t="shared" si="44"/>
        <v/>
      </c>
      <c r="G110" s="89" t="str">
        <f t="shared" si="45"/>
        <v/>
      </c>
      <c r="H110" s="89" t="str">
        <f t="shared" si="46"/>
        <v/>
      </c>
      <c r="I110" s="112" t="str">
        <f t="shared" si="47"/>
        <v/>
      </c>
      <c r="J110" s="777" t="str">
        <f>IF(C110="","",Afterflows!G109)</f>
        <v/>
      </c>
      <c r="K110" s="777" t="str">
        <f>IF(E110="","",Afterflows!H109)</f>
        <v/>
      </c>
      <c r="L110" s="110"/>
      <c r="M110" s="97"/>
      <c r="N110" s="114"/>
      <c r="P110" s="87" t="str">
        <f t="shared" si="48"/>
        <v/>
      </c>
      <c r="Q110" s="2071" t="str">
        <f t="shared" si="63"/>
        <v/>
      </c>
      <c r="R110" s="90" t="str">
        <f t="shared" si="61"/>
        <v/>
      </c>
      <c r="S110" s="90" t="str">
        <f>Velocity(PitotID4,PitotCoeff4,Afterflows!AB109,D110,E110,StackTempAvg4,AbsPress4,MolecularWt)</f>
        <v/>
      </c>
      <c r="T110" s="91" t="str">
        <f t="shared" si="49"/>
        <v/>
      </c>
      <c r="U110" s="91" t="str">
        <f t="shared" si="50"/>
        <v/>
      </c>
      <c r="V110" s="91" t="str">
        <f t="shared" si="51"/>
        <v/>
      </c>
      <c r="W110" s="91" t="str">
        <f>IF(ISNUMBER(V110),$H$5+SUM(V$81:V110)/Mratio4,"")</f>
        <v/>
      </c>
      <c r="X110" s="93" t="str">
        <f t="shared" si="52"/>
        <v/>
      </c>
      <c r="Z110" s="902" t="str">
        <f t="shared" si="53"/>
        <v/>
      </c>
      <c r="AA110" s="90" t="str">
        <f t="shared" ref="AA110:AA136" si="64">IF(ISNUMBER(S110),SQRT(QsLmin4*4*10^6/(PBVF2*S110*PI()*60*1000)),"")</f>
        <v/>
      </c>
      <c r="AB110" s="90" t="str">
        <f t="shared" si="55"/>
        <v/>
      </c>
      <c r="AC110" s="90" t="str">
        <f t="shared" ref="AC110:AC136" si="65">IF(ISNUMBER(AA110),QsLmin4*1000/60/(PI()*AA110^2/4),"")</f>
        <v/>
      </c>
      <c r="AD110" s="90" t="str">
        <f t="shared" ref="AD110:AD136" si="66">IF(AB110="","",$AL$107*1000/60/(PI()*AB110^2/4))</f>
        <v/>
      </c>
      <c r="AE110" s="90" t="str">
        <f t="shared" ref="AE110:AE136" si="67">IF(ISNUMBER(AB110),$AM$107*1000/60/(PI()*AB110^2/4),"")</f>
        <v/>
      </c>
      <c r="AF110" s="90" t="str">
        <f t="shared" si="58"/>
        <v/>
      </c>
      <c r="AG110" s="90" t="str">
        <f t="shared" si="59"/>
        <v/>
      </c>
      <c r="AH110" s="93" t="str">
        <f t="shared" si="60"/>
        <v/>
      </c>
      <c r="AJ110" s="925"/>
      <c r="AK110" s="922"/>
      <c r="AL110" s="922"/>
      <c r="AM110" s="922"/>
      <c r="AN110" s="922"/>
      <c r="AO110" s="922"/>
      <c r="AP110" s="920"/>
      <c r="AQ110" s="920"/>
      <c r="AR110" s="920"/>
      <c r="AS110" s="920"/>
      <c r="AT110" s="921"/>
    </row>
    <row r="111" spans="1:46" ht="10.5" hidden="1" customHeight="1" outlineLevel="1">
      <c r="A111" s="87" t="str">
        <f>'Flows &amp; Isokinetics'!E45</f>
        <v/>
      </c>
      <c r="B111" s="88" t="str">
        <f>'Flows &amp; Isokinetics'!F45</f>
        <v/>
      </c>
      <c r="C111" s="777" t="str">
        <f>IF(Afterflows!W110="","",Afterflows!W110)</f>
        <v/>
      </c>
      <c r="D111" s="88" t="str">
        <f t="shared" si="43"/>
        <v/>
      </c>
      <c r="E111" s="288" t="str">
        <f>IF(ISNUMBER(C111),IF(ISNUMBER(StackTemp4),StackTemp4,IF(Afterflows!V110="","",Afterflows!V110)),"")</f>
        <v/>
      </c>
      <c r="F111" s="89" t="str">
        <f t="shared" si="44"/>
        <v/>
      </c>
      <c r="G111" s="89" t="str">
        <f t="shared" si="45"/>
        <v/>
      </c>
      <c r="H111" s="89" t="str">
        <f t="shared" si="46"/>
        <v/>
      </c>
      <c r="I111" s="112" t="str">
        <f t="shared" si="47"/>
        <v/>
      </c>
      <c r="J111" s="777" t="str">
        <f>IF(C111="","",Afterflows!G110)</f>
        <v/>
      </c>
      <c r="K111" s="777" t="str">
        <f>IF(E111="","",Afterflows!H110)</f>
        <v/>
      </c>
      <c r="L111" s="110"/>
      <c r="M111" s="97"/>
      <c r="N111" s="114"/>
      <c r="P111" s="87" t="str">
        <f t="shared" si="48"/>
        <v/>
      </c>
      <c r="Q111" s="2071" t="str">
        <f t="shared" si="63"/>
        <v/>
      </c>
      <c r="R111" s="90" t="str">
        <f t="shared" si="61"/>
        <v/>
      </c>
      <c r="S111" s="90" t="str">
        <f>Velocity(PitotID4,PitotCoeff4,Afterflows!AB110,D111,E111,StackTempAvg4,AbsPress4,MolecularWt)</f>
        <v/>
      </c>
      <c r="T111" s="91" t="str">
        <f t="shared" si="49"/>
        <v/>
      </c>
      <c r="U111" s="91" t="str">
        <f t="shared" si="50"/>
        <v/>
      </c>
      <c r="V111" s="91" t="str">
        <f t="shared" si="51"/>
        <v/>
      </c>
      <c r="W111" s="91" t="str">
        <f>IF(ISNUMBER(V111),$H$5+SUM(V$81:V111)/Mratio4,"")</f>
        <v/>
      </c>
      <c r="X111" s="93" t="str">
        <f t="shared" si="52"/>
        <v/>
      </c>
      <c r="Z111" s="902" t="str">
        <f t="shared" si="53"/>
        <v/>
      </c>
      <c r="AA111" s="90" t="str">
        <f t="shared" si="64"/>
        <v/>
      </c>
      <c r="AB111" s="90" t="str">
        <f t="shared" si="55"/>
        <v/>
      </c>
      <c r="AC111" s="90" t="str">
        <f t="shared" si="65"/>
        <v/>
      </c>
      <c r="AD111" s="90" t="str">
        <f t="shared" si="66"/>
        <v/>
      </c>
      <c r="AE111" s="90" t="str">
        <f t="shared" si="67"/>
        <v/>
      </c>
      <c r="AF111" s="90" t="str">
        <f t="shared" si="58"/>
        <v/>
      </c>
      <c r="AG111" s="90" t="str">
        <f t="shared" si="59"/>
        <v/>
      </c>
      <c r="AH111" s="93" t="str">
        <f t="shared" si="60"/>
        <v/>
      </c>
      <c r="AJ111" s="925"/>
      <c r="AK111" s="917"/>
      <c r="AL111" s="919"/>
      <c r="AM111" s="917"/>
      <c r="AN111" s="919"/>
      <c r="AO111" s="917"/>
      <c r="AP111" s="920"/>
      <c r="AQ111" s="920"/>
      <c r="AR111" s="920"/>
      <c r="AS111" s="920"/>
      <c r="AT111" s="921"/>
    </row>
    <row r="112" spans="1:46" ht="10.5" hidden="1" customHeight="1" outlineLevel="1">
      <c r="A112" s="87" t="str">
        <f>'Flows &amp; Isokinetics'!E46</f>
        <v/>
      </c>
      <c r="B112" s="88" t="str">
        <f>'Flows &amp; Isokinetics'!F46</f>
        <v/>
      </c>
      <c r="C112" s="777" t="str">
        <f>IF(Afterflows!W111="","",Afterflows!W111)</f>
        <v/>
      </c>
      <c r="D112" s="88" t="str">
        <f t="shared" si="43"/>
        <v/>
      </c>
      <c r="E112" s="288" t="str">
        <f>IF(ISNUMBER(C112),IF(ISNUMBER(StackTemp4),StackTemp4,IF(Afterflows!V111="","",Afterflows!V111)),"")</f>
        <v/>
      </c>
      <c r="F112" s="89" t="str">
        <f t="shared" si="44"/>
        <v/>
      </c>
      <c r="G112" s="89" t="str">
        <f t="shared" si="45"/>
        <v/>
      </c>
      <c r="H112" s="89" t="str">
        <f t="shared" si="46"/>
        <v/>
      </c>
      <c r="I112" s="112" t="str">
        <f t="shared" si="47"/>
        <v/>
      </c>
      <c r="J112" s="777" t="str">
        <f>IF(C112="","",Afterflows!G111)</f>
        <v/>
      </c>
      <c r="K112" s="777" t="str">
        <f>IF(E112="","",Afterflows!H111)</f>
        <v/>
      </c>
      <c r="L112" s="118"/>
      <c r="M112" s="97"/>
      <c r="N112" s="114"/>
      <c r="P112" s="87" t="str">
        <f t="shared" si="48"/>
        <v/>
      </c>
      <c r="Q112" s="2071" t="str">
        <f t="shared" si="63"/>
        <v/>
      </c>
      <c r="R112" s="90" t="str">
        <f t="shared" si="61"/>
        <v/>
      </c>
      <c r="S112" s="90" t="str">
        <f>Velocity(PitotID4,PitotCoeff4,Afterflows!AB111,D112,E112,StackTempAvg4,AbsPress4,MolecularWt)</f>
        <v/>
      </c>
      <c r="T112" s="91" t="str">
        <f t="shared" si="49"/>
        <v/>
      </c>
      <c r="U112" s="91" t="str">
        <f t="shared" si="50"/>
        <v/>
      </c>
      <c r="V112" s="91" t="str">
        <f t="shared" si="51"/>
        <v/>
      </c>
      <c r="W112" s="91" t="str">
        <f>IF(ISNUMBER(V112),$H$5+SUM(V$81:V112)/Mratio4,"")</f>
        <v/>
      </c>
      <c r="X112" s="93" t="str">
        <f t="shared" si="52"/>
        <v/>
      </c>
      <c r="Z112" s="902" t="str">
        <f t="shared" si="53"/>
        <v/>
      </c>
      <c r="AA112" s="90" t="str">
        <f t="shared" si="64"/>
        <v/>
      </c>
      <c r="AB112" s="90" t="str">
        <f t="shared" si="55"/>
        <v/>
      </c>
      <c r="AC112" s="90" t="str">
        <f t="shared" si="65"/>
        <v/>
      </c>
      <c r="AD112" s="90" t="str">
        <f t="shared" si="66"/>
        <v/>
      </c>
      <c r="AE112" s="90" t="str">
        <f t="shared" si="67"/>
        <v/>
      </c>
      <c r="AF112" s="90" t="str">
        <f t="shared" si="58"/>
        <v/>
      </c>
      <c r="AG112" s="90" t="str">
        <f t="shared" si="59"/>
        <v/>
      </c>
      <c r="AH112" s="93" t="str">
        <f t="shared" si="60"/>
        <v/>
      </c>
      <c r="AJ112" s="939"/>
      <c r="AK112" s="920"/>
      <c r="AL112" s="920"/>
      <c r="AM112" s="924" t="s">
        <v>299</v>
      </c>
      <c r="AN112" s="920"/>
      <c r="AO112" s="920"/>
      <c r="AP112" s="920"/>
      <c r="AQ112" s="919"/>
      <c r="AR112" s="2687" t="str">
        <f>PMtest4&amp;" (-28C)"</f>
        <v>PM10&amp;2.5 (-28C)</v>
      </c>
      <c r="AS112" s="2688"/>
      <c r="AT112" s="926"/>
    </row>
    <row r="113" spans="1:46" ht="10.5" hidden="1" customHeight="1" outlineLevel="1">
      <c r="A113" s="87" t="str">
        <f>'Flows &amp; Isokinetics'!E47</f>
        <v/>
      </c>
      <c r="B113" s="88" t="str">
        <f>'Flows &amp; Isokinetics'!F47</f>
        <v/>
      </c>
      <c r="C113" s="777" t="str">
        <f>IF(Afterflows!W112="","",Afterflows!W112)</f>
        <v/>
      </c>
      <c r="D113" s="88" t="str">
        <f t="shared" ref="D113:D140" si="68">IF(C113&lt;FlowDL4,FlowDL4,C113)</f>
        <v/>
      </c>
      <c r="E113" s="288" t="str">
        <f>IF(ISNUMBER(C113),IF(ISNUMBER(StackTemp4),StackTemp4,IF(Afterflows!V112="","",Afterflows!V112)),"")</f>
        <v/>
      </c>
      <c r="F113" s="89" t="str">
        <f t="shared" ref="F113:F133" si="69">IF(ISNUMBER(C113),IF(ISNUMBER(MeterTemp4),MeterTemp4,""),"")</f>
        <v/>
      </c>
      <c r="G113" s="89" t="str">
        <f t="shared" ref="G113:G133" si="70">IF(ISNUMBER(C113),IF(ISNUMBER(MeterPress4),MeterPress4,""),"")</f>
        <v/>
      </c>
      <c r="H113" s="89" t="str">
        <f t="shared" ref="H113:H133" si="71">IF(ISNUMBER(C113),IF(ISNUMBER(NozzleSelect4),NozzleSelect4,""),"")</f>
        <v/>
      </c>
      <c r="I113" s="112" t="str">
        <f t="shared" ref="I113:I140" si="72">Dwell(Pascal4,D113,AvgSqrtPa4,TimePoint4)</f>
        <v/>
      </c>
      <c r="J113" s="777" t="str">
        <f>IF(C113="","",Afterflows!G112)</f>
        <v/>
      </c>
      <c r="K113" s="777" t="str">
        <f>IF(E113="","",Afterflows!H112)</f>
        <v/>
      </c>
      <c r="L113" s="118"/>
      <c r="M113" s="97"/>
      <c r="N113" s="114"/>
      <c r="P113" s="87" t="str">
        <f t="shared" ref="P113:P140" si="73">A113</f>
        <v/>
      </c>
      <c r="Q113" s="2071" t="str">
        <f t="shared" si="63"/>
        <v/>
      </c>
      <c r="R113" s="90" t="str">
        <f t="shared" si="61"/>
        <v/>
      </c>
      <c r="S113" s="90" t="str">
        <f>Velocity(PitotID4,PitotCoeff4,Afterflows!AB112,D113,E113,StackTempAvg4,AbsPress4,MolecularWt)</f>
        <v/>
      </c>
      <c r="T113" s="91" t="str">
        <f t="shared" ref="T113:T140" si="74">SampleRate(S113,PBF_2,E113,F113,G113,H113,StackTempAvg4,AbsPress4,BaroPress4,Bws)</f>
        <v/>
      </c>
      <c r="U113" s="91" t="str">
        <f t="shared" ref="U113:U140" si="75">IF(C113="","",MeterRate4)</f>
        <v/>
      </c>
      <c r="V113" s="91" t="str">
        <f t="shared" ref="V113:V140" si="76">IF(ISNUMBER(I113),I113*U113,"")</f>
        <v/>
      </c>
      <c r="W113" s="91" t="str">
        <f>IF(ISNUMBER(V113),$H$5+SUM(V$81:V113)/Mratio4,"")</f>
        <v/>
      </c>
      <c r="X113" s="93" t="str">
        <f t="shared" ref="X113:X140" si="77">Velocity3D(S113,J113,K113)</f>
        <v/>
      </c>
      <c r="Z113" s="902" t="str">
        <f t="shared" ref="Z113:Z140" si="78">A113</f>
        <v/>
      </c>
      <c r="AA113" s="90" t="str">
        <f t="shared" si="64"/>
        <v/>
      </c>
      <c r="AB113" s="90" t="str">
        <f t="shared" ref="AB113:AB140" si="79">IF(ISNUMBER(S113),H113,"")</f>
        <v/>
      </c>
      <c r="AC113" s="90" t="str">
        <f t="shared" si="65"/>
        <v/>
      </c>
      <c r="AD113" s="90" t="str">
        <f t="shared" si="66"/>
        <v/>
      </c>
      <c r="AE113" s="90" t="str">
        <f t="shared" si="67"/>
        <v/>
      </c>
      <c r="AF113" s="90" t="str">
        <f t="shared" ref="AF113:AF140" si="80">IF(ISNUMBER(S113),AD113/(S113*PBVF2)*100,"")</f>
        <v/>
      </c>
      <c r="AG113" s="90" t="str">
        <f t="shared" ref="AG113:AG140" si="81">IF(ISNUMBER(S113),AE113/(S113*PBVF2)*100,"")</f>
        <v/>
      </c>
      <c r="AH113" s="93" t="str">
        <f t="shared" ref="AH113:AH140" si="82">IF(ISNUMBER(S113),AG113*I113/TimePoint4,"")</f>
        <v/>
      </c>
      <c r="AJ113" s="925"/>
      <c r="AK113" s="932" t="s">
        <v>288</v>
      </c>
      <c r="AL113" s="933"/>
      <c r="AM113" s="933" t="e">
        <f>ViscositySelect(PMtest4,AM114,AM115)</f>
        <v>#VALUE!</v>
      </c>
      <c r="AN113" s="933"/>
      <c r="AO113" s="922" t="s">
        <v>1247</v>
      </c>
      <c r="AP113" s="920"/>
      <c r="AQ113" s="923" t="s">
        <v>1263</v>
      </c>
      <c r="AR113" s="929" t="e">
        <f>SelectSR(PMtest4,NozzleKitID4,ViscosityM28C4,AL95,MolecularWt,StackGasPressInHg4)</f>
        <v>#VALUE!</v>
      </c>
      <c r="AS113" s="919" t="e">
        <f>AR113*28.32</f>
        <v>#VALUE!</v>
      </c>
      <c r="AT113" s="930" t="e">
        <f>AS113/1000</f>
        <v>#VALUE!</v>
      </c>
    </row>
    <row r="114" spans="1:46" ht="10.5" hidden="1" customHeight="1" outlineLevel="1">
      <c r="A114" s="87" t="str">
        <f>'Flows &amp; Isokinetics'!E48</f>
        <v/>
      </c>
      <c r="B114" s="88" t="str">
        <f>'Flows &amp; Isokinetics'!F48</f>
        <v/>
      </c>
      <c r="C114" s="777" t="str">
        <f>IF(Afterflows!W113="","",Afterflows!W113)</f>
        <v/>
      </c>
      <c r="D114" s="88" t="str">
        <f t="shared" si="68"/>
        <v/>
      </c>
      <c r="E114" s="288" t="str">
        <f>IF(ISNUMBER(C114),IF(ISNUMBER(StackTemp4),StackTemp4,IF(Afterflows!V113="","",Afterflows!V113)),"")</f>
        <v/>
      </c>
      <c r="F114" s="89" t="str">
        <f t="shared" si="69"/>
        <v/>
      </c>
      <c r="G114" s="89" t="str">
        <f t="shared" si="70"/>
        <v/>
      </c>
      <c r="H114" s="89" t="str">
        <f t="shared" si="71"/>
        <v/>
      </c>
      <c r="I114" s="112" t="str">
        <f t="shared" si="72"/>
        <v/>
      </c>
      <c r="J114" s="777" t="str">
        <f>IF(C114="","",Afterflows!G113)</f>
        <v/>
      </c>
      <c r="K114" s="777" t="str">
        <f>IF(E114="","",Afterflows!H113)</f>
        <v/>
      </c>
      <c r="L114" s="118"/>
      <c r="M114" s="97"/>
      <c r="N114" s="114"/>
      <c r="P114" s="87" t="str">
        <f t="shared" si="73"/>
        <v/>
      </c>
      <c r="Q114" s="2071" t="str">
        <f t="shared" si="63"/>
        <v/>
      </c>
      <c r="R114" s="90" t="str">
        <f t="shared" si="61"/>
        <v/>
      </c>
      <c r="S114" s="90" t="str">
        <f>Velocity(PitotID4,PitotCoeff4,Afterflows!AB113,D114,E114,StackTempAvg4,AbsPress4,MolecularWt)</f>
        <v/>
      </c>
      <c r="T114" s="91" t="str">
        <f t="shared" si="74"/>
        <v/>
      </c>
      <c r="U114" s="91" t="str">
        <f t="shared" si="75"/>
        <v/>
      </c>
      <c r="V114" s="91" t="str">
        <f t="shared" si="76"/>
        <v/>
      </c>
      <c r="W114" s="91" t="str">
        <f>IF(ISNUMBER(V114),$H$5+SUM(V$81:V114)/Mratio4,"")</f>
        <v/>
      </c>
      <c r="X114" s="93" t="str">
        <f t="shared" si="77"/>
        <v/>
      </c>
      <c r="Z114" s="902" t="str">
        <f t="shared" si="78"/>
        <v/>
      </c>
      <c r="AA114" s="90" t="str">
        <f t="shared" si="64"/>
        <v/>
      </c>
      <c r="AB114" s="90" t="str">
        <f t="shared" si="79"/>
        <v/>
      </c>
      <c r="AC114" s="90" t="str">
        <f t="shared" si="65"/>
        <v/>
      </c>
      <c r="AD114" s="90" t="str">
        <f t="shared" si="66"/>
        <v/>
      </c>
      <c r="AE114" s="90" t="str">
        <f t="shared" si="67"/>
        <v/>
      </c>
      <c r="AF114" s="90" t="str">
        <f t="shared" si="80"/>
        <v/>
      </c>
      <c r="AG114" s="90" t="str">
        <f t="shared" si="81"/>
        <v/>
      </c>
      <c r="AH114" s="93" t="str">
        <f t="shared" si="82"/>
        <v/>
      </c>
      <c r="AJ114" s="925"/>
      <c r="AK114" s="923" t="s">
        <v>278</v>
      </c>
      <c r="AL114" s="933"/>
      <c r="AM114" s="933" t="e">
        <f>Viscosity201A(AM121,O2dry,Bws)</f>
        <v>#VALUE!</v>
      </c>
      <c r="AN114" s="933"/>
      <c r="AO114" s="922" t="s">
        <v>1247</v>
      </c>
      <c r="AP114" s="920"/>
      <c r="AQ114" s="923" t="s">
        <v>1262</v>
      </c>
      <c r="AR114" s="919" t="e">
        <f>85.49*PitotCoeff4*(AvgSqrtVelocityHead4)*SQRT(AL95/(StackGasPressInHg4*MolecularWtWet))*PBVF2</f>
        <v>#VALUE!</v>
      </c>
      <c r="AS114" s="919" t="e">
        <f>12.89*PitotCoeff4*(AvgSqrtPa4)*SQRT(AL93/(AbsPress4*MolecularWtWet))*PBVF2</f>
        <v>#VALUE!</v>
      </c>
      <c r="AT114" s="931"/>
    </row>
    <row r="115" spans="1:46" ht="10.5" hidden="1" customHeight="1" outlineLevel="1">
      <c r="A115" s="87" t="str">
        <f>'Flows &amp; Isokinetics'!E49</f>
        <v/>
      </c>
      <c r="B115" s="88" t="str">
        <f>'Flows &amp; Isokinetics'!F49</f>
        <v/>
      </c>
      <c r="C115" s="777" t="str">
        <f>IF(Afterflows!W114="","",Afterflows!W114)</f>
        <v/>
      </c>
      <c r="D115" s="88" t="str">
        <f t="shared" si="68"/>
        <v/>
      </c>
      <c r="E115" s="288" t="str">
        <f>IF(ISNUMBER(C115),IF(ISNUMBER(StackTemp4),StackTemp4,IF(Afterflows!V114="","",Afterflows!V114)),"")</f>
        <v/>
      </c>
      <c r="F115" s="89" t="str">
        <f t="shared" si="69"/>
        <v/>
      </c>
      <c r="G115" s="89" t="str">
        <f t="shared" si="70"/>
        <v/>
      </c>
      <c r="H115" s="89" t="str">
        <f t="shared" si="71"/>
        <v/>
      </c>
      <c r="I115" s="112" t="str">
        <f t="shared" si="72"/>
        <v/>
      </c>
      <c r="J115" s="777" t="str">
        <f>IF(C115="","",Afterflows!G114)</f>
        <v/>
      </c>
      <c r="K115" s="777" t="str">
        <f>IF(E115="","",Afterflows!H114)</f>
        <v/>
      </c>
      <c r="L115" s="118"/>
      <c r="M115" s="97"/>
      <c r="N115" s="114"/>
      <c r="P115" s="87" t="str">
        <f t="shared" si="73"/>
        <v/>
      </c>
      <c r="Q115" s="2071" t="str">
        <f t="shared" si="63"/>
        <v/>
      </c>
      <c r="R115" s="90" t="str">
        <f t="shared" si="61"/>
        <v/>
      </c>
      <c r="S115" s="90" t="str">
        <f>Velocity(PitotID4,PitotCoeff4,Afterflows!AB114,D115,E115,StackTempAvg4,AbsPress4,MolecularWt)</f>
        <v/>
      </c>
      <c r="T115" s="91" t="str">
        <f t="shared" si="74"/>
        <v/>
      </c>
      <c r="U115" s="91" t="str">
        <f t="shared" si="75"/>
        <v/>
      </c>
      <c r="V115" s="91" t="str">
        <f t="shared" si="76"/>
        <v/>
      </c>
      <c r="W115" s="91" t="str">
        <f>IF(ISNUMBER(V115),$H$5+SUM(V$81:V115)/Mratio4,"")</f>
        <v/>
      </c>
      <c r="X115" s="93" t="str">
        <f t="shared" si="77"/>
        <v/>
      </c>
      <c r="Z115" s="902" t="str">
        <f t="shared" si="78"/>
        <v/>
      </c>
      <c r="AA115" s="90" t="str">
        <f t="shared" si="64"/>
        <v/>
      </c>
      <c r="AB115" s="90" t="str">
        <f t="shared" si="79"/>
        <v/>
      </c>
      <c r="AC115" s="90" t="str">
        <f t="shared" si="65"/>
        <v/>
      </c>
      <c r="AD115" s="90" t="str">
        <f t="shared" si="66"/>
        <v/>
      </c>
      <c r="AE115" s="90" t="str">
        <f t="shared" si="67"/>
        <v/>
      </c>
      <c r="AF115" s="90" t="str">
        <f t="shared" si="80"/>
        <v/>
      </c>
      <c r="AG115" s="90" t="str">
        <f t="shared" si="81"/>
        <v/>
      </c>
      <c r="AH115" s="93" t="str">
        <f t="shared" si="82"/>
        <v/>
      </c>
      <c r="AJ115" s="925"/>
      <c r="AK115" s="923" t="s">
        <v>277</v>
      </c>
      <c r="AL115" s="933"/>
      <c r="AM115" s="933" t="e">
        <f>ViscosityCTM040(AM121,O2wet,Bws)</f>
        <v>#VALUE!</v>
      </c>
      <c r="AN115" s="933"/>
      <c r="AO115" s="922" t="s">
        <v>1247</v>
      </c>
      <c r="AP115" s="920"/>
      <c r="AQ115" s="923" t="s">
        <v>1258</v>
      </c>
      <c r="AR115" s="919" t="e">
        <f>SQRT((3.056*AR113)/AR114)</f>
        <v>#VALUE!</v>
      </c>
      <c r="AS115" s="919" t="e">
        <f>2*SQRT((QsLmin4/AS114)*(1000000/(PI()*60000)))</f>
        <v>#VALUE!</v>
      </c>
      <c r="AT115" s="931"/>
    </row>
    <row r="116" spans="1:46" ht="10.5" hidden="1" customHeight="1" outlineLevel="1">
      <c r="A116" s="87" t="str">
        <f>'Flows &amp; Isokinetics'!E50</f>
        <v/>
      </c>
      <c r="B116" s="88" t="str">
        <f>'Flows &amp; Isokinetics'!F50</f>
        <v/>
      </c>
      <c r="C116" s="777" t="str">
        <f>IF(Afterflows!W115="","",Afterflows!W115)</f>
        <v/>
      </c>
      <c r="D116" s="88" t="str">
        <f t="shared" si="68"/>
        <v/>
      </c>
      <c r="E116" s="288" t="str">
        <f>IF(ISNUMBER(C116),IF(ISNUMBER(StackTemp4),StackTemp4,IF(Afterflows!V115="","",Afterflows!V115)),"")</f>
        <v/>
      </c>
      <c r="F116" s="89" t="str">
        <f t="shared" si="69"/>
        <v/>
      </c>
      <c r="G116" s="89" t="str">
        <f t="shared" si="70"/>
        <v/>
      </c>
      <c r="H116" s="89" t="str">
        <f t="shared" si="71"/>
        <v/>
      </c>
      <c r="I116" s="112" t="str">
        <f t="shared" si="72"/>
        <v/>
      </c>
      <c r="J116" s="777" t="str">
        <f>IF(C116="","",Afterflows!G115)</f>
        <v/>
      </c>
      <c r="K116" s="777" t="str">
        <f>IF(E116="","",Afterflows!H115)</f>
        <v/>
      </c>
      <c r="L116" s="118"/>
      <c r="M116" s="97"/>
      <c r="N116" s="114"/>
      <c r="P116" s="87" t="str">
        <f t="shared" si="73"/>
        <v/>
      </c>
      <c r="Q116" s="2071" t="str">
        <f t="shared" si="63"/>
        <v/>
      </c>
      <c r="R116" s="90" t="str">
        <f t="shared" si="61"/>
        <v/>
      </c>
      <c r="S116" s="90" t="str">
        <f>Velocity(PitotID4,PitotCoeff4,Afterflows!AB115,D116,E116,StackTempAvg4,AbsPress4,MolecularWt)</f>
        <v/>
      </c>
      <c r="T116" s="91" t="str">
        <f t="shared" si="74"/>
        <v/>
      </c>
      <c r="U116" s="91" t="str">
        <f t="shared" si="75"/>
        <v/>
      </c>
      <c r="V116" s="91" t="str">
        <f t="shared" si="76"/>
        <v/>
      </c>
      <c r="W116" s="91" t="str">
        <f>IF(ISNUMBER(V116),$H$5+SUM(V$81:V116)/Mratio4,"")</f>
        <v/>
      </c>
      <c r="X116" s="93" t="str">
        <f t="shared" si="77"/>
        <v/>
      </c>
      <c r="Z116" s="902" t="str">
        <f t="shared" si="78"/>
        <v/>
      </c>
      <c r="AA116" s="90" t="str">
        <f t="shared" si="64"/>
        <v/>
      </c>
      <c r="AB116" s="90" t="str">
        <f t="shared" si="79"/>
        <v/>
      </c>
      <c r="AC116" s="90" t="str">
        <f t="shared" si="65"/>
        <v/>
      </c>
      <c r="AD116" s="90" t="str">
        <f t="shared" si="66"/>
        <v/>
      </c>
      <c r="AE116" s="90" t="str">
        <f t="shared" si="67"/>
        <v/>
      </c>
      <c r="AF116" s="90" t="str">
        <f t="shared" si="80"/>
        <v/>
      </c>
      <c r="AG116" s="90" t="str">
        <f t="shared" si="81"/>
        <v/>
      </c>
      <c r="AH116" s="93" t="str">
        <f t="shared" si="82"/>
        <v/>
      </c>
      <c r="AJ116" s="925"/>
      <c r="AK116" s="923"/>
      <c r="AL116" s="933"/>
      <c r="AM116" s="933"/>
      <c r="AN116" s="933"/>
      <c r="AO116" s="922"/>
      <c r="AP116" s="920"/>
      <c r="AQ116" s="923"/>
      <c r="AR116" s="919"/>
      <c r="AS116" s="919"/>
      <c r="AT116" s="931"/>
    </row>
    <row r="117" spans="1:46" ht="10.5" hidden="1" customHeight="1" outlineLevel="1">
      <c r="A117" s="87" t="str">
        <f>'Flows &amp; Isokinetics'!E51</f>
        <v/>
      </c>
      <c r="B117" s="88" t="str">
        <f>'Flows &amp; Isokinetics'!F51</f>
        <v/>
      </c>
      <c r="C117" s="777" t="str">
        <f>IF(Afterflows!W116="","",Afterflows!W116)</f>
        <v/>
      </c>
      <c r="D117" s="88" t="str">
        <f t="shared" si="68"/>
        <v/>
      </c>
      <c r="E117" s="288" t="str">
        <f>IF(ISNUMBER(C117),IF(ISNUMBER(StackTemp4),StackTemp4,IF(Afterflows!V116="","",Afterflows!V116)),"")</f>
        <v/>
      </c>
      <c r="F117" s="89" t="str">
        <f t="shared" si="69"/>
        <v/>
      </c>
      <c r="G117" s="89" t="str">
        <f t="shared" si="70"/>
        <v/>
      </c>
      <c r="H117" s="89" t="str">
        <f t="shared" si="71"/>
        <v/>
      </c>
      <c r="I117" s="112" t="str">
        <f t="shared" si="72"/>
        <v/>
      </c>
      <c r="J117" s="777" t="str">
        <f>IF(C117="","",Afterflows!G116)</f>
        <v/>
      </c>
      <c r="K117" s="777" t="str">
        <f>IF(E117="","",Afterflows!H116)</f>
        <v/>
      </c>
      <c r="L117" s="118"/>
      <c r="M117" s="97"/>
      <c r="N117" s="114"/>
      <c r="P117" s="87" t="str">
        <f t="shared" si="73"/>
        <v/>
      </c>
      <c r="Q117" s="2071" t="str">
        <f t="shared" si="63"/>
        <v/>
      </c>
      <c r="R117" s="90" t="str">
        <f t="shared" si="61"/>
        <v/>
      </c>
      <c r="S117" s="90" t="str">
        <f>Velocity(PitotID4,PitotCoeff4,Afterflows!AB116,D117,E117,StackTempAvg4,AbsPress4,MolecularWt)</f>
        <v/>
      </c>
      <c r="T117" s="91" t="str">
        <f t="shared" si="74"/>
        <v/>
      </c>
      <c r="U117" s="91" t="str">
        <f t="shared" si="75"/>
        <v/>
      </c>
      <c r="V117" s="91" t="str">
        <f t="shared" si="76"/>
        <v/>
      </c>
      <c r="W117" s="91" t="str">
        <f>IF(ISNUMBER(V117),$H$5+SUM(V$81:V117)/Mratio4,"")</f>
        <v/>
      </c>
      <c r="X117" s="93" t="str">
        <f t="shared" si="77"/>
        <v/>
      </c>
      <c r="Z117" s="902" t="str">
        <f t="shared" si="78"/>
        <v/>
      </c>
      <c r="AA117" s="90" t="str">
        <f t="shared" si="64"/>
        <v/>
      </c>
      <c r="AB117" s="90" t="str">
        <f t="shared" si="79"/>
        <v/>
      </c>
      <c r="AC117" s="90" t="str">
        <f t="shared" si="65"/>
        <v/>
      </c>
      <c r="AD117" s="90" t="str">
        <f t="shared" si="66"/>
        <v/>
      </c>
      <c r="AE117" s="90" t="str">
        <f t="shared" si="67"/>
        <v/>
      </c>
      <c r="AF117" s="90" t="str">
        <f t="shared" si="80"/>
        <v/>
      </c>
      <c r="AG117" s="90" t="str">
        <f t="shared" si="81"/>
        <v/>
      </c>
      <c r="AH117" s="93" t="str">
        <f t="shared" si="82"/>
        <v/>
      </c>
      <c r="AJ117" s="925"/>
      <c r="AK117" s="923"/>
      <c r="AL117" s="933"/>
      <c r="AM117" s="933"/>
      <c r="AN117" s="933"/>
      <c r="AO117" s="922"/>
      <c r="AP117" s="920"/>
      <c r="AQ117" s="923"/>
      <c r="AR117" s="919"/>
      <c r="AS117" s="919"/>
      <c r="AT117" s="931"/>
    </row>
    <row r="118" spans="1:46" ht="10.5" hidden="1" customHeight="1" outlineLevel="1">
      <c r="A118" s="87" t="str">
        <f>'Flows &amp; Isokinetics'!E52</f>
        <v/>
      </c>
      <c r="B118" s="88" t="str">
        <f>'Flows &amp; Isokinetics'!F52</f>
        <v/>
      </c>
      <c r="C118" s="777" t="str">
        <f>IF(Afterflows!W117="","",Afterflows!W117)</f>
        <v/>
      </c>
      <c r="D118" s="88" t="str">
        <f t="shared" si="68"/>
        <v/>
      </c>
      <c r="E118" s="288" t="str">
        <f>IF(ISNUMBER(C118),IF(ISNUMBER(StackTemp4),StackTemp4,IF(Afterflows!V117="","",Afterflows!V117)),"")</f>
        <v/>
      </c>
      <c r="F118" s="89" t="str">
        <f t="shared" si="69"/>
        <v/>
      </c>
      <c r="G118" s="89" t="str">
        <f t="shared" si="70"/>
        <v/>
      </c>
      <c r="H118" s="89" t="str">
        <f t="shared" si="71"/>
        <v/>
      </c>
      <c r="I118" s="112" t="str">
        <f t="shared" si="72"/>
        <v/>
      </c>
      <c r="J118" s="777" t="str">
        <f>IF(C118="","",Afterflows!G117)</f>
        <v/>
      </c>
      <c r="K118" s="777" t="str">
        <f>IF(E118="","",Afterflows!H117)</f>
        <v/>
      </c>
      <c r="L118" s="118"/>
      <c r="M118" s="97"/>
      <c r="N118" s="114"/>
      <c r="P118" s="87" t="str">
        <f t="shared" si="73"/>
        <v/>
      </c>
      <c r="Q118" s="2071" t="str">
        <f t="shared" si="63"/>
        <v/>
      </c>
      <c r="R118" s="90" t="str">
        <f t="shared" si="61"/>
        <v/>
      </c>
      <c r="S118" s="90" t="str">
        <f>Velocity(PitotID4,PitotCoeff4,Afterflows!AB117,D118,E118,StackTempAvg4,AbsPress4,MolecularWt)</f>
        <v/>
      </c>
      <c r="T118" s="91" t="str">
        <f t="shared" si="74"/>
        <v/>
      </c>
      <c r="U118" s="91" t="str">
        <f t="shared" si="75"/>
        <v/>
      </c>
      <c r="V118" s="91" t="str">
        <f t="shared" si="76"/>
        <v/>
      </c>
      <c r="W118" s="91" t="str">
        <f>IF(ISNUMBER(V118),$H$5+SUM(V$81:V118)/Mratio4,"")</f>
        <v/>
      </c>
      <c r="X118" s="93" t="str">
        <f t="shared" si="77"/>
        <v/>
      </c>
      <c r="Z118" s="902" t="str">
        <f t="shared" si="78"/>
        <v/>
      </c>
      <c r="AA118" s="90" t="str">
        <f t="shared" si="64"/>
        <v/>
      </c>
      <c r="AB118" s="90" t="str">
        <f t="shared" si="79"/>
        <v/>
      </c>
      <c r="AC118" s="90" t="str">
        <f t="shared" si="65"/>
        <v/>
      </c>
      <c r="AD118" s="90" t="str">
        <f t="shared" si="66"/>
        <v/>
      </c>
      <c r="AE118" s="90" t="str">
        <f t="shared" si="67"/>
        <v/>
      </c>
      <c r="AF118" s="90" t="str">
        <f t="shared" si="80"/>
        <v/>
      </c>
      <c r="AG118" s="90" t="str">
        <f t="shared" si="81"/>
        <v/>
      </c>
      <c r="AH118" s="93" t="str">
        <f t="shared" si="82"/>
        <v/>
      </c>
      <c r="AJ118" s="925"/>
      <c r="AK118" s="923" t="s">
        <v>2</v>
      </c>
      <c r="AL118" s="919"/>
      <c r="AM118" s="928" t="e">
        <f>IF(ISERROR(StackTempAvgAft2),StackTempAvg4,AVERAGE(StackTempAvg4,StackTempAvgAft2))</f>
        <v>#DIV/0!</v>
      </c>
      <c r="AN118" s="919"/>
      <c r="AO118" s="922" t="s">
        <v>1197</v>
      </c>
      <c r="AP118" s="920"/>
      <c r="AQ118" s="919"/>
      <c r="AR118" s="920"/>
      <c r="AS118" s="924"/>
      <c r="AT118" s="931"/>
    </row>
    <row r="119" spans="1:46" ht="10.5" hidden="1" customHeight="1" outlineLevel="1">
      <c r="A119" s="87" t="str">
        <f>'Flows &amp; Isokinetics'!E53</f>
        <v/>
      </c>
      <c r="B119" s="88" t="str">
        <f>'Flows &amp; Isokinetics'!F53</f>
        <v/>
      </c>
      <c r="C119" s="777" t="str">
        <f>IF(Afterflows!W118="","",Afterflows!W118)</f>
        <v/>
      </c>
      <c r="D119" s="88" t="str">
        <f t="shared" si="68"/>
        <v/>
      </c>
      <c r="E119" s="288" t="str">
        <f>IF(ISNUMBER(C119),IF(ISNUMBER(StackTemp4),StackTemp4,IF(Afterflows!V118="","",Afterflows!V118)),"")</f>
        <v/>
      </c>
      <c r="F119" s="89" t="str">
        <f t="shared" si="69"/>
        <v/>
      </c>
      <c r="G119" s="89" t="str">
        <f t="shared" si="70"/>
        <v/>
      </c>
      <c r="H119" s="89" t="str">
        <f t="shared" si="71"/>
        <v/>
      </c>
      <c r="I119" s="112" t="str">
        <f t="shared" si="72"/>
        <v/>
      </c>
      <c r="J119" s="777" t="str">
        <f>IF(C119="","",Afterflows!G118)</f>
        <v/>
      </c>
      <c r="K119" s="777" t="str">
        <f>IF(E119="","",Afterflows!H118)</f>
        <v/>
      </c>
      <c r="L119" s="118"/>
      <c r="M119" s="97"/>
      <c r="N119" s="114"/>
      <c r="P119" s="87" t="str">
        <f t="shared" si="73"/>
        <v/>
      </c>
      <c r="Q119" s="2071" t="str">
        <f t="shared" si="63"/>
        <v/>
      </c>
      <c r="R119" s="90" t="str">
        <f t="shared" si="61"/>
        <v/>
      </c>
      <c r="S119" s="90" t="str">
        <f>Velocity(PitotID4,PitotCoeff4,Afterflows!AB118,D119,E119,StackTempAvg4,AbsPress4,MolecularWt)</f>
        <v/>
      </c>
      <c r="T119" s="91" t="str">
        <f t="shared" si="74"/>
        <v/>
      </c>
      <c r="U119" s="91" t="str">
        <f t="shared" si="75"/>
        <v/>
      </c>
      <c r="V119" s="91" t="str">
        <f t="shared" si="76"/>
        <v/>
      </c>
      <c r="W119" s="91" t="str">
        <f>IF(ISNUMBER(V119),$H$5+SUM(V$81:V119)/Mratio4,"")</f>
        <v/>
      </c>
      <c r="X119" s="93" t="str">
        <f t="shared" si="77"/>
        <v/>
      </c>
      <c r="Z119" s="902" t="str">
        <f t="shared" si="78"/>
        <v/>
      </c>
      <c r="AA119" s="90" t="str">
        <f t="shared" si="64"/>
        <v/>
      </c>
      <c r="AB119" s="90" t="str">
        <f t="shared" si="79"/>
        <v/>
      </c>
      <c r="AC119" s="90" t="str">
        <f t="shared" si="65"/>
        <v/>
      </c>
      <c r="AD119" s="90" t="str">
        <f t="shared" si="66"/>
        <v/>
      </c>
      <c r="AE119" s="90" t="str">
        <f t="shared" si="67"/>
        <v/>
      </c>
      <c r="AF119" s="90" t="str">
        <f t="shared" si="80"/>
        <v/>
      </c>
      <c r="AG119" s="90" t="str">
        <f t="shared" si="81"/>
        <v/>
      </c>
      <c r="AH119" s="93" t="str">
        <f t="shared" si="82"/>
        <v/>
      </c>
      <c r="AJ119" s="925"/>
      <c r="AK119" s="923" t="s">
        <v>2</v>
      </c>
      <c r="AL119" s="919"/>
      <c r="AM119" s="928" t="e">
        <f>AM118+273.15</f>
        <v>#DIV/0!</v>
      </c>
      <c r="AN119" s="919"/>
      <c r="AO119" s="922" t="s">
        <v>1248</v>
      </c>
      <c r="AP119" s="920"/>
      <c r="AQ119" s="919"/>
      <c r="AR119" s="2687" t="str">
        <f>PMtest4&amp;" (+28C)"</f>
        <v>PM10&amp;2.5 (+28C)</v>
      </c>
      <c r="AS119" s="2688"/>
      <c r="AT119" s="931"/>
    </row>
    <row r="120" spans="1:46" ht="10.5" hidden="1" customHeight="1" outlineLevel="1">
      <c r="A120" s="87" t="str">
        <f>'Flows &amp; Isokinetics'!E54</f>
        <v/>
      </c>
      <c r="B120" s="88" t="str">
        <f>'Flows &amp; Isokinetics'!F54</f>
        <v/>
      </c>
      <c r="C120" s="777" t="str">
        <f>IF(Afterflows!W119="","",Afterflows!W119)</f>
        <v/>
      </c>
      <c r="D120" s="88" t="str">
        <f t="shared" si="68"/>
        <v/>
      </c>
      <c r="E120" s="288" t="str">
        <f>IF(ISNUMBER(C120),IF(ISNUMBER(StackTemp4),StackTemp4,IF(Afterflows!V119="","",Afterflows!V119)),"")</f>
        <v/>
      </c>
      <c r="F120" s="89" t="str">
        <f t="shared" si="69"/>
        <v/>
      </c>
      <c r="G120" s="89" t="str">
        <f t="shared" si="70"/>
        <v/>
      </c>
      <c r="H120" s="89" t="str">
        <f t="shared" si="71"/>
        <v/>
      </c>
      <c r="I120" s="112" t="str">
        <f t="shared" si="72"/>
        <v/>
      </c>
      <c r="J120" s="777" t="str">
        <f>IF(C120="","",Afterflows!G119)</f>
        <v/>
      </c>
      <c r="K120" s="777" t="str">
        <f>IF(E120="","",Afterflows!H119)</f>
        <v/>
      </c>
      <c r="L120" s="118"/>
      <c r="M120" s="97"/>
      <c r="N120" s="114"/>
      <c r="P120" s="87" t="str">
        <f t="shared" si="73"/>
        <v/>
      </c>
      <c r="Q120" s="2071" t="str">
        <f t="shared" si="63"/>
        <v/>
      </c>
      <c r="R120" s="90" t="str">
        <f t="shared" si="61"/>
        <v/>
      </c>
      <c r="S120" s="90" t="str">
        <f>Velocity(PitotID4,PitotCoeff4,Afterflows!AB119,D120,E120,StackTempAvg4,AbsPress4,MolecularWt)</f>
        <v/>
      </c>
      <c r="T120" s="91" t="str">
        <f t="shared" si="74"/>
        <v/>
      </c>
      <c r="U120" s="91" t="str">
        <f t="shared" si="75"/>
        <v/>
      </c>
      <c r="V120" s="91" t="str">
        <f t="shared" si="76"/>
        <v/>
      </c>
      <c r="W120" s="91" t="str">
        <f>IF(ISNUMBER(V120),$H$5+SUM(V$81:V120)/Mratio4,"")</f>
        <v/>
      </c>
      <c r="X120" s="93" t="str">
        <f t="shared" si="77"/>
        <v/>
      </c>
      <c r="Z120" s="902" t="str">
        <f t="shared" si="78"/>
        <v/>
      </c>
      <c r="AA120" s="90" t="str">
        <f t="shared" si="64"/>
        <v/>
      </c>
      <c r="AB120" s="90" t="str">
        <f t="shared" si="79"/>
        <v/>
      </c>
      <c r="AC120" s="90" t="str">
        <f t="shared" si="65"/>
        <v/>
      </c>
      <c r="AD120" s="90" t="str">
        <f t="shared" si="66"/>
        <v/>
      </c>
      <c r="AE120" s="90" t="str">
        <f t="shared" si="67"/>
        <v/>
      </c>
      <c r="AF120" s="90" t="str">
        <f t="shared" si="80"/>
        <v/>
      </c>
      <c r="AG120" s="90" t="str">
        <f t="shared" si="81"/>
        <v/>
      </c>
      <c r="AH120" s="93" t="str">
        <f t="shared" si="82"/>
        <v/>
      </c>
      <c r="AJ120" s="925"/>
      <c r="AK120" s="923" t="s">
        <v>2</v>
      </c>
      <c r="AL120" s="919"/>
      <c r="AM120" s="928" t="e">
        <f>AM118*1.8+32</f>
        <v>#DIV/0!</v>
      </c>
      <c r="AN120" s="919"/>
      <c r="AO120" s="922" t="s">
        <v>1249</v>
      </c>
      <c r="AP120" s="920"/>
      <c r="AQ120" s="923" t="s">
        <v>1263</v>
      </c>
      <c r="AR120" s="929" t="e">
        <f>SelectSR(PMtest4,NozzleKitID4,ViscosityP28C4,AN95,MolecularWt,StackGasPressInHg4)</f>
        <v>#VALUE!</v>
      </c>
      <c r="AS120" s="919" t="e">
        <f>AR120*28.32</f>
        <v>#VALUE!</v>
      </c>
      <c r="AT120" s="930" t="e">
        <f>AS120/1000</f>
        <v>#VALUE!</v>
      </c>
    </row>
    <row r="121" spans="1:46" ht="10.5" hidden="1" customHeight="1" outlineLevel="1">
      <c r="A121" s="87" t="str">
        <f>'Flows &amp; Isokinetics'!E55</f>
        <v/>
      </c>
      <c r="B121" s="88" t="str">
        <f>'Flows &amp; Isokinetics'!F55</f>
        <v/>
      </c>
      <c r="C121" s="777" t="str">
        <f>IF(Afterflows!W120="","",Afterflows!W120)</f>
        <v/>
      </c>
      <c r="D121" s="88" t="str">
        <f t="shared" si="68"/>
        <v/>
      </c>
      <c r="E121" s="288" t="str">
        <f>IF(ISNUMBER(C121),IF(ISNUMBER(StackTemp4),StackTemp4,IF(Afterflows!V120="","",Afterflows!V120)),"")</f>
        <v/>
      </c>
      <c r="F121" s="89" t="str">
        <f t="shared" si="69"/>
        <v/>
      </c>
      <c r="G121" s="89" t="str">
        <f t="shared" si="70"/>
        <v/>
      </c>
      <c r="H121" s="89" t="str">
        <f t="shared" si="71"/>
        <v/>
      </c>
      <c r="I121" s="112" t="str">
        <f t="shared" si="72"/>
        <v/>
      </c>
      <c r="J121" s="777" t="str">
        <f>IF(C121="","",Afterflows!G120)</f>
        <v/>
      </c>
      <c r="K121" s="777" t="str">
        <f>IF(E121="","",Afterflows!H120)</f>
        <v/>
      </c>
      <c r="L121" s="118"/>
      <c r="M121" s="97"/>
      <c r="N121" s="114"/>
      <c r="P121" s="87" t="str">
        <f t="shared" si="73"/>
        <v/>
      </c>
      <c r="Q121" s="2071" t="str">
        <f t="shared" si="63"/>
        <v/>
      </c>
      <c r="R121" s="90" t="str">
        <f t="shared" si="61"/>
        <v/>
      </c>
      <c r="S121" s="90" t="str">
        <f>Velocity(PitotID4,PitotCoeff4,Afterflows!AB120,D121,E121,StackTempAvg4,AbsPress4,MolecularWt)</f>
        <v/>
      </c>
      <c r="T121" s="91" t="str">
        <f t="shared" si="74"/>
        <v/>
      </c>
      <c r="U121" s="91" t="str">
        <f t="shared" si="75"/>
        <v/>
      </c>
      <c r="V121" s="91" t="str">
        <f t="shared" si="76"/>
        <v/>
      </c>
      <c r="W121" s="91" t="str">
        <f>IF(ISNUMBER(V121),$H$5+SUM(V$81:V121)/Mratio4,"")</f>
        <v/>
      </c>
      <c r="X121" s="93" t="str">
        <f t="shared" si="77"/>
        <v/>
      </c>
      <c r="Z121" s="902" t="str">
        <f t="shared" si="78"/>
        <v/>
      </c>
      <c r="AA121" s="90" t="str">
        <f t="shared" si="64"/>
        <v/>
      </c>
      <c r="AB121" s="90" t="str">
        <f t="shared" si="79"/>
        <v/>
      </c>
      <c r="AC121" s="90" t="str">
        <f t="shared" si="65"/>
        <v/>
      </c>
      <c r="AD121" s="90" t="str">
        <f t="shared" si="66"/>
        <v/>
      </c>
      <c r="AE121" s="90" t="str">
        <f t="shared" si="67"/>
        <v/>
      </c>
      <c r="AF121" s="90" t="str">
        <f t="shared" si="80"/>
        <v/>
      </c>
      <c r="AG121" s="90" t="str">
        <f t="shared" si="81"/>
        <v/>
      </c>
      <c r="AH121" s="93" t="str">
        <f t="shared" si="82"/>
        <v/>
      </c>
      <c r="AJ121" s="925"/>
      <c r="AK121" s="923" t="s">
        <v>2</v>
      </c>
      <c r="AL121" s="919"/>
      <c r="AM121" s="936" t="e">
        <f>AM118*1.8+491.67</f>
        <v>#DIV/0!</v>
      </c>
      <c r="AN121" s="919"/>
      <c r="AO121" s="922" t="s">
        <v>1253</v>
      </c>
      <c r="AP121" s="920"/>
      <c r="AQ121" s="923" t="s">
        <v>1262</v>
      </c>
      <c r="AR121" s="919" t="e">
        <f>85.49*PitotCoeff4*(AvgSqrtVelocityHead4)*SQRT(AN95/(StackGasPressInHg4*MolecularWtWet))*PBVF2</f>
        <v>#VALUE!</v>
      </c>
      <c r="AS121" s="919" t="e">
        <f>12.89*PitotCoeff4*(AvgSqrtPa4)*SQRT(AN93/(AbsPress4*MolecularWtWet))*PBVF2</f>
        <v>#VALUE!</v>
      </c>
      <c r="AT121" s="931"/>
    </row>
    <row r="122" spans="1:46" ht="10.5" hidden="1" customHeight="1" outlineLevel="1">
      <c r="A122" s="87" t="str">
        <f>'Flows &amp; Isokinetics'!E56</f>
        <v/>
      </c>
      <c r="B122" s="88" t="str">
        <f>'Flows &amp; Isokinetics'!F56</f>
        <v/>
      </c>
      <c r="C122" s="777" t="str">
        <f>IF(Afterflows!W121="","",Afterflows!W121)</f>
        <v/>
      </c>
      <c r="D122" s="88" t="str">
        <f t="shared" si="68"/>
        <v/>
      </c>
      <c r="E122" s="288" t="str">
        <f>IF(ISNUMBER(C122),IF(ISNUMBER(StackTemp4),StackTemp4,IF(Afterflows!V121="","",Afterflows!V121)),"")</f>
        <v/>
      </c>
      <c r="F122" s="89" t="str">
        <f t="shared" si="69"/>
        <v/>
      </c>
      <c r="G122" s="89" t="str">
        <f t="shared" si="70"/>
        <v/>
      </c>
      <c r="H122" s="89" t="str">
        <f t="shared" si="71"/>
        <v/>
      </c>
      <c r="I122" s="112" t="str">
        <f t="shared" si="72"/>
        <v/>
      </c>
      <c r="J122" s="777" t="str">
        <f>IF(C122="","",Afterflows!G121)</f>
        <v/>
      </c>
      <c r="K122" s="777" t="str">
        <f>IF(E122="","",Afterflows!H121)</f>
        <v/>
      </c>
      <c r="L122" s="118"/>
      <c r="M122" s="97"/>
      <c r="N122" s="114"/>
      <c r="P122" s="87" t="str">
        <f t="shared" si="73"/>
        <v/>
      </c>
      <c r="Q122" s="2071" t="str">
        <f t="shared" si="63"/>
        <v/>
      </c>
      <c r="R122" s="90" t="str">
        <f t="shared" si="61"/>
        <v/>
      </c>
      <c r="S122" s="90" t="str">
        <f>Velocity(PitotID4,PitotCoeff4,Afterflows!AB121,D122,E122,StackTempAvg4,AbsPress4,MolecularWt)</f>
        <v/>
      </c>
      <c r="T122" s="91" t="str">
        <f t="shared" si="74"/>
        <v/>
      </c>
      <c r="U122" s="91" t="str">
        <f t="shared" si="75"/>
        <v/>
      </c>
      <c r="V122" s="91" t="str">
        <f t="shared" si="76"/>
        <v/>
      </c>
      <c r="W122" s="91" t="str">
        <f>IF(ISNUMBER(V122),$H$5+SUM(V$81:V122)/Mratio4,"")</f>
        <v/>
      </c>
      <c r="X122" s="93" t="str">
        <f t="shared" si="77"/>
        <v/>
      </c>
      <c r="Z122" s="902" t="str">
        <f t="shared" si="78"/>
        <v/>
      </c>
      <c r="AA122" s="90" t="str">
        <f t="shared" si="64"/>
        <v/>
      </c>
      <c r="AB122" s="90" t="str">
        <f t="shared" si="79"/>
        <v/>
      </c>
      <c r="AC122" s="90" t="str">
        <f t="shared" si="65"/>
        <v/>
      </c>
      <c r="AD122" s="90" t="str">
        <f t="shared" si="66"/>
        <v/>
      </c>
      <c r="AE122" s="90" t="str">
        <f t="shared" si="67"/>
        <v/>
      </c>
      <c r="AF122" s="90" t="str">
        <f t="shared" si="80"/>
        <v/>
      </c>
      <c r="AG122" s="90" t="str">
        <f t="shared" si="81"/>
        <v/>
      </c>
      <c r="AH122" s="93" t="str">
        <f t="shared" si="82"/>
        <v/>
      </c>
      <c r="AJ122" s="925"/>
      <c r="AK122" s="922"/>
      <c r="AL122" s="919"/>
      <c r="AM122" s="919"/>
      <c r="AN122" s="919"/>
      <c r="AO122" s="922"/>
      <c r="AP122" s="920"/>
      <c r="AQ122" s="923" t="s">
        <v>1258</v>
      </c>
      <c r="AR122" s="919" t="e">
        <f>SQRT((3.056*AR120)/AR121)</f>
        <v>#VALUE!</v>
      </c>
      <c r="AS122" s="919" t="e">
        <f>2*SQRT((QsLmin4/AS121)*(1000000/(PI()*60000)))</f>
        <v>#VALUE!</v>
      </c>
      <c r="AT122" s="931"/>
    </row>
    <row r="123" spans="1:46" ht="10.5" hidden="1" customHeight="1" outlineLevel="1">
      <c r="A123" s="87" t="str">
        <f>'Flows &amp; Isokinetics'!E57</f>
        <v/>
      </c>
      <c r="B123" s="88" t="str">
        <f>'Flows &amp; Isokinetics'!F57</f>
        <v/>
      </c>
      <c r="C123" s="777" t="str">
        <f>IF(Afterflows!W122="","",Afterflows!W122)</f>
        <v/>
      </c>
      <c r="D123" s="88" t="str">
        <f t="shared" si="68"/>
        <v/>
      </c>
      <c r="E123" s="288" t="str">
        <f>IF(ISNUMBER(C123),IF(ISNUMBER(StackTemp4),StackTemp4,IF(Afterflows!V122="","",Afterflows!V122)),"")</f>
        <v/>
      </c>
      <c r="F123" s="89" t="str">
        <f t="shared" si="69"/>
        <v/>
      </c>
      <c r="G123" s="89" t="str">
        <f t="shared" si="70"/>
        <v/>
      </c>
      <c r="H123" s="89" t="str">
        <f t="shared" si="71"/>
        <v/>
      </c>
      <c r="I123" s="112" t="str">
        <f t="shared" si="72"/>
        <v/>
      </c>
      <c r="J123" s="777" t="str">
        <f>IF(C123="","",Afterflows!G122)</f>
        <v/>
      </c>
      <c r="K123" s="777" t="str">
        <f>IF(E123="","",Afterflows!H122)</f>
        <v/>
      </c>
      <c r="L123" s="118"/>
      <c r="M123" s="97"/>
      <c r="N123" s="114"/>
      <c r="P123" s="87" t="str">
        <f t="shared" si="73"/>
        <v/>
      </c>
      <c r="Q123" s="2071" t="str">
        <f t="shared" si="63"/>
        <v/>
      </c>
      <c r="R123" s="90" t="str">
        <f t="shared" si="61"/>
        <v/>
      </c>
      <c r="S123" s="90" t="str">
        <f>Velocity(PitotID4,PitotCoeff4,Afterflows!AB122,D123,E123,StackTempAvg4,AbsPress4,MolecularWt)</f>
        <v/>
      </c>
      <c r="T123" s="91" t="str">
        <f t="shared" si="74"/>
        <v/>
      </c>
      <c r="U123" s="91" t="str">
        <f t="shared" si="75"/>
        <v/>
      </c>
      <c r="V123" s="91" t="str">
        <f t="shared" si="76"/>
        <v/>
      </c>
      <c r="W123" s="91" t="str">
        <f>IF(ISNUMBER(V123),$H$5+SUM(V$81:V123)/Mratio4,"")</f>
        <v/>
      </c>
      <c r="X123" s="93" t="str">
        <f t="shared" si="77"/>
        <v/>
      </c>
      <c r="Z123" s="902" t="str">
        <f t="shared" si="78"/>
        <v/>
      </c>
      <c r="AA123" s="90" t="str">
        <f t="shared" si="64"/>
        <v/>
      </c>
      <c r="AB123" s="90" t="str">
        <f t="shared" si="79"/>
        <v/>
      </c>
      <c r="AC123" s="90" t="str">
        <f t="shared" si="65"/>
        <v/>
      </c>
      <c r="AD123" s="90" t="str">
        <f t="shared" si="66"/>
        <v/>
      </c>
      <c r="AE123" s="90" t="str">
        <f t="shared" si="67"/>
        <v/>
      </c>
      <c r="AF123" s="90" t="str">
        <f t="shared" si="80"/>
        <v/>
      </c>
      <c r="AG123" s="90" t="str">
        <f t="shared" si="81"/>
        <v/>
      </c>
      <c r="AH123" s="93" t="str">
        <f t="shared" si="82"/>
        <v/>
      </c>
      <c r="AJ123" s="925"/>
      <c r="AK123" s="923" t="s">
        <v>1</v>
      </c>
      <c r="AL123" s="919"/>
      <c r="AM123" s="936" t="e">
        <f>IF(ISERROR(AvgSqrtPaAft2),AvgSqrtPa4,AVERAGE(AvgSqrtPa4,AvgSqrtPaAft2))</f>
        <v>#DIV/0!</v>
      </c>
      <c r="AN123" s="919"/>
      <c r="AO123" s="922" t="s">
        <v>1245</v>
      </c>
      <c r="AP123" s="920"/>
      <c r="AQ123" s="920"/>
      <c r="AR123" s="920"/>
      <c r="AS123" s="920"/>
      <c r="AT123" s="921"/>
    </row>
    <row r="124" spans="1:46" ht="10.5" hidden="1" customHeight="1" outlineLevel="1">
      <c r="A124" s="87" t="str">
        <f>'Flows &amp; Isokinetics'!E58</f>
        <v/>
      </c>
      <c r="B124" s="88" t="str">
        <f>'Flows &amp; Isokinetics'!F58</f>
        <v/>
      </c>
      <c r="C124" s="777" t="str">
        <f>IF(Afterflows!W123="","",Afterflows!W123)</f>
        <v/>
      </c>
      <c r="D124" s="88" t="str">
        <f t="shared" si="68"/>
        <v/>
      </c>
      <c r="E124" s="288" t="str">
        <f>IF(ISNUMBER(C124),IF(ISNUMBER(StackTemp4),StackTemp4,IF(Afterflows!V123="","",Afterflows!V123)),"")</f>
        <v/>
      </c>
      <c r="F124" s="89" t="str">
        <f t="shared" si="69"/>
        <v/>
      </c>
      <c r="G124" s="89" t="str">
        <f t="shared" si="70"/>
        <v/>
      </c>
      <c r="H124" s="89" t="str">
        <f t="shared" si="71"/>
        <v/>
      </c>
      <c r="I124" s="112" t="str">
        <f t="shared" si="72"/>
        <v/>
      </c>
      <c r="J124" s="777" t="str">
        <f>IF(C124="","",Afterflows!G123)</f>
        <v/>
      </c>
      <c r="K124" s="777" t="str">
        <f>IF(E124="","",Afterflows!H123)</f>
        <v/>
      </c>
      <c r="L124" s="118"/>
      <c r="M124" s="97"/>
      <c r="N124" s="114"/>
      <c r="P124" s="87" t="str">
        <f t="shared" si="73"/>
        <v/>
      </c>
      <c r="Q124" s="2071" t="str">
        <f t="shared" si="63"/>
        <v/>
      </c>
      <c r="R124" s="90" t="str">
        <f t="shared" si="61"/>
        <v/>
      </c>
      <c r="S124" s="90" t="str">
        <f>Velocity(PitotID4,PitotCoeff4,Afterflows!AB123,D124,E124,StackTempAvg4,AbsPress4,MolecularWt)</f>
        <v/>
      </c>
      <c r="T124" s="91" t="str">
        <f t="shared" si="74"/>
        <v/>
      </c>
      <c r="U124" s="91" t="str">
        <f t="shared" si="75"/>
        <v/>
      </c>
      <c r="V124" s="91" t="str">
        <f t="shared" si="76"/>
        <v/>
      </c>
      <c r="W124" s="91" t="str">
        <f>IF(ISNUMBER(V124),$H$5+SUM(V$81:V124)/Mratio4,"")</f>
        <v/>
      </c>
      <c r="X124" s="93" t="str">
        <f t="shared" si="77"/>
        <v/>
      </c>
      <c r="Z124" s="902" t="str">
        <f t="shared" si="78"/>
        <v/>
      </c>
      <c r="AA124" s="90" t="str">
        <f t="shared" si="64"/>
        <v/>
      </c>
      <c r="AB124" s="90" t="str">
        <f t="shared" si="79"/>
        <v/>
      </c>
      <c r="AC124" s="90" t="str">
        <f t="shared" si="65"/>
        <v/>
      </c>
      <c r="AD124" s="90" t="str">
        <f t="shared" si="66"/>
        <v/>
      </c>
      <c r="AE124" s="90" t="str">
        <f t="shared" si="67"/>
        <v/>
      </c>
      <c r="AF124" s="90" t="str">
        <f t="shared" si="80"/>
        <v/>
      </c>
      <c r="AG124" s="90" t="str">
        <f t="shared" si="81"/>
        <v/>
      </c>
      <c r="AH124" s="93" t="str">
        <f t="shared" si="82"/>
        <v/>
      </c>
      <c r="AJ124" s="925"/>
      <c r="AK124" s="923" t="s">
        <v>1</v>
      </c>
      <c r="AL124" s="919"/>
      <c r="AM124" s="937" t="e">
        <f>0.0633609*AM123</f>
        <v>#DIV/0!</v>
      </c>
      <c r="AN124" s="919"/>
      <c r="AO124" s="922" t="s">
        <v>1259</v>
      </c>
      <c r="AP124" s="920"/>
      <c r="AQ124" s="920"/>
      <c r="AR124" s="920"/>
      <c r="AS124" s="920"/>
      <c r="AT124" s="921"/>
    </row>
    <row r="125" spans="1:46" ht="10.5" hidden="1" customHeight="1" outlineLevel="1">
      <c r="A125" s="87" t="str">
        <f>'Flows &amp; Isokinetics'!E59</f>
        <v/>
      </c>
      <c r="B125" s="88" t="str">
        <f>'Flows &amp; Isokinetics'!F59</f>
        <v/>
      </c>
      <c r="C125" s="777" t="str">
        <f>IF(Afterflows!W124="","",Afterflows!W124)</f>
        <v/>
      </c>
      <c r="D125" s="88" t="str">
        <f t="shared" si="68"/>
        <v/>
      </c>
      <c r="E125" s="288" t="str">
        <f>IF(ISNUMBER(C125),IF(ISNUMBER(StackTemp4),StackTemp4,IF(Afterflows!V124="","",Afterflows!V124)),"")</f>
        <v/>
      </c>
      <c r="F125" s="89" t="str">
        <f t="shared" si="69"/>
        <v/>
      </c>
      <c r="G125" s="89" t="str">
        <f t="shared" si="70"/>
        <v/>
      </c>
      <c r="H125" s="89" t="str">
        <f t="shared" si="71"/>
        <v/>
      </c>
      <c r="I125" s="112" t="str">
        <f t="shared" si="72"/>
        <v/>
      </c>
      <c r="J125" s="777" t="str">
        <f>IF(C125="","",Afterflows!G124)</f>
        <v/>
      </c>
      <c r="K125" s="777" t="str">
        <f>IF(E125="","",Afterflows!H124)</f>
        <v/>
      </c>
      <c r="L125" s="118"/>
      <c r="M125" s="97"/>
      <c r="N125" s="114"/>
      <c r="P125" s="87" t="str">
        <f t="shared" si="73"/>
        <v/>
      </c>
      <c r="Q125" s="2071" t="str">
        <f t="shared" si="63"/>
        <v/>
      </c>
      <c r="R125" s="90" t="str">
        <f t="shared" si="61"/>
        <v/>
      </c>
      <c r="S125" s="90" t="str">
        <f>Velocity(PitotID4,PitotCoeff4,Afterflows!AB124,D125,E125,StackTempAvg4,AbsPress4,MolecularWt)</f>
        <v/>
      </c>
      <c r="T125" s="91" t="str">
        <f t="shared" si="74"/>
        <v/>
      </c>
      <c r="U125" s="91" t="str">
        <f t="shared" si="75"/>
        <v/>
      </c>
      <c r="V125" s="91" t="str">
        <f t="shared" si="76"/>
        <v/>
      </c>
      <c r="W125" s="91" t="str">
        <f>IF(ISNUMBER(V125),$H$5+SUM(V$81:V125)/Mratio4,"")</f>
        <v/>
      </c>
      <c r="X125" s="93" t="str">
        <f t="shared" si="77"/>
        <v/>
      </c>
      <c r="Z125" s="902" t="str">
        <f t="shared" si="78"/>
        <v/>
      </c>
      <c r="AA125" s="90" t="str">
        <f t="shared" si="64"/>
        <v/>
      </c>
      <c r="AB125" s="90" t="str">
        <f t="shared" si="79"/>
        <v/>
      </c>
      <c r="AC125" s="90" t="str">
        <f t="shared" si="65"/>
        <v/>
      </c>
      <c r="AD125" s="90" t="str">
        <f t="shared" si="66"/>
        <v/>
      </c>
      <c r="AE125" s="90" t="str">
        <f t="shared" si="67"/>
        <v/>
      </c>
      <c r="AF125" s="90" t="str">
        <f t="shared" si="80"/>
        <v/>
      </c>
      <c r="AG125" s="90" t="str">
        <f t="shared" si="81"/>
        <v/>
      </c>
      <c r="AH125" s="93" t="str">
        <f t="shared" si="82"/>
        <v/>
      </c>
      <c r="AJ125" s="925"/>
      <c r="AK125" s="922"/>
      <c r="AL125" s="919"/>
      <c r="AM125" s="919"/>
      <c r="AN125" s="919"/>
      <c r="AO125" s="922"/>
      <c r="AP125" s="920"/>
      <c r="AQ125" s="920"/>
      <c r="AR125" s="920"/>
      <c r="AS125" s="940"/>
      <c r="AT125" s="921"/>
    </row>
    <row r="126" spans="1:46" ht="10.5" hidden="1" customHeight="1" outlineLevel="1">
      <c r="A126" s="87" t="str">
        <f>'Flows &amp; Isokinetics'!E60</f>
        <v/>
      </c>
      <c r="B126" s="88" t="str">
        <f>'Flows &amp; Isokinetics'!F60</f>
        <v/>
      </c>
      <c r="C126" s="777" t="str">
        <f>IF(Afterflows!W125="","",Afterflows!W125)</f>
        <v/>
      </c>
      <c r="D126" s="88" t="str">
        <f t="shared" si="68"/>
        <v/>
      </c>
      <c r="E126" s="288" t="str">
        <f>IF(ISNUMBER(C126),IF(ISNUMBER(StackTemp4),StackTemp4,IF(Afterflows!V125="","",Afterflows!V125)),"")</f>
        <v/>
      </c>
      <c r="F126" s="89" t="str">
        <f t="shared" si="69"/>
        <v/>
      </c>
      <c r="G126" s="89" t="str">
        <f t="shared" si="70"/>
        <v/>
      </c>
      <c r="H126" s="89" t="str">
        <f t="shared" si="71"/>
        <v/>
      </c>
      <c r="I126" s="112" t="str">
        <f t="shared" si="72"/>
        <v/>
      </c>
      <c r="J126" s="777" t="str">
        <f>IF(C126="","",Afterflows!G125)</f>
        <v/>
      </c>
      <c r="K126" s="777" t="str">
        <f>IF(E126="","",Afterflows!H125)</f>
        <v/>
      </c>
      <c r="L126" s="118"/>
      <c r="M126" s="97"/>
      <c r="N126" s="114"/>
      <c r="P126" s="87" t="str">
        <f t="shared" si="73"/>
        <v/>
      </c>
      <c r="Q126" s="2071" t="str">
        <f t="shared" si="63"/>
        <v/>
      </c>
      <c r="R126" s="90" t="str">
        <f t="shared" si="61"/>
        <v/>
      </c>
      <c r="S126" s="90" t="str">
        <f>Velocity(PitotID4,PitotCoeff4,Afterflows!AB125,D126,E126,StackTempAvg4,AbsPress4,MolecularWt)</f>
        <v/>
      </c>
      <c r="T126" s="91" t="str">
        <f t="shared" si="74"/>
        <v/>
      </c>
      <c r="U126" s="91" t="str">
        <f t="shared" si="75"/>
        <v/>
      </c>
      <c r="V126" s="91" t="str">
        <f t="shared" si="76"/>
        <v/>
      </c>
      <c r="W126" s="91" t="str">
        <f>IF(ISNUMBER(V126),$H$5+SUM(V$81:V126)/Mratio4,"")</f>
        <v/>
      </c>
      <c r="X126" s="93" t="str">
        <f t="shared" si="77"/>
        <v/>
      </c>
      <c r="Z126" s="902" t="str">
        <f t="shared" si="78"/>
        <v/>
      </c>
      <c r="AA126" s="90" t="str">
        <f t="shared" si="64"/>
        <v/>
      </c>
      <c r="AB126" s="90" t="str">
        <f t="shared" si="79"/>
        <v/>
      </c>
      <c r="AC126" s="90" t="str">
        <f t="shared" si="65"/>
        <v/>
      </c>
      <c r="AD126" s="90" t="str">
        <f t="shared" si="66"/>
        <v/>
      </c>
      <c r="AE126" s="90" t="str">
        <f t="shared" si="67"/>
        <v/>
      </c>
      <c r="AF126" s="90" t="str">
        <f t="shared" si="80"/>
        <v/>
      </c>
      <c r="AG126" s="90" t="str">
        <f t="shared" si="81"/>
        <v/>
      </c>
      <c r="AH126" s="93" t="str">
        <f t="shared" si="82"/>
        <v/>
      </c>
      <c r="AJ126" s="925"/>
      <c r="AK126" s="923" t="s">
        <v>1252</v>
      </c>
      <c r="AL126" s="919"/>
      <c r="AM126" s="937" t="e">
        <f>Details!H69*0.02953</f>
        <v>#DIV/0!</v>
      </c>
      <c r="AN126" s="919"/>
      <c r="AO126" s="922" t="s">
        <v>1250</v>
      </c>
      <c r="AP126" s="920"/>
      <c r="AQ126" s="920"/>
      <c r="AR126" s="920"/>
      <c r="AS126" s="941"/>
      <c r="AT126" s="921"/>
    </row>
    <row r="127" spans="1:46" ht="10.5" hidden="1" customHeight="1" outlineLevel="1">
      <c r="A127" s="87" t="str">
        <f>'Flows &amp; Isokinetics'!E61</f>
        <v/>
      </c>
      <c r="B127" s="88" t="str">
        <f>'Flows &amp; Isokinetics'!F61</f>
        <v/>
      </c>
      <c r="C127" s="777" t="str">
        <f>IF(Afterflows!W126="","",Afterflows!W126)</f>
        <v/>
      </c>
      <c r="D127" s="88" t="str">
        <f t="shared" si="68"/>
        <v/>
      </c>
      <c r="E127" s="288" t="str">
        <f>IF(ISNUMBER(C127),IF(ISNUMBER(StackTemp4),StackTemp4,IF(Afterflows!V126="","",Afterflows!V126)),"")</f>
        <v/>
      </c>
      <c r="F127" s="89" t="str">
        <f t="shared" si="69"/>
        <v/>
      </c>
      <c r="G127" s="89" t="str">
        <f t="shared" si="70"/>
        <v/>
      </c>
      <c r="H127" s="89" t="str">
        <f t="shared" si="71"/>
        <v/>
      </c>
      <c r="I127" s="112" t="str">
        <f t="shared" si="72"/>
        <v/>
      </c>
      <c r="J127" s="777" t="str">
        <f>IF(C127="","",Afterflows!G126)</f>
        <v/>
      </c>
      <c r="K127" s="777" t="str">
        <f>IF(E127="","",Afterflows!H126)</f>
        <v/>
      </c>
      <c r="L127" s="118"/>
      <c r="M127" s="97"/>
      <c r="N127" s="114"/>
      <c r="P127" s="87" t="str">
        <f t="shared" si="73"/>
        <v/>
      </c>
      <c r="Q127" s="2071" t="str">
        <f t="shared" si="63"/>
        <v/>
      </c>
      <c r="R127" s="90" t="str">
        <f t="shared" si="61"/>
        <v/>
      </c>
      <c r="S127" s="90" t="str">
        <f>Velocity(PitotID4,PitotCoeff4,Afterflows!AB126,D127,E127,StackTempAvg4,AbsPress4,MolecularWt)</f>
        <v/>
      </c>
      <c r="T127" s="91" t="str">
        <f t="shared" si="74"/>
        <v/>
      </c>
      <c r="U127" s="91" t="str">
        <f t="shared" si="75"/>
        <v/>
      </c>
      <c r="V127" s="91" t="str">
        <f t="shared" si="76"/>
        <v/>
      </c>
      <c r="W127" s="91" t="str">
        <f>IF(ISNUMBER(V127),$H$5+SUM(V$81:V127)/Mratio4,"")</f>
        <v/>
      </c>
      <c r="X127" s="93" t="str">
        <f t="shared" si="77"/>
        <v/>
      </c>
      <c r="Z127" s="902" t="str">
        <f t="shared" si="78"/>
        <v/>
      </c>
      <c r="AA127" s="90" t="str">
        <f t="shared" si="64"/>
        <v/>
      </c>
      <c r="AB127" s="90" t="str">
        <f t="shared" si="79"/>
        <v/>
      </c>
      <c r="AC127" s="90" t="str">
        <f t="shared" si="65"/>
        <v/>
      </c>
      <c r="AD127" s="90" t="str">
        <f t="shared" si="66"/>
        <v/>
      </c>
      <c r="AE127" s="90" t="str">
        <f t="shared" si="67"/>
        <v/>
      </c>
      <c r="AF127" s="90" t="str">
        <f t="shared" si="80"/>
        <v/>
      </c>
      <c r="AG127" s="90" t="str">
        <f t="shared" si="81"/>
        <v/>
      </c>
      <c r="AH127" s="93" t="str">
        <f t="shared" si="82"/>
        <v/>
      </c>
      <c r="AJ127" s="925"/>
      <c r="AK127" s="923" t="s">
        <v>1252</v>
      </c>
      <c r="AL127" s="919"/>
      <c r="AM127" s="933" t="e">
        <f>Details!H69*0.750062</f>
        <v>#DIV/0!</v>
      </c>
      <c r="AN127" s="919"/>
      <c r="AO127" s="922" t="s">
        <v>1251</v>
      </c>
      <c r="AP127" s="920"/>
      <c r="AQ127" s="920"/>
      <c r="AR127" s="920"/>
      <c r="AS127" s="941"/>
      <c r="AT127" s="921"/>
    </row>
    <row r="128" spans="1:46" ht="10.5" hidden="1" customHeight="1" outlineLevel="1">
      <c r="A128" s="87" t="str">
        <f>'Flows &amp; Isokinetics'!E62</f>
        <v/>
      </c>
      <c r="B128" s="88" t="str">
        <f>'Flows &amp; Isokinetics'!F62</f>
        <v/>
      </c>
      <c r="C128" s="777" t="str">
        <f>IF(Afterflows!W127="","",Afterflows!W127)</f>
        <v/>
      </c>
      <c r="D128" s="88" t="str">
        <f t="shared" si="68"/>
        <v/>
      </c>
      <c r="E128" s="288" t="str">
        <f>IF(ISNUMBER(C128),IF(ISNUMBER(StackTemp4),StackTemp4,IF(Afterflows!V127="","",Afterflows!V127)),"")</f>
        <v/>
      </c>
      <c r="F128" s="89" t="str">
        <f t="shared" si="69"/>
        <v/>
      </c>
      <c r="G128" s="89" t="str">
        <f t="shared" si="70"/>
        <v/>
      </c>
      <c r="H128" s="89" t="str">
        <f t="shared" si="71"/>
        <v/>
      </c>
      <c r="I128" s="112" t="str">
        <f t="shared" si="72"/>
        <v/>
      </c>
      <c r="J128" s="777" t="str">
        <f>IF(C128="","",Afterflows!G127)</f>
        <v/>
      </c>
      <c r="K128" s="777" t="str">
        <f>IF(E128="","",Afterflows!H127)</f>
        <v/>
      </c>
      <c r="L128" s="118"/>
      <c r="M128" s="97"/>
      <c r="N128" s="114"/>
      <c r="P128" s="87" t="str">
        <f t="shared" si="73"/>
        <v/>
      </c>
      <c r="Q128" s="2071" t="str">
        <f t="shared" si="63"/>
        <v/>
      </c>
      <c r="R128" s="90" t="str">
        <f t="shared" si="61"/>
        <v/>
      </c>
      <c r="S128" s="90" t="str">
        <f>Velocity(PitotID4,PitotCoeff4,Afterflows!AB127,D128,E128,StackTempAvg4,AbsPress4,MolecularWt)</f>
        <v/>
      </c>
      <c r="T128" s="91" t="str">
        <f t="shared" si="74"/>
        <v/>
      </c>
      <c r="U128" s="91" t="str">
        <f t="shared" si="75"/>
        <v/>
      </c>
      <c r="V128" s="91" t="str">
        <f t="shared" si="76"/>
        <v/>
      </c>
      <c r="W128" s="91" t="str">
        <f>IF(ISNUMBER(V128),$H$5+SUM(V$81:V128)/Mratio4,"")</f>
        <v/>
      </c>
      <c r="X128" s="93" t="str">
        <f t="shared" si="77"/>
        <v/>
      </c>
      <c r="Z128" s="902" t="str">
        <f t="shared" si="78"/>
        <v/>
      </c>
      <c r="AA128" s="90" t="str">
        <f t="shared" si="64"/>
        <v/>
      </c>
      <c r="AB128" s="90" t="str">
        <f t="shared" si="79"/>
        <v/>
      </c>
      <c r="AC128" s="90" t="str">
        <f t="shared" si="65"/>
        <v/>
      </c>
      <c r="AD128" s="90" t="str">
        <f t="shared" si="66"/>
        <v/>
      </c>
      <c r="AE128" s="90" t="str">
        <f t="shared" si="67"/>
        <v/>
      </c>
      <c r="AF128" s="90" t="str">
        <f t="shared" si="80"/>
        <v/>
      </c>
      <c r="AG128" s="90" t="str">
        <f t="shared" si="81"/>
        <v/>
      </c>
      <c r="AH128" s="93" t="str">
        <f t="shared" si="82"/>
        <v/>
      </c>
      <c r="AJ128" s="939"/>
      <c r="AK128" s="920"/>
      <c r="AL128" s="920"/>
      <c r="AM128" s="920"/>
      <c r="AN128" s="920"/>
      <c r="AO128" s="920"/>
      <c r="AP128" s="920"/>
      <c r="AQ128" s="920"/>
      <c r="AR128" s="920"/>
      <c r="AS128" s="941"/>
      <c r="AT128" s="921"/>
    </row>
    <row r="129" spans="1:46" ht="10.5" hidden="1" customHeight="1" outlineLevel="1">
      <c r="A129" s="87" t="str">
        <f>'Flows &amp; Isokinetics'!E63</f>
        <v/>
      </c>
      <c r="B129" s="88" t="str">
        <f>'Flows &amp; Isokinetics'!F63</f>
        <v/>
      </c>
      <c r="C129" s="777" t="str">
        <f>IF(Afterflows!W128="","",Afterflows!W128)</f>
        <v/>
      </c>
      <c r="D129" s="88" t="str">
        <f t="shared" si="68"/>
        <v/>
      </c>
      <c r="E129" s="288" t="str">
        <f>IF(ISNUMBER(C129),IF(ISNUMBER(StackTemp4),StackTemp4,IF(Afterflows!V128="","",Afterflows!V128)),"")</f>
        <v/>
      </c>
      <c r="F129" s="89" t="str">
        <f t="shared" si="69"/>
        <v/>
      </c>
      <c r="G129" s="89" t="str">
        <f t="shared" si="70"/>
        <v/>
      </c>
      <c r="H129" s="89" t="str">
        <f t="shared" si="71"/>
        <v/>
      </c>
      <c r="I129" s="112" t="str">
        <f t="shared" si="72"/>
        <v/>
      </c>
      <c r="J129" s="777" t="str">
        <f>IF(C129="","",Afterflows!G128)</f>
        <v/>
      </c>
      <c r="K129" s="777" t="str">
        <f>IF(E129="","",Afterflows!H128)</f>
        <v/>
      </c>
      <c r="L129" s="118"/>
      <c r="M129" s="97"/>
      <c r="N129" s="114"/>
      <c r="P129" s="87" t="str">
        <f t="shared" si="73"/>
        <v/>
      </c>
      <c r="Q129" s="2071" t="str">
        <f t="shared" si="63"/>
        <v/>
      </c>
      <c r="R129" s="90" t="str">
        <f t="shared" si="61"/>
        <v/>
      </c>
      <c r="S129" s="90" t="str">
        <f>Velocity(PitotID4,PitotCoeff4,Afterflows!AB128,D129,E129,StackTempAvg4,AbsPress4,MolecularWt)</f>
        <v/>
      </c>
      <c r="T129" s="91" t="str">
        <f t="shared" si="74"/>
        <v/>
      </c>
      <c r="U129" s="91" t="str">
        <f t="shared" si="75"/>
        <v/>
      </c>
      <c r="V129" s="91" t="str">
        <f t="shared" si="76"/>
        <v/>
      </c>
      <c r="W129" s="91" t="str">
        <f>IF(ISNUMBER(V129),$H$5+SUM(V$81:V129)/Mratio4,"")</f>
        <v/>
      </c>
      <c r="X129" s="93" t="str">
        <f t="shared" si="77"/>
        <v/>
      </c>
      <c r="Z129" s="902" t="str">
        <f t="shared" si="78"/>
        <v/>
      </c>
      <c r="AA129" s="90" t="str">
        <f t="shared" si="64"/>
        <v/>
      </c>
      <c r="AB129" s="90" t="str">
        <f t="shared" si="79"/>
        <v/>
      </c>
      <c r="AC129" s="90" t="str">
        <f t="shared" si="65"/>
        <v/>
      </c>
      <c r="AD129" s="90" t="str">
        <f t="shared" si="66"/>
        <v/>
      </c>
      <c r="AE129" s="90" t="str">
        <f t="shared" si="67"/>
        <v/>
      </c>
      <c r="AF129" s="90" t="str">
        <f t="shared" si="80"/>
        <v/>
      </c>
      <c r="AG129" s="90" t="str">
        <f t="shared" si="81"/>
        <v/>
      </c>
      <c r="AH129" s="93" t="str">
        <f t="shared" si="82"/>
        <v/>
      </c>
      <c r="AJ129" s="939"/>
      <c r="AK129" s="920"/>
      <c r="AL129" s="920"/>
      <c r="AM129" s="920"/>
      <c r="AN129" s="920"/>
      <c r="AO129" s="920"/>
      <c r="AP129" s="920"/>
      <c r="AQ129" s="920"/>
      <c r="AR129" s="920"/>
      <c r="AS129" s="941"/>
      <c r="AT129" s="921"/>
    </row>
    <row r="130" spans="1:46" ht="10.5" hidden="1" customHeight="1" outlineLevel="1">
      <c r="A130" s="87" t="str">
        <f>'Flows &amp; Isokinetics'!E64</f>
        <v/>
      </c>
      <c r="B130" s="88" t="str">
        <f>'Flows &amp; Isokinetics'!F64</f>
        <v/>
      </c>
      <c r="C130" s="777" t="str">
        <f>IF(Afterflows!W129="","",Afterflows!W129)</f>
        <v/>
      </c>
      <c r="D130" s="88" t="str">
        <f t="shared" si="68"/>
        <v/>
      </c>
      <c r="E130" s="288" t="str">
        <f>IF(ISNUMBER(C130),IF(ISNUMBER(StackTemp4),StackTemp4,IF(Afterflows!V129="","",Afterflows!V129)),"")</f>
        <v/>
      </c>
      <c r="F130" s="89" t="str">
        <f t="shared" si="69"/>
        <v/>
      </c>
      <c r="G130" s="89" t="str">
        <f t="shared" si="70"/>
        <v/>
      </c>
      <c r="H130" s="89" t="str">
        <f t="shared" si="71"/>
        <v/>
      </c>
      <c r="I130" s="112" t="str">
        <f t="shared" si="72"/>
        <v/>
      </c>
      <c r="J130" s="777" t="str">
        <f>IF(C130="","",Afterflows!G129)</f>
        <v/>
      </c>
      <c r="K130" s="777" t="str">
        <f>IF(E130="","",Afterflows!H129)</f>
        <v/>
      </c>
      <c r="L130" s="118"/>
      <c r="M130" s="97"/>
      <c r="N130" s="114"/>
      <c r="P130" s="87" t="str">
        <f t="shared" si="73"/>
        <v/>
      </c>
      <c r="Q130" s="2071" t="str">
        <f t="shared" si="63"/>
        <v/>
      </c>
      <c r="R130" s="90" t="str">
        <f t="shared" si="61"/>
        <v/>
      </c>
      <c r="S130" s="90" t="str">
        <f>Velocity(PitotID4,PitotCoeff4,Afterflows!AB129,D130,E130,StackTempAvg4,AbsPress4,MolecularWt)</f>
        <v/>
      </c>
      <c r="T130" s="91" t="str">
        <f t="shared" si="74"/>
        <v/>
      </c>
      <c r="U130" s="91" t="str">
        <f t="shared" si="75"/>
        <v/>
      </c>
      <c r="V130" s="91" t="str">
        <f t="shared" si="76"/>
        <v/>
      </c>
      <c r="W130" s="91" t="str">
        <f>IF(ISNUMBER(V130),$H$5+SUM(V$81:V130)/Mratio4,"")</f>
        <v/>
      </c>
      <c r="X130" s="93" t="str">
        <f t="shared" si="77"/>
        <v/>
      </c>
      <c r="Z130" s="902" t="str">
        <f t="shared" si="78"/>
        <v/>
      </c>
      <c r="AA130" s="90" t="str">
        <f t="shared" si="64"/>
        <v/>
      </c>
      <c r="AB130" s="90" t="str">
        <f t="shared" si="79"/>
        <v/>
      </c>
      <c r="AC130" s="90" t="str">
        <f t="shared" si="65"/>
        <v/>
      </c>
      <c r="AD130" s="90" t="str">
        <f t="shared" si="66"/>
        <v/>
      </c>
      <c r="AE130" s="90" t="str">
        <f t="shared" si="67"/>
        <v/>
      </c>
      <c r="AF130" s="90" t="str">
        <f t="shared" si="80"/>
        <v/>
      </c>
      <c r="AG130" s="90" t="str">
        <f t="shared" si="81"/>
        <v/>
      </c>
      <c r="AH130" s="93" t="str">
        <f t="shared" si="82"/>
        <v/>
      </c>
      <c r="AJ130" s="939"/>
      <c r="AK130" s="920"/>
      <c r="AL130" s="920"/>
      <c r="AM130" s="920"/>
      <c r="AN130" s="920"/>
      <c r="AO130" s="920"/>
      <c r="AP130" s="920"/>
      <c r="AQ130" s="920"/>
      <c r="AR130" s="920"/>
      <c r="AS130" s="942"/>
      <c r="AT130" s="921"/>
    </row>
    <row r="131" spans="1:46" ht="10.5" hidden="1" customHeight="1" outlineLevel="1">
      <c r="A131" s="87" t="str">
        <f>'Flows &amp; Isokinetics'!E65</f>
        <v/>
      </c>
      <c r="B131" s="88" t="str">
        <f>'Flows &amp; Isokinetics'!F65</f>
        <v/>
      </c>
      <c r="C131" s="777" t="str">
        <f>IF(Afterflows!W130="","",Afterflows!W130)</f>
        <v/>
      </c>
      <c r="D131" s="88" t="str">
        <f t="shared" si="68"/>
        <v/>
      </c>
      <c r="E131" s="288" t="str">
        <f>IF(ISNUMBER(C131),IF(ISNUMBER(StackTemp4),StackTemp4,IF(Afterflows!V130="","",Afterflows!V130)),"")</f>
        <v/>
      </c>
      <c r="F131" s="89" t="str">
        <f t="shared" si="69"/>
        <v/>
      </c>
      <c r="G131" s="89" t="str">
        <f t="shared" si="70"/>
        <v/>
      </c>
      <c r="H131" s="89" t="str">
        <f t="shared" si="71"/>
        <v/>
      </c>
      <c r="I131" s="112" t="str">
        <f t="shared" si="72"/>
        <v/>
      </c>
      <c r="J131" s="777" t="str">
        <f>IF(C131="","",Afterflows!G130)</f>
        <v/>
      </c>
      <c r="K131" s="777" t="str">
        <f>IF(E131="","",Afterflows!H130)</f>
        <v/>
      </c>
      <c r="L131" s="118"/>
      <c r="M131" s="97"/>
      <c r="N131" s="114"/>
      <c r="P131" s="87" t="str">
        <f t="shared" si="73"/>
        <v/>
      </c>
      <c r="Q131" s="2071" t="str">
        <f t="shared" si="63"/>
        <v/>
      </c>
      <c r="R131" s="90" t="str">
        <f t="shared" si="61"/>
        <v/>
      </c>
      <c r="S131" s="90" t="str">
        <f>Velocity(PitotID4,PitotCoeff4,Afterflows!AB130,D131,E131,StackTempAvg4,AbsPress4,MolecularWt)</f>
        <v/>
      </c>
      <c r="T131" s="91" t="str">
        <f t="shared" si="74"/>
        <v/>
      </c>
      <c r="U131" s="91" t="str">
        <f t="shared" si="75"/>
        <v/>
      </c>
      <c r="V131" s="91" t="str">
        <f t="shared" si="76"/>
        <v/>
      </c>
      <c r="W131" s="91" t="str">
        <f>IF(ISNUMBER(V131),$H$5+SUM(V$81:V131)/Mratio4,"")</f>
        <v/>
      </c>
      <c r="X131" s="93" t="str">
        <f t="shared" si="77"/>
        <v/>
      </c>
      <c r="Z131" s="902" t="str">
        <f t="shared" si="78"/>
        <v/>
      </c>
      <c r="AA131" s="90" t="str">
        <f t="shared" si="64"/>
        <v/>
      </c>
      <c r="AB131" s="90" t="str">
        <f t="shared" si="79"/>
        <v/>
      </c>
      <c r="AC131" s="90" t="str">
        <f t="shared" si="65"/>
        <v/>
      </c>
      <c r="AD131" s="90" t="str">
        <f t="shared" si="66"/>
        <v/>
      </c>
      <c r="AE131" s="90" t="str">
        <f t="shared" si="67"/>
        <v/>
      </c>
      <c r="AF131" s="90" t="str">
        <f t="shared" si="80"/>
        <v/>
      </c>
      <c r="AG131" s="90" t="str">
        <f t="shared" si="81"/>
        <v/>
      </c>
      <c r="AH131" s="93" t="str">
        <f t="shared" si="82"/>
        <v/>
      </c>
      <c r="AJ131" s="939"/>
      <c r="AK131" s="920"/>
      <c r="AL131" s="920"/>
      <c r="AM131" s="920"/>
      <c r="AN131" s="920"/>
      <c r="AO131" s="920"/>
      <c r="AP131" s="920"/>
      <c r="AQ131" s="920"/>
      <c r="AR131" s="920"/>
      <c r="AS131" s="941"/>
      <c r="AT131" s="921"/>
    </row>
    <row r="132" spans="1:46" ht="10.5" hidden="1" customHeight="1" outlineLevel="1">
      <c r="A132" s="87" t="str">
        <f>'Flows &amp; Isokinetics'!E66</f>
        <v/>
      </c>
      <c r="B132" s="88" t="str">
        <f>'Flows &amp; Isokinetics'!F66</f>
        <v/>
      </c>
      <c r="C132" s="777" t="str">
        <f>IF(Afterflows!W131="","",Afterflows!W131)</f>
        <v/>
      </c>
      <c r="D132" s="88" t="str">
        <f t="shared" si="68"/>
        <v/>
      </c>
      <c r="E132" s="288" t="str">
        <f>IF(ISNUMBER(C132),IF(ISNUMBER(StackTemp4),StackTemp4,IF(Afterflows!V131="","",Afterflows!V131)),"")</f>
        <v/>
      </c>
      <c r="F132" s="89" t="str">
        <f t="shared" si="69"/>
        <v/>
      </c>
      <c r="G132" s="89" t="str">
        <f t="shared" si="70"/>
        <v/>
      </c>
      <c r="H132" s="89" t="str">
        <f t="shared" si="71"/>
        <v/>
      </c>
      <c r="I132" s="112" t="str">
        <f t="shared" si="72"/>
        <v/>
      </c>
      <c r="J132" s="777" t="str">
        <f>IF(C132="","",Afterflows!G131)</f>
        <v/>
      </c>
      <c r="K132" s="777" t="str">
        <f>IF(E132="","",Afterflows!H131)</f>
        <v/>
      </c>
      <c r="L132" s="118"/>
      <c r="M132" s="97"/>
      <c r="N132" s="114"/>
      <c r="P132" s="87" t="str">
        <f t="shared" si="73"/>
        <v/>
      </c>
      <c r="Q132" s="2071" t="str">
        <f t="shared" si="63"/>
        <v/>
      </c>
      <c r="R132" s="90" t="str">
        <f t="shared" si="61"/>
        <v/>
      </c>
      <c r="S132" s="90" t="str">
        <f>Velocity(PitotID4,PitotCoeff4,Afterflows!AB131,D132,E132,StackTempAvg4,AbsPress4,MolecularWt)</f>
        <v/>
      </c>
      <c r="T132" s="91" t="str">
        <f t="shared" si="74"/>
        <v/>
      </c>
      <c r="U132" s="91" t="str">
        <f t="shared" si="75"/>
        <v/>
      </c>
      <c r="V132" s="91" t="str">
        <f t="shared" si="76"/>
        <v/>
      </c>
      <c r="W132" s="91" t="str">
        <f>IF(ISNUMBER(V132),$H$5+SUM(V$81:V132)/Mratio4,"")</f>
        <v/>
      </c>
      <c r="X132" s="93" t="str">
        <f t="shared" si="77"/>
        <v/>
      </c>
      <c r="Z132" s="902" t="str">
        <f t="shared" si="78"/>
        <v/>
      </c>
      <c r="AA132" s="90" t="str">
        <f t="shared" si="64"/>
        <v/>
      </c>
      <c r="AB132" s="90" t="str">
        <f t="shared" si="79"/>
        <v/>
      </c>
      <c r="AC132" s="90" t="str">
        <f t="shared" si="65"/>
        <v/>
      </c>
      <c r="AD132" s="90" t="str">
        <f t="shared" si="66"/>
        <v/>
      </c>
      <c r="AE132" s="90" t="str">
        <f t="shared" si="67"/>
        <v/>
      </c>
      <c r="AF132" s="90" t="str">
        <f t="shared" si="80"/>
        <v/>
      </c>
      <c r="AG132" s="90" t="str">
        <f t="shared" si="81"/>
        <v/>
      </c>
      <c r="AH132" s="93" t="str">
        <f t="shared" si="82"/>
        <v/>
      </c>
      <c r="AJ132" s="939"/>
      <c r="AK132" s="920"/>
      <c r="AL132" s="920"/>
      <c r="AM132" s="920"/>
      <c r="AN132" s="920"/>
      <c r="AO132" s="920"/>
      <c r="AP132" s="920"/>
      <c r="AQ132" s="920"/>
      <c r="AR132" s="920"/>
      <c r="AS132" s="942"/>
      <c r="AT132" s="921"/>
    </row>
    <row r="133" spans="1:46" ht="10.5" hidden="1" customHeight="1" outlineLevel="1">
      <c r="A133" s="87" t="str">
        <f>'Flows &amp; Isokinetics'!E67</f>
        <v/>
      </c>
      <c r="B133" s="88" t="str">
        <f>'Flows &amp; Isokinetics'!F67</f>
        <v/>
      </c>
      <c r="C133" s="777" t="str">
        <f>IF(Afterflows!W132="","",Afterflows!W132)</f>
        <v/>
      </c>
      <c r="D133" s="88" t="str">
        <f t="shared" si="68"/>
        <v/>
      </c>
      <c r="E133" s="288" t="str">
        <f>IF(ISNUMBER(C133),IF(ISNUMBER(StackTemp4),StackTemp4,IF(Afterflows!V132="","",Afterflows!V132)),"")</f>
        <v/>
      </c>
      <c r="F133" s="89" t="str">
        <f t="shared" si="69"/>
        <v/>
      </c>
      <c r="G133" s="89" t="str">
        <f t="shared" si="70"/>
        <v/>
      </c>
      <c r="H133" s="89" t="str">
        <f t="shared" si="71"/>
        <v/>
      </c>
      <c r="I133" s="112" t="str">
        <f t="shared" si="72"/>
        <v/>
      </c>
      <c r="J133" s="777" t="str">
        <f>IF(C133="","",Afterflows!G132)</f>
        <v/>
      </c>
      <c r="K133" s="777" t="str">
        <f>IF(E133="","",Afterflows!H132)</f>
        <v/>
      </c>
      <c r="L133" s="118"/>
      <c r="M133" s="97"/>
      <c r="N133" s="114"/>
      <c r="P133" s="87" t="str">
        <f t="shared" si="73"/>
        <v/>
      </c>
      <c r="Q133" s="2071" t="str">
        <f t="shared" si="63"/>
        <v/>
      </c>
      <c r="R133" s="90" t="str">
        <f t="shared" si="61"/>
        <v/>
      </c>
      <c r="S133" s="90" t="str">
        <f>Velocity(PitotID4,PitotCoeff4,Afterflows!AB132,D133,E133,StackTempAvg4,AbsPress4,MolecularWt)</f>
        <v/>
      </c>
      <c r="T133" s="91" t="str">
        <f t="shared" si="74"/>
        <v/>
      </c>
      <c r="U133" s="91" t="str">
        <f t="shared" si="75"/>
        <v/>
      </c>
      <c r="V133" s="91" t="str">
        <f t="shared" si="76"/>
        <v/>
      </c>
      <c r="W133" s="91" t="str">
        <f>IF(ISNUMBER(V133),$H$5+SUM(V$81:V133)/Mratio4,"")</f>
        <v/>
      </c>
      <c r="X133" s="93" t="str">
        <f t="shared" si="77"/>
        <v/>
      </c>
      <c r="Z133" s="902" t="str">
        <f t="shared" si="78"/>
        <v/>
      </c>
      <c r="AA133" s="90" t="str">
        <f t="shared" si="64"/>
        <v/>
      </c>
      <c r="AB133" s="90" t="str">
        <f t="shared" si="79"/>
        <v/>
      </c>
      <c r="AC133" s="90" t="str">
        <f t="shared" si="65"/>
        <v/>
      </c>
      <c r="AD133" s="90" t="str">
        <f t="shared" si="66"/>
        <v/>
      </c>
      <c r="AE133" s="90" t="str">
        <f t="shared" si="67"/>
        <v/>
      </c>
      <c r="AF133" s="90" t="str">
        <f t="shared" si="80"/>
        <v/>
      </c>
      <c r="AG133" s="90" t="str">
        <f t="shared" si="81"/>
        <v/>
      </c>
      <c r="AH133" s="93" t="str">
        <f t="shared" si="82"/>
        <v/>
      </c>
      <c r="AJ133" s="939"/>
      <c r="AK133" s="920"/>
      <c r="AL133" s="920"/>
      <c r="AM133" s="920"/>
      <c r="AN133" s="920"/>
      <c r="AO133" s="920"/>
      <c r="AP133" s="920"/>
      <c r="AQ133" s="920"/>
      <c r="AR133" s="920"/>
      <c r="AS133" s="942"/>
      <c r="AT133" s="921"/>
    </row>
    <row r="134" spans="1:46" ht="10.5" hidden="1" customHeight="1" outlineLevel="1">
      <c r="A134" s="87" t="str">
        <f>'Flows &amp; Isokinetics'!E68</f>
        <v/>
      </c>
      <c r="B134" s="88" t="str">
        <f>'Flows &amp; Isokinetics'!F68</f>
        <v/>
      </c>
      <c r="C134" s="777" t="str">
        <f>IF(Afterflows!W133="","",Afterflows!W133)</f>
        <v/>
      </c>
      <c r="D134" s="88" t="str">
        <f t="shared" si="68"/>
        <v/>
      </c>
      <c r="E134" s="288" t="str">
        <f>IF(ISNUMBER(C134),IF(ISNUMBER(StackTemp4),StackTemp4,IF(Afterflows!V133="","",Afterflows!V133)),"")</f>
        <v/>
      </c>
      <c r="F134" s="89" t="str">
        <f t="shared" si="44"/>
        <v/>
      </c>
      <c r="G134" s="89" t="str">
        <f t="shared" si="45"/>
        <v/>
      </c>
      <c r="H134" s="89" t="str">
        <f t="shared" si="46"/>
        <v/>
      </c>
      <c r="I134" s="112" t="str">
        <f t="shared" si="72"/>
        <v/>
      </c>
      <c r="J134" s="777" t="str">
        <f>IF(C134="","",Afterflows!G133)</f>
        <v/>
      </c>
      <c r="K134" s="777" t="str">
        <f>IF(E134="","",Afterflows!H133)</f>
        <v/>
      </c>
      <c r="L134" s="118"/>
      <c r="M134" s="97"/>
      <c r="N134" s="114"/>
      <c r="P134" s="87" t="str">
        <f t="shared" si="73"/>
        <v/>
      </c>
      <c r="Q134" s="2071" t="str">
        <f t="shared" si="63"/>
        <v/>
      </c>
      <c r="R134" s="90" t="str">
        <f t="shared" si="61"/>
        <v/>
      </c>
      <c r="S134" s="90" t="str">
        <f>Velocity(PitotID4,PitotCoeff4,Afterflows!AB133,D134,E134,StackTempAvg4,AbsPress4,MolecularWt)</f>
        <v/>
      </c>
      <c r="T134" s="91" t="str">
        <f t="shared" si="74"/>
        <v/>
      </c>
      <c r="U134" s="91" t="str">
        <f t="shared" si="75"/>
        <v/>
      </c>
      <c r="V134" s="91" t="str">
        <f t="shared" si="76"/>
        <v/>
      </c>
      <c r="W134" s="91" t="str">
        <f>IF(ISNUMBER(V134),$H$5+SUM(V$81:V134)/Mratio4,"")</f>
        <v/>
      </c>
      <c r="X134" s="93" t="str">
        <f t="shared" si="77"/>
        <v/>
      </c>
      <c r="Z134" s="902" t="str">
        <f t="shared" si="78"/>
        <v/>
      </c>
      <c r="AA134" s="90" t="str">
        <f t="shared" si="64"/>
        <v/>
      </c>
      <c r="AB134" s="90" t="str">
        <f t="shared" si="79"/>
        <v/>
      </c>
      <c r="AC134" s="90" t="str">
        <f t="shared" si="65"/>
        <v/>
      </c>
      <c r="AD134" s="90" t="str">
        <f t="shared" si="66"/>
        <v/>
      </c>
      <c r="AE134" s="90" t="str">
        <f t="shared" si="67"/>
        <v/>
      </c>
      <c r="AF134" s="90" t="str">
        <f t="shared" si="80"/>
        <v/>
      </c>
      <c r="AG134" s="90" t="str">
        <f t="shared" si="81"/>
        <v/>
      </c>
      <c r="AH134" s="93" t="str">
        <f t="shared" si="82"/>
        <v/>
      </c>
      <c r="AJ134" s="939"/>
      <c r="AK134" s="920"/>
      <c r="AL134" s="920"/>
      <c r="AM134" s="920"/>
      <c r="AN134" s="920"/>
      <c r="AO134" s="920"/>
      <c r="AP134" s="920"/>
      <c r="AQ134" s="920"/>
      <c r="AR134" s="920"/>
      <c r="AS134" s="942"/>
      <c r="AT134" s="921"/>
    </row>
    <row r="135" spans="1:46" ht="10.5" hidden="1" customHeight="1" outlineLevel="1">
      <c r="A135" s="87" t="str">
        <f>'Flows &amp; Isokinetics'!E69</f>
        <v/>
      </c>
      <c r="B135" s="88" t="str">
        <f>'Flows &amp; Isokinetics'!F69</f>
        <v/>
      </c>
      <c r="C135" s="777" t="str">
        <f>IF(Afterflows!W134="","",Afterflows!W134)</f>
        <v/>
      </c>
      <c r="D135" s="88" t="str">
        <f t="shared" si="68"/>
        <v/>
      </c>
      <c r="E135" s="288" t="str">
        <f>IF(ISNUMBER(C135),IF(ISNUMBER(StackTemp4),StackTemp4,IF(Afterflows!V134="","",Afterflows!V134)),"")</f>
        <v/>
      </c>
      <c r="F135" s="89" t="str">
        <f t="shared" si="44"/>
        <v/>
      </c>
      <c r="G135" s="89" t="str">
        <f t="shared" si="45"/>
        <v/>
      </c>
      <c r="H135" s="89" t="str">
        <f t="shared" si="46"/>
        <v/>
      </c>
      <c r="I135" s="112" t="str">
        <f t="shared" si="72"/>
        <v/>
      </c>
      <c r="J135" s="777" t="str">
        <f>IF(C135="","",Afterflows!G134)</f>
        <v/>
      </c>
      <c r="K135" s="777" t="str">
        <f>IF(E135="","",Afterflows!H134)</f>
        <v/>
      </c>
      <c r="L135" s="118"/>
      <c r="M135" s="97"/>
      <c r="N135" s="114"/>
      <c r="P135" s="87" t="str">
        <f t="shared" si="73"/>
        <v/>
      </c>
      <c r="Q135" s="2071" t="str">
        <f t="shared" si="63"/>
        <v/>
      </c>
      <c r="R135" s="90" t="str">
        <f t="shared" si="61"/>
        <v/>
      </c>
      <c r="S135" s="90" t="str">
        <f>Velocity(PitotID4,PitotCoeff4,Afterflows!AB134,D135,E135,StackTempAvg4,AbsPress4,MolecularWt)</f>
        <v/>
      </c>
      <c r="T135" s="91" t="str">
        <f t="shared" si="74"/>
        <v/>
      </c>
      <c r="U135" s="91" t="str">
        <f t="shared" si="75"/>
        <v/>
      </c>
      <c r="V135" s="91" t="str">
        <f t="shared" si="76"/>
        <v/>
      </c>
      <c r="W135" s="91" t="str">
        <f>IF(ISNUMBER(V135),$H$5+SUM(V$81:V135)/Mratio4,"")</f>
        <v/>
      </c>
      <c r="X135" s="93" t="str">
        <f t="shared" si="77"/>
        <v/>
      </c>
      <c r="Z135" s="902" t="str">
        <f t="shared" si="78"/>
        <v/>
      </c>
      <c r="AA135" s="90" t="str">
        <f t="shared" si="64"/>
        <v/>
      </c>
      <c r="AB135" s="90" t="str">
        <f t="shared" si="79"/>
        <v/>
      </c>
      <c r="AC135" s="90" t="str">
        <f t="shared" si="65"/>
        <v/>
      </c>
      <c r="AD135" s="90" t="str">
        <f t="shared" si="66"/>
        <v/>
      </c>
      <c r="AE135" s="90" t="str">
        <f t="shared" si="67"/>
        <v/>
      </c>
      <c r="AF135" s="90" t="str">
        <f t="shared" si="80"/>
        <v/>
      </c>
      <c r="AG135" s="90" t="str">
        <f t="shared" si="81"/>
        <v/>
      </c>
      <c r="AH135" s="93" t="str">
        <f t="shared" si="82"/>
        <v/>
      </c>
      <c r="AJ135" s="939"/>
      <c r="AK135" s="920"/>
      <c r="AL135" s="920"/>
      <c r="AM135" s="920"/>
      <c r="AN135" s="920"/>
      <c r="AO135" s="920"/>
      <c r="AP135" s="920"/>
      <c r="AQ135" s="920"/>
      <c r="AR135" s="920"/>
      <c r="AS135" s="942"/>
      <c r="AT135" s="921"/>
    </row>
    <row r="136" spans="1:46" ht="10.5" hidden="1" customHeight="1" outlineLevel="1">
      <c r="A136" s="87" t="str">
        <f>'Flows &amp; Isokinetics'!E70</f>
        <v/>
      </c>
      <c r="B136" s="88" t="str">
        <f>'Flows &amp; Isokinetics'!F70</f>
        <v/>
      </c>
      <c r="C136" s="777" t="str">
        <f>IF(Afterflows!W135="","",Afterflows!W135)</f>
        <v/>
      </c>
      <c r="D136" s="88" t="str">
        <f t="shared" si="68"/>
        <v/>
      </c>
      <c r="E136" s="288" t="str">
        <f>IF(ISNUMBER(C136),IF(ISNUMBER(StackTemp4),StackTemp4,IF(Afterflows!V135="","",Afterflows!V135)),"")</f>
        <v/>
      </c>
      <c r="F136" s="89" t="str">
        <f t="shared" si="44"/>
        <v/>
      </c>
      <c r="G136" s="89" t="str">
        <f t="shared" si="45"/>
        <v/>
      </c>
      <c r="H136" s="89" t="str">
        <f t="shared" si="46"/>
        <v/>
      </c>
      <c r="I136" s="112" t="str">
        <f t="shared" si="72"/>
        <v/>
      </c>
      <c r="J136" s="777" t="str">
        <f>IF(C136="","",Afterflows!G135)</f>
        <v/>
      </c>
      <c r="K136" s="777" t="str">
        <f>IF(E136="","",Afterflows!H135)</f>
        <v/>
      </c>
      <c r="L136" s="118"/>
      <c r="M136" s="97"/>
      <c r="N136" s="114"/>
      <c r="P136" s="87" t="str">
        <f t="shared" si="73"/>
        <v/>
      </c>
      <c r="Q136" s="2071" t="str">
        <f t="shared" si="63"/>
        <v/>
      </c>
      <c r="R136" s="90" t="str">
        <f t="shared" si="61"/>
        <v/>
      </c>
      <c r="S136" s="90" t="str">
        <f>Velocity(PitotID4,PitotCoeff4,Afterflows!AB135,D136,E136,StackTempAvg4,AbsPress4,MolecularWt)</f>
        <v/>
      </c>
      <c r="T136" s="91" t="str">
        <f t="shared" si="74"/>
        <v/>
      </c>
      <c r="U136" s="91" t="str">
        <f t="shared" si="75"/>
        <v/>
      </c>
      <c r="V136" s="91" t="str">
        <f t="shared" si="76"/>
        <v/>
      </c>
      <c r="W136" s="91" t="str">
        <f>IF(ISNUMBER(V136),$H$5+SUM(V$81:V136)/Mratio4,"")</f>
        <v/>
      </c>
      <c r="X136" s="93" t="str">
        <f t="shared" si="77"/>
        <v/>
      </c>
      <c r="Z136" s="902" t="str">
        <f t="shared" si="78"/>
        <v/>
      </c>
      <c r="AA136" s="90" t="str">
        <f t="shared" si="64"/>
        <v/>
      </c>
      <c r="AB136" s="90" t="str">
        <f t="shared" si="79"/>
        <v/>
      </c>
      <c r="AC136" s="90" t="str">
        <f t="shared" si="65"/>
        <v/>
      </c>
      <c r="AD136" s="90" t="str">
        <f t="shared" si="66"/>
        <v/>
      </c>
      <c r="AE136" s="90" t="str">
        <f t="shared" si="67"/>
        <v/>
      </c>
      <c r="AF136" s="90" t="str">
        <f t="shared" si="80"/>
        <v/>
      </c>
      <c r="AG136" s="90" t="str">
        <f t="shared" si="81"/>
        <v/>
      </c>
      <c r="AH136" s="93" t="str">
        <f t="shared" si="82"/>
        <v/>
      </c>
      <c r="AJ136" s="939"/>
      <c r="AK136" s="920"/>
      <c r="AL136" s="920"/>
      <c r="AM136" s="920"/>
      <c r="AN136" s="920"/>
      <c r="AO136" s="920"/>
      <c r="AP136" s="920"/>
      <c r="AQ136" s="920"/>
      <c r="AR136" s="920"/>
      <c r="AS136" s="942"/>
      <c r="AT136" s="921"/>
    </row>
    <row r="137" spans="1:46" ht="10.5" hidden="1" customHeight="1" outlineLevel="1">
      <c r="A137" s="87" t="str">
        <f>'Flows &amp; Isokinetics'!E71</f>
        <v/>
      </c>
      <c r="B137" s="88" t="str">
        <f>'Flows &amp; Isokinetics'!F71</f>
        <v/>
      </c>
      <c r="C137" s="777" t="str">
        <f>IF(Afterflows!W136="","",Afterflows!W136)</f>
        <v/>
      </c>
      <c r="D137" s="88" t="str">
        <f t="shared" si="68"/>
        <v/>
      </c>
      <c r="E137" s="288" t="str">
        <f>IF(ISNUMBER(C137),IF(ISNUMBER(StackTemp4),StackTemp4,IF(Afterflows!V136="","",Afterflows!V136)),"")</f>
        <v/>
      </c>
      <c r="F137" s="89" t="str">
        <f t="shared" si="44"/>
        <v/>
      </c>
      <c r="G137" s="89" t="str">
        <f t="shared" si="45"/>
        <v/>
      </c>
      <c r="H137" s="89" t="str">
        <f t="shared" si="46"/>
        <v/>
      </c>
      <c r="I137" s="112" t="str">
        <f t="shared" si="72"/>
        <v/>
      </c>
      <c r="J137" s="777" t="str">
        <f>IF(C137="","",Afterflows!G136)</f>
        <v/>
      </c>
      <c r="K137" s="777" t="str">
        <f>IF(E137="","",Afterflows!H136)</f>
        <v/>
      </c>
      <c r="L137" s="118"/>
      <c r="M137" s="97"/>
      <c r="N137" s="114"/>
      <c r="P137" s="87" t="str">
        <f t="shared" si="73"/>
        <v/>
      </c>
      <c r="Q137" s="2071" t="str">
        <f t="shared" si="63"/>
        <v/>
      </c>
      <c r="R137" s="90" t="str">
        <f t="shared" si="61"/>
        <v/>
      </c>
      <c r="S137" s="90" t="str">
        <f>Velocity(PitotID4,PitotCoeff4,Afterflows!AB136,D137,E137,StackTempAvg4,AbsPress4,MolecularWt)</f>
        <v/>
      </c>
      <c r="T137" s="91" t="str">
        <f t="shared" si="74"/>
        <v/>
      </c>
      <c r="U137" s="91" t="str">
        <f t="shared" si="75"/>
        <v/>
      </c>
      <c r="V137" s="91" t="str">
        <f t="shared" si="76"/>
        <v/>
      </c>
      <c r="W137" s="91" t="str">
        <f>IF(ISNUMBER(V137),$H$5+SUM(V$81:V137)/Mratio4,"")</f>
        <v/>
      </c>
      <c r="X137" s="93" t="str">
        <f t="shared" si="77"/>
        <v/>
      </c>
      <c r="Z137" s="902" t="str">
        <f t="shared" si="78"/>
        <v/>
      </c>
      <c r="AA137" s="90" t="str">
        <f t="shared" si="54"/>
        <v/>
      </c>
      <c r="AB137" s="90" t="str">
        <f t="shared" si="79"/>
        <v/>
      </c>
      <c r="AC137" s="90" t="str">
        <f t="shared" si="56"/>
        <v/>
      </c>
      <c r="AD137" s="90" t="str">
        <f t="shared" si="62"/>
        <v/>
      </c>
      <c r="AE137" s="90" t="str">
        <f t="shared" si="57"/>
        <v/>
      </c>
      <c r="AF137" s="90" t="str">
        <f t="shared" si="80"/>
        <v/>
      </c>
      <c r="AG137" s="90" t="str">
        <f t="shared" si="81"/>
        <v/>
      </c>
      <c r="AH137" s="93" t="str">
        <f t="shared" si="82"/>
        <v/>
      </c>
      <c r="AJ137" s="939"/>
      <c r="AK137" s="920"/>
      <c r="AL137" s="920"/>
      <c r="AM137" s="920"/>
      <c r="AN137" s="920"/>
      <c r="AO137" s="920"/>
      <c r="AP137" s="920"/>
      <c r="AQ137" s="920"/>
      <c r="AR137" s="920"/>
      <c r="AS137" s="942"/>
      <c r="AT137" s="921"/>
    </row>
    <row r="138" spans="1:46" ht="10.5" hidden="1" customHeight="1" outlineLevel="1">
      <c r="A138" s="87" t="str">
        <f>'Flows &amp; Isokinetics'!E72</f>
        <v/>
      </c>
      <c r="B138" s="88" t="str">
        <f>'Flows &amp; Isokinetics'!F72</f>
        <v/>
      </c>
      <c r="C138" s="777" t="str">
        <f>IF(Afterflows!W137="","",Afterflows!W137)</f>
        <v/>
      </c>
      <c r="D138" s="88" t="str">
        <f t="shared" si="68"/>
        <v/>
      </c>
      <c r="E138" s="288" t="str">
        <f>IF(ISNUMBER(C138),IF(ISNUMBER(StackTemp4),StackTemp4,IF(Afterflows!V137="","",Afterflows!V137)),"")</f>
        <v/>
      </c>
      <c r="F138" s="89" t="str">
        <f t="shared" si="44"/>
        <v/>
      </c>
      <c r="G138" s="89" t="str">
        <f t="shared" si="45"/>
        <v/>
      </c>
      <c r="H138" s="89" t="str">
        <f t="shared" si="46"/>
        <v/>
      </c>
      <c r="I138" s="112" t="str">
        <f t="shared" si="72"/>
        <v/>
      </c>
      <c r="J138" s="777" t="str">
        <f>IF(C138="","",Afterflows!G137)</f>
        <v/>
      </c>
      <c r="K138" s="777" t="str">
        <f>IF(E138="","",Afterflows!H137)</f>
        <v/>
      </c>
      <c r="L138" s="118"/>
      <c r="M138" s="97"/>
      <c r="N138" s="114"/>
      <c r="P138" s="87" t="str">
        <f t="shared" si="73"/>
        <v/>
      </c>
      <c r="Q138" s="2071" t="str">
        <f t="shared" si="63"/>
        <v/>
      </c>
      <c r="R138" s="90" t="str">
        <f t="shared" si="61"/>
        <v/>
      </c>
      <c r="S138" s="90" t="str">
        <f>Velocity(PitotID4,PitotCoeff4,Afterflows!AB137,D138,E138,StackTempAvg4,AbsPress4,MolecularWt)</f>
        <v/>
      </c>
      <c r="T138" s="91" t="str">
        <f t="shared" si="74"/>
        <v/>
      </c>
      <c r="U138" s="91" t="str">
        <f t="shared" si="75"/>
        <v/>
      </c>
      <c r="V138" s="91" t="str">
        <f t="shared" si="76"/>
        <v/>
      </c>
      <c r="W138" s="91" t="str">
        <f>IF(ISNUMBER(V138),$H$5+SUM(V$81:V138)/Mratio4,"")</f>
        <v/>
      </c>
      <c r="X138" s="93" t="str">
        <f t="shared" si="77"/>
        <v/>
      </c>
      <c r="Z138" s="902" t="str">
        <f t="shared" si="78"/>
        <v/>
      </c>
      <c r="AA138" s="90" t="str">
        <f t="shared" si="54"/>
        <v/>
      </c>
      <c r="AB138" s="90" t="str">
        <f t="shared" si="79"/>
        <v/>
      </c>
      <c r="AC138" s="90" t="str">
        <f t="shared" si="56"/>
        <v/>
      </c>
      <c r="AD138" s="90" t="str">
        <f t="shared" si="62"/>
        <v/>
      </c>
      <c r="AE138" s="90" t="str">
        <f t="shared" si="57"/>
        <v/>
      </c>
      <c r="AF138" s="90" t="str">
        <f t="shared" si="80"/>
        <v/>
      </c>
      <c r="AG138" s="90" t="str">
        <f t="shared" si="81"/>
        <v/>
      </c>
      <c r="AH138" s="93" t="str">
        <f t="shared" si="82"/>
        <v/>
      </c>
      <c r="AJ138" s="939"/>
      <c r="AK138" s="920"/>
      <c r="AL138" s="920"/>
      <c r="AM138" s="920"/>
      <c r="AN138" s="920"/>
      <c r="AO138" s="920"/>
      <c r="AP138" s="920"/>
      <c r="AQ138" s="920"/>
      <c r="AR138" s="920"/>
      <c r="AS138" s="942"/>
      <c r="AT138" s="921"/>
    </row>
    <row r="139" spans="1:46" ht="10.5" hidden="1" customHeight="1" outlineLevel="1">
      <c r="A139" s="87" t="str">
        <f>'Flows &amp; Isokinetics'!E73</f>
        <v/>
      </c>
      <c r="B139" s="88" t="str">
        <f>'Flows &amp; Isokinetics'!F73</f>
        <v/>
      </c>
      <c r="C139" s="777" t="str">
        <f>IF(Afterflows!W138="","",Afterflows!W138)</f>
        <v/>
      </c>
      <c r="D139" s="88" t="str">
        <f t="shared" si="68"/>
        <v/>
      </c>
      <c r="E139" s="288" t="str">
        <f>IF(ISNUMBER(C139),IF(ISNUMBER(StackTemp4),StackTemp4,IF(Afterflows!V138="","",Afterflows!V138)),"")</f>
        <v/>
      </c>
      <c r="F139" s="89" t="str">
        <f t="shared" si="44"/>
        <v/>
      </c>
      <c r="G139" s="89" t="str">
        <f t="shared" si="45"/>
        <v/>
      </c>
      <c r="H139" s="89" t="str">
        <f t="shared" si="46"/>
        <v/>
      </c>
      <c r="I139" s="112" t="str">
        <f t="shared" si="72"/>
        <v/>
      </c>
      <c r="J139" s="777" t="str">
        <f>IF(C139="","",Afterflows!G138)</f>
        <v/>
      </c>
      <c r="K139" s="777" t="str">
        <f>IF(E139="","",Afterflows!H138)</f>
        <v/>
      </c>
      <c r="L139" s="118"/>
      <c r="M139" s="97"/>
      <c r="N139" s="114"/>
      <c r="P139" s="87" t="str">
        <f t="shared" si="73"/>
        <v/>
      </c>
      <c r="Q139" s="2071" t="str">
        <f t="shared" si="63"/>
        <v/>
      </c>
      <c r="R139" s="90" t="str">
        <f t="shared" si="61"/>
        <v/>
      </c>
      <c r="S139" s="90" t="str">
        <f>Velocity(PitotID4,PitotCoeff4,Afterflows!AB138,D139,E139,StackTempAvg4,AbsPress4,MolecularWt)</f>
        <v/>
      </c>
      <c r="T139" s="91" t="str">
        <f t="shared" si="74"/>
        <v/>
      </c>
      <c r="U139" s="91" t="str">
        <f t="shared" si="75"/>
        <v/>
      </c>
      <c r="V139" s="91" t="str">
        <f t="shared" si="76"/>
        <v/>
      </c>
      <c r="W139" s="91" t="str">
        <f>IF(ISNUMBER(V139),$H$5+SUM(V$81:V139)/Mratio4,"")</f>
        <v/>
      </c>
      <c r="X139" s="93" t="str">
        <f t="shared" si="77"/>
        <v/>
      </c>
      <c r="Z139" s="902" t="str">
        <f t="shared" si="78"/>
        <v/>
      </c>
      <c r="AA139" s="90" t="str">
        <f t="shared" si="54"/>
        <v/>
      </c>
      <c r="AB139" s="90" t="str">
        <f t="shared" si="79"/>
        <v/>
      </c>
      <c r="AC139" s="90" t="str">
        <f t="shared" si="56"/>
        <v/>
      </c>
      <c r="AD139" s="90" t="str">
        <f t="shared" si="62"/>
        <v/>
      </c>
      <c r="AE139" s="90" t="str">
        <f t="shared" si="57"/>
        <v/>
      </c>
      <c r="AF139" s="90" t="str">
        <f t="shared" si="80"/>
        <v/>
      </c>
      <c r="AG139" s="90" t="str">
        <f t="shared" si="81"/>
        <v/>
      </c>
      <c r="AH139" s="93" t="str">
        <f t="shared" si="82"/>
        <v/>
      </c>
      <c r="AJ139" s="939"/>
      <c r="AK139" s="920"/>
      <c r="AL139" s="920"/>
      <c r="AM139" s="920"/>
      <c r="AN139" s="920"/>
      <c r="AO139" s="920"/>
      <c r="AP139" s="920"/>
      <c r="AQ139" s="920"/>
      <c r="AR139" s="920"/>
      <c r="AS139" s="942"/>
      <c r="AT139" s="921"/>
    </row>
    <row r="140" spans="1:46" ht="10.5" hidden="1" customHeight="1" outlineLevel="1">
      <c r="A140" s="222" t="str">
        <f>'Flows &amp; Isokinetics'!E74</f>
        <v/>
      </c>
      <c r="B140" s="88" t="str">
        <f>'Flows &amp; Isokinetics'!F74</f>
        <v/>
      </c>
      <c r="C140" s="777" t="str">
        <f>IF(Afterflows!W139="","",Afterflows!W139)</f>
        <v/>
      </c>
      <c r="D140" s="88" t="str">
        <f t="shared" si="68"/>
        <v/>
      </c>
      <c r="E140" s="288" t="str">
        <f>IF(ISNUMBER(C140),IF(ISNUMBER(StackTemp4),StackTemp4,IF(Afterflows!V139="","",Afterflows!V139)),"")</f>
        <v/>
      </c>
      <c r="F140" s="89" t="str">
        <f t="shared" si="44"/>
        <v/>
      </c>
      <c r="G140" s="89" t="str">
        <f t="shared" si="45"/>
        <v/>
      </c>
      <c r="H140" s="89" t="str">
        <f t="shared" si="46"/>
        <v/>
      </c>
      <c r="I140" s="112" t="str">
        <f t="shared" si="72"/>
        <v/>
      </c>
      <c r="J140" s="777" t="str">
        <f>IF(C140="","",Afterflows!G139)</f>
        <v/>
      </c>
      <c r="K140" s="777" t="str">
        <f>IF(E140="","",Afterflows!H139)</f>
        <v/>
      </c>
      <c r="L140" s="118"/>
      <c r="M140" s="97"/>
      <c r="N140" s="114"/>
      <c r="P140" s="87" t="str">
        <f t="shared" si="73"/>
        <v/>
      </c>
      <c r="Q140" s="2071" t="str">
        <f t="shared" si="63"/>
        <v/>
      </c>
      <c r="R140" s="90" t="str">
        <f t="shared" si="61"/>
        <v/>
      </c>
      <c r="S140" s="90" t="str">
        <f>Velocity(PitotID4,PitotCoeff4,Afterflows!AB139,D140,E140,StackTempAvg4,AbsPress4,MolecularWt)</f>
        <v/>
      </c>
      <c r="T140" s="91" t="str">
        <f t="shared" si="74"/>
        <v/>
      </c>
      <c r="U140" s="91" t="str">
        <f t="shared" si="75"/>
        <v/>
      </c>
      <c r="V140" s="91" t="str">
        <f t="shared" si="76"/>
        <v/>
      </c>
      <c r="W140" s="91" t="str">
        <f>IF(ISNUMBER(V140),$H$5+SUM(V$81:V140)/Mratio4,"")</f>
        <v/>
      </c>
      <c r="X140" s="93" t="str">
        <f t="shared" si="77"/>
        <v/>
      </c>
      <c r="Z140" s="902" t="str">
        <f t="shared" si="78"/>
        <v/>
      </c>
      <c r="AA140" s="90" t="str">
        <f t="shared" si="54"/>
        <v/>
      </c>
      <c r="AB140" s="90" t="str">
        <f t="shared" si="79"/>
        <v/>
      </c>
      <c r="AC140" s="90" t="str">
        <f t="shared" si="56"/>
        <v/>
      </c>
      <c r="AD140" s="90" t="str">
        <f t="shared" si="62"/>
        <v/>
      </c>
      <c r="AE140" s="90" t="str">
        <f t="shared" si="57"/>
        <v/>
      </c>
      <c r="AF140" s="90" t="str">
        <f t="shared" si="80"/>
        <v/>
      </c>
      <c r="AG140" s="90" t="str">
        <f t="shared" si="81"/>
        <v/>
      </c>
      <c r="AH140" s="93" t="str">
        <f t="shared" si="82"/>
        <v/>
      </c>
      <c r="AJ140" s="939"/>
      <c r="AK140" s="920"/>
      <c r="AL140" s="920"/>
      <c r="AM140" s="920"/>
      <c r="AN140" s="920"/>
      <c r="AO140" s="920"/>
      <c r="AP140" s="920"/>
      <c r="AQ140" s="920"/>
      <c r="AR140" s="920"/>
      <c r="AS140" s="942"/>
      <c r="AT140" s="921"/>
    </row>
    <row r="141" spans="1:46" ht="10.5" customHeight="1" collapsed="1">
      <c r="A141" s="94"/>
      <c r="B141" s="83"/>
      <c r="C141" s="95" t="str">
        <f>C80</f>
        <v>(Pa)</v>
      </c>
      <c r="D141" s="95"/>
      <c r="E141" s="95" t="str">
        <f t="shared" ref="E141:K141" si="83">E79</f>
        <v>Stack (°C)</v>
      </c>
      <c r="F141" s="95" t="str">
        <f t="shared" si="83"/>
        <v>Meter (°C)</v>
      </c>
      <c r="G141" s="95" t="str">
        <f t="shared" si="83"/>
        <v>Meter (kPa)</v>
      </c>
      <c r="H141" s="95" t="str">
        <f t="shared" si="83"/>
        <v>Nozzle (mm)</v>
      </c>
      <c r="I141" s="95" t="str">
        <f t="shared" si="83"/>
        <v>Dwell Time</v>
      </c>
      <c r="J141" s="95" t="str">
        <f t="shared" si="83"/>
        <v>Yaw (°)</v>
      </c>
      <c r="K141" s="95" t="str">
        <f t="shared" si="83"/>
        <v>Pitch (°)</v>
      </c>
      <c r="L141" s="95"/>
      <c r="M141" s="95"/>
      <c r="N141" s="120"/>
      <c r="P141" s="902"/>
      <c r="Q141" s="903"/>
      <c r="R141" s="904" t="str">
        <f>R80</f>
        <v>Sqrt(Pa)</v>
      </c>
      <c r="S141" s="904" t="str">
        <f>S80</f>
        <v>Velocity</v>
      </c>
      <c r="T141" s="903" t="s">
        <v>269</v>
      </c>
      <c r="U141" s="904" t="s">
        <v>270</v>
      </c>
      <c r="V141" s="904" t="s">
        <v>1453</v>
      </c>
      <c r="W141" s="904" t="str">
        <f>NTPSTP&amp;" Vol"</f>
        <v>STP Vol</v>
      </c>
      <c r="X141" s="898" t="s">
        <v>844</v>
      </c>
      <c r="Z141" s="902"/>
      <c r="AA141" s="904" t="str">
        <f>AA80</f>
        <v>Ideal</v>
      </c>
      <c r="AB141" s="904" t="str">
        <f t="shared" ref="AB141:AH141" si="84">AB80</f>
        <v>Actual</v>
      </c>
      <c r="AC141" s="904" t="str">
        <f t="shared" si="84"/>
        <v>Ideal</v>
      </c>
      <c r="AD141" s="904" t="str">
        <f>AD80</f>
        <v>Predicted</v>
      </c>
      <c r="AE141" s="904" t="str">
        <f t="shared" si="84"/>
        <v>Actual</v>
      </c>
      <c r="AF141" s="904" t="str">
        <f t="shared" si="84"/>
        <v>Predicted</v>
      </c>
      <c r="AG141" s="904" t="str">
        <f t="shared" si="84"/>
        <v>Actual</v>
      </c>
      <c r="AH141" s="911" t="str">
        <f t="shared" si="84"/>
        <v>Dwell Adj</v>
      </c>
      <c r="AJ141" s="939"/>
      <c r="AK141" s="920"/>
      <c r="AL141" s="920"/>
      <c r="AM141" s="920"/>
      <c r="AN141" s="920"/>
      <c r="AO141" s="920"/>
      <c r="AP141" s="920"/>
      <c r="AQ141" s="920"/>
      <c r="AR141" s="920"/>
      <c r="AS141" s="942"/>
      <c r="AT141" s="921"/>
    </row>
    <row r="142" spans="1:46" ht="10.5" customHeight="1">
      <c r="A142" s="94"/>
      <c r="B142" s="83" t="s">
        <v>1460</v>
      </c>
      <c r="C142" s="97" t="e">
        <f>AVERAGE(C81:C140)</f>
        <v>#DIV/0!</v>
      </c>
      <c r="D142" s="97"/>
      <c r="E142" s="82" t="e">
        <f t="shared" ref="E142:K142" si="85">AVERAGE(E81:E140)</f>
        <v>#DIV/0!</v>
      </c>
      <c r="F142" s="82" t="e">
        <f t="shared" si="85"/>
        <v>#DIV/0!</v>
      </c>
      <c r="G142" s="82" t="e">
        <f t="shared" si="85"/>
        <v>#DIV/0!</v>
      </c>
      <c r="H142" s="82" t="e">
        <f t="shared" si="85"/>
        <v>#DIV/0!</v>
      </c>
      <c r="I142" s="96" t="e">
        <f t="shared" si="85"/>
        <v>#DIV/0!</v>
      </c>
      <c r="J142" s="97" t="e">
        <f t="shared" si="85"/>
        <v>#DIV/0!</v>
      </c>
      <c r="K142" s="97" t="e">
        <f t="shared" si="85"/>
        <v>#DIV/0!</v>
      </c>
      <c r="L142" s="96"/>
      <c r="M142" s="97"/>
      <c r="N142" s="98"/>
      <c r="P142" s="897" t="s">
        <v>1279</v>
      </c>
      <c r="Q142" s="905"/>
      <c r="R142" s="96" t="e">
        <f>AVERAGE(R81:R140)</f>
        <v>#DIV/0!</v>
      </c>
      <c r="S142" s="96" t="e">
        <f>AVERAGE(S81:S140)</f>
        <v>#DIV/0!</v>
      </c>
      <c r="T142" s="906" t="e">
        <f>AVERAGE(T81:T140)</f>
        <v>#DIV/0!</v>
      </c>
      <c r="U142" s="906" t="e">
        <f>AVERAGE(U81:U140)</f>
        <v>#DIV/0!</v>
      </c>
      <c r="V142" s="96"/>
      <c r="W142" s="96"/>
      <c r="X142" s="907" t="e">
        <f>AVERAGE(X81:X140)</f>
        <v>#DIV/0!</v>
      </c>
      <c r="Z142" s="897" t="s">
        <v>1279</v>
      </c>
      <c r="AA142" s="96" t="e">
        <f>AVERAGE(AA81:AA140)</f>
        <v>#DIV/0!</v>
      </c>
      <c r="AB142" s="96" t="e">
        <f t="shared" ref="AB142:AH142" si="86">AVERAGE(AB81:AB140)</f>
        <v>#DIV/0!</v>
      </c>
      <c r="AC142" s="96" t="e">
        <f t="shared" si="86"/>
        <v>#DIV/0!</v>
      </c>
      <c r="AD142" s="96" t="e">
        <f>AVERAGE(AD81:AD140)</f>
        <v>#DIV/0!</v>
      </c>
      <c r="AE142" s="96" t="e">
        <f t="shared" si="86"/>
        <v>#DIV/0!</v>
      </c>
      <c r="AF142" s="96" t="e">
        <f t="shared" si="86"/>
        <v>#DIV/0!</v>
      </c>
      <c r="AG142" s="96" t="e">
        <f t="shared" si="86"/>
        <v>#DIV/0!</v>
      </c>
      <c r="AH142" s="907" t="e">
        <f t="shared" si="86"/>
        <v>#DIV/0!</v>
      </c>
      <c r="AJ142" s="939"/>
      <c r="AK142" s="920"/>
      <c r="AL142" s="920"/>
      <c r="AM142" s="920"/>
      <c r="AN142" s="920"/>
      <c r="AO142" s="920"/>
      <c r="AP142" s="920"/>
      <c r="AQ142" s="920"/>
      <c r="AR142" s="920"/>
      <c r="AS142" s="941"/>
      <c r="AT142" s="921"/>
    </row>
    <row r="143" spans="1:46" ht="10.5" customHeight="1" thickBot="1">
      <c r="A143" s="99"/>
      <c r="B143" s="100"/>
      <c r="C143" s="103" t="str">
        <f>IF(ISERROR(C142),"",IF(C142&lt;FlowDL4,"&lt;",""))</f>
        <v/>
      </c>
      <c r="D143" s="103"/>
      <c r="E143" s="101" t="e">
        <f>E142+273.15</f>
        <v>#DIV/0!</v>
      </c>
      <c r="F143" s="101"/>
      <c r="G143" s="101"/>
      <c r="H143" s="101"/>
      <c r="I143" s="104">
        <f>SUM(I81:I140)</f>
        <v>0</v>
      </c>
      <c r="J143" s="101"/>
      <c r="K143" s="101"/>
      <c r="L143" s="101"/>
      <c r="M143" s="101"/>
      <c r="N143" s="102"/>
      <c r="P143" s="900" t="s">
        <v>1452</v>
      </c>
      <c r="Q143" s="908"/>
      <c r="R143" s="104"/>
      <c r="S143" s="105"/>
      <c r="T143" s="908"/>
      <c r="U143" s="103"/>
      <c r="V143" s="103">
        <f>SUM(V81:V140)</f>
        <v>0</v>
      </c>
      <c r="W143" s="103" t="e">
        <f>VolumePreMeter4*(TVC+273.15)/(MeterTemp4+273.15)*(BaroPress4+MeterPress4*10)/1013.25</f>
        <v>#VALUE!</v>
      </c>
      <c r="X143" s="909"/>
      <c r="Z143" s="900"/>
      <c r="AA143" s="105"/>
      <c r="AB143" s="104"/>
      <c r="AC143" s="105"/>
      <c r="AD143" s="105"/>
      <c r="AE143" s="104"/>
      <c r="AF143" s="105"/>
      <c r="AG143" s="104"/>
      <c r="AH143" s="106"/>
      <c r="AJ143" s="943"/>
      <c r="AK143" s="944"/>
      <c r="AL143" s="944"/>
      <c r="AM143" s="944"/>
      <c r="AN143" s="944"/>
      <c r="AO143" s="944"/>
      <c r="AP143" s="944"/>
      <c r="AQ143" s="944"/>
      <c r="AR143" s="944"/>
      <c r="AS143" s="944"/>
      <c r="AT143" s="945"/>
    </row>
    <row r="144" spans="1:46" ht="10.5" customHeight="1">
      <c r="A144" s="220" t="s">
        <v>41</v>
      </c>
      <c r="B144" s="220" t="s">
        <v>41</v>
      </c>
      <c r="C144" s="220" t="s">
        <v>41</v>
      </c>
      <c r="D144" s="220"/>
      <c r="E144" s="220" t="s">
        <v>41</v>
      </c>
      <c r="F144" s="220" t="s">
        <v>41</v>
      </c>
      <c r="G144" s="220" t="s">
        <v>41</v>
      </c>
      <c r="H144" s="220" t="s">
        <v>41</v>
      </c>
      <c r="I144" s="220" t="s">
        <v>41</v>
      </c>
      <c r="J144" s="220"/>
      <c r="K144" s="220"/>
      <c r="L144" s="220" t="s">
        <v>41</v>
      </c>
      <c r="M144" s="220" t="s">
        <v>41</v>
      </c>
      <c r="N144" s="220" t="s">
        <v>41</v>
      </c>
    </row>
    <row r="145" spans="5:12" ht="10.5" customHeight="1">
      <c r="E145" s="201" t="s">
        <v>1198</v>
      </c>
      <c r="F145" s="267"/>
      <c r="I145" s="201" t="s">
        <v>1199</v>
      </c>
      <c r="J145" s="673"/>
      <c r="K145" s="673"/>
      <c r="L145" s="202"/>
    </row>
    <row r="146" spans="5:12" ht="10.5" customHeight="1">
      <c r="E146" s="2597"/>
      <c r="F146" s="2598"/>
      <c r="I146" s="2597"/>
      <c r="J146" s="2676"/>
      <c r="K146" s="2676"/>
      <c r="L146" s="2598"/>
    </row>
    <row r="147" spans="5:12" ht="10.5" customHeight="1">
      <c r="E147" s="2599"/>
      <c r="F147" s="2600"/>
      <c r="I147" s="2599"/>
      <c r="J147" s="2677"/>
      <c r="K147" s="2677"/>
      <c r="L147" s="2600"/>
    </row>
  </sheetData>
  <sheetProtection sheet="1"/>
  <mergeCells count="23">
    <mergeCell ref="AR112:AS112"/>
    <mergeCell ref="AR119:AS119"/>
    <mergeCell ref="AR80:AS80"/>
    <mergeCell ref="A1:B1"/>
    <mergeCell ref="I1:K1"/>
    <mergeCell ref="AA13:AB13"/>
    <mergeCell ref="AC13:AE13"/>
    <mergeCell ref="I9:K9"/>
    <mergeCell ref="I2:K2"/>
    <mergeCell ref="AQ94:AT94"/>
    <mergeCell ref="AQ28:AT28"/>
    <mergeCell ref="AR14:AS14"/>
    <mergeCell ref="AR18:AS18"/>
    <mergeCell ref="AR53:AS53"/>
    <mergeCell ref="AR46:AS46"/>
    <mergeCell ref="AR84:AS84"/>
    <mergeCell ref="E146:F147"/>
    <mergeCell ref="I146:L147"/>
    <mergeCell ref="AA79:AB79"/>
    <mergeCell ref="AC79:AE79"/>
    <mergeCell ref="I3:K3"/>
    <mergeCell ref="I8:K8"/>
    <mergeCell ref="F11:H11"/>
  </mergeCells>
  <phoneticPr fontId="0" type="noConversion"/>
  <conditionalFormatting sqref="C15:C74 C81:C140">
    <cfRule type="cellIs" dxfId="165" priority="2" stopIfTrue="1" operator="notBetween">
      <formula>$N$24</formula>
      <formula>$N$25</formula>
    </cfRule>
  </conditionalFormatting>
  <dataValidations count="5">
    <dataValidation type="list" allowBlank="1" showInputMessage="1" showErrorMessage="1" sqref="G3:H3">
      <formula1>MeterKit</formula1>
    </dataValidation>
    <dataValidation type="list" allowBlank="1" showInputMessage="1" showErrorMessage="1" sqref="G4:H4">
      <formula1>NozzleKitList</formula1>
    </dataValidation>
    <dataValidation type="list" allowBlank="1" showInputMessage="1" showErrorMessage="1" sqref="C6:E6">
      <formula1>PitotList</formula1>
    </dataValidation>
    <dataValidation type="list" allowBlank="1" showInputMessage="1" showErrorMessage="1" sqref="L8:M8">
      <formula1>PMlist</formula1>
    </dataValidation>
    <dataValidation type="list" allowBlank="1" showInputMessage="1" showErrorMessage="1" sqref="N8">
      <formula1>ProbeArea</formula1>
    </dataValidation>
  </dataValidations>
  <printOptions horizontalCentered="1"/>
  <pageMargins left="0.19685039370078741" right="0.19685039370078741" top="0.62992125984251968" bottom="0.39370078740157483" header="0.31496062992125984" footer="0.19685039370078741"/>
  <pageSetup paperSize="9" orientation="portrait" horizontalDpi="300" verticalDpi="300"/>
  <headerFooter alignWithMargins="0">
    <oddHeader>&amp;C&amp;"MS Sans Serif,Bold"&amp;16&amp;A</oddHeader>
    <oddFooter>&amp;L&amp;8&amp;Z&amp;F&amp;R&amp;8&amp;D  &amp;T</oddFooter>
  </headerFooter>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enableFormatConditionsCalculation="0"/>
  <dimension ref="A1:K100"/>
  <sheetViews>
    <sheetView workbookViewId="0">
      <selection activeCell="A5" sqref="A5"/>
    </sheetView>
  </sheetViews>
  <sheetFormatPr baseColWidth="10" defaultColWidth="8.7109375" defaultRowHeight="13" x14ac:dyDescent="0"/>
  <cols>
    <col min="1" max="1" width="30.42578125" style="2319" customWidth="1"/>
    <col min="2" max="2" width="27.140625" style="2319" customWidth="1"/>
    <col min="3" max="3" width="17.85546875" style="2319" customWidth="1"/>
    <col min="4" max="4" width="19.42578125" style="2319" customWidth="1"/>
    <col min="5" max="5" width="15.7109375" style="2319" customWidth="1"/>
    <col min="6" max="16384" width="8.7109375" style="2319"/>
  </cols>
  <sheetData>
    <row r="1" spans="1:11" ht="16">
      <c r="B1" s="2327" t="s">
        <v>1343</v>
      </c>
      <c r="C1" s="2700" t="str">
        <f>IF(Client="","",Client)</f>
        <v/>
      </c>
      <c r="D1" s="2700"/>
      <c r="F1" s="2319" t="str">
        <f>IF(COUNTIF(D16,"Incomplete")=0,"","SHEET INCOMPLETE")</f>
        <v/>
      </c>
    </row>
    <row r="2" spans="1:11" ht="16">
      <c r="A2" s="2319" t="str">
        <f>IF(AND(NonIsoCheck=TRUE,OR(D16="",'Non-Isokinetic'!D30="",'Non-Isokinetic'!D44="",'Non-Isokinetic'!D58="",'Non-Isokinetic'!D72="",'Non-Isokinetic'!D86="")),"SHEET INCOMPLETE","SHEET COMPLETE")</f>
        <v>SHEET COMPLETE</v>
      </c>
      <c r="B2" s="2327" t="s">
        <v>1204</v>
      </c>
      <c r="C2" s="2700" t="str">
        <f>IF(StackID="","",StackID)</f>
        <v/>
      </c>
      <c r="D2" s="2700"/>
    </row>
    <row r="3" spans="1:11" ht="16">
      <c r="B3" s="2327" t="s">
        <v>1196</v>
      </c>
      <c r="C3" s="2700" t="str">
        <f>IF(Date="","",Date)</f>
        <v/>
      </c>
      <c r="D3" s="2700"/>
    </row>
    <row r="4" spans="1:11" ht="17" thickBot="1">
      <c r="A4" s="2320" t="s">
        <v>2104</v>
      </c>
      <c r="B4" s="2321"/>
      <c r="C4" s="2321"/>
      <c r="D4" s="2321"/>
      <c r="F4" s="2320" t="s">
        <v>2113</v>
      </c>
    </row>
    <row r="5" spans="1:11" ht="16">
      <c r="A5" s="2293"/>
      <c r="B5" s="2294"/>
      <c r="C5" s="2323" t="s">
        <v>1948</v>
      </c>
      <c r="D5" s="2295" t="s">
        <v>1281</v>
      </c>
      <c r="F5" s="2704"/>
      <c r="G5" s="2705"/>
      <c r="H5" s="2705"/>
      <c r="I5" s="2705"/>
      <c r="J5" s="2705"/>
      <c r="K5" s="2706"/>
    </row>
    <row r="6" spans="1:11" ht="16">
      <c r="A6" s="2318" t="s">
        <v>2105</v>
      </c>
      <c r="B6" s="2296"/>
      <c r="C6" s="2297" t="s">
        <v>8</v>
      </c>
      <c r="D6" s="2298" t="s">
        <v>9</v>
      </c>
      <c r="F6" s="2701"/>
      <c r="G6" s="2702"/>
      <c r="H6" s="2702"/>
      <c r="I6" s="2702"/>
      <c r="J6" s="2702"/>
      <c r="K6" s="2703"/>
    </row>
    <row r="7" spans="1:11" ht="16">
      <c r="A7" s="2299">
        <f t="array" ref="A7">IF(ISERROR(INDEX(PQLs!$B$3:$B$87, SMALL(IF(A$5=PQLs!$A$3:$A$87, ROW($A$3:$A$87)-ROW($A$3)+1), ROW(1:1)))),0,INDEX(PQLs!$B$3:$B$87, SMALL(IF(A$5=PQLs!$A$3:$A$87, ROW($A$3:$A$87)-ROW($A$3)+1), ROW(1:1))))</f>
        <v>0</v>
      </c>
      <c r="B7" s="2300" t="s">
        <v>263</v>
      </c>
      <c r="C7" s="2301"/>
      <c r="D7" s="2302"/>
      <c r="F7" s="2701"/>
      <c r="G7" s="2702"/>
      <c r="H7" s="2702"/>
      <c r="I7" s="2702"/>
      <c r="J7" s="2702"/>
      <c r="K7" s="2703"/>
    </row>
    <row r="8" spans="1:11" ht="16">
      <c r="A8" s="2299">
        <f t="array" ref="A8">IF(ISERROR(INDEX(PQLs!$B$3:$B$87, SMALL(IF(A$5=PQLs!$A$3:$A$87, ROW($A$3:$A$87)-ROW($A$3)+1), ROW(2:2)))),0,INDEX(PQLs!$B$3:$B$87, SMALL(IF(A$5=PQLs!$A$3:$A$87, ROW($A$3:$A$87)-ROW($A$3)+1), ROW(2:2))))</f>
        <v>0</v>
      </c>
      <c r="B8" s="2303" t="s">
        <v>264</v>
      </c>
      <c r="C8" s="2301"/>
      <c r="D8" s="2302"/>
      <c r="F8" s="2701"/>
      <c r="G8" s="2702"/>
      <c r="H8" s="2702"/>
      <c r="I8" s="2702"/>
      <c r="J8" s="2702"/>
      <c r="K8" s="2703"/>
    </row>
    <row r="9" spans="1:11" ht="16">
      <c r="A9" s="2299">
        <f t="array" ref="A9">IF(ISERROR(INDEX(PQLs!$B$3:$B$87, SMALL(IF(A$5=PQLs!$A$3:$A$87, ROW($A$3:$A$87)-ROW($A$3)+1), ROW(3:3)))),0,INDEX(PQLs!$B$3:$B$87, SMALL(IF(A$5=PQLs!$A$3:$A$87, ROW($A$3:$A$87)-ROW($A$3)+1), ROW(3:3))))</f>
        <v>0</v>
      </c>
      <c r="B9" s="2303" t="s">
        <v>1206</v>
      </c>
      <c r="C9" s="2304"/>
      <c r="D9" s="2305"/>
      <c r="F9" s="2701"/>
      <c r="G9" s="2702"/>
      <c r="H9" s="2702"/>
      <c r="I9" s="2702"/>
      <c r="J9" s="2702"/>
      <c r="K9" s="2703"/>
    </row>
    <row r="10" spans="1:11" ht="16">
      <c r="A10" s="2299">
        <f t="array" ref="A10">IF(ISERROR(INDEX(PQLs!$B$3:$B$87, SMALL(IF(A$5=PQLs!$A$3:$A$87, ROW($A$3:$A$87)-ROW($A$3)+1), ROW(4:4)))),0,INDEX(PQLs!$B$3:$B$87, SMALL(IF(A$5=PQLs!$A$3:$A$87, ROW($A$3:$A$87)-ROW($A$3)+1), ROW(4:4))))</f>
        <v>0</v>
      </c>
      <c r="B10" s="2303" t="s">
        <v>1283</v>
      </c>
      <c r="C10" s="2306"/>
      <c r="D10" s="2307"/>
      <c r="F10" s="2701"/>
      <c r="G10" s="2702"/>
      <c r="H10" s="2702"/>
      <c r="I10" s="2702"/>
      <c r="J10" s="2702"/>
      <c r="K10" s="2703"/>
    </row>
    <row r="11" spans="1:11" ht="16">
      <c r="A11" s="2299">
        <f t="array" ref="A11">IF(ISERROR(INDEX(PQLs!$B$3:$B$87, SMALL(IF(A$5=PQLs!$A$3:$A$87, ROW($A$3:$A$87)-ROW($A$3)+1), ROW(5:5)))),0,INDEX(PQLs!$B$3:$B$87, SMALL(IF(A$5=PQLs!$A$3:$A$87, ROW($A$3:$A$87)-ROW($A$3)+1), ROW(5:5))))</f>
        <v>0</v>
      </c>
      <c r="B11" s="2308" t="str">
        <f>IF(D5="Volume","Initial volume (L)","Initial flow (ml/min)")</f>
        <v>Initial volume (L)</v>
      </c>
      <c r="C11" s="2309"/>
      <c r="D11" s="2310"/>
      <c r="F11" s="2701"/>
      <c r="G11" s="2702"/>
      <c r="H11" s="2702"/>
      <c r="I11" s="2702"/>
      <c r="J11" s="2702"/>
      <c r="K11" s="2703"/>
    </row>
    <row r="12" spans="1:11" ht="16">
      <c r="A12" s="2299">
        <f t="array" ref="A12">IF(ISERROR(INDEX(PQLs!$B$3:$B$87, SMALL(IF(A$5=PQLs!$A$3:$A$87, ROW($A$3:$A$87)-ROW($A$3)+1), ROW(6:6)))),0,INDEX(PQLs!$B$3:$B$87, SMALL(IF(A$5=PQLs!$A$3:$A$87, ROW($A$3:$A$87)-ROW($A$3)+1), ROW(6:6))))</f>
        <v>0</v>
      </c>
      <c r="B12" s="2308" t="str">
        <f>IF(D5="Volume","Final volume (L)","Final flow (ml/min)")</f>
        <v>Final volume (L)</v>
      </c>
      <c r="C12" s="2309"/>
      <c r="D12" s="2310"/>
      <c r="F12" s="2701"/>
      <c r="G12" s="2702"/>
      <c r="H12" s="2702"/>
      <c r="I12" s="2702"/>
      <c r="J12" s="2702"/>
      <c r="K12" s="2703"/>
    </row>
    <row r="13" spans="1:11" ht="16">
      <c r="A13" s="2299">
        <f t="array" ref="A13">IF(ISERROR(INDEX(PQLs!$B$3:$B$87, SMALL(IF(A$5=PQLs!$A$3:$A$87, ROW($A$3:$A$87)-ROW($A$3)+1), ROW(7:7)))),0,INDEX(PQLs!$B$3:$B$87, SMALL(IF(A$5=PQLs!$A$3:$A$87, ROW($A$3:$A$87)-ROW($A$3)+1), ROW(7:7))))</f>
        <v>0</v>
      </c>
      <c r="B13" s="2308" t="str">
        <f>IF(D5="Volume","Meter volume (L)","Total time (min)")</f>
        <v>Meter volume (L)</v>
      </c>
      <c r="C13" s="2311">
        <f>Total(D5,C11,C12,C7,C8,TiF)</f>
        <v>0</v>
      </c>
      <c r="D13" s="2312">
        <f>Total(D5,D11,D12,D7,D8,TiF)</f>
        <v>0</v>
      </c>
      <c r="F13" s="2701"/>
      <c r="G13" s="2702"/>
      <c r="H13" s="2702"/>
      <c r="I13" s="2702"/>
      <c r="J13" s="2702"/>
      <c r="K13" s="2703"/>
    </row>
    <row r="14" spans="1:11" ht="16">
      <c r="A14" s="2299">
        <f t="array" ref="A14">IF(ISERROR(INDEX(PQLs!$B$3:$B$87, SMALL(IF(A$5=PQLs!$A$3:$A$87, ROW($A$3:$A$87)-ROW($A$3)+1), ROW(8:8)))),0,INDEX(PQLs!$B$3:$B$87, SMALL(IF(A$5=PQLs!$A$3:$A$87, ROW($A$3:$A$87)-ROW($A$3)+1), ROW(8:8))))</f>
        <v>0</v>
      </c>
      <c r="B14" s="2313" t="str">
        <f>"Volume at "&amp;NTPSTP&amp;" (L)"</f>
        <v>Volume at STP (L)</v>
      </c>
      <c r="C14" s="2311" t="e">
        <f>VolumeCorrect($D$5,NTPSTP,C11,C12,C13,BaroPress,C10,60000,TiF,VoF,BPF,TU)</f>
        <v>#VALUE!</v>
      </c>
      <c r="D14" s="2312" t="e">
        <f>VolumeCorrect($D$5,NTPSTP,D11,D12,D13,BaroPress,D10,60000,TiF,VoF,BPF,TU)</f>
        <v>#VALUE!</v>
      </c>
      <c r="F14" s="2701"/>
      <c r="G14" s="2702"/>
      <c r="H14" s="2702"/>
      <c r="I14" s="2702"/>
      <c r="J14" s="2702"/>
      <c r="K14" s="2703"/>
    </row>
    <row r="15" spans="1:11" ht="16">
      <c r="A15" s="2299">
        <f t="array" ref="A15">IF(ISERROR(INDEX(PQLs!$B$3:$B$87, SMALL(IF(A$5=PQLs!$A$3:$A$87, ROW($A$3:$A$87)-ROW($A$3)+1), ROW(9:9)))),0,INDEX(PQLs!$B$3:$B$87, SMALL(IF(A$5=PQLs!$A$3:$A$87, ROW($A$3:$A$87)-ROW($A$3)+1), ROW(9:9))))</f>
        <v>0</v>
      </c>
      <c r="B15" s="2314"/>
      <c r="C15" s="2314"/>
      <c r="D15" s="2315"/>
      <c r="F15" s="2701"/>
      <c r="G15" s="2702"/>
      <c r="H15" s="2702"/>
      <c r="I15" s="2702"/>
      <c r="J15" s="2702"/>
      <c r="K15" s="2703"/>
    </row>
    <row r="16" spans="1:11" s="2322" customFormat="1" ht="17" thickBot="1">
      <c r="A16" s="2324"/>
      <c r="B16" s="2325"/>
      <c r="C16" s="2325"/>
      <c r="D16" s="2341" t="str">
        <f>IF(A5="","",IF(COUNTBLANK(C7:D12)=0,"Complete","Incomplete"))</f>
        <v/>
      </c>
      <c r="F16" s="2697"/>
      <c r="G16" s="2698"/>
      <c r="H16" s="2698"/>
      <c r="I16" s="2698"/>
      <c r="J16" s="2698"/>
      <c r="K16" s="2699"/>
    </row>
    <row r="17" spans="1:11" ht="16">
      <c r="A17" s="2321"/>
      <c r="B17" s="2321"/>
      <c r="C17" s="2321"/>
      <c r="D17" s="2321"/>
    </row>
    <row r="18" spans="1:11" ht="17" thickBot="1">
      <c r="A18" s="2320" t="s">
        <v>2107</v>
      </c>
      <c r="B18" s="2321"/>
      <c r="C18" s="2321"/>
      <c r="D18" s="2321"/>
      <c r="F18" s="2320" t="s">
        <v>2114</v>
      </c>
    </row>
    <row r="19" spans="1:11" ht="16">
      <c r="A19" s="2293"/>
      <c r="B19" s="2294"/>
      <c r="C19" s="2323" t="s">
        <v>1948</v>
      </c>
      <c r="D19" s="2295" t="s">
        <v>1281</v>
      </c>
      <c r="F19" s="2704"/>
      <c r="G19" s="2705"/>
      <c r="H19" s="2705"/>
      <c r="I19" s="2705"/>
      <c r="J19" s="2705"/>
      <c r="K19" s="2706"/>
    </row>
    <row r="20" spans="1:11" ht="16">
      <c r="A20" s="2318" t="s">
        <v>2105</v>
      </c>
      <c r="B20" s="2296"/>
      <c r="C20" s="2297" t="s">
        <v>8</v>
      </c>
      <c r="D20" s="2298" t="s">
        <v>9</v>
      </c>
      <c r="F20" s="2701"/>
      <c r="G20" s="2702"/>
      <c r="H20" s="2702"/>
      <c r="I20" s="2702"/>
      <c r="J20" s="2702"/>
      <c r="K20" s="2703"/>
    </row>
    <row r="21" spans="1:11" ht="16">
      <c r="A21" s="2299">
        <f t="array" ref="A21">IF(ISERROR(INDEX(PQLs!$B$3:$B$87, SMALL(IF(A$19=PQLs!$A$3:$A$87, ROW($A$3:$A$87)-ROW($A$3)+1), ROW(1:1)))),0,INDEX(PQLs!$B$3:$B$87, SMALL(IF(A$19=PQLs!$A$3:$A$87, ROW($A$3:$A$87)-ROW($A$3)+1), ROW(1:1))))</f>
        <v>0</v>
      </c>
      <c r="B21" s="2300" t="s">
        <v>263</v>
      </c>
      <c r="C21" s="2301"/>
      <c r="D21" s="2302"/>
      <c r="F21" s="2701"/>
      <c r="G21" s="2702"/>
      <c r="H21" s="2702"/>
      <c r="I21" s="2702"/>
      <c r="J21" s="2702"/>
      <c r="K21" s="2703"/>
    </row>
    <row r="22" spans="1:11" ht="16">
      <c r="A22" s="2299">
        <f t="array" ref="A22">IF(ISERROR(INDEX(PQLs!$B$3:$B$87, SMALL(IF(A$19=PQLs!$A$3:$A$87, ROW($A$3:$A$87)-ROW($A$3)+1), ROW(2:2)))),0,INDEX(PQLs!$B$3:$B$87, SMALL(IF(A$19=PQLs!$A$3:$A$87, ROW($A$3:$A$87)-ROW($A$3)+1), ROW(2:2))))</f>
        <v>0</v>
      </c>
      <c r="B22" s="2303" t="s">
        <v>264</v>
      </c>
      <c r="C22" s="2301"/>
      <c r="D22" s="2302"/>
      <c r="F22" s="2701"/>
      <c r="G22" s="2702"/>
      <c r="H22" s="2702"/>
      <c r="I22" s="2702"/>
      <c r="J22" s="2702"/>
      <c r="K22" s="2703"/>
    </row>
    <row r="23" spans="1:11" ht="16">
      <c r="A23" s="2299">
        <f t="array" ref="A23">IF(ISERROR(INDEX(PQLs!$B$3:$B$87, SMALL(IF(A$19=PQLs!$A$3:$A$87, ROW($A$3:$A$87)-ROW($A$3)+1), ROW(3:3)))),0,INDEX(PQLs!$B$3:$B$87, SMALL(IF(A$19=PQLs!$A$3:$A$87, ROW($A$3:$A$87)-ROW($A$3)+1), ROW(3:3))))</f>
        <v>0</v>
      </c>
      <c r="B23" s="2303" t="s">
        <v>1206</v>
      </c>
      <c r="C23" s="2304"/>
      <c r="D23" s="2305"/>
      <c r="F23" s="2701"/>
      <c r="G23" s="2702"/>
      <c r="H23" s="2702"/>
      <c r="I23" s="2702"/>
      <c r="J23" s="2702"/>
      <c r="K23" s="2703"/>
    </row>
    <row r="24" spans="1:11" ht="16">
      <c r="A24" s="2299">
        <f t="array" ref="A24">IF(ISERROR(INDEX(PQLs!$B$3:$B$87, SMALL(IF(A$19=PQLs!$A$3:$A$87, ROW($A$3:$A$87)-ROW($A$3)+1), ROW(4:4)))),0,INDEX(PQLs!$B$3:$B$87, SMALL(IF(A$19=PQLs!$A$3:$A$87, ROW($A$3:$A$87)-ROW($A$3)+1), ROW(4:4))))</f>
        <v>0</v>
      </c>
      <c r="B24" s="2303" t="s">
        <v>1283</v>
      </c>
      <c r="C24" s="2306"/>
      <c r="D24" s="2307"/>
      <c r="F24" s="2701"/>
      <c r="G24" s="2702"/>
      <c r="H24" s="2702"/>
      <c r="I24" s="2702"/>
      <c r="J24" s="2702"/>
      <c r="K24" s="2703"/>
    </row>
    <row r="25" spans="1:11" ht="16">
      <c r="A25" s="2299">
        <f t="array" ref="A25">IF(ISERROR(INDEX(PQLs!$B$3:$B$87, SMALL(IF(A$19=PQLs!$A$3:$A$87, ROW($A$3:$A$87)-ROW($A$3)+1), ROW(5:5)))),0,INDEX(PQLs!$B$3:$B$87, SMALL(IF(A$19=PQLs!$A$3:$A$87, ROW($A$3:$A$87)-ROW($A$3)+1), ROW(5:5))))</f>
        <v>0</v>
      </c>
      <c r="B25" s="2308" t="str">
        <f>IF('Non-Isokinetic'!D19="Volume","Initial volume (L)","Initial flow (ml/min)")</f>
        <v>Initial volume (L)</v>
      </c>
      <c r="C25" s="2309"/>
      <c r="D25" s="2310"/>
      <c r="F25" s="2701"/>
      <c r="G25" s="2702"/>
      <c r="H25" s="2702"/>
      <c r="I25" s="2702"/>
      <c r="J25" s="2702"/>
      <c r="K25" s="2703"/>
    </row>
    <row r="26" spans="1:11" ht="16">
      <c r="A26" s="2299">
        <f t="array" ref="A26">IF(ISERROR(INDEX(PQLs!$B$3:$B$87, SMALL(IF(A$19=PQLs!$A$3:$A$87, ROW($A$3:$A$87)-ROW($A$3)+1), ROW(6:6)))),0,INDEX(PQLs!$B$3:$B$87, SMALL(IF(A$19=PQLs!$A$3:$A$87, ROW($A$3:$A$87)-ROW($A$3)+1), ROW(6:6))))</f>
        <v>0</v>
      </c>
      <c r="B26" s="2308" t="str">
        <f>IF('Non-Isokinetic'!D19="Volume","Final volume (L)","Final flow (ml/min)")</f>
        <v>Final volume (L)</v>
      </c>
      <c r="C26" s="2309"/>
      <c r="D26" s="2310"/>
      <c r="F26" s="2701"/>
      <c r="G26" s="2702"/>
      <c r="H26" s="2702"/>
      <c r="I26" s="2702"/>
      <c r="J26" s="2702"/>
      <c r="K26" s="2703"/>
    </row>
    <row r="27" spans="1:11" ht="16">
      <c r="A27" s="2299">
        <f t="array" ref="A27">IF(ISERROR(INDEX(PQLs!$B$3:$B$87, SMALL(IF(A$19=PQLs!$A$3:$A$87, ROW($A$3:$A$87)-ROW($A$3)+1), ROW(7:7)))),0,INDEX(PQLs!$B$3:$B$87, SMALL(IF(A$19=PQLs!$A$3:$A$87, ROW($A$3:$A$87)-ROW($A$3)+1), ROW(7:7))))</f>
        <v>0</v>
      </c>
      <c r="B27" s="2308" t="str">
        <f>IF('Non-Isokinetic'!D19="Volume","Meter volume (L)","Total time (min)")</f>
        <v>Meter volume (L)</v>
      </c>
      <c r="C27" s="2311">
        <f>Total('Non-Isokinetic'!D19,C25,C26,'Non-Isokinetic'!C21,'Non-Isokinetic'!C22,TiF)</f>
        <v>0</v>
      </c>
      <c r="D27" s="2312">
        <f>Total('Non-Isokinetic'!D19,D25,D26,'Non-Isokinetic'!D21,'Non-Isokinetic'!D22,TiF)</f>
        <v>0</v>
      </c>
      <c r="F27" s="2701"/>
      <c r="G27" s="2702"/>
      <c r="H27" s="2702"/>
      <c r="I27" s="2702"/>
      <c r="J27" s="2702"/>
      <c r="K27" s="2703"/>
    </row>
    <row r="28" spans="1:11" ht="16">
      <c r="A28" s="2299">
        <f t="array" ref="A28">IF(ISERROR(INDEX(PQLs!$B$3:$B$87, SMALL(IF(A$19=PQLs!$A$3:$A$87, ROW($A$3:$A$87)-ROW($A$3)+1), ROW(8:8)))),0,INDEX(PQLs!$B$3:$B$87, SMALL(IF(A$19=PQLs!$A$3:$A$87, ROW($A$3:$A$87)-ROW($A$3)+1), ROW(8:8))))</f>
        <v>0</v>
      </c>
      <c r="B28" s="2313" t="str">
        <f>"Volume at "&amp;NTPSTP&amp;" (L)"</f>
        <v>Volume at STP (L)</v>
      </c>
      <c r="C28" s="2311" t="e">
        <f>VolumeCorrect('Non-Isokinetic'!$D$19,NTPSTP,C25,C26,C27,BaroPress,'Non-Isokinetic'!C24,60000,TiF,VoF,BPF,TU)</f>
        <v>#VALUE!</v>
      </c>
      <c r="D28" s="2312" t="e">
        <f>VolumeCorrect('Non-Isokinetic'!$D$19,NTPSTP,D25,D26,D27,BaroPress,'Non-Isokinetic'!D24,60000,TiF,VoF,BPF,TU)</f>
        <v>#VALUE!</v>
      </c>
      <c r="F28" s="2701"/>
      <c r="G28" s="2702"/>
      <c r="H28" s="2702"/>
      <c r="I28" s="2702"/>
      <c r="J28" s="2702"/>
      <c r="K28" s="2703"/>
    </row>
    <row r="29" spans="1:11" ht="16">
      <c r="A29" s="2299">
        <f t="array" ref="A29">IF(ISERROR(INDEX(PQLs!$B$3:$B$87, SMALL(IF(A$19=PQLs!$A$3:$A$87, ROW($A$3:$A$87)-ROW($A$3)+1), ROW(9:9)))),0,INDEX(PQLs!$B$3:$B$87, SMALL(IF(A$19=PQLs!$A$3:$A$87, ROW($A$3:$A$87)-ROW($A$3)+1), ROW(9:9))))</f>
        <v>0</v>
      </c>
      <c r="B29" s="2314"/>
      <c r="C29" s="2314"/>
      <c r="D29" s="2315"/>
      <c r="F29" s="2701"/>
      <c r="G29" s="2702"/>
      <c r="H29" s="2702"/>
      <c r="I29" s="2702"/>
      <c r="J29" s="2702"/>
      <c r="K29" s="2703"/>
    </row>
    <row r="30" spans="1:11" ht="17" thickBot="1">
      <c r="A30" s="2324"/>
      <c r="B30" s="2325"/>
      <c r="C30" s="2325"/>
      <c r="D30" s="2341" t="str">
        <f>IF(A19="","",IF(COUNTBLANK(C21:D26)=0,"Complete","Incomplete"))</f>
        <v/>
      </c>
      <c r="F30" s="2697"/>
      <c r="G30" s="2698"/>
      <c r="H30" s="2698"/>
      <c r="I30" s="2698"/>
      <c r="J30" s="2698"/>
      <c r="K30" s="2699"/>
    </row>
    <row r="31" spans="1:11" ht="16">
      <c r="A31" s="2321"/>
      <c r="B31" s="2321"/>
      <c r="C31" s="2321"/>
      <c r="D31" s="2321"/>
    </row>
    <row r="32" spans="1:11" ht="17" thickBot="1">
      <c r="A32" s="2320" t="s">
        <v>2108</v>
      </c>
      <c r="B32" s="2321"/>
      <c r="C32" s="2321"/>
      <c r="D32" s="2321"/>
      <c r="F32" s="2320" t="s">
        <v>2115</v>
      </c>
    </row>
    <row r="33" spans="1:11" ht="16">
      <c r="A33" s="2326"/>
      <c r="B33" s="2294"/>
      <c r="C33" s="2323" t="s">
        <v>1948</v>
      </c>
      <c r="D33" s="2295" t="s">
        <v>1281</v>
      </c>
      <c r="F33" s="2704"/>
      <c r="G33" s="2705"/>
      <c r="H33" s="2705"/>
      <c r="I33" s="2705"/>
      <c r="J33" s="2705"/>
      <c r="K33" s="2706"/>
    </row>
    <row r="34" spans="1:11" ht="16">
      <c r="A34" s="2318" t="s">
        <v>2105</v>
      </c>
      <c r="B34" s="2296"/>
      <c r="C34" s="2297" t="s">
        <v>8</v>
      </c>
      <c r="D34" s="2298" t="s">
        <v>9</v>
      </c>
      <c r="F34" s="2701"/>
      <c r="G34" s="2702"/>
      <c r="H34" s="2702"/>
      <c r="I34" s="2702"/>
      <c r="J34" s="2702"/>
      <c r="K34" s="2703"/>
    </row>
    <row r="35" spans="1:11" ht="16">
      <c r="A35" s="2299">
        <f t="array" ref="A35">IF(ISERROR(INDEX(PQLs!$B$3:$B$87, SMALL(IF(A$33=PQLs!$A$3:$A$87, ROW($A$3:$A$87)-ROW($A$3)+1), ROW(1:1)))),0,INDEX(PQLs!$B$3:$B$87, SMALL(IF(A$33=PQLs!$A$3:$A$87, ROW($A$3:$A$87)-ROW($A$3)+1), ROW(1:1))))</f>
        <v>0</v>
      </c>
      <c r="B35" s="2300" t="s">
        <v>263</v>
      </c>
      <c r="C35" s="2301"/>
      <c r="D35" s="2302"/>
      <c r="F35" s="2701"/>
      <c r="G35" s="2702"/>
      <c r="H35" s="2702"/>
      <c r="I35" s="2702"/>
      <c r="J35" s="2702"/>
      <c r="K35" s="2703"/>
    </row>
    <row r="36" spans="1:11" ht="16">
      <c r="A36" s="2299">
        <f t="array" ref="A36">IF(ISERROR(INDEX(PQLs!$B$3:$B$87, SMALL(IF(A$33=PQLs!$A$3:$A$87, ROW($A$3:$A$87)-ROW($A$3)+1), ROW(2:2)))),0,INDEX(PQLs!$B$3:$B$87, SMALL(IF(A$33=PQLs!$A$3:$A$87, ROW($A$3:$A$87)-ROW($A$3)+1), ROW(2:2))))</f>
        <v>0</v>
      </c>
      <c r="B36" s="2303" t="s">
        <v>264</v>
      </c>
      <c r="C36" s="2301"/>
      <c r="D36" s="2302"/>
      <c r="F36" s="2701"/>
      <c r="G36" s="2702"/>
      <c r="H36" s="2702"/>
      <c r="I36" s="2702"/>
      <c r="J36" s="2702"/>
      <c r="K36" s="2703"/>
    </row>
    <row r="37" spans="1:11" ht="16">
      <c r="A37" s="2299">
        <f t="array" ref="A37">IF(ISERROR(INDEX(PQLs!$B$3:$B$87, SMALL(IF(A$33=PQLs!$A$3:$A$87, ROW($A$3:$A$87)-ROW($A$3)+1), ROW(3:3)))),0,INDEX(PQLs!$B$3:$B$87, SMALL(IF(A$33=PQLs!$A$3:$A$87, ROW($A$3:$A$87)-ROW($A$3)+1), ROW(3:3))))</f>
        <v>0</v>
      </c>
      <c r="B37" s="2303" t="s">
        <v>1206</v>
      </c>
      <c r="C37" s="2304"/>
      <c r="D37" s="2305"/>
      <c r="F37" s="2701"/>
      <c r="G37" s="2702"/>
      <c r="H37" s="2702"/>
      <c r="I37" s="2702"/>
      <c r="J37" s="2702"/>
      <c r="K37" s="2703"/>
    </row>
    <row r="38" spans="1:11" ht="16">
      <c r="A38" s="2299">
        <f t="array" ref="A38">IF(ISERROR(INDEX(PQLs!$B$3:$B$87, SMALL(IF(A$33=PQLs!$A$3:$A$87, ROW($A$3:$A$87)-ROW($A$3)+1), ROW(4:4)))),0,INDEX(PQLs!$B$3:$B$87, SMALL(IF(A$33=PQLs!$A$3:$A$87, ROW($A$3:$A$87)-ROW($A$3)+1), ROW(4:4))))</f>
        <v>0</v>
      </c>
      <c r="B38" s="2303" t="s">
        <v>1283</v>
      </c>
      <c r="C38" s="2306"/>
      <c r="D38" s="2307"/>
      <c r="F38" s="2701"/>
      <c r="G38" s="2702"/>
      <c r="H38" s="2702"/>
      <c r="I38" s="2702"/>
      <c r="J38" s="2702"/>
      <c r="K38" s="2703"/>
    </row>
    <row r="39" spans="1:11" ht="16">
      <c r="A39" s="2299">
        <f t="array" ref="A39">IF(ISERROR(INDEX(PQLs!$B$3:$B$87, SMALL(IF(A$33=PQLs!$A$3:$A$87, ROW($A$3:$A$87)-ROW($A$3)+1), ROW(5:5)))),0,INDEX(PQLs!$B$3:$B$87, SMALL(IF(A$33=PQLs!$A$3:$A$87, ROW($A$3:$A$87)-ROW($A$3)+1), ROW(5:5))))</f>
        <v>0</v>
      </c>
      <c r="B39" s="2308" t="str">
        <f>IF(D33="Volume","Initial volume (L)","Initial flow (ml/min)")</f>
        <v>Initial volume (L)</v>
      </c>
      <c r="C39" s="2309"/>
      <c r="D39" s="2310"/>
      <c r="F39" s="2701"/>
      <c r="G39" s="2702"/>
      <c r="H39" s="2702"/>
      <c r="I39" s="2702"/>
      <c r="J39" s="2702"/>
      <c r="K39" s="2703"/>
    </row>
    <row r="40" spans="1:11" ht="16">
      <c r="A40" s="2299">
        <f t="array" ref="A40">IF(ISERROR(INDEX(PQLs!$B$3:$B$87, SMALL(IF(A$33=PQLs!$A$3:$A$87, ROW($A$3:$A$87)-ROW($A$3)+1), ROW(6:6)))),0,INDEX(PQLs!$B$3:$B$87, SMALL(IF(A$33=PQLs!$A$3:$A$87, ROW($A$3:$A$87)-ROW($A$3)+1), ROW(6:6))))</f>
        <v>0</v>
      </c>
      <c r="B40" s="2308" t="str">
        <f>IF(D33="Volume","Final volume (L)","Final flow (ml/min)")</f>
        <v>Final volume (L)</v>
      </c>
      <c r="C40" s="2309"/>
      <c r="D40" s="2310"/>
      <c r="F40" s="2701"/>
      <c r="G40" s="2702"/>
      <c r="H40" s="2702"/>
      <c r="I40" s="2702"/>
      <c r="J40" s="2702"/>
      <c r="K40" s="2703"/>
    </row>
    <row r="41" spans="1:11" ht="16">
      <c r="A41" s="2299">
        <f t="array" ref="A41">IF(ISERROR(INDEX(PQLs!$B$3:$B$87, SMALL(IF(A$33=PQLs!$A$3:$A$87, ROW($A$3:$A$87)-ROW($A$3)+1), ROW(7:7)))),0,INDEX(PQLs!$B$3:$B$87, SMALL(IF(A$33=PQLs!$A$3:$A$87, ROW($A$3:$A$87)-ROW($A$3)+1), ROW(7:7))))</f>
        <v>0</v>
      </c>
      <c r="B41" s="2308" t="str">
        <f>IF(D33="Volume","Meter volume (L)","Total time (min)")</f>
        <v>Meter volume (L)</v>
      </c>
      <c r="C41" s="2311">
        <f>Total('Non-Isokinetic'!D33,C39,C40,'Non-Isokinetic'!C35,'Non-Isokinetic'!C36,TiF)</f>
        <v>0</v>
      </c>
      <c r="D41" s="2312">
        <f>Total('Non-Isokinetic'!D33,D39,D40,'Non-Isokinetic'!D35,'Non-Isokinetic'!D36,TiF)</f>
        <v>0</v>
      </c>
      <c r="F41" s="2701"/>
      <c r="G41" s="2702"/>
      <c r="H41" s="2702"/>
      <c r="I41" s="2702"/>
      <c r="J41" s="2702"/>
      <c r="K41" s="2703"/>
    </row>
    <row r="42" spans="1:11" ht="16">
      <c r="A42" s="2299">
        <f t="array" ref="A42">IF(ISERROR(INDEX(PQLs!$B$3:$B$87, SMALL(IF(A$33=PQLs!$A$3:$A$87, ROW($A$3:$A$87)-ROW($A$3)+1), ROW(8:8)))),0,INDEX(PQLs!$B$3:$B$87, SMALL(IF(A$33=PQLs!$A$3:$A$87, ROW($A$3:$A$87)-ROW($A$3)+1), ROW(8:8))))</f>
        <v>0</v>
      </c>
      <c r="B42" s="2313" t="str">
        <f>"Volume at "&amp;NTPSTP&amp;" (L)"</f>
        <v>Volume at STP (L)</v>
      </c>
      <c r="C42" s="2311" t="e">
        <f>VolumeCorrect('Non-Isokinetic'!$D$33,NTPSTP,C39,C40,C41,BaroPress,'Non-Isokinetic'!C38,60000,TiF,VoF,BPF,TU)</f>
        <v>#VALUE!</v>
      </c>
      <c r="D42" s="2312" t="e">
        <f>VolumeCorrect('Non-Isokinetic'!$D$33,NTPSTP,D39,D40,D41,BaroPress,'Non-Isokinetic'!D38,60000,TiF,VoF,BPF,TU)</f>
        <v>#VALUE!</v>
      </c>
      <c r="F42" s="2701"/>
      <c r="G42" s="2702"/>
      <c r="H42" s="2702"/>
      <c r="I42" s="2702"/>
      <c r="J42" s="2702"/>
      <c r="K42" s="2703"/>
    </row>
    <row r="43" spans="1:11" ht="16">
      <c r="A43" s="2299">
        <f t="array" ref="A43">IF(ISERROR(INDEX(PQLs!$B$3:$B$87, SMALL(IF(A$33=PQLs!$A$3:$A$87, ROW($A$3:$A$87)-ROW($A$3)+1), ROW(9:9)))),0,INDEX(PQLs!$B$3:$B$87, SMALL(IF(A$33=PQLs!$A$3:$A$87, ROW($A$3:$A$87)-ROW($A$3)+1), ROW(9:9))))</f>
        <v>0</v>
      </c>
      <c r="B43" s="2314"/>
      <c r="C43" s="2314"/>
      <c r="D43" s="2315"/>
      <c r="F43" s="2701"/>
      <c r="G43" s="2702"/>
      <c r="H43" s="2702"/>
      <c r="I43" s="2702"/>
      <c r="J43" s="2702"/>
      <c r="K43" s="2703"/>
    </row>
    <row r="44" spans="1:11" ht="17" thickBot="1">
      <c r="A44" s="2316"/>
      <c r="B44" s="2317"/>
      <c r="C44" s="2317"/>
      <c r="D44" s="2341" t="str">
        <f>IF(A33="","",IF(COUNTBLANK(C35:D40)=0,"Complete","Incomplete"))</f>
        <v/>
      </c>
      <c r="F44" s="2697"/>
      <c r="G44" s="2698"/>
      <c r="H44" s="2698"/>
      <c r="I44" s="2698"/>
      <c r="J44" s="2698"/>
      <c r="K44" s="2699"/>
    </row>
    <row r="45" spans="1:11" ht="16">
      <c r="A45" s="2321"/>
      <c r="B45" s="2321"/>
      <c r="C45" s="2321"/>
      <c r="D45" s="2321"/>
    </row>
    <row r="46" spans="1:11" ht="17" thickBot="1">
      <c r="A46" s="2320" t="s">
        <v>2110</v>
      </c>
      <c r="B46" s="2321"/>
      <c r="C46" s="2321"/>
      <c r="D46" s="2321"/>
      <c r="F46" s="2320" t="s">
        <v>2116</v>
      </c>
    </row>
    <row r="47" spans="1:11" ht="16">
      <c r="A47" s="2259"/>
      <c r="B47" s="2294"/>
      <c r="C47" s="2323" t="s">
        <v>1948</v>
      </c>
      <c r="D47" s="2295" t="s">
        <v>1281</v>
      </c>
      <c r="F47" s="2704"/>
      <c r="G47" s="2705"/>
      <c r="H47" s="2705"/>
      <c r="I47" s="2705"/>
      <c r="J47" s="2705"/>
      <c r="K47" s="2706"/>
    </row>
    <row r="48" spans="1:11" ht="16">
      <c r="A48" s="2318" t="s">
        <v>2105</v>
      </c>
      <c r="B48" s="2296"/>
      <c r="C48" s="2297" t="s">
        <v>8</v>
      </c>
      <c r="D48" s="2298" t="s">
        <v>9</v>
      </c>
      <c r="F48" s="2701"/>
      <c r="G48" s="2702"/>
      <c r="H48" s="2702"/>
      <c r="I48" s="2702"/>
      <c r="J48" s="2702"/>
      <c r="K48" s="2703"/>
    </row>
    <row r="49" spans="1:11" ht="16">
      <c r="A49" s="2299">
        <f t="array" ref="A49">IF(ISERROR(INDEX(PQLs!$B$3:$B$87, SMALL(IF(A$47=PQLs!$A$3:$A$87, ROW($A$3:$A$87)-ROW($A$3)+1), ROW(1:1)))),0,INDEX(PQLs!$B$3:$B$87, SMALL(IF(A$47=PQLs!$A$3:$A$87, ROW($A$3:$A$87)-ROW($A$3)+1), ROW(1:1))))</f>
        <v>0</v>
      </c>
      <c r="B49" s="2300" t="s">
        <v>263</v>
      </c>
      <c r="C49" s="2301"/>
      <c r="D49" s="2302"/>
      <c r="F49" s="2701"/>
      <c r="G49" s="2702"/>
      <c r="H49" s="2702"/>
      <c r="I49" s="2702"/>
      <c r="J49" s="2702"/>
      <c r="K49" s="2703"/>
    </row>
    <row r="50" spans="1:11" ht="16">
      <c r="A50" s="2299">
        <f t="array" ref="A50">IF(ISERROR(INDEX(PQLs!$B$3:$B$87, SMALL(IF(A$47=PQLs!$A$3:$A$87, ROW($A$3:$A$87)-ROW($A$3)+1), ROW(2:2)))),0,INDEX(PQLs!$B$3:$B$87, SMALL(IF(A$47=PQLs!$A$3:$A$87, ROW($A$3:$A$87)-ROW($A$3)+1), ROW(2:2))))</f>
        <v>0</v>
      </c>
      <c r="B50" s="2303" t="s">
        <v>264</v>
      </c>
      <c r="C50" s="2301"/>
      <c r="D50" s="2302"/>
      <c r="F50" s="2701"/>
      <c r="G50" s="2702"/>
      <c r="H50" s="2702"/>
      <c r="I50" s="2702"/>
      <c r="J50" s="2702"/>
      <c r="K50" s="2703"/>
    </row>
    <row r="51" spans="1:11" ht="16">
      <c r="A51" s="2299">
        <f t="array" ref="A51">IF(ISERROR(INDEX(PQLs!$B$3:$B$87, SMALL(IF(A$47=PQLs!$A$3:$A$87, ROW($A$3:$A$87)-ROW($A$3)+1), ROW(3:3)))),0,INDEX(PQLs!$B$3:$B$87, SMALL(IF(A$47=PQLs!$A$3:$A$87, ROW($A$3:$A$87)-ROW($A$3)+1), ROW(3:3))))</f>
        <v>0</v>
      </c>
      <c r="B51" s="2303" t="s">
        <v>1206</v>
      </c>
      <c r="C51" s="2304"/>
      <c r="D51" s="2305"/>
      <c r="F51" s="2701"/>
      <c r="G51" s="2702"/>
      <c r="H51" s="2702"/>
      <c r="I51" s="2702"/>
      <c r="J51" s="2702"/>
      <c r="K51" s="2703"/>
    </row>
    <row r="52" spans="1:11" ht="16">
      <c r="A52" s="2299">
        <f t="array" ref="A52">IF(ISERROR(INDEX(PQLs!$B$3:$B$87, SMALL(IF(A$47=PQLs!$A$3:$A$87, ROW($A$3:$A$87)-ROW($A$3)+1), ROW(4:4)))),0,INDEX(PQLs!$B$3:$B$87, SMALL(IF(A$47=PQLs!$A$3:$A$87, ROW($A$3:$A$87)-ROW($A$3)+1), ROW(4:4))))</f>
        <v>0</v>
      </c>
      <c r="B52" s="2303" t="s">
        <v>1283</v>
      </c>
      <c r="C52" s="2306"/>
      <c r="D52" s="2307"/>
      <c r="F52" s="2701"/>
      <c r="G52" s="2702"/>
      <c r="H52" s="2702"/>
      <c r="I52" s="2702"/>
      <c r="J52" s="2702"/>
      <c r="K52" s="2703"/>
    </row>
    <row r="53" spans="1:11" ht="16">
      <c r="A53" s="2299">
        <f t="array" ref="A53">IF(ISERROR(INDEX(PQLs!$B$3:$B$87, SMALL(IF(A$47=PQLs!$A$3:$A$87, ROW($A$3:$A$87)-ROW($A$3)+1), ROW(5:5)))),0,INDEX(PQLs!$B$3:$B$87, SMALL(IF(A$47=PQLs!$A$3:$A$87, ROW($A$3:$A$87)-ROW($A$3)+1), ROW(5:5))))</f>
        <v>0</v>
      </c>
      <c r="B53" s="2308" t="str">
        <f>IF(D47="Volume","Initial volume (L)","Initial flow (ml/min)")</f>
        <v>Initial volume (L)</v>
      </c>
      <c r="C53" s="2309"/>
      <c r="D53" s="2310"/>
      <c r="F53" s="2701"/>
      <c r="G53" s="2702"/>
      <c r="H53" s="2702"/>
      <c r="I53" s="2702"/>
      <c r="J53" s="2702"/>
      <c r="K53" s="2703"/>
    </row>
    <row r="54" spans="1:11" ht="16">
      <c r="A54" s="2299">
        <f t="array" ref="A54">IF(ISERROR(INDEX(PQLs!$B$3:$B$87, SMALL(IF(A$47=PQLs!$A$3:$A$87, ROW($A$3:$A$87)-ROW($A$3)+1), ROW(6:6)))),0,INDEX(PQLs!$B$3:$B$87, SMALL(IF(A$47=PQLs!$A$3:$A$87, ROW($A$3:$A$87)-ROW($A$3)+1), ROW(6:6))))</f>
        <v>0</v>
      </c>
      <c r="B54" s="2308" t="str">
        <f>IF(D47="Volume","Final volume (L)","Final flow (ml/min)")</f>
        <v>Final volume (L)</v>
      </c>
      <c r="C54" s="2309"/>
      <c r="D54" s="2310"/>
      <c r="F54" s="2701"/>
      <c r="G54" s="2702"/>
      <c r="H54" s="2702"/>
      <c r="I54" s="2702"/>
      <c r="J54" s="2702"/>
      <c r="K54" s="2703"/>
    </row>
    <row r="55" spans="1:11" ht="16">
      <c r="A55" s="2299">
        <f t="array" ref="A55">IF(ISERROR(INDEX(PQLs!$B$3:$B$87, SMALL(IF(A$47=PQLs!$A$3:$A$87, ROW($A$3:$A$87)-ROW($A$3)+1), ROW(7:7)))),0,INDEX(PQLs!$B$3:$B$87, SMALL(IF(A$47=PQLs!$A$3:$A$87, ROW($A$3:$A$87)-ROW($A$3)+1), ROW(7:7))))</f>
        <v>0</v>
      </c>
      <c r="B55" s="2308" t="str">
        <f>IF(D47="Volume","Meter volume (L)","Total time (min)")</f>
        <v>Meter volume (L)</v>
      </c>
      <c r="C55" s="2311" t="e">
        <f>Total(Odour!#REF!,C53,C54,'Non-Isokinetic'!C49,'Non-Isokinetic'!C50,TiF)</f>
        <v>#VALUE!</v>
      </c>
      <c r="D55" s="2312" t="e">
        <f>Total(Odour!#REF!,D53,D54,'Non-Isokinetic'!D49,'Non-Isokinetic'!D50,TiF)</f>
        <v>#VALUE!</v>
      </c>
      <c r="F55" s="2701"/>
      <c r="G55" s="2702"/>
      <c r="H55" s="2702"/>
      <c r="I55" s="2702"/>
      <c r="J55" s="2702"/>
      <c r="K55" s="2703"/>
    </row>
    <row r="56" spans="1:11" ht="16">
      <c r="A56" s="2299">
        <f t="array" ref="A56">IF(ISERROR(INDEX(PQLs!$B$3:$B$87, SMALL(IF(A$47=PQLs!$A$3:$A$87, ROW($A$3:$A$87)-ROW($A$3)+1), ROW(8:8)))),0,INDEX(PQLs!$B$3:$B$87, SMALL(IF(A$47=PQLs!$A$3:$A$87, ROW($A$3:$A$87)-ROW($A$3)+1), ROW(8:8))))</f>
        <v>0</v>
      </c>
      <c r="B56" s="2313" t="str">
        <f>"Volume at "&amp;NTPSTP&amp;" (L)"</f>
        <v>Volume at STP (L)</v>
      </c>
      <c r="C56" s="2311" t="e">
        <f>VolumeCorrect(Odour!#REF!,NTPSTP,C53,C54,C55,BaroPress,'Non-Isokinetic'!C52,60000,TiF,VoF,BPF,TU)</f>
        <v>#VALUE!</v>
      </c>
      <c r="D56" s="2312" t="e">
        <f>VolumeCorrect(Odour!#REF!,NTPSTP,D53,D54,D55,BaroPress,'Non-Isokinetic'!D52,60000,TiF,VoF,BPF,TU)</f>
        <v>#VALUE!</v>
      </c>
      <c r="F56" s="2701"/>
      <c r="G56" s="2702"/>
      <c r="H56" s="2702"/>
      <c r="I56" s="2702"/>
      <c r="J56" s="2702"/>
      <c r="K56" s="2703"/>
    </row>
    <row r="57" spans="1:11" ht="16">
      <c r="A57" s="2299">
        <f t="array" ref="A57">IF(ISERROR(INDEX(PQLs!$B$3:$B$87, SMALL(IF(A$47=PQLs!$A$3:$A$87, ROW($A$3:$A$87)-ROW($A$3)+1), ROW(9:9)))),0,INDEX(PQLs!$B$3:$B$87, SMALL(IF(A$47=PQLs!$A$3:$A$87, ROW($A$3:$A$87)-ROW($A$3)+1), ROW(9:9))))</f>
        <v>0</v>
      </c>
      <c r="B57" s="2314"/>
      <c r="C57" s="2314"/>
      <c r="D57" s="2315"/>
      <c r="F57" s="2701"/>
      <c r="G57" s="2702"/>
      <c r="H57" s="2702"/>
      <c r="I57" s="2702"/>
      <c r="J57" s="2702"/>
      <c r="K57" s="2703"/>
    </row>
    <row r="58" spans="1:11" ht="17" thickBot="1">
      <c r="A58" s="2316"/>
      <c r="B58" s="2317"/>
      <c r="C58" s="2317"/>
      <c r="D58" s="2341" t="str">
        <f>IF(A47="","",IF(COUNTBLANK(C49:D54)=0,"Complete","Incomplete"))</f>
        <v/>
      </c>
      <c r="F58" s="2697"/>
      <c r="G58" s="2698"/>
      <c r="H58" s="2698"/>
      <c r="I58" s="2698"/>
      <c r="J58" s="2698"/>
      <c r="K58" s="2699"/>
    </row>
    <row r="60" spans="1:11" ht="17" thickBot="1">
      <c r="A60" s="2320" t="s">
        <v>2111</v>
      </c>
      <c r="B60" s="2321"/>
      <c r="C60" s="2321"/>
      <c r="D60" s="2321"/>
      <c r="F60" s="2320" t="s">
        <v>2117</v>
      </c>
    </row>
    <row r="61" spans="1:11" ht="16">
      <c r="A61" s="2259"/>
      <c r="B61" s="2294"/>
      <c r="C61" s="2323" t="s">
        <v>1948</v>
      </c>
      <c r="D61" s="2295" t="s">
        <v>1281</v>
      </c>
      <c r="F61" s="2704"/>
      <c r="G61" s="2705"/>
      <c r="H61" s="2705"/>
      <c r="I61" s="2705"/>
      <c r="J61" s="2705"/>
      <c r="K61" s="2706"/>
    </row>
    <row r="62" spans="1:11" ht="16">
      <c r="A62" s="2318" t="s">
        <v>2105</v>
      </c>
      <c r="B62" s="2296"/>
      <c r="C62" s="2297" t="s">
        <v>8</v>
      </c>
      <c r="D62" s="2298" t="s">
        <v>9</v>
      </c>
      <c r="F62" s="2701"/>
      <c r="G62" s="2702"/>
      <c r="H62" s="2702"/>
      <c r="I62" s="2702"/>
      <c r="J62" s="2702"/>
      <c r="K62" s="2703"/>
    </row>
    <row r="63" spans="1:11" ht="16">
      <c r="A63" s="2299">
        <f t="array" ref="A63">IF(ISERROR(INDEX(PQLs!$B$3:$B$87, SMALL(IF(A$61=PQLs!$A$3:$A$87, ROW($A$3:$A$87)-ROW($A$3)+1), ROW(1:1)))),0,INDEX(PQLs!$B$3:$B$87, SMALL(IF(A$61=PQLs!$A$3:$A$87, ROW($A$3:$A$87)-ROW($A$3)+1), ROW(1:1))))</f>
        <v>0</v>
      </c>
      <c r="B63" s="2300" t="s">
        <v>263</v>
      </c>
      <c r="C63" s="2301"/>
      <c r="D63" s="2302"/>
      <c r="F63" s="2701"/>
      <c r="G63" s="2702"/>
      <c r="H63" s="2702"/>
      <c r="I63" s="2702"/>
      <c r="J63" s="2702"/>
      <c r="K63" s="2703"/>
    </row>
    <row r="64" spans="1:11" ht="16">
      <c r="A64" s="2299">
        <f t="array" ref="A64">IF(ISERROR(INDEX(PQLs!$B$3:$B$87, SMALL(IF(A$61=PQLs!$A$3:$A$87, ROW($A$3:$A$87)-ROW($A$3)+1), ROW(2:2)))),0,INDEX(PQLs!$B$3:$B$87, SMALL(IF(A$61=PQLs!$A$3:$A$87, ROW($A$3:$A$87)-ROW($A$3)+1), ROW(2:2))))</f>
        <v>0</v>
      </c>
      <c r="B64" s="2303" t="s">
        <v>264</v>
      </c>
      <c r="C64" s="2301"/>
      <c r="D64" s="2302"/>
      <c r="F64" s="2701"/>
      <c r="G64" s="2702"/>
      <c r="H64" s="2702"/>
      <c r="I64" s="2702"/>
      <c r="J64" s="2702"/>
      <c r="K64" s="2703"/>
    </row>
    <row r="65" spans="1:11" ht="16">
      <c r="A65" s="2299">
        <f t="array" ref="A65">IF(ISERROR(INDEX(PQLs!$B$3:$B$87, SMALL(IF(A$61=PQLs!$A$3:$A$87, ROW($A$3:$A$87)-ROW($A$3)+1), ROW(3:3)))),0,INDEX(PQLs!$B$3:$B$87, SMALL(IF(A$61=PQLs!$A$3:$A$87, ROW($A$3:$A$87)-ROW($A$3)+1), ROW(3:3))))</f>
        <v>0</v>
      </c>
      <c r="B65" s="2303" t="s">
        <v>1206</v>
      </c>
      <c r="C65" s="2304"/>
      <c r="D65" s="2305"/>
      <c r="F65" s="2701"/>
      <c r="G65" s="2702"/>
      <c r="H65" s="2702"/>
      <c r="I65" s="2702"/>
      <c r="J65" s="2702"/>
      <c r="K65" s="2703"/>
    </row>
    <row r="66" spans="1:11" ht="16">
      <c r="A66" s="2299">
        <f t="array" ref="A66">IF(ISERROR(INDEX(PQLs!$B$3:$B$87, SMALL(IF(A$61=PQLs!$A$3:$A$87, ROW($A$3:$A$87)-ROW($A$3)+1), ROW(4:4)))),0,INDEX(PQLs!$B$3:$B$87, SMALL(IF(A$61=PQLs!$A$3:$A$87, ROW($A$3:$A$87)-ROW($A$3)+1), ROW(4:4))))</f>
        <v>0</v>
      </c>
      <c r="B66" s="2303" t="s">
        <v>1283</v>
      </c>
      <c r="C66" s="2306"/>
      <c r="D66" s="2307"/>
      <c r="F66" s="2701"/>
      <c r="G66" s="2702"/>
      <c r="H66" s="2702"/>
      <c r="I66" s="2702"/>
      <c r="J66" s="2702"/>
      <c r="K66" s="2703"/>
    </row>
    <row r="67" spans="1:11" ht="16">
      <c r="A67" s="2299">
        <f t="array" ref="A67">IF(ISERROR(INDEX(PQLs!$B$3:$B$87, SMALL(IF(A$61=PQLs!$A$3:$A$87, ROW($A$3:$A$87)-ROW($A$3)+1), ROW(5:5)))),0,INDEX(PQLs!$B$3:$B$87, SMALL(IF(A$61=PQLs!$A$3:$A$87, ROW($A$3:$A$87)-ROW($A$3)+1), ROW(5:5))))</f>
        <v>0</v>
      </c>
      <c r="B67" s="2308" t="str">
        <f>IF(D61="Volume","Initial volume (L)","Initial flow (ml/min)")</f>
        <v>Initial volume (L)</v>
      </c>
      <c r="C67" s="2309"/>
      <c r="D67" s="2310"/>
      <c r="F67" s="2701"/>
      <c r="G67" s="2702"/>
      <c r="H67" s="2702"/>
      <c r="I67" s="2702"/>
      <c r="J67" s="2702"/>
      <c r="K67" s="2703"/>
    </row>
    <row r="68" spans="1:11" ht="16">
      <c r="A68" s="2299">
        <f t="array" ref="A68">IF(ISERROR(INDEX(PQLs!$B$3:$B$87, SMALL(IF(A$61=PQLs!$A$3:$A$87, ROW($A$3:$A$87)-ROW($A$3)+1), ROW(6:6)))),0,INDEX(PQLs!$B$3:$B$87, SMALL(IF(A$61=PQLs!$A$3:$A$87, ROW($A$3:$A$87)-ROW($A$3)+1), ROW(6:6))))</f>
        <v>0</v>
      </c>
      <c r="B68" s="2308" t="str">
        <f>IF(D61="Volume","Final volume (L)","Final flow (ml/min)")</f>
        <v>Final volume (L)</v>
      </c>
      <c r="C68" s="2309"/>
      <c r="D68" s="2310"/>
      <c r="F68" s="2701"/>
      <c r="G68" s="2702"/>
      <c r="H68" s="2702"/>
      <c r="I68" s="2702"/>
      <c r="J68" s="2702"/>
      <c r="K68" s="2703"/>
    </row>
    <row r="69" spans="1:11" ht="16">
      <c r="A69" s="2299">
        <f t="array" ref="A69">IF(ISERROR(INDEX(PQLs!$B$3:$B$87, SMALL(IF(A$61=PQLs!$A$3:$A$87, ROW($A$3:$A$87)-ROW($A$3)+1), ROW(7:7)))),0,INDEX(PQLs!$B$3:$B$87, SMALL(IF(A$61=PQLs!$A$3:$A$87, ROW($A$3:$A$87)-ROW($A$3)+1), ROW(7:7))))</f>
        <v>0</v>
      </c>
      <c r="B69" s="2308" t="str">
        <f>IF(D61="Volume","Meter volume (L)","Total time (min)")</f>
        <v>Meter volume (L)</v>
      </c>
      <c r="C69" s="2311" t="e">
        <f>Total(Odour!#REF!,Odour!#REF!,Odour!#REF!,'Non-Isokinetic'!C63,'Non-Isokinetic'!C64,TiF)</f>
        <v>#VALUE!</v>
      </c>
      <c r="D69" s="2312" t="e">
        <f>Total(Odour!#REF!,Odour!#REF!,Odour!#REF!,'Non-Isokinetic'!D63,'Non-Isokinetic'!D64,TiF)</f>
        <v>#VALUE!</v>
      </c>
      <c r="F69" s="2701"/>
      <c r="G69" s="2702"/>
      <c r="H69" s="2702"/>
      <c r="I69" s="2702"/>
      <c r="J69" s="2702"/>
      <c r="K69" s="2703"/>
    </row>
    <row r="70" spans="1:11" ht="16">
      <c r="A70" s="2299">
        <f t="array" ref="A70">IF(ISERROR(INDEX(PQLs!$B$3:$B$87, SMALL(IF(A$61=PQLs!$A$3:$A$87, ROW($A$3:$A$87)-ROW($A$3)+1), ROW(8:8)))),0,INDEX(PQLs!$B$3:$B$87, SMALL(IF(A$61=PQLs!$A$3:$A$87, ROW($A$3:$A$87)-ROW($A$3)+1), ROW(8:8))))</f>
        <v>0</v>
      </c>
      <c r="B70" s="2313" t="str">
        <f>"Volume at "&amp;NTPSTP&amp;" (L)"</f>
        <v>Volume at STP (L)</v>
      </c>
      <c r="C70" s="2311" t="e">
        <f>VolumeCorrect(Odour!#REF!,NTPSTP,Odour!#REF!,Odour!#REF!,C69,BaroPress,'Non-Isokinetic'!C66,60000,TiF,VoF,BPF,TU)</f>
        <v>#VALUE!</v>
      </c>
      <c r="D70" s="2312" t="e">
        <f>VolumeCorrect(Odour!#REF!,NTPSTP,Odour!#REF!,Odour!#REF!,D69,BaroPress,'Non-Isokinetic'!D66,60000,TiF,VoF,BPF,TU)</f>
        <v>#VALUE!</v>
      </c>
      <c r="F70" s="2701"/>
      <c r="G70" s="2702"/>
      <c r="H70" s="2702"/>
      <c r="I70" s="2702"/>
      <c r="J70" s="2702"/>
      <c r="K70" s="2703"/>
    </row>
    <row r="71" spans="1:11" ht="16">
      <c r="A71" s="2299">
        <f t="array" ref="A71">IF(ISERROR(INDEX(PQLs!$B$3:$B$87, SMALL(IF(A$61=PQLs!$A$3:$A$87, ROW($A$3:$A$87)-ROW($A$3)+1), ROW(9:9)))),0,INDEX(PQLs!$B$3:$B$87, SMALL(IF(A$61=PQLs!$A$3:$A$87, ROW($A$3:$A$87)-ROW($A$3)+1), ROW(9:9))))</f>
        <v>0</v>
      </c>
      <c r="B71" s="2314"/>
      <c r="C71" s="2314"/>
      <c r="D71" s="2315"/>
      <c r="F71" s="2701"/>
      <c r="G71" s="2702"/>
      <c r="H71" s="2702"/>
      <c r="I71" s="2702"/>
      <c r="J71" s="2702"/>
      <c r="K71" s="2703"/>
    </row>
    <row r="72" spans="1:11" ht="17" thickBot="1">
      <c r="A72" s="2316"/>
      <c r="B72" s="2317"/>
      <c r="C72" s="2317"/>
      <c r="D72" s="2341" t="str">
        <f>IF(A61="","",IF(COUNTBLANK(C63:D68)=0,"Complete","Incomplete"))</f>
        <v/>
      </c>
      <c r="F72" s="2697"/>
      <c r="G72" s="2698"/>
      <c r="H72" s="2698"/>
      <c r="I72" s="2698"/>
      <c r="J72" s="2698"/>
      <c r="K72" s="2699"/>
    </row>
    <row r="74" spans="1:11" ht="17" thickBot="1">
      <c r="A74" s="2320" t="s">
        <v>2112</v>
      </c>
      <c r="B74" s="2321"/>
      <c r="C74" s="2321"/>
      <c r="D74" s="2321"/>
      <c r="F74" s="2320" t="s">
        <v>2118</v>
      </c>
    </row>
    <row r="75" spans="1:11" ht="16">
      <c r="A75" s="2259"/>
      <c r="B75" s="2294"/>
      <c r="C75" s="2323" t="s">
        <v>1948</v>
      </c>
      <c r="D75" s="2295" t="s">
        <v>1281</v>
      </c>
      <c r="F75" s="2704"/>
      <c r="G75" s="2705"/>
      <c r="H75" s="2705"/>
      <c r="I75" s="2705"/>
      <c r="J75" s="2705"/>
      <c r="K75" s="2706"/>
    </row>
    <row r="76" spans="1:11" ht="16">
      <c r="A76" s="2318" t="s">
        <v>2105</v>
      </c>
      <c r="B76" s="2296"/>
      <c r="C76" s="2297" t="s">
        <v>8</v>
      </c>
      <c r="D76" s="2298" t="s">
        <v>9</v>
      </c>
      <c r="F76" s="2701"/>
      <c r="G76" s="2702"/>
      <c r="H76" s="2702"/>
      <c r="I76" s="2702"/>
      <c r="J76" s="2702"/>
      <c r="K76" s="2703"/>
    </row>
    <row r="77" spans="1:11" ht="16">
      <c r="A77" s="2299">
        <f t="array" ref="A77">IF(ISERROR(INDEX(PQLs!$B$3:$B$87, SMALL(IF(A$75=PQLs!$A$3:$A$87, ROW($A$3:$A$87)-ROW($A$3)+1), ROW(1:1)))),0,INDEX(PQLs!$B$3:$B$87, SMALL(IF(A$75=PQLs!$A$3:$A$87, ROW($A$3:$A$87)-ROW($A$3)+1), ROW(1:1))))</f>
        <v>0</v>
      </c>
      <c r="B77" s="2300" t="s">
        <v>263</v>
      </c>
      <c r="C77" s="2301"/>
      <c r="D77" s="2302"/>
      <c r="F77" s="2701"/>
      <c r="G77" s="2702"/>
      <c r="H77" s="2702"/>
      <c r="I77" s="2702"/>
      <c r="J77" s="2702"/>
      <c r="K77" s="2703"/>
    </row>
    <row r="78" spans="1:11" ht="16">
      <c r="A78" s="2299">
        <f t="array" ref="A78">IF(ISERROR(INDEX(PQLs!$B$3:$B$87, SMALL(IF(A$75=PQLs!$A$3:$A$87, ROW($A$3:$A$87)-ROW($A$3)+1), ROW(2:2)))),0,INDEX(PQLs!$B$3:$B$87, SMALL(IF(A$75=PQLs!$A$3:$A$87, ROW($A$3:$A$87)-ROW($A$3)+1), ROW(2:2))))</f>
        <v>0</v>
      </c>
      <c r="B78" s="2303" t="s">
        <v>264</v>
      </c>
      <c r="C78" s="2301"/>
      <c r="D78" s="2302"/>
      <c r="F78" s="2701"/>
      <c r="G78" s="2702"/>
      <c r="H78" s="2702"/>
      <c r="I78" s="2702"/>
      <c r="J78" s="2702"/>
      <c r="K78" s="2703"/>
    </row>
    <row r="79" spans="1:11" ht="16">
      <c r="A79" s="2299">
        <f t="array" ref="A79">IF(ISERROR(INDEX(PQLs!$B$3:$B$87, SMALL(IF(A$75=PQLs!$A$3:$A$87, ROW($A$3:$A$87)-ROW($A$3)+1), ROW(3:3)))),0,INDEX(PQLs!$B$3:$B$87, SMALL(IF(A$75=PQLs!$A$3:$A$87, ROW($A$3:$A$87)-ROW($A$3)+1), ROW(3:3))))</f>
        <v>0</v>
      </c>
      <c r="B79" s="2303" t="s">
        <v>1206</v>
      </c>
      <c r="C79" s="2304"/>
      <c r="D79" s="2305"/>
      <c r="F79" s="2701"/>
      <c r="G79" s="2702"/>
      <c r="H79" s="2702"/>
      <c r="I79" s="2702"/>
      <c r="J79" s="2702"/>
      <c r="K79" s="2703"/>
    </row>
    <row r="80" spans="1:11" ht="16">
      <c r="A80" s="2299">
        <f t="array" ref="A80">IF(ISERROR(INDEX(PQLs!$B$3:$B$87, SMALL(IF(A$75=PQLs!$A$3:$A$87, ROW($A$3:$A$87)-ROW($A$3)+1), ROW(4:4)))),0,INDEX(PQLs!$B$3:$B$87, SMALL(IF(A$75=PQLs!$A$3:$A$87, ROW($A$3:$A$87)-ROW($A$3)+1), ROW(4:4))))</f>
        <v>0</v>
      </c>
      <c r="B80" s="2303" t="s">
        <v>1283</v>
      </c>
      <c r="C80" s="2306"/>
      <c r="D80" s="2307"/>
      <c r="F80" s="2701"/>
      <c r="G80" s="2702"/>
      <c r="H80" s="2702"/>
      <c r="I80" s="2702"/>
      <c r="J80" s="2702"/>
      <c r="K80" s="2703"/>
    </row>
    <row r="81" spans="1:11" ht="16">
      <c r="A81" s="2299">
        <f t="array" ref="A81">IF(ISERROR(INDEX(PQLs!$B$3:$B$87, SMALL(IF(A$75=PQLs!$A$3:$A$87, ROW($A$3:$A$87)-ROW($A$3)+1), ROW(5:5)))),0,INDEX(PQLs!$B$3:$B$87, SMALL(IF(A$75=PQLs!$A$3:$A$87, ROW($A$3:$A$87)-ROW($A$3)+1), ROW(5:5))))</f>
        <v>0</v>
      </c>
      <c r="B81" s="2308" t="str">
        <f>IF(D75="Volume","Initial volume (L)","Initial flow (ml/min)")</f>
        <v>Initial volume (L)</v>
      </c>
      <c r="C81" s="2309"/>
      <c r="D81" s="2310"/>
      <c r="F81" s="2701"/>
      <c r="G81" s="2702"/>
      <c r="H81" s="2702"/>
      <c r="I81" s="2702"/>
      <c r="J81" s="2702"/>
      <c r="K81" s="2703"/>
    </row>
    <row r="82" spans="1:11" ht="16">
      <c r="A82" s="2299">
        <f t="array" ref="A82">IF(ISERROR(INDEX(PQLs!$B$3:$B$87, SMALL(IF(A$75=PQLs!$A$3:$A$87, ROW($A$3:$A$87)-ROW($A$3)+1), ROW(6:6)))),0,INDEX(PQLs!$B$3:$B$87, SMALL(IF(A$75=PQLs!$A$3:$A$87, ROW($A$3:$A$87)-ROW($A$3)+1), ROW(6:6))))</f>
        <v>0</v>
      </c>
      <c r="B82" s="2308" t="str">
        <f>IF(D75="Volume","Final volume (L)","Final flow (ml/min)")</f>
        <v>Final volume (L)</v>
      </c>
      <c r="C82" s="2309"/>
      <c r="D82" s="2310"/>
      <c r="F82" s="2701"/>
      <c r="G82" s="2702"/>
      <c r="H82" s="2702"/>
      <c r="I82" s="2702"/>
      <c r="J82" s="2702"/>
      <c r="K82" s="2703"/>
    </row>
    <row r="83" spans="1:11" ht="16">
      <c r="A83" s="2299">
        <f t="array" ref="A83">IF(ISERROR(INDEX(PQLs!$B$3:$B$87, SMALL(IF(A$75=PQLs!$A$3:$A$87, ROW($A$3:$A$87)-ROW($A$3)+1), ROW(7:7)))),0,INDEX(PQLs!$B$3:$B$87, SMALL(IF(A$75=PQLs!$A$3:$A$87, ROW($A$3:$A$87)-ROW($A$3)+1), ROW(7:7))))</f>
        <v>0</v>
      </c>
      <c r="B83" s="2308" t="str">
        <f>IF(D75="Volume","Meter volume (L)","Total time (min)")</f>
        <v>Meter volume (L)</v>
      </c>
      <c r="C83" s="2311" t="e">
        <f>Total(Odour!#REF!,Odour!#REF!,Odour!#REF!,'Non-Isokinetic'!C77,'Non-Isokinetic'!C78,TiF)</f>
        <v>#VALUE!</v>
      </c>
      <c r="D83" s="2312" t="e">
        <f>Total(Odour!#REF!,Odour!#REF!,Odour!#REF!,'Non-Isokinetic'!D77,'Non-Isokinetic'!D78,TiF)</f>
        <v>#VALUE!</v>
      </c>
      <c r="F83" s="2701"/>
      <c r="G83" s="2702"/>
      <c r="H83" s="2702"/>
      <c r="I83" s="2702"/>
      <c r="J83" s="2702"/>
      <c r="K83" s="2703"/>
    </row>
    <row r="84" spans="1:11" ht="16">
      <c r="A84" s="2299">
        <f t="array" ref="A84">IF(ISERROR(INDEX(PQLs!$B$3:$B$87, SMALL(IF(A$75=PQLs!$A$3:$A$87, ROW($A$3:$A$87)-ROW($A$3)+1), ROW(8:8)))),0,INDEX(PQLs!$B$3:$B$87, SMALL(IF(A$75=PQLs!$A$3:$A$87, ROW($A$3:$A$87)-ROW($A$3)+1), ROW(8:8))))</f>
        <v>0</v>
      </c>
      <c r="B84" s="2313" t="str">
        <f>"Volume at "&amp;NTPSTP&amp;" (L)"</f>
        <v>Volume at STP (L)</v>
      </c>
      <c r="C84" s="2311" t="e">
        <f>VolumeCorrect(Odour!#REF!,NTPSTP,Odour!#REF!,Odour!#REF!,C83,BaroPress,'Non-Isokinetic'!C80,60000,TiF,VoF,BPF,TU)</f>
        <v>#VALUE!</v>
      </c>
      <c r="D84" s="2312" t="e">
        <f>VolumeCorrect(Odour!#REF!,NTPSTP,Odour!#REF!,Odour!#REF!,D83,BaroPress,'Non-Isokinetic'!D80,60000,TiF,VoF,BPF,TU)</f>
        <v>#VALUE!</v>
      </c>
      <c r="F84" s="2701"/>
      <c r="G84" s="2702"/>
      <c r="H84" s="2702"/>
      <c r="I84" s="2702"/>
      <c r="J84" s="2702"/>
      <c r="K84" s="2703"/>
    </row>
    <row r="85" spans="1:11" ht="16">
      <c r="A85" s="2299">
        <f t="array" ref="A85">IF(ISERROR(INDEX(PQLs!$B$3:$B$87, SMALL(IF(A$75=PQLs!$A$3:$A$87, ROW($A$3:$A$87)-ROW($A$3)+1), ROW(9:9)))),0,INDEX(PQLs!$B$3:$B$87, SMALL(IF(A$75=PQLs!$A$3:$A$87, ROW($A$3:$A$87)-ROW($A$3)+1), ROW(9:9))))</f>
        <v>0</v>
      </c>
      <c r="B85" s="2314"/>
      <c r="C85" s="2314"/>
      <c r="D85" s="2315"/>
      <c r="F85" s="2701"/>
      <c r="G85" s="2702"/>
      <c r="H85" s="2702"/>
      <c r="I85" s="2702"/>
      <c r="J85" s="2702"/>
      <c r="K85" s="2703"/>
    </row>
    <row r="86" spans="1:11" ht="17" thickBot="1">
      <c r="A86" s="2316"/>
      <c r="B86" s="2317"/>
      <c r="C86" s="2317"/>
      <c r="D86" s="2341" t="str">
        <f>IF(A75="","",IF(COUNTBLANK(C77:D82)=0,"Complete","Incomplete"))</f>
        <v/>
      </c>
      <c r="F86" s="2697"/>
      <c r="G86" s="2698"/>
      <c r="H86" s="2698"/>
      <c r="I86" s="2698"/>
      <c r="J86" s="2698"/>
      <c r="K86" s="2699"/>
    </row>
    <row r="88" spans="1:11" ht="17" thickBot="1">
      <c r="A88" s="2320" t="s">
        <v>2140</v>
      </c>
    </row>
    <row r="89" spans="1:11" ht="16">
      <c r="A89" s="2396"/>
      <c r="B89" s="2397"/>
      <c r="C89" s="2407" t="s">
        <v>1948</v>
      </c>
      <c r="D89" s="2295"/>
    </row>
    <row r="90" spans="1:11" ht="16">
      <c r="A90" s="2398"/>
      <c r="B90" s="2399"/>
      <c r="C90" s="2408" t="s">
        <v>8</v>
      </c>
      <c r="D90" s="2409" t="s">
        <v>9</v>
      </c>
    </row>
    <row r="91" spans="1:11" ht="16">
      <c r="A91" s="2398"/>
      <c r="B91" s="2400" t="s">
        <v>263</v>
      </c>
      <c r="C91" s="2301"/>
      <c r="D91" s="2302"/>
    </row>
    <row r="92" spans="1:11" ht="16">
      <c r="A92" s="2398"/>
      <c r="B92" s="2401" t="s">
        <v>264</v>
      </c>
      <c r="C92" s="2301"/>
      <c r="D92" s="2302"/>
    </row>
    <row r="93" spans="1:11" ht="16">
      <c r="A93" s="2398"/>
      <c r="B93" s="2401" t="s">
        <v>1206</v>
      </c>
      <c r="C93" s="2304"/>
      <c r="D93" s="2305"/>
    </row>
    <row r="94" spans="1:11" ht="16">
      <c r="A94" s="2398"/>
      <c r="B94" s="2401" t="s">
        <v>1283</v>
      </c>
      <c r="C94" s="2306"/>
      <c r="D94" s="2307"/>
    </row>
    <row r="95" spans="1:11" ht="16">
      <c r="A95" s="2398"/>
      <c r="B95" s="2402" t="str">
        <f>IF(D89="Volume","Initial volume (L)","Initial flow (ml/min)")</f>
        <v>Initial flow (ml/min)</v>
      </c>
      <c r="C95" s="2309"/>
      <c r="D95" s="2310"/>
    </row>
    <row r="96" spans="1:11" ht="16">
      <c r="A96" s="2398"/>
      <c r="B96" s="2402" t="str">
        <f>IF(D89="Volume","Final volume (L)","Final flow (ml/min)")</f>
        <v>Final flow (ml/min)</v>
      </c>
      <c r="C96" s="2309"/>
      <c r="D96" s="2310"/>
    </row>
    <row r="97" spans="1:4" ht="16">
      <c r="A97" s="2398"/>
      <c r="B97" s="2402" t="str">
        <f>IF(D89="Volume","Meter volume (L)","Total time (min)")</f>
        <v>Total time (min)</v>
      </c>
      <c r="C97" s="2410" t="e">
        <f>Total(Odour!#REF!,Odour!#REF!,Odour!#REF!,'Non-Isokinetic'!C91,'Non-Isokinetic'!C92,TiF)</f>
        <v>#VALUE!</v>
      </c>
      <c r="D97" s="2411" t="e">
        <f>Total(Odour!#REF!,Odour!#REF!,Odour!#REF!,'Non-Isokinetic'!D91,'Non-Isokinetic'!D92,TiF)</f>
        <v>#VALUE!</v>
      </c>
    </row>
    <row r="98" spans="1:4" ht="16">
      <c r="A98" s="2398"/>
      <c r="B98" s="2403" t="str">
        <f>"Volume at "&amp;NTPSTP&amp;" (L)"</f>
        <v>Volume at STP (L)</v>
      </c>
      <c r="C98" s="2410" t="e">
        <f>VolumeCorrect(Odour!#REF!,NTPSTP,Odour!#REF!,Odour!#REF!,C97,BaroPress,'Non-Isokinetic'!C94,60000,TiF,VoF,BPF,TU)</f>
        <v>#VALUE!</v>
      </c>
      <c r="D98" s="2411" t="e">
        <f>VolumeCorrect(Odour!#REF!,NTPSTP,Odour!#REF!,Odour!#REF!,D97,BaroPress,'Non-Isokinetic'!D94,60000,TiF,VoF,BPF,TU)</f>
        <v>#VALUE!</v>
      </c>
    </row>
    <row r="99" spans="1:4" ht="16">
      <c r="A99" s="2398"/>
      <c r="B99" s="2404"/>
      <c r="C99" s="2404"/>
      <c r="D99" s="2412"/>
    </row>
    <row r="100" spans="1:4" ht="17" thickBot="1">
      <c r="A100" s="2405"/>
      <c r="B100" s="2406"/>
      <c r="C100" s="2406"/>
      <c r="D100" s="2413"/>
    </row>
  </sheetData>
  <sheetProtection sheet="1"/>
  <mergeCells count="75">
    <mergeCell ref="F15:K15"/>
    <mergeCell ref="F5:K5"/>
    <mergeCell ref="F6:K6"/>
    <mergeCell ref="F7:K7"/>
    <mergeCell ref="F8:K8"/>
    <mergeCell ref="F9:K9"/>
    <mergeCell ref="F10:K10"/>
    <mergeCell ref="F11:K11"/>
    <mergeCell ref="F12:K12"/>
    <mergeCell ref="F13:K13"/>
    <mergeCell ref="F14:K14"/>
    <mergeCell ref="F29:K29"/>
    <mergeCell ref="F16:K16"/>
    <mergeCell ref="F19:K19"/>
    <mergeCell ref="F20:K20"/>
    <mergeCell ref="F21:K21"/>
    <mergeCell ref="F22:K22"/>
    <mergeCell ref="F23:K23"/>
    <mergeCell ref="F24:K24"/>
    <mergeCell ref="F25:K25"/>
    <mergeCell ref="F26:K26"/>
    <mergeCell ref="F27:K27"/>
    <mergeCell ref="F28:K28"/>
    <mergeCell ref="F43:K43"/>
    <mergeCell ref="F30:K30"/>
    <mergeCell ref="F33:K33"/>
    <mergeCell ref="F34:K34"/>
    <mergeCell ref="F35:K35"/>
    <mergeCell ref="F36:K36"/>
    <mergeCell ref="F37:K37"/>
    <mergeCell ref="F38:K38"/>
    <mergeCell ref="F39:K39"/>
    <mergeCell ref="F40:K40"/>
    <mergeCell ref="F41:K41"/>
    <mergeCell ref="F42:K42"/>
    <mergeCell ref="F57:K57"/>
    <mergeCell ref="F44:K44"/>
    <mergeCell ref="F47:K47"/>
    <mergeCell ref="F48:K48"/>
    <mergeCell ref="F49:K49"/>
    <mergeCell ref="F50:K50"/>
    <mergeCell ref="F51:K51"/>
    <mergeCell ref="F52:K52"/>
    <mergeCell ref="F53:K53"/>
    <mergeCell ref="F54:K54"/>
    <mergeCell ref="F55:K55"/>
    <mergeCell ref="F56:K56"/>
    <mergeCell ref="F71:K71"/>
    <mergeCell ref="F58:K58"/>
    <mergeCell ref="F61:K61"/>
    <mergeCell ref="F62:K62"/>
    <mergeCell ref="F63:K63"/>
    <mergeCell ref="F64:K64"/>
    <mergeCell ref="F65:K65"/>
    <mergeCell ref="F66:K66"/>
    <mergeCell ref="F67:K67"/>
    <mergeCell ref="F68:K68"/>
    <mergeCell ref="F69:K69"/>
    <mergeCell ref="F70:K70"/>
    <mergeCell ref="F86:K86"/>
    <mergeCell ref="C1:D1"/>
    <mergeCell ref="C2:D2"/>
    <mergeCell ref="C3:D3"/>
    <mergeCell ref="F80:K80"/>
    <mergeCell ref="F81:K81"/>
    <mergeCell ref="F82:K82"/>
    <mergeCell ref="F83:K83"/>
    <mergeCell ref="F84:K84"/>
    <mergeCell ref="F85:K85"/>
    <mergeCell ref="F72:K72"/>
    <mergeCell ref="F75:K75"/>
    <mergeCell ref="F76:K76"/>
    <mergeCell ref="F77:K77"/>
    <mergeCell ref="F78:K78"/>
    <mergeCell ref="F79:K79"/>
  </mergeCells>
  <conditionalFormatting sqref="D16">
    <cfRule type="containsText" dxfId="164" priority="11" operator="containsText" text="Incomplete">
      <formula>NOT(ISERROR(SEARCH("Incomplete",D16)))</formula>
    </cfRule>
    <cfRule type="containsText" dxfId="163" priority="12" operator="containsText" text="Complete">
      <formula>NOT(ISERROR(SEARCH("Complete",D16)))</formula>
    </cfRule>
  </conditionalFormatting>
  <conditionalFormatting sqref="D30">
    <cfRule type="containsText" dxfId="162" priority="9" operator="containsText" text="Incomplete">
      <formula>NOT(ISERROR(SEARCH("Incomplete",D30)))</formula>
    </cfRule>
    <cfRule type="containsText" dxfId="161" priority="10" operator="containsText" text="Complete">
      <formula>NOT(ISERROR(SEARCH("Complete",D30)))</formula>
    </cfRule>
  </conditionalFormatting>
  <conditionalFormatting sqref="D44">
    <cfRule type="containsText" dxfId="160" priority="7" operator="containsText" text="Incomplete">
      <formula>NOT(ISERROR(SEARCH("Incomplete",D44)))</formula>
    </cfRule>
    <cfRule type="containsText" dxfId="159" priority="8" operator="containsText" text="Complete">
      <formula>NOT(ISERROR(SEARCH("Complete",D44)))</formula>
    </cfRule>
  </conditionalFormatting>
  <conditionalFormatting sqref="D58">
    <cfRule type="containsText" dxfId="158" priority="5" operator="containsText" text="Incomplete">
      <formula>NOT(ISERROR(SEARCH("Incomplete",D58)))</formula>
    </cfRule>
    <cfRule type="containsText" dxfId="157" priority="6" operator="containsText" text="Complete">
      <formula>NOT(ISERROR(SEARCH("Complete",D58)))</formula>
    </cfRule>
  </conditionalFormatting>
  <conditionalFormatting sqref="D72">
    <cfRule type="containsText" dxfId="156" priority="3" operator="containsText" text="Incomplete">
      <formula>NOT(ISERROR(SEARCH("Incomplete",D72)))</formula>
    </cfRule>
    <cfRule type="containsText" dxfId="155" priority="4" operator="containsText" text="Complete">
      <formula>NOT(ISERROR(SEARCH("Complete",D72)))</formula>
    </cfRule>
  </conditionalFormatting>
  <conditionalFormatting sqref="D86">
    <cfRule type="containsText" dxfId="154" priority="1" operator="containsText" text="Incomplete">
      <formula>NOT(ISERROR(SEARCH("Incomplete",D86)))</formula>
    </cfRule>
    <cfRule type="containsText" dxfId="153" priority="2" operator="containsText" text="Complete">
      <formula>NOT(ISERROR(SEARCH("Complete",D86)))</formula>
    </cfRule>
  </conditionalFormatting>
  <dataValidations count="2">
    <dataValidation type="list" allowBlank="1" showInputMessage="1" showErrorMessage="1" sqref="A5 A19 A33 A47 A61 A75">
      <formula1>NonisoList</formula1>
    </dataValidation>
    <dataValidation type="list" allowBlank="1" showInputMessage="1" showErrorMessage="1" sqref="D5 D19 D33 D47 D61 D75 D89">
      <formula1>VolumeMode</formula1>
    </dataValidation>
  </dataValidations>
  <pageMargins left="0.7" right="0.7" top="0.75" bottom="0.75" header="0.3" footer="0.3"/>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indexed="43"/>
  </sheetPr>
  <dimension ref="A1:Z49"/>
  <sheetViews>
    <sheetView zoomScale="145" zoomScaleNormal="145" zoomScalePageLayoutView="145" workbookViewId="0">
      <selection activeCell="F7" sqref="F7"/>
    </sheetView>
  </sheetViews>
  <sheetFormatPr baseColWidth="10" defaultColWidth="8.7109375" defaultRowHeight="10.5" customHeight="1" x14ac:dyDescent="0"/>
  <cols>
    <col min="1" max="1" width="15.7109375" style="580" customWidth="1"/>
    <col min="2" max="2" width="8.42578125" style="580" customWidth="1"/>
    <col min="3" max="3" width="9" style="580" customWidth="1"/>
    <col min="4" max="4" width="9.28515625" style="580" customWidth="1"/>
    <col min="5" max="6" width="8.42578125" style="580" customWidth="1"/>
    <col min="7" max="7" width="9.28515625" style="580" customWidth="1"/>
    <col min="8" max="8" width="8.42578125" style="580" customWidth="1"/>
    <col min="9" max="9" width="8.42578125" style="580" hidden="1" customWidth="1"/>
    <col min="10" max="10" width="8.7109375" style="580" customWidth="1"/>
    <col min="11" max="11" width="8.42578125" style="580" customWidth="1"/>
    <col min="12" max="12" width="8.42578125" style="580" hidden="1" customWidth="1"/>
    <col min="13" max="22" width="8.42578125" style="580" customWidth="1"/>
    <col min="23" max="16384" width="8.7109375" style="580"/>
  </cols>
  <sheetData>
    <row r="1" spans="1:26" ht="10.5" customHeight="1">
      <c r="A1" s="268" t="s">
        <v>1330</v>
      </c>
      <c r="B1" s="575" t="e">
        <f>AverageStackTemp</f>
        <v>#DIV/0!</v>
      </c>
      <c r="C1" s="121" t="str">
        <f>TU</f>
        <v>°C</v>
      </c>
      <c r="D1" s="121"/>
      <c r="E1" s="291" t="s">
        <v>1293</v>
      </c>
      <c r="F1" s="575">
        <f>IF(ISNUMBER(MoistureCont),MoistureCont,svc)</f>
        <v>1</v>
      </c>
      <c r="G1" s="576" t="s">
        <v>1201</v>
      </c>
      <c r="H1" s="577" t="s">
        <v>1343</v>
      </c>
      <c r="I1" s="578"/>
      <c r="J1" s="122">
        <f>Client</f>
        <v>0</v>
      </c>
      <c r="K1" s="578"/>
      <c r="L1" s="578"/>
      <c r="M1" s="579"/>
    </row>
    <row r="2" spans="1:26" ht="10.5" customHeight="1" thickBot="1">
      <c r="A2" s="581" t="s">
        <v>1300</v>
      </c>
      <c r="B2" s="154" t="e">
        <f>AverageFlowDis</f>
        <v>#DIV/0!</v>
      </c>
      <c r="C2" s="123" t="str">
        <f>FU</f>
        <v>m³/min</v>
      </c>
      <c r="D2" s="123"/>
      <c r="E2" s="165" t="s">
        <v>1331</v>
      </c>
      <c r="F2" s="154" t="e">
        <f>svc(OdourAirTemp,TU,AbsPress1)</f>
        <v>#VALUE!</v>
      </c>
      <c r="G2" s="346" t="s">
        <v>1201</v>
      </c>
      <c r="H2" s="582" t="s">
        <v>1204</v>
      </c>
      <c r="I2" s="583"/>
      <c r="J2" s="124">
        <f>StackID</f>
        <v>0</v>
      </c>
      <c r="K2" s="583"/>
      <c r="L2" s="583"/>
      <c r="M2" s="584"/>
    </row>
    <row r="3" spans="1:26" ht="10.5" customHeight="1">
      <c r="A3" s="581" t="s">
        <v>1301</v>
      </c>
      <c r="B3" s="154" t="e">
        <f>AverageFlowWet</f>
        <v>#DIV/0!</v>
      </c>
      <c r="C3" s="123" t="str">
        <f>FU</f>
        <v>m³/min</v>
      </c>
      <c r="D3" s="123"/>
      <c r="E3" s="165" t="s">
        <v>1328</v>
      </c>
      <c r="F3" s="154" t="str">
        <f>IF(ISNUMBER(F2),F1/F2,"")</f>
        <v/>
      </c>
      <c r="G3" s="346"/>
      <c r="H3" s="346" t="s">
        <v>1196</v>
      </c>
      <c r="I3" s="585"/>
      <c r="J3" s="586">
        <f>Date</f>
        <v>0</v>
      </c>
      <c r="K3" s="585"/>
      <c r="L3" s="585"/>
      <c r="M3" s="587"/>
      <c r="T3" s="176" t="s">
        <v>1338</v>
      </c>
      <c r="U3" s="192" t="s">
        <v>1336</v>
      </c>
      <c r="V3" s="574" t="s">
        <v>1337</v>
      </c>
    </row>
    <row r="4" spans="1:26" ht="10.5" customHeight="1" thickBot="1">
      <c r="A4" s="588" t="s">
        <v>1276</v>
      </c>
      <c r="B4" s="589" t="e">
        <f>AverageFlowDry</f>
        <v>#DIV/0!</v>
      </c>
      <c r="C4" s="131" t="str">
        <f>FU</f>
        <v>m³/min</v>
      </c>
      <c r="D4" s="131"/>
      <c r="E4" s="290" t="s">
        <v>1214</v>
      </c>
      <c r="F4" s="589" t="e">
        <f>AverageVelocity</f>
        <v>#DIV/0!</v>
      </c>
      <c r="G4" s="590" t="str">
        <f>VU</f>
        <v>m/s</v>
      </c>
      <c r="H4" s="590"/>
      <c r="I4" s="590"/>
      <c r="J4" s="590"/>
      <c r="K4" s="590"/>
      <c r="L4" s="590"/>
      <c r="M4" s="591"/>
      <c r="T4" s="603">
        <f>IF(F16="",2,4)</f>
        <v>2</v>
      </c>
      <c r="U4" s="604">
        <v>1.96</v>
      </c>
      <c r="V4" s="605">
        <f>VLOOKUP($T$4,StdDev,3,FALSE)</f>
        <v>0.24342858049128085</v>
      </c>
    </row>
    <row r="5" spans="1:26" ht="10.5" customHeight="1" thickBot="1">
      <c r="A5" s="1989"/>
      <c r="B5" s="646"/>
      <c r="C5" s="646"/>
      <c r="D5" s="646"/>
      <c r="E5" s="646"/>
      <c r="F5" s="646"/>
      <c r="G5" s="646"/>
      <c r="H5" s="646"/>
      <c r="I5" s="646"/>
      <c r="J5" s="646"/>
      <c r="K5" s="646"/>
      <c r="L5" s="646"/>
      <c r="M5" s="1990"/>
      <c r="P5" s="1926"/>
      <c r="T5" s="609">
        <v>1</v>
      </c>
      <c r="U5" s="610">
        <f t="shared" ref="U5:U14" si="0">TINV(0.05,T5)</f>
        <v>12.706204736174707</v>
      </c>
      <c r="V5" s="989">
        <f>2*0.17213/SQRT(T5)</f>
        <v>0.34426000000000001</v>
      </c>
    </row>
    <row r="6" spans="1:26" ht="10.5" customHeight="1">
      <c r="A6" s="592" t="s">
        <v>1195</v>
      </c>
      <c r="B6" s="593"/>
      <c r="C6" s="593"/>
      <c r="D6" s="593"/>
      <c r="E6" s="2362" t="s">
        <v>1947</v>
      </c>
      <c r="F6" s="2363" t="s">
        <v>8</v>
      </c>
      <c r="G6" s="2363" t="s">
        <v>9</v>
      </c>
      <c r="H6" s="2721" t="s">
        <v>1946</v>
      </c>
      <c r="I6" s="2721"/>
      <c r="J6" s="2721"/>
      <c r="K6" s="2364" t="s">
        <v>8</v>
      </c>
      <c r="L6" s="2365"/>
      <c r="M6" s="2366" t="s">
        <v>9</v>
      </c>
      <c r="O6" s="1571"/>
      <c r="T6" s="612">
        <v>2</v>
      </c>
      <c r="U6" s="613">
        <f t="shared" si="0"/>
        <v>4.3026527297494637</v>
      </c>
      <c r="V6" s="990">
        <f t="shared" ref="V6:V14" si="1">2*0.17213/SQRT(T6)</f>
        <v>0.24342858049128085</v>
      </c>
      <c r="Z6" s="649"/>
    </row>
    <row r="7" spans="1:26" ht="10.5" customHeight="1">
      <c r="A7" s="597"/>
      <c r="B7" s="606" t="s">
        <v>358</v>
      </c>
      <c r="C7" s="1985"/>
      <c r="D7" s="598"/>
      <c r="E7" s="608" t="s">
        <v>1617</v>
      </c>
      <c r="F7" s="1323"/>
      <c r="G7" s="1323"/>
      <c r="H7" s="601"/>
      <c r="I7" s="169"/>
      <c r="J7" s="602" t="s">
        <v>1918</v>
      </c>
      <c r="K7" s="824" t="e">
        <f>(F10+F13)/F13</f>
        <v>#DIV/0!</v>
      </c>
      <c r="L7" s="632" t="e">
        <f>(#REF!+L8)/L8</f>
        <v>#REF!</v>
      </c>
      <c r="M7" s="634" t="e">
        <f>(G10+G13)/G13</f>
        <v>#DIV/0!</v>
      </c>
      <c r="T7" s="612">
        <v>3</v>
      </c>
      <c r="U7" s="613">
        <f t="shared" si="0"/>
        <v>3.1824463052837091</v>
      </c>
      <c r="V7" s="990">
        <f t="shared" si="1"/>
        <v>0.19875860367122059</v>
      </c>
      <c r="Z7" s="649"/>
    </row>
    <row r="8" spans="1:26" ht="10.5" customHeight="1">
      <c r="A8" s="597"/>
      <c r="B8" s="606" t="s">
        <v>626</v>
      </c>
      <c r="C8" s="1985"/>
      <c r="D8" s="607"/>
      <c r="E8" s="599" t="s">
        <v>263</v>
      </c>
      <c r="F8" s="600"/>
      <c r="G8" s="600"/>
      <c r="H8" s="601"/>
      <c r="I8" s="169"/>
      <c r="J8" s="608" t="s">
        <v>355</v>
      </c>
      <c r="K8" s="1986"/>
      <c r="L8" s="1994"/>
      <c r="M8" s="1995"/>
      <c r="T8" s="612">
        <v>4</v>
      </c>
      <c r="U8" s="613">
        <f t="shared" si="0"/>
        <v>2.7764451051977934</v>
      </c>
      <c r="V8" s="990">
        <f t="shared" si="1"/>
        <v>0.17213000000000001</v>
      </c>
      <c r="Z8" s="649"/>
    </row>
    <row r="9" spans="1:26" ht="10.5" customHeight="1">
      <c r="A9" s="597"/>
      <c r="B9" s="608" t="s">
        <v>623</v>
      </c>
      <c r="C9" s="1986">
        <v>41649</v>
      </c>
      <c r="D9" s="607"/>
      <c r="E9" s="608" t="s">
        <v>264</v>
      </c>
      <c r="F9" s="600"/>
      <c r="G9" s="600"/>
      <c r="H9" s="611"/>
      <c r="I9" s="169"/>
      <c r="J9" s="608" t="s">
        <v>356</v>
      </c>
      <c r="K9" s="1985"/>
      <c r="L9" s="1993"/>
      <c r="M9" s="1925"/>
      <c r="T9" s="612">
        <v>5</v>
      </c>
      <c r="U9" s="613">
        <f t="shared" si="0"/>
        <v>2.570581835636315</v>
      </c>
      <c r="V9" s="990">
        <f t="shared" si="1"/>
        <v>0.15395775238681553</v>
      </c>
      <c r="Z9" s="649"/>
    </row>
    <row r="10" spans="1:26" ht="10.5" customHeight="1">
      <c r="A10" s="60"/>
      <c r="B10" s="607"/>
      <c r="C10" s="607"/>
      <c r="D10" s="607"/>
      <c r="E10" s="602" t="s">
        <v>1922</v>
      </c>
      <c r="F10" s="2061"/>
      <c r="G10" s="1323"/>
      <c r="H10" s="611"/>
      <c r="I10" s="169"/>
      <c r="J10" s="602" t="s">
        <v>1920</v>
      </c>
      <c r="K10" s="660">
        <v>1</v>
      </c>
      <c r="L10" s="660"/>
      <c r="M10" s="1925">
        <v>1</v>
      </c>
      <c r="T10" s="612">
        <v>6</v>
      </c>
      <c r="U10" s="613">
        <f t="shared" si="0"/>
        <v>2.4469118511449697</v>
      </c>
      <c r="V10" s="990">
        <f t="shared" si="1"/>
        <v>0.14054355647508951</v>
      </c>
      <c r="Z10" s="649"/>
    </row>
    <row r="11" spans="1:26" ht="10.5" customHeight="1" thickBot="1">
      <c r="A11" s="1108"/>
      <c r="B11" s="583"/>
      <c r="C11" s="583"/>
      <c r="D11" s="583"/>
      <c r="E11" s="602" t="str">
        <f>IF(C12="Volume","Initial volume (L)","Initial flow (ml/min)")</f>
        <v>Initial volume (L)</v>
      </c>
      <c r="F11" s="1323"/>
      <c r="G11" s="1323"/>
      <c r="H11" s="611"/>
      <c r="I11" s="169"/>
      <c r="J11" s="614" t="s">
        <v>1700</v>
      </c>
      <c r="K11" s="2722">
        <v>40</v>
      </c>
      <c r="L11" s="2723"/>
      <c r="M11" s="2724"/>
      <c r="O11" s="2734" t="s">
        <v>1242</v>
      </c>
      <c r="P11" s="2734"/>
      <c r="Q11" s="2734"/>
      <c r="R11" s="2734"/>
      <c r="T11" s="612">
        <v>7</v>
      </c>
      <c r="U11" s="613">
        <f t="shared" si="0"/>
        <v>2.3646242515927849</v>
      </c>
      <c r="V11" s="990">
        <f t="shared" si="1"/>
        <v>0.13011804947815656</v>
      </c>
      <c r="Z11" s="649"/>
    </row>
    <row r="12" spans="1:26" ht="10.5" customHeight="1">
      <c r="A12" s="1108"/>
      <c r="B12" s="602" t="s">
        <v>1948</v>
      </c>
      <c r="C12" s="1992" t="s">
        <v>1281</v>
      </c>
      <c r="D12" s="583"/>
      <c r="E12" s="602" t="str">
        <f>IF(C12="Volume","Final volume (L)","Final flow (ml/min)")</f>
        <v>Final volume (L)</v>
      </c>
      <c r="F12" s="2061"/>
      <c r="G12" s="1323"/>
      <c r="H12" s="611"/>
      <c r="I12" s="169"/>
      <c r="J12" s="614"/>
      <c r="K12" s="614"/>
      <c r="L12" s="614"/>
      <c r="M12" s="1991"/>
      <c r="O12" s="2713" t="str">
        <f>A6</f>
        <v>Odour</v>
      </c>
      <c r="P12" s="2714"/>
      <c r="Q12" s="2714"/>
      <c r="R12" s="2715"/>
      <c r="T12" s="612">
        <v>8</v>
      </c>
      <c r="U12" s="613">
        <f t="shared" si="0"/>
        <v>2.3060041352041671</v>
      </c>
      <c r="V12" s="990">
        <f t="shared" si="1"/>
        <v>0.12171429024564043</v>
      </c>
      <c r="Z12" s="649"/>
    </row>
    <row r="13" spans="1:26" ht="10.5" customHeight="1">
      <c r="A13" s="1108"/>
      <c r="B13" s="583"/>
      <c r="C13" s="583"/>
      <c r="D13" s="583"/>
      <c r="E13" s="602" t="s">
        <v>1923</v>
      </c>
      <c r="F13" s="643">
        <f>TotalODour($C$12,F11,F12,F8,F9,TiF)</f>
        <v>0</v>
      </c>
      <c r="G13" s="643">
        <f>TotalODour($C$12,G11,G12,G8,G9,TiF)</f>
        <v>0</v>
      </c>
      <c r="H13" s="611"/>
      <c r="I13" s="169"/>
      <c r="J13" s="614"/>
      <c r="K13" s="614"/>
      <c r="L13" s="614"/>
      <c r="M13" s="1991"/>
      <c r="O13" s="2735"/>
      <c r="P13" s="2736"/>
      <c r="Q13" s="2736"/>
      <c r="R13" s="2737"/>
      <c r="T13" s="612">
        <v>9</v>
      </c>
      <c r="U13" s="613">
        <f t="shared" si="0"/>
        <v>2.2621571627982053</v>
      </c>
      <c r="V13" s="990">
        <f t="shared" si="1"/>
        <v>0.11475333333333333</v>
      </c>
      <c r="Z13" s="649"/>
    </row>
    <row r="14" spans="1:26" ht="10.5" customHeight="1">
      <c r="A14" s="615"/>
      <c r="B14" s="2718" t="s">
        <v>8</v>
      </c>
      <c r="C14" s="2719"/>
      <c r="D14" s="2719"/>
      <c r="E14" s="2718" t="s">
        <v>9</v>
      </c>
      <c r="F14" s="2719"/>
      <c r="G14" s="2720"/>
      <c r="H14" s="616" t="s">
        <v>1371</v>
      </c>
      <c r="I14" s="616" t="s">
        <v>97</v>
      </c>
      <c r="J14" s="617" t="s">
        <v>1202</v>
      </c>
      <c r="K14" s="616" t="s">
        <v>1371</v>
      </c>
      <c r="L14" s="616" t="s">
        <v>97</v>
      </c>
      <c r="M14" s="618" t="s">
        <v>1202</v>
      </c>
      <c r="O14" s="619" t="s">
        <v>1279</v>
      </c>
      <c r="P14" s="616" t="s">
        <v>1371</v>
      </c>
      <c r="Q14" s="616" t="s">
        <v>97</v>
      </c>
      <c r="R14" s="618" t="s">
        <v>1202</v>
      </c>
      <c r="T14" s="612">
        <v>10</v>
      </c>
      <c r="U14" s="613">
        <f t="shared" si="0"/>
        <v>2.2281388519862744</v>
      </c>
      <c r="V14" s="990">
        <f t="shared" si="1"/>
        <v>0.10886457072895663</v>
      </c>
      <c r="Z14" s="649"/>
    </row>
    <row r="15" spans="1:26" ht="10.5" customHeight="1" thickBot="1">
      <c r="A15" s="620"/>
      <c r="B15" s="621" t="s">
        <v>1333</v>
      </c>
      <c r="C15" s="622" t="s">
        <v>1919</v>
      </c>
      <c r="D15" s="623" t="s">
        <v>1921</v>
      </c>
      <c r="E15" s="621" t="s">
        <v>1333</v>
      </c>
      <c r="F15" s="622" t="s">
        <v>1919</v>
      </c>
      <c r="G15" s="623" t="s">
        <v>1921</v>
      </c>
      <c r="H15" s="621" t="s">
        <v>1340</v>
      </c>
      <c r="I15" s="624" t="s">
        <v>1340</v>
      </c>
      <c r="J15" s="625" t="str">
        <f>ORU</f>
        <v>oum³/min</v>
      </c>
      <c r="K15" s="621" t="s">
        <v>1340</v>
      </c>
      <c r="L15" s="624" t="s">
        <v>1340</v>
      </c>
      <c r="M15" s="626" t="str">
        <f>ORU</f>
        <v>oum³/min</v>
      </c>
      <c r="O15" s="627" t="s">
        <v>1333</v>
      </c>
      <c r="P15" s="628" t="s">
        <v>1340</v>
      </c>
      <c r="Q15" s="628" t="s">
        <v>1340</v>
      </c>
      <c r="R15" s="629" t="str">
        <f>ORU</f>
        <v>oum³/min</v>
      </c>
      <c r="T15" s="641" t="s">
        <v>1396</v>
      </c>
      <c r="U15" s="642">
        <v>1.96</v>
      </c>
      <c r="V15" s="991"/>
      <c r="Z15" s="649"/>
    </row>
    <row r="16" spans="1:26" ht="10.5" customHeight="1">
      <c r="A16" s="359" t="s">
        <v>1463</v>
      </c>
      <c r="B16" s="630"/>
      <c r="C16" s="660"/>
      <c r="D16" s="633" t="e">
        <f>IF(F13="","",K7*K10)</f>
        <v>#DIV/0!</v>
      </c>
      <c r="E16" s="630"/>
      <c r="F16" s="660"/>
      <c r="G16" s="633" t="e">
        <f>IF(G13="","",M7*M10)</f>
        <v>#DIV/0!</v>
      </c>
      <c r="H16" s="631" t="str">
        <f>IF(C16="","",D16*C16)</f>
        <v/>
      </c>
      <c r="I16" s="632"/>
      <c r="J16" s="633" t="str">
        <f>IF(H16="","",H16*$B$3/FF*ORF)</f>
        <v/>
      </c>
      <c r="K16" s="631" t="str">
        <f>IF(F16="","",G16*F16)</f>
        <v/>
      </c>
      <c r="L16" s="632"/>
      <c r="M16" s="634" t="str">
        <f>IF(K16="","",K16*$B$3/FF*ORF)</f>
        <v/>
      </c>
      <c r="O16" s="635" t="str">
        <f>IF(AND(ISTEXT(B16),ISTEXT(E16)),"&lt;",IF(OR(ISTEXT(B16),ISTEXT(E16)),"≤",""))</f>
        <v/>
      </c>
      <c r="P16" s="631" t="str">
        <f>IF(OR(ISNUMBER(H16),ISNUMBER(K16)),AVERAGE(H16,K16),"")</f>
        <v/>
      </c>
      <c r="Q16" s="632"/>
      <c r="R16" s="634" t="str">
        <f>IF(OR(ISNUMBER(J16),ISNUMBER(M16)),AVERAGE(J16,M16),"")</f>
        <v/>
      </c>
      <c r="T16" s="176" t="s">
        <v>1338</v>
      </c>
      <c r="U16" s="192" t="s">
        <v>1336</v>
      </c>
      <c r="V16" s="574" t="s">
        <v>1337</v>
      </c>
      <c r="Y16" s="649"/>
      <c r="Z16" s="649"/>
    </row>
    <row r="17" spans="1:26" ht="10.5" customHeight="1">
      <c r="A17" s="359" t="s">
        <v>227</v>
      </c>
      <c r="B17" s="2710"/>
      <c r="C17" s="2716"/>
      <c r="D17" s="2717"/>
      <c r="E17" s="2710"/>
      <c r="F17" s="2711"/>
      <c r="G17" s="2712"/>
      <c r="H17" s="636" t="str">
        <f>IF(H$16="","",10^(LOG(H$16)-Odour!$U$4*Odour!$V$6/SQRT(Odour!$T$6)))</f>
        <v/>
      </c>
      <c r="I17" s="632"/>
      <c r="J17" s="633"/>
      <c r="K17" s="631" t="str">
        <f>IF(K$16="","",10^(LOG(K$16)-Odour!$U$4*Odour!$V$6/SQRT(Odour!$T$6)))</f>
        <v/>
      </c>
      <c r="L17" s="632"/>
      <c r="M17" s="634"/>
      <c r="O17" s="635"/>
      <c r="P17" s="631" t="str">
        <f>IF(P$16="","",10^(LOG(P$16)-Odour!$U$4*Odour!$V$4/SQRT(Odour!$T$4)))</f>
        <v/>
      </c>
      <c r="Q17" s="632"/>
      <c r="R17" s="634"/>
      <c r="T17" s="603">
        <f>IF(F29="",2,4)</f>
        <v>2</v>
      </c>
      <c r="U17" s="604">
        <v>1.96</v>
      </c>
      <c r="V17" s="605">
        <f>VLOOKUP($T$4,StdDev,3,FALSE)</f>
        <v>0.24342858049128085</v>
      </c>
      <c r="Y17" s="649"/>
      <c r="Z17" s="649"/>
    </row>
    <row r="18" spans="1:26" ht="10.5" customHeight="1" thickBot="1">
      <c r="A18" s="645" t="s">
        <v>228</v>
      </c>
      <c r="B18" s="2707"/>
      <c r="C18" s="2708"/>
      <c r="D18" s="2709"/>
      <c r="E18" s="2707"/>
      <c r="F18" s="2708"/>
      <c r="G18" s="2709"/>
      <c r="H18" s="647" t="str">
        <f>IF(H$16="","",10^(LOG(H$16)+Odour!$U$4*Odour!$V$6/SQRT(Odour!$T$6)))</f>
        <v/>
      </c>
      <c r="I18" s="639"/>
      <c r="J18" s="648"/>
      <c r="K18" s="638" t="str">
        <f>IF(K$16="","",10^(LOG(K$16)+Odour!$U$4*Odour!$V$6/SQRT(Odour!$T$6)))</f>
        <v/>
      </c>
      <c r="L18" s="639"/>
      <c r="M18" s="640"/>
      <c r="O18" s="637"/>
      <c r="P18" s="638" t="str">
        <f>IF(P$16="","",10^(LOG(P$16)+Odour!$U$4*Odour!$V$4/SQRT(Odour!$T$4)))</f>
        <v/>
      </c>
      <c r="Q18" s="639"/>
      <c r="R18" s="640"/>
      <c r="T18" s="609">
        <v>1</v>
      </c>
      <c r="U18" s="610">
        <f t="shared" ref="U18:U27" si="2">TINV(0.05,T18)</f>
        <v>12.706204736174707</v>
      </c>
      <c r="V18" s="989">
        <f>2*0.17213/SQRT(T18)</f>
        <v>0.34426000000000001</v>
      </c>
      <c r="Y18" s="649"/>
      <c r="Z18" s="649"/>
    </row>
    <row r="19" spans="1:26" ht="10.5" customHeight="1">
      <c r="A19" s="592" t="s">
        <v>1605</v>
      </c>
      <c r="B19" s="1107"/>
      <c r="C19" s="1107"/>
      <c r="D19" s="1107"/>
      <c r="E19" s="2362" t="s">
        <v>1947</v>
      </c>
      <c r="F19" s="2363" t="s">
        <v>8</v>
      </c>
      <c r="G19" s="2363" t="s">
        <v>9</v>
      </c>
      <c r="H19" s="2721" t="s">
        <v>1946</v>
      </c>
      <c r="I19" s="2721"/>
      <c r="J19" s="2721"/>
      <c r="K19" s="594" t="s">
        <v>8</v>
      </c>
      <c r="L19" s="595"/>
      <c r="M19" s="596" t="s">
        <v>9</v>
      </c>
      <c r="T19" s="612">
        <v>2</v>
      </c>
      <c r="U19" s="613">
        <f t="shared" si="2"/>
        <v>4.3026527297494637</v>
      </c>
      <c r="V19" s="990">
        <f t="shared" ref="V19:V27" si="3">2*0.17213/SQRT(T19)</f>
        <v>0.24342858049128085</v>
      </c>
      <c r="Y19" s="649"/>
      <c r="Z19" s="649"/>
    </row>
    <row r="20" spans="1:26" ht="10.5" customHeight="1" thickBot="1">
      <c r="A20" s="1108"/>
      <c r="B20" s="583"/>
      <c r="C20" s="583"/>
      <c r="D20" s="583"/>
      <c r="E20" s="608" t="s">
        <v>1617</v>
      </c>
      <c r="F20" s="1323"/>
      <c r="G20" s="1323"/>
      <c r="H20" s="601"/>
      <c r="I20" s="169"/>
      <c r="J20" s="602" t="s">
        <v>1918</v>
      </c>
      <c r="K20" s="824" t="e">
        <f>(F23+F26)/F26</f>
        <v>#DIV/0!</v>
      </c>
      <c r="L20" s="632" t="e">
        <f>(#REF!+L21)/L21</f>
        <v>#REF!</v>
      </c>
      <c r="M20" s="634" t="e">
        <f>(G23+G26)/G26</f>
        <v>#DIV/0!</v>
      </c>
      <c r="T20" s="612">
        <v>3</v>
      </c>
      <c r="U20" s="613">
        <f t="shared" si="2"/>
        <v>3.1824463052837091</v>
      </c>
      <c r="V20" s="990">
        <f t="shared" si="3"/>
        <v>0.19875860367122059</v>
      </c>
      <c r="Y20" s="649"/>
      <c r="Z20" s="649"/>
    </row>
    <row r="21" spans="1:26" ht="10.5" customHeight="1">
      <c r="A21" s="2725" t="s">
        <v>1924</v>
      </c>
      <c r="B21" s="2726"/>
      <c r="C21" s="2727"/>
      <c r="D21" s="583"/>
      <c r="E21" s="599" t="s">
        <v>263</v>
      </c>
      <c r="F21" s="600"/>
      <c r="G21" s="600"/>
      <c r="H21" s="601"/>
      <c r="I21" s="169"/>
      <c r="J21" s="608" t="s">
        <v>355</v>
      </c>
      <c r="K21" s="1986"/>
      <c r="L21" s="1994"/>
      <c r="M21" s="1995"/>
      <c r="T21" s="612">
        <v>4</v>
      </c>
      <c r="U21" s="613">
        <f t="shared" si="2"/>
        <v>2.7764451051977934</v>
      </c>
      <c r="V21" s="990">
        <f t="shared" si="3"/>
        <v>0.17213000000000001</v>
      </c>
      <c r="Y21" s="649"/>
      <c r="Z21" s="649"/>
    </row>
    <row r="22" spans="1:26" ht="10.5" customHeight="1">
      <c r="A22" s="2728"/>
      <c r="B22" s="2729"/>
      <c r="C22" s="2730"/>
      <c r="D22" s="583"/>
      <c r="E22" s="608" t="s">
        <v>264</v>
      </c>
      <c r="F22" s="600"/>
      <c r="G22" s="600"/>
      <c r="H22" s="611"/>
      <c r="I22" s="169"/>
      <c r="J22" s="608" t="s">
        <v>356</v>
      </c>
      <c r="K22" s="1985"/>
      <c r="L22" s="1993"/>
      <c r="M22" s="1925"/>
      <c r="T22" s="612">
        <v>5</v>
      </c>
      <c r="U22" s="613">
        <f t="shared" si="2"/>
        <v>2.570581835636315</v>
      </c>
      <c r="V22" s="990">
        <f t="shared" si="3"/>
        <v>0.15395775238681553</v>
      </c>
      <c r="Z22" s="649"/>
    </row>
    <row r="23" spans="1:26" ht="10.5" customHeight="1" thickBot="1">
      <c r="A23" s="2731"/>
      <c r="B23" s="2732"/>
      <c r="C23" s="2733"/>
      <c r="D23" s="583"/>
      <c r="E23" s="602" t="s">
        <v>1922</v>
      </c>
      <c r="F23" s="2061"/>
      <c r="G23" s="2061"/>
      <c r="H23" s="611"/>
      <c r="I23" s="169"/>
      <c r="J23" s="602" t="s">
        <v>1920</v>
      </c>
      <c r="K23" s="660">
        <v>1</v>
      </c>
      <c r="L23" s="660"/>
      <c r="M23" s="1925">
        <v>1</v>
      </c>
      <c r="T23" s="612">
        <v>6</v>
      </c>
      <c r="U23" s="613">
        <f t="shared" si="2"/>
        <v>2.4469118511449697</v>
      </c>
      <c r="V23" s="990">
        <f t="shared" si="3"/>
        <v>0.14054355647508951</v>
      </c>
      <c r="Z23" s="649"/>
    </row>
    <row r="24" spans="1:26" ht="10.5" customHeight="1" thickBot="1">
      <c r="A24" s="1108"/>
      <c r="B24" s="583"/>
      <c r="C24" s="583"/>
      <c r="D24" s="583"/>
      <c r="E24" s="602" t="str">
        <f>IF(C25="Volume","Initial volume (L)","Initial flow (ml/min)")</f>
        <v>Initial volume (L)</v>
      </c>
      <c r="F24" s="1323"/>
      <c r="G24" s="1323"/>
      <c r="H24" s="611"/>
      <c r="I24" s="169"/>
      <c r="J24" s="614" t="s">
        <v>1700</v>
      </c>
      <c r="K24" s="2722">
        <v>40</v>
      </c>
      <c r="L24" s="2723"/>
      <c r="M24" s="2724"/>
      <c r="T24" s="612">
        <v>7</v>
      </c>
      <c r="U24" s="613">
        <f t="shared" si="2"/>
        <v>2.3646242515927849</v>
      </c>
      <c r="V24" s="990">
        <f t="shared" si="3"/>
        <v>0.13011804947815656</v>
      </c>
      <c r="Z24" s="649"/>
    </row>
    <row r="25" spans="1:26" ht="10.5" customHeight="1">
      <c r="A25" s="1108"/>
      <c r="B25" s="602" t="s">
        <v>1948</v>
      </c>
      <c r="C25" s="1992" t="s">
        <v>1281</v>
      </c>
      <c r="D25" s="583"/>
      <c r="E25" s="602" t="str">
        <f>IF(C25="Volume","Final volume (L)","Final flow (ml/min)")</f>
        <v>Final volume (L)</v>
      </c>
      <c r="F25" s="1323"/>
      <c r="G25" s="1323"/>
      <c r="H25" s="611"/>
      <c r="I25" s="169"/>
      <c r="J25" s="614"/>
      <c r="K25" s="614"/>
      <c r="L25" s="614"/>
      <c r="M25" s="1991"/>
      <c r="O25" s="2713" t="str">
        <f>A19</f>
        <v>Odour Inlet</v>
      </c>
      <c r="P25" s="2714"/>
      <c r="Q25" s="2714"/>
      <c r="R25" s="2715"/>
      <c r="T25" s="612">
        <v>8</v>
      </c>
      <c r="U25" s="613">
        <f t="shared" si="2"/>
        <v>2.3060041352041671</v>
      </c>
      <c r="V25" s="990">
        <f t="shared" si="3"/>
        <v>0.12171429024564043</v>
      </c>
      <c r="Z25" s="649"/>
    </row>
    <row r="26" spans="1:26" ht="10.5" customHeight="1">
      <c r="A26" s="1108"/>
      <c r="B26" s="583"/>
      <c r="C26" s="583"/>
      <c r="D26" s="583"/>
      <c r="E26" s="602" t="s">
        <v>1923</v>
      </c>
      <c r="F26" s="643">
        <f>TotalODour($C$25,F24,F25,F21,F22,TiF)</f>
        <v>0</v>
      </c>
      <c r="G26" s="643">
        <f>TotalODour($C$25,G24,G25,G21,G22,TiF)</f>
        <v>0</v>
      </c>
      <c r="H26" s="611"/>
      <c r="I26" s="169"/>
      <c r="J26" s="614"/>
      <c r="K26" s="614"/>
      <c r="L26" s="614"/>
      <c r="M26" s="1991"/>
      <c r="O26" s="1075"/>
      <c r="P26" s="1076"/>
      <c r="Q26" s="1076"/>
      <c r="R26" s="1077"/>
      <c r="T26" s="612">
        <v>9</v>
      </c>
      <c r="U26" s="613">
        <f t="shared" si="2"/>
        <v>2.2621571627982053</v>
      </c>
      <c r="V26" s="990">
        <f t="shared" si="3"/>
        <v>0.11475333333333333</v>
      </c>
    </row>
    <row r="27" spans="1:26" ht="10.5" customHeight="1">
      <c r="A27" s="615"/>
      <c r="B27" s="2718" t="s">
        <v>8</v>
      </c>
      <c r="C27" s="2719"/>
      <c r="D27" s="2719"/>
      <c r="E27" s="2718" t="s">
        <v>9</v>
      </c>
      <c r="F27" s="2719"/>
      <c r="G27" s="2720"/>
      <c r="H27" s="616" t="s">
        <v>1371</v>
      </c>
      <c r="I27" s="616" t="s">
        <v>97</v>
      </c>
      <c r="J27" s="617" t="s">
        <v>1202</v>
      </c>
      <c r="K27" s="616" t="s">
        <v>1371</v>
      </c>
      <c r="L27" s="616" t="s">
        <v>97</v>
      </c>
      <c r="M27" s="618" t="s">
        <v>1202</v>
      </c>
      <c r="O27" s="619" t="s">
        <v>1279</v>
      </c>
      <c r="P27" s="616" t="s">
        <v>1371</v>
      </c>
      <c r="Q27" s="616" t="s">
        <v>97</v>
      </c>
      <c r="R27" s="618" t="s">
        <v>1202</v>
      </c>
      <c r="T27" s="612">
        <v>10</v>
      </c>
      <c r="U27" s="613">
        <f t="shared" si="2"/>
        <v>2.2281388519862744</v>
      </c>
      <c r="V27" s="990">
        <f t="shared" si="3"/>
        <v>0.10886457072895663</v>
      </c>
    </row>
    <row r="28" spans="1:26" ht="10.5" customHeight="1" thickBot="1">
      <c r="A28" s="620"/>
      <c r="B28" s="621" t="s">
        <v>1333</v>
      </c>
      <c r="C28" s="622" t="s">
        <v>1919</v>
      </c>
      <c r="D28" s="623" t="s">
        <v>1921</v>
      </c>
      <c r="E28" s="621" t="s">
        <v>1333</v>
      </c>
      <c r="F28" s="622" t="s">
        <v>1919</v>
      </c>
      <c r="G28" s="623" t="s">
        <v>1921</v>
      </c>
      <c r="H28" s="621" t="s">
        <v>1340</v>
      </c>
      <c r="I28" s="624" t="s">
        <v>1340</v>
      </c>
      <c r="J28" s="625" t="str">
        <f>ORU</f>
        <v>oum³/min</v>
      </c>
      <c r="K28" s="621" t="s">
        <v>1340</v>
      </c>
      <c r="L28" s="624" t="s">
        <v>1340</v>
      </c>
      <c r="M28" s="626" t="str">
        <f>ORU</f>
        <v>oum³/min</v>
      </c>
      <c r="O28" s="627" t="s">
        <v>1333</v>
      </c>
      <c r="P28" s="628" t="s">
        <v>1340</v>
      </c>
      <c r="Q28" s="628" t="s">
        <v>1340</v>
      </c>
      <c r="R28" s="629" t="str">
        <f>ORU</f>
        <v>oum³/min</v>
      </c>
      <c r="T28" s="641" t="s">
        <v>1396</v>
      </c>
      <c r="U28" s="642">
        <v>1.96</v>
      </c>
      <c r="V28" s="991"/>
    </row>
    <row r="29" spans="1:26" ht="10.5" customHeight="1">
      <c r="A29" s="359" t="s">
        <v>1463</v>
      </c>
      <c r="B29" s="630"/>
      <c r="C29" s="660"/>
      <c r="D29" s="633" t="e">
        <f>IF(F26="","",K20*K23)</f>
        <v>#DIV/0!</v>
      </c>
      <c r="E29" s="630"/>
      <c r="F29" s="660"/>
      <c r="G29" s="633" t="e">
        <f>IF(G26="","",M20*M23)</f>
        <v>#DIV/0!</v>
      </c>
      <c r="H29" s="631" t="str">
        <f>IF(C29="","",D29*C29)</f>
        <v/>
      </c>
      <c r="I29" s="632"/>
      <c r="J29" s="633" t="s">
        <v>1609</v>
      </c>
      <c r="K29" s="631" t="str">
        <f>IF(F29="","",G29*F29)</f>
        <v/>
      </c>
      <c r="L29" s="632"/>
      <c r="M29" s="634" t="s">
        <v>1609</v>
      </c>
      <c r="O29" s="635" t="str">
        <f>IF(AND(ISTEXT(B29),ISTEXT(E29)),"&lt;",IF(OR(ISTEXT(B29),ISTEXT(E29)),"≤",""))</f>
        <v/>
      </c>
      <c r="P29" s="631" t="str">
        <f>IF(OR(ISNUMBER(H29),ISNUMBER(K29)),AVERAGE(H29,K29),"")</f>
        <v/>
      </c>
      <c r="Q29" s="632"/>
      <c r="R29" s="634" t="str">
        <f>IF(OR(ISNUMBER(J29),ISNUMBER(M29)),AVERAGE(J29,M29),"")</f>
        <v/>
      </c>
      <c r="S29" s="107"/>
    </row>
    <row r="30" spans="1:26" ht="10.5" customHeight="1">
      <c r="A30" s="359" t="s">
        <v>227</v>
      </c>
      <c r="B30" s="2710"/>
      <c r="C30" s="2716"/>
      <c r="D30" s="2717"/>
      <c r="E30" s="2710"/>
      <c r="F30" s="2711"/>
      <c r="G30" s="2712"/>
      <c r="H30" s="636" t="str">
        <f>IF(H$29="","",10^(LOG(H$29)-$U17*$V19/SQRT($T19)))</f>
        <v/>
      </c>
      <c r="I30" s="632"/>
      <c r="J30" s="633" t="s">
        <v>1609</v>
      </c>
      <c r="K30" s="636" t="str">
        <f>IF(K$29="","",10^(LOG(K$29)-$U17*$V19/SQRT($T19)))</f>
        <v/>
      </c>
      <c r="L30" s="632"/>
      <c r="M30" s="634" t="s">
        <v>1609</v>
      </c>
      <c r="O30" s="635"/>
      <c r="P30" s="631" t="str">
        <f>IF(P$29="","",10^(LOG(P$29)-$U$17*$V$17/SQRT($T$17)))</f>
        <v/>
      </c>
      <c r="Q30" s="632"/>
      <c r="R30" s="634"/>
      <c r="S30" s="107"/>
      <c r="T30" s="133"/>
      <c r="U30" s="133"/>
    </row>
    <row r="31" spans="1:26" ht="10.5" customHeight="1" thickBot="1">
      <c r="A31" s="645" t="s">
        <v>228</v>
      </c>
      <c r="B31" s="2707"/>
      <c r="C31" s="2708"/>
      <c r="D31" s="2709"/>
      <c r="E31" s="2707"/>
      <c r="F31" s="2708"/>
      <c r="G31" s="2709"/>
      <c r="H31" s="647" t="str">
        <f>IF(H$29="","",10^(LOG(H$29)+$U17*$V19/SQRT($T19)))</f>
        <v/>
      </c>
      <c r="I31" s="639"/>
      <c r="J31" s="648" t="s">
        <v>1609</v>
      </c>
      <c r="K31" s="647" t="str">
        <f>IF(K$29="","",10^(LOG(K$29)+$U17*$V19/SQRT($T19)))</f>
        <v/>
      </c>
      <c r="L31" s="639"/>
      <c r="M31" s="640" t="s">
        <v>1609</v>
      </c>
      <c r="O31" s="637"/>
      <c r="P31" s="638" t="str">
        <f>IF(P$29="","",10^(LOG(P$29)+$U$17*$V$17/SQRT($T$17)))</f>
        <v/>
      </c>
      <c r="Q31" s="639"/>
      <c r="R31" s="640"/>
      <c r="S31" s="107"/>
      <c r="T31" s="133"/>
      <c r="U31" s="133"/>
    </row>
    <row r="32" spans="1:26" ht="10.5" customHeight="1">
      <c r="O32" s="580" t="s">
        <v>1608</v>
      </c>
      <c r="R32" s="1093" t="e">
        <f>1-(P16/P29)</f>
        <v>#VALUE!</v>
      </c>
      <c r="S32" s="107"/>
      <c r="T32" s="133"/>
      <c r="U32" s="133"/>
    </row>
    <row r="33" spans="15:21" ht="10.5" customHeight="1">
      <c r="O33" s="580" t="s">
        <v>1607</v>
      </c>
      <c r="R33" s="1093"/>
      <c r="S33" s="107"/>
      <c r="T33" s="133"/>
      <c r="U33" s="133"/>
    </row>
    <row r="34" spans="15:21" ht="10.5" customHeight="1">
      <c r="S34" s="107"/>
      <c r="T34" s="133"/>
      <c r="U34" s="133"/>
    </row>
    <row r="49" ht="12.75" customHeight="1"/>
  </sheetData>
  <sheetProtection sheet="1"/>
  <mergeCells count="21">
    <mergeCell ref="H6:J6"/>
    <mergeCell ref="H19:J19"/>
    <mergeCell ref="K24:M24"/>
    <mergeCell ref="A21:C23"/>
    <mergeCell ref="O11:R11"/>
    <mergeCell ref="O12:R12"/>
    <mergeCell ref="O13:R13"/>
    <mergeCell ref="K11:M11"/>
    <mergeCell ref="B14:D14"/>
    <mergeCell ref="E14:G14"/>
    <mergeCell ref="B31:D31"/>
    <mergeCell ref="E31:G31"/>
    <mergeCell ref="E30:G30"/>
    <mergeCell ref="O25:R25"/>
    <mergeCell ref="E17:G17"/>
    <mergeCell ref="E18:G18"/>
    <mergeCell ref="B17:D17"/>
    <mergeCell ref="B18:D18"/>
    <mergeCell ref="B27:D27"/>
    <mergeCell ref="E27:G27"/>
    <mergeCell ref="B30:D30"/>
  </mergeCells>
  <phoneticPr fontId="25" type="noConversion"/>
  <dataValidations count="2">
    <dataValidation type="list" allowBlank="1" showInputMessage="1" showErrorMessage="1" sqref="T4 T17">
      <formula1>DegreeFreedom</formula1>
    </dataValidation>
    <dataValidation type="list" allowBlank="1" showInputMessage="1" showErrorMessage="1" sqref="C12 C25">
      <formula1>VolumeMode</formula1>
    </dataValidation>
  </dataValidations>
  <printOptions horizontalCentered="1"/>
  <pageMargins left="0.2" right="0.2" top="0.63" bottom="0.4" header="0.315" footer="0.2"/>
  <pageSetup orientation="landscape" horizontalDpi="4294967293"/>
  <headerFooter alignWithMargins="0">
    <oddHeader>&amp;C&amp;"MS Sans Serif,Bold"&amp;16&amp;A</oddHeader>
    <oddFooter>&amp;L&amp;8&amp;Z&amp;F&amp;R&amp;8&amp;D  &amp;T</oddFooter>
  </headerFooter>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tabColor indexed="43"/>
  </sheetPr>
  <dimension ref="A1:EM1453"/>
  <sheetViews>
    <sheetView workbookViewId="0">
      <selection activeCell="H6" sqref="H6"/>
    </sheetView>
  </sheetViews>
  <sheetFormatPr baseColWidth="10" defaultColWidth="8.7109375" defaultRowHeight="10.5" customHeight="1" outlineLevelRow="2" x14ac:dyDescent="0"/>
  <cols>
    <col min="1" max="1" width="12.85546875" style="157" customWidth="1"/>
    <col min="2" max="2" width="9.7109375" style="1550" hidden="1" customWidth="1"/>
    <col min="3" max="4" width="9.7109375" style="157" customWidth="1"/>
    <col min="5" max="5" width="9.7109375" style="157" hidden="1" customWidth="1"/>
    <col min="6" max="6" width="9.7109375" style="157" customWidth="1"/>
    <col min="7" max="7" width="9.7109375" style="157" hidden="1" customWidth="1"/>
    <col min="8" max="8" width="10.140625" style="157" customWidth="1"/>
    <col min="9" max="9" width="9.7109375" style="157" hidden="1" customWidth="1"/>
    <col min="10" max="10" width="9.7109375" style="157" customWidth="1"/>
    <col min="11" max="11" width="9.7109375" style="157" hidden="1" customWidth="1"/>
    <col min="12" max="12" width="9.7109375" style="157" customWidth="1"/>
    <col min="13" max="13" width="9.7109375" style="157" hidden="1" customWidth="1"/>
    <col min="14" max="14" width="9.7109375" style="157" customWidth="1"/>
    <col min="15" max="15" width="9.7109375" style="157" hidden="1" customWidth="1"/>
    <col min="16" max="16" width="9.7109375" style="157" customWidth="1"/>
    <col min="17" max="17" width="9.7109375" style="157" hidden="1" customWidth="1"/>
    <col min="18" max="18" width="9.7109375" style="157" customWidth="1"/>
    <col min="19" max="19" width="9.7109375" style="157" hidden="1" customWidth="1"/>
    <col min="20" max="20" width="8.7109375" style="157"/>
    <col min="21" max="21" width="15.85546875" customWidth="1"/>
    <col min="22" max="22" width="12.28515625" customWidth="1"/>
    <col min="26" max="26" width="8.28515625" customWidth="1"/>
    <col min="27" max="27" width="11.5703125" customWidth="1"/>
    <col min="28" max="28" width="13.28515625" customWidth="1"/>
    <col min="44" max="51" width="8.7109375" style="156"/>
    <col min="52" max="16384" width="8.7109375" style="157"/>
  </cols>
  <sheetData>
    <row r="1" spans="1:143" s="107" customFormat="1" ht="10.5" customHeight="1">
      <c r="A1" s="1583" t="s">
        <v>1692</v>
      </c>
      <c r="B1" s="1551"/>
      <c r="C1" s="2738"/>
      <c r="D1" s="2739"/>
      <c r="E1" s="1541"/>
      <c r="F1" s="1159" t="s">
        <v>1450</v>
      </c>
      <c r="G1" s="1541"/>
      <c r="H1" s="1109"/>
      <c r="I1" s="1539"/>
      <c r="J1" s="2746" t="s">
        <v>1343</v>
      </c>
      <c r="K1" s="2746"/>
      <c r="L1" s="2759">
        <f>Client</f>
        <v>0</v>
      </c>
      <c r="M1" s="2759"/>
      <c r="N1" s="2759"/>
      <c r="O1" s="2759"/>
      <c r="P1" s="2759"/>
      <c r="Q1" s="2759"/>
      <c r="R1" s="2759"/>
      <c r="S1" s="2760"/>
      <c r="T1" s="712"/>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3"/>
      <c r="CQ1" s="153"/>
      <c r="CR1" s="153"/>
      <c r="CS1" s="153"/>
      <c r="CT1" s="153"/>
      <c r="CU1" s="153"/>
      <c r="CV1" s="153"/>
      <c r="CW1" s="153"/>
      <c r="CX1" s="153"/>
      <c r="CY1" s="153"/>
      <c r="CZ1" s="153"/>
      <c r="DA1" s="153"/>
      <c r="DB1" s="153"/>
      <c r="DC1" s="153"/>
      <c r="DD1" s="153"/>
      <c r="DE1" s="153"/>
      <c r="DF1" s="153"/>
      <c r="DG1" s="153"/>
      <c r="DH1" s="153"/>
      <c r="DI1" s="153"/>
      <c r="DJ1" s="153"/>
      <c r="DK1" s="153"/>
      <c r="DL1" s="153"/>
      <c r="DM1" s="153"/>
      <c r="DN1" s="153"/>
      <c r="DO1" s="153"/>
      <c r="DP1" s="153"/>
      <c r="DQ1" s="153"/>
      <c r="DR1" s="153"/>
      <c r="DS1" s="153"/>
      <c r="DT1" s="153"/>
      <c r="DU1" s="153"/>
      <c r="DV1" s="153"/>
      <c r="DW1" s="153"/>
      <c r="DX1" s="153"/>
      <c r="DY1" s="153"/>
      <c r="DZ1" s="153"/>
      <c r="EA1" s="153"/>
      <c r="EB1" s="153"/>
      <c r="EC1" s="153"/>
      <c r="ED1" s="153"/>
      <c r="EE1" s="153"/>
      <c r="EF1" s="153"/>
      <c r="EG1" s="153"/>
      <c r="EH1" s="153"/>
      <c r="EI1" s="153"/>
      <c r="EJ1" s="153"/>
      <c r="EK1" s="153"/>
      <c r="EL1" s="153"/>
      <c r="EM1" s="153"/>
    </row>
    <row r="2" spans="1:143" s="107" customFormat="1" ht="10.5" customHeight="1">
      <c r="A2" s="1130" t="s">
        <v>1693</v>
      </c>
      <c r="B2" s="1552"/>
      <c r="C2" s="2740"/>
      <c r="D2" s="2741"/>
      <c r="E2" s="1542"/>
      <c r="F2" s="1160" t="s">
        <v>65</v>
      </c>
      <c r="G2" s="1542"/>
      <c r="H2" s="1161">
        <f>IF(OR(H1="",H1=20.9),1,IF(OR(ISERROR(O2percent),O2percent=20.9),1,ABS((20.9-H1)/(20.9-O2percent))))</f>
        <v>1</v>
      </c>
      <c r="I2" s="1540"/>
      <c r="J2" s="2747" t="s">
        <v>1204</v>
      </c>
      <c r="K2" s="2747"/>
      <c r="L2" s="2761">
        <f>StackID</f>
        <v>0</v>
      </c>
      <c r="M2" s="2761"/>
      <c r="N2" s="2761"/>
      <c r="O2" s="2761"/>
      <c r="P2" s="2761"/>
      <c r="Q2" s="2761"/>
      <c r="R2" s="2761"/>
      <c r="S2" s="2762"/>
      <c r="T2" s="712"/>
      <c r="W2" s="1825" t="s">
        <v>2001</v>
      </c>
      <c r="AR2" s="153"/>
      <c r="AS2" s="153"/>
      <c r="AT2" s="153"/>
      <c r="AU2" s="153"/>
      <c r="AV2" s="153"/>
      <c r="AW2" s="153"/>
      <c r="AX2" s="153"/>
      <c r="AY2" s="153"/>
      <c r="AZ2" s="153"/>
      <c r="BA2" s="153"/>
      <c r="BB2" s="153"/>
      <c r="BC2" s="153"/>
      <c r="BD2" s="153"/>
      <c r="BE2" s="153"/>
      <c r="BF2" s="153"/>
      <c r="BG2" s="153"/>
      <c r="BH2" s="153"/>
      <c r="BI2" s="153"/>
      <c r="BJ2" s="153"/>
      <c r="BK2" s="153"/>
      <c r="BL2" s="153"/>
      <c r="BM2" s="153"/>
      <c r="BN2" s="153"/>
      <c r="BO2" s="153"/>
      <c r="BP2" s="153"/>
      <c r="BQ2" s="153"/>
      <c r="BR2" s="153"/>
      <c r="BS2" s="153"/>
      <c r="BT2" s="153"/>
      <c r="BU2" s="153"/>
      <c r="BV2" s="153"/>
      <c r="BW2" s="153"/>
      <c r="BX2" s="153"/>
      <c r="BY2" s="153"/>
      <c r="BZ2" s="153"/>
      <c r="CA2" s="153"/>
      <c r="CB2" s="153"/>
      <c r="CC2" s="153"/>
      <c r="CD2" s="153"/>
      <c r="CE2" s="153"/>
      <c r="CF2" s="153"/>
      <c r="CG2" s="153"/>
      <c r="CH2" s="153"/>
      <c r="CI2" s="153"/>
      <c r="CJ2" s="153"/>
      <c r="CK2" s="153"/>
      <c r="CL2" s="153"/>
      <c r="CM2" s="153"/>
      <c r="CN2" s="153"/>
      <c r="CO2" s="153"/>
      <c r="CP2" s="153"/>
      <c r="CQ2" s="153"/>
      <c r="CR2" s="153"/>
      <c r="CS2" s="153"/>
      <c r="CT2" s="153"/>
      <c r="CU2" s="153"/>
      <c r="CV2" s="153"/>
      <c r="CW2" s="153"/>
      <c r="CX2" s="153"/>
      <c r="CY2" s="153"/>
      <c r="CZ2" s="153"/>
      <c r="DA2" s="153"/>
      <c r="DB2" s="153"/>
      <c r="DC2" s="153"/>
      <c r="DD2" s="153"/>
      <c r="DE2" s="153"/>
      <c r="DF2" s="153"/>
      <c r="DG2" s="153"/>
      <c r="DH2" s="153"/>
      <c r="DI2" s="153"/>
      <c r="DJ2" s="153"/>
      <c r="DK2" s="153"/>
      <c r="DL2" s="153"/>
      <c r="DM2" s="153"/>
      <c r="DN2" s="153"/>
      <c r="DO2" s="153"/>
      <c r="DP2" s="153"/>
      <c r="DQ2" s="153"/>
      <c r="DR2" s="153"/>
      <c r="DS2" s="153"/>
      <c r="DT2" s="153"/>
      <c r="DU2" s="153"/>
      <c r="DV2" s="153"/>
      <c r="DW2" s="153"/>
      <c r="DX2" s="153"/>
      <c r="DY2" s="153"/>
      <c r="DZ2" s="153"/>
      <c r="EA2" s="153"/>
      <c r="EB2" s="153"/>
      <c r="EC2" s="153"/>
      <c r="ED2" s="153"/>
      <c r="EE2" s="153"/>
      <c r="EF2" s="153"/>
      <c r="EG2" s="153"/>
      <c r="EH2" s="153"/>
      <c r="EI2" s="153"/>
      <c r="EJ2" s="153"/>
      <c r="EK2" s="153"/>
      <c r="EL2" s="153"/>
      <c r="EM2" s="153"/>
    </row>
    <row r="3" spans="1:143" s="107" customFormat="1" ht="10.5" customHeight="1">
      <c r="A3" s="1130" t="s">
        <v>1694</v>
      </c>
      <c r="C3" s="2749"/>
      <c r="D3" s="2749"/>
      <c r="E3" s="1542"/>
      <c r="F3" s="1160" t="s">
        <v>64</v>
      </c>
      <c r="G3" s="1542"/>
      <c r="H3" s="1110"/>
      <c r="I3" s="1543"/>
      <c r="J3" s="2748" t="s">
        <v>1196</v>
      </c>
      <c r="K3" s="2748"/>
      <c r="L3" s="2763">
        <f>Date</f>
        <v>0</v>
      </c>
      <c r="M3" s="2763"/>
      <c r="N3" s="2763"/>
      <c r="O3" s="2763"/>
      <c r="P3" s="2763"/>
      <c r="Q3" s="2763"/>
      <c r="R3" s="2763"/>
      <c r="S3" s="2764"/>
      <c r="T3" s="712"/>
      <c r="U3" s="1820"/>
      <c r="V3" s="2119"/>
      <c r="W3" s="2119"/>
      <c r="X3" s="2120"/>
      <c r="Y3" s="2119"/>
      <c r="Z3" s="2119"/>
      <c r="AA3" s="2119"/>
      <c r="AB3" s="2121"/>
      <c r="AR3" s="153"/>
      <c r="AS3" s="153"/>
      <c r="AT3" s="153"/>
      <c r="AU3" s="153"/>
      <c r="AV3" s="153"/>
      <c r="AW3" s="153"/>
      <c r="AX3" s="153"/>
      <c r="AY3" s="153"/>
      <c r="AZ3" s="153"/>
      <c r="BA3" s="153"/>
      <c r="BB3" s="153"/>
      <c r="BC3" s="153"/>
      <c r="BD3" s="153"/>
      <c r="BE3" s="153"/>
      <c r="BF3" s="153"/>
      <c r="BG3" s="153"/>
      <c r="BH3" s="153"/>
      <c r="BI3" s="153"/>
      <c r="BJ3" s="153"/>
      <c r="BK3" s="153"/>
      <c r="BL3" s="153"/>
      <c r="BM3" s="153"/>
      <c r="BN3" s="153"/>
      <c r="BO3" s="153"/>
      <c r="BP3" s="153"/>
      <c r="BQ3" s="153"/>
      <c r="BR3" s="153"/>
      <c r="BS3" s="153"/>
      <c r="BT3" s="153"/>
      <c r="BU3" s="153"/>
      <c r="BV3" s="153"/>
      <c r="BW3" s="153"/>
      <c r="BX3" s="153"/>
      <c r="BY3" s="153"/>
      <c r="BZ3" s="153"/>
      <c r="CA3" s="153"/>
      <c r="CB3" s="153"/>
      <c r="CC3" s="153"/>
      <c r="CD3" s="153"/>
      <c r="CE3" s="153"/>
      <c r="CF3" s="153"/>
      <c r="CG3" s="153"/>
      <c r="CH3" s="153"/>
      <c r="CI3" s="153"/>
      <c r="CJ3" s="153"/>
      <c r="CK3" s="153"/>
      <c r="CL3" s="153"/>
      <c r="CM3" s="153"/>
      <c r="CN3" s="153"/>
      <c r="CO3" s="153"/>
      <c r="CP3" s="153"/>
      <c r="CQ3" s="153"/>
      <c r="CR3" s="153"/>
      <c r="CS3" s="153"/>
      <c r="CT3" s="153"/>
      <c r="CU3" s="153"/>
      <c r="CV3" s="153"/>
      <c r="CW3" s="153"/>
      <c r="CX3" s="153"/>
      <c r="CY3" s="153"/>
      <c r="CZ3" s="153"/>
      <c r="DA3" s="153"/>
      <c r="DB3" s="153"/>
      <c r="DC3" s="153"/>
      <c r="DD3" s="153"/>
      <c r="DE3" s="153"/>
      <c r="DF3" s="153"/>
      <c r="DG3" s="153"/>
      <c r="DH3" s="153"/>
      <c r="DI3" s="153"/>
      <c r="DJ3" s="153"/>
      <c r="DK3" s="153"/>
      <c r="DL3" s="153"/>
      <c r="DM3" s="153"/>
      <c r="DN3" s="153"/>
      <c r="DO3" s="153"/>
      <c r="DP3" s="153"/>
      <c r="DQ3" s="153"/>
      <c r="DR3" s="153"/>
      <c r="DS3" s="153"/>
      <c r="DT3" s="153"/>
      <c r="DU3" s="153"/>
      <c r="DV3" s="153"/>
      <c r="DW3" s="153"/>
      <c r="DX3" s="153"/>
      <c r="DY3" s="153"/>
      <c r="DZ3" s="153"/>
      <c r="EA3" s="153"/>
      <c r="EB3" s="153"/>
      <c r="EC3" s="153"/>
      <c r="ED3" s="153"/>
      <c r="EE3" s="153"/>
      <c r="EF3" s="153"/>
      <c r="EG3" s="153"/>
      <c r="EH3" s="153"/>
      <c r="EI3" s="153"/>
      <c r="EJ3" s="153"/>
      <c r="EK3" s="153"/>
      <c r="EL3" s="153"/>
      <c r="EM3" s="153"/>
    </row>
    <row r="4" spans="1:143" s="107" customFormat="1" ht="10.5" customHeight="1">
      <c r="A4" s="1130" t="s">
        <v>1695</v>
      </c>
      <c r="C4" s="2750"/>
      <c r="D4" s="2750"/>
      <c r="E4" s="1542"/>
      <c r="F4" s="1160" t="s">
        <v>66</v>
      </c>
      <c r="G4" s="1542"/>
      <c r="H4" s="1161">
        <f>IF(H3="",1,H3/CO2percent)</f>
        <v>1</v>
      </c>
      <c r="I4" s="1544"/>
      <c r="J4" s="2748" t="s">
        <v>1276</v>
      </c>
      <c r="K4" s="2748"/>
      <c r="L4" s="2765" t="e">
        <f>AverageFlowDry</f>
        <v>#DIV/0!</v>
      </c>
      <c r="M4" s="2765"/>
      <c r="N4" s="2766" t="str">
        <f>FU</f>
        <v>m³/min</v>
      </c>
      <c r="O4" s="2766"/>
      <c r="P4" s="1145"/>
      <c r="Q4" s="1145"/>
      <c r="R4" s="1145"/>
      <c r="S4" s="1146"/>
      <c r="T4" s="712"/>
      <c r="U4" s="1814" t="s">
        <v>2002</v>
      </c>
      <c r="V4" s="2122"/>
      <c r="W4" s="2123">
        <v>0</v>
      </c>
      <c r="X4" s="1817" t="s">
        <v>252</v>
      </c>
      <c r="Y4" s="1815"/>
      <c r="Z4" s="1815" t="s">
        <v>2003</v>
      </c>
      <c r="AA4" s="1815"/>
      <c r="AB4" s="2124"/>
      <c r="AR4" s="153"/>
      <c r="AS4" s="153"/>
      <c r="AT4" s="153"/>
      <c r="AU4" s="153"/>
      <c r="AV4" s="153"/>
      <c r="AW4" s="153"/>
      <c r="AX4" s="153"/>
      <c r="AY4" s="153"/>
      <c r="AZ4" s="153"/>
      <c r="BA4" s="153"/>
      <c r="BB4" s="153"/>
      <c r="BC4" s="153"/>
      <c r="BD4" s="153"/>
      <c r="BE4" s="153"/>
      <c r="BF4" s="153"/>
      <c r="BG4" s="153"/>
      <c r="BH4" s="153"/>
      <c r="BI4" s="153"/>
      <c r="BJ4" s="153"/>
      <c r="BK4" s="153"/>
      <c r="BL4" s="153"/>
      <c r="BM4" s="153"/>
      <c r="BN4" s="153"/>
      <c r="BO4" s="153"/>
      <c r="BP4" s="153"/>
      <c r="BQ4" s="153"/>
      <c r="BR4" s="153"/>
      <c r="BS4" s="153"/>
      <c r="BT4" s="153"/>
      <c r="BU4" s="153"/>
      <c r="BV4" s="153"/>
      <c r="BW4" s="153"/>
      <c r="BX4" s="153"/>
      <c r="BY4" s="153"/>
      <c r="BZ4" s="153"/>
      <c r="CA4" s="153"/>
      <c r="CB4" s="153"/>
      <c r="CC4" s="153"/>
      <c r="CD4" s="153"/>
      <c r="CE4" s="153"/>
      <c r="CF4" s="153"/>
      <c r="CG4" s="153"/>
      <c r="CH4" s="153"/>
      <c r="CI4" s="153"/>
      <c r="CJ4" s="153"/>
      <c r="CK4" s="153"/>
      <c r="CL4" s="153"/>
      <c r="CM4" s="153"/>
      <c r="CN4" s="153"/>
      <c r="CO4" s="153"/>
      <c r="CP4" s="153"/>
      <c r="CQ4" s="153"/>
      <c r="CR4" s="153"/>
      <c r="CS4" s="153"/>
      <c r="CT4" s="153"/>
      <c r="CU4" s="153"/>
      <c r="CV4" s="153"/>
      <c r="CW4" s="153"/>
      <c r="CX4" s="153"/>
      <c r="CY4" s="153"/>
      <c r="CZ4" s="153"/>
      <c r="DA4" s="153"/>
      <c r="DB4" s="153"/>
      <c r="DC4" s="153"/>
      <c r="DD4" s="153"/>
      <c r="DE4" s="153"/>
      <c r="DF4" s="153"/>
      <c r="DG4" s="153"/>
      <c r="DH4" s="153"/>
      <c r="DI4" s="153"/>
      <c r="DJ4" s="153"/>
      <c r="DK4" s="153"/>
      <c r="DL4" s="153"/>
      <c r="DM4" s="153"/>
      <c r="DN4" s="153"/>
      <c r="DO4" s="153"/>
      <c r="DP4" s="153"/>
      <c r="DQ4" s="153"/>
      <c r="DR4" s="153"/>
      <c r="DS4" s="153"/>
      <c r="DT4" s="153"/>
      <c r="DU4" s="153"/>
      <c r="DV4" s="153"/>
      <c r="DW4" s="153"/>
      <c r="DX4" s="153"/>
      <c r="DY4" s="153"/>
      <c r="DZ4" s="153"/>
      <c r="EA4" s="153"/>
      <c r="EB4" s="153"/>
      <c r="EC4" s="153"/>
      <c r="ED4" s="153"/>
      <c r="EE4" s="153"/>
      <c r="EF4" s="153"/>
      <c r="EG4" s="153"/>
      <c r="EH4" s="153"/>
      <c r="EI4" s="153"/>
      <c r="EJ4" s="153"/>
      <c r="EK4" s="153"/>
      <c r="EL4" s="153"/>
      <c r="EM4" s="153"/>
    </row>
    <row r="5" spans="1:143" s="107" customFormat="1" ht="10.5" customHeight="1">
      <c r="A5" s="1130" t="s">
        <v>2022</v>
      </c>
      <c r="B5" s="1552"/>
      <c r="C5" s="2740" t="s">
        <v>1077</v>
      </c>
      <c r="D5" s="2741"/>
      <c r="E5" s="1542"/>
      <c r="F5" s="1160"/>
      <c r="G5" s="1542"/>
      <c r="H5" s="1162" t="str">
        <f>IF(AND(ISNUMBER(H1),H3=""),"Corrected to "&amp;H1&amp;"% O2",IF(AND(H1="",ISNUMBER(H3)),"Corrected to "&amp;H3&amp;"% CO2",IF(AND(H1="",H3=""),"",IF(AND(ISNUMBER(H1),ISNUMBER(H3)),"O2/CO2 Corrected"))))</f>
        <v/>
      </c>
      <c r="I5" s="1544"/>
      <c r="J5" s="1578"/>
      <c r="K5" s="1578"/>
      <c r="L5" s="1579"/>
      <c r="M5" s="1579"/>
      <c r="N5" s="1580"/>
      <c r="O5" s="1580"/>
      <c r="P5" s="1145"/>
      <c r="Q5" s="1145"/>
      <c r="R5" s="2211" t="s">
        <v>2020</v>
      </c>
      <c r="S5" s="1146"/>
      <c r="T5" s="712"/>
      <c r="U5" s="1814" t="s">
        <v>2004</v>
      </c>
      <c r="V5" s="2125"/>
      <c r="W5" s="1815"/>
      <c r="X5" s="2126"/>
      <c r="Y5" s="1815"/>
      <c r="Z5" s="1818" t="e">
        <f>IF(W4="O2",ABS(X5*100/20.9),ABS((V6-X5)*100/V6))</f>
        <v>#DIV/0!</v>
      </c>
      <c r="AA5" s="1815"/>
      <c r="AB5" s="2127"/>
      <c r="AR5" s="153"/>
      <c r="AS5" s="153"/>
      <c r="AT5" s="153"/>
      <c r="AU5" s="153"/>
      <c r="AV5" s="153"/>
      <c r="AW5" s="153"/>
      <c r="AX5" s="153"/>
      <c r="AY5" s="153"/>
      <c r="AZ5" s="153"/>
      <c r="BA5" s="153"/>
      <c r="BB5" s="153"/>
      <c r="BC5" s="153"/>
      <c r="BD5" s="153"/>
      <c r="BE5" s="153"/>
      <c r="BF5" s="153"/>
      <c r="BG5" s="153"/>
      <c r="BH5" s="153"/>
      <c r="BI5" s="153"/>
      <c r="BJ5" s="153"/>
      <c r="BK5" s="153"/>
      <c r="BL5" s="153"/>
      <c r="BM5" s="153"/>
      <c r="BN5" s="153"/>
      <c r="BO5" s="153"/>
      <c r="BP5" s="153"/>
      <c r="BQ5" s="153"/>
      <c r="BR5" s="153"/>
      <c r="BS5" s="153"/>
      <c r="BT5" s="153"/>
      <c r="BU5" s="153"/>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c r="EF5" s="153"/>
      <c r="EG5" s="153"/>
      <c r="EH5" s="153"/>
      <c r="EI5" s="153"/>
      <c r="EJ5" s="153"/>
      <c r="EK5" s="153"/>
      <c r="EL5" s="153"/>
      <c r="EM5" s="153"/>
    </row>
    <row r="6" spans="1:143" s="107" customFormat="1" ht="10.5" customHeight="1">
      <c r="A6" s="2209" t="s">
        <v>2021</v>
      </c>
      <c r="B6" s="1553"/>
      <c r="C6" s="2742"/>
      <c r="D6" s="2743"/>
      <c r="E6" s="1542"/>
      <c r="F6" s="1874" t="s">
        <v>1837</v>
      </c>
      <c r="G6" s="1542"/>
      <c r="H6" s="1875">
        <f>O2correction*CO2correction</f>
        <v>1</v>
      </c>
      <c r="I6" s="1544"/>
      <c r="J6" s="1578"/>
      <c r="K6" s="1578"/>
      <c r="L6" s="1579"/>
      <c r="M6" s="1579"/>
      <c r="N6" s="1580"/>
      <c r="O6" s="1580"/>
      <c r="P6" s="1145"/>
      <c r="Q6" s="1145"/>
      <c r="R6" s="2210"/>
      <c r="S6" s="1146"/>
      <c r="T6" s="712"/>
      <c r="U6" s="1814" t="s">
        <v>2005</v>
      </c>
      <c r="V6" s="2125"/>
      <c r="W6" s="1815"/>
      <c r="X6" s="1817"/>
      <c r="Y6" s="2128"/>
      <c r="Z6" s="2129" t="e">
        <f>IF(Z5&lt;=5,"Pass","Fail")</f>
        <v>#DIV/0!</v>
      </c>
      <c r="AA6" s="1815"/>
      <c r="AB6" s="1819"/>
      <c r="AR6" s="153"/>
      <c r="AS6" s="153"/>
      <c r="AT6" s="153"/>
      <c r="AU6" s="153"/>
      <c r="AV6" s="153"/>
      <c r="AW6" s="153"/>
      <c r="AX6" s="153"/>
      <c r="AY6" s="153"/>
      <c r="AZ6" s="153"/>
      <c r="BA6" s="153"/>
      <c r="BB6" s="153"/>
      <c r="BC6" s="153"/>
      <c r="BD6" s="153"/>
      <c r="BE6" s="153"/>
      <c r="BF6" s="153"/>
      <c r="BG6" s="153"/>
      <c r="BH6" s="153"/>
      <c r="BI6" s="153"/>
      <c r="BJ6" s="153"/>
      <c r="BK6" s="153"/>
      <c r="BL6" s="153"/>
      <c r="BM6" s="153"/>
      <c r="BN6" s="153"/>
      <c r="BO6" s="153"/>
      <c r="BP6" s="153"/>
      <c r="BQ6" s="153"/>
      <c r="BR6" s="153"/>
      <c r="BS6" s="153"/>
      <c r="BT6" s="153"/>
      <c r="BU6" s="153"/>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c r="EF6" s="153"/>
      <c r="EG6" s="153"/>
      <c r="EH6" s="153"/>
      <c r="EI6" s="153"/>
      <c r="EJ6" s="153"/>
      <c r="EK6" s="153"/>
      <c r="EL6" s="153"/>
      <c r="EM6" s="153"/>
    </row>
    <row r="7" spans="1:143" s="107" customFormat="1" ht="10.5" customHeight="1">
      <c r="A7" s="1131" t="s">
        <v>1422</v>
      </c>
      <c r="B7" s="1553"/>
      <c r="C7" s="2751"/>
      <c r="D7" s="2752"/>
      <c r="E7" s="2752"/>
      <c r="F7" s="2752"/>
      <c r="G7" s="2752"/>
      <c r="H7" s="2752"/>
      <c r="I7" s="1545"/>
      <c r="J7" s="2744" t="s">
        <v>825</v>
      </c>
      <c r="K7" s="2745"/>
      <c r="L7" s="2767">
        <v>1</v>
      </c>
      <c r="M7" s="2768"/>
      <c r="N7" s="1147">
        <f>IF(L7="","",1/L7)</f>
        <v>1</v>
      </c>
      <c r="O7" s="1148"/>
      <c r="P7" s="1528"/>
      <c r="Q7" s="1145"/>
      <c r="R7" s="2212" t="e">
        <f>VLOOKUP(R6,Pitots!K25:L30,2,FALSE)</f>
        <v>#N/A</v>
      </c>
      <c r="S7" s="1547"/>
      <c r="T7" s="712"/>
      <c r="U7" s="2190" t="s">
        <v>2006</v>
      </c>
      <c r="V7" s="2191" t="e">
        <f>IF(OR(Z6="Pass",AB6="Pass"),"Pass","Fail")</f>
        <v>#DIV/0!</v>
      </c>
      <c r="W7" s="2130" t="s">
        <v>2007</v>
      </c>
      <c r="X7" s="2130"/>
      <c r="Y7" s="2130"/>
      <c r="Z7" s="2131"/>
      <c r="AA7" s="2130"/>
      <c r="AB7" s="2132"/>
      <c r="AR7" s="160"/>
      <c r="AS7" s="160"/>
      <c r="AT7" s="153"/>
      <c r="AU7" s="153"/>
      <c r="AV7" s="153"/>
      <c r="AW7" s="153"/>
      <c r="AX7" s="153"/>
      <c r="AY7" s="153"/>
      <c r="AZ7" s="153"/>
      <c r="BA7" s="153"/>
      <c r="BB7" s="153"/>
      <c r="BC7" s="153"/>
      <c r="BD7" s="153"/>
      <c r="BE7" s="153"/>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c r="EF7" s="153"/>
      <c r="EG7" s="153"/>
      <c r="EH7" s="153"/>
      <c r="EI7" s="153"/>
      <c r="EJ7" s="153"/>
      <c r="EK7" s="153"/>
      <c r="EL7" s="153"/>
      <c r="EM7" s="153"/>
    </row>
    <row r="8" spans="1:143" ht="23.25" customHeight="1">
      <c r="A8" s="1132" t="s">
        <v>51</v>
      </c>
      <c r="B8" s="1554"/>
      <c r="C8" s="1141"/>
      <c r="D8" s="2756" t="s">
        <v>1690</v>
      </c>
      <c r="E8" s="2756"/>
      <c r="F8" s="2755" t="s">
        <v>822</v>
      </c>
      <c r="G8" s="2755"/>
      <c r="H8" s="2756" t="s">
        <v>1691</v>
      </c>
      <c r="I8" s="2756"/>
      <c r="J8" s="2755" t="s">
        <v>1303</v>
      </c>
      <c r="K8" s="2755"/>
      <c r="L8" s="2755" t="s">
        <v>1278</v>
      </c>
      <c r="M8" s="2755"/>
      <c r="N8" s="2755" t="s">
        <v>589</v>
      </c>
      <c r="O8" s="2755"/>
      <c r="P8" s="2755" t="s">
        <v>511</v>
      </c>
      <c r="Q8" s="2755"/>
      <c r="R8" s="2757" t="str">
        <f>IF(GasAnalyser="MRU", "Methane","TOC (as methane)")</f>
        <v>TOC (as methane)</v>
      </c>
      <c r="S8" s="2758"/>
      <c r="T8" s="712"/>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row>
    <row r="9" spans="1:143" s="107" customFormat="1" ht="10.5" customHeight="1">
      <c r="A9" s="1133">
        <f>GasDate(GasAnalyser,'Horiba Data'!C19,'Horiba Data'!D19,'Horiba Data'!E19,'Testo, JUM &amp; MRU Data'!C20,'Thermo Data'!C19)</f>
        <v>0</v>
      </c>
      <c r="B9" s="1555"/>
      <c r="C9" s="1127" t="s">
        <v>1282</v>
      </c>
      <c r="D9" s="466">
        <v>46.005499999999998</v>
      </c>
      <c r="E9" s="466"/>
      <c r="F9" s="466">
        <v>46.005499999999998</v>
      </c>
      <c r="G9" s="466"/>
      <c r="H9" s="466">
        <v>46.005499999999998</v>
      </c>
      <c r="I9" s="466"/>
      <c r="J9" s="466">
        <v>64.064800000000005</v>
      </c>
      <c r="K9" s="466"/>
      <c r="L9" s="466">
        <v>28.013500000000001</v>
      </c>
      <c r="M9" s="466"/>
      <c r="N9" s="466">
        <v>44.009500000000003</v>
      </c>
      <c r="O9" s="466"/>
      <c r="P9" s="466">
        <v>31.998799999999999</v>
      </c>
      <c r="Q9" s="1062"/>
      <c r="R9" s="466">
        <f>IF(ISERROR(VLOOKUP(R8,TOCGas,2,FALSE)),"",VLOOKUP(R8,TOCGas,2,FALSE))</f>
        <v>16.0425</v>
      </c>
      <c r="S9" s="1063"/>
      <c r="T9" s="712"/>
      <c r="AR9" s="153"/>
      <c r="AS9" s="153"/>
      <c r="AT9" s="153"/>
      <c r="AU9" s="153"/>
      <c r="AV9" s="153"/>
      <c r="AW9" s="153"/>
      <c r="AX9" s="153"/>
      <c r="AY9" s="153"/>
      <c r="AZ9" s="153"/>
      <c r="BA9" s="153"/>
      <c r="BB9" s="153"/>
      <c r="BC9" s="153"/>
      <c r="BD9" s="153"/>
      <c r="BE9" s="153"/>
      <c r="BF9" s="153"/>
      <c r="BG9" s="153"/>
      <c r="BH9" s="153"/>
      <c r="BI9" s="153"/>
      <c r="BJ9" s="153"/>
      <c r="BK9" s="153"/>
      <c r="BL9" s="153"/>
      <c r="BM9" s="153"/>
      <c r="BN9" s="153"/>
      <c r="BO9" s="153"/>
      <c r="BP9" s="153"/>
      <c r="BQ9" s="153"/>
      <c r="BR9" s="153"/>
      <c r="BS9" s="153"/>
      <c r="BT9" s="153"/>
      <c r="BU9" s="153"/>
      <c r="BV9" s="153"/>
      <c r="BW9" s="153"/>
      <c r="BX9" s="153"/>
      <c r="BY9" s="153"/>
      <c r="BZ9" s="153"/>
      <c r="CA9" s="153"/>
      <c r="CB9" s="153"/>
      <c r="CC9" s="153"/>
      <c r="CD9" s="153"/>
      <c r="CE9" s="153"/>
      <c r="CF9" s="153"/>
      <c r="CG9" s="153"/>
      <c r="CH9" s="153"/>
      <c r="CI9" s="153"/>
      <c r="CJ9" s="153"/>
      <c r="CK9" s="153"/>
      <c r="CL9" s="153"/>
      <c r="CM9" s="153"/>
      <c r="CN9" s="153"/>
      <c r="CO9" s="153"/>
      <c r="CP9" s="153"/>
      <c r="CQ9" s="153"/>
      <c r="CR9" s="153"/>
      <c r="CS9" s="153"/>
      <c r="CT9" s="153"/>
      <c r="CU9" s="153"/>
      <c r="CV9" s="153"/>
      <c r="CW9" s="153"/>
      <c r="CX9" s="153"/>
      <c r="CY9" s="153"/>
      <c r="CZ9" s="153"/>
      <c r="DA9" s="153"/>
      <c r="DB9" s="153"/>
      <c r="DC9" s="153"/>
      <c r="DD9" s="153"/>
      <c r="DE9" s="153"/>
      <c r="DF9" s="153"/>
      <c r="DG9" s="153"/>
      <c r="DH9" s="153"/>
      <c r="DI9" s="153"/>
      <c r="DJ9" s="153"/>
      <c r="DK9" s="153"/>
      <c r="DL9" s="153"/>
      <c r="DM9" s="153"/>
      <c r="DN9" s="153"/>
      <c r="DO9" s="153"/>
      <c r="DP9" s="153"/>
      <c r="DQ9" s="153"/>
      <c r="DR9" s="153"/>
      <c r="DS9" s="153"/>
      <c r="DT9" s="153"/>
      <c r="DU9" s="153"/>
      <c r="DV9" s="153"/>
      <c r="DW9" s="153"/>
      <c r="DX9" s="153"/>
      <c r="DY9" s="153"/>
      <c r="DZ9" s="153"/>
      <c r="EA9" s="153"/>
      <c r="EB9" s="153"/>
      <c r="EC9" s="153"/>
      <c r="ED9" s="153"/>
      <c r="EE9" s="153"/>
      <c r="EF9" s="153"/>
      <c r="EG9" s="153"/>
      <c r="EH9" s="153"/>
      <c r="EI9" s="153"/>
      <c r="EJ9" s="153"/>
      <c r="EK9" s="153"/>
      <c r="EL9" s="153"/>
      <c r="EM9" s="153"/>
    </row>
    <row r="10" spans="1:143" s="107" customFormat="1" ht="10.5" customHeight="1">
      <c r="A10" s="1134" t="s">
        <v>52</v>
      </c>
      <c r="B10" s="1556"/>
      <c r="C10" s="1127" t="s">
        <v>1285</v>
      </c>
      <c r="D10" s="2101" t="str">
        <f>IF(D12="","no value",D12*0.02)</f>
        <v>no value</v>
      </c>
      <c r="E10" s="2101"/>
      <c r="F10" s="2101" t="str">
        <f>IF(F12="","no value",F12*0.02)</f>
        <v>no value</v>
      </c>
      <c r="G10" s="2101"/>
      <c r="H10" s="2101" t="str">
        <f>D10</f>
        <v>no value</v>
      </c>
      <c r="I10" s="2101"/>
      <c r="J10" s="2101" t="str">
        <f>IF(J12="","no value",J12*0.02)</f>
        <v>no value</v>
      </c>
      <c r="K10" s="2101"/>
      <c r="L10" s="2101" t="str">
        <f>IF(L12="","no value",L12*0.02)</f>
        <v>no value</v>
      </c>
      <c r="M10" s="2101"/>
      <c r="N10" s="2101" t="str">
        <f>IF(N12="","no value",N12*0.02)</f>
        <v>no value</v>
      </c>
      <c r="O10" s="2101"/>
      <c r="P10" s="2101" t="str">
        <f>IF(P12="","no value",P12*0.02)</f>
        <v>no value</v>
      </c>
      <c r="Q10" s="2105"/>
      <c r="R10" s="2101" t="str">
        <f>IF(R12="","no value",R12*0.02)</f>
        <v>no value</v>
      </c>
      <c r="S10" s="158"/>
      <c r="T10" s="712"/>
      <c r="W10" s="1825" t="s">
        <v>1838</v>
      </c>
      <c r="AD10" s="1813"/>
      <c r="AE10" s="1813"/>
      <c r="AF10" s="1813"/>
      <c r="AG10" s="1813"/>
      <c r="AH10" s="1813"/>
      <c r="AI10" s="1813"/>
      <c r="AR10" s="153"/>
      <c r="AS10" s="153"/>
      <c r="AT10" s="153"/>
      <c r="AU10" s="153"/>
      <c r="AV10" s="153"/>
      <c r="AW10" s="153"/>
      <c r="AX10" s="153"/>
      <c r="AY10" s="153"/>
      <c r="AZ10" s="153"/>
      <c r="BA10" s="153"/>
      <c r="BB10" s="153"/>
      <c r="BC10" s="153"/>
      <c r="BD10" s="153"/>
      <c r="BE10" s="153"/>
      <c r="BF10" s="153"/>
      <c r="BG10" s="153"/>
      <c r="BH10" s="153"/>
      <c r="BI10" s="153"/>
      <c r="BJ10" s="153"/>
      <c r="BK10" s="153"/>
      <c r="BL10" s="153"/>
      <c r="BM10" s="153"/>
      <c r="BN10" s="153"/>
      <c r="BO10" s="153"/>
      <c r="BP10" s="153"/>
      <c r="BQ10" s="153"/>
      <c r="BR10" s="153"/>
      <c r="BS10" s="153"/>
      <c r="BT10" s="153"/>
      <c r="BU10" s="153"/>
      <c r="BV10" s="153"/>
      <c r="BW10" s="153"/>
      <c r="BX10" s="153"/>
      <c r="BY10" s="153"/>
      <c r="BZ10" s="153"/>
      <c r="CA10" s="153"/>
      <c r="CB10" s="153"/>
      <c r="CC10" s="153"/>
      <c r="CD10" s="153"/>
      <c r="CE10" s="153"/>
      <c r="CF10" s="153"/>
      <c r="CG10" s="153"/>
      <c r="CH10" s="153"/>
      <c r="CI10" s="153"/>
      <c r="CJ10" s="153"/>
      <c r="CK10" s="153"/>
      <c r="CL10" s="153"/>
      <c r="CM10" s="153"/>
      <c r="CN10" s="153"/>
      <c r="CO10" s="153"/>
      <c r="CP10" s="153"/>
      <c r="CQ10" s="153"/>
      <c r="CR10" s="153"/>
      <c r="CS10" s="153"/>
      <c r="CT10" s="153"/>
      <c r="CU10" s="153"/>
      <c r="CV10" s="153"/>
      <c r="CW10" s="153"/>
      <c r="CX10" s="153"/>
      <c r="CY10" s="153"/>
      <c r="CZ10" s="153"/>
      <c r="DA10" s="153"/>
      <c r="DB10" s="153"/>
      <c r="DC10" s="153"/>
      <c r="DD10" s="153"/>
      <c r="DE10" s="153"/>
      <c r="DF10" s="153"/>
      <c r="DG10" s="153"/>
      <c r="DH10" s="153"/>
      <c r="DI10" s="153"/>
      <c r="DJ10" s="153"/>
      <c r="DK10" s="153"/>
      <c r="DL10" s="153"/>
      <c r="DM10" s="153"/>
      <c r="DN10" s="153"/>
      <c r="DO10" s="153"/>
      <c r="DP10" s="153"/>
      <c r="DQ10" s="153"/>
      <c r="DR10" s="153"/>
      <c r="DS10" s="153"/>
      <c r="DT10" s="153"/>
      <c r="DU10" s="153"/>
      <c r="DV10" s="153"/>
      <c r="DW10" s="153"/>
      <c r="DX10" s="153"/>
      <c r="DY10" s="153"/>
      <c r="DZ10" s="153"/>
      <c r="EA10" s="153"/>
      <c r="EB10" s="153"/>
      <c r="EC10" s="153"/>
      <c r="ED10" s="153"/>
      <c r="EE10" s="153"/>
      <c r="EF10" s="153"/>
      <c r="EG10" s="153"/>
      <c r="EH10" s="153"/>
      <c r="EI10" s="153"/>
      <c r="EJ10" s="153"/>
      <c r="EK10" s="153"/>
      <c r="EL10" s="153"/>
      <c r="EM10" s="153"/>
    </row>
    <row r="11" spans="1:143" s="107" customFormat="1" ht="10.5" hidden="1" customHeight="1">
      <c r="A11" s="1135" t="str">
        <f>GasLog(GasAnalyser,'Horiba Data'!D17)</f>
        <v/>
      </c>
      <c r="B11" s="1557"/>
      <c r="C11" s="2094" t="s">
        <v>1302</v>
      </c>
      <c r="D11" s="2134"/>
      <c r="E11" s="2135"/>
      <c r="F11" s="2136" t="str">
        <f>GasRange(GasAnalyser,'Horiba Data'!Q19)</f>
        <v/>
      </c>
      <c r="G11" s="2137"/>
      <c r="H11" s="2106" t="str">
        <f>GasRange(GasAnalyser,'Horiba Data'!U19)</f>
        <v/>
      </c>
      <c r="I11" s="2135"/>
      <c r="J11" s="2136" t="str">
        <f>GasRange(GasAnalyser,'Horiba Data'!AK19)</f>
        <v/>
      </c>
      <c r="K11" s="2136"/>
      <c r="L11" s="2136" t="str">
        <f>GasRange(GasAnalyser,'Horiba Data'!Y19)</f>
        <v/>
      </c>
      <c r="M11" s="2136"/>
      <c r="N11" s="2136" t="str">
        <f>GasRange(GasAnalyser,'Horiba Data'!AC19)</f>
        <v/>
      </c>
      <c r="O11" s="2136"/>
      <c r="P11" s="2136" t="str">
        <f>GasRange(GasAnalyser,'Horiba Data'!AG19)</f>
        <v/>
      </c>
      <c r="Q11" s="2137"/>
      <c r="R11" s="2138"/>
      <c r="S11" s="2104"/>
      <c r="T11" s="712"/>
      <c r="U11" s="1820"/>
      <c r="V11" s="1821"/>
      <c r="W11" s="1821"/>
      <c r="X11" s="1822"/>
      <c r="Y11" s="1823"/>
      <c r="Z11" s="1823"/>
      <c r="AA11" s="1823"/>
      <c r="AB11" s="1824"/>
      <c r="AR11" s="153"/>
      <c r="AS11" s="153"/>
      <c r="AT11" s="153"/>
      <c r="AU11" s="153"/>
      <c r="AV11" s="153"/>
      <c r="AW11" s="153"/>
      <c r="AX11" s="153"/>
      <c r="AY11" s="153"/>
      <c r="AZ11" s="153"/>
      <c r="BA11" s="153"/>
      <c r="BB11" s="153"/>
      <c r="BC11" s="153"/>
      <c r="BD11" s="153"/>
      <c r="BE11" s="153"/>
      <c r="BF11" s="153"/>
      <c r="BG11" s="153"/>
      <c r="BH11" s="153"/>
      <c r="BI11" s="153"/>
      <c r="BJ11" s="153"/>
      <c r="BK11" s="153"/>
      <c r="BL11" s="153"/>
      <c r="BM11" s="153"/>
      <c r="BN11" s="153"/>
      <c r="BO11" s="153"/>
      <c r="BP11" s="153"/>
      <c r="BQ11" s="153"/>
      <c r="BR11" s="153"/>
      <c r="BS11" s="153"/>
      <c r="BT11" s="153"/>
      <c r="BU11" s="153"/>
      <c r="BV11" s="153"/>
      <c r="BW11" s="153"/>
      <c r="BX11" s="153"/>
      <c r="BY11" s="153"/>
      <c r="BZ11" s="153"/>
      <c r="CA11" s="153"/>
      <c r="CB11" s="153"/>
      <c r="CC11" s="153"/>
      <c r="CD11" s="153"/>
      <c r="CE11" s="153"/>
      <c r="CF11" s="153"/>
      <c r="CG11" s="153"/>
      <c r="CH11" s="153"/>
      <c r="CI11" s="153"/>
      <c r="CJ11" s="153"/>
      <c r="CK11" s="153"/>
      <c r="CL11" s="153"/>
      <c r="CM11" s="153"/>
      <c r="CN11" s="153"/>
      <c r="CO11" s="153"/>
      <c r="CP11" s="153"/>
      <c r="CQ11" s="153"/>
      <c r="CR11" s="153"/>
      <c r="CS11" s="153"/>
      <c r="CT11" s="153"/>
      <c r="CU11" s="153"/>
      <c r="CV11" s="153"/>
      <c r="CW11" s="153"/>
      <c r="CX11" s="153"/>
      <c r="CY11" s="153"/>
      <c r="CZ11" s="153"/>
      <c r="DA11" s="153"/>
      <c r="DB11" s="153"/>
      <c r="DC11" s="153"/>
      <c r="DD11" s="153"/>
      <c r="DE11" s="153"/>
      <c r="DF11" s="153"/>
      <c r="DG11" s="153"/>
      <c r="DH11" s="153"/>
      <c r="DI11" s="153"/>
      <c r="DJ11" s="153"/>
      <c r="DK11" s="153"/>
      <c r="DL11" s="153"/>
      <c r="DM11" s="153"/>
      <c r="DN11" s="153"/>
      <c r="DO11" s="153"/>
      <c r="DP11" s="153"/>
      <c r="DQ11" s="153"/>
      <c r="DR11" s="153"/>
      <c r="DS11" s="153"/>
      <c r="DT11" s="153"/>
      <c r="DU11" s="153"/>
      <c r="DV11" s="153"/>
      <c r="DW11" s="153"/>
      <c r="DX11" s="153"/>
      <c r="DY11" s="153"/>
      <c r="DZ11" s="153"/>
      <c r="EA11" s="153"/>
      <c r="EB11" s="153"/>
      <c r="EC11" s="153"/>
      <c r="ED11" s="153"/>
      <c r="EE11" s="153"/>
      <c r="EF11" s="153"/>
      <c r="EG11" s="153"/>
      <c r="EH11" s="153"/>
      <c r="EI11" s="153"/>
      <c r="EJ11" s="153"/>
      <c r="EK11" s="153"/>
      <c r="EL11" s="153"/>
      <c r="EM11" s="153"/>
    </row>
    <row r="12" spans="1:143" s="107" customFormat="1" ht="10.5" customHeight="1">
      <c r="A12" s="1134" t="s">
        <v>1277</v>
      </c>
      <c r="B12" s="1557"/>
      <c r="C12" s="2139" t="s">
        <v>1426</v>
      </c>
      <c r="D12" s="2140"/>
      <c r="E12" s="2141"/>
      <c r="F12" s="2142"/>
      <c r="G12" s="2143"/>
      <c r="H12" s="2144"/>
      <c r="I12" s="2141"/>
      <c r="J12" s="2142"/>
      <c r="K12" s="2142"/>
      <c r="L12" s="2142"/>
      <c r="M12" s="2142"/>
      <c r="N12" s="2145"/>
      <c r="O12" s="2145"/>
      <c r="P12" s="2145"/>
      <c r="Q12" s="2146"/>
      <c r="R12" s="2147"/>
      <c r="S12" s="2075"/>
      <c r="T12" s="712"/>
      <c r="U12" s="1820"/>
      <c r="V12" s="1821"/>
      <c r="W12" s="2178"/>
      <c r="X12" s="1823" t="s">
        <v>1816</v>
      </c>
      <c r="Y12" s="1824"/>
      <c r="Z12" s="1823"/>
      <c r="AA12" s="1823"/>
      <c r="AB12" s="1824"/>
      <c r="AD12" s="1813"/>
      <c r="AR12" s="153"/>
      <c r="AS12" s="153"/>
      <c r="AT12" s="153"/>
      <c r="AU12" s="153"/>
      <c r="AV12" s="153"/>
      <c r="AW12" s="153"/>
      <c r="AX12" s="153"/>
      <c r="AY12" s="153"/>
      <c r="AZ12" s="153"/>
      <c r="BA12" s="153"/>
      <c r="BB12" s="153"/>
      <c r="BC12" s="153"/>
      <c r="BD12" s="153"/>
      <c r="BE12" s="153"/>
      <c r="BF12" s="153"/>
      <c r="BG12" s="153"/>
      <c r="BH12" s="153"/>
      <c r="BI12" s="153"/>
      <c r="BJ12" s="153"/>
      <c r="BK12" s="153"/>
      <c r="BL12" s="153"/>
      <c r="BM12" s="153"/>
      <c r="BN12" s="153"/>
      <c r="BO12" s="153"/>
      <c r="BP12" s="153"/>
      <c r="BQ12" s="153"/>
      <c r="BR12" s="153"/>
      <c r="BS12" s="153"/>
      <c r="BT12" s="153"/>
      <c r="BU12" s="153"/>
      <c r="BV12" s="153"/>
      <c r="BW12" s="153"/>
      <c r="BX12" s="153"/>
      <c r="BY12" s="153"/>
      <c r="BZ12" s="153"/>
      <c r="CA12" s="153"/>
      <c r="CB12" s="153"/>
      <c r="CC12" s="153"/>
      <c r="CD12" s="153"/>
      <c r="CE12" s="153"/>
      <c r="CF12" s="153"/>
      <c r="CG12" s="153"/>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c r="EF12" s="153"/>
      <c r="EG12" s="153"/>
      <c r="EH12" s="153"/>
      <c r="EI12" s="153"/>
      <c r="EJ12" s="153"/>
      <c r="EK12" s="153"/>
      <c r="EL12" s="153"/>
      <c r="EM12" s="153"/>
    </row>
    <row r="13" spans="1:143" s="107" customFormat="1" ht="10.5" customHeight="1">
      <c r="A13" s="1134" t="s">
        <v>86</v>
      </c>
      <c r="B13" s="1557"/>
      <c r="C13" s="2076" t="s">
        <v>1997</v>
      </c>
      <c r="D13" s="2151"/>
      <c r="E13" s="2152"/>
      <c r="F13" s="2079"/>
      <c r="G13" s="2098"/>
      <c r="H13" s="2108"/>
      <c r="I13" s="2077"/>
      <c r="J13" s="2079"/>
      <c r="K13" s="2079"/>
      <c r="L13" s="2079"/>
      <c r="M13" s="2078"/>
      <c r="N13" s="2079"/>
      <c r="O13" s="2079"/>
      <c r="P13" s="2079"/>
      <c r="Q13" s="2080"/>
      <c r="R13" s="2081"/>
      <c r="S13" s="2075"/>
      <c r="T13" s="712"/>
      <c r="U13" s="1814" t="s">
        <v>1817</v>
      </c>
      <c r="V13" s="1815" t="s">
        <v>1827</v>
      </c>
      <c r="W13" s="2180">
        <f>(16.7/100*StackDimA)+PortDepth</f>
        <v>0</v>
      </c>
      <c r="X13" s="2180">
        <f>(50/100*StackDimA)+PortDepth</f>
        <v>0</v>
      </c>
      <c r="Y13" s="2180">
        <f>(83.3/100*StackDimA)+PortDepth</f>
        <v>0</v>
      </c>
      <c r="Z13" s="1817" t="s">
        <v>1818</v>
      </c>
      <c r="AA13" s="1817" t="s">
        <v>1819</v>
      </c>
      <c r="AB13" s="1819" t="s">
        <v>1820</v>
      </c>
      <c r="AD13" s="1813"/>
      <c r="AR13" s="153"/>
      <c r="AS13" s="153"/>
      <c r="AT13" s="153"/>
      <c r="AU13" s="153"/>
      <c r="AV13" s="153"/>
      <c r="AW13" s="153"/>
      <c r="AX13" s="153"/>
      <c r="AY13" s="153"/>
      <c r="AZ13" s="153"/>
      <c r="BA13" s="153"/>
      <c r="BB13" s="153"/>
      <c r="BC13" s="153"/>
      <c r="BD13" s="153"/>
      <c r="BE13" s="153"/>
      <c r="BF13" s="153"/>
      <c r="BG13" s="153"/>
      <c r="BH13" s="153"/>
      <c r="BI13" s="153"/>
      <c r="BJ13" s="153"/>
      <c r="BK13" s="153"/>
      <c r="BL13" s="153"/>
      <c r="BM13" s="153"/>
      <c r="BN13" s="153"/>
      <c r="BO13" s="153"/>
      <c r="BP13" s="153"/>
      <c r="BQ13" s="153"/>
      <c r="BR13" s="153"/>
      <c r="BS13" s="153"/>
      <c r="BT13" s="153"/>
      <c r="BU13" s="153"/>
      <c r="BV13" s="153"/>
      <c r="BW13" s="153"/>
      <c r="BX13" s="153"/>
      <c r="BY13" s="153"/>
      <c r="BZ13" s="153"/>
      <c r="CA13" s="153"/>
      <c r="CB13" s="153"/>
      <c r="CC13" s="153"/>
      <c r="CD13" s="153"/>
      <c r="CE13" s="153"/>
      <c r="CF13" s="153"/>
      <c r="CG13" s="153"/>
      <c r="CH13" s="153"/>
      <c r="CI13" s="153"/>
      <c r="CJ13" s="153"/>
      <c r="CK13" s="153"/>
      <c r="CL13" s="153"/>
      <c r="CM13" s="153"/>
      <c r="CN13" s="153"/>
      <c r="CO13" s="153"/>
      <c r="CP13" s="153"/>
      <c r="CQ13" s="153"/>
      <c r="CR13" s="153"/>
      <c r="CS13" s="153"/>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c r="EF13" s="153"/>
      <c r="EG13" s="153"/>
      <c r="EH13" s="153"/>
      <c r="EI13" s="153"/>
      <c r="EJ13" s="153"/>
      <c r="EK13" s="153"/>
      <c r="EL13" s="153"/>
      <c r="EM13" s="153"/>
    </row>
    <row r="14" spans="1:143" s="107" customFormat="1" ht="10.5" customHeight="1">
      <c r="A14" s="1136"/>
      <c r="B14" s="1558"/>
      <c r="C14" s="2082" t="s">
        <v>1998</v>
      </c>
      <c r="D14" s="2153"/>
      <c r="E14" s="2154"/>
      <c r="F14" s="2085"/>
      <c r="G14" s="2099"/>
      <c r="H14" s="2107"/>
      <c r="I14" s="2083"/>
      <c r="J14" s="2085"/>
      <c r="K14" s="2085"/>
      <c r="L14" s="2085"/>
      <c r="M14" s="2084"/>
      <c r="N14" s="2085"/>
      <c r="O14" s="2085"/>
      <c r="P14" s="2085"/>
      <c r="Q14" s="2086"/>
      <c r="R14" s="2087"/>
      <c r="S14" s="2075"/>
      <c r="T14" s="712"/>
      <c r="U14" s="1814"/>
      <c r="V14" s="2123" t="s">
        <v>1821</v>
      </c>
      <c r="W14" s="2181"/>
      <c r="X14" s="2181"/>
      <c r="Y14" s="2181"/>
      <c r="Z14" s="1818" t="str">
        <f>IF(OR(W14="",X14="",Y14=""),"",AVERAGE(W14:Y14))</f>
        <v/>
      </c>
      <c r="AA14" s="1817" t="s">
        <v>1825</v>
      </c>
      <c r="AB14" s="1819" t="s">
        <v>1826</v>
      </c>
      <c r="AD14" s="1813"/>
      <c r="AR14" s="153"/>
      <c r="AS14" s="153"/>
      <c r="AT14" s="153"/>
      <c r="AU14" s="153"/>
      <c r="AV14" s="153"/>
      <c r="AW14" s="153"/>
      <c r="AX14" s="153"/>
      <c r="AY14" s="153"/>
      <c r="AZ14" s="153"/>
      <c r="BA14" s="153"/>
      <c r="BB14" s="153"/>
      <c r="BC14" s="153"/>
      <c r="BD14" s="153"/>
      <c r="BE14" s="153"/>
      <c r="BF14" s="153"/>
      <c r="BG14" s="153"/>
      <c r="BH14" s="153"/>
      <c r="BI14" s="153"/>
      <c r="BJ14" s="153"/>
      <c r="BK14" s="153"/>
      <c r="BL14" s="153"/>
      <c r="BM14" s="153"/>
      <c r="BN14" s="153"/>
      <c r="BO14" s="153"/>
      <c r="BP14" s="153"/>
      <c r="BQ14" s="153"/>
      <c r="BR14" s="153"/>
      <c r="BS14" s="153"/>
      <c r="BT14" s="153"/>
      <c r="BU14" s="153"/>
      <c r="BV14" s="153"/>
      <c r="BW14" s="153"/>
      <c r="BX14" s="153"/>
      <c r="BY14" s="153"/>
      <c r="BZ14" s="153"/>
      <c r="CA14" s="153"/>
      <c r="CB14" s="153"/>
      <c r="CC14" s="153"/>
      <c r="CD14" s="153"/>
      <c r="CE14" s="153"/>
      <c r="CF14" s="153"/>
      <c r="CG14" s="153"/>
      <c r="CH14" s="153"/>
      <c r="CI14" s="153"/>
      <c r="CJ14" s="153"/>
      <c r="CK14" s="153"/>
      <c r="CL14" s="153"/>
      <c r="CM14" s="153"/>
      <c r="CN14" s="153"/>
      <c r="CO14" s="153"/>
      <c r="CP14" s="153"/>
      <c r="CQ14" s="153"/>
      <c r="CR14" s="153"/>
      <c r="CS14" s="153"/>
      <c r="CT14" s="153"/>
      <c r="CU14" s="153"/>
      <c r="CV14" s="153"/>
      <c r="CW14" s="153"/>
      <c r="CX14" s="153"/>
      <c r="CY14" s="153"/>
      <c r="CZ14" s="153"/>
      <c r="DA14" s="153"/>
      <c r="DB14" s="153"/>
      <c r="DC14" s="153"/>
      <c r="DD14" s="153"/>
      <c r="DE14" s="153"/>
      <c r="DF14" s="153"/>
      <c r="DG14" s="153"/>
      <c r="DH14" s="153"/>
      <c r="DI14" s="153"/>
      <c r="DJ14" s="153"/>
      <c r="DK14" s="153"/>
      <c r="DL14" s="153"/>
      <c r="DM14" s="153"/>
      <c r="DN14" s="153"/>
      <c r="DO14" s="153"/>
      <c r="DP14" s="153"/>
      <c r="DQ14" s="153"/>
      <c r="DR14" s="153"/>
      <c r="DS14" s="153"/>
      <c r="DT14" s="153"/>
      <c r="DU14" s="153"/>
      <c r="DV14" s="153"/>
      <c r="DW14" s="153"/>
      <c r="DX14" s="153"/>
      <c r="DY14" s="153"/>
      <c r="DZ14" s="153"/>
      <c r="EA14" s="153"/>
      <c r="EB14" s="153"/>
      <c r="EC14" s="153"/>
      <c r="ED14" s="153"/>
      <c r="EE14" s="153"/>
      <c r="EF14" s="153"/>
      <c r="EG14" s="153"/>
      <c r="EH14" s="153"/>
      <c r="EI14" s="153"/>
      <c r="EJ14" s="153"/>
      <c r="EK14" s="153"/>
      <c r="EL14" s="153"/>
      <c r="EM14" s="153"/>
    </row>
    <row r="15" spans="1:143" s="107" customFormat="1" ht="10.5" customHeight="1">
      <c r="A15" s="1136"/>
      <c r="B15" s="1558"/>
      <c r="C15" s="2076" t="s">
        <v>1999</v>
      </c>
      <c r="D15" s="2151"/>
      <c r="E15" s="2152"/>
      <c r="F15" s="2079"/>
      <c r="G15" s="2098"/>
      <c r="H15" s="2108"/>
      <c r="I15" s="2077"/>
      <c r="J15" s="2079"/>
      <c r="K15" s="2079"/>
      <c r="L15" s="2079"/>
      <c r="M15" s="2078"/>
      <c r="N15" s="2079"/>
      <c r="O15" s="2079"/>
      <c r="P15" s="2079"/>
      <c r="Q15" s="2080"/>
      <c r="R15" s="2081"/>
      <c r="S15" s="2075"/>
      <c r="T15" s="712"/>
      <c r="U15" s="1814"/>
      <c r="V15" s="2123" t="s">
        <v>1822</v>
      </c>
      <c r="W15" s="2182" t="e">
        <f>ABS((W14-$Z$14)*100/$Z$14)</f>
        <v>#VALUE!</v>
      </c>
      <c r="X15" s="2182" t="e">
        <f>ABS((X14-$Z$14)*100/$Z$14)</f>
        <v>#VALUE!</v>
      </c>
      <c r="Y15" s="2182" t="e">
        <f>ABS((Y14-$Z$14)*100/$Z$14)</f>
        <v>#VALUE!</v>
      </c>
      <c r="Z15" s="1817"/>
      <c r="AA15" s="1817" t="e">
        <f>IF(AND($W15&lt;=5,$X15&lt;=5,$Y15&lt;=5),"Pass","Fail")</f>
        <v>#VALUE!</v>
      </c>
      <c r="AB15" s="1819" t="e">
        <f>IF(AND($W15&lt;=10,$X15&lt;=10,$Y15&lt;=10),"Pass","Fail")</f>
        <v>#VALUE!</v>
      </c>
      <c r="AD15" s="1813"/>
      <c r="AR15" s="153"/>
      <c r="AS15" s="153"/>
      <c r="AT15" s="153"/>
      <c r="AU15" s="153"/>
      <c r="AV15" s="153"/>
      <c r="AW15" s="153"/>
      <c r="AX15" s="153"/>
      <c r="AY15" s="153"/>
      <c r="AZ15" s="153"/>
      <c r="BA15" s="153"/>
      <c r="BB15" s="153"/>
      <c r="BC15" s="153"/>
      <c r="BD15" s="153"/>
      <c r="BE15" s="153"/>
      <c r="BF15" s="153"/>
      <c r="BG15" s="153"/>
      <c r="BH15" s="153"/>
      <c r="BI15" s="153"/>
      <c r="BJ15" s="153"/>
      <c r="BK15" s="153"/>
      <c r="BL15" s="153"/>
      <c r="BM15" s="153"/>
      <c r="BN15" s="153"/>
      <c r="BO15" s="153"/>
      <c r="BP15" s="153"/>
      <c r="BQ15" s="153"/>
      <c r="BR15" s="153"/>
      <c r="BS15" s="153"/>
      <c r="BT15" s="153"/>
      <c r="BU15" s="153"/>
      <c r="BV15" s="153"/>
      <c r="BW15" s="153"/>
      <c r="BX15" s="153"/>
      <c r="BY15" s="153"/>
      <c r="BZ15" s="153"/>
      <c r="CA15" s="153"/>
      <c r="CB15" s="153"/>
      <c r="CC15" s="153"/>
      <c r="CD15" s="153"/>
      <c r="CE15" s="153"/>
      <c r="CF15" s="153"/>
      <c r="CG15" s="153"/>
      <c r="CH15" s="153"/>
      <c r="CI15" s="153"/>
      <c r="CJ15" s="153"/>
      <c r="CK15" s="153"/>
      <c r="CL15" s="153"/>
      <c r="CM15" s="153"/>
      <c r="CN15" s="153"/>
      <c r="CO15" s="153"/>
      <c r="CP15" s="153"/>
      <c r="CQ15" s="153"/>
      <c r="CR15" s="153"/>
      <c r="CS15" s="153"/>
      <c r="CT15" s="153"/>
      <c r="CU15" s="153"/>
      <c r="CV15" s="153"/>
      <c r="CW15" s="153"/>
      <c r="CX15" s="153"/>
      <c r="CY15" s="153"/>
      <c r="CZ15" s="153"/>
      <c r="DA15" s="153"/>
      <c r="DB15" s="153"/>
      <c r="DC15" s="153"/>
      <c r="DD15" s="153"/>
      <c r="DE15" s="153"/>
      <c r="DF15" s="153"/>
      <c r="DG15" s="153"/>
      <c r="DH15" s="153"/>
      <c r="DI15" s="153"/>
      <c r="DJ15" s="153"/>
      <c r="DK15" s="153"/>
      <c r="DL15" s="153"/>
      <c r="DM15" s="153"/>
      <c r="DN15" s="153"/>
      <c r="DO15" s="153"/>
      <c r="DP15" s="153"/>
      <c r="DQ15" s="153"/>
      <c r="DR15" s="153"/>
      <c r="DS15" s="153"/>
      <c r="DT15" s="153"/>
      <c r="DU15" s="153"/>
      <c r="DV15" s="153"/>
      <c r="DW15" s="153"/>
      <c r="DX15" s="153"/>
      <c r="DY15" s="153"/>
      <c r="DZ15" s="153"/>
      <c r="EA15" s="153"/>
      <c r="EB15" s="153"/>
      <c r="EC15" s="153"/>
      <c r="ED15" s="153"/>
      <c r="EE15" s="153"/>
      <c r="EF15" s="153"/>
      <c r="EG15" s="153"/>
      <c r="EH15" s="153"/>
      <c r="EI15" s="153"/>
      <c r="EJ15" s="153"/>
      <c r="EK15" s="153"/>
      <c r="EL15" s="153"/>
      <c r="EM15" s="153"/>
    </row>
    <row r="16" spans="1:143" s="107" customFormat="1" ht="10.5" customHeight="1">
      <c r="A16" s="1136" t="s">
        <v>172</v>
      </c>
      <c r="B16" s="1558"/>
      <c r="C16" s="2082" t="s">
        <v>2000</v>
      </c>
      <c r="D16" s="2153"/>
      <c r="E16" s="2154"/>
      <c r="F16" s="2085"/>
      <c r="G16" s="2099"/>
      <c r="H16" s="2107"/>
      <c r="I16" s="2083"/>
      <c r="J16" s="2085"/>
      <c r="K16" s="2085"/>
      <c r="L16" s="2085"/>
      <c r="M16" s="2084"/>
      <c r="N16" s="2085"/>
      <c r="O16" s="2085"/>
      <c r="P16" s="2085"/>
      <c r="Q16" s="2086"/>
      <c r="R16" s="2087"/>
      <c r="S16" s="2088"/>
      <c r="T16" s="712"/>
      <c r="U16" s="1814"/>
      <c r="V16" s="2123" t="s">
        <v>1823</v>
      </c>
      <c r="W16" s="2183" t="e">
        <f>ABS(W14-$Z$14)</f>
        <v>#VALUE!</v>
      </c>
      <c r="X16" s="2183" t="e">
        <f>ABS(X14-$Z$14)</f>
        <v>#VALUE!</v>
      </c>
      <c r="Y16" s="2183" t="e">
        <f>ABS(Y14-$Z$14)</f>
        <v>#VALUE!</v>
      </c>
      <c r="Z16" s="1817"/>
      <c r="AA16" s="1817" t="e">
        <f>IF(AND($W16&lt;=0.5,$X16&lt;=0.5,$Y16&lt;=0.5),"Pass","Fail")</f>
        <v>#VALUE!</v>
      </c>
      <c r="AB16" s="1819" t="e">
        <f>IF(AND($W16&lt;=1,$X16&lt;=1,$Y16&lt;=1),"Pass","Fail")</f>
        <v>#VALUE!</v>
      </c>
      <c r="AD16" s="1813"/>
      <c r="AR16" s="160"/>
      <c r="AS16" s="160"/>
      <c r="AT16" s="153"/>
      <c r="AU16" s="153"/>
      <c r="AV16" s="153"/>
      <c r="AW16" s="153"/>
      <c r="AX16" s="153"/>
      <c r="AY16" s="153"/>
      <c r="AZ16" s="153"/>
      <c r="BA16" s="153"/>
      <c r="BB16" s="153"/>
      <c r="BC16" s="153"/>
      <c r="BD16" s="153"/>
      <c r="BE16" s="153"/>
      <c r="BF16" s="153"/>
      <c r="BG16" s="153"/>
      <c r="BH16" s="153"/>
      <c r="BI16" s="153"/>
      <c r="BJ16" s="153"/>
      <c r="BK16" s="159"/>
      <c r="BL16" s="159"/>
      <c r="BM16" s="159"/>
      <c r="BN16" s="159"/>
      <c r="BO16" s="159"/>
      <c r="BP16" s="159"/>
      <c r="BQ16" s="159"/>
      <c r="BR16" s="159"/>
      <c r="BS16" s="159"/>
      <c r="BT16" s="159"/>
      <c r="BU16" s="159"/>
      <c r="BV16" s="153"/>
      <c r="BW16" s="153"/>
      <c r="BX16" s="153"/>
      <c r="BY16" s="153"/>
      <c r="BZ16" s="153"/>
      <c r="CA16" s="153"/>
      <c r="CB16" s="153"/>
      <c r="CC16" s="153"/>
      <c r="CD16" s="153"/>
      <c r="CE16" s="153"/>
      <c r="CF16" s="153"/>
      <c r="CG16" s="153"/>
      <c r="CH16" s="153"/>
      <c r="CI16" s="153"/>
      <c r="CJ16" s="153"/>
      <c r="CK16" s="153"/>
      <c r="CL16" s="153"/>
      <c r="CM16" s="153"/>
      <c r="CN16" s="153"/>
      <c r="CO16" s="153"/>
      <c r="CP16" s="153"/>
      <c r="CQ16" s="153"/>
      <c r="CR16" s="153"/>
      <c r="CS16" s="153"/>
      <c r="CT16" s="153"/>
      <c r="CU16" s="153"/>
      <c r="CV16" s="153"/>
      <c r="CW16" s="153"/>
      <c r="CX16" s="153"/>
      <c r="CY16" s="153"/>
      <c r="CZ16" s="153"/>
      <c r="DA16" s="153"/>
      <c r="DB16" s="153"/>
      <c r="DC16" s="153"/>
      <c r="DD16" s="153"/>
      <c r="DE16" s="153"/>
      <c r="DF16" s="153"/>
      <c r="DG16" s="153"/>
      <c r="DH16" s="153"/>
      <c r="DI16" s="153"/>
      <c r="DJ16" s="153"/>
      <c r="DK16" s="153"/>
      <c r="DL16" s="153"/>
      <c r="DM16" s="153"/>
      <c r="DN16" s="153"/>
      <c r="DO16" s="153"/>
      <c r="DP16" s="153"/>
      <c r="DQ16" s="153"/>
      <c r="DR16" s="153"/>
      <c r="DS16" s="153"/>
      <c r="DT16" s="153"/>
      <c r="DU16" s="153"/>
      <c r="DV16" s="153"/>
      <c r="DW16" s="153"/>
      <c r="DX16" s="153"/>
      <c r="DY16" s="153"/>
      <c r="DZ16" s="153"/>
      <c r="EA16" s="153"/>
      <c r="EB16" s="153"/>
      <c r="EC16" s="153"/>
      <c r="ED16" s="153"/>
      <c r="EE16" s="153"/>
      <c r="EF16" s="153"/>
      <c r="EG16" s="153"/>
      <c r="EH16" s="153"/>
      <c r="EI16" s="153"/>
      <c r="EJ16" s="153"/>
      <c r="EK16" s="153"/>
      <c r="EL16" s="153"/>
      <c r="EM16" s="153"/>
    </row>
    <row r="17" spans="1:143" s="107" customFormat="1" ht="10.5" customHeight="1">
      <c r="A17" s="1136"/>
      <c r="B17" s="1558"/>
      <c r="C17" s="1142"/>
      <c r="D17" s="2089" t="b">
        <f>IF(COUNTIF(D12:D16,"&lt;&gt;"&amp;"")&lt;5,FALSE,TRUE)</f>
        <v>0</v>
      </c>
      <c r="E17" s="2090"/>
      <c r="F17" s="2089" t="b">
        <f>IF(COUNTIF(F12:F16,"&lt;&gt;"&amp;"")&lt;5,FALSE,TRUE)</f>
        <v>0</v>
      </c>
      <c r="G17" s="2100"/>
      <c r="H17" s="2103"/>
      <c r="I17" s="2090"/>
      <c r="J17" s="2089" t="b">
        <f>IF(COUNTIF(J12:J16,"&lt;&gt;"&amp;"")&lt;5,FALSE,TRUE)</f>
        <v>0</v>
      </c>
      <c r="K17" s="2091"/>
      <c r="L17" s="2089" t="b">
        <f>IF(COUNTIF(L12:L16,"&lt;&gt;"&amp;"")&lt;5,FALSE,TRUE)</f>
        <v>0</v>
      </c>
      <c r="M17" s="2091"/>
      <c r="N17" s="2089" t="b">
        <f>IF(COUNTIF(N12:N16,"&lt;&gt;"&amp;"")&lt;5,FALSE,TRUE)</f>
        <v>0</v>
      </c>
      <c r="O17" s="2092"/>
      <c r="P17" s="2089" t="b">
        <f>IF(COUNTIF(P12:P16,"&lt;&gt;"&amp;"")&lt;5,FALSE,TRUE)</f>
        <v>0</v>
      </c>
      <c r="Q17" s="2093"/>
      <c r="R17" s="2089" t="b">
        <f>IF(COUNTIF(R12:R16,"&lt;&gt;"&amp;"")&lt;5,FALSE,TRUE)</f>
        <v>0</v>
      </c>
      <c r="S17" s="1567"/>
      <c r="T17" s="1568"/>
      <c r="U17" s="1814"/>
      <c r="V17" s="1815"/>
      <c r="W17" s="1818"/>
      <c r="X17" s="1818"/>
      <c r="Y17" s="1818"/>
      <c r="Z17" s="1817"/>
      <c r="AA17" s="1817"/>
      <c r="AB17" s="1819"/>
      <c r="AR17" s="1569"/>
      <c r="AS17" s="1569"/>
      <c r="BK17" s="1570"/>
      <c r="BL17" s="1570"/>
      <c r="BM17" s="1570"/>
      <c r="BN17" s="1570"/>
      <c r="BO17" s="1570"/>
      <c r="BP17" s="1570"/>
      <c r="BQ17" s="1570"/>
      <c r="BR17" s="1570"/>
      <c r="BS17" s="1570"/>
      <c r="BT17" s="1570"/>
      <c r="BU17" s="1570"/>
    </row>
    <row r="18" spans="1:143" s="107" customFormat="1" ht="10.5" customHeight="1">
      <c r="A18" s="1136" t="s">
        <v>173</v>
      </c>
      <c r="B18" s="1558"/>
      <c r="C18" s="2096" t="s">
        <v>1341</v>
      </c>
      <c r="D18" s="2111" t="str">
        <f>IF(ISNUMBER(D16),(D16-D13)/D14,"")</f>
        <v/>
      </c>
      <c r="E18" s="2112"/>
      <c r="F18" s="2112" t="str">
        <f>IF(ISNUMBER(F16),(F16-F13)/F14,"")</f>
        <v/>
      </c>
      <c r="G18" s="2113"/>
      <c r="H18" s="2108"/>
      <c r="I18" s="2111"/>
      <c r="J18" s="2112" t="str">
        <f>IF(ISNUMBER(J16),(J16-J13)/J14,"")</f>
        <v/>
      </c>
      <c r="K18" s="2112"/>
      <c r="L18" s="2112" t="str">
        <f>IF(ISNUMBER(L16),(L16-L13)/L14,"")</f>
        <v/>
      </c>
      <c r="M18" s="2112"/>
      <c r="N18" s="2112" t="str">
        <f>IF(ISNUMBER(N16),(N16-N13)/N14,"")</f>
        <v/>
      </c>
      <c r="O18" s="2112"/>
      <c r="P18" s="2112" t="str">
        <f>IF(ISNUMBER(P16),(P16-P13)/P14,"")</f>
        <v/>
      </c>
      <c r="Q18" s="2113"/>
      <c r="R18" s="2114" t="str">
        <f>IF(ISNUMBER(R16),(R16-R13)/R14,"")</f>
        <v/>
      </c>
      <c r="S18" s="2109"/>
      <c r="T18" s="712"/>
      <c r="U18" s="2184" t="s">
        <v>1824</v>
      </c>
      <c r="V18" s="1816"/>
      <c r="W18" s="2128"/>
      <c r="X18" s="2186" t="e">
        <f>IF(AA18="Pass",1,(IF(AB18="Pass",3,6)))</f>
        <v>#VALUE!</v>
      </c>
      <c r="Y18" s="2129"/>
      <c r="Z18" s="2129"/>
      <c r="AA18" s="2129" t="e">
        <f>IF(OR(AA15="Pass",AA16="Pass"),"Pass","Fail")</f>
        <v>#VALUE!</v>
      </c>
      <c r="AB18" s="2187" t="e">
        <f>IF(OR(AB15="Pass",AB16="Pass"),"Pass","Fail")</f>
        <v>#VALUE!</v>
      </c>
      <c r="AR18" s="160"/>
      <c r="AS18" s="160"/>
      <c r="AT18" s="48"/>
      <c r="AU18" s="48"/>
      <c r="AV18" s="159"/>
      <c r="AW18" s="159"/>
      <c r="AX18" s="159"/>
      <c r="AY18" s="159"/>
      <c r="AZ18" s="159"/>
      <c r="BA18" s="159"/>
      <c r="BB18" s="159"/>
      <c r="BC18" s="159"/>
      <c r="BD18" s="159"/>
      <c r="BE18" s="159"/>
      <c r="BF18" s="159"/>
      <c r="BG18" s="159"/>
      <c r="BH18" s="159"/>
      <c r="BI18" s="159"/>
      <c r="BJ18" s="159"/>
      <c r="BK18" s="160"/>
      <c r="BL18" s="160"/>
      <c r="BM18" s="160"/>
      <c r="BN18" s="160"/>
      <c r="BO18" s="160"/>
      <c r="BP18" s="160"/>
      <c r="BQ18" s="160"/>
      <c r="BR18" s="160"/>
      <c r="BS18" s="160"/>
      <c r="BT18" s="160"/>
      <c r="BU18" s="160"/>
      <c r="BV18" s="153"/>
      <c r="BW18" s="153"/>
      <c r="BX18" s="153"/>
      <c r="BY18" s="153"/>
      <c r="BZ18" s="153"/>
      <c r="CA18" s="153"/>
      <c r="CB18" s="153"/>
      <c r="CC18" s="153"/>
      <c r="CD18" s="153"/>
      <c r="CE18" s="153"/>
      <c r="CF18" s="153"/>
      <c r="CG18" s="153"/>
      <c r="CH18" s="153"/>
      <c r="CI18" s="153"/>
      <c r="CJ18" s="153"/>
      <c r="CK18" s="153"/>
      <c r="CL18" s="153"/>
      <c r="CM18" s="153"/>
      <c r="CN18" s="153"/>
      <c r="CO18" s="153"/>
      <c r="CP18" s="153"/>
      <c r="CQ18" s="153"/>
      <c r="CR18" s="153"/>
      <c r="CS18" s="153"/>
      <c r="CT18" s="153"/>
      <c r="CU18" s="153"/>
      <c r="CV18" s="153"/>
      <c r="CW18" s="153"/>
      <c r="CX18" s="153"/>
      <c r="CY18" s="153"/>
      <c r="CZ18" s="153"/>
      <c r="DA18" s="153"/>
      <c r="DB18" s="153"/>
      <c r="DC18" s="153"/>
      <c r="DD18" s="153"/>
      <c r="DE18" s="153"/>
      <c r="DF18" s="153"/>
      <c r="DG18" s="153"/>
      <c r="DH18" s="153"/>
      <c r="DI18" s="153"/>
      <c r="DJ18" s="153"/>
      <c r="DK18" s="153"/>
      <c r="DL18" s="153"/>
      <c r="DM18" s="153"/>
      <c r="DN18" s="153"/>
      <c r="DO18" s="153"/>
      <c r="DP18" s="153"/>
      <c r="DQ18" s="153"/>
      <c r="DR18" s="153"/>
      <c r="DS18" s="153"/>
      <c r="DT18" s="153"/>
      <c r="DU18" s="153"/>
      <c r="DV18" s="153"/>
      <c r="DW18" s="153"/>
      <c r="DX18" s="153"/>
      <c r="DY18" s="153"/>
      <c r="DZ18" s="153"/>
      <c r="EA18" s="153"/>
      <c r="EB18" s="153"/>
      <c r="EC18" s="153"/>
      <c r="ED18" s="153"/>
      <c r="EE18" s="153"/>
      <c r="EF18" s="153"/>
      <c r="EG18" s="153"/>
      <c r="EH18" s="153"/>
      <c r="EI18" s="153"/>
      <c r="EJ18" s="153"/>
      <c r="EK18" s="153"/>
      <c r="EL18" s="153"/>
      <c r="EM18" s="153"/>
    </row>
    <row r="19" spans="1:143" s="107" customFormat="1" ht="10.5" customHeight="1">
      <c r="A19" s="2133">
        <v>0</v>
      </c>
      <c r="B19" s="1558"/>
      <c r="C19" s="2095" t="s">
        <v>1342</v>
      </c>
      <c r="D19" s="2115" t="str">
        <f>IF(ISNUMBER(D15),(D15-D14)/D14,"")</f>
        <v/>
      </c>
      <c r="E19" s="2116"/>
      <c r="F19" s="2116" t="str">
        <f>IF(ISNUMBER(F15),(F15-F14)/F14,"")</f>
        <v/>
      </c>
      <c r="G19" s="2117"/>
      <c r="H19" s="2107"/>
      <c r="I19" s="2115"/>
      <c r="J19" s="2116" t="str">
        <f>IF(ISNUMBER(J15),(J15-J14)/J14,"")</f>
        <v/>
      </c>
      <c r="K19" s="2116"/>
      <c r="L19" s="2116" t="str">
        <f>IF(ISNUMBER(L15),(L15-L14)/L14,"")</f>
        <v/>
      </c>
      <c r="M19" s="2116"/>
      <c r="N19" s="2116" t="str">
        <f>IF(ISNUMBER(N15),(N15-N14)/N14,"")</f>
        <v/>
      </c>
      <c r="O19" s="2116"/>
      <c r="P19" s="2116" t="str">
        <f>IF(ISNUMBER(P15),(P15-P14)/P14,"")</f>
        <v/>
      </c>
      <c r="Q19" s="2117"/>
      <c r="R19" s="2118" t="str">
        <f>IF(ISNUMBER(R15),(R15-R14)/R14,"")</f>
        <v/>
      </c>
      <c r="S19" s="2109"/>
      <c r="T19" s="712"/>
      <c r="U19" s="2185" t="e">
        <f>IF(X18=6,"6 point traverse (incl port) mm",IF(X18=3,"3 point traverse (incl port) mm",""))</f>
        <v>#VALUE!</v>
      </c>
      <c r="V19" s="2179"/>
      <c r="W19" s="2188" t="e">
        <f>IF($X$18=6,W20*StackDimA+PortDepth,IF($X$18=3,W13,""))</f>
        <v>#VALUE!</v>
      </c>
      <c r="X19" s="2188" t="e">
        <f>IF($X$18=6,X20*StackDimA+PortDepth,IF($X$18=3,X13,""))</f>
        <v>#VALUE!</v>
      </c>
      <c r="Y19" s="2188" t="e">
        <f>IF($X$18=6,Y20*StackDimA+PortDepth,IF($X$18=3,Y13,""))</f>
        <v>#VALUE!</v>
      </c>
      <c r="Z19" s="2188" t="e">
        <f>IF($X$18=6,Z20*StackDimA+PortDepth,"")</f>
        <v>#VALUE!</v>
      </c>
      <c r="AA19" s="2188" t="e">
        <f>IF($X$18=6,AA20*StackDimA+PortDepth,"")</f>
        <v>#VALUE!</v>
      </c>
      <c r="AB19" s="2189" t="e">
        <f>IF($X$18=6,AB20*StackDimA+PortDepth,"")</f>
        <v>#VALUE!</v>
      </c>
      <c r="AR19" s="160"/>
      <c r="AS19" s="160"/>
      <c r="AT19" s="48"/>
      <c r="AU19" s="48"/>
      <c r="AV19" s="160"/>
      <c r="AW19" s="160"/>
      <c r="AX19" s="160"/>
      <c r="AY19" s="160"/>
      <c r="AZ19" s="160"/>
      <c r="BA19" s="160"/>
      <c r="BB19" s="160"/>
      <c r="BC19" s="160"/>
      <c r="BD19" s="160"/>
      <c r="BE19" s="160"/>
      <c r="BF19" s="160"/>
      <c r="BG19" s="160"/>
      <c r="BH19" s="160"/>
      <c r="BI19" s="160"/>
      <c r="BJ19" s="160"/>
      <c r="BK19" s="159"/>
      <c r="BL19" s="159"/>
      <c r="BM19" s="159"/>
      <c r="BN19" s="159"/>
      <c r="BO19" s="159"/>
      <c r="BP19" s="159"/>
      <c r="BQ19" s="159"/>
      <c r="BR19" s="159"/>
      <c r="BS19" s="159"/>
      <c r="BT19" s="159"/>
      <c r="BU19" s="159"/>
      <c r="BV19" s="153"/>
      <c r="BW19" s="153"/>
      <c r="BX19" s="153"/>
      <c r="BY19" s="153"/>
      <c r="BZ19" s="153"/>
      <c r="CA19" s="153"/>
      <c r="CB19" s="153"/>
      <c r="CC19" s="153"/>
      <c r="CD19" s="153"/>
      <c r="CE19" s="153"/>
      <c r="CF19" s="153"/>
      <c r="CG19" s="153"/>
      <c r="CH19" s="153"/>
      <c r="CI19" s="153"/>
      <c r="CJ19" s="153"/>
      <c r="CK19" s="153"/>
      <c r="CL19" s="153"/>
      <c r="CM19" s="153"/>
      <c r="CN19" s="153"/>
      <c r="CO19" s="153"/>
      <c r="CP19" s="153"/>
      <c r="CQ19" s="153"/>
      <c r="CR19" s="153"/>
      <c r="CS19" s="153"/>
      <c r="CT19" s="153"/>
      <c r="CU19" s="153"/>
      <c r="CV19" s="153"/>
      <c r="CW19" s="153"/>
      <c r="CX19" s="153"/>
      <c r="CY19" s="153"/>
      <c r="CZ19" s="153"/>
      <c r="DA19" s="153"/>
      <c r="DB19" s="153"/>
      <c r="DC19" s="153"/>
      <c r="DD19" s="153"/>
      <c r="DE19" s="153"/>
      <c r="DF19" s="153"/>
      <c r="DG19" s="153"/>
      <c r="DH19" s="153"/>
      <c r="DI19" s="153"/>
      <c r="DJ19" s="153"/>
      <c r="DK19" s="153"/>
      <c r="DL19" s="153"/>
      <c r="DM19" s="153"/>
      <c r="DN19" s="153"/>
      <c r="DO19" s="153"/>
      <c r="DP19" s="153"/>
      <c r="DQ19" s="153"/>
      <c r="DR19" s="153"/>
      <c r="DS19" s="153"/>
      <c r="DT19" s="153"/>
      <c r="DU19" s="153"/>
      <c r="DV19" s="153"/>
      <c r="DW19" s="153"/>
      <c r="DX19" s="153"/>
      <c r="DY19" s="153"/>
      <c r="DZ19" s="153"/>
      <c r="EA19" s="153"/>
      <c r="EB19" s="153"/>
      <c r="EC19" s="153"/>
      <c r="ED19" s="153"/>
      <c r="EE19" s="153"/>
      <c r="EF19" s="153"/>
      <c r="EG19" s="153"/>
      <c r="EH19" s="153"/>
      <c r="EI19" s="153"/>
      <c r="EJ19" s="153"/>
      <c r="EK19" s="153"/>
      <c r="EL19" s="153"/>
      <c r="EM19" s="153"/>
    </row>
    <row r="20" spans="1:143" s="107" customFormat="1" ht="10.5" hidden="1" customHeight="1">
      <c r="A20" s="1137"/>
      <c r="B20" s="1559"/>
      <c r="C20" s="1143"/>
      <c r="D20" s="2110">
        <f t="shared" ref="D20:S20" si="0">VLOOKUP(D21,ConcTable,2,FALSE)</f>
        <v>1000000</v>
      </c>
      <c r="E20" s="2102">
        <f t="shared" si="0"/>
        <v>1000000</v>
      </c>
      <c r="F20" s="2102">
        <f t="shared" si="0"/>
        <v>1000000</v>
      </c>
      <c r="G20" s="2102">
        <f t="shared" si="0"/>
        <v>1000000</v>
      </c>
      <c r="H20" s="2102">
        <f t="shared" si="0"/>
        <v>1000000</v>
      </c>
      <c r="I20" s="2102">
        <f t="shared" si="0"/>
        <v>1000000</v>
      </c>
      <c r="J20" s="2102">
        <f t="shared" si="0"/>
        <v>1000000</v>
      </c>
      <c r="K20" s="2102">
        <f t="shared" si="0"/>
        <v>1000000</v>
      </c>
      <c r="L20" s="2102">
        <f t="shared" si="0"/>
        <v>1000000</v>
      </c>
      <c r="M20" s="2102">
        <f t="shared" si="0"/>
        <v>1000000</v>
      </c>
      <c r="N20" s="2102">
        <f t="shared" si="0"/>
        <v>100</v>
      </c>
      <c r="O20" s="2102">
        <f t="shared" si="0"/>
        <v>100</v>
      </c>
      <c r="P20" s="2102">
        <f t="shared" si="0"/>
        <v>100</v>
      </c>
      <c r="Q20" s="2102">
        <f t="shared" si="0"/>
        <v>100</v>
      </c>
      <c r="R20" s="2102">
        <f t="shared" si="0"/>
        <v>1000000</v>
      </c>
      <c r="S20" s="1546">
        <f t="shared" si="0"/>
        <v>1000000</v>
      </c>
      <c r="T20" s="712"/>
      <c r="W20" s="1876">
        <v>4.4000000000000004E-2</v>
      </c>
      <c r="X20" s="1877">
        <v>0.14599999999999999</v>
      </c>
      <c r="Y20" s="1877">
        <v>0.29600000000000004</v>
      </c>
      <c r="Z20" s="1877">
        <v>0.70400000000000007</v>
      </c>
      <c r="AA20" s="1877">
        <v>0.85400000000000009</v>
      </c>
      <c r="AB20" s="1878">
        <v>0.95599999999999996</v>
      </c>
      <c r="AR20" s="160"/>
      <c r="AS20" s="160"/>
      <c r="AT20" s="48"/>
      <c r="AU20" s="48"/>
      <c r="AV20" s="160"/>
      <c r="AW20" s="160"/>
      <c r="AX20" s="160"/>
      <c r="AY20" s="160"/>
      <c r="AZ20" s="160"/>
      <c r="BA20" s="160"/>
      <c r="BB20" s="160"/>
      <c r="BC20" s="160"/>
      <c r="BD20" s="160"/>
      <c r="BE20" s="160"/>
      <c r="BF20" s="160"/>
      <c r="BG20" s="160"/>
      <c r="BH20" s="160"/>
      <c r="BI20" s="160"/>
      <c r="BJ20" s="160"/>
      <c r="BK20" s="159"/>
      <c r="BL20" s="159"/>
      <c r="BM20" s="159"/>
      <c r="BN20" s="159"/>
      <c r="BO20" s="159"/>
      <c r="BP20" s="159"/>
      <c r="BQ20" s="159"/>
      <c r="BR20" s="159"/>
      <c r="BS20" s="159"/>
      <c r="BT20" s="159"/>
      <c r="BU20" s="159"/>
      <c r="BV20" s="153"/>
      <c r="BW20" s="153"/>
      <c r="BX20" s="153"/>
      <c r="BY20" s="153"/>
      <c r="BZ20" s="153"/>
      <c r="CA20" s="153"/>
      <c r="CB20" s="153"/>
      <c r="CC20" s="153"/>
      <c r="CD20" s="153"/>
      <c r="CE20" s="153"/>
      <c r="CF20" s="153"/>
      <c r="CG20" s="153"/>
      <c r="CH20" s="153"/>
      <c r="CI20" s="153"/>
      <c r="CJ20" s="153"/>
      <c r="CK20" s="153"/>
      <c r="CL20" s="153"/>
      <c r="CM20" s="153"/>
      <c r="CN20" s="153"/>
      <c r="CO20" s="153"/>
      <c r="CP20" s="153"/>
      <c r="CQ20" s="153"/>
      <c r="CR20" s="153"/>
      <c r="CS20" s="153"/>
      <c r="CT20" s="153"/>
      <c r="CU20" s="153"/>
      <c r="CV20" s="153"/>
      <c r="CW20" s="153"/>
      <c r="CX20" s="153"/>
      <c r="CY20" s="153"/>
      <c r="CZ20" s="153"/>
      <c r="DA20" s="153"/>
      <c r="DB20" s="153"/>
      <c r="DC20" s="153"/>
      <c r="DD20" s="153"/>
      <c r="DE20" s="153"/>
      <c r="DF20" s="153"/>
      <c r="DG20" s="153"/>
      <c r="DH20" s="153"/>
      <c r="DI20" s="153"/>
      <c r="DJ20" s="153"/>
      <c r="DK20" s="153"/>
      <c r="DL20" s="153"/>
      <c r="DM20" s="153"/>
      <c r="DN20" s="153"/>
      <c r="DO20" s="153"/>
      <c r="DP20" s="153"/>
      <c r="DQ20" s="153"/>
      <c r="DR20" s="153"/>
      <c r="DS20" s="153"/>
      <c r="DT20" s="153"/>
      <c r="DU20" s="153"/>
      <c r="DV20" s="153"/>
      <c r="DW20" s="153"/>
      <c r="DX20" s="153"/>
      <c r="DY20" s="153"/>
      <c r="DZ20" s="153"/>
      <c r="EA20" s="153"/>
      <c r="EB20" s="153"/>
      <c r="EC20" s="153"/>
      <c r="ED20" s="153"/>
      <c r="EE20" s="153"/>
      <c r="EF20" s="153"/>
      <c r="EG20" s="153"/>
      <c r="EH20" s="153"/>
      <c r="EI20" s="153"/>
      <c r="EJ20" s="153"/>
      <c r="EK20" s="153"/>
      <c r="EL20" s="153"/>
      <c r="EM20" s="153"/>
    </row>
    <row r="21" spans="1:143" s="107" customFormat="1" ht="10.5" customHeight="1">
      <c r="A21" s="1138" t="s">
        <v>1594</v>
      </c>
      <c r="B21" s="1558"/>
      <c r="C21" s="1144" t="s">
        <v>1236</v>
      </c>
      <c r="D21" s="1144" t="str">
        <f>D507</f>
        <v>ppm</v>
      </c>
      <c r="E21" s="1149" t="str">
        <f>D508</f>
        <v>mg/m³</v>
      </c>
      <c r="F21" s="1144" t="str">
        <f>F507</f>
        <v>ppm</v>
      </c>
      <c r="G21" s="1149" t="str">
        <f>F508</f>
        <v>mg/m³</v>
      </c>
      <c r="H21" s="1144" t="str">
        <f>H507</f>
        <v>ppm</v>
      </c>
      <c r="I21" s="1150" t="str">
        <f>H508</f>
        <v>mg/m³</v>
      </c>
      <c r="J21" s="1151" t="str">
        <f>J507</f>
        <v>ppm</v>
      </c>
      <c r="K21" s="1152" t="str">
        <f>J508</f>
        <v>mg/m³</v>
      </c>
      <c r="L21" s="1144" t="str">
        <f>L507</f>
        <v>ppm</v>
      </c>
      <c r="M21" s="1149" t="str">
        <f>L508</f>
        <v>mg/m³</v>
      </c>
      <c r="N21" s="1144" t="str">
        <f>N507</f>
        <v>%</v>
      </c>
      <c r="O21" s="1150" t="str">
        <f>N508</f>
        <v>%</v>
      </c>
      <c r="P21" s="1151" t="str">
        <f>P507</f>
        <v>%</v>
      </c>
      <c r="Q21" s="1152" t="str">
        <f>P508</f>
        <v>%</v>
      </c>
      <c r="R21" s="1144" t="str">
        <f>R507</f>
        <v>ppm</v>
      </c>
      <c r="S21" s="1144" t="str">
        <f>R508</f>
        <v>mg/m³</v>
      </c>
      <c r="T21" s="712"/>
      <c r="AR21" s="160"/>
      <c r="AS21" s="160"/>
      <c r="AT21" s="48"/>
      <c r="AU21" s="48"/>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3"/>
      <c r="BW21" s="153"/>
      <c r="BX21" s="153"/>
      <c r="BY21" s="153"/>
      <c r="BZ21" s="153"/>
      <c r="CA21" s="153"/>
      <c r="CB21" s="153"/>
      <c r="CC21" s="153"/>
      <c r="CD21" s="153"/>
      <c r="CE21" s="153"/>
      <c r="CF21" s="153"/>
      <c r="CG21" s="153"/>
      <c r="CH21" s="153"/>
      <c r="CI21" s="153"/>
      <c r="CJ21" s="153"/>
      <c r="CK21" s="153"/>
      <c r="CL21" s="153"/>
      <c r="CM21" s="153"/>
      <c r="CN21" s="153"/>
      <c r="CO21" s="153"/>
      <c r="CP21" s="153"/>
      <c r="CQ21" s="153"/>
      <c r="CR21" s="153"/>
      <c r="CS21" s="153"/>
      <c r="CT21" s="153"/>
      <c r="CU21" s="153"/>
      <c r="CV21" s="153"/>
      <c r="CW21" s="153"/>
      <c r="CX21" s="153"/>
      <c r="CY21" s="153"/>
      <c r="CZ21" s="153"/>
      <c r="DA21" s="153"/>
      <c r="DB21" s="153"/>
      <c r="DC21" s="153"/>
      <c r="DD21" s="153"/>
      <c r="DE21" s="153"/>
      <c r="DF21" s="153"/>
      <c r="DG21" s="153"/>
      <c r="DH21" s="153"/>
      <c r="DI21" s="153"/>
      <c r="DJ21" s="153"/>
      <c r="DK21" s="153"/>
      <c r="DL21" s="153"/>
      <c r="DM21" s="153"/>
      <c r="DN21" s="153"/>
      <c r="DO21" s="153"/>
      <c r="DP21" s="153"/>
      <c r="DQ21" s="153"/>
      <c r="DR21" s="153"/>
      <c r="DS21" s="153"/>
      <c r="DT21" s="153"/>
      <c r="DU21" s="153"/>
      <c r="DV21" s="153"/>
      <c r="DW21" s="153"/>
      <c r="DX21" s="153"/>
      <c r="DY21" s="153"/>
      <c r="DZ21" s="153"/>
      <c r="EA21" s="153"/>
      <c r="EB21" s="153"/>
      <c r="EC21" s="153"/>
      <c r="ED21" s="153"/>
      <c r="EE21" s="153"/>
      <c r="EF21" s="153"/>
      <c r="EG21" s="153"/>
      <c r="EH21" s="153"/>
      <c r="EI21" s="153"/>
      <c r="EJ21" s="153"/>
      <c r="EK21" s="153"/>
      <c r="EL21" s="153"/>
      <c r="EM21" s="153"/>
    </row>
    <row r="22" spans="1:143" s="107" customFormat="1" ht="10.5" customHeight="1">
      <c r="A22" s="1139"/>
      <c r="B22" s="1558"/>
      <c r="C22" s="1096"/>
      <c r="D22" s="1097"/>
      <c r="E22" s="1098"/>
      <c r="F22" s="1097"/>
      <c r="G22" s="1098"/>
      <c r="H22" s="1097"/>
      <c r="I22" s="1099"/>
      <c r="J22" s="1100"/>
      <c r="K22" s="1101"/>
      <c r="L22" s="1097"/>
      <c r="M22" s="1098"/>
      <c r="N22" s="1097"/>
      <c r="O22" s="1099"/>
      <c r="P22" s="1100"/>
      <c r="Q22" s="1101"/>
      <c r="R22" s="1097"/>
      <c r="S22" s="1097"/>
      <c r="T22" s="712"/>
      <c r="AR22" s="160"/>
      <c r="AS22" s="160"/>
      <c r="AT22" s="48"/>
      <c r="AU22" s="48"/>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3"/>
      <c r="BW22" s="153"/>
      <c r="BX22" s="153"/>
      <c r="BY22" s="153"/>
      <c r="BZ22" s="153"/>
      <c r="CA22" s="153"/>
      <c r="CB22" s="153"/>
      <c r="CC22" s="153"/>
      <c r="CD22" s="153"/>
      <c r="CE22" s="153"/>
      <c r="CF22" s="153"/>
      <c r="CG22" s="153"/>
      <c r="CH22" s="153"/>
      <c r="CI22" s="153"/>
      <c r="CJ22" s="153"/>
      <c r="CK22" s="153"/>
      <c r="CL22" s="153"/>
      <c r="CM22" s="153"/>
      <c r="CN22" s="153"/>
      <c r="CO22" s="153"/>
      <c r="CP22" s="153"/>
      <c r="CQ22" s="153"/>
      <c r="CR22" s="153"/>
      <c r="CS22" s="153"/>
      <c r="CT22" s="153"/>
      <c r="CU22" s="153"/>
      <c r="CV22" s="153"/>
      <c r="CW22" s="153"/>
      <c r="CX22" s="153"/>
      <c r="CY22" s="153"/>
      <c r="CZ22" s="153"/>
      <c r="DA22" s="153"/>
      <c r="DB22" s="153"/>
      <c r="DC22" s="153"/>
      <c r="DD22" s="153"/>
      <c r="DE22" s="153"/>
      <c r="DF22" s="153"/>
      <c r="DG22" s="153"/>
      <c r="DH22" s="153"/>
      <c r="DI22" s="153"/>
      <c r="DJ22" s="153"/>
      <c r="DK22" s="153"/>
      <c r="DL22" s="153"/>
      <c r="DM22" s="153"/>
      <c r="DN22" s="153"/>
      <c r="DO22" s="153"/>
      <c r="DP22" s="153"/>
      <c r="DQ22" s="153"/>
      <c r="DR22" s="153"/>
      <c r="DS22" s="153"/>
      <c r="DT22" s="153"/>
      <c r="DU22" s="153"/>
      <c r="DV22" s="153"/>
      <c r="DW22" s="153"/>
      <c r="DX22" s="153"/>
      <c r="DY22" s="153"/>
      <c r="DZ22" s="153"/>
      <c r="EA22" s="153"/>
      <c r="EB22" s="153"/>
      <c r="EC22" s="153"/>
      <c r="ED22" s="153"/>
      <c r="EE22" s="153"/>
      <c r="EF22" s="153"/>
      <c r="EG22" s="153"/>
      <c r="EH22" s="153"/>
      <c r="EI22" s="153"/>
      <c r="EJ22" s="153"/>
      <c r="EK22" s="153"/>
      <c r="EL22" s="153"/>
      <c r="EM22" s="153"/>
    </row>
    <row r="23" spans="1:143" s="107" customFormat="1" ht="10.5" customHeight="1">
      <c r="A23" s="1139"/>
      <c r="B23" s="1558"/>
      <c r="C23" s="1097"/>
      <c r="D23" s="1097"/>
      <c r="E23" s="1098"/>
      <c r="F23" s="1097"/>
      <c r="G23" s="1098"/>
      <c r="H23" s="1097"/>
      <c r="I23" s="1099"/>
      <c r="J23" s="1100"/>
      <c r="K23" s="1101"/>
      <c r="L23" s="1097"/>
      <c r="M23" s="1098"/>
      <c r="N23" s="1097"/>
      <c r="O23" s="1099"/>
      <c r="P23" s="1100"/>
      <c r="Q23" s="1101"/>
      <c r="R23" s="1097"/>
      <c r="S23" s="1097"/>
      <c r="T23" s="712"/>
      <c r="AR23" s="160"/>
      <c r="AS23" s="160"/>
      <c r="AT23" s="48"/>
      <c r="AU23" s="48"/>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3"/>
      <c r="BW23" s="153"/>
      <c r="BX23" s="153"/>
      <c r="BY23" s="153"/>
      <c r="BZ23" s="153"/>
      <c r="CA23" s="153"/>
      <c r="CB23" s="153"/>
      <c r="CC23" s="153"/>
      <c r="CD23" s="153"/>
      <c r="CE23" s="153"/>
      <c r="CF23" s="153"/>
      <c r="CG23" s="153"/>
      <c r="CH23" s="153"/>
      <c r="CI23" s="153"/>
      <c r="CJ23" s="153"/>
      <c r="CK23" s="153"/>
      <c r="CL23" s="153"/>
      <c r="CM23" s="153"/>
      <c r="CN23" s="153"/>
      <c r="CO23" s="153"/>
      <c r="CP23" s="153"/>
      <c r="CQ23" s="153"/>
      <c r="CR23" s="153"/>
      <c r="CS23" s="153"/>
      <c r="CT23" s="153"/>
      <c r="CU23" s="153"/>
      <c r="CV23" s="153"/>
      <c r="CW23" s="153"/>
      <c r="CX23" s="153"/>
      <c r="CY23" s="153"/>
      <c r="CZ23" s="153"/>
      <c r="DA23" s="153"/>
      <c r="DB23" s="153"/>
      <c r="DC23" s="153"/>
      <c r="DD23" s="153"/>
      <c r="DE23" s="153"/>
      <c r="DF23" s="153"/>
      <c r="DG23" s="153"/>
      <c r="DH23" s="153"/>
      <c r="DI23" s="153"/>
      <c r="DJ23" s="153"/>
      <c r="DK23" s="153"/>
      <c r="DL23" s="153"/>
      <c r="DM23" s="153"/>
      <c r="DN23" s="153"/>
      <c r="DO23" s="153"/>
      <c r="DP23" s="153"/>
      <c r="DQ23" s="153"/>
      <c r="DR23" s="153"/>
      <c r="DS23" s="153"/>
      <c r="DT23" s="153"/>
      <c r="DU23" s="153"/>
      <c r="DV23" s="153"/>
      <c r="DW23" s="153"/>
      <c r="DX23" s="153"/>
      <c r="DY23" s="153"/>
      <c r="DZ23" s="153"/>
      <c r="EA23" s="153"/>
      <c r="EB23" s="153"/>
      <c r="EC23" s="153"/>
      <c r="ED23" s="153"/>
      <c r="EE23" s="153"/>
      <c r="EF23" s="153"/>
      <c r="EG23" s="153"/>
      <c r="EH23" s="153"/>
      <c r="EI23" s="153"/>
      <c r="EJ23" s="153"/>
      <c r="EK23" s="153"/>
      <c r="EL23" s="153"/>
      <c r="EM23" s="153"/>
    </row>
    <row r="24" spans="1:143" s="107" customFormat="1" ht="10.5" customHeight="1">
      <c r="A24" s="1139"/>
      <c r="B24" s="1558"/>
      <c r="C24" s="1102"/>
      <c r="D24" s="1102"/>
      <c r="E24" s="1103"/>
      <c r="F24" s="1102"/>
      <c r="G24" s="1103"/>
      <c r="H24" s="1102"/>
      <c r="I24" s="1104"/>
      <c r="J24" s="1105"/>
      <c r="K24" s="1106"/>
      <c r="L24" s="1102"/>
      <c r="M24" s="1103"/>
      <c r="N24" s="1102"/>
      <c r="O24" s="1104"/>
      <c r="P24" s="1105"/>
      <c r="Q24" s="1106"/>
      <c r="R24" s="1102"/>
      <c r="S24" s="1102"/>
      <c r="T24" s="712"/>
      <c r="AR24" s="160"/>
      <c r="AS24" s="160"/>
      <c r="AT24" s="48"/>
      <c r="AU24" s="48"/>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3"/>
      <c r="BW24" s="153"/>
      <c r="BX24" s="153"/>
      <c r="BY24" s="153"/>
      <c r="BZ24" s="153"/>
      <c r="CA24" s="153"/>
      <c r="CB24" s="153"/>
      <c r="CC24" s="153"/>
      <c r="CD24" s="153"/>
      <c r="CE24" s="153"/>
      <c r="CF24" s="153"/>
      <c r="CG24" s="153"/>
      <c r="CH24" s="153"/>
      <c r="CI24" s="153"/>
      <c r="CJ24" s="153"/>
      <c r="CK24" s="153"/>
      <c r="CL24" s="153"/>
      <c r="CM24" s="153"/>
      <c r="CN24" s="153"/>
      <c r="CO24" s="153"/>
      <c r="CP24" s="153"/>
      <c r="CQ24" s="153"/>
      <c r="CR24" s="153"/>
      <c r="CS24" s="153"/>
      <c r="CT24" s="153"/>
      <c r="CU24" s="153"/>
      <c r="CV24" s="153"/>
      <c r="CW24" s="153"/>
      <c r="CX24" s="153"/>
      <c r="CY24" s="153"/>
      <c r="CZ24" s="153"/>
      <c r="DA24" s="153"/>
      <c r="DB24" s="153"/>
      <c r="DC24" s="153"/>
      <c r="DD24" s="153"/>
      <c r="DE24" s="153"/>
      <c r="DF24" s="153"/>
      <c r="DG24" s="153"/>
      <c r="DH24" s="153"/>
      <c r="DI24" s="153"/>
      <c r="DJ24" s="153"/>
      <c r="DK24" s="153"/>
      <c r="DL24" s="153"/>
      <c r="DM24" s="153"/>
      <c r="DN24" s="153"/>
      <c r="DO24" s="153"/>
      <c r="DP24" s="153"/>
      <c r="DQ24" s="153"/>
      <c r="DR24" s="153"/>
      <c r="DS24" s="153"/>
      <c r="DT24" s="153"/>
      <c r="DU24" s="153"/>
      <c r="DV24" s="153"/>
      <c r="DW24" s="153"/>
      <c r="DX24" s="153"/>
      <c r="DY24" s="153"/>
      <c r="DZ24" s="153"/>
      <c r="EA24" s="153"/>
      <c r="EB24" s="153"/>
      <c r="EC24" s="153"/>
      <c r="ED24" s="153"/>
      <c r="EE24" s="153"/>
      <c r="EF24" s="153"/>
      <c r="EG24" s="153"/>
      <c r="EH24" s="153"/>
      <c r="EI24" s="153"/>
      <c r="EJ24" s="153"/>
      <c r="EK24" s="153"/>
      <c r="EL24" s="153"/>
      <c r="EM24" s="153"/>
    </row>
    <row r="25" spans="1:143" s="107" customFormat="1" ht="10.5" customHeight="1">
      <c r="A25" s="1138" t="s">
        <v>1593</v>
      </c>
      <c r="B25" s="1558"/>
      <c r="C25" s="1153" t="s">
        <v>1236</v>
      </c>
      <c r="D25" s="1154" t="str">
        <f>D21</f>
        <v>ppm</v>
      </c>
      <c r="E25" s="1155" t="str">
        <f t="shared" ref="E25:R25" si="1">E21</f>
        <v>mg/m³</v>
      </c>
      <c r="F25" s="1154" t="str">
        <f t="shared" si="1"/>
        <v>ppm</v>
      </c>
      <c r="G25" s="1155" t="str">
        <f t="shared" si="1"/>
        <v>mg/m³</v>
      </c>
      <c r="H25" s="1154" t="str">
        <f t="shared" si="1"/>
        <v>ppm</v>
      </c>
      <c r="I25" s="1156" t="str">
        <f t="shared" si="1"/>
        <v>mg/m³</v>
      </c>
      <c r="J25" s="1157" t="str">
        <f t="shared" si="1"/>
        <v>ppm</v>
      </c>
      <c r="K25" s="1158" t="str">
        <f t="shared" si="1"/>
        <v>mg/m³</v>
      </c>
      <c r="L25" s="1154" t="str">
        <f t="shared" si="1"/>
        <v>ppm</v>
      </c>
      <c r="M25" s="1155" t="str">
        <f t="shared" si="1"/>
        <v>mg/m³</v>
      </c>
      <c r="N25" s="1154" t="str">
        <f t="shared" si="1"/>
        <v>%</v>
      </c>
      <c r="O25" s="1156" t="str">
        <f t="shared" si="1"/>
        <v>%</v>
      </c>
      <c r="P25" s="1157" t="str">
        <f t="shared" si="1"/>
        <v>%</v>
      </c>
      <c r="Q25" s="1158" t="str">
        <f t="shared" si="1"/>
        <v>%</v>
      </c>
      <c r="R25" s="1154" t="str">
        <f t="shared" si="1"/>
        <v>ppm</v>
      </c>
      <c r="S25" s="1154"/>
      <c r="T25" s="712"/>
      <c r="AR25" s="160"/>
      <c r="AS25" s="160"/>
      <c r="AT25" s="48"/>
      <c r="AU25" s="48"/>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3"/>
      <c r="BW25" s="153"/>
      <c r="BX25" s="153"/>
      <c r="BY25" s="153"/>
      <c r="BZ25" s="153"/>
      <c r="CA25" s="153"/>
      <c r="CB25" s="153"/>
      <c r="CC25" s="153"/>
      <c r="CD25" s="153"/>
      <c r="CE25" s="153"/>
      <c r="CF25" s="153"/>
      <c r="CG25" s="153"/>
      <c r="CH25" s="153"/>
      <c r="CI25" s="153"/>
      <c r="CJ25" s="153"/>
      <c r="CK25" s="153"/>
      <c r="CL25" s="153"/>
      <c r="CM25" s="153"/>
      <c r="CN25" s="153"/>
      <c r="CO25" s="153"/>
      <c r="CP25" s="153"/>
      <c r="CQ25" s="153"/>
      <c r="CR25" s="153"/>
      <c r="CS25" s="153"/>
      <c r="CT25" s="153"/>
      <c r="CU25" s="153"/>
      <c r="CV25" s="153"/>
      <c r="CW25" s="153"/>
      <c r="CX25" s="153"/>
      <c r="CY25" s="153"/>
      <c r="CZ25" s="153"/>
      <c r="DA25" s="153"/>
      <c r="DB25" s="153"/>
      <c r="DC25" s="153"/>
      <c r="DD25" s="153"/>
      <c r="DE25" s="153"/>
      <c r="DF25" s="153"/>
      <c r="DG25" s="153"/>
      <c r="DH25" s="153"/>
      <c r="DI25" s="153"/>
      <c r="DJ25" s="153"/>
      <c r="DK25" s="153"/>
      <c r="DL25" s="153"/>
      <c r="DM25" s="153"/>
      <c r="DN25" s="153"/>
      <c r="DO25" s="153"/>
      <c r="DP25" s="153"/>
      <c r="DQ25" s="153"/>
      <c r="DR25" s="153"/>
      <c r="DS25" s="153"/>
      <c r="DT25" s="153"/>
      <c r="DU25" s="153"/>
      <c r="DV25" s="153"/>
      <c r="DW25" s="153"/>
      <c r="DX25" s="153"/>
      <c r="DY25" s="153"/>
      <c r="DZ25" s="153"/>
      <c r="EA25" s="153"/>
      <c r="EB25" s="153"/>
      <c r="EC25" s="153"/>
      <c r="ED25" s="153"/>
      <c r="EE25" s="153"/>
      <c r="EF25" s="153"/>
      <c r="EG25" s="153"/>
      <c r="EH25" s="153"/>
      <c r="EI25" s="153"/>
      <c r="EJ25" s="153"/>
      <c r="EK25" s="153"/>
      <c r="EL25" s="153"/>
      <c r="EM25" s="153"/>
    </row>
    <row r="26" spans="1:143" s="107" customFormat="1" ht="10.5" customHeight="1">
      <c r="A26" s="1140">
        <v>1</v>
      </c>
      <c r="B26" s="1560" t="str">
        <f>IF(C26="","",VALUE(C26))</f>
        <v/>
      </c>
      <c r="C26" s="2150" t="str">
        <f>GasTime(GasAnalyser,'Horiba Data'!F19,'Horiba Data'!G19,'Testo, JUM &amp; MRU Data'!A20,'Thermo Data'!B19,HourOffset)</f>
        <v/>
      </c>
      <c r="D26" s="981" t="str">
        <f>IF(D$17=FALSE,"No Cal Data",GasData(GasAnalyser,'Horiba Data'!S19,'Testo, JUM &amp; MRU Data'!D20,'Thermo Data'!E19,'Testo, JUM &amp; MRU Data'!U20,GDF))</f>
        <v>No Cal Data</v>
      </c>
      <c r="E26" s="981" t="e">
        <f>IF(D26="","",Conc2(D26,D$9,MolVol,D$21,D$20,E$21,E$20))</f>
        <v>#VALUE!</v>
      </c>
      <c r="F26" s="981" t="str">
        <f>IF(F$17=FALSE,"No Cal Data",GasData(GasAnalyser,'Horiba Data'!AQ19,'Testo, JUM &amp; MRU Data'!E20,'Thermo Data'!F19,'Testo, JUM &amp; MRU Data'!V20,GDF))</f>
        <v>No Cal Data</v>
      </c>
      <c r="G26" s="981" t="e">
        <f>IF(F26="","",Conc2(F26,F$9,MolVol,F$21,F$20,G$21,G$20))</f>
        <v>#VALUE!</v>
      </c>
      <c r="H26" s="981" t="str">
        <f>IF(D$17=FALSE,"No Cal Data",IF(F$17=FALSE,"No NO2 Cal",GasData(GasAnalyser,'Horiba Data'!W19,'Testo, JUM &amp; MRU Data'!F20,'Thermo Data'!G19,'Testo, JUM &amp; MRU Data'!Y20,GDF)))</f>
        <v>No Cal Data</v>
      </c>
      <c r="I26" s="981" t="e">
        <f>IF(H26="","",Conc2(H26,H$9,MolVol,H$21,H$20,I$21,I$20))</f>
        <v>#VALUE!</v>
      </c>
      <c r="J26" s="981" t="str">
        <f>IF(J$17=FALSE,"No Cal Data",GasData(GasAnalyser,'Horiba Data'!AM19,'Testo, JUM &amp; MRU Data'!G20,'Thermo Data'!H19,'Testo, JUM &amp; MRU Data'!W20,GDF))</f>
        <v>No Cal Data</v>
      </c>
      <c r="K26" s="981" t="e">
        <f>IF(J26="","",Conc2(J26,J$9,MolVol,J$21,J$20,K$21,K$20))</f>
        <v>#VALUE!</v>
      </c>
      <c r="L26" s="981" t="str">
        <f>IF(L$17=FALSE,"No Cal Data",GasData(GasAnalyser,'Horiba Data'!AA19,'Testo, JUM &amp; MRU Data'!H20,'Thermo Data'!I19,'Testo, JUM &amp; MRU Data'!T20,GDF))</f>
        <v>No Cal Data</v>
      </c>
      <c r="M26" s="981" t="e">
        <f>IF(L26="","",Conc2(L26,L$9,MolVol,L$21,L$20,M$21,M$20))</f>
        <v>#VALUE!</v>
      </c>
      <c r="N26" s="981" t="str">
        <f>IF(N$17=FALSE,"No Cal Data",GasData(GasAnalyser,'Horiba Data'!AE19,'Testo, JUM &amp; MRU Data'!I20,'Thermo Data'!J19,'Testo, JUM &amp; MRU Data'!S20,GDF))</f>
        <v>No Cal Data</v>
      </c>
      <c r="O26" s="981" t="e">
        <f>IF(N26="","",Conc2(N26,N$9,MolVol,N$21,N$20,O$21,O$20))</f>
        <v>#VALUE!</v>
      </c>
      <c r="P26" s="981" t="str">
        <f>IF(P$17=FALSE,"No Cal Data",GasData(GasAnalyser,'Horiba Data'!AI19,'Testo, JUM &amp; MRU Data'!J20,'Thermo Data'!K19,'Testo, JUM &amp; MRU Data'!R20,GDF))</f>
        <v>No Cal Data</v>
      </c>
      <c r="Q26" s="981" t="e">
        <f>IF(P26="","",Conc2(P26,P$9,MolVol,P$21,P$20,Q$21,Q$20))</f>
        <v>#VALUE!</v>
      </c>
      <c r="R26" s="981" t="str">
        <f>IF(R$17=FALSE,"No Cal Data",JUMData('Testo, JUM &amp; MRU Data'!M20,$R$7))</f>
        <v>No Cal Data</v>
      </c>
      <c r="S26" s="982" t="e">
        <f>IF(R26="","",Conc2(R26,R$9,MolVol,R$21,R$20,S$21,S$20)/(1-Bws))</f>
        <v>#VALUE!</v>
      </c>
      <c r="T26" s="712"/>
      <c r="AR26" s="334"/>
      <c r="AS26" s="334"/>
      <c r="AT26" s="48"/>
      <c r="AU26" s="48"/>
      <c r="AV26" s="153"/>
      <c r="AW26" s="153"/>
      <c r="AX26" s="153"/>
      <c r="AY26" s="153"/>
      <c r="AZ26" s="153"/>
      <c r="BA26" s="153"/>
      <c r="BB26" s="153"/>
      <c r="BC26" s="153"/>
      <c r="BD26" s="153"/>
      <c r="BE26" s="153"/>
      <c r="BF26" s="153"/>
      <c r="BG26" s="153"/>
      <c r="BH26" s="153"/>
      <c r="BI26" s="153"/>
      <c r="BJ26" s="153"/>
      <c r="BK26" s="153"/>
      <c r="BL26" s="153"/>
      <c r="BM26" s="153"/>
      <c r="BN26" s="153"/>
      <c r="BO26" s="153"/>
      <c r="BP26" s="153"/>
      <c r="BQ26" s="153"/>
      <c r="BR26" s="153"/>
      <c r="BS26" s="153"/>
      <c r="BT26" s="153"/>
      <c r="BU26" s="153"/>
      <c r="BV26" s="153"/>
      <c r="BW26" s="153"/>
      <c r="BX26" s="153"/>
      <c r="BY26" s="153"/>
      <c r="BZ26" s="153"/>
      <c r="CA26" s="153"/>
      <c r="CB26" s="153"/>
      <c r="CC26" s="153"/>
      <c r="CD26" s="153"/>
      <c r="CE26" s="153"/>
      <c r="CF26" s="153"/>
      <c r="CG26" s="153"/>
      <c r="CH26" s="153"/>
      <c r="CI26" s="153"/>
      <c r="CJ26" s="153"/>
      <c r="CK26" s="153"/>
      <c r="CL26" s="153"/>
      <c r="CM26" s="153"/>
      <c r="CN26" s="153"/>
      <c r="CO26" s="153"/>
      <c r="CP26" s="153"/>
      <c r="CQ26" s="153"/>
      <c r="CR26" s="153"/>
      <c r="CS26" s="153"/>
      <c r="CT26" s="153"/>
      <c r="CU26" s="153"/>
      <c r="CV26" s="153"/>
      <c r="CW26" s="153"/>
      <c r="CX26" s="153"/>
      <c r="CY26" s="153"/>
      <c r="CZ26" s="153"/>
      <c r="DA26" s="153"/>
      <c r="DB26" s="153"/>
      <c r="DC26" s="153"/>
      <c r="DD26" s="153"/>
      <c r="DE26" s="153"/>
      <c r="DF26" s="153"/>
      <c r="DG26" s="153"/>
      <c r="DH26" s="153"/>
      <c r="DI26" s="153"/>
      <c r="DJ26" s="153"/>
      <c r="DK26" s="153"/>
      <c r="DL26" s="153"/>
      <c r="DM26" s="153"/>
      <c r="DN26" s="153"/>
      <c r="DO26" s="153"/>
      <c r="DP26" s="153"/>
      <c r="DQ26" s="153"/>
      <c r="DR26" s="153"/>
      <c r="DS26" s="153"/>
      <c r="DT26" s="153"/>
      <c r="DU26" s="153"/>
      <c r="DV26" s="153"/>
      <c r="DW26" s="153"/>
      <c r="DX26" s="153"/>
      <c r="DY26" s="153"/>
      <c r="DZ26" s="153"/>
      <c r="EA26" s="153"/>
      <c r="EB26" s="153"/>
      <c r="EC26" s="153"/>
      <c r="ED26" s="153"/>
      <c r="EE26" s="153"/>
      <c r="EF26" s="153"/>
      <c r="EG26" s="153"/>
      <c r="EH26" s="153"/>
      <c r="EI26" s="153"/>
      <c r="EJ26" s="153"/>
      <c r="EK26" s="153"/>
      <c r="EL26" s="153"/>
      <c r="EM26" s="153"/>
    </row>
    <row r="27" spans="1:143" s="107" customFormat="1" ht="10.5" customHeight="1">
      <c r="A27" s="1140">
        <v>2</v>
      </c>
      <c r="B27" s="1560" t="str">
        <f t="shared" ref="B27:B90" si="2">IF(C27="","",VALUE(C27))</f>
        <v/>
      </c>
      <c r="C27" s="161" t="str">
        <f>GasTime(GasAnalyser,'Horiba Data'!F20,'Horiba Data'!G20,'Testo, JUM &amp; MRU Data'!A21,'Thermo Data'!B20,HourOffset)</f>
        <v/>
      </c>
      <c r="D27" s="981" t="str">
        <f>IF(D$17=FALSE,"",GasData(GasAnalyser,'Horiba Data'!S20,'Testo, JUM &amp; MRU Data'!D21,'Thermo Data'!E20,'Testo, JUM &amp; MRU Data'!U21,GDF))</f>
        <v/>
      </c>
      <c r="E27" s="981" t="str">
        <f>IF(D27="","",Conc2(D27,D$9,MolVol,D$21,D$20,E$21,E$20))</f>
        <v/>
      </c>
      <c r="F27" s="981" t="str">
        <f>IF(F$17=FALSE,"",GasData(GasAnalyser,'Horiba Data'!AQ20,'Testo, JUM &amp; MRU Data'!E21,'Thermo Data'!F20,'Testo, JUM &amp; MRU Data'!V21,GDF))</f>
        <v/>
      </c>
      <c r="G27" s="981" t="str">
        <f>IF(F27="","",Conc2(F27,F$9,MolVol,F$21,F$20,G$21,G$20))</f>
        <v/>
      </c>
      <c r="H27" s="981" t="str">
        <f>IF(D$17=FALSE,"",IF(F$17=FALSE,"",GasData(GasAnalyser,'Horiba Data'!W20,'Testo, JUM &amp; MRU Data'!F21,'Thermo Data'!G20,'Testo, JUM &amp; MRU Data'!Y21,GDF)))</f>
        <v/>
      </c>
      <c r="I27" s="981" t="str">
        <f>IF(H27="","",Conc2(H27,H$9,MolVol,H$21,H$20,I$21,I$20))</f>
        <v/>
      </c>
      <c r="J27" s="981" t="str">
        <f>IF(J$17=FALSE,"",GasData(GasAnalyser,'Horiba Data'!AM20,'Testo, JUM &amp; MRU Data'!G21,'Thermo Data'!H20,'Testo, JUM &amp; MRU Data'!W21,GDF))</f>
        <v/>
      </c>
      <c r="K27" s="981" t="str">
        <f>IF(J27="","",Conc2(J27,J$9,MolVol,J$21,J$20,K$21,K$20))</f>
        <v/>
      </c>
      <c r="L27" s="981" t="str">
        <f>IF(L$17=FALSE,"",GasData(GasAnalyser,'Horiba Data'!AA20,'Testo, JUM &amp; MRU Data'!H21,'Thermo Data'!I20,'Testo, JUM &amp; MRU Data'!T21,GDF))</f>
        <v/>
      </c>
      <c r="M27" s="981" t="str">
        <f>IF(L27="","",Conc2(L27,L$9,MolVol,L$21,L$20,M$21,M$20))</f>
        <v/>
      </c>
      <c r="N27" s="981" t="str">
        <f>IF(N$17=FALSE,"",GasData(GasAnalyser,'Horiba Data'!AE20,'Testo, JUM &amp; MRU Data'!I21,'Thermo Data'!J20,'Testo, JUM &amp; MRU Data'!S21,GDF))</f>
        <v/>
      </c>
      <c r="O27" s="981" t="str">
        <f>IF(N27="","",Conc2(N27,N$9,MolVol,N$21,N$20,O$21,O$20))</f>
        <v/>
      </c>
      <c r="P27" s="981" t="str">
        <f>IF(P$17=FALSE,"",GasData(GasAnalyser,'Horiba Data'!AI20,'Testo, JUM &amp; MRU Data'!J21,'Thermo Data'!K20,'Testo, JUM &amp; MRU Data'!R21,GDF))</f>
        <v/>
      </c>
      <c r="Q27" s="981" t="str">
        <f>IF(P27="","",Conc2(P27,P$9,MolVol,P$21,P$20,Q$21,Q$20))</f>
        <v/>
      </c>
      <c r="R27" s="981" t="str">
        <f>IF(R$17=FALSE,"",JUMData('Testo, JUM &amp; MRU Data'!M21,$R$7))</f>
        <v/>
      </c>
      <c r="S27" s="982" t="str">
        <f>IF(R27="","",Conc2(R27,R$9,MolVol,R$21,R$20,S$21,S$20)/(1-Bws))</f>
        <v/>
      </c>
      <c r="T27" s="712"/>
      <c r="AR27" s="334"/>
      <c r="AS27" s="334"/>
      <c r="AT27" s="48"/>
      <c r="AU27" s="48"/>
      <c r="AV27" s="153"/>
      <c r="AW27" s="153"/>
      <c r="AX27" s="153"/>
      <c r="AY27" s="153"/>
      <c r="AZ27" s="153"/>
      <c r="BA27" s="153"/>
      <c r="BB27" s="153"/>
      <c r="BC27" s="153"/>
      <c r="BD27" s="153"/>
      <c r="BE27" s="153"/>
      <c r="BF27" s="153"/>
      <c r="BG27" s="153"/>
      <c r="BH27" s="153"/>
      <c r="BI27" s="153"/>
      <c r="BJ27" s="153"/>
      <c r="BK27" s="153"/>
      <c r="BL27" s="153"/>
      <c r="BM27" s="153"/>
      <c r="BN27" s="153"/>
      <c r="BO27" s="153"/>
      <c r="BP27" s="153"/>
      <c r="BQ27" s="153"/>
      <c r="BR27" s="153"/>
      <c r="BS27" s="153"/>
      <c r="BT27" s="153"/>
      <c r="BU27" s="153"/>
      <c r="BV27" s="153"/>
      <c r="BW27" s="153"/>
      <c r="BX27" s="153"/>
      <c r="BY27" s="153"/>
      <c r="BZ27" s="153"/>
      <c r="CA27" s="153"/>
      <c r="CB27" s="153"/>
      <c r="CC27" s="153"/>
      <c r="CD27" s="153"/>
      <c r="CE27" s="153"/>
      <c r="CF27" s="153"/>
      <c r="CG27" s="153"/>
      <c r="CH27" s="153"/>
      <c r="CI27" s="153"/>
      <c r="CJ27" s="153"/>
      <c r="CK27" s="153"/>
      <c r="CL27" s="153"/>
      <c r="CM27" s="153"/>
      <c r="CN27" s="153"/>
      <c r="CO27" s="153"/>
      <c r="CP27" s="153"/>
      <c r="CQ27" s="153"/>
      <c r="CR27" s="153"/>
      <c r="CS27" s="153"/>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c r="EB27" s="153"/>
      <c r="EC27" s="153"/>
      <c r="ED27" s="153"/>
      <c r="EE27" s="153"/>
      <c r="EF27" s="153"/>
      <c r="EG27" s="153"/>
      <c r="EH27" s="153"/>
      <c r="EI27" s="153"/>
      <c r="EJ27" s="153"/>
      <c r="EK27" s="153"/>
      <c r="EL27" s="153"/>
      <c r="EM27" s="153"/>
    </row>
    <row r="28" spans="1:143" s="107" customFormat="1" ht="10.5" customHeight="1">
      <c r="A28" s="1140">
        <v>3</v>
      </c>
      <c r="B28" s="1560" t="str">
        <f t="shared" si="2"/>
        <v/>
      </c>
      <c r="C28" s="161" t="str">
        <f>GasTime(GasAnalyser,'Horiba Data'!F21,'Horiba Data'!G21,'Testo, JUM &amp; MRU Data'!A22,'Thermo Data'!B21,HourOffset)</f>
        <v/>
      </c>
      <c r="D28" s="981" t="str">
        <f>IF(D$17=FALSE,"",GasData(GasAnalyser,'Horiba Data'!S21,'Testo, JUM &amp; MRU Data'!D22,'Thermo Data'!E21,'Testo, JUM &amp; MRU Data'!U22,GDF))</f>
        <v/>
      </c>
      <c r="E28" s="981" t="str">
        <f>IF(D28="","",Conc2(D28,D$9,MolVol,D$21,D$20,E$21,E$20))</f>
        <v/>
      </c>
      <c r="F28" s="981" t="str">
        <f>IF(F$17=FALSE,"",GasData(GasAnalyser,'Horiba Data'!AQ21,'Testo, JUM &amp; MRU Data'!E22,'Thermo Data'!F21,'Testo, JUM &amp; MRU Data'!V22,GDF))</f>
        <v/>
      </c>
      <c r="G28" s="981" t="str">
        <f>IF(F28="","",Conc2(F28,F$9,MolVol,F$21,F$20,G$21,G$20))</f>
        <v/>
      </c>
      <c r="H28" s="981" t="str">
        <f>IF(D$17=FALSE,"",IF(F$17=FALSE,"",GasData(GasAnalyser,'Horiba Data'!W21,'Testo, JUM &amp; MRU Data'!F22,'Thermo Data'!G21,'Testo, JUM &amp; MRU Data'!Y22,GDF)))</f>
        <v/>
      </c>
      <c r="I28" s="981" t="str">
        <f>IF(H28="","",Conc2(H28,H$9,MolVol,H$21,H$20,I$21,I$20))</f>
        <v/>
      </c>
      <c r="J28" s="981" t="str">
        <f>IF(J$17=FALSE,"",GasData(GasAnalyser,'Horiba Data'!AM21,'Testo, JUM &amp; MRU Data'!G22,'Thermo Data'!H21,'Testo, JUM &amp; MRU Data'!W22,GDF))</f>
        <v/>
      </c>
      <c r="K28" s="981" t="str">
        <f>IF(J28="","",Conc2(J28,J$9,MolVol,J$21,J$20,K$21,K$20))</f>
        <v/>
      </c>
      <c r="L28" s="981" t="str">
        <f>IF(L$17=FALSE,"",GasData(GasAnalyser,'Horiba Data'!AA21,'Testo, JUM &amp; MRU Data'!H22,'Thermo Data'!I21,'Testo, JUM &amp; MRU Data'!T22,GDF))</f>
        <v/>
      </c>
      <c r="M28" s="981" t="str">
        <f>IF(L28="","",Conc2(L28,L$9,MolVol,L$21,L$20,M$21,M$20))</f>
        <v/>
      </c>
      <c r="N28" s="981" t="str">
        <f>IF(N$17=FALSE,"",GasData(GasAnalyser,'Horiba Data'!AE21,'Testo, JUM &amp; MRU Data'!I22,'Thermo Data'!J21,'Testo, JUM &amp; MRU Data'!S22,GDF))</f>
        <v/>
      </c>
      <c r="O28" s="981" t="str">
        <f>IF(N28="","",Conc2(N28,N$9,MolVol,N$21,N$20,O$21,O$20))</f>
        <v/>
      </c>
      <c r="P28" s="981" t="str">
        <f>IF(P$17=FALSE,"",GasData(GasAnalyser,'Horiba Data'!AI21,'Testo, JUM &amp; MRU Data'!J22,'Thermo Data'!K21,'Testo, JUM &amp; MRU Data'!R22,GDF))</f>
        <v/>
      </c>
      <c r="Q28" s="981" t="str">
        <f>IF(P28="","",Conc2(P28,P$9,MolVol,P$21,P$20,Q$21,Q$20))</f>
        <v/>
      </c>
      <c r="R28" s="981" t="str">
        <f>IF(R$17=FALSE,"",JUMData('Testo, JUM &amp; MRU Data'!M22,$R$7))</f>
        <v/>
      </c>
      <c r="S28" s="982" t="str">
        <f>IF(R28="","",Conc2(R28,R$9,MolVol,R$21,R$20,S$21,S$20)/(1-Bws))</f>
        <v/>
      </c>
      <c r="T28" s="712"/>
      <c r="AR28" s="334"/>
      <c r="AS28" s="334"/>
      <c r="AT28" s="48"/>
      <c r="AU28" s="48"/>
      <c r="AV28" s="153"/>
      <c r="AW28" s="153"/>
      <c r="AX28" s="153"/>
      <c r="AY28" s="153"/>
      <c r="AZ28" s="153"/>
      <c r="BA28" s="153"/>
      <c r="BB28" s="153"/>
      <c r="BC28" s="153"/>
      <c r="BD28" s="153"/>
      <c r="BE28" s="153"/>
      <c r="BF28" s="153"/>
      <c r="BG28" s="153"/>
      <c r="BH28" s="153"/>
      <c r="BI28" s="153"/>
      <c r="BJ28" s="153"/>
      <c r="BK28" s="153"/>
      <c r="BL28" s="153"/>
      <c r="BM28" s="153"/>
      <c r="BN28" s="153"/>
      <c r="BO28" s="153"/>
      <c r="BP28" s="153"/>
      <c r="BQ28" s="153"/>
      <c r="BR28" s="153"/>
      <c r="BS28" s="153"/>
      <c r="BT28" s="153"/>
      <c r="BU28" s="153"/>
      <c r="BV28" s="153"/>
      <c r="BW28" s="153"/>
      <c r="BX28" s="153"/>
      <c r="BY28" s="153"/>
      <c r="BZ28" s="153"/>
      <c r="CA28" s="153"/>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c r="EB28" s="153"/>
      <c r="EC28" s="153"/>
      <c r="ED28" s="153"/>
      <c r="EE28" s="153"/>
      <c r="EF28" s="153"/>
      <c r="EG28" s="153"/>
      <c r="EH28" s="153"/>
      <c r="EI28" s="153"/>
      <c r="EJ28" s="153"/>
      <c r="EK28" s="153"/>
      <c r="EL28" s="153"/>
      <c r="EM28" s="153"/>
    </row>
    <row r="29" spans="1:143" s="107" customFormat="1" ht="10.5" customHeight="1">
      <c r="A29" s="1140">
        <v>4</v>
      </c>
      <c r="B29" s="1560" t="str">
        <f t="shared" si="2"/>
        <v/>
      </c>
      <c r="C29" s="161" t="str">
        <f>GasTime(GasAnalyser,'Horiba Data'!F22,'Horiba Data'!G22,'Testo, JUM &amp; MRU Data'!A23,'Thermo Data'!B22,HourOffset)</f>
        <v/>
      </c>
      <c r="D29" s="981" t="str">
        <f>IF(D$17=FALSE,"",GasData(GasAnalyser,'Horiba Data'!S22,'Testo, JUM &amp; MRU Data'!D23,'Thermo Data'!E22,'Testo, JUM &amp; MRU Data'!U23,GDF))</f>
        <v/>
      </c>
      <c r="E29" s="981" t="str">
        <f>IF(D29="","",Conc2(D29,D$9,MolVol,D$21,D$20,E$21,E$20))</f>
        <v/>
      </c>
      <c r="F29" s="981" t="str">
        <f>IF(F$17=FALSE,"",GasData(GasAnalyser,'Horiba Data'!AQ22,'Testo, JUM &amp; MRU Data'!E23,'Thermo Data'!F22,'Testo, JUM &amp; MRU Data'!V23,GDF))</f>
        <v/>
      </c>
      <c r="G29" s="981" t="str">
        <f>IF(F29="","",Conc2(F29,F$9,MolVol,F$21,F$20,G$21,G$20))</f>
        <v/>
      </c>
      <c r="H29" s="981" t="str">
        <f>IF(D$17=FALSE,"",IF(F$17=FALSE,"",GasData(GasAnalyser,'Horiba Data'!W22,'Testo, JUM &amp; MRU Data'!F23,'Thermo Data'!G22,'Testo, JUM &amp; MRU Data'!Y23,GDF)))</f>
        <v/>
      </c>
      <c r="I29" s="981" t="str">
        <f>IF(H29="","",Conc2(H29,H$9,MolVol,H$21,H$20,I$21,I$20))</f>
        <v/>
      </c>
      <c r="J29" s="981" t="str">
        <f>IF(J$17=FALSE,"",GasData(GasAnalyser,'Horiba Data'!AM22,'Testo, JUM &amp; MRU Data'!G23,'Thermo Data'!H22,'Testo, JUM &amp; MRU Data'!W23,GDF))</f>
        <v/>
      </c>
      <c r="K29" s="981" t="str">
        <f>IF(J29="","",Conc2(J29,J$9,MolVol,J$21,J$20,K$21,K$20))</f>
        <v/>
      </c>
      <c r="L29" s="981" t="str">
        <f>IF(L$17=FALSE,"",GasData(GasAnalyser,'Horiba Data'!AA22,'Testo, JUM &amp; MRU Data'!H23,'Thermo Data'!I22,'Testo, JUM &amp; MRU Data'!T23,GDF))</f>
        <v/>
      </c>
      <c r="M29" s="981" t="str">
        <f>IF(L29="","",Conc2(L29,L$9,MolVol,L$21,L$20,M$21,M$20))</f>
        <v/>
      </c>
      <c r="N29" s="981" t="str">
        <f>IF(N$17=FALSE,"",GasData(GasAnalyser,'Horiba Data'!AE22,'Testo, JUM &amp; MRU Data'!I23,'Thermo Data'!J22,'Testo, JUM &amp; MRU Data'!S23,GDF))</f>
        <v/>
      </c>
      <c r="O29" s="981" t="str">
        <f>IF(N29="","",Conc2(N29,N$9,MolVol,N$21,N$20,O$21,O$20))</f>
        <v/>
      </c>
      <c r="P29" s="981" t="str">
        <f>IF(P$17=FALSE,"",GasData(GasAnalyser,'Horiba Data'!AI22,'Testo, JUM &amp; MRU Data'!J23,'Thermo Data'!K22,'Testo, JUM &amp; MRU Data'!R23,GDF))</f>
        <v/>
      </c>
      <c r="Q29" s="981" t="str">
        <f>IF(P29="","",Conc2(P29,P$9,MolVol,P$21,P$20,Q$21,Q$20))</f>
        <v/>
      </c>
      <c r="R29" s="981" t="str">
        <f>IF(R$17=FALSE,"",JUMData('Testo, JUM &amp; MRU Data'!M23,$R$7))</f>
        <v/>
      </c>
      <c r="S29" s="982" t="str">
        <f>IF(R29="","",Conc2(R29,R$9,MolVol,R$21,R$20,S$21,S$20)/(1-Bws))</f>
        <v/>
      </c>
      <c r="T29" s="712"/>
      <c r="AR29" s="334"/>
      <c r="AS29" s="334"/>
      <c r="AT29" s="48"/>
      <c r="AU29" s="48"/>
      <c r="AV29" s="153"/>
      <c r="AW29" s="153"/>
      <c r="AX29" s="153"/>
      <c r="AY29" s="153"/>
      <c r="AZ29" s="153"/>
      <c r="BA29" s="153"/>
      <c r="BB29" s="153"/>
      <c r="BC29" s="153"/>
      <c r="BD29" s="153"/>
      <c r="BE29" s="153"/>
      <c r="BF29" s="153"/>
      <c r="BG29" s="153"/>
      <c r="BH29" s="153"/>
      <c r="BI29" s="153"/>
      <c r="BJ29" s="153"/>
      <c r="BK29" s="153"/>
      <c r="BL29" s="153"/>
      <c r="BM29" s="153"/>
      <c r="BN29" s="153"/>
      <c r="BO29" s="153"/>
      <c r="BP29" s="153"/>
      <c r="BQ29" s="153"/>
      <c r="BR29" s="153"/>
      <c r="BS29" s="153"/>
      <c r="BT29" s="153"/>
      <c r="BU29" s="153"/>
      <c r="BV29" s="153"/>
      <c r="BW29" s="153"/>
      <c r="BX29" s="153"/>
      <c r="BY29" s="153"/>
      <c r="BZ29" s="153"/>
      <c r="CA29" s="153"/>
      <c r="CB29" s="153"/>
      <c r="CC29" s="153"/>
      <c r="CD29" s="153"/>
      <c r="CE29" s="153"/>
      <c r="CF29" s="153"/>
      <c r="CG29" s="153"/>
      <c r="CH29" s="153"/>
      <c r="CI29" s="153"/>
      <c r="CJ29" s="153"/>
      <c r="CK29" s="153"/>
      <c r="CL29" s="153"/>
      <c r="CM29" s="153"/>
      <c r="CN29" s="153"/>
      <c r="CO29" s="153"/>
      <c r="CP29" s="153"/>
      <c r="CQ29" s="153"/>
      <c r="CR29" s="153"/>
      <c r="CS29" s="153"/>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c r="DR29" s="153"/>
      <c r="DS29" s="153"/>
      <c r="DT29" s="153"/>
      <c r="DU29" s="153"/>
      <c r="DV29" s="153"/>
      <c r="DW29" s="153"/>
      <c r="DX29" s="153"/>
      <c r="DY29" s="153"/>
      <c r="DZ29" s="153"/>
      <c r="EA29" s="153"/>
      <c r="EB29" s="153"/>
      <c r="EC29" s="153"/>
      <c r="ED29" s="153"/>
      <c r="EE29" s="153"/>
      <c r="EF29" s="153"/>
      <c r="EG29" s="153"/>
      <c r="EH29" s="153"/>
      <c r="EI29" s="153"/>
      <c r="EJ29" s="153"/>
      <c r="EK29" s="153"/>
      <c r="EL29" s="153"/>
      <c r="EM29" s="153"/>
    </row>
    <row r="30" spans="1:143" s="107" customFormat="1" ht="10.5" customHeight="1">
      <c r="A30" s="1140">
        <v>5</v>
      </c>
      <c r="B30" s="1560" t="str">
        <f t="shared" si="2"/>
        <v/>
      </c>
      <c r="C30" s="161" t="str">
        <f>GasTime(GasAnalyser,'Horiba Data'!F23,'Horiba Data'!G23,'Testo, JUM &amp; MRU Data'!A24,'Thermo Data'!B23,HourOffset)</f>
        <v/>
      </c>
      <c r="D30" s="981" t="str">
        <f>IF(D$17=FALSE,"",GasData(GasAnalyser,'Horiba Data'!S23,'Testo, JUM &amp; MRU Data'!D24,'Thermo Data'!E23,'Testo, JUM &amp; MRU Data'!U24,GDF))</f>
        <v/>
      </c>
      <c r="E30" s="981" t="str">
        <f>IF(D30="","",Conc2(D30,D$9,MolVol,D$21,D$20,E$21,E$20))</f>
        <v/>
      </c>
      <c r="F30" s="981" t="str">
        <f>IF(F$17=FALSE,"",GasData(GasAnalyser,'Horiba Data'!AQ23,'Testo, JUM &amp; MRU Data'!E24,'Thermo Data'!F23,'Testo, JUM &amp; MRU Data'!V24,GDF))</f>
        <v/>
      </c>
      <c r="G30" s="981" t="str">
        <f>IF(F30="","",Conc2(F30,F$9,MolVol,F$21,F$20,G$21,G$20))</f>
        <v/>
      </c>
      <c r="H30" s="981" t="str">
        <f>IF(D$17=FALSE,"",IF(F$17=FALSE,"",GasData(GasAnalyser,'Horiba Data'!W23,'Testo, JUM &amp; MRU Data'!F24,'Thermo Data'!G23,'Testo, JUM &amp; MRU Data'!Y24,GDF)))</f>
        <v/>
      </c>
      <c r="I30" s="981" t="str">
        <f>IF(H30="","",Conc2(H30,H$9,MolVol,H$21,H$20,I$21,I$20))</f>
        <v/>
      </c>
      <c r="J30" s="981" t="str">
        <f>IF(J$17=FALSE,"",GasData(GasAnalyser,'Horiba Data'!AM23,'Testo, JUM &amp; MRU Data'!G24,'Thermo Data'!H23,'Testo, JUM &amp; MRU Data'!W24,GDF))</f>
        <v/>
      </c>
      <c r="K30" s="981" t="str">
        <f>IF(J30="","",Conc2(J30,J$9,MolVol,J$21,J$20,K$21,K$20))</f>
        <v/>
      </c>
      <c r="L30" s="981" t="str">
        <f>IF(L$17=FALSE,"",GasData(GasAnalyser,'Horiba Data'!AA23,'Testo, JUM &amp; MRU Data'!H24,'Thermo Data'!I23,'Testo, JUM &amp; MRU Data'!T24,GDF))</f>
        <v/>
      </c>
      <c r="M30" s="981" t="str">
        <f>IF(L30="","",Conc2(L30,L$9,MolVol,L$21,L$20,M$21,M$20))</f>
        <v/>
      </c>
      <c r="N30" s="981" t="str">
        <f>IF(N$17=FALSE,"",GasData(GasAnalyser,'Horiba Data'!AE23,'Testo, JUM &amp; MRU Data'!I24,'Thermo Data'!J23,'Testo, JUM &amp; MRU Data'!S24,GDF))</f>
        <v/>
      </c>
      <c r="O30" s="981" t="str">
        <f>IF(N30="","",Conc2(N30,N$9,MolVol,N$21,N$20,O$21,O$20))</f>
        <v/>
      </c>
      <c r="P30" s="981" t="str">
        <f>IF(P$17=FALSE,"",GasData(GasAnalyser,'Horiba Data'!AI23,'Testo, JUM &amp; MRU Data'!J24,'Thermo Data'!K23,'Testo, JUM &amp; MRU Data'!R24,GDF))</f>
        <v/>
      </c>
      <c r="Q30" s="981" t="str">
        <f>IF(P30="","",Conc2(P30,P$9,MolVol,P$21,P$20,Q$21,Q$20))</f>
        <v/>
      </c>
      <c r="R30" s="981" t="str">
        <f>IF(R$17=FALSE,"",JUMData('Testo, JUM &amp; MRU Data'!M24,$R$7))</f>
        <v/>
      </c>
      <c r="S30" s="982" t="str">
        <f>IF(R30="","",Conc2(R30,R$9,MolVol,R$21,R$20,S$21,S$20)/(1-Bws))</f>
        <v/>
      </c>
      <c r="T30" s="712"/>
      <c r="AR30" s="334"/>
      <c r="AS30" s="334"/>
      <c r="AT30" s="48"/>
      <c r="AU30" s="48"/>
      <c r="AV30" s="153"/>
      <c r="AW30" s="153"/>
      <c r="AX30" s="153"/>
      <c r="AY30" s="153"/>
      <c r="AZ30" s="153"/>
      <c r="BA30" s="153"/>
      <c r="BB30" s="153"/>
      <c r="BC30" s="153"/>
      <c r="BD30" s="153"/>
      <c r="BE30" s="153"/>
      <c r="BF30" s="153"/>
      <c r="BG30" s="153"/>
      <c r="BH30" s="153"/>
      <c r="BI30" s="153"/>
      <c r="BJ30" s="153"/>
      <c r="BK30" s="153"/>
      <c r="BL30" s="153"/>
      <c r="BM30" s="153"/>
      <c r="BN30" s="153"/>
      <c r="BO30" s="153"/>
      <c r="BP30" s="153"/>
      <c r="BQ30" s="153"/>
      <c r="BR30" s="153"/>
      <c r="BS30" s="153"/>
      <c r="BT30" s="153"/>
      <c r="BU30" s="153"/>
      <c r="BV30" s="153"/>
      <c r="BW30" s="153"/>
      <c r="BX30" s="153"/>
      <c r="BY30" s="153"/>
      <c r="BZ30" s="153"/>
      <c r="CA30" s="153"/>
      <c r="CB30" s="153"/>
      <c r="CC30" s="153"/>
      <c r="CD30" s="153"/>
      <c r="CE30" s="153"/>
      <c r="CF30" s="153"/>
      <c r="CG30" s="153"/>
      <c r="CH30" s="153"/>
      <c r="CI30" s="153"/>
      <c r="CJ30" s="153"/>
      <c r="CK30" s="153"/>
      <c r="CL30" s="153"/>
      <c r="CM30" s="153"/>
      <c r="CN30" s="153"/>
      <c r="CO30" s="153"/>
      <c r="CP30" s="153"/>
      <c r="CQ30" s="153"/>
      <c r="CR30" s="153"/>
      <c r="CS30" s="153"/>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c r="EF30" s="153"/>
      <c r="EG30" s="153"/>
      <c r="EH30" s="153"/>
      <c r="EI30" s="153"/>
      <c r="EJ30" s="153"/>
      <c r="EK30" s="153"/>
      <c r="EL30" s="153"/>
      <c r="EM30" s="153"/>
    </row>
    <row r="31" spans="1:143" s="107" customFormat="1" ht="10.5" customHeight="1">
      <c r="A31" s="1140">
        <v>6</v>
      </c>
      <c r="B31" s="1560" t="str">
        <f t="shared" si="2"/>
        <v/>
      </c>
      <c r="C31" s="161" t="str">
        <f>GasTime(GasAnalyser,'Horiba Data'!F24,'Horiba Data'!G24,'Testo, JUM &amp; MRU Data'!A25,'Thermo Data'!B24,HourOffset)</f>
        <v/>
      </c>
      <c r="D31" s="981" t="str">
        <f>IF(D$17=FALSE,"",GasData(GasAnalyser,'Horiba Data'!S24,'Testo, JUM &amp; MRU Data'!D25,'Thermo Data'!E24,'Testo, JUM &amp; MRU Data'!U25,GDF))</f>
        <v/>
      </c>
      <c r="E31" s="981" t="str">
        <f>IF(D31="","",Conc2(D31,D$9,MolVol,D$21,D$20,E$21,E$20))</f>
        <v/>
      </c>
      <c r="F31" s="981" t="str">
        <f>IF(F$17=FALSE,"",GasData(GasAnalyser,'Horiba Data'!AQ24,'Testo, JUM &amp; MRU Data'!E25,'Thermo Data'!F24,'Testo, JUM &amp; MRU Data'!V25,GDF))</f>
        <v/>
      </c>
      <c r="G31" s="981" t="str">
        <f>IF(F31="","",Conc2(F31,F$9,MolVol,F$21,F$20,G$21,G$20))</f>
        <v/>
      </c>
      <c r="H31" s="981" t="str">
        <f>IF(D$17=FALSE,"",IF(F$17=FALSE,"",GasData(GasAnalyser,'Horiba Data'!W24,'Testo, JUM &amp; MRU Data'!F25,'Thermo Data'!G24,'Testo, JUM &amp; MRU Data'!Y25,GDF)))</f>
        <v/>
      </c>
      <c r="I31" s="981" t="str">
        <f>IF(H31="","",Conc2(H31,H$9,MolVol,H$21,H$20,I$21,I$20))</f>
        <v/>
      </c>
      <c r="J31" s="981" t="str">
        <f>IF(J$17=FALSE,"",GasData(GasAnalyser,'Horiba Data'!AM24,'Testo, JUM &amp; MRU Data'!G25,'Thermo Data'!H24,'Testo, JUM &amp; MRU Data'!W25,GDF))</f>
        <v/>
      </c>
      <c r="K31" s="981" t="str">
        <f>IF(J31="","",Conc2(J31,J$9,MolVol,J$21,J$20,K$21,K$20))</f>
        <v/>
      </c>
      <c r="L31" s="981" t="str">
        <f>IF(L$17=FALSE,"",GasData(GasAnalyser,'Horiba Data'!AA24,'Testo, JUM &amp; MRU Data'!H25,'Thermo Data'!I24,'Testo, JUM &amp; MRU Data'!T25,GDF))</f>
        <v/>
      </c>
      <c r="M31" s="981" t="str">
        <f>IF(L31="","",Conc2(L31,L$9,MolVol,L$21,L$20,M$21,M$20))</f>
        <v/>
      </c>
      <c r="N31" s="981" t="str">
        <f>IF(N$17=FALSE,"",GasData(GasAnalyser,'Horiba Data'!AE24,'Testo, JUM &amp; MRU Data'!I25,'Thermo Data'!J24,'Testo, JUM &amp; MRU Data'!S25,GDF))</f>
        <v/>
      </c>
      <c r="O31" s="981" t="str">
        <f>IF(N31="","",Conc2(N31,N$9,MolVol,N$21,N$20,O$21,O$20))</f>
        <v/>
      </c>
      <c r="P31" s="981" t="str">
        <f>IF(P$17=FALSE,"",GasData(GasAnalyser,'Horiba Data'!AI24,'Testo, JUM &amp; MRU Data'!J25,'Thermo Data'!K24,'Testo, JUM &amp; MRU Data'!R25,GDF))</f>
        <v/>
      </c>
      <c r="Q31" s="981" t="str">
        <f>IF(P31="","",Conc2(P31,P$9,MolVol,P$21,P$20,Q$21,Q$20))</f>
        <v/>
      </c>
      <c r="R31" s="981" t="str">
        <f>IF(R$17=FALSE,"",JUMData('Testo, JUM &amp; MRU Data'!M25,$R$7))</f>
        <v/>
      </c>
      <c r="S31" s="982" t="str">
        <f>IF(R31="","",Conc2(R31,R$9,MolVol,R$21,R$20,S$21,S$20)/(1-Bws))</f>
        <v/>
      </c>
      <c r="T31" s="712"/>
      <c r="AR31" s="334"/>
      <c r="AS31" s="334"/>
      <c r="AT31" s="48"/>
      <c r="AU31" s="48"/>
      <c r="AV31" s="153"/>
      <c r="AW31" s="153"/>
      <c r="AX31" s="153"/>
      <c r="AY31" s="153"/>
      <c r="AZ31" s="153"/>
      <c r="BA31" s="153"/>
      <c r="BB31" s="153"/>
      <c r="BC31" s="153"/>
      <c r="BD31" s="153"/>
      <c r="BE31" s="153"/>
      <c r="BF31" s="153"/>
      <c r="BG31" s="153"/>
      <c r="BH31" s="153"/>
      <c r="BI31" s="153"/>
      <c r="BJ31" s="153"/>
      <c r="BK31" s="153"/>
      <c r="BL31" s="153"/>
      <c r="BM31" s="153"/>
      <c r="BN31" s="153"/>
      <c r="BO31" s="153"/>
      <c r="BP31" s="153"/>
      <c r="BQ31" s="153"/>
      <c r="BR31" s="153"/>
      <c r="BS31" s="153"/>
      <c r="BT31" s="153"/>
      <c r="BU31" s="153"/>
      <c r="BV31" s="153"/>
      <c r="BW31" s="153"/>
      <c r="BX31" s="153"/>
      <c r="BY31" s="153"/>
      <c r="BZ31" s="153"/>
      <c r="CA31" s="153"/>
      <c r="CB31" s="153"/>
      <c r="CC31" s="153"/>
      <c r="CD31" s="153"/>
      <c r="CE31" s="153"/>
      <c r="CF31" s="153"/>
      <c r="CG31" s="153"/>
      <c r="CH31" s="153"/>
      <c r="CI31" s="153"/>
      <c r="CJ31" s="153"/>
      <c r="CK31" s="153"/>
      <c r="CL31" s="153"/>
      <c r="CM31" s="153"/>
      <c r="CN31" s="153"/>
      <c r="CO31" s="153"/>
      <c r="CP31" s="153"/>
      <c r="CQ31" s="153"/>
      <c r="CR31" s="153"/>
      <c r="CS31" s="153"/>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c r="EF31" s="153"/>
      <c r="EG31" s="153"/>
      <c r="EH31" s="153"/>
      <c r="EI31" s="153"/>
      <c r="EJ31" s="153"/>
      <c r="EK31" s="153"/>
      <c r="EL31" s="153"/>
      <c r="EM31" s="153"/>
    </row>
    <row r="32" spans="1:143" s="107" customFormat="1" ht="10.5" customHeight="1">
      <c r="A32" s="1140">
        <v>7</v>
      </c>
      <c r="B32" s="1560" t="str">
        <f t="shared" si="2"/>
        <v/>
      </c>
      <c r="C32" s="161" t="str">
        <f>GasTime(GasAnalyser,'Horiba Data'!F25,'Horiba Data'!G25,'Testo, JUM &amp; MRU Data'!A26,'Thermo Data'!B25,HourOffset)</f>
        <v/>
      </c>
      <c r="D32" s="981" t="str">
        <f>IF(D$17=FALSE,"",GasData(GasAnalyser,'Horiba Data'!S25,'Testo, JUM &amp; MRU Data'!D26,'Thermo Data'!E25,'Testo, JUM &amp; MRU Data'!U26,GDF))</f>
        <v/>
      </c>
      <c r="E32" s="981" t="str">
        <f>IF(D32="","",Conc2(D32,D$9,MolVol,D$21,D$20,E$21,E$20))</f>
        <v/>
      </c>
      <c r="F32" s="981" t="str">
        <f>IF(F$17=FALSE,"",GasData(GasAnalyser,'Horiba Data'!AQ25,'Testo, JUM &amp; MRU Data'!E26,'Thermo Data'!F25,'Testo, JUM &amp; MRU Data'!V26,GDF))</f>
        <v/>
      </c>
      <c r="G32" s="981" t="str">
        <f>IF(F32="","",Conc2(F32,F$9,MolVol,F$21,F$20,G$21,G$20))</f>
        <v/>
      </c>
      <c r="H32" s="981" t="str">
        <f>IF(D$17=FALSE,"",IF(F$17=FALSE,"",GasData(GasAnalyser,'Horiba Data'!W25,'Testo, JUM &amp; MRU Data'!F26,'Thermo Data'!G25,'Testo, JUM &amp; MRU Data'!Y26,GDF)))</f>
        <v/>
      </c>
      <c r="I32" s="981" t="str">
        <f>IF(H32="","",Conc2(H32,H$9,MolVol,H$21,H$20,I$21,I$20))</f>
        <v/>
      </c>
      <c r="J32" s="981" t="str">
        <f>IF(J$17=FALSE,"",GasData(GasAnalyser,'Horiba Data'!AM25,'Testo, JUM &amp; MRU Data'!G26,'Thermo Data'!H25,'Testo, JUM &amp; MRU Data'!W26,GDF))</f>
        <v/>
      </c>
      <c r="K32" s="981" t="str">
        <f>IF(J32="","",Conc2(J32,J$9,MolVol,J$21,J$20,K$21,K$20))</f>
        <v/>
      </c>
      <c r="L32" s="981" t="str">
        <f>IF(L$17=FALSE,"",GasData(GasAnalyser,'Horiba Data'!AA25,'Testo, JUM &amp; MRU Data'!H26,'Thermo Data'!I25,'Testo, JUM &amp; MRU Data'!T26,GDF))</f>
        <v/>
      </c>
      <c r="M32" s="981" t="str">
        <f>IF(L32="","",Conc2(L32,L$9,MolVol,L$21,L$20,M$21,M$20))</f>
        <v/>
      </c>
      <c r="N32" s="981" t="str">
        <f>IF(N$17=FALSE,"",GasData(GasAnalyser,'Horiba Data'!AE25,'Testo, JUM &amp; MRU Data'!I26,'Thermo Data'!J25,'Testo, JUM &amp; MRU Data'!S26,GDF))</f>
        <v/>
      </c>
      <c r="O32" s="981" t="str">
        <f>IF(N32="","",Conc2(N32,N$9,MolVol,N$21,N$20,O$21,O$20))</f>
        <v/>
      </c>
      <c r="P32" s="981" t="str">
        <f>IF(P$17=FALSE,"",GasData(GasAnalyser,'Horiba Data'!AI25,'Testo, JUM &amp; MRU Data'!J26,'Thermo Data'!K25,'Testo, JUM &amp; MRU Data'!R26,GDF))</f>
        <v/>
      </c>
      <c r="Q32" s="981" t="str">
        <f>IF(P32="","",Conc2(P32,P$9,MolVol,P$21,P$20,Q$21,Q$20))</f>
        <v/>
      </c>
      <c r="R32" s="981" t="str">
        <f>IF(R$17=FALSE,"",JUMData('Testo, JUM &amp; MRU Data'!M26,$R$7))</f>
        <v/>
      </c>
      <c r="S32" s="982" t="str">
        <f>IF(R32="","",Conc2(R32,R$9,MolVol,R$21,R$20,S$21,S$20)/(1-Bws))</f>
        <v/>
      </c>
      <c r="T32" s="712"/>
      <c r="AR32" s="334"/>
      <c r="AS32" s="334"/>
      <c r="AT32" s="48"/>
      <c r="AU32" s="48"/>
      <c r="AV32" s="153"/>
      <c r="AW32" s="153"/>
      <c r="AX32" s="153"/>
      <c r="AY32" s="153"/>
      <c r="AZ32" s="153"/>
      <c r="BA32" s="153"/>
      <c r="BB32" s="153"/>
      <c r="BC32" s="153"/>
      <c r="BD32" s="153"/>
      <c r="BE32" s="153"/>
      <c r="BF32" s="153"/>
      <c r="BG32" s="153"/>
      <c r="BH32" s="153"/>
      <c r="BI32" s="153"/>
      <c r="BJ32" s="153"/>
      <c r="BK32" s="153"/>
      <c r="BL32" s="153"/>
      <c r="BM32" s="153"/>
      <c r="BN32" s="153"/>
      <c r="BO32" s="153"/>
      <c r="BP32" s="153"/>
      <c r="BQ32" s="153"/>
      <c r="BR32" s="153"/>
      <c r="BS32" s="153"/>
      <c r="BT32" s="153"/>
      <c r="BU32" s="153"/>
      <c r="BV32" s="153"/>
      <c r="BW32" s="153"/>
      <c r="BX32" s="153"/>
      <c r="BY32" s="153"/>
      <c r="BZ32" s="153"/>
      <c r="CA32" s="153"/>
      <c r="CB32" s="153"/>
      <c r="CC32" s="153"/>
      <c r="CD32" s="153"/>
      <c r="CE32" s="153"/>
      <c r="CF32" s="153"/>
      <c r="CG32" s="153"/>
      <c r="CH32" s="153"/>
      <c r="CI32" s="153"/>
      <c r="CJ32" s="153"/>
      <c r="CK32" s="153"/>
      <c r="CL32" s="153"/>
      <c r="CM32" s="153"/>
      <c r="CN32" s="153"/>
      <c r="CO32" s="153"/>
      <c r="CP32" s="153"/>
      <c r="CQ32" s="153"/>
      <c r="CR32" s="153"/>
      <c r="CS32" s="153"/>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c r="DR32" s="153"/>
      <c r="DS32" s="153"/>
      <c r="DT32" s="153"/>
      <c r="DU32" s="153"/>
      <c r="DV32" s="153"/>
      <c r="DW32" s="153"/>
      <c r="DX32" s="153"/>
      <c r="DY32" s="153"/>
      <c r="DZ32" s="153"/>
      <c r="EA32" s="153"/>
      <c r="EB32" s="153"/>
      <c r="EC32" s="153"/>
      <c r="ED32" s="153"/>
      <c r="EE32" s="153"/>
      <c r="EF32" s="153"/>
      <c r="EG32" s="153"/>
      <c r="EH32" s="153"/>
      <c r="EI32" s="153"/>
      <c r="EJ32" s="153"/>
      <c r="EK32" s="153"/>
      <c r="EL32" s="153"/>
      <c r="EM32" s="153"/>
    </row>
    <row r="33" spans="1:143" s="107" customFormat="1" ht="10.5" customHeight="1">
      <c r="A33" s="1140">
        <v>8</v>
      </c>
      <c r="B33" s="1560" t="str">
        <f t="shared" si="2"/>
        <v/>
      </c>
      <c r="C33" s="161" t="str">
        <f>GasTime(GasAnalyser,'Horiba Data'!F26,'Horiba Data'!G26,'Testo, JUM &amp; MRU Data'!A27,'Thermo Data'!B26,HourOffset)</f>
        <v/>
      </c>
      <c r="D33" s="981" t="str">
        <f>IF(D$17=FALSE,"",GasData(GasAnalyser,'Horiba Data'!S26,'Testo, JUM &amp; MRU Data'!D27,'Thermo Data'!E26,'Testo, JUM &amp; MRU Data'!U27,GDF))</f>
        <v/>
      </c>
      <c r="E33" s="981" t="str">
        <f>IF(D33="","",Conc2(D33,D$9,MolVol,D$21,D$20,E$21,E$20))</f>
        <v/>
      </c>
      <c r="F33" s="981" t="str">
        <f>IF(F$17=FALSE,"",GasData(GasAnalyser,'Horiba Data'!AQ26,'Testo, JUM &amp; MRU Data'!E27,'Thermo Data'!F26,'Testo, JUM &amp; MRU Data'!V27,GDF))</f>
        <v/>
      </c>
      <c r="G33" s="981" t="str">
        <f>IF(F33="","",Conc2(F33,F$9,MolVol,F$21,F$20,G$21,G$20))</f>
        <v/>
      </c>
      <c r="H33" s="981" t="str">
        <f>IF(D$17=FALSE,"",IF(F$17=FALSE,"",GasData(GasAnalyser,'Horiba Data'!W26,'Testo, JUM &amp; MRU Data'!F27,'Thermo Data'!G26,'Testo, JUM &amp; MRU Data'!Y27,GDF)))</f>
        <v/>
      </c>
      <c r="I33" s="981" t="str">
        <f>IF(H33="","",Conc2(H33,H$9,MolVol,H$21,H$20,I$21,I$20))</f>
        <v/>
      </c>
      <c r="J33" s="981" t="str">
        <f>IF(J$17=FALSE,"",GasData(GasAnalyser,'Horiba Data'!AM26,'Testo, JUM &amp; MRU Data'!G27,'Thermo Data'!H26,'Testo, JUM &amp; MRU Data'!W27,GDF))</f>
        <v/>
      </c>
      <c r="K33" s="981" t="str">
        <f>IF(J33="","",Conc2(J33,J$9,MolVol,J$21,J$20,K$21,K$20))</f>
        <v/>
      </c>
      <c r="L33" s="981" t="str">
        <f>IF(L$17=FALSE,"",GasData(GasAnalyser,'Horiba Data'!AA26,'Testo, JUM &amp; MRU Data'!H27,'Thermo Data'!I26,'Testo, JUM &amp; MRU Data'!T27,GDF))</f>
        <v/>
      </c>
      <c r="M33" s="981" t="str">
        <f>IF(L33="","",Conc2(L33,L$9,MolVol,L$21,L$20,M$21,M$20))</f>
        <v/>
      </c>
      <c r="N33" s="981" t="str">
        <f>IF(N$17=FALSE,"",GasData(GasAnalyser,'Horiba Data'!AE26,'Testo, JUM &amp; MRU Data'!I27,'Thermo Data'!J26,'Testo, JUM &amp; MRU Data'!S27,GDF))</f>
        <v/>
      </c>
      <c r="O33" s="981" t="str">
        <f>IF(N33="","",Conc2(N33,N$9,MolVol,N$21,N$20,O$21,O$20))</f>
        <v/>
      </c>
      <c r="P33" s="981" t="str">
        <f>IF(P$17=FALSE,"",GasData(GasAnalyser,'Horiba Data'!AI26,'Testo, JUM &amp; MRU Data'!J27,'Thermo Data'!K26,'Testo, JUM &amp; MRU Data'!R27,GDF))</f>
        <v/>
      </c>
      <c r="Q33" s="981" t="str">
        <f>IF(P33="","",Conc2(P33,P$9,MolVol,P$21,P$20,Q$21,Q$20))</f>
        <v/>
      </c>
      <c r="R33" s="981" t="str">
        <f>IF(R$17=FALSE,"",JUMData('Testo, JUM &amp; MRU Data'!M27,$R$7))</f>
        <v/>
      </c>
      <c r="S33" s="982" t="str">
        <f>IF(R33="","",Conc2(R33,R$9,MolVol,R$21,R$20,S$21,S$20)/(1-Bws))</f>
        <v/>
      </c>
      <c r="T33" s="712"/>
      <c r="AR33" s="334"/>
      <c r="AS33" s="334"/>
      <c r="AT33" s="48"/>
      <c r="AU33" s="48"/>
      <c r="AV33" s="153"/>
      <c r="AW33" s="153"/>
      <c r="AX33" s="153"/>
      <c r="AY33" s="153"/>
      <c r="AZ33" s="153"/>
      <c r="BA33" s="153"/>
      <c r="BB33" s="153"/>
      <c r="BC33" s="153"/>
      <c r="BD33" s="153"/>
      <c r="BE33" s="153"/>
      <c r="BF33" s="153"/>
      <c r="BG33" s="153"/>
      <c r="BH33" s="153"/>
      <c r="BI33" s="153"/>
      <c r="BJ33" s="153"/>
      <c r="BK33" s="153"/>
      <c r="BL33" s="153"/>
      <c r="BM33" s="153"/>
      <c r="BN33" s="153"/>
      <c r="BO33" s="153"/>
      <c r="BP33" s="153"/>
      <c r="BQ33" s="153"/>
      <c r="BR33" s="153"/>
      <c r="BS33" s="153"/>
      <c r="BT33" s="153"/>
      <c r="BU33" s="153"/>
      <c r="BV33" s="153"/>
      <c r="BW33" s="153"/>
      <c r="BX33" s="153"/>
      <c r="BY33" s="153"/>
      <c r="BZ33" s="153"/>
      <c r="CA33" s="153"/>
      <c r="CB33" s="153"/>
      <c r="CC33" s="153"/>
      <c r="CD33" s="153"/>
      <c r="CE33" s="153"/>
      <c r="CF33" s="153"/>
      <c r="CG33" s="153"/>
      <c r="CH33" s="153"/>
      <c r="CI33" s="153"/>
      <c r="CJ33" s="153"/>
      <c r="CK33" s="153"/>
      <c r="CL33" s="153"/>
      <c r="CM33" s="153"/>
      <c r="CN33" s="153"/>
      <c r="CO33" s="153"/>
      <c r="CP33" s="153"/>
      <c r="CQ33" s="153"/>
      <c r="CR33" s="153"/>
      <c r="CS33" s="153"/>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c r="DR33" s="153"/>
      <c r="DS33" s="153"/>
      <c r="DT33" s="153"/>
      <c r="DU33" s="153"/>
      <c r="DV33" s="153"/>
      <c r="DW33" s="153"/>
      <c r="DX33" s="153"/>
      <c r="DY33" s="153"/>
      <c r="DZ33" s="153"/>
      <c r="EA33" s="153"/>
      <c r="EB33" s="153"/>
      <c r="EC33" s="153"/>
      <c r="ED33" s="153"/>
      <c r="EE33" s="153"/>
      <c r="EF33" s="153"/>
      <c r="EG33" s="153"/>
      <c r="EH33" s="153"/>
      <c r="EI33" s="153"/>
      <c r="EJ33" s="153"/>
      <c r="EK33" s="153"/>
      <c r="EL33" s="153"/>
      <c r="EM33" s="153"/>
    </row>
    <row r="34" spans="1:143" s="107" customFormat="1" ht="10.5" customHeight="1">
      <c r="A34" s="1140">
        <v>9</v>
      </c>
      <c r="B34" s="1560" t="str">
        <f t="shared" si="2"/>
        <v/>
      </c>
      <c r="C34" s="161" t="str">
        <f>GasTime(GasAnalyser,'Horiba Data'!F27,'Horiba Data'!G27,'Testo, JUM &amp; MRU Data'!A28,'Thermo Data'!B27,HourOffset)</f>
        <v/>
      </c>
      <c r="D34" s="981" t="str">
        <f>IF(D$17=FALSE,"",GasData(GasAnalyser,'Horiba Data'!S27,'Testo, JUM &amp; MRU Data'!D28,'Thermo Data'!E27,'Testo, JUM &amp; MRU Data'!U28,GDF))</f>
        <v/>
      </c>
      <c r="E34" s="981" t="str">
        <f>IF(D34="","",Conc2(D34,D$9,MolVol,D$21,D$20,E$21,E$20))</f>
        <v/>
      </c>
      <c r="F34" s="981" t="str">
        <f>IF(F$17=FALSE,"",GasData(GasAnalyser,'Horiba Data'!AQ27,'Testo, JUM &amp; MRU Data'!E28,'Thermo Data'!F27,'Testo, JUM &amp; MRU Data'!V28,GDF))</f>
        <v/>
      </c>
      <c r="G34" s="981" t="str">
        <f>IF(F34="","",Conc2(F34,F$9,MolVol,F$21,F$20,G$21,G$20))</f>
        <v/>
      </c>
      <c r="H34" s="981" t="str">
        <f>IF(D$17=FALSE,"",IF(F$17=FALSE,"",GasData(GasAnalyser,'Horiba Data'!W27,'Testo, JUM &amp; MRU Data'!F28,'Thermo Data'!G27,'Testo, JUM &amp; MRU Data'!Y28,GDF)))</f>
        <v/>
      </c>
      <c r="I34" s="981" t="str">
        <f>IF(H34="","",Conc2(H34,H$9,MolVol,H$21,H$20,I$21,I$20))</f>
        <v/>
      </c>
      <c r="J34" s="981" t="str">
        <f>IF(J$17=FALSE,"",GasData(GasAnalyser,'Horiba Data'!AM27,'Testo, JUM &amp; MRU Data'!G28,'Thermo Data'!H27,'Testo, JUM &amp; MRU Data'!W28,GDF))</f>
        <v/>
      </c>
      <c r="K34" s="981" t="str">
        <f>IF(J34="","",Conc2(J34,J$9,MolVol,J$21,J$20,K$21,K$20))</f>
        <v/>
      </c>
      <c r="L34" s="981" t="str">
        <f>IF(L$17=FALSE,"",GasData(GasAnalyser,'Horiba Data'!AA27,'Testo, JUM &amp; MRU Data'!H28,'Thermo Data'!I27,'Testo, JUM &amp; MRU Data'!T28,GDF))</f>
        <v/>
      </c>
      <c r="M34" s="981" t="str">
        <f>IF(L34="","",Conc2(L34,L$9,MolVol,L$21,L$20,M$21,M$20))</f>
        <v/>
      </c>
      <c r="N34" s="981" t="str">
        <f>IF(N$17=FALSE,"",GasData(GasAnalyser,'Horiba Data'!AE27,'Testo, JUM &amp; MRU Data'!I28,'Thermo Data'!J27,'Testo, JUM &amp; MRU Data'!S28,GDF))</f>
        <v/>
      </c>
      <c r="O34" s="981" t="str">
        <f>IF(N34="","",Conc2(N34,N$9,MolVol,N$21,N$20,O$21,O$20))</f>
        <v/>
      </c>
      <c r="P34" s="981" t="str">
        <f>IF(P$17=FALSE,"",GasData(GasAnalyser,'Horiba Data'!AI27,'Testo, JUM &amp; MRU Data'!J28,'Thermo Data'!K27,'Testo, JUM &amp; MRU Data'!R28,GDF))</f>
        <v/>
      </c>
      <c r="Q34" s="981" t="str">
        <f>IF(P34="","",Conc2(P34,P$9,MolVol,P$21,P$20,Q$21,Q$20))</f>
        <v/>
      </c>
      <c r="R34" s="981" t="str">
        <f>IF(R$17=FALSE,"",JUMData('Testo, JUM &amp; MRU Data'!M28,$R$7))</f>
        <v/>
      </c>
      <c r="S34" s="982" t="str">
        <f>IF(R34="","",Conc2(R34,R$9,MolVol,R$21,R$20,S$21,S$20)/(1-Bws))</f>
        <v/>
      </c>
      <c r="T34" s="712"/>
      <c r="AR34" s="334"/>
      <c r="AS34" s="334"/>
      <c r="AT34" s="48"/>
      <c r="AU34" s="48"/>
      <c r="AV34" s="153"/>
      <c r="AW34" s="153"/>
      <c r="AX34" s="153"/>
      <c r="AY34" s="153"/>
      <c r="AZ34" s="153"/>
      <c r="BA34" s="153"/>
      <c r="BB34" s="153"/>
      <c r="BC34" s="153"/>
      <c r="BD34" s="153"/>
      <c r="BE34" s="153"/>
      <c r="BF34" s="153"/>
      <c r="BG34" s="153"/>
      <c r="BH34" s="153"/>
      <c r="BI34" s="153"/>
      <c r="BJ34" s="153"/>
      <c r="BK34" s="153"/>
      <c r="BL34" s="153"/>
      <c r="BM34" s="153"/>
      <c r="BN34" s="153"/>
      <c r="BO34" s="153"/>
      <c r="BP34" s="153"/>
      <c r="BQ34" s="153"/>
      <c r="BR34" s="153"/>
      <c r="BS34" s="153"/>
      <c r="BT34" s="153"/>
      <c r="BU34" s="153"/>
      <c r="BV34" s="153"/>
      <c r="BW34" s="153"/>
      <c r="BX34" s="153"/>
      <c r="BY34" s="153"/>
      <c r="BZ34" s="153"/>
      <c r="CA34" s="153"/>
      <c r="CB34" s="153"/>
      <c r="CC34" s="153"/>
      <c r="CD34" s="153"/>
      <c r="CE34" s="153"/>
      <c r="CF34" s="153"/>
      <c r="CG34" s="153"/>
      <c r="CH34" s="153"/>
      <c r="CI34" s="153"/>
      <c r="CJ34" s="153"/>
      <c r="CK34" s="153"/>
      <c r="CL34" s="153"/>
      <c r="CM34" s="153"/>
      <c r="CN34" s="153"/>
      <c r="CO34" s="153"/>
      <c r="CP34" s="153"/>
      <c r="CQ34" s="153"/>
      <c r="CR34" s="153"/>
      <c r="CS34" s="153"/>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c r="EF34" s="153"/>
      <c r="EG34" s="153"/>
      <c r="EH34" s="153"/>
      <c r="EI34" s="153"/>
      <c r="EJ34" s="153"/>
      <c r="EK34" s="153"/>
      <c r="EL34" s="153"/>
      <c r="EM34" s="153"/>
    </row>
    <row r="35" spans="1:143" s="107" customFormat="1" ht="10.5" customHeight="1">
      <c r="A35" s="1140">
        <v>10</v>
      </c>
      <c r="B35" s="1560" t="str">
        <f t="shared" si="2"/>
        <v/>
      </c>
      <c r="C35" s="161" t="str">
        <f>GasTime(GasAnalyser,'Horiba Data'!F28,'Horiba Data'!G28,'Testo, JUM &amp; MRU Data'!A29,'Thermo Data'!B28,HourOffset)</f>
        <v/>
      </c>
      <c r="D35" s="981" t="str">
        <f>IF(D$17=FALSE,"",GasData(GasAnalyser,'Horiba Data'!S28,'Testo, JUM &amp; MRU Data'!D29,'Thermo Data'!E28,'Testo, JUM &amp; MRU Data'!U29,GDF))</f>
        <v/>
      </c>
      <c r="E35" s="981" t="str">
        <f>IF(D35="","",Conc2(D35,D$9,MolVol,D$21,D$20,E$21,E$20))</f>
        <v/>
      </c>
      <c r="F35" s="981" t="str">
        <f>IF(F$17=FALSE,"",GasData(GasAnalyser,'Horiba Data'!AQ28,'Testo, JUM &amp; MRU Data'!E29,'Thermo Data'!F28,'Testo, JUM &amp; MRU Data'!V29,GDF))</f>
        <v/>
      </c>
      <c r="G35" s="981" t="str">
        <f>IF(F35="","",Conc2(F35,F$9,MolVol,F$21,F$20,G$21,G$20))</f>
        <v/>
      </c>
      <c r="H35" s="981" t="str">
        <f>IF(D$17=FALSE,"",IF(F$17=FALSE,"",GasData(GasAnalyser,'Horiba Data'!W28,'Testo, JUM &amp; MRU Data'!F29,'Thermo Data'!G28,'Testo, JUM &amp; MRU Data'!Y29,GDF)))</f>
        <v/>
      </c>
      <c r="I35" s="981" t="str">
        <f>IF(H35="","",Conc2(H35,H$9,MolVol,H$21,H$20,I$21,I$20))</f>
        <v/>
      </c>
      <c r="J35" s="981" t="str">
        <f>IF(J$17=FALSE,"",GasData(GasAnalyser,'Horiba Data'!AM28,'Testo, JUM &amp; MRU Data'!G29,'Thermo Data'!H28,'Testo, JUM &amp; MRU Data'!W29,GDF))</f>
        <v/>
      </c>
      <c r="K35" s="981" t="str">
        <f>IF(J35="","",Conc2(J35,J$9,MolVol,J$21,J$20,K$21,K$20))</f>
        <v/>
      </c>
      <c r="L35" s="981" t="str">
        <f>IF(L$17=FALSE,"",GasData(GasAnalyser,'Horiba Data'!AA28,'Testo, JUM &amp; MRU Data'!H29,'Thermo Data'!I28,'Testo, JUM &amp; MRU Data'!T29,GDF))</f>
        <v/>
      </c>
      <c r="M35" s="981" t="str">
        <f>IF(L35="","",Conc2(L35,L$9,MolVol,L$21,L$20,M$21,M$20))</f>
        <v/>
      </c>
      <c r="N35" s="981" t="str">
        <f>IF(N$17=FALSE,"",GasData(GasAnalyser,'Horiba Data'!AE28,'Testo, JUM &amp; MRU Data'!I29,'Thermo Data'!J28,'Testo, JUM &amp; MRU Data'!S29,GDF))</f>
        <v/>
      </c>
      <c r="O35" s="981" t="str">
        <f>IF(N35="","",Conc2(N35,N$9,MolVol,N$21,N$20,O$21,O$20))</f>
        <v/>
      </c>
      <c r="P35" s="981" t="str">
        <f>IF(P$17=FALSE,"",GasData(GasAnalyser,'Horiba Data'!AI28,'Testo, JUM &amp; MRU Data'!J29,'Thermo Data'!K28,'Testo, JUM &amp; MRU Data'!R29,GDF))</f>
        <v/>
      </c>
      <c r="Q35" s="981" t="str">
        <f>IF(P35="","",Conc2(P35,P$9,MolVol,P$21,P$20,Q$21,Q$20))</f>
        <v/>
      </c>
      <c r="R35" s="981" t="str">
        <f>IF(R$17=FALSE,"",JUMData('Testo, JUM &amp; MRU Data'!M29,$R$7))</f>
        <v/>
      </c>
      <c r="S35" s="982" t="str">
        <f>IF(R35="","",Conc2(R35,R$9,MolVol,R$21,R$20,S$21,S$20)/(1-Bws))</f>
        <v/>
      </c>
      <c r="T35" s="712"/>
      <c r="AR35" s="334"/>
      <c r="AS35" s="334"/>
      <c r="AT35" s="48"/>
      <c r="AU35" s="48"/>
      <c r="AV35" s="153"/>
      <c r="AW35" s="153"/>
      <c r="AX35" s="153"/>
      <c r="AY35" s="153"/>
      <c r="AZ35" s="153"/>
      <c r="BA35" s="153"/>
      <c r="BB35" s="153"/>
      <c r="BC35" s="153"/>
      <c r="BD35" s="153"/>
      <c r="BE35" s="153"/>
      <c r="BF35" s="153"/>
      <c r="BG35" s="153"/>
      <c r="BH35" s="153"/>
      <c r="BI35" s="153"/>
      <c r="BJ35" s="153"/>
      <c r="BK35" s="153"/>
      <c r="BL35" s="153"/>
      <c r="BM35" s="153"/>
      <c r="BN35" s="153"/>
      <c r="BO35" s="153"/>
      <c r="BP35" s="153"/>
      <c r="BQ35" s="153"/>
      <c r="BR35" s="153"/>
      <c r="BS35" s="153"/>
      <c r="BT35" s="153"/>
      <c r="BU35" s="153"/>
      <c r="BV35" s="153"/>
      <c r="BW35" s="153"/>
      <c r="BX35" s="153"/>
      <c r="BY35" s="153"/>
      <c r="BZ35" s="153"/>
      <c r="CA35" s="153"/>
      <c r="CB35" s="153"/>
      <c r="CC35" s="153"/>
      <c r="CD35" s="153"/>
      <c r="CE35" s="153"/>
      <c r="CF35" s="153"/>
      <c r="CG35" s="153"/>
      <c r="CH35" s="153"/>
      <c r="CI35" s="153"/>
      <c r="CJ35" s="153"/>
      <c r="CK35" s="153"/>
      <c r="CL35" s="153"/>
      <c r="CM35" s="153"/>
      <c r="CN35" s="153"/>
      <c r="CO35" s="153"/>
      <c r="CP35" s="153"/>
      <c r="CQ35" s="153"/>
      <c r="CR35" s="153"/>
      <c r="CS35" s="153"/>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c r="ED35" s="153"/>
      <c r="EE35" s="153"/>
      <c r="EF35" s="153"/>
      <c r="EG35" s="153"/>
      <c r="EH35" s="153"/>
      <c r="EI35" s="153"/>
      <c r="EJ35" s="153"/>
      <c r="EK35" s="153"/>
      <c r="EL35" s="153"/>
      <c r="EM35" s="153"/>
    </row>
    <row r="36" spans="1:143" s="107" customFormat="1" ht="10.5" customHeight="1">
      <c r="A36" s="1140">
        <v>11</v>
      </c>
      <c r="B36" s="1560" t="str">
        <f t="shared" si="2"/>
        <v/>
      </c>
      <c r="C36" s="161" t="str">
        <f>GasTime(GasAnalyser,'Horiba Data'!F29,'Horiba Data'!G29,'Testo, JUM &amp; MRU Data'!A30,'Thermo Data'!B29,HourOffset)</f>
        <v/>
      </c>
      <c r="D36" s="981" t="str">
        <f>IF(D$17=FALSE,"",GasData(GasAnalyser,'Horiba Data'!S29,'Testo, JUM &amp; MRU Data'!D30,'Thermo Data'!E29,'Testo, JUM &amp; MRU Data'!U30,GDF))</f>
        <v/>
      </c>
      <c r="E36" s="981" t="str">
        <f>IF(D36="","",Conc2(D36,D$9,MolVol,D$21,D$20,E$21,E$20))</f>
        <v/>
      </c>
      <c r="F36" s="981" t="str">
        <f>IF(F$17=FALSE,"",GasData(GasAnalyser,'Horiba Data'!AQ29,'Testo, JUM &amp; MRU Data'!E30,'Thermo Data'!F29,'Testo, JUM &amp; MRU Data'!V30,GDF))</f>
        <v/>
      </c>
      <c r="G36" s="981" t="str">
        <f>IF(F36="","",Conc2(F36,F$9,MolVol,F$21,F$20,G$21,G$20))</f>
        <v/>
      </c>
      <c r="H36" s="981" t="str">
        <f>IF(D$17=FALSE,"",IF(F$17=FALSE,"",GasData(GasAnalyser,'Horiba Data'!W29,'Testo, JUM &amp; MRU Data'!F30,'Thermo Data'!G29,'Testo, JUM &amp; MRU Data'!Y30,GDF)))</f>
        <v/>
      </c>
      <c r="I36" s="981" t="str">
        <f>IF(H36="","",Conc2(H36,H$9,MolVol,H$21,H$20,I$21,I$20))</f>
        <v/>
      </c>
      <c r="J36" s="981" t="str">
        <f>IF(J$17=FALSE,"",GasData(GasAnalyser,'Horiba Data'!AM29,'Testo, JUM &amp; MRU Data'!G30,'Thermo Data'!H29,'Testo, JUM &amp; MRU Data'!W30,GDF))</f>
        <v/>
      </c>
      <c r="K36" s="981" t="str">
        <f>IF(J36="","",Conc2(J36,J$9,MolVol,J$21,J$20,K$21,K$20))</f>
        <v/>
      </c>
      <c r="L36" s="981" t="str">
        <f>IF(L$17=FALSE,"",GasData(GasAnalyser,'Horiba Data'!AA29,'Testo, JUM &amp; MRU Data'!H30,'Thermo Data'!I29,'Testo, JUM &amp; MRU Data'!T30,GDF))</f>
        <v/>
      </c>
      <c r="M36" s="981" t="str">
        <f>IF(L36="","",Conc2(L36,L$9,MolVol,L$21,L$20,M$21,M$20))</f>
        <v/>
      </c>
      <c r="N36" s="981" t="str">
        <f>IF(N$17=FALSE,"",GasData(GasAnalyser,'Horiba Data'!AE29,'Testo, JUM &amp; MRU Data'!I30,'Thermo Data'!J29,'Testo, JUM &amp; MRU Data'!S30,GDF))</f>
        <v/>
      </c>
      <c r="O36" s="981" t="str">
        <f>IF(N36="","",Conc2(N36,N$9,MolVol,N$21,N$20,O$21,O$20))</f>
        <v/>
      </c>
      <c r="P36" s="981" t="str">
        <f>IF(P$17=FALSE,"",GasData(GasAnalyser,'Horiba Data'!AI29,'Testo, JUM &amp; MRU Data'!J30,'Thermo Data'!K29,'Testo, JUM &amp; MRU Data'!R30,GDF))</f>
        <v/>
      </c>
      <c r="Q36" s="981" t="str">
        <f>IF(P36="","",Conc2(P36,P$9,MolVol,P$21,P$20,Q$21,Q$20))</f>
        <v/>
      </c>
      <c r="R36" s="981" t="str">
        <f>IF(R$17=FALSE,"",JUMData('Testo, JUM &amp; MRU Data'!M30,$R$7))</f>
        <v/>
      </c>
      <c r="S36" s="982" t="str">
        <f>IF(R36="","",Conc2(R36,R$9,MolVol,R$21,R$20,S$21,S$20)/(1-Bws))</f>
        <v/>
      </c>
      <c r="T36" s="712"/>
      <c r="AR36" s="334"/>
      <c r="AS36" s="334"/>
      <c r="AT36" s="48"/>
      <c r="AU36" s="48"/>
      <c r="AV36" s="153"/>
      <c r="AW36" s="153"/>
      <c r="AX36" s="153"/>
      <c r="AY36" s="153"/>
      <c r="AZ36" s="153"/>
      <c r="BA36" s="153"/>
      <c r="BB36" s="153"/>
      <c r="BC36" s="153"/>
      <c r="BD36" s="153"/>
      <c r="BE36" s="153"/>
      <c r="BF36" s="153"/>
      <c r="BG36" s="153"/>
      <c r="BH36" s="153"/>
      <c r="BI36" s="153"/>
      <c r="BJ36" s="153"/>
      <c r="BK36" s="153"/>
      <c r="BL36" s="153"/>
      <c r="BM36" s="153"/>
      <c r="BN36" s="153"/>
      <c r="BO36" s="153"/>
      <c r="BP36" s="153"/>
      <c r="BQ36" s="153"/>
      <c r="BR36" s="153"/>
      <c r="BS36" s="153"/>
      <c r="BT36" s="153"/>
      <c r="BU36" s="153"/>
      <c r="BV36" s="153"/>
      <c r="BW36" s="153"/>
      <c r="BX36" s="153"/>
      <c r="BY36" s="153"/>
      <c r="BZ36" s="153"/>
      <c r="CA36" s="153"/>
      <c r="CB36" s="153"/>
      <c r="CC36" s="153"/>
      <c r="CD36" s="153"/>
      <c r="CE36" s="153"/>
      <c r="CF36" s="153"/>
      <c r="CG36" s="153"/>
      <c r="CH36" s="153"/>
      <c r="CI36" s="153"/>
      <c r="CJ36" s="153"/>
      <c r="CK36" s="153"/>
      <c r="CL36" s="153"/>
      <c r="CM36" s="153"/>
      <c r="CN36" s="153"/>
      <c r="CO36" s="153"/>
      <c r="CP36" s="153"/>
      <c r="CQ36" s="153"/>
      <c r="CR36" s="153"/>
      <c r="CS36" s="153"/>
      <c r="CT36" s="153"/>
      <c r="CU36" s="153"/>
      <c r="CV36" s="153"/>
      <c r="CW36" s="153"/>
      <c r="CX36" s="153"/>
      <c r="CY36" s="153"/>
      <c r="CZ36" s="153"/>
      <c r="DA36" s="153"/>
      <c r="DB36" s="153"/>
      <c r="DC36" s="153"/>
      <c r="DD36" s="153"/>
      <c r="DE36" s="153"/>
      <c r="DF36" s="153"/>
      <c r="DG36" s="153"/>
      <c r="DH36" s="153"/>
      <c r="DI36" s="153"/>
      <c r="DJ36" s="153"/>
      <c r="DK36" s="153"/>
      <c r="DL36" s="153"/>
      <c r="DM36" s="153"/>
      <c r="DN36" s="153"/>
      <c r="DO36" s="153"/>
      <c r="DP36" s="153"/>
      <c r="DQ36" s="153"/>
      <c r="DR36" s="153"/>
      <c r="DS36" s="153"/>
      <c r="DT36" s="153"/>
      <c r="DU36" s="153"/>
      <c r="DV36" s="153"/>
      <c r="DW36" s="153"/>
      <c r="DX36" s="153"/>
      <c r="DY36" s="153"/>
      <c r="DZ36" s="153"/>
      <c r="EA36" s="153"/>
      <c r="EB36" s="153"/>
      <c r="EC36" s="153"/>
      <c r="ED36" s="153"/>
      <c r="EE36" s="153"/>
      <c r="EF36" s="153"/>
      <c r="EG36" s="153"/>
      <c r="EH36" s="153"/>
      <c r="EI36" s="153"/>
      <c r="EJ36" s="153"/>
      <c r="EK36" s="153"/>
      <c r="EL36" s="153"/>
      <c r="EM36" s="153"/>
    </row>
    <row r="37" spans="1:143" s="107" customFormat="1" ht="10.5" customHeight="1">
      <c r="A37" s="1140">
        <v>12</v>
      </c>
      <c r="B37" s="1560" t="str">
        <f t="shared" si="2"/>
        <v/>
      </c>
      <c r="C37" s="161" t="str">
        <f>GasTime(GasAnalyser,'Horiba Data'!F30,'Horiba Data'!G30,'Testo, JUM &amp; MRU Data'!A31,'Thermo Data'!B30,HourOffset)</f>
        <v/>
      </c>
      <c r="D37" s="981" t="str">
        <f>IF(D$17=FALSE,"",GasData(GasAnalyser,'Horiba Data'!S30,'Testo, JUM &amp; MRU Data'!D31,'Thermo Data'!E30,'Testo, JUM &amp; MRU Data'!U31,GDF))</f>
        <v/>
      </c>
      <c r="E37" s="981" t="str">
        <f>IF(D37="","",Conc2(D37,D$9,MolVol,D$21,D$20,E$21,E$20))</f>
        <v/>
      </c>
      <c r="F37" s="981" t="str">
        <f>IF(F$17=FALSE,"",GasData(GasAnalyser,'Horiba Data'!AQ30,'Testo, JUM &amp; MRU Data'!E31,'Thermo Data'!F30,'Testo, JUM &amp; MRU Data'!V31,GDF))</f>
        <v/>
      </c>
      <c r="G37" s="981" t="str">
        <f>IF(F37="","",Conc2(F37,F$9,MolVol,F$21,F$20,G$21,G$20))</f>
        <v/>
      </c>
      <c r="H37" s="981" t="str">
        <f>IF(D$17=FALSE,"",IF(F$17=FALSE,"",GasData(GasAnalyser,'Horiba Data'!W30,'Testo, JUM &amp; MRU Data'!F31,'Thermo Data'!G30,'Testo, JUM &amp; MRU Data'!Y31,GDF)))</f>
        <v/>
      </c>
      <c r="I37" s="981" t="str">
        <f>IF(H37="","",Conc2(H37,H$9,MolVol,H$21,H$20,I$21,I$20))</f>
        <v/>
      </c>
      <c r="J37" s="981" t="str">
        <f>IF(J$17=FALSE,"",GasData(GasAnalyser,'Horiba Data'!AM30,'Testo, JUM &amp; MRU Data'!G31,'Thermo Data'!H30,'Testo, JUM &amp; MRU Data'!W31,GDF))</f>
        <v/>
      </c>
      <c r="K37" s="981" t="str">
        <f>IF(J37="","",Conc2(J37,J$9,MolVol,J$21,J$20,K$21,K$20))</f>
        <v/>
      </c>
      <c r="L37" s="981" t="str">
        <f>IF(L$17=FALSE,"",GasData(GasAnalyser,'Horiba Data'!AA30,'Testo, JUM &amp; MRU Data'!H31,'Thermo Data'!I30,'Testo, JUM &amp; MRU Data'!T31,GDF))</f>
        <v/>
      </c>
      <c r="M37" s="981" t="str">
        <f>IF(L37="","",Conc2(L37,L$9,MolVol,L$21,L$20,M$21,M$20))</f>
        <v/>
      </c>
      <c r="N37" s="981" t="str">
        <f>IF(N$17=FALSE,"",GasData(GasAnalyser,'Horiba Data'!AE30,'Testo, JUM &amp; MRU Data'!I31,'Thermo Data'!J30,'Testo, JUM &amp; MRU Data'!S31,GDF))</f>
        <v/>
      </c>
      <c r="O37" s="981" t="str">
        <f>IF(N37="","",Conc2(N37,N$9,MolVol,N$21,N$20,O$21,O$20))</f>
        <v/>
      </c>
      <c r="P37" s="981" t="str">
        <f>IF(P$17=FALSE,"",GasData(GasAnalyser,'Horiba Data'!AI30,'Testo, JUM &amp; MRU Data'!J31,'Thermo Data'!K30,'Testo, JUM &amp; MRU Data'!R31,GDF))</f>
        <v/>
      </c>
      <c r="Q37" s="981" t="str">
        <f>IF(P37="","",Conc2(P37,P$9,MolVol,P$21,P$20,Q$21,Q$20))</f>
        <v/>
      </c>
      <c r="R37" s="981" t="str">
        <f>IF(R$17=FALSE,"",JUMData('Testo, JUM &amp; MRU Data'!M31,$R$7))</f>
        <v/>
      </c>
      <c r="S37" s="982" t="str">
        <f>IF(R37="","",Conc2(R37,R$9,MolVol,R$21,R$20,S$21,S$20)/(1-Bws))</f>
        <v/>
      </c>
      <c r="T37" s="712"/>
      <c r="AR37" s="334"/>
      <c r="AS37" s="334"/>
      <c r="AT37" s="48"/>
      <c r="AU37" s="48"/>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3"/>
      <c r="CP37" s="153"/>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row>
    <row r="38" spans="1:143" s="107" customFormat="1" ht="10.5" customHeight="1">
      <c r="A38" s="1140">
        <v>13</v>
      </c>
      <c r="B38" s="1560" t="str">
        <f t="shared" si="2"/>
        <v/>
      </c>
      <c r="C38" s="161" t="str">
        <f>GasTime(GasAnalyser,'Horiba Data'!F31,'Horiba Data'!G31,'Testo, JUM &amp; MRU Data'!A32,'Thermo Data'!B31,HourOffset)</f>
        <v/>
      </c>
      <c r="D38" s="981" t="str">
        <f>IF(D$17=FALSE,"",GasData(GasAnalyser,'Horiba Data'!S31,'Testo, JUM &amp; MRU Data'!D32,'Thermo Data'!E31,'Testo, JUM &amp; MRU Data'!U32,GDF))</f>
        <v/>
      </c>
      <c r="E38" s="981" t="str">
        <f>IF(D38="","",Conc2(D38,D$9,MolVol,D$21,D$20,E$21,E$20))</f>
        <v/>
      </c>
      <c r="F38" s="981" t="str">
        <f>IF(F$17=FALSE,"",GasData(GasAnalyser,'Horiba Data'!AQ31,'Testo, JUM &amp; MRU Data'!E32,'Thermo Data'!F31,'Testo, JUM &amp; MRU Data'!V32,GDF))</f>
        <v/>
      </c>
      <c r="G38" s="981" t="str">
        <f>IF(F38="","",Conc2(F38,F$9,MolVol,F$21,F$20,G$21,G$20))</f>
        <v/>
      </c>
      <c r="H38" s="981" t="str">
        <f>IF(D$17=FALSE,"",IF(F$17=FALSE,"",GasData(GasAnalyser,'Horiba Data'!W31,'Testo, JUM &amp; MRU Data'!F32,'Thermo Data'!G31,'Testo, JUM &amp; MRU Data'!Y32,GDF)))</f>
        <v/>
      </c>
      <c r="I38" s="981" t="str">
        <f>IF(H38="","",Conc2(H38,H$9,MolVol,H$21,H$20,I$21,I$20))</f>
        <v/>
      </c>
      <c r="J38" s="981" t="str">
        <f>IF(J$17=FALSE,"",GasData(GasAnalyser,'Horiba Data'!AM31,'Testo, JUM &amp; MRU Data'!G32,'Thermo Data'!H31,'Testo, JUM &amp; MRU Data'!W32,GDF))</f>
        <v/>
      </c>
      <c r="K38" s="981" t="str">
        <f>IF(J38="","",Conc2(J38,J$9,MolVol,J$21,J$20,K$21,K$20))</f>
        <v/>
      </c>
      <c r="L38" s="981" t="str">
        <f>IF(L$17=FALSE,"",GasData(GasAnalyser,'Horiba Data'!AA31,'Testo, JUM &amp; MRU Data'!H32,'Thermo Data'!I31,'Testo, JUM &amp; MRU Data'!T32,GDF))</f>
        <v/>
      </c>
      <c r="M38" s="981" t="str">
        <f>IF(L38="","",Conc2(L38,L$9,MolVol,L$21,L$20,M$21,M$20))</f>
        <v/>
      </c>
      <c r="N38" s="981" t="str">
        <f>IF(N$17=FALSE,"",GasData(GasAnalyser,'Horiba Data'!AE31,'Testo, JUM &amp; MRU Data'!I32,'Thermo Data'!J31,'Testo, JUM &amp; MRU Data'!S32,GDF))</f>
        <v/>
      </c>
      <c r="O38" s="981" t="str">
        <f>IF(N38="","",Conc2(N38,N$9,MolVol,N$21,N$20,O$21,O$20))</f>
        <v/>
      </c>
      <c r="P38" s="981" t="str">
        <f>IF(P$17=FALSE,"",GasData(GasAnalyser,'Horiba Data'!AI31,'Testo, JUM &amp; MRU Data'!J32,'Thermo Data'!K31,'Testo, JUM &amp; MRU Data'!R32,GDF))</f>
        <v/>
      </c>
      <c r="Q38" s="981" t="str">
        <f>IF(P38="","",Conc2(P38,P$9,MolVol,P$21,P$20,Q$21,Q$20))</f>
        <v/>
      </c>
      <c r="R38" s="981" t="str">
        <f>IF(R$17=FALSE,"",JUMData('Testo, JUM &amp; MRU Data'!M32,$R$7))</f>
        <v/>
      </c>
      <c r="S38" s="982" t="str">
        <f>IF(R38="","",Conc2(R38,R$9,MolVol,R$21,R$20,S$21,S$20)/(1-Bws))</f>
        <v/>
      </c>
      <c r="T38" s="712"/>
      <c r="AR38" s="334"/>
      <c r="AS38" s="334"/>
      <c r="AT38" s="48"/>
      <c r="AU38" s="48"/>
      <c r="AV38" s="153"/>
      <c r="AW38" s="153"/>
      <c r="AX38" s="153"/>
      <c r="AY38" s="153"/>
      <c r="AZ38" s="153"/>
      <c r="BA38" s="153"/>
      <c r="BB38" s="153"/>
      <c r="BC38" s="153"/>
      <c r="BD38" s="153"/>
      <c r="BE38" s="153"/>
      <c r="BF38" s="153"/>
      <c r="BG38" s="153"/>
      <c r="BH38" s="153"/>
      <c r="BI38" s="153"/>
      <c r="BJ38" s="153"/>
      <c r="BK38" s="153"/>
      <c r="BL38" s="153"/>
      <c r="BM38" s="153"/>
      <c r="BN38" s="153"/>
      <c r="BO38" s="153"/>
      <c r="BP38" s="153"/>
      <c r="BQ38" s="153"/>
      <c r="BR38" s="153"/>
      <c r="BS38" s="153"/>
      <c r="BT38" s="153"/>
      <c r="BU38" s="153"/>
      <c r="BV38" s="153"/>
      <c r="BW38" s="153"/>
      <c r="BX38" s="153"/>
      <c r="BY38" s="153"/>
      <c r="BZ38" s="153"/>
      <c r="CA38" s="153"/>
      <c r="CB38" s="153"/>
      <c r="CC38" s="153"/>
      <c r="CD38" s="153"/>
      <c r="CE38" s="153"/>
      <c r="CF38" s="153"/>
      <c r="CG38" s="153"/>
      <c r="CH38" s="153"/>
      <c r="CI38" s="153"/>
      <c r="CJ38" s="153"/>
      <c r="CK38" s="153"/>
      <c r="CL38" s="153"/>
      <c r="CM38" s="153"/>
      <c r="CN38" s="153"/>
      <c r="CO38" s="153"/>
      <c r="CP38" s="153"/>
      <c r="CQ38" s="153"/>
      <c r="CR38" s="153"/>
      <c r="CS38" s="153"/>
      <c r="CT38" s="153"/>
      <c r="CU38" s="153"/>
      <c r="CV38" s="153"/>
      <c r="CW38" s="153"/>
      <c r="CX38" s="153"/>
      <c r="CY38" s="153"/>
      <c r="CZ38" s="153"/>
      <c r="DA38" s="153"/>
      <c r="DB38" s="153"/>
      <c r="DC38" s="153"/>
      <c r="DD38" s="153"/>
      <c r="DE38" s="153"/>
      <c r="DF38" s="153"/>
      <c r="DG38" s="153"/>
      <c r="DH38" s="153"/>
      <c r="DI38" s="153"/>
      <c r="DJ38" s="153"/>
      <c r="DK38" s="153"/>
      <c r="DL38" s="153"/>
      <c r="DM38" s="153"/>
      <c r="DN38" s="153"/>
      <c r="DO38" s="153"/>
      <c r="DP38" s="153"/>
      <c r="DQ38" s="153"/>
      <c r="DR38" s="153"/>
      <c r="DS38" s="153"/>
      <c r="DT38" s="153"/>
      <c r="DU38" s="153"/>
      <c r="DV38" s="153"/>
      <c r="DW38" s="153"/>
      <c r="DX38" s="153"/>
      <c r="DY38" s="153"/>
      <c r="DZ38" s="153"/>
      <c r="EA38" s="153"/>
      <c r="EB38" s="153"/>
      <c r="EC38" s="153"/>
      <c r="ED38" s="153"/>
      <c r="EE38" s="153"/>
      <c r="EF38" s="153"/>
      <c r="EG38" s="153"/>
      <c r="EH38" s="153"/>
      <c r="EI38" s="153"/>
      <c r="EJ38" s="153"/>
      <c r="EK38" s="153"/>
      <c r="EL38" s="153"/>
      <c r="EM38" s="153"/>
    </row>
    <row r="39" spans="1:143" s="107" customFormat="1" ht="10.5" customHeight="1">
      <c r="A39" s="1140">
        <v>14</v>
      </c>
      <c r="B39" s="1560" t="str">
        <f t="shared" si="2"/>
        <v/>
      </c>
      <c r="C39" s="161" t="str">
        <f>GasTime(GasAnalyser,'Horiba Data'!F32,'Horiba Data'!G32,'Testo, JUM &amp; MRU Data'!A33,'Thermo Data'!B32,HourOffset)</f>
        <v/>
      </c>
      <c r="D39" s="981" t="str">
        <f>IF(D$17=FALSE,"",GasData(GasAnalyser,'Horiba Data'!S32,'Testo, JUM &amp; MRU Data'!D33,'Thermo Data'!E32,'Testo, JUM &amp; MRU Data'!U33,GDF))</f>
        <v/>
      </c>
      <c r="E39" s="981" t="str">
        <f>IF(D39="","",Conc2(D39,D$9,MolVol,D$21,D$20,E$21,E$20))</f>
        <v/>
      </c>
      <c r="F39" s="981" t="str">
        <f>IF(F$17=FALSE,"",GasData(GasAnalyser,'Horiba Data'!AQ32,'Testo, JUM &amp; MRU Data'!E33,'Thermo Data'!F32,'Testo, JUM &amp; MRU Data'!V33,GDF))</f>
        <v/>
      </c>
      <c r="G39" s="981" t="str">
        <f>IF(F39="","",Conc2(F39,F$9,MolVol,F$21,F$20,G$21,G$20))</f>
        <v/>
      </c>
      <c r="H39" s="981" t="str">
        <f>IF(D$17=FALSE,"",IF(F$17=FALSE,"",GasData(GasAnalyser,'Horiba Data'!W32,'Testo, JUM &amp; MRU Data'!F33,'Thermo Data'!G32,'Testo, JUM &amp; MRU Data'!Y33,GDF)))</f>
        <v/>
      </c>
      <c r="I39" s="981" t="str">
        <f>IF(H39="","",Conc2(H39,H$9,MolVol,H$21,H$20,I$21,I$20))</f>
        <v/>
      </c>
      <c r="J39" s="981" t="str">
        <f>IF(J$17=FALSE,"",GasData(GasAnalyser,'Horiba Data'!AM32,'Testo, JUM &amp; MRU Data'!G33,'Thermo Data'!H32,'Testo, JUM &amp; MRU Data'!W33,GDF))</f>
        <v/>
      </c>
      <c r="K39" s="981" t="str">
        <f>IF(J39="","",Conc2(J39,J$9,MolVol,J$21,J$20,K$21,K$20))</f>
        <v/>
      </c>
      <c r="L39" s="981" t="str">
        <f>IF(L$17=FALSE,"",GasData(GasAnalyser,'Horiba Data'!AA32,'Testo, JUM &amp; MRU Data'!H33,'Thermo Data'!I32,'Testo, JUM &amp; MRU Data'!T33,GDF))</f>
        <v/>
      </c>
      <c r="M39" s="981" t="str">
        <f>IF(L39="","",Conc2(L39,L$9,MolVol,L$21,L$20,M$21,M$20))</f>
        <v/>
      </c>
      <c r="N39" s="981" t="str">
        <f>IF(N$17=FALSE,"",GasData(GasAnalyser,'Horiba Data'!AE32,'Testo, JUM &amp; MRU Data'!I33,'Thermo Data'!J32,'Testo, JUM &amp; MRU Data'!S33,GDF))</f>
        <v/>
      </c>
      <c r="O39" s="981" t="str">
        <f>IF(N39="","",Conc2(N39,N$9,MolVol,N$21,N$20,O$21,O$20))</f>
        <v/>
      </c>
      <c r="P39" s="981" t="str">
        <f>IF(P$17=FALSE,"",GasData(GasAnalyser,'Horiba Data'!AI32,'Testo, JUM &amp; MRU Data'!J33,'Thermo Data'!K32,'Testo, JUM &amp; MRU Data'!R33,GDF))</f>
        <v/>
      </c>
      <c r="Q39" s="981" t="str">
        <f>IF(P39="","",Conc2(P39,P$9,MolVol,P$21,P$20,Q$21,Q$20))</f>
        <v/>
      </c>
      <c r="R39" s="981" t="str">
        <f>IF(R$17=FALSE,"",JUMData('Testo, JUM &amp; MRU Data'!M33,$R$7))</f>
        <v/>
      </c>
      <c r="S39" s="982" t="str">
        <f>IF(R39="","",Conc2(R39,R$9,MolVol,R$21,R$20,S$21,S$20)/(1-Bws))</f>
        <v/>
      </c>
      <c r="T39" s="712"/>
      <c r="AR39" s="334"/>
      <c r="AS39" s="334"/>
      <c r="AT39" s="48"/>
      <c r="AU39" s="48"/>
      <c r="AV39" s="153"/>
      <c r="AW39" s="153"/>
      <c r="AX39" s="153"/>
      <c r="AY39" s="153"/>
      <c r="AZ39" s="153"/>
      <c r="BA39" s="153"/>
      <c r="BB39" s="153"/>
      <c r="BC39" s="153"/>
      <c r="BD39" s="153"/>
      <c r="BE39" s="153"/>
      <c r="BF39" s="153"/>
      <c r="BG39" s="153"/>
      <c r="BH39" s="153"/>
      <c r="BI39" s="153"/>
      <c r="BJ39" s="153"/>
      <c r="BK39" s="153"/>
      <c r="BL39" s="153"/>
      <c r="BM39" s="153"/>
      <c r="BN39" s="153"/>
      <c r="BO39" s="153"/>
      <c r="BP39" s="153"/>
      <c r="BQ39" s="153"/>
      <c r="BR39" s="153"/>
      <c r="BS39" s="153"/>
      <c r="BT39" s="153"/>
      <c r="BU39" s="153"/>
      <c r="BV39" s="153"/>
      <c r="BW39" s="153"/>
      <c r="BX39" s="153"/>
      <c r="BY39" s="153"/>
      <c r="BZ39" s="153"/>
      <c r="CA39" s="153"/>
      <c r="CB39" s="153"/>
      <c r="CC39" s="153"/>
      <c r="CD39" s="153"/>
      <c r="CE39" s="153"/>
      <c r="CF39" s="153"/>
      <c r="CG39" s="153"/>
      <c r="CH39" s="153"/>
      <c r="CI39" s="153"/>
      <c r="CJ39" s="153"/>
      <c r="CK39" s="153"/>
      <c r="CL39" s="153"/>
      <c r="CM39" s="153"/>
      <c r="CN39" s="153"/>
      <c r="CO39" s="153"/>
      <c r="CP39" s="153"/>
      <c r="CQ39" s="153"/>
      <c r="CR39" s="153"/>
      <c r="CS39" s="153"/>
      <c r="CT39" s="153"/>
      <c r="CU39" s="153"/>
      <c r="CV39" s="153"/>
      <c r="CW39" s="153"/>
      <c r="CX39" s="153"/>
      <c r="CY39" s="153"/>
      <c r="CZ39" s="153"/>
      <c r="DA39" s="153"/>
      <c r="DB39" s="153"/>
      <c r="DC39" s="153"/>
      <c r="DD39" s="153"/>
      <c r="DE39" s="153"/>
      <c r="DF39" s="153"/>
      <c r="DG39" s="153"/>
      <c r="DH39" s="153"/>
      <c r="DI39" s="153"/>
      <c r="DJ39" s="153"/>
      <c r="DK39" s="153"/>
      <c r="DL39" s="153"/>
      <c r="DM39" s="153"/>
      <c r="DN39" s="153"/>
      <c r="DO39" s="153"/>
      <c r="DP39" s="153"/>
      <c r="DQ39" s="153"/>
      <c r="DR39" s="153"/>
      <c r="DS39" s="153"/>
      <c r="DT39" s="153"/>
      <c r="DU39" s="153"/>
      <c r="DV39" s="153"/>
      <c r="DW39" s="153"/>
      <c r="DX39" s="153"/>
      <c r="DY39" s="153"/>
      <c r="DZ39" s="153"/>
      <c r="EA39" s="153"/>
      <c r="EB39" s="153"/>
      <c r="EC39" s="153"/>
      <c r="ED39" s="153"/>
      <c r="EE39" s="153"/>
      <c r="EF39" s="153"/>
      <c r="EG39" s="153"/>
      <c r="EH39" s="153"/>
      <c r="EI39" s="153"/>
      <c r="EJ39" s="153"/>
      <c r="EK39" s="153"/>
      <c r="EL39" s="153"/>
      <c r="EM39" s="153"/>
    </row>
    <row r="40" spans="1:143" s="107" customFormat="1" ht="10.5" customHeight="1">
      <c r="A40" s="1140">
        <v>15</v>
      </c>
      <c r="B40" s="1560" t="str">
        <f t="shared" si="2"/>
        <v/>
      </c>
      <c r="C40" s="161" t="str">
        <f>GasTime(GasAnalyser,'Horiba Data'!F33,'Horiba Data'!G33,'Testo, JUM &amp; MRU Data'!A34,'Thermo Data'!B33,HourOffset)</f>
        <v/>
      </c>
      <c r="D40" s="981" t="str">
        <f>IF(D$17=FALSE,"",GasData(GasAnalyser,'Horiba Data'!S33,'Testo, JUM &amp; MRU Data'!D34,'Thermo Data'!E33,'Testo, JUM &amp; MRU Data'!U34,GDF))</f>
        <v/>
      </c>
      <c r="E40" s="981" t="str">
        <f>IF(D40="","",Conc2(D40,D$9,MolVol,D$21,D$20,E$21,E$20))</f>
        <v/>
      </c>
      <c r="F40" s="981" t="str">
        <f>IF(F$17=FALSE,"",GasData(GasAnalyser,'Horiba Data'!AQ33,'Testo, JUM &amp; MRU Data'!E34,'Thermo Data'!F33,'Testo, JUM &amp; MRU Data'!V34,GDF))</f>
        <v/>
      </c>
      <c r="G40" s="981" t="str">
        <f>IF(F40="","",Conc2(F40,F$9,MolVol,F$21,F$20,G$21,G$20))</f>
        <v/>
      </c>
      <c r="H40" s="981" t="str">
        <f>IF(D$17=FALSE,"",IF(F$17=FALSE,"",GasData(GasAnalyser,'Horiba Data'!W33,'Testo, JUM &amp; MRU Data'!F34,'Thermo Data'!G33,'Testo, JUM &amp; MRU Data'!Y34,GDF)))</f>
        <v/>
      </c>
      <c r="I40" s="981" t="str">
        <f>IF(H40="","",Conc2(H40,H$9,MolVol,H$21,H$20,I$21,I$20))</f>
        <v/>
      </c>
      <c r="J40" s="981" t="str">
        <f>IF(J$17=FALSE,"",GasData(GasAnalyser,'Horiba Data'!AM33,'Testo, JUM &amp; MRU Data'!G34,'Thermo Data'!H33,'Testo, JUM &amp; MRU Data'!W34,GDF))</f>
        <v/>
      </c>
      <c r="K40" s="981" t="str">
        <f>IF(J40="","",Conc2(J40,J$9,MolVol,J$21,J$20,K$21,K$20))</f>
        <v/>
      </c>
      <c r="L40" s="981" t="str">
        <f>IF(L$17=FALSE,"",GasData(GasAnalyser,'Horiba Data'!AA33,'Testo, JUM &amp; MRU Data'!H34,'Thermo Data'!I33,'Testo, JUM &amp; MRU Data'!T34,GDF))</f>
        <v/>
      </c>
      <c r="M40" s="981" t="str">
        <f>IF(L40="","",Conc2(L40,L$9,MolVol,L$21,L$20,M$21,M$20))</f>
        <v/>
      </c>
      <c r="N40" s="981" t="str">
        <f>IF(N$17=FALSE,"",GasData(GasAnalyser,'Horiba Data'!AE33,'Testo, JUM &amp; MRU Data'!I34,'Thermo Data'!J33,'Testo, JUM &amp; MRU Data'!S34,GDF))</f>
        <v/>
      </c>
      <c r="O40" s="981" t="str">
        <f>IF(N40="","",Conc2(N40,N$9,MolVol,N$21,N$20,O$21,O$20))</f>
        <v/>
      </c>
      <c r="P40" s="981" t="str">
        <f>IF(P$17=FALSE,"",GasData(GasAnalyser,'Horiba Data'!AI33,'Testo, JUM &amp; MRU Data'!J34,'Thermo Data'!K33,'Testo, JUM &amp; MRU Data'!R34,GDF))</f>
        <v/>
      </c>
      <c r="Q40" s="981" t="str">
        <f>IF(P40="","",Conc2(P40,P$9,MolVol,P$21,P$20,Q$21,Q$20))</f>
        <v/>
      </c>
      <c r="R40" s="981" t="str">
        <f>IF(R$17=FALSE,"",JUMData('Testo, JUM &amp; MRU Data'!M34,$R$7))</f>
        <v/>
      </c>
      <c r="S40" s="982" t="str">
        <f>IF(R40="","",Conc2(R40,R$9,MolVol,R$21,R$20,S$21,S$20)/(1-Bws))</f>
        <v/>
      </c>
      <c r="T40" s="712"/>
      <c r="AR40" s="334"/>
      <c r="AS40" s="334"/>
      <c r="AT40" s="48"/>
      <c r="AU40" s="48"/>
      <c r="AV40" s="153"/>
      <c r="AW40" s="153"/>
      <c r="AX40" s="153"/>
      <c r="AY40" s="153"/>
      <c r="AZ40" s="153"/>
      <c r="BA40" s="153"/>
      <c r="BB40" s="153"/>
      <c r="BC40" s="153"/>
      <c r="BD40" s="153"/>
      <c r="BE40" s="153"/>
      <c r="BF40" s="153"/>
      <c r="BG40" s="153"/>
      <c r="BH40" s="153"/>
      <c r="BI40" s="153"/>
      <c r="BJ40" s="153"/>
      <c r="BK40" s="153"/>
      <c r="BL40" s="153"/>
      <c r="BM40" s="153"/>
      <c r="BN40" s="153"/>
      <c r="BO40" s="153"/>
      <c r="BP40" s="153"/>
      <c r="BQ40" s="153"/>
      <c r="BR40" s="153"/>
      <c r="BS40" s="153"/>
      <c r="BT40" s="153"/>
      <c r="BU40" s="153"/>
      <c r="BV40" s="153"/>
      <c r="BW40" s="153"/>
      <c r="BX40" s="153"/>
      <c r="BY40" s="153"/>
      <c r="BZ40" s="153"/>
      <c r="CA40" s="153"/>
      <c r="CB40" s="153"/>
      <c r="CC40" s="153"/>
      <c r="CD40" s="153"/>
      <c r="CE40" s="153"/>
      <c r="CF40" s="153"/>
      <c r="CG40" s="153"/>
      <c r="CH40" s="153"/>
      <c r="CI40" s="153"/>
      <c r="CJ40" s="153"/>
      <c r="CK40" s="153"/>
      <c r="CL40" s="153"/>
      <c r="CM40" s="153"/>
      <c r="CN40" s="153"/>
      <c r="CO40" s="153"/>
      <c r="CP40" s="153"/>
      <c r="CQ40" s="153"/>
      <c r="CR40" s="153"/>
      <c r="CS40" s="153"/>
      <c r="CT40" s="153"/>
      <c r="CU40" s="153"/>
      <c r="CV40" s="153"/>
      <c r="CW40" s="153"/>
      <c r="CX40" s="153"/>
      <c r="CY40" s="153"/>
      <c r="CZ40" s="153"/>
      <c r="DA40" s="153"/>
      <c r="DB40" s="153"/>
      <c r="DC40" s="153"/>
      <c r="DD40" s="153"/>
      <c r="DE40" s="153"/>
      <c r="DF40" s="153"/>
      <c r="DG40" s="153"/>
      <c r="DH40" s="153"/>
      <c r="DI40" s="153"/>
      <c r="DJ40" s="153"/>
      <c r="DK40" s="153"/>
      <c r="DL40" s="153"/>
      <c r="DM40" s="153"/>
      <c r="DN40" s="153"/>
      <c r="DO40" s="153"/>
      <c r="DP40" s="153"/>
      <c r="DQ40" s="153"/>
      <c r="DR40" s="153"/>
      <c r="DS40" s="153"/>
      <c r="DT40" s="153"/>
      <c r="DU40" s="153"/>
      <c r="DV40" s="153"/>
      <c r="DW40" s="153"/>
      <c r="DX40" s="153"/>
      <c r="DY40" s="153"/>
      <c r="DZ40" s="153"/>
      <c r="EA40" s="153"/>
      <c r="EB40" s="153"/>
      <c r="EC40" s="153"/>
      <c r="ED40" s="153"/>
      <c r="EE40" s="153"/>
      <c r="EF40" s="153"/>
      <c r="EG40" s="153"/>
      <c r="EH40" s="153"/>
      <c r="EI40" s="153"/>
      <c r="EJ40" s="153"/>
      <c r="EK40" s="153"/>
      <c r="EL40" s="153"/>
      <c r="EM40" s="153"/>
    </row>
    <row r="41" spans="1:143" s="107" customFormat="1" ht="10.5" customHeight="1">
      <c r="A41" s="1140">
        <v>16</v>
      </c>
      <c r="B41" s="1560" t="str">
        <f t="shared" si="2"/>
        <v/>
      </c>
      <c r="C41" s="161" t="str">
        <f>GasTime(GasAnalyser,'Horiba Data'!F34,'Horiba Data'!G34,'Testo, JUM &amp; MRU Data'!A35,'Thermo Data'!B34,HourOffset)</f>
        <v/>
      </c>
      <c r="D41" s="981" t="str">
        <f>IF(D$17=FALSE,"",GasData(GasAnalyser,'Horiba Data'!S34,'Testo, JUM &amp; MRU Data'!D35,'Thermo Data'!E34,'Testo, JUM &amp; MRU Data'!U35,GDF))</f>
        <v/>
      </c>
      <c r="E41" s="981" t="str">
        <f>IF(D41="","",Conc2(D41,D$9,MolVol,D$21,D$20,E$21,E$20))</f>
        <v/>
      </c>
      <c r="F41" s="981" t="str">
        <f>IF(F$17=FALSE,"",GasData(GasAnalyser,'Horiba Data'!AQ34,'Testo, JUM &amp; MRU Data'!E35,'Thermo Data'!F34,'Testo, JUM &amp; MRU Data'!V35,GDF))</f>
        <v/>
      </c>
      <c r="G41" s="981" t="str">
        <f>IF(F41="","",Conc2(F41,F$9,MolVol,F$21,F$20,G$21,G$20))</f>
        <v/>
      </c>
      <c r="H41" s="981" t="str">
        <f>IF(D$17=FALSE,"",IF(F$17=FALSE,"",GasData(GasAnalyser,'Horiba Data'!W34,'Testo, JUM &amp; MRU Data'!F35,'Thermo Data'!G34,'Testo, JUM &amp; MRU Data'!Y35,GDF)))</f>
        <v/>
      </c>
      <c r="I41" s="981" t="str">
        <f>IF(H41="","",Conc2(H41,H$9,MolVol,H$21,H$20,I$21,I$20))</f>
        <v/>
      </c>
      <c r="J41" s="981" t="str">
        <f>IF(J$17=FALSE,"",GasData(GasAnalyser,'Horiba Data'!AM34,'Testo, JUM &amp; MRU Data'!G35,'Thermo Data'!H34,'Testo, JUM &amp; MRU Data'!W35,GDF))</f>
        <v/>
      </c>
      <c r="K41" s="981" t="str">
        <f>IF(J41="","",Conc2(J41,J$9,MolVol,J$21,J$20,K$21,K$20))</f>
        <v/>
      </c>
      <c r="L41" s="981" t="str">
        <f>IF(L$17=FALSE,"",GasData(GasAnalyser,'Horiba Data'!AA34,'Testo, JUM &amp; MRU Data'!H35,'Thermo Data'!I34,'Testo, JUM &amp; MRU Data'!T35,GDF))</f>
        <v/>
      </c>
      <c r="M41" s="981" t="str">
        <f>IF(L41="","",Conc2(L41,L$9,MolVol,L$21,L$20,M$21,M$20))</f>
        <v/>
      </c>
      <c r="N41" s="981" t="str">
        <f>IF(N$17=FALSE,"",GasData(GasAnalyser,'Horiba Data'!AE34,'Testo, JUM &amp; MRU Data'!I35,'Thermo Data'!J34,'Testo, JUM &amp; MRU Data'!S35,GDF))</f>
        <v/>
      </c>
      <c r="O41" s="981" t="str">
        <f>IF(N41="","",Conc2(N41,N$9,MolVol,N$21,N$20,O$21,O$20))</f>
        <v/>
      </c>
      <c r="P41" s="981" t="str">
        <f>IF(P$17=FALSE,"",GasData(GasAnalyser,'Horiba Data'!AI34,'Testo, JUM &amp; MRU Data'!J35,'Thermo Data'!K34,'Testo, JUM &amp; MRU Data'!R35,GDF))</f>
        <v/>
      </c>
      <c r="Q41" s="981" t="str">
        <f>IF(P41="","",Conc2(P41,P$9,MolVol,P$21,P$20,Q$21,Q$20))</f>
        <v/>
      </c>
      <c r="R41" s="981" t="str">
        <f>IF(R$17=FALSE,"",JUMData('Testo, JUM &amp; MRU Data'!M35,$R$7))</f>
        <v/>
      </c>
      <c r="S41" s="982" t="str">
        <f>IF(R41="","",Conc2(R41,R$9,MolVol,R$21,R$20,S$21,S$20)/(1-Bws))</f>
        <v/>
      </c>
      <c r="T41" s="712"/>
      <c r="AR41" s="334"/>
      <c r="AS41" s="334"/>
      <c r="AT41" s="48"/>
      <c r="AU41" s="48"/>
      <c r="AV41" s="153"/>
      <c r="AW41" s="153"/>
      <c r="AX41" s="153"/>
      <c r="AY41" s="153"/>
      <c r="AZ41" s="153"/>
      <c r="BA41" s="153"/>
      <c r="BB41" s="153"/>
      <c r="BC41" s="153"/>
      <c r="BD41" s="153"/>
      <c r="BE41" s="153"/>
      <c r="BF41" s="153"/>
      <c r="BG41" s="153"/>
      <c r="BH41" s="153"/>
      <c r="BI41" s="153"/>
      <c r="BJ41" s="153"/>
      <c r="BK41" s="153"/>
      <c r="BL41" s="153"/>
      <c r="BM41" s="153"/>
      <c r="BN41" s="153"/>
      <c r="BO41" s="153"/>
      <c r="BP41" s="153"/>
      <c r="BQ41" s="153"/>
      <c r="BR41" s="153"/>
      <c r="BS41" s="153"/>
      <c r="BT41" s="153"/>
      <c r="BU41" s="153"/>
      <c r="BV41" s="153"/>
      <c r="BW41" s="153"/>
      <c r="BX41" s="153"/>
      <c r="BY41" s="153"/>
      <c r="BZ41" s="153"/>
      <c r="CA41" s="153"/>
      <c r="CB41" s="153"/>
      <c r="CC41" s="153"/>
      <c r="CD41" s="153"/>
      <c r="CE41" s="153"/>
      <c r="CF41" s="153"/>
      <c r="CG41" s="153"/>
      <c r="CH41" s="153"/>
      <c r="CI41" s="153"/>
      <c r="CJ41" s="153"/>
      <c r="CK41" s="153"/>
      <c r="CL41" s="153"/>
      <c r="CM41" s="153"/>
      <c r="CN41" s="153"/>
      <c r="CO41" s="153"/>
      <c r="CP41" s="153"/>
      <c r="CQ41" s="153"/>
      <c r="CR41" s="153"/>
      <c r="CS41" s="153"/>
      <c r="CT41" s="153"/>
      <c r="CU41" s="153"/>
      <c r="CV41" s="153"/>
      <c r="CW41" s="153"/>
      <c r="CX41" s="153"/>
      <c r="CY41" s="153"/>
      <c r="CZ41" s="153"/>
      <c r="DA41" s="153"/>
      <c r="DB41" s="153"/>
      <c r="DC41" s="153"/>
      <c r="DD41" s="153"/>
      <c r="DE41" s="153"/>
      <c r="DF41" s="153"/>
      <c r="DG41" s="153"/>
      <c r="DH41" s="153"/>
      <c r="DI41" s="153"/>
      <c r="DJ41" s="153"/>
      <c r="DK41" s="153"/>
      <c r="DL41" s="153"/>
      <c r="DM41" s="153"/>
      <c r="DN41" s="153"/>
      <c r="DO41" s="153"/>
      <c r="DP41" s="153"/>
      <c r="DQ41" s="153"/>
      <c r="DR41" s="153"/>
      <c r="DS41" s="153"/>
      <c r="DT41" s="153"/>
      <c r="DU41" s="153"/>
      <c r="DV41" s="153"/>
      <c r="DW41" s="153"/>
      <c r="DX41" s="153"/>
      <c r="DY41" s="153"/>
      <c r="DZ41" s="153"/>
      <c r="EA41" s="153"/>
      <c r="EB41" s="153"/>
      <c r="EC41" s="153"/>
      <c r="ED41" s="153"/>
      <c r="EE41" s="153"/>
      <c r="EF41" s="153"/>
      <c r="EG41" s="153"/>
      <c r="EH41" s="153"/>
      <c r="EI41" s="153"/>
      <c r="EJ41" s="153"/>
      <c r="EK41" s="153"/>
      <c r="EL41" s="153"/>
      <c r="EM41" s="153"/>
    </row>
    <row r="42" spans="1:143" s="107" customFormat="1" ht="10.5" customHeight="1">
      <c r="A42" s="1140">
        <v>17</v>
      </c>
      <c r="B42" s="1560" t="str">
        <f t="shared" si="2"/>
        <v/>
      </c>
      <c r="C42" s="161" t="str">
        <f>GasTime(GasAnalyser,'Horiba Data'!F35,'Horiba Data'!G35,'Testo, JUM &amp; MRU Data'!A36,'Thermo Data'!B35,HourOffset)</f>
        <v/>
      </c>
      <c r="D42" s="981" t="str">
        <f>IF(D$17=FALSE,"",GasData(GasAnalyser,'Horiba Data'!S35,'Testo, JUM &amp; MRU Data'!D36,'Thermo Data'!E35,'Testo, JUM &amp; MRU Data'!U36,GDF))</f>
        <v/>
      </c>
      <c r="E42" s="981" t="str">
        <f>IF(D42="","",Conc2(D42,D$9,MolVol,D$21,D$20,E$21,E$20))</f>
        <v/>
      </c>
      <c r="F42" s="981" t="str">
        <f>IF(F$17=FALSE,"",GasData(GasAnalyser,'Horiba Data'!AQ35,'Testo, JUM &amp; MRU Data'!E36,'Thermo Data'!F35,'Testo, JUM &amp; MRU Data'!V36,GDF))</f>
        <v/>
      </c>
      <c r="G42" s="981" t="str">
        <f>IF(F42="","",Conc2(F42,F$9,MolVol,F$21,F$20,G$21,G$20))</f>
        <v/>
      </c>
      <c r="H42" s="981" t="str">
        <f>IF(D$17=FALSE,"",IF(F$17=FALSE,"",GasData(GasAnalyser,'Horiba Data'!W35,'Testo, JUM &amp; MRU Data'!F36,'Thermo Data'!G35,'Testo, JUM &amp; MRU Data'!Y36,GDF)))</f>
        <v/>
      </c>
      <c r="I42" s="981" t="str">
        <f>IF(H42="","",Conc2(H42,H$9,MolVol,H$21,H$20,I$21,I$20))</f>
        <v/>
      </c>
      <c r="J42" s="981" t="str">
        <f>IF(J$17=FALSE,"",GasData(GasAnalyser,'Horiba Data'!AM35,'Testo, JUM &amp; MRU Data'!G36,'Thermo Data'!H35,'Testo, JUM &amp; MRU Data'!W36,GDF))</f>
        <v/>
      </c>
      <c r="K42" s="981" t="str">
        <f>IF(J42="","",Conc2(J42,J$9,MolVol,J$21,J$20,K$21,K$20))</f>
        <v/>
      </c>
      <c r="L42" s="981" t="str">
        <f>IF(L$17=FALSE,"",GasData(GasAnalyser,'Horiba Data'!AA35,'Testo, JUM &amp; MRU Data'!H36,'Thermo Data'!I35,'Testo, JUM &amp; MRU Data'!T36,GDF))</f>
        <v/>
      </c>
      <c r="M42" s="981" t="str">
        <f>IF(L42="","",Conc2(L42,L$9,MolVol,L$21,L$20,M$21,M$20))</f>
        <v/>
      </c>
      <c r="N42" s="981" t="str">
        <f>IF(N$17=FALSE,"",GasData(GasAnalyser,'Horiba Data'!AE35,'Testo, JUM &amp; MRU Data'!I36,'Thermo Data'!J35,'Testo, JUM &amp; MRU Data'!S36,GDF))</f>
        <v/>
      </c>
      <c r="O42" s="981" t="str">
        <f>IF(N42="","",Conc2(N42,N$9,MolVol,N$21,N$20,O$21,O$20))</f>
        <v/>
      </c>
      <c r="P42" s="981" t="str">
        <f>IF(P$17=FALSE,"",GasData(GasAnalyser,'Horiba Data'!AI35,'Testo, JUM &amp; MRU Data'!J36,'Thermo Data'!K35,'Testo, JUM &amp; MRU Data'!R36,GDF))</f>
        <v/>
      </c>
      <c r="Q42" s="981" t="str">
        <f>IF(P42="","",Conc2(P42,P$9,MolVol,P$21,P$20,Q$21,Q$20))</f>
        <v/>
      </c>
      <c r="R42" s="981" t="str">
        <f>IF(R$17=FALSE,"",JUMData('Testo, JUM &amp; MRU Data'!M36,$R$7))</f>
        <v/>
      </c>
      <c r="S42" s="982" t="str">
        <f>IF(R42="","",Conc2(R42,R$9,MolVol,R$21,R$20,S$21,S$20)/(1-Bws))</f>
        <v/>
      </c>
      <c r="T42" s="712"/>
      <c r="AR42" s="334"/>
      <c r="AS42" s="334"/>
      <c r="AT42" s="48"/>
      <c r="AU42" s="48"/>
      <c r="AV42" s="153"/>
      <c r="AW42" s="153"/>
      <c r="AX42" s="153"/>
      <c r="AY42" s="153"/>
      <c r="AZ42" s="153"/>
      <c r="BA42" s="153"/>
      <c r="BB42" s="153"/>
      <c r="BC42" s="153"/>
      <c r="BD42" s="153"/>
      <c r="BE42" s="153"/>
      <c r="BF42" s="153"/>
      <c r="BG42" s="153"/>
      <c r="BH42" s="153"/>
      <c r="BI42" s="153"/>
      <c r="BJ42" s="153"/>
      <c r="BK42" s="153"/>
      <c r="BL42" s="153"/>
      <c r="BM42" s="153"/>
      <c r="BN42" s="153"/>
      <c r="BO42" s="153"/>
      <c r="BP42" s="153"/>
      <c r="BQ42" s="153"/>
      <c r="BR42" s="153"/>
      <c r="BS42" s="153"/>
      <c r="BT42" s="153"/>
      <c r="BU42" s="153"/>
      <c r="BV42" s="153"/>
      <c r="BW42" s="153"/>
      <c r="BX42" s="153"/>
      <c r="BY42" s="153"/>
      <c r="BZ42" s="153"/>
      <c r="CA42" s="153"/>
      <c r="CB42" s="153"/>
      <c r="CC42" s="153"/>
      <c r="CD42" s="153"/>
      <c r="CE42" s="153"/>
      <c r="CF42" s="153"/>
      <c r="CG42" s="153"/>
      <c r="CH42" s="153"/>
      <c r="CI42" s="153"/>
      <c r="CJ42" s="153"/>
      <c r="CK42" s="153"/>
      <c r="CL42" s="153"/>
      <c r="CM42" s="153"/>
      <c r="CN42" s="153"/>
      <c r="CO42" s="153"/>
      <c r="CP42" s="153"/>
      <c r="CQ42" s="153"/>
      <c r="CR42" s="153"/>
      <c r="CS42" s="153"/>
      <c r="CT42" s="153"/>
      <c r="CU42" s="153"/>
      <c r="CV42" s="153"/>
      <c r="CW42" s="153"/>
      <c r="CX42" s="153"/>
      <c r="CY42" s="153"/>
      <c r="CZ42" s="153"/>
      <c r="DA42" s="153"/>
      <c r="DB42" s="153"/>
      <c r="DC42" s="153"/>
      <c r="DD42" s="153"/>
      <c r="DE42" s="153"/>
      <c r="DF42" s="153"/>
      <c r="DG42" s="153"/>
      <c r="DH42" s="153"/>
      <c r="DI42" s="153"/>
      <c r="DJ42" s="153"/>
      <c r="DK42" s="153"/>
      <c r="DL42" s="153"/>
      <c r="DM42" s="153"/>
      <c r="DN42" s="153"/>
      <c r="DO42" s="153"/>
      <c r="DP42" s="153"/>
      <c r="DQ42" s="153"/>
      <c r="DR42" s="153"/>
      <c r="DS42" s="153"/>
      <c r="DT42" s="153"/>
      <c r="DU42" s="153"/>
      <c r="DV42" s="153"/>
      <c r="DW42" s="153"/>
      <c r="DX42" s="153"/>
      <c r="DY42" s="153"/>
      <c r="DZ42" s="153"/>
      <c r="EA42" s="153"/>
      <c r="EB42" s="153"/>
      <c r="EC42" s="153"/>
      <c r="ED42" s="153"/>
      <c r="EE42" s="153"/>
      <c r="EF42" s="153"/>
      <c r="EG42" s="153"/>
      <c r="EH42" s="153"/>
      <c r="EI42" s="153"/>
      <c r="EJ42" s="153"/>
      <c r="EK42" s="153"/>
      <c r="EL42" s="153"/>
      <c r="EM42" s="153"/>
    </row>
    <row r="43" spans="1:143" s="107" customFormat="1" ht="10.5" customHeight="1">
      <c r="A43" s="1140">
        <v>18</v>
      </c>
      <c r="B43" s="1560" t="str">
        <f t="shared" si="2"/>
        <v/>
      </c>
      <c r="C43" s="161" t="str">
        <f>GasTime(GasAnalyser,'Horiba Data'!F36,'Horiba Data'!G36,'Testo, JUM &amp; MRU Data'!A37,'Thermo Data'!B36,HourOffset)</f>
        <v/>
      </c>
      <c r="D43" s="981" t="str">
        <f>IF(D$17=FALSE,"",GasData(GasAnalyser,'Horiba Data'!S36,'Testo, JUM &amp; MRU Data'!D37,'Thermo Data'!E36,'Testo, JUM &amp; MRU Data'!U37,GDF))</f>
        <v/>
      </c>
      <c r="E43" s="981" t="str">
        <f>IF(D43="","",Conc2(D43,D$9,MolVol,D$21,D$20,E$21,E$20))</f>
        <v/>
      </c>
      <c r="F43" s="981" t="str">
        <f>IF(F$17=FALSE,"",GasData(GasAnalyser,'Horiba Data'!AQ36,'Testo, JUM &amp; MRU Data'!E37,'Thermo Data'!F36,'Testo, JUM &amp; MRU Data'!V37,GDF))</f>
        <v/>
      </c>
      <c r="G43" s="981" t="str">
        <f>IF(F43="","",Conc2(F43,F$9,MolVol,F$21,F$20,G$21,G$20))</f>
        <v/>
      </c>
      <c r="H43" s="981" t="str">
        <f>IF(D$17=FALSE,"",IF(F$17=FALSE,"",GasData(GasAnalyser,'Horiba Data'!W36,'Testo, JUM &amp; MRU Data'!F37,'Thermo Data'!G36,'Testo, JUM &amp; MRU Data'!Y37,GDF)))</f>
        <v/>
      </c>
      <c r="I43" s="981" t="str">
        <f>IF(H43="","",Conc2(H43,H$9,MolVol,H$21,H$20,I$21,I$20))</f>
        <v/>
      </c>
      <c r="J43" s="981" t="str">
        <f>IF(J$17=FALSE,"",GasData(GasAnalyser,'Horiba Data'!AM36,'Testo, JUM &amp; MRU Data'!G37,'Thermo Data'!H36,'Testo, JUM &amp; MRU Data'!W37,GDF))</f>
        <v/>
      </c>
      <c r="K43" s="981" t="str">
        <f>IF(J43="","",Conc2(J43,J$9,MolVol,J$21,J$20,K$21,K$20))</f>
        <v/>
      </c>
      <c r="L43" s="981" t="str">
        <f>IF(L$17=FALSE,"",GasData(GasAnalyser,'Horiba Data'!AA36,'Testo, JUM &amp; MRU Data'!H37,'Thermo Data'!I36,'Testo, JUM &amp; MRU Data'!T37,GDF))</f>
        <v/>
      </c>
      <c r="M43" s="981" t="str">
        <f>IF(L43="","",Conc2(L43,L$9,MolVol,L$21,L$20,M$21,M$20))</f>
        <v/>
      </c>
      <c r="N43" s="981" t="str">
        <f>IF(N$17=FALSE,"",GasData(GasAnalyser,'Horiba Data'!AE36,'Testo, JUM &amp; MRU Data'!I37,'Thermo Data'!J36,'Testo, JUM &amp; MRU Data'!S37,GDF))</f>
        <v/>
      </c>
      <c r="O43" s="981" t="str">
        <f>IF(N43="","",Conc2(N43,N$9,MolVol,N$21,N$20,O$21,O$20))</f>
        <v/>
      </c>
      <c r="P43" s="981" t="str">
        <f>IF(P$17=FALSE,"",GasData(GasAnalyser,'Horiba Data'!AI36,'Testo, JUM &amp; MRU Data'!J37,'Thermo Data'!K36,'Testo, JUM &amp; MRU Data'!R37,GDF))</f>
        <v/>
      </c>
      <c r="Q43" s="981" t="str">
        <f>IF(P43="","",Conc2(P43,P$9,MolVol,P$21,P$20,Q$21,Q$20))</f>
        <v/>
      </c>
      <c r="R43" s="981" t="str">
        <f>IF(R$17=FALSE,"",JUMData('Testo, JUM &amp; MRU Data'!M37,$R$7))</f>
        <v/>
      </c>
      <c r="S43" s="982" t="str">
        <f>IF(R43="","",Conc2(R43,R$9,MolVol,R$21,R$20,S$21,S$20)/(1-Bws))</f>
        <v/>
      </c>
      <c r="T43" s="712"/>
      <c r="AR43" s="334"/>
      <c r="AS43" s="334"/>
      <c r="AT43" s="48"/>
      <c r="AU43" s="48"/>
      <c r="AV43" s="153"/>
      <c r="AW43" s="153"/>
      <c r="AX43" s="153"/>
      <c r="AY43" s="153"/>
      <c r="AZ43" s="153"/>
      <c r="BA43" s="153"/>
      <c r="BB43" s="153"/>
      <c r="BC43" s="153"/>
      <c r="BD43" s="153"/>
      <c r="BE43" s="153"/>
      <c r="BF43" s="153"/>
      <c r="BG43" s="153"/>
      <c r="BH43" s="153"/>
      <c r="BI43" s="153"/>
      <c r="BJ43" s="153"/>
      <c r="BK43" s="153"/>
      <c r="BL43" s="153"/>
      <c r="BM43" s="153"/>
      <c r="BN43" s="153"/>
      <c r="BO43" s="153"/>
      <c r="BP43" s="153"/>
      <c r="BQ43" s="153"/>
      <c r="BR43" s="153"/>
      <c r="BS43" s="153"/>
      <c r="BT43" s="153"/>
      <c r="BU43" s="153"/>
      <c r="BV43" s="153"/>
      <c r="BW43" s="153"/>
      <c r="BX43" s="153"/>
      <c r="BY43" s="153"/>
      <c r="BZ43" s="153"/>
      <c r="CA43" s="153"/>
      <c r="CB43" s="153"/>
      <c r="CC43" s="153"/>
      <c r="CD43" s="153"/>
      <c r="CE43" s="153"/>
      <c r="CF43" s="153"/>
      <c r="CG43" s="153"/>
      <c r="CH43" s="153"/>
      <c r="CI43" s="153"/>
      <c r="CJ43" s="153"/>
      <c r="CK43" s="153"/>
      <c r="CL43" s="153"/>
      <c r="CM43" s="153"/>
      <c r="CN43" s="153"/>
      <c r="CO43" s="153"/>
      <c r="CP43" s="153"/>
      <c r="CQ43" s="153"/>
      <c r="CR43" s="153"/>
      <c r="CS43" s="153"/>
      <c r="CT43" s="153"/>
      <c r="CU43" s="153"/>
      <c r="CV43" s="153"/>
      <c r="CW43" s="153"/>
      <c r="CX43" s="153"/>
      <c r="CY43" s="153"/>
      <c r="CZ43" s="153"/>
      <c r="DA43" s="153"/>
      <c r="DB43" s="153"/>
      <c r="DC43" s="153"/>
      <c r="DD43" s="153"/>
      <c r="DE43" s="153"/>
      <c r="DF43" s="153"/>
      <c r="DG43" s="153"/>
      <c r="DH43" s="153"/>
      <c r="DI43" s="153"/>
      <c r="DJ43" s="153"/>
      <c r="DK43" s="153"/>
      <c r="DL43" s="153"/>
      <c r="DM43" s="153"/>
      <c r="DN43" s="153"/>
      <c r="DO43" s="153"/>
      <c r="DP43" s="153"/>
      <c r="DQ43" s="153"/>
      <c r="DR43" s="153"/>
      <c r="DS43" s="153"/>
      <c r="DT43" s="153"/>
      <c r="DU43" s="153"/>
      <c r="DV43" s="153"/>
      <c r="DW43" s="153"/>
      <c r="DX43" s="153"/>
      <c r="DY43" s="153"/>
      <c r="DZ43" s="153"/>
      <c r="EA43" s="153"/>
      <c r="EB43" s="153"/>
      <c r="EC43" s="153"/>
      <c r="ED43" s="153"/>
      <c r="EE43" s="153"/>
      <c r="EF43" s="153"/>
      <c r="EG43" s="153"/>
      <c r="EH43" s="153"/>
      <c r="EI43" s="153"/>
      <c r="EJ43" s="153"/>
      <c r="EK43" s="153"/>
      <c r="EL43" s="153"/>
      <c r="EM43" s="153"/>
    </row>
    <row r="44" spans="1:143" s="107" customFormat="1" ht="10.5" customHeight="1">
      <c r="A44" s="1140">
        <v>19</v>
      </c>
      <c r="B44" s="1560" t="str">
        <f t="shared" si="2"/>
        <v/>
      </c>
      <c r="C44" s="161" t="str">
        <f>GasTime(GasAnalyser,'Horiba Data'!F37,'Horiba Data'!G37,'Testo, JUM &amp; MRU Data'!A38,'Thermo Data'!B37,HourOffset)</f>
        <v/>
      </c>
      <c r="D44" s="981" t="str">
        <f>IF(D$17=FALSE,"",GasData(GasAnalyser,'Horiba Data'!S37,'Testo, JUM &amp; MRU Data'!D38,'Thermo Data'!E37,'Testo, JUM &amp; MRU Data'!U38,GDF))</f>
        <v/>
      </c>
      <c r="E44" s="981" t="str">
        <f>IF(D44="","",Conc2(D44,D$9,MolVol,D$21,D$20,E$21,E$20))</f>
        <v/>
      </c>
      <c r="F44" s="981" t="str">
        <f>IF(F$17=FALSE,"",GasData(GasAnalyser,'Horiba Data'!AQ37,'Testo, JUM &amp; MRU Data'!E38,'Thermo Data'!F37,'Testo, JUM &amp; MRU Data'!V38,GDF))</f>
        <v/>
      </c>
      <c r="G44" s="981" t="str">
        <f>IF(F44="","",Conc2(F44,F$9,MolVol,F$21,F$20,G$21,G$20))</f>
        <v/>
      </c>
      <c r="H44" s="981" t="str">
        <f>IF(D$17=FALSE,"",IF(F$17=FALSE,"",GasData(GasAnalyser,'Horiba Data'!W37,'Testo, JUM &amp; MRU Data'!F38,'Thermo Data'!G37,'Testo, JUM &amp; MRU Data'!Y38,GDF)))</f>
        <v/>
      </c>
      <c r="I44" s="981" t="str">
        <f>IF(H44="","",Conc2(H44,H$9,MolVol,H$21,H$20,I$21,I$20))</f>
        <v/>
      </c>
      <c r="J44" s="981" t="str">
        <f>IF(J$17=FALSE,"",GasData(GasAnalyser,'Horiba Data'!AM37,'Testo, JUM &amp; MRU Data'!G38,'Thermo Data'!H37,'Testo, JUM &amp; MRU Data'!W38,GDF))</f>
        <v/>
      </c>
      <c r="K44" s="981" t="str">
        <f>IF(J44="","",Conc2(J44,J$9,MolVol,J$21,J$20,K$21,K$20))</f>
        <v/>
      </c>
      <c r="L44" s="981" t="str">
        <f>IF(L$17=FALSE,"",GasData(GasAnalyser,'Horiba Data'!AA37,'Testo, JUM &amp; MRU Data'!H38,'Thermo Data'!I37,'Testo, JUM &amp; MRU Data'!T38,GDF))</f>
        <v/>
      </c>
      <c r="M44" s="981" t="str">
        <f>IF(L44="","",Conc2(L44,L$9,MolVol,L$21,L$20,M$21,M$20))</f>
        <v/>
      </c>
      <c r="N44" s="981" t="str">
        <f>IF(N$17=FALSE,"",GasData(GasAnalyser,'Horiba Data'!AE37,'Testo, JUM &amp; MRU Data'!I38,'Thermo Data'!J37,'Testo, JUM &amp; MRU Data'!S38,GDF))</f>
        <v/>
      </c>
      <c r="O44" s="981" t="str">
        <f>IF(N44="","",Conc2(N44,N$9,MolVol,N$21,N$20,O$21,O$20))</f>
        <v/>
      </c>
      <c r="P44" s="981" t="str">
        <f>IF(P$17=FALSE,"",GasData(GasAnalyser,'Horiba Data'!AI37,'Testo, JUM &amp; MRU Data'!J38,'Thermo Data'!K37,'Testo, JUM &amp; MRU Data'!R38,GDF))</f>
        <v/>
      </c>
      <c r="Q44" s="981" t="str">
        <f>IF(P44="","",Conc2(P44,P$9,MolVol,P$21,P$20,Q$21,Q$20))</f>
        <v/>
      </c>
      <c r="R44" s="981" t="str">
        <f>IF(R$17=FALSE,"",JUMData('Testo, JUM &amp; MRU Data'!M38,$R$7))</f>
        <v/>
      </c>
      <c r="S44" s="982" t="str">
        <f>IF(R44="","",Conc2(R44,R$9,MolVol,R$21,R$20,S$21,S$20)/(1-Bws))</f>
        <v/>
      </c>
      <c r="T44" s="712"/>
      <c r="AR44" s="334"/>
      <c r="AS44" s="334"/>
      <c r="AT44" s="48"/>
      <c r="AU44" s="48"/>
      <c r="AV44" s="153"/>
      <c r="AW44" s="153"/>
      <c r="AX44" s="153"/>
      <c r="AY44" s="153"/>
      <c r="AZ44" s="153"/>
      <c r="BA44" s="153"/>
      <c r="BB44" s="153"/>
      <c r="BC44" s="153"/>
      <c r="BD44" s="153"/>
      <c r="BE44" s="153"/>
      <c r="BF44" s="153"/>
      <c r="BG44" s="153"/>
      <c r="BH44" s="153"/>
      <c r="BI44" s="153"/>
      <c r="BJ44" s="153"/>
      <c r="BK44" s="153"/>
      <c r="BL44" s="153"/>
      <c r="BM44" s="153"/>
      <c r="BN44" s="153"/>
      <c r="BO44" s="153"/>
      <c r="BP44" s="153"/>
      <c r="BQ44" s="153"/>
      <c r="BR44" s="153"/>
      <c r="BS44" s="153"/>
      <c r="BT44" s="153"/>
      <c r="BU44" s="153"/>
      <c r="BV44" s="153"/>
      <c r="BW44" s="153"/>
      <c r="BX44" s="153"/>
      <c r="BY44" s="153"/>
      <c r="BZ44" s="153"/>
      <c r="CA44" s="153"/>
      <c r="CB44" s="153"/>
      <c r="CC44" s="153"/>
      <c r="CD44" s="153"/>
      <c r="CE44" s="153"/>
      <c r="CF44" s="153"/>
      <c r="CG44" s="153"/>
      <c r="CH44" s="153"/>
      <c r="CI44" s="153"/>
      <c r="CJ44" s="153"/>
      <c r="CK44" s="153"/>
      <c r="CL44" s="153"/>
      <c r="CM44" s="153"/>
      <c r="CN44" s="153"/>
      <c r="CO44" s="153"/>
      <c r="CP44" s="153"/>
      <c r="CQ44" s="153"/>
      <c r="CR44" s="153"/>
      <c r="CS44" s="153"/>
      <c r="CT44" s="153"/>
      <c r="CU44" s="153"/>
      <c r="CV44" s="153"/>
      <c r="CW44" s="153"/>
      <c r="CX44" s="153"/>
      <c r="CY44" s="153"/>
      <c r="CZ44" s="153"/>
      <c r="DA44" s="153"/>
      <c r="DB44" s="153"/>
      <c r="DC44" s="153"/>
      <c r="DD44" s="153"/>
      <c r="DE44" s="153"/>
      <c r="DF44" s="153"/>
      <c r="DG44" s="153"/>
      <c r="DH44" s="153"/>
      <c r="DI44" s="153"/>
      <c r="DJ44" s="153"/>
      <c r="DK44" s="153"/>
      <c r="DL44" s="153"/>
      <c r="DM44" s="153"/>
      <c r="DN44" s="153"/>
      <c r="DO44" s="153"/>
      <c r="DP44" s="153"/>
      <c r="DQ44" s="153"/>
      <c r="DR44" s="153"/>
      <c r="DS44" s="153"/>
      <c r="DT44" s="153"/>
      <c r="DU44" s="153"/>
      <c r="DV44" s="153"/>
      <c r="DW44" s="153"/>
      <c r="DX44" s="153"/>
      <c r="DY44" s="153"/>
      <c r="DZ44" s="153"/>
      <c r="EA44" s="153"/>
      <c r="EB44" s="153"/>
      <c r="EC44" s="153"/>
      <c r="ED44" s="153"/>
      <c r="EE44" s="153"/>
      <c r="EF44" s="153"/>
      <c r="EG44" s="153"/>
      <c r="EH44" s="153"/>
      <c r="EI44" s="153"/>
      <c r="EJ44" s="153"/>
      <c r="EK44" s="153"/>
      <c r="EL44" s="153"/>
      <c r="EM44" s="153"/>
    </row>
    <row r="45" spans="1:143" s="107" customFormat="1" ht="10.5" customHeight="1">
      <c r="A45" s="1140">
        <v>20</v>
      </c>
      <c r="B45" s="1560" t="str">
        <f t="shared" si="2"/>
        <v/>
      </c>
      <c r="C45" s="161" t="str">
        <f>GasTime(GasAnalyser,'Horiba Data'!F38,'Horiba Data'!G38,'Testo, JUM &amp; MRU Data'!A39,'Thermo Data'!B38,HourOffset)</f>
        <v/>
      </c>
      <c r="D45" s="981" t="str">
        <f>IF(D$17=FALSE,"",GasData(GasAnalyser,'Horiba Data'!S38,'Testo, JUM &amp; MRU Data'!D39,'Thermo Data'!E38,'Testo, JUM &amp; MRU Data'!U39,GDF))</f>
        <v/>
      </c>
      <c r="E45" s="981" t="str">
        <f>IF(D45="","",Conc2(D45,D$9,MolVol,D$21,D$20,E$21,E$20))</f>
        <v/>
      </c>
      <c r="F45" s="981" t="str">
        <f>IF(F$17=FALSE,"",GasData(GasAnalyser,'Horiba Data'!AQ38,'Testo, JUM &amp; MRU Data'!E39,'Thermo Data'!F38,'Testo, JUM &amp; MRU Data'!V39,GDF))</f>
        <v/>
      </c>
      <c r="G45" s="981" t="str">
        <f>IF(F45="","",Conc2(F45,F$9,MolVol,F$21,F$20,G$21,G$20))</f>
        <v/>
      </c>
      <c r="H45" s="981" t="str">
        <f>IF(D$17=FALSE,"",IF(F$17=FALSE,"",GasData(GasAnalyser,'Horiba Data'!W38,'Testo, JUM &amp; MRU Data'!F39,'Thermo Data'!G38,'Testo, JUM &amp; MRU Data'!Y39,GDF)))</f>
        <v/>
      </c>
      <c r="I45" s="981" t="str">
        <f>IF(H45="","",Conc2(H45,H$9,MolVol,H$21,H$20,I$21,I$20))</f>
        <v/>
      </c>
      <c r="J45" s="981" t="str">
        <f>IF(J$17=FALSE,"",GasData(GasAnalyser,'Horiba Data'!AM38,'Testo, JUM &amp; MRU Data'!G39,'Thermo Data'!H38,'Testo, JUM &amp; MRU Data'!W39,GDF))</f>
        <v/>
      </c>
      <c r="K45" s="981" t="str">
        <f>IF(J45="","",Conc2(J45,J$9,MolVol,J$21,J$20,K$21,K$20))</f>
        <v/>
      </c>
      <c r="L45" s="981" t="str">
        <f>IF(L$17=FALSE,"",GasData(GasAnalyser,'Horiba Data'!AA38,'Testo, JUM &amp; MRU Data'!H39,'Thermo Data'!I38,'Testo, JUM &amp; MRU Data'!T39,GDF))</f>
        <v/>
      </c>
      <c r="M45" s="981" t="str">
        <f>IF(L45="","",Conc2(L45,L$9,MolVol,L$21,L$20,M$21,M$20))</f>
        <v/>
      </c>
      <c r="N45" s="981" t="str">
        <f>IF(N$17=FALSE,"",GasData(GasAnalyser,'Horiba Data'!AE38,'Testo, JUM &amp; MRU Data'!I39,'Thermo Data'!J38,'Testo, JUM &amp; MRU Data'!S39,GDF))</f>
        <v/>
      </c>
      <c r="O45" s="981" t="str">
        <f>IF(N45="","",Conc2(N45,N$9,MolVol,N$21,N$20,O$21,O$20))</f>
        <v/>
      </c>
      <c r="P45" s="981" t="str">
        <f>IF(P$17=FALSE,"",GasData(GasAnalyser,'Horiba Data'!AI38,'Testo, JUM &amp; MRU Data'!J39,'Thermo Data'!K38,'Testo, JUM &amp; MRU Data'!R39,GDF))</f>
        <v/>
      </c>
      <c r="Q45" s="981" t="str">
        <f>IF(P45="","",Conc2(P45,P$9,MolVol,P$21,P$20,Q$21,Q$20))</f>
        <v/>
      </c>
      <c r="R45" s="981" t="str">
        <f>IF(R$17=FALSE,"",JUMData('Testo, JUM &amp; MRU Data'!M39,$R$7))</f>
        <v/>
      </c>
      <c r="S45" s="982" t="str">
        <f>IF(R45="","",Conc2(R45,R$9,MolVol,R$21,R$20,S$21,S$20)/(1-Bws))</f>
        <v/>
      </c>
      <c r="T45" s="712"/>
      <c r="AR45" s="334"/>
      <c r="AS45" s="334"/>
      <c r="AT45" s="48"/>
      <c r="AU45" s="48"/>
      <c r="AV45" s="153"/>
      <c r="AW45" s="153"/>
      <c r="AX45" s="153"/>
      <c r="AY45" s="153"/>
      <c r="AZ45" s="153"/>
      <c r="BA45" s="153"/>
      <c r="BB45" s="153"/>
      <c r="BC45" s="153"/>
      <c r="BD45" s="153"/>
      <c r="BE45" s="153"/>
      <c r="BF45" s="153"/>
      <c r="BG45" s="153"/>
      <c r="BH45" s="153"/>
      <c r="BI45" s="153"/>
      <c r="BJ45" s="153"/>
      <c r="BK45" s="153"/>
      <c r="BL45" s="153"/>
      <c r="BM45" s="153"/>
      <c r="BN45" s="153"/>
      <c r="BO45" s="153"/>
      <c r="BP45" s="153"/>
      <c r="BQ45" s="153"/>
      <c r="BR45" s="153"/>
      <c r="BS45" s="153"/>
      <c r="BT45" s="153"/>
      <c r="BU45" s="153"/>
      <c r="BV45" s="153"/>
      <c r="BW45" s="153"/>
      <c r="BX45" s="153"/>
      <c r="BY45" s="153"/>
      <c r="BZ45" s="153"/>
      <c r="CA45" s="153"/>
      <c r="CB45" s="153"/>
      <c r="CC45" s="153"/>
      <c r="CD45" s="153"/>
      <c r="CE45" s="153"/>
      <c r="CF45" s="153"/>
      <c r="CG45" s="153"/>
      <c r="CH45" s="153"/>
      <c r="CI45" s="153"/>
      <c r="CJ45" s="153"/>
      <c r="CK45" s="153"/>
      <c r="CL45" s="153"/>
      <c r="CM45" s="153"/>
      <c r="CN45" s="153"/>
      <c r="CO45" s="153"/>
      <c r="CP45" s="153"/>
      <c r="CQ45" s="153"/>
      <c r="CR45" s="153"/>
      <c r="CS45" s="153"/>
      <c r="CT45" s="153"/>
      <c r="CU45" s="153"/>
      <c r="CV45" s="153"/>
      <c r="CW45" s="153"/>
      <c r="CX45" s="153"/>
      <c r="CY45" s="153"/>
      <c r="CZ45" s="153"/>
      <c r="DA45" s="153"/>
      <c r="DB45" s="153"/>
      <c r="DC45" s="153"/>
      <c r="DD45" s="153"/>
      <c r="DE45" s="153"/>
      <c r="DF45" s="153"/>
      <c r="DG45" s="153"/>
      <c r="DH45" s="153"/>
      <c r="DI45" s="153"/>
      <c r="DJ45" s="153"/>
      <c r="DK45" s="153"/>
      <c r="DL45" s="153"/>
      <c r="DM45" s="153"/>
      <c r="DN45" s="153"/>
      <c r="DO45" s="153"/>
      <c r="DP45" s="153"/>
      <c r="DQ45" s="153"/>
      <c r="DR45" s="153"/>
      <c r="DS45" s="153"/>
      <c r="DT45" s="153"/>
      <c r="DU45" s="153"/>
      <c r="DV45" s="153"/>
      <c r="DW45" s="153"/>
      <c r="DX45" s="153"/>
      <c r="DY45" s="153"/>
      <c r="DZ45" s="153"/>
      <c r="EA45" s="153"/>
      <c r="EB45" s="153"/>
      <c r="EC45" s="153"/>
      <c r="ED45" s="153"/>
      <c r="EE45" s="153"/>
      <c r="EF45" s="153"/>
      <c r="EG45" s="153"/>
      <c r="EH45" s="153"/>
      <c r="EI45" s="153"/>
      <c r="EJ45" s="153"/>
      <c r="EK45" s="153"/>
      <c r="EL45" s="153"/>
      <c r="EM45" s="153"/>
    </row>
    <row r="46" spans="1:143" s="107" customFormat="1" ht="10.5" customHeight="1">
      <c r="A46" s="1140">
        <v>21</v>
      </c>
      <c r="B46" s="1560" t="str">
        <f t="shared" si="2"/>
        <v/>
      </c>
      <c r="C46" s="161" t="str">
        <f>GasTime(GasAnalyser,'Horiba Data'!F39,'Horiba Data'!G39,'Testo, JUM &amp; MRU Data'!A40,'Thermo Data'!B39,HourOffset)</f>
        <v/>
      </c>
      <c r="D46" s="981" t="str">
        <f>IF(D$17=FALSE,"",GasData(GasAnalyser,'Horiba Data'!S39,'Testo, JUM &amp; MRU Data'!D40,'Thermo Data'!E39,'Testo, JUM &amp; MRU Data'!U40,GDF))</f>
        <v/>
      </c>
      <c r="E46" s="981" t="str">
        <f>IF(D46="","",Conc2(D46,D$9,MolVol,D$21,D$20,E$21,E$20))</f>
        <v/>
      </c>
      <c r="F46" s="981" t="str">
        <f>IF(F$17=FALSE,"",GasData(GasAnalyser,'Horiba Data'!AQ39,'Testo, JUM &amp; MRU Data'!E40,'Thermo Data'!F39,'Testo, JUM &amp; MRU Data'!V40,GDF))</f>
        <v/>
      </c>
      <c r="G46" s="981" t="str">
        <f>IF(F46="","",Conc2(F46,F$9,MolVol,F$21,F$20,G$21,G$20))</f>
        <v/>
      </c>
      <c r="H46" s="981" t="str">
        <f>IF(D$17=FALSE,"",IF(F$17=FALSE,"",GasData(GasAnalyser,'Horiba Data'!W39,'Testo, JUM &amp; MRU Data'!F40,'Thermo Data'!G39,'Testo, JUM &amp; MRU Data'!Y40,GDF)))</f>
        <v/>
      </c>
      <c r="I46" s="981" t="str">
        <f>IF(H46="","",Conc2(H46,H$9,MolVol,H$21,H$20,I$21,I$20))</f>
        <v/>
      </c>
      <c r="J46" s="981" t="str">
        <f>IF(J$17=FALSE,"",GasData(GasAnalyser,'Horiba Data'!AM39,'Testo, JUM &amp; MRU Data'!G40,'Thermo Data'!H39,'Testo, JUM &amp; MRU Data'!W40,GDF))</f>
        <v/>
      </c>
      <c r="K46" s="981" t="str">
        <f>IF(J46="","",Conc2(J46,J$9,MolVol,J$21,J$20,K$21,K$20))</f>
        <v/>
      </c>
      <c r="L46" s="981" t="str">
        <f>IF(L$17=FALSE,"",GasData(GasAnalyser,'Horiba Data'!AA39,'Testo, JUM &amp; MRU Data'!H40,'Thermo Data'!I39,'Testo, JUM &amp; MRU Data'!T40,GDF))</f>
        <v/>
      </c>
      <c r="M46" s="981" t="str">
        <f>IF(L46="","",Conc2(L46,L$9,MolVol,L$21,L$20,M$21,M$20))</f>
        <v/>
      </c>
      <c r="N46" s="981" t="str">
        <f>IF(N$17=FALSE,"",GasData(GasAnalyser,'Horiba Data'!AE39,'Testo, JUM &amp; MRU Data'!I40,'Thermo Data'!J39,'Testo, JUM &amp; MRU Data'!S40,GDF))</f>
        <v/>
      </c>
      <c r="O46" s="981" t="str">
        <f>IF(N46="","",Conc2(N46,N$9,MolVol,N$21,N$20,O$21,O$20))</f>
        <v/>
      </c>
      <c r="P46" s="981" t="str">
        <f>IF(P$17=FALSE,"",GasData(GasAnalyser,'Horiba Data'!AI39,'Testo, JUM &amp; MRU Data'!J40,'Thermo Data'!K39,'Testo, JUM &amp; MRU Data'!R40,GDF))</f>
        <v/>
      </c>
      <c r="Q46" s="981" t="str">
        <f>IF(P46="","",Conc2(P46,P$9,MolVol,P$21,P$20,Q$21,Q$20))</f>
        <v/>
      </c>
      <c r="R46" s="981" t="str">
        <f>IF(R$17=FALSE,"",JUMData('Testo, JUM &amp; MRU Data'!M40,$R$7))</f>
        <v/>
      </c>
      <c r="S46" s="982" t="str">
        <f>IF(R46="","",Conc2(R46,R$9,MolVol,R$21,R$20,S$21,S$20)/(1-Bws))</f>
        <v/>
      </c>
      <c r="T46" s="712"/>
      <c r="AR46" s="334"/>
      <c r="AS46" s="334"/>
      <c r="AT46" s="48"/>
      <c r="AU46" s="48"/>
      <c r="AV46" s="153"/>
      <c r="AW46" s="153"/>
      <c r="AX46" s="153"/>
      <c r="AY46" s="153"/>
      <c r="AZ46" s="153"/>
      <c r="BA46" s="153"/>
      <c r="BB46" s="153"/>
      <c r="BC46" s="153"/>
      <c r="BD46" s="153"/>
      <c r="BE46" s="153"/>
      <c r="BF46" s="153"/>
      <c r="BG46" s="153"/>
      <c r="BH46" s="153"/>
      <c r="BI46" s="153"/>
      <c r="BJ46" s="153"/>
      <c r="BK46" s="153"/>
      <c r="BL46" s="153"/>
      <c r="BM46" s="153"/>
      <c r="BN46" s="153"/>
      <c r="BO46" s="153"/>
      <c r="BP46" s="153"/>
      <c r="BQ46" s="153"/>
      <c r="BR46" s="153"/>
      <c r="BS46" s="153"/>
      <c r="BT46" s="153"/>
      <c r="BU46" s="153"/>
      <c r="BV46" s="153"/>
      <c r="BW46" s="153"/>
      <c r="BX46" s="153"/>
      <c r="BY46" s="153"/>
      <c r="BZ46" s="153"/>
      <c r="CA46" s="153"/>
      <c r="CB46" s="153"/>
      <c r="CC46" s="153"/>
      <c r="CD46" s="153"/>
      <c r="CE46" s="153"/>
      <c r="CF46" s="153"/>
      <c r="CG46" s="153"/>
      <c r="CH46" s="153"/>
      <c r="CI46" s="153"/>
      <c r="CJ46" s="153"/>
      <c r="CK46" s="153"/>
      <c r="CL46" s="153"/>
      <c r="CM46" s="153"/>
      <c r="CN46" s="153"/>
      <c r="CO46" s="153"/>
      <c r="CP46" s="153"/>
      <c r="CQ46" s="153"/>
      <c r="CR46" s="153"/>
      <c r="CS46" s="153"/>
      <c r="CT46" s="153"/>
      <c r="CU46" s="153"/>
      <c r="CV46" s="153"/>
      <c r="CW46" s="153"/>
      <c r="CX46" s="153"/>
      <c r="CY46" s="153"/>
      <c r="CZ46" s="153"/>
      <c r="DA46" s="153"/>
      <c r="DB46" s="153"/>
      <c r="DC46" s="153"/>
      <c r="DD46" s="153"/>
      <c r="DE46" s="153"/>
      <c r="DF46" s="153"/>
      <c r="DG46" s="153"/>
      <c r="DH46" s="153"/>
      <c r="DI46" s="153"/>
      <c r="DJ46" s="153"/>
      <c r="DK46" s="153"/>
      <c r="DL46" s="153"/>
      <c r="DM46" s="153"/>
      <c r="DN46" s="153"/>
      <c r="DO46" s="153"/>
      <c r="DP46" s="153"/>
      <c r="DQ46" s="153"/>
      <c r="DR46" s="153"/>
      <c r="DS46" s="153"/>
      <c r="DT46" s="153"/>
      <c r="DU46" s="153"/>
      <c r="DV46" s="153"/>
      <c r="DW46" s="153"/>
      <c r="DX46" s="153"/>
      <c r="DY46" s="153"/>
      <c r="DZ46" s="153"/>
      <c r="EA46" s="153"/>
      <c r="EB46" s="153"/>
      <c r="EC46" s="153"/>
      <c r="ED46" s="153"/>
      <c r="EE46" s="153"/>
      <c r="EF46" s="153"/>
      <c r="EG46" s="153"/>
      <c r="EH46" s="153"/>
      <c r="EI46" s="153"/>
      <c r="EJ46" s="153"/>
      <c r="EK46" s="153"/>
      <c r="EL46" s="153"/>
      <c r="EM46" s="153"/>
    </row>
    <row r="47" spans="1:143" s="107" customFormat="1" ht="10.5" customHeight="1">
      <c r="A47" s="1140">
        <v>22</v>
      </c>
      <c r="B47" s="1560" t="str">
        <f t="shared" si="2"/>
        <v/>
      </c>
      <c r="C47" s="161" t="str">
        <f>GasTime(GasAnalyser,'Horiba Data'!F40,'Horiba Data'!G40,'Testo, JUM &amp; MRU Data'!A41,'Thermo Data'!B40,HourOffset)</f>
        <v/>
      </c>
      <c r="D47" s="981" t="str">
        <f>IF(D$17=FALSE,"",GasData(GasAnalyser,'Horiba Data'!S40,'Testo, JUM &amp; MRU Data'!D41,'Thermo Data'!E40,'Testo, JUM &amp; MRU Data'!U41,GDF))</f>
        <v/>
      </c>
      <c r="E47" s="981" t="str">
        <f>IF(D47="","",Conc2(D47,D$9,MolVol,D$21,D$20,E$21,E$20))</f>
        <v/>
      </c>
      <c r="F47" s="981" t="str">
        <f>IF(F$17=FALSE,"",GasData(GasAnalyser,'Horiba Data'!AQ40,'Testo, JUM &amp; MRU Data'!E41,'Thermo Data'!F40,'Testo, JUM &amp; MRU Data'!V41,GDF))</f>
        <v/>
      </c>
      <c r="G47" s="981" t="str">
        <f>IF(F47="","",Conc2(F47,F$9,MolVol,F$21,F$20,G$21,G$20))</f>
        <v/>
      </c>
      <c r="H47" s="981" t="str">
        <f>IF(D$17=FALSE,"",IF(F$17=FALSE,"",GasData(GasAnalyser,'Horiba Data'!W40,'Testo, JUM &amp; MRU Data'!F41,'Thermo Data'!G40,'Testo, JUM &amp; MRU Data'!Y41,GDF)))</f>
        <v/>
      </c>
      <c r="I47" s="981" t="str">
        <f>IF(H47="","",Conc2(H47,H$9,MolVol,H$21,H$20,I$21,I$20))</f>
        <v/>
      </c>
      <c r="J47" s="981" t="str">
        <f>IF(J$17=FALSE,"",GasData(GasAnalyser,'Horiba Data'!AM40,'Testo, JUM &amp; MRU Data'!G41,'Thermo Data'!H40,'Testo, JUM &amp; MRU Data'!W41,GDF))</f>
        <v/>
      </c>
      <c r="K47" s="981" t="str">
        <f>IF(J47="","",Conc2(J47,J$9,MolVol,J$21,J$20,K$21,K$20))</f>
        <v/>
      </c>
      <c r="L47" s="981" t="str">
        <f>IF(L$17=FALSE,"",GasData(GasAnalyser,'Horiba Data'!AA40,'Testo, JUM &amp; MRU Data'!H41,'Thermo Data'!I40,'Testo, JUM &amp; MRU Data'!T41,GDF))</f>
        <v/>
      </c>
      <c r="M47" s="981" t="str">
        <f>IF(L47="","",Conc2(L47,L$9,MolVol,L$21,L$20,M$21,M$20))</f>
        <v/>
      </c>
      <c r="N47" s="981" t="str">
        <f>IF(N$17=FALSE,"",GasData(GasAnalyser,'Horiba Data'!AE40,'Testo, JUM &amp; MRU Data'!I41,'Thermo Data'!J40,'Testo, JUM &amp; MRU Data'!S41,GDF))</f>
        <v/>
      </c>
      <c r="O47" s="981" t="str">
        <f>IF(N47="","",Conc2(N47,N$9,MolVol,N$21,N$20,O$21,O$20))</f>
        <v/>
      </c>
      <c r="P47" s="981" t="str">
        <f>IF(P$17=FALSE,"",GasData(GasAnalyser,'Horiba Data'!AI40,'Testo, JUM &amp; MRU Data'!J41,'Thermo Data'!K40,'Testo, JUM &amp; MRU Data'!R41,GDF))</f>
        <v/>
      </c>
      <c r="Q47" s="981" t="str">
        <f>IF(P47="","",Conc2(P47,P$9,MolVol,P$21,P$20,Q$21,Q$20))</f>
        <v/>
      </c>
      <c r="R47" s="981" t="str">
        <f>IF(R$17=FALSE,"",JUMData('Testo, JUM &amp; MRU Data'!M41,$R$7))</f>
        <v/>
      </c>
      <c r="S47" s="982" t="str">
        <f>IF(R47="","",Conc2(R47,R$9,MolVol,R$21,R$20,S$21,S$20)/(1-Bws))</f>
        <v/>
      </c>
      <c r="T47" s="712"/>
      <c r="AR47" s="334"/>
      <c r="AS47" s="334"/>
      <c r="AT47" s="48"/>
      <c r="AU47" s="48"/>
      <c r="AV47" s="153"/>
      <c r="AW47" s="153"/>
      <c r="AX47" s="153"/>
      <c r="AY47" s="153"/>
      <c r="AZ47" s="153"/>
      <c r="BA47" s="153"/>
      <c r="BB47" s="153"/>
      <c r="BC47" s="153"/>
      <c r="BD47" s="153"/>
      <c r="BE47" s="153"/>
      <c r="BF47" s="153"/>
      <c r="BG47" s="153"/>
      <c r="BH47" s="153"/>
      <c r="BI47" s="153"/>
      <c r="BJ47" s="153"/>
      <c r="BK47" s="153"/>
      <c r="BL47" s="153"/>
      <c r="BM47" s="153"/>
      <c r="BN47" s="153"/>
      <c r="BO47" s="153"/>
      <c r="BP47" s="153"/>
      <c r="BQ47" s="153"/>
      <c r="BR47" s="153"/>
      <c r="BS47" s="153"/>
      <c r="BT47" s="153"/>
      <c r="BU47" s="153"/>
      <c r="BV47" s="153"/>
      <c r="BW47" s="153"/>
      <c r="BX47" s="153"/>
      <c r="BY47" s="153"/>
      <c r="BZ47" s="153"/>
      <c r="CA47" s="153"/>
      <c r="CB47" s="153"/>
      <c r="CC47" s="153"/>
      <c r="CD47" s="153"/>
      <c r="CE47" s="153"/>
      <c r="CF47" s="153"/>
      <c r="CG47" s="153"/>
      <c r="CH47" s="153"/>
      <c r="CI47" s="153"/>
      <c r="CJ47" s="153"/>
      <c r="CK47" s="153"/>
      <c r="CL47" s="153"/>
      <c r="CM47" s="153"/>
      <c r="CN47" s="153"/>
      <c r="CO47" s="153"/>
      <c r="CP47" s="153"/>
      <c r="CQ47" s="153"/>
      <c r="CR47" s="153"/>
      <c r="CS47" s="153"/>
      <c r="CT47" s="153"/>
      <c r="CU47" s="153"/>
      <c r="CV47" s="153"/>
      <c r="CW47" s="153"/>
      <c r="CX47" s="153"/>
      <c r="CY47" s="153"/>
      <c r="CZ47" s="153"/>
      <c r="DA47" s="153"/>
      <c r="DB47" s="153"/>
      <c r="DC47" s="153"/>
      <c r="DD47" s="153"/>
      <c r="DE47" s="153"/>
      <c r="DF47" s="153"/>
      <c r="DG47" s="153"/>
      <c r="DH47" s="153"/>
      <c r="DI47" s="153"/>
      <c r="DJ47" s="153"/>
      <c r="DK47" s="153"/>
      <c r="DL47" s="153"/>
      <c r="DM47" s="153"/>
      <c r="DN47" s="153"/>
      <c r="DO47" s="153"/>
      <c r="DP47" s="153"/>
      <c r="DQ47" s="153"/>
      <c r="DR47" s="153"/>
      <c r="DS47" s="153"/>
      <c r="DT47" s="153"/>
      <c r="DU47" s="153"/>
      <c r="DV47" s="153"/>
      <c r="DW47" s="153"/>
      <c r="DX47" s="153"/>
      <c r="DY47" s="153"/>
      <c r="DZ47" s="153"/>
      <c r="EA47" s="153"/>
      <c r="EB47" s="153"/>
      <c r="EC47" s="153"/>
      <c r="ED47" s="153"/>
      <c r="EE47" s="153"/>
      <c r="EF47" s="153"/>
      <c r="EG47" s="153"/>
      <c r="EH47" s="153"/>
      <c r="EI47" s="153"/>
      <c r="EJ47" s="153"/>
      <c r="EK47" s="153"/>
      <c r="EL47" s="153"/>
      <c r="EM47" s="153"/>
    </row>
    <row r="48" spans="1:143" s="107" customFormat="1" ht="10.5" customHeight="1">
      <c r="A48" s="1140">
        <v>23</v>
      </c>
      <c r="B48" s="1560" t="str">
        <f t="shared" si="2"/>
        <v/>
      </c>
      <c r="C48" s="161" t="str">
        <f>GasTime(GasAnalyser,'Horiba Data'!F41,'Horiba Data'!G41,'Testo, JUM &amp; MRU Data'!A42,'Thermo Data'!B41,HourOffset)</f>
        <v/>
      </c>
      <c r="D48" s="981" t="str">
        <f>IF(D$17=FALSE,"",GasData(GasAnalyser,'Horiba Data'!S41,'Testo, JUM &amp; MRU Data'!D42,'Thermo Data'!E41,'Testo, JUM &amp; MRU Data'!U42,GDF))</f>
        <v/>
      </c>
      <c r="E48" s="981" t="str">
        <f>IF(D48="","",Conc2(D48,D$9,MolVol,D$21,D$20,E$21,E$20))</f>
        <v/>
      </c>
      <c r="F48" s="981" t="str">
        <f>IF(F$17=FALSE,"",GasData(GasAnalyser,'Horiba Data'!AQ41,'Testo, JUM &amp; MRU Data'!E42,'Thermo Data'!F41,'Testo, JUM &amp; MRU Data'!V42,GDF))</f>
        <v/>
      </c>
      <c r="G48" s="981" t="str">
        <f>IF(F48="","",Conc2(F48,F$9,MolVol,F$21,F$20,G$21,G$20))</f>
        <v/>
      </c>
      <c r="H48" s="981" t="str">
        <f>IF(D$17=FALSE,"",IF(F$17=FALSE,"",GasData(GasAnalyser,'Horiba Data'!W41,'Testo, JUM &amp; MRU Data'!F42,'Thermo Data'!G41,'Testo, JUM &amp; MRU Data'!Y42,GDF)))</f>
        <v/>
      </c>
      <c r="I48" s="981" t="str">
        <f>IF(H48="","",Conc2(H48,H$9,MolVol,H$21,H$20,I$21,I$20))</f>
        <v/>
      </c>
      <c r="J48" s="981" t="str">
        <f>IF(J$17=FALSE,"",GasData(GasAnalyser,'Horiba Data'!AM41,'Testo, JUM &amp; MRU Data'!G42,'Thermo Data'!H41,'Testo, JUM &amp; MRU Data'!W42,GDF))</f>
        <v/>
      </c>
      <c r="K48" s="981" t="str">
        <f>IF(J48="","",Conc2(J48,J$9,MolVol,J$21,J$20,K$21,K$20))</f>
        <v/>
      </c>
      <c r="L48" s="981" t="str">
        <f>IF(L$17=FALSE,"",GasData(GasAnalyser,'Horiba Data'!AA41,'Testo, JUM &amp; MRU Data'!H42,'Thermo Data'!I41,'Testo, JUM &amp; MRU Data'!T42,GDF))</f>
        <v/>
      </c>
      <c r="M48" s="981" t="str">
        <f>IF(L48="","",Conc2(L48,L$9,MolVol,L$21,L$20,M$21,M$20))</f>
        <v/>
      </c>
      <c r="N48" s="981" t="str">
        <f>IF(N$17=FALSE,"",GasData(GasAnalyser,'Horiba Data'!AE41,'Testo, JUM &amp; MRU Data'!I42,'Thermo Data'!J41,'Testo, JUM &amp; MRU Data'!S42,GDF))</f>
        <v/>
      </c>
      <c r="O48" s="981" t="str">
        <f>IF(N48="","",Conc2(N48,N$9,MolVol,N$21,N$20,O$21,O$20))</f>
        <v/>
      </c>
      <c r="P48" s="981" t="str">
        <f>IF(P$17=FALSE,"",GasData(GasAnalyser,'Horiba Data'!AI41,'Testo, JUM &amp; MRU Data'!J42,'Thermo Data'!K41,'Testo, JUM &amp; MRU Data'!R42,GDF))</f>
        <v/>
      </c>
      <c r="Q48" s="981" t="str">
        <f>IF(P48="","",Conc2(P48,P$9,MolVol,P$21,P$20,Q$21,Q$20))</f>
        <v/>
      </c>
      <c r="R48" s="981" t="str">
        <f>IF(R$17=FALSE,"",JUMData('Testo, JUM &amp; MRU Data'!M42,$R$7))</f>
        <v/>
      </c>
      <c r="S48" s="982" t="str">
        <f>IF(R48="","",Conc2(R48,R$9,MolVol,R$21,R$20,S$21,S$20)/(1-Bws))</f>
        <v/>
      </c>
      <c r="T48" s="712"/>
      <c r="AR48" s="334"/>
      <c r="AS48" s="334"/>
      <c r="AT48" s="48"/>
      <c r="AU48" s="48"/>
      <c r="AV48" s="153"/>
      <c r="AW48" s="153"/>
      <c r="AX48" s="153"/>
      <c r="AY48" s="153"/>
      <c r="AZ48" s="153"/>
      <c r="BA48" s="153"/>
      <c r="BB48" s="153"/>
      <c r="BC48" s="153"/>
      <c r="BD48" s="153"/>
      <c r="BE48" s="153"/>
      <c r="BF48" s="153"/>
      <c r="BG48" s="153"/>
      <c r="BH48" s="153"/>
      <c r="BI48" s="153"/>
      <c r="BJ48" s="153"/>
      <c r="BK48" s="153"/>
      <c r="BL48" s="153"/>
      <c r="BM48" s="153"/>
      <c r="BN48" s="153"/>
      <c r="BO48" s="153"/>
      <c r="BP48" s="153"/>
      <c r="BQ48" s="153"/>
      <c r="BR48" s="153"/>
      <c r="BS48" s="153"/>
      <c r="BT48" s="153"/>
      <c r="BU48" s="153"/>
      <c r="BV48" s="153"/>
      <c r="BW48" s="153"/>
      <c r="BX48" s="153"/>
      <c r="BY48" s="153"/>
      <c r="BZ48" s="153"/>
      <c r="CA48" s="153"/>
      <c r="CB48" s="153"/>
      <c r="CC48" s="153"/>
      <c r="CD48" s="153"/>
      <c r="CE48" s="153"/>
      <c r="CF48" s="153"/>
      <c r="CG48" s="153"/>
      <c r="CH48" s="153"/>
      <c r="CI48" s="153"/>
      <c r="CJ48" s="153"/>
      <c r="CK48" s="153"/>
      <c r="CL48" s="153"/>
      <c r="CM48" s="153"/>
      <c r="CN48" s="153"/>
      <c r="CO48" s="153"/>
      <c r="CP48" s="153"/>
      <c r="CQ48" s="153"/>
      <c r="CR48" s="153"/>
      <c r="CS48" s="153"/>
      <c r="CT48" s="153"/>
      <c r="CU48" s="153"/>
      <c r="CV48" s="153"/>
      <c r="CW48" s="153"/>
      <c r="CX48" s="153"/>
      <c r="CY48" s="153"/>
      <c r="CZ48" s="153"/>
      <c r="DA48" s="153"/>
      <c r="DB48" s="153"/>
      <c r="DC48" s="153"/>
      <c r="DD48" s="153"/>
      <c r="DE48" s="153"/>
      <c r="DF48" s="153"/>
      <c r="DG48" s="153"/>
      <c r="DH48" s="153"/>
      <c r="DI48" s="153"/>
      <c r="DJ48" s="153"/>
      <c r="DK48" s="153"/>
      <c r="DL48" s="153"/>
      <c r="DM48" s="153"/>
      <c r="DN48" s="153"/>
      <c r="DO48" s="153"/>
      <c r="DP48" s="153"/>
      <c r="DQ48" s="153"/>
      <c r="DR48" s="153"/>
      <c r="DS48" s="153"/>
      <c r="DT48" s="153"/>
      <c r="DU48" s="153"/>
      <c r="DV48" s="153"/>
      <c r="DW48" s="153"/>
      <c r="DX48" s="153"/>
      <c r="DY48" s="153"/>
      <c r="DZ48" s="153"/>
      <c r="EA48" s="153"/>
      <c r="EB48" s="153"/>
      <c r="EC48" s="153"/>
      <c r="ED48" s="153"/>
      <c r="EE48" s="153"/>
      <c r="EF48" s="153"/>
      <c r="EG48" s="153"/>
      <c r="EH48" s="153"/>
      <c r="EI48" s="153"/>
      <c r="EJ48" s="153"/>
      <c r="EK48" s="153"/>
      <c r="EL48" s="153"/>
      <c r="EM48" s="153"/>
    </row>
    <row r="49" spans="1:143" s="107" customFormat="1" ht="10.5" customHeight="1">
      <c r="A49" s="1140">
        <v>24</v>
      </c>
      <c r="B49" s="1560" t="str">
        <f t="shared" si="2"/>
        <v/>
      </c>
      <c r="C49" s="161" t="str">
        <f>GasTime(GasAnalyser,'Horiba Data'!F42,'Horiba Data'!G42,'Testo, JUM &amp; MRU Data'!A43,'Thermo Data'!B42,HourOffset)</f>
        <v/>
      </c>
      <c r="D49" s="981" t="str">
        <f>IF(D$17=FALSE,"",GasData(GasAnalyser,'Horiba Data'!S42,'Testo, JUM &amp; MRU Data'!D43,'Thermo Data'!E42,'Testo, JUM &amp; MRU Data'!U43,GDF))</f>
        <v/>
      </c>
      <c r="E49" s="981" t="str">
        <f>IF(D49="","",Conc2(D49,D$9,MolVol,D$21,D$20,E$21,E$20))</f>
        <v/>
      </c>
      <c r="F49" s="981" t="str">
        <f>IF(F$17=FALSE,"",GasData(GasAnalyser,'Horiba Data'!AQ42,'Testo, JUM &amp; MRU Data'!E43,'Thermo Data'!F42,'Testo, JUM &amp; MRU Data'!V43,GDF))</f>
        <v/>
      </c>
      <c r="G49" s="981" t="str">
        <f>IF(F49="","",Conc2(F49,F$9,MolVol,F$21,F$20,G$21,G$20))</f>
        <v/>
      </c>
      <c r="H49" s="981" t="str">
        <f>IF(D$17=FALSE,"",IF(F$17=FALSE,"",GasData(GasAnalyser,'Horiba Data'!W42,'Testo, JUM &amp; MRU Data'!F43,'Thermo Data'!G42,'Testo, JUM &amp; MRU Data'!Y43,GDF)))</f>
        <v/>
      </c>
      <c r="I49" s="981" t="str">
        <f>IF(H49="","",Conc2(H49,H$9,MolVol,H$21,H$20,I$21,I$20))</f>
        <v/>
      </c>
      <c r="J49" s="981" t="str">
        <f>IF(J$17=FALSE,"",GasData(GasAnalyser,'Horiba Data'!AM42,'Testo, JUM &amp; MRU Data'!G43,'Thermo Data'!H42,'Testo, JUM &amp; MRU Data'!W43,GDF))</f>
        <v/>
      </c>
      <c r="K49" s="981" t="str">
        <f>IF(J49="","",Conc2(J49,J$9,MolVol,J$21,J$20,K$21,K$20))</f>
        <v/>
      </c>
      <c r="L49" s="981" t="str">
        <f>IF(L$17=FALSE,"",GasData(GasAnalyser,'Horiba Data'!AA42,'Testo, JUM &amp; MRU Data'!H43,'Thermo Data'!I42,'Testo, JUM &amp; MRU Data'!T43,GDF))</f>
        <v/>
      </c>
      <c r="M49" s="981" t="str">
        <f>IF(L49="","",Conc2(L49,L$9,MolVol,L$21,L$20,M$21,M$20))</f>
        <v/>
      </c>
      <c r="N49" s="981" t="str">
        <f>IF(N$17=FALSE,"",GasData(GasAnalyser,'Horiba Data'!AE42,'Testo, JUM &amp; MRU Data'!I43,'Thermo Data'!J42,'Testo, JUM &amp; MRU Data'!S43,GDF))</f>
        <v/>
      </c>
      <c r="O49" s="981" t="str">
        <f>IF(N49="","",Conc2(N49,N$9,MolVol,N$21,N$20,O$21,O$20))</f>
        <v/>
      </c>
      <c r="P49" s="981" t="str">
        <f>IF(P$17=FALSE,"",GasData(GasAnalyser,'Horiba Data'!AI42,'Testo, JUM &amp; MRU Data'!J43,'Thermo Data'!K42,'Testo, JUM &amp; MRU Data'!R43,GDF))</f>
        <v/>
      </c>
      <c r="Q49" s="981" t="str">
        <f>IF(P49="","",Conc2(P49,P$9,MolVol,P$21,P$20,Q$21,Q$20))</f>
        <v/>
      </c>
      <c r="R49" s="981" t="str">
        <f>IF(R$17=FALSE,"",JUMData('Testo, JUM &amp; MRU Data'!M43,$R$7))</f>
        <v/>
      </c>
      <c r="S49" s="982" t="str">
        <f>IF(R49="","",Conc2(R49,R$9,MolVol,R$21,R$20,S$21,S$20)/(1-Bws))</f>
        <v/>
      </c>
      <c r="T49" s="712"/>
      <c r="AR49" s="334"/>
      <c r="AS49" s="334"/>
      <c r="AT49" s="48"/>
      <c r="AU49" s="48"/>
      <c r="AV49" s="153"/>
      <c r="AW49" s="153"/>
      <c r="AX49" s="153"/>
      <c r="AY49" s="153"/>
      <c r="AZ49" s="153"/>
      <c r="BA49" s="153"/>
      <c r="BB49" s="153"/>
      <c r="BC49" s="153"/>
      <c r="BD49" s="153"/>
      <c r="BE49" s="153"/>
      <c r="BF49" s="153"/>
      <c r="BG49" s="153"/>
      <c r="BH49" s="153"/>
      <c r="BI49" s="153"/>
      <c r="BJ49" s="153"/>
      <c r="BK49" s="153"/>
      <c r="BL49" s="153"/>
      <c r="BM49" s="153"/>
      <c r="BN49" s="153"/>
      <c r="BO49" s="153"/>
      <c r="BP49" s="153"/>
      <c r="BQ49" s="153"/>
      <c r="BR49" s="153"/>
      <c r="BS49" s="153"/>
      <c r="BT49" s="153"/>
      <c r="BU49" s="153"/>
      <c r="BV49" s="153"/>
      <c r="BW49" s="153"/>
      <c r="BX49" s="153"/>
      <c r="BY49" s="153"/>
      <c r="BZ49" s="153"/>
      <c r="CA49" s="153"/>
      <c r="CB49" s="153"/>
      <c r="CC49" s="153"/>
      <c r="CD49" s="153"/>
      <c r="CE49" s="153"/>
      <c r="CF49" s="153"/>
      <c r="CG49" s="153"/>
      <c r="CH49" s="153"/>
      <c r="CI49" s="153"/>
      <c r="CJ49" s="153"/>
      <c r="CK49" s="153"/>
      <c r="CL49" s="153"/>
      <c r="CM49" s="153"/>
      <c r="CN49" s="153"/>
      <c r="CO49" s="153"/>
      <c r="CP49" s="153"/>
      <c r="CQ49" s="153"/>
      <c r="CR49" s="153"/>
      <c r="CS49" s="153"/>
      <c r="CT49" s="153"/>
      <c r="CU49" s="153"/>
      <c r="CV49" s="153"/>
      <c r="CW49" s="153"/>
      <c r="CX49" s="153"/>
      <c r="CY49" s="153"/>
      <c r="CZ49" s="153"/>
      <c r="DA49" s="153"/>
      <c r="DB49" s="153"/>
      <c r="DC49" s="153"/>
      <c r="DD49" s="153"/>
      <c r="DE49" s="153"/>
      <c r="DF49" s="153"/>
      <c r="DG49" s="153"/>
      <c r="DH49" s="153"/>
      <c r="DI49" s="153"/>
      <c r="DJ49" s="153"/>
      <c r="DK49" s="153"/>
      <c r="DL49" s="153"/>
      <c r="DM49" s="153"/>
      <c r="DN49" s="153"/>
      <c r="DO49" s="153"/>
      <c r="DP49" s="153"/>
      <c r="DQ49" s="153"/>
      <c r="DR49" s="153"/>
      <c r="DS49" s="153"/>
      <c r="DT49" s="153"/>
      <c r="DU49" s="153"/>
      <c r="DV49" s="153"/>
      <c r="DW49" s="153"/>
      <c r="DX49" s="153"/>
      <c r="DY49" s="153"/>
      <c r="DZ49" s="153"/>
      <c r="EA49" s="153"/>
      <c r="EB49" s="153"/>
      <c r="EC49" s="153"/>
      <c r="ED49" s="153"/>
      <c r="EE49" s="153"/>
      <c r="EF49" s="153"/>
      <c r="EG49" s="153"/>
      <c r="EH49" s="153"/>
      <c r="EI49" s="153"/>
      <c r="EJ49" s="153"/>
      <c r="EK49" s="153"/>
      <c r="EL49" s="153"/>
      <c r="EM49" s="153"/>
    </row>
    <row r="50" spans="1:143" s="107" customFormat="1" ht="10.5" customHeight="1">
      <c r="A50" s="1140">
        <v>25</v>
      </c>
      <c r="B50" s="1560" t="str">
        <f t="shared" si="2"/>
        <v/>
      </c>
      <c r="C50" s="161" t="str">
        <f>GasTime(GasAnalyser,'Horiba Data'!F43,'Horiba Data'!G43,'Testo, JUM &amp; MRU Data'!A44,'Thermo Data'!B43,HourOffset)</f>
        <v/>
      </c>
      <c r="D50" s="981" t="str">
        <f>IF(D$17=FALSE,"",GasData(GasAnalyser,'Horiba Data'!S43,'Testo, JUM &amp; MRU Data'!D44,'Thermo Data'!E43,'Testo, JUM &amp; MRU Data'!U44,GDF))</f>
        <v/>
      </c>
      <c r="E50" s="981" t="str">
        <f>IF(D50="","",Conc2(D50,D$9,MolVol,D$21,D$20,E$21,E$20))</f>
        <v/>
      </c>
      <c r="F50" s="981" t="str">
        <f>IF(F$17=FALSE,"",GasData(GasAnalyser,'Horiba Data'!AQ43,'Testo, JUM &amp; MRU Data'!E44,'Thermo Data'!F43,'Testo, JUM &amp; MRU Data'!V44,GDF))</f>
        <v/>
      </c>
      <c r="G50" s="981" t="str">
        <f>IF(F50="","",Conc2(F50,F$9,MolVol,F$21,F$20,G$21,G$20))</f>
        <v/>
      </c>
      <c r="H50" s="981" t="str">
        <f>IF(D$17=FALSE,"",IF(F$17=FALSE,"",GasData(GasAnalyser,'Horiba Data'!W43,'Testo, JUM &amp; MRU Data'!F44,'Thermo Data'!G43,'Testo, JUM &amp; MRU Data'!Y44,GDF)))</f>
        <v/>
      </c>
      <c r="I50" s="981" t="str">
        <f>IF(H50="","",Conc2(H50,H$9,MolVol,H$21,H$20,I$21,I$20))</f>
        <v/>
      </c>
      <c r="J50" s="981" t="str">
        <f>IF(J$17=FALSE,"",GasData(GasAnalyser,'Horiba Data'!AM43,'Testo, JUM &amp; MRU Data'!G44,'Thermo Data'!H43,'Testo, JUM &amp; MRU Data'!W44,GDF))</f>
        <v/>
      </c>
      <c r="K50" s="981" t="str">
        <f>IF(J50="","",Conc2(J50,J$9,MolVol,J$21,J$20,K$21,K$20))</f>
        <v/>
      </c>
      <c r="L50" s="981" t="str">
        <f>IF(L$17=FALSE,"",GasData(GasAnalyser,'Horiba Data'!AA43,'Testo, JUM &amp; MRU Data'!H44,'Thermo Data'!I43,'Testo, JUM &amp; MRU Data'!T44,GDF))</f>
        <v/>
      </c>
      <c r="M50" s="981" t="str">
        <f>IF(L50="","",Conc2(L50,L$9,MolVol,L$21,L$20,M$21,M$20))</f>
        <v/>
      </c>
      <c r="N50" s="981" t="str">
        <f>IF(N$17=FALSE,"",GasData(GasAnalyser,'Horiba Data'!AE43,'Testo, JUM &amp; MRU Data'!I44,'Thermo Data'!J43,'Testo, JUM &amp; MRU Data'!S44,GDF))</f>
        <v/>
      </c>
      <c r="O50" s="981" t="str">
        <f>IF(N50="","",Conc2(N50,N$9,MolVol,N$21,N$20,O$21,O$20))</f>
        <v/>
      </c>
      <c r="P50" s="981" t="str">
        <f>IF(P$17=FALSE,"",GasData(GasAnalyser,'Horiba Data'!AI43,'Testo, JUM &amp; MRU Data'!J44,'Thermo Data'!K43,'Testo, JUM &amp; MRU Data'!R44,GDF))</f>
        <v/>
      </c>
      <c r="Q50" s="981" t="str">
        <f>IF(P50="","",Conc2(P50,P$9,MolVol,P$21,P$20,Q$21,Q$20))</f>
        <v/>
      </c>
      <c r="R50" s="981" t="str">
        <f>IF(R$17=FALSE,"",JUMData('Testo, JUM &amp; MRU Data'!M44,$R$7))</f>
        <v/>
      </c>
      <c r="S50" s="982" t="str">
        <f>IF(R50="","",Conc2(R50,R$9,MolVol,R$21,R$20,S$21,S$20)/(1-Bws))</f>
        <v/>
      </c>
      <c r="T50" s="712"/>
      <c r="AR50" s="334"/>
      <c r="AS50" s="334"/>
      <c r="AT50" s="48"/>
      <c r="AU50" s="48"/>
      <c r="AV50" s="153"/>
      <c r="AW50" s="153"/>
      <c r="AX50" s="153"/>
      <c r="AY50" s="153"/>
      <c r="AZ50" s="153"/>
      <c r="BA50" s="153"/>
      <c r="BB50" s="153"/>
      <c r="BC50" s="153"/>
      <c r="BD50" s="153"/>
      <c r="BE50" s="153"/>
      <c r="BF50" s="153"/>
      <c r="BG50" s="153"/>
      <c r="BH50" s="153"/>
      <c r="BI50" s="153"/>
      <c r="BJ50" s="153"/>
      <c r="BK50" s="153"/>
      <c r="BL50" s="153"/>
      <c r="BM50" s="153"/>
      <c r="BN50" s="153"/>
      <c r="BO50" s="153"/>
      <c r="BP50" s="153"/>
      <c r="BQ50" s="153"/>
      <c r="BR50" s="153"/>
      <c r="BS50" s="153"/>
      <c r="BT50" s="153"/>
      <c r="BU50" s="153"/>
      <c r="BV50" s="153"/>
      <c r="BW50" s="153"/>
      <c r="BX50" s="153"/>
      <c r="BY50" s="153"/>
      <c r="BZ50" s="153"/>
      <c r="CA50" s="153"/>
      <c r="CB50" s="153"/>
      <c r="CC50" s="153"/>
      <c r="CD50" s="153"/>
      <c r="CE50" s="153"/>
      <c r="CF50" s="153"/>
      <c r="CG50" s="153"/>
      <c r="CH50" s="153"/>
      <c r="CI50" s="153"/>
      <c r="CJ50" s="153"/>
      <c r="CK50" s="153"/>
      <c r="CL50" s="153"/>
      <c r="CM50" s="153"/>
      <c r="CN50" s="153"/>
      <c r="CO50" s="153"/>
      <c r="CP50" s="153"/>
      <c r="CQ50" s="153"/>
      <c r="CR50" s="153"/>
      <c r="CS50" s="153"/>
      <c r="CT50" s="153"/>
      <c r="CU50" s="153"/>
      <c r="CV50" s="153"/>
      <c r="CW50" s="153"/>
      <c r="CX50" s="153"/>
      <c r="CY50" s="153"/>
      <c r="CZ50" s="153"/>
      <c r="DA50" s="153"/>
      <c r="DB50" s="153"/>
      <c r="DC50" s="153"/>
      <c r="DD50" s="153"/>
      <c r="DE50" s="153"/>
      <c r="DF50" s="153"/>
      <c r="DG50" s="153"/>
      <c r="DH50" s="153"/>
      <c r="DI50" s="153"/>
      <c r="DJ50" s="153"/>
      <c r="DK50" s="153"/>
      <c r="DL50" s="153"/>
      <c r="DM50" s="153"/>
      <c r="DN50" s="153"/>
      <c r="DO50" s="153"/>
      <c r="DP50" s="153"/>
      <c r="DQ50" s="153"/>
      <c r="DR50" s="153"/>
      <c r="DS50" s="153"/>
      <c r="DT50" s="153"/>
      <c r="DU50" s="153"/>
      <c r="DV50" s="153"/>
      <c r="DW50" s="153"/>
      <c r="DX50" s="153"/>
      <c r="DY50" s="153"/>
      <c r="DZ50" s="153"/>
      <c r="EA50" s="153"/>
      <c r="EB50" s="153"/>
      <c r="EC50" s="153"/>
      <c r="ED50" s="153"/>
      <c r="EE50" s="153"/>
      <c r="EF50" s="153"/>
      <c r="EG50" s="153"/>
      <c r="EH50" s="153"/>
      <c r="EI50" s="153"/>
      <c r="EJ50" s="153"/>
      <c r="EK50" s="153"/>
      <c r="EL50" s="153"/>
      <c r="EM50" s="153"/>
    </row>
    <row r="51" spans="1:143" s="107" customFormat="1" ht="10.5" customHeight="1">
      <c r="A51" s="1140">
        <v>26</v>
      </c>
      <c r="B51" s="1560" t="str">
        <f t="shared" si="2"/>
        <v/>
      </c>
      <c r="C51" s="161" t="str">
        <f>GasTime(GasAnalyser,'Horiba Data'!F44,'Horiba Data'!G44,'Testo, JUM &amp; MRU Data'!A45,'Thermo Data'!B44,HourOffset)</f>
        <v/>
      </c>
      <c r="D51" s="981" t="str">
        <f>IF(D$17=FALSE,"",GasData(GasAnalyser,'Horiba Data'!S44,'Testo, JUM &amp; MRU Data'!D45,'Thermo Data'!E44,'Testo, JUM &amp; MRU Data'!U45,GDF))</f>
        <v/>
      </c>
      <c r="E51" s="981" t="str">
        <f>IF(D51="","",Conc2(D51,D$9,MolVol,D$21,D$20,E$21,E$20))</f>
        <v/>
      </c>
      <c r="F51" s="981" t="str">
        <f>IF(F$17=FALSE,"",GasData(GasAnalyser,'Horiba Data'!AQ44,'Testo, JUM &amp; MRU Data'!E45,'Thermo Data'!F44,'Testo, JUM &amp; MRU Data'!V45,GDF))</f>
        <v/>
      </c>
      <c r="G51" s="981" t="str">
        <f>IF(F51="","",Conc2(F51,F$9,MolVol,F$21,F$20,G$21,G$20))</f>
        <v/>
      </c>
      <c r="H51" s="981" t="str">
        <f>IF(D$17=FALSE,"",IF(F$17=FALSE,"",GasData(GasAnalyser,'Horiba Data'!W44,'Testo, JUM &amp; MRU Data'!F45,'Thermo Data'!G44,'Testo, JUM &amp; MRU Data'!Y45,GDF)))</f>
        <v/>
      </c>
      <c r="I51" s="981" t="str">
        <f>IF(H51="","",Conc2(H51,H$9,MolVol,H$21,H$20,I$21,I$20))</f>
        <v/>
      </c>
      <c r="J51" s="981" t="str">
        <f>IF(J$17=FALSE,"",GasData(GasAnalyser,'Horiba Data'!AM44,'Testo, JUM &amp; MRU Data'!G45,'Thermo Data'!H44,'Testo, JUM &amp; MRU Data'!W45,GDF))</f>
        <v/>
      </c>
      <c r="K51" s="981" t="str">
        <f>IF(J51="","",Conc2(J51,J$9,MolVol,J$21,J$20,K$21,K$20))</f>
        <v/>
      </c>
      <c r="L51" s="981" t="str">
        <f>IF(L$17=FALSE,"",GasData(GasAnalyser,'Horiba Data'!AA44,'Testo, JUM &amp; MRU Data'!H45,'Thermo Data'!I44,'Testo, JUM &amp; MRU Data'!T45,GDF))</f>
        <v/>
      </c>
      <c r="M51" s="981" t="str">
        <f>IF(L51="","",Conc2(L51,L$9,MolVol,L$21,L$20,M$21,M$20))</f>
        <v/>
      </c>
      <c r="N51" s="981" t="str">
        <f>IF(N$17=FALSE,"",GasData(GasAnalyser,'Horiba Data'!AE44,'Testo, JUM &amp; MRU Data'!I45,'Thermo Data'!J44,'Testo, JUM &amp; MRU Data'!S45,GDF))</f>
        <v/>
      </c>
      <c r="O51" s="981" t="str">
        <f>IF(N51="","",Conc2(N51,N$9,MolVol,N$21,N$20,O$21,O$20))</f>
        <v/>
      </c>
      <c r="P51" s="981" t="str">
        <f>IF(P$17=FALSE,"",GasData(GasAnalyser,'Horiba Data'!AI44,'Testo, JUM &amp; MRU Data'!J45,'Thermo Data'!K44,'Testo, JUM &amp; MRU Data'!R45,GDF))</f>
        <v/>
      </c>
      <c r="Q51" s="981" t="str">
        <f>IF(P51="","",Conc2(P51,P$9,MolVol,P$21,P$20,Q$21,Q$20))</f>
        <v/>
      </c>
      <c r="R51" s="981" t="str">
        <f>IF(R$17=FALSE,"",JUMData('Testo, JUM &amp; MRU Data'!M45,$R$7))</f>
        <v/>
      </c>
      <c r="S51" s="982" t="str">
        <f>IF(R51="","",Conc2(R51,R$9,MolVol,R$21,R$20,S$21,S$20)/(1-Bws))</f>
        <v/>
      </c>
      <c r="T51" s="712"/>
      <c r="AR51" s="334"/>
      <c r="AS51" s="334"/>
      <c r="AT51" s="48"/>
      <c r="AU51" s="48"/>
      <c r="AV51" s="153"/>
      <c r="AW51" s="153"/>
      <c r="AX51" s="153"/>
      <c r="AY51" s="153"/>
      <c r="AZ51" s="153"/>
      <c r="BA51" s="153"/>
      <c r="BB51" s="153"/>
      <c r="BC51" s="153"/>
      <c r="BD51" s="153"/>
      <c r="BE51" s="153"/>
      <c r="BF51" s="153"/>
      <c r="BG51" s="153"/>
      <c r="BH51" s="153"/>
      <c r="BI51" s="153"/>
      <c r="BJ51" s="153"/>
      <c r="BK51" s="153"/>
      <c r="BL51" s="153"/>
      <c r="BM51" s="153"/>
      <c r="BN51" s="153"/>
      <c r="BO51" s="153"/>
      <c r="BP51" s="153"/>
      <c r="BQ51" s="153"/>
      <c r="BR51" s="153"/>
      <c r="BS51" s="153"/>
      <c r="BT51" s="153"/>
      <c r="BU51" s="153"/>
      <c r="BV51" s="153"/>
      <c r="BW51" s="153"/>
      <c r="BX51" s="153"/>
      <c r="BY51" s="153"/>
      <c r="BZ51" s="153"/>
      <c r="CA51" s="153"/>
      <c r="CB51" s="153"/>
      <c r="CC51" s="153"/>
      <c r="CD51" s="153"/>
      <c r="CE51" s="153"/>
      <c r="CF51" s="153"/>
      <c r="CG51" s="153"/>
      <c r="CH51" s="153"/>
      <c r="CI51" s="153"/>
      <c r="CJ51" s="153"/>
      <c r="CK51" s="153"/>
      <c r="CL51" s="153"/>
      <c r="CM51" s="153"/>
      <c r="CN51" s="153"/>
      <c r="CO51" s="153"/>
      <c r="CP51" s="153"/>
      <c r="CQ51" s="153"/>
      <c r="CR51" s="153"/>
      <c r="CS51" s="153"/>
      <c r="CT51" s="153"/>
      <c r="CU51" s="153"/>
      <c r="CV51" s="153"/>
      <c r="CW51" s="153"/>
      <c r="CX51" s="153"/>
      <c r="CY51" s="153"/>
      <c r="CZ51" s="153"/>
      <c r="DA51" s="153"/>
      <c r="DB51" s="153"/>
      <c r="DC51" s="153"/>
      <c r="DD51" s="153"/>
      <c r="DE51" s="153"/>
      <c r="DF51" s="153"/>
      <c r="DG51" s="153"/>
      <c r="DH51" s="153"/>
      <c r="DI51" s="153"/>
      <c r="DJ51" s="153"/>
      <c r="DK51" s="153"/>
      <c r="DL51" s="153"/>
      <c r="DM51" s="153"/>
      <c r="DN51" s="153"/>
      <c r="DO51" s="153"/>
      <c r="DP51" s="153"/>
      <c r="DQ51" s="153"/>
      <c r="DR51" s="153"/>
      <c r="DS51" s="153"/>
      <c r="DT51" s="153"/>
      <c r="DU51" s="153"/>
      <c r="DV51" s="153"/>
      <c r="DW51" s="153"/>
      <c r="DX51" s="153"/>
      <c r="DY51" s="153"/>
      <c r="DZ51" s="153"/>
      <c r="EA51" s="153"/>
      <c r="EB51" s="153"/>
      <c r="EC51" s="153"/>
      <c r="ED51" s="153"/>
      <c r="EE51" s="153"/>
      <c r="EF51" s="153"/>
      <c r="EG51" s="153"/>
      <c r="EH51" s="153"/>
      <c r="EI51" s="153"/>
      <c r="EJ51" s="153"/>
      <c r="EK51" s="153"/>
      <c r="EL51" s="153"/>
      <c r="EM51" s="153"/>
    </row>
    <row r="52" spans="1:143" s="107" customFormat="1" ht="10.5" customHeight="1">
      <c r="A52" s="1140">
        <v>27</v>
      </c>
      <c r="B52" s="1560" t="str">
        <f t="shared" si="2"/>
        <v/>
      </c>
      <c r="C52" s="161" t="str">
        <f>GasTime(GasAnalyser,'Horiba Data'!F45,'Horiba Data'!G45,'Testo, JUM &amp; MRU Data'!A46,'Thermo Data'!B45,HourOffset)</f>
        <v/>
      </c>
      <c r="D52" s="981" t="str">
        <f>IF(D$17=FALSE,"",GasData(GasAnalyser,'Horiba Data'!S45,'Testo, JUM &amp; MRU Data'!D46,'Thermo Data'!E45,'Testo, JUM &amp; MRU Data'!U46,GDF))</f>
        <v/>
      </c>
      <c r="E52" s="981" t="str">
        <f>IF(D52="","",Conc2(D52,D$9,MolVol,D$21,D$20,E$21,E$20))</f>
        <v/>
      </c>
      <c r="F52" s="981" t="str">
        <f>IF(F$17=FALSE,"",GasData(GasAnalyser,'Horiba Data'!AQ45,'Testo, JUM &amp; MRU Data'!E46,'Thermo Data'!F45,'Testo, JUM &amp; MRU Data'!V46,GDF))</f>
        <v/>
      </c>
      <c r="G52" s="981" t="str">
        <f>IF(F52="","",Conc2(F52,F$9,MolVol,F$21,F$20,G$21,G$20))</f>
        <v/>
      </c>
      <c r="H52" s="981" t="str">
        <f>IF(D$17=FALSE,"",IF(F$17=FALSE,"",GasData(GasAnalyser,'Horiba Data'!W45,'Testo, JUM &amp; MRU Data'!F46,'Thermo Data'!G45,'Testo, JUM &amp; MRU Data'!Y46,GDF)))</f>
        <v/>
      </c>
      <c r="I52" s="981" t="str">
        <f>IF(H52="","",Conc2(H52,H$9,MolVol,H$21,H$20,I$21,I$20))</f>
        <v/>
      </c>
      <c r="J52" s="981" t="str">
        <f>IF(J$17=FALSE,"",GasData(GasAnalyser,'Horiba Data'!AM45,'Testo, JUM &amp; MRU Data'!G46,'Thermo Data'!H45,'Testo, JUM &amp; MRU Data'!W46,GDF))</f>
        <v/>
      </c>
      <c r="K52" s="981" t="str">
        <f>IF(J52="","",Conc2(J52,J$9,MolVol,J$21,J$20,K$21,K$20))</f>
        <v/>
      </c>
      <c r="L52" s="981" t="str">
        <f>IF(L$17=FALSE,"",GasData(GasAnalyser,'Horiba Data'!AA45,'Testo, JUM &amp; MRU Data'!H46,'Thermo Data'!I45,'Testo, JUM &amp; MRU Data'!T46,GDF))</f>
        <v/>
      </c>
      <c r="M52" s="981" t="str">
        <f>IF(L52="","",Conc2(L52,L$9,MolVol,L$21,L$20,M$21,M$20))</f>
        <v/>
      </c>
      <c r="N52" s="981" t="str">
        <f>IF(N$17=FALSE,"",GasData(GasAnalyser,'Horiba Data'!AE45,'Testo, JUM &amp; MRU Data'!I46,'Thermo Data'!J45,'Testo, JUM &amp; MRU Data'!S46,GDF))</f>
        <v/>
      </c>
      <c r="O52" s="981" t="str">
        <f>IF(N52="","",Conc2(N52,N$9,MolVol,N$21,N$20,O$21,O$20))</f>
        <v/>
      </c>
      <c r="P52" s="981" t="str">
        <f>IF(P$17=FALSE,"",GasData(GasAnalyser,'Horiba Data'!AI45,'Testo, JUM &amp; MRU Data'!J46,'Thermo Data'!K45,'Testo, JUM &amp; MRU Data'!R46,GDF))</f>
        <v/>
      </c>
      <c r="Q52" s="981" t="str">
        <f>IF(P52="","",Conc2(P52,P$9,MolVol,P$21,P$20,Q$21,Q$20))</f>
        <v/>
      </c>
      <c r="R52" s="981" t="str">
        <f>IF(R$17=FALSE,"",JUMData('Testo, JUM &amp; MRU Data'!M46,$R$7))</f>
        <v/>
      </c>
      <c r="S52" s="982" t="str">
        <f>IF(R52="","",Conc2(R52,R$9,MolVol,R$21,R$20,S$21,S$20)/(1-Bws))</f>
        <v/>
      </c>
      <c r="T52" s="712"/>
      <c r="AR52" s="334"/>
      <c r="AS52" s="334"/>
      <c r="AT52" s="48"/>
      <c r="AU52" s="48"/>
      <c r="AV52" s="153"/>
      <c r="AW52" s="153"/>
      <c r="AX52" s="153"/>
      <c r="AY52" s="153"/>
      <c r="AZ52" s="153"/>
      <c r="BA52" s="153"/>
      <c r="BB52" s="153"/>
      <c r="BC52" s="153"/>
      <c r="BD52" s="153"/>
      <c r="BE52" s="153"/>
      <c r="BF52" s="153"/>
      <c r="BG52" s="153"/>
      <c r="BH52" s="153"/>
      <c r="BI52" s="153"/>
      <c r="BJ52" s="153"/>
      <c r="BK52" s="153"/>
      <c r="BL52" s="153"/>
      <c r="BM52" s="153"/>
      <c r="BN52" s="153"/>
      <c r="BO52" s="153"/>
      <c r="BP52" s="153"/>
      <c r="BQ52" s="153"/>
      <c r="BR52" s="153"/>
      <c r="BS52" s="153"/>
      <c r="BT52" s="153"/>
      <c r="BU52" s="153"/>
      <c r="BV52" s="153"/>
      <c r="BW52" s="153"/>
      <c r="BX52" s="153"/>
      <c r="BY52" s="153"/>
      <c r="BZ52" s="153"/>
      <c r="CA52" s="153"/>
      <c r="CB52" s="153"/>
      <c r="CC52" s="153"/>
      <c r="CD52" s="153"/>
      <c r="CE52" s="153"/>
      <c r="CF52" s="153"/>
      <c r="CG52" s="153"/>
      <c r="CH52" s="153"/>
      <c r="CI52" s="153"/>
      <c r="CJ52" s="153"/>
      <c r="CK52" s="153"/>
      <c r="CL52" s="153"/>
      <c r="CM52" s="153"/>
      <c r="CN52" s="153"/>
      <c r="CO52" s="153"/>
      <c r="CP52" s="153"/>
      <c r="CQ52" s="153"/>
      <c r="CR52" s="153"/>
      <c r="CS52" s="153"/>
      <c r="CT52" s="153"/>
      <c r="CU52" s="153"/>
      <c r="CV52" s="153"/>
      <c r="CW52" s="153"/>
      <c r="CX52" s="153"/>
      <c r="CY52" s="153"/>
      <c r="CZ52" s="153"/>
      <c r="DA52" s="153"/>
      <c r="DB52" s="153"/>
      <c r="DC52" s="153"/>
      <c r="DD52" s="153"/>
      <c r="DE52" s="153"/>
      <c r="DF52" s="153"/>
      <c r="DG52" s="153"/>
      <c r="DH52" s="153"/>
      <c r="DI52" s="153"/>
      <c r="DJ52" s="153"/>
      <c r="DK52" s="153"/>
      <c r="DL52" s="153"/>
      <c r="DM52" s="153"/>
      <c r="DN52" s="153"/>
      <c r="DO52" s="153"/>
      <c r="DP52" s="153"/>
      <c r="DQ52" s="153"/>
      <c r="DR52" s="153"/>
      <c r="DS52" s="153"/>
      <c r="DT52" s="153"/>
      <c r="DU52" s="153"/>
      <c r="DV52" s="153"/>
      <c r="DW52" s="153"/>
      <c r="DX52" s="153"/>
      <c r="DY52" s="153"/>
      <c r="DZ52" s="153"/>
      <c r="EA52" s="153"/>
      <c r="EB52" s="153"/>
      <c r="EC52" s="153"/>
      <c r="ED52" s="153"/>
      <c r="EE52" s="153"/>
      <c r="EF52" s="153"/>
      <c r="EG52" s="153"/>
      <c r="EH52" s="153"/>
      <c r="EI52" s="153"/>
      <c r="EJ52" s="153"/>
      <c r="EK52" s="153"/>
      <c r="EL52" s="153"/>
      <c r="EM52" s="153"/>
    </row>
    <row r="53" spans="1:143" s="107" customFormat="1" ht="10.5" customHeight="1">
      <c r="A53" s="1140">
        <v>28</v>
      </c>
      <c r="B53" s="1560" t="str">
        <f t="shared" si="2"/>
        <v/>
      </c>
      <c r="C53" s="161" t="str">
        <f>GasTime(GasAnalyser,'Horiba Data'!F46,'Horiba Data'!G46,'Testo, JUM &amp; MRU Data'!A47,'Thermo Data'!B46,HourOffset)</f>
        <v/>
      </c>
      <c r="D53" s="981" t="str">
        <f>IF(D$17=FALSE,"",GasData(GasAnalyser,'Horiba Data'!S46,'Testo, JUM &amp; MRU Data'!D47,'Thermo Data'!E46,'Testo, JUM &amp; MRU Data'!U47,GDF))</f>
        <v/>
      </c>
      <c r="E53" s="981" t="str">
        <f>IF(D53="","",Conc2(D53,D$9,MolVol,D$21,D$20,E$21,E$20))</f>
        <v/>
      </c>
      <c r="F53" s="981" t="str">
        <f>IF(F$17=FALSE,"",GasData(GasAnalyser,'Horiba Data'!AQ46,'Testo, JUM &amp; MRU Data'!E47,'Thermo Data'!F46,'Testo, JUM &amp; MRU Data'!V47,GDF))</f>
        <v/>
      </c>
      <c r="G53" s="981" t="str">
        <f>IF(F53="","",Conc2(F53,F$9,MolVol,F$21,F$20,G$21,G$20))</f>
        <v/>
      </c>
      <c r="H53" s="981" t="str">
        <f>IF(D$17=FALSE,"",IF(F$17=FALSE,"",GasData(GasAnalyser,'Horiba Data'!W46,'Testo, JUM &amp; MRU Data'!F47,'Thermo Data'!G46,'Testo, JUM &amp; MRU Data'!Y47,GDF)))</f>
        <v/>
      </c>
      <c r="I53" s="981" t="str">
        <f>IF(H53="","",Conc2(H53,H$9,MolVol,H$21,H$20,I$21,I$20))</f>
        <v/>
      </c>
      <c r="J53" s="981" t="str">
        <f>IF(J$17=FALSE,"",GasData(GasAnalyser,'Horiba Data'!AM46,'Testo, JUM &amp; MRU Data'!G47,'Thermo Data'!H46,'Testo, JUM &amp; MRU Data'!W47,GDF))</f>
        <v/>
      </c>
      <c r="K53" s="981" t="str">
        <f>IF(J53="","",Conc2(J53,J$9,MolVol,J$21,J$20,K$21,K$20))</f>
        <v/>
      </c>
      <c r="L53" s="981" t="str">
        <f>IF(L$17=FALSE,"",GasData(GasAnalyser,'Horiba Data'!AA46,'Testo, JUM &amp; MRU Data'!H47,'Thermo Data'!I46,'Testo, JUM &amp; MRU Data'!T47,GDF))</f>
        <v/>
      </c>
      <c r="M53" s="981" t="str">
        <f>IF(L53="","",Conc2(L53,L$9,MolVol,L$21,L$20,M$21,M$20))</f>
        <v/>
      </c>
      <c r="N53" s="981" t="str">
        <f>IF(N$17=FALSE,"",GasData(GasAnalyser,'Horiba Data'!AE46,'Testo, JUM &amp; MRU Data'!I47,'Thermo Data'!J46,'Testo, JUM &amp; MRU Data'!S47,GDF))</f>
        <v/>
      </c>
      <c r="O53" s="981" t="str">
        <f>IF(N53="","",Conc2(N53,N$9,MolVol,N$21,N$20,O$21,O$20))</f>
        <v/>
      </c>
      <c r="P53" s="981" t="str">
        <f>IF(P$17=FALSE,"",GasData(GasAnalyser,'Horiba Data'!AI46,'Testo, JUM &amp; MRU Data'!J47,'Thermo Data'!K46,'Testo, JUM &amp; MRU Data'!R47,GDF))</f>
        <v/>
      </c>
      <c r="Q53" s="981" t="str">
        <f>IF(P53="","",Conc2(P53,P$9,MolVol,P$21,P$20,Q$21,Q$20))</f>
        <v/>
      </c>
      <c r="R53" s="981" t="str">
        <f>IF(R$17=FALSE,"",JUMData('Testo, JUM &amp; MRU Data'!M47,$R$7))</f>
        <v/>
      </c>
      <c r="S53" s="982" t="str">
        <f>IF(R53="","",Conc2(R53,R$9,MolVol,R$21,R$20,S$21,S$20)/(1-Bws))</f>
        <v/>
      </c>
      <c r="T53" s="712"/>
      <c r="AR53" s="334"/>
      <c r="AS53" s="334"/>
      <c r="AT53" s="48"/>
      <c r="AU53" s="48"/>
      <c r="AV53" s="153"/>
      <c r="AW53" s="153"/>
      <c r="AX53" s="153"/>
      <c r="AY53" s="153"/>
      <c r="AZ53" s="153"/>
      <c r="BA53" s="153"/>
      <c r="BB53" s="153"/>
      <c r="BC53" s="153"/>
      <c r="BD53" s="153"/>
      <c r="BE53" s="153"/>
      <c r="BF53" s="153"/>
      <c r="BG53" s="153"/>
      <c r="BH53" s="153"/>
      <c r="BI53" s="153"/>
      <c r="BJ53" s="153"/>
      <c r="BK53" s="153"/>
      <c r="BL53" s="153"/>
      <c r="BM53" s="153"/>
      <c r="BN53" s="153"/>
      <c r="BO53" s="153"/>
      <c r="BP53" s="153"/>
      <c r="BQ53" s="153"/>
      <c r="BR53" s="153"/>
      <c r="BS53" s="153"/>
      <c r="BT53" s="153"/>
      <c r="BU53" s="153"/>
      <c r="BV53" s="153"/>
      <c r="BW53" s="153"/>
      <c r="BX53" s="153"/>
      <c r="BY53" s="153"/>
      <c r="BZ53" s="153"/>
      <c r="CA53" s="153"/>
      <c r="CB53" s="153"/>
      <c r="CC53" s="153"/>
      <c r="CD53" s="153"/>
      <c r="CE53" s="153"/>
      <c r="CF53" s="153"/>
      <c r="CG53" s="153"/>
      <c r="CH53" s="153"/>
      <c r="CI53" s="153"/>
      <c r="CJ53" s="153"/>
      <c r="CK53" s="153"/>
      <c r="CL53" s="153"/>
      <c r="CM53" s="153"/>
      <c r="CN53" s="153"/>
      <c r="CO53" s="153"/>
      <c r="CP53" s="153"/>
      <c r="CQ53" s="153"/>
      <c r="CR53" s="153"/>
      <c r="CS53" s="153"/>
      <c r="CT53" s="153"/>
      <c r="CU53" s="153"/>
      <c r="CV53" s="153"/>
      <c r="CW53" s="153"/>
      <c r="CX53" s="153"/>
      <c r="CY53" s="153"/>
      <c r="CZ53" s="153"/>
      <c r="DA53" s="153"/>
      <c r="DB53" s="153"/>
      <c r="DC53" s="153"/>
      <c r="DD53" s="153"/>
      <c r="DE53" s="153"/>
      <c r="DF53" s="153"/>
      <c r="DG53" s="153"/>
      <c r="DH53" s="153"/>
      <c r="DI53" s="153"/>
      <c r="DJ53" s="153"/>
      <c r="DK53" s="153"/>
      <c r="DL53" s="153"/>
      <c r="DM53" s="153"/>
      <c r="DN53" s="153"/>
      <c r="DO53" s="153"/>
      <c r="DP53" s="153"/>
      <c r="DQ53" s="153"/>
      <c r="DR53" s="153"/>
      <c r="DS53" s="153"/>
      <c r="DT53" s="153"/>
      <c r="DU53" s="153"/>
      <c r="DV53" s="153"/>
      <c r="DW53" s="153"/>
      <c r="DX53" s="153"/>
      <c r="DY53" s="153"/>
      <c r="DZ53" s="153"/>
      <c r="EA53" s="153"/>
      <c r="EB53" s="153"/>
      <c r="EC53" s="153"/>
      <c r="ED53" s="153"/>
      <c r="EE53" s="153"/>
      <c r="EF53" s="153"/>
      <c r="EG53" s="153"/>
      <c r="EH53" s="153"/>
      <c r="EI53" s="153"/>
      <c r="EJ53" s="153"/>
      <c r="EK53" s="153"/>
      <c r="EL53" s="153"/>
      <c r="EM53" s="153"/>
    </row>
    <row r="54" spans="1:143" s="107" customFormat="1" ht="10.5" customHeight="1">
      <c r="A54" s="1140">
        <v>29</v>
      </c>
      <c r="B54" s="1560" t="str">
        <f t="shared" si="2"/>
        <v/>
      </c>
      <c r="C54" s="161" t="str">
        <f>GasTime(GasAnalyser,'Horiba Data'!F47,'Horiba Data'!G47,'Testo, JUM &amp; MRU Data'!A48,'Thermo Data'!B47,HourOffset)</f>
        <v/>
      </c>
      <c r="D54" s="981" t="str">
        <f>IF(D$17=FALSE,"",GasData(GasAnalyser,'Horiba Data'!S47,'Testo, JUM &amp; MRU Data'!D48,'Thermo Data'!E47,'Testo, JUM &amp; MRU Data'!U48,GDF))</f>
        <v/>
      </c>
      <c r="E54" s="981" t="str">
        <f>IF(D54="","",Conc2(D54,D$9,MolVol,D$21,D$20,E$21,E$20))</f>
        <v/>
      </c>
      <c r="F54" s="981" t="str">
        <f>IF(F$17=FALSE,"",GasData(GasAnalyser,'Horiba Data'!AQ47,'Testo, JUM &amp; MRU Data'!E48,'Thermo Data'!F47,'Testo, JUM &amp; MRU Data'!V48,GDF))</f>
        <v/>
      </c>
      <c r="G54" s="981" t="str">
        <f>IF(F54="","",Conc2(F54,F$9,MolVol,F$21,F$20,G$21,G$20))</f>
        <v/>
      </c>
      <c r="H54" s="981" t="str">
        <f>IF(D$17=FALSE,"",IF(F$17=FALSE,"",GasData(GasAnalyser,'Horiba Data'!W47,'Testo, JUM &amp; MRU Data'!F48,'Thermo Data'!G47,'Testo, JUM &amp; MRU Data'!Y48,GDF)))</f>
        <v/>
      </c>
      <c r="I54" s="981" t="str">
        <f>IF(H54="","",Conc2(H54,H$9,MolVol,H$21,H$20,I$21,I$20))</f>
        <v/>
      </c>
      <c r="J54" s="981" t="str">
        <f>IF(J$17=FALSE,"",GasData(GasAnalyser,'Horiba Data'!AM47,'Testo, JUM &amp; MRU Data'!G48,'Thermo Data'!H47,'Testo, JUM &amp; MRU Data'!W48,GDF))</f>
        <v/>
      </c>
      <c r="K54" s="981" t="str">
        <f>IF(J54="","",Conc2(J54,J$9,MolVol,J$21,J$20,K$21,K$20))</f>
        <v/>
      </c>
      <c r="L54" s="981" t="str">
        <f>IF(L$17=FALSE,"",GasData(GasAnalyser,'Horiba Data'!AA47,'Testo, JUM &amp; MRU Data'!H48,'Thermo Data'!I47,'Testo, JUM &amp; MRU Data'!T48,GDF))</f>
        <v/>
      </c>
      <c r="M54" s="981" t="str">
        <f>IF(L54="","",Conc2(L54,L$9,MolVol,L$21,L$20,M$21,M$20))</f>
        <v/>
      </c>
      <c r="N54" s="981" t="str">
        <f>IF(N$17=FALSE,"",GasData(GasAnalyser,'Horiba Data'!AE47,'Testo, JUM &amp; MRU Data'!I48,'Thermo Data'!J47,'Testo, JUM &amp; MRU Data'!S48,GDF))</f>
        <v/>
      </c>
      <c r="O54" s="981" t="str">
        <f>IF(N54="","",Conc2(N54,N$9,MolVol,N$21,N$20,O$21,O$20))</f>
        <v/>
      </c>
      <c r="P54" s="981" t="str">
        <f>IF(P$17=FALSE,"",GasData(GasAnalyser,'Horiba Data'!AI47,'Testo, JUM &amp; MRU Data'!J48,'Thermo Data'!K47,'Testo, JUM &amp; MRU Data'!R48,GDF))</f>
        <v/>
      </c>
      <c r="Q54" s="981" t="str">
        <f>IF(P54="","",Conc2(P54,P$9,MolVol,P$21,P$20,Q$21,Q$20))</f>
        <v/>
      </c>
      <c r="R54" s="981" t="str">
        <f>IF(R$17=FALSE,"",JUMData('Testo, JUM &amp; MRU Data'!M48,$R$7))</f>
        <v/>
      </c>
      <c r="S54" s="982" t="str">
        <f>IF(R54="","",Conc2(R54,R$9,MolVol,R$21,R$20,S$21,S$20)/(1-Bws))</f>
        <v/>
      </c>
      <c r="T54" s="712"/>
      <c r="AR54" s="334"/>
      <c r="AS54" s="334"/>
      <c r="AT54" s="48"/>
      <c r="AU54" s="48"/>
      <c r="AV54" s="153"/>
      <c r="AW54" s="153"/>
      <c r="AX54" s="153"/>
      <c r="AY54" s="153"/>
      <c r="AZ54" s="153"/>
      <c r="BA54" s="153"/>
      <c r="BB54" s="153"/>
      <c r="BC54" s="153"/>
      <c r="BD54" s="153"/>
      <c r="BE54" s="153"/>
      <c r="BF54" s="153"/>
      <c r="BG54" s="153"/>
      <c r="BH54" s="153"/>
      <c r="BI54" s="153"/>
      <c r="BJ54" s="153"/>
      <c r="BK54" s="153"/>
      <c r="BL54" s="153"/>
      <c r="BM54" s="153"/>
      <c r="BN54" s="153"/>
      <c r="BO54" s="153"/>
      <c r="BP54" s="153"/>
      <c r="BQ54" s="153"/>
      <c r="BR54" s="153"/>
      <c r="BS54" s="153"/>
      <c r="BT54" s="153"/>
      <c r="BU54" s="153"/>
      <c r="BV54" s="153"/>
      <c r="BW54" s="153"/>
      <c r="BX54" s="153"/>
      <c r="BY54" s="153"/>
      <c r="BZ54" s="153"/>
      <c r="CA54" s="153"/>
      <c r="CB54" s="153"/>
      <c r="CC54" s="153"/>
      <c r="CD54" s="153"/>
      <c r="CE54" s="153"/>
      <c r="CF54" s="153"/>
      <c r="CG54" s="153"/>
      <c r="CH54" s="153"/>
      <c r="CI54" s="153"/>
      <c r="CJ54" s="153"/>
      <c r="CK54" s="153"/>
      <c r="CL54" s="153"/>
      <c r="CM54" s="153"/>
      <c r="CN54" s="153"/>
      <c r="CO54" s="153"/>
      <c r="CP54" s="153"/>
      <c r="CQ54" s="153"/>
      <c r="CR54" s="153"/>
      <c r="CS54" s="153"/>
      <c r="CT54" s="153"/>
      <c r="CU54" s="153"/>
      <c r="CV54" s="153"/>
      <c r="CW54" s="153"/>
      <c r="CX54" s="153"/>
      <c r="CY54" s="153"/>
      <c r="CZ54" s="153"/>
      <c r="DA54" s="153"/>
      <c r="DB54" s="153"/>
      <c r="DC54" s="153"/>
      <c r="DD54" s="153"/>
      <c r="DE54" s="153"/>
      <c r="DF54" s="153"/>
      <c r="DG54" s="153"/>
      <c r="DH54" s="153"/>
      <c r="DI54" s="153"/>
      <c r="DJ54" s="153"/>
      <c r="DK54" s="153"/>
      <c r="DL54" s="153"/>
      <c r="DM54" s="153"/>
      <c r="DN54" s="153"/>
      <c r="DO54" s="153"/>
      <c r="DP54" s="153"/>
      <c r="DQ54" s="153"/>
      <c r="DR54" s="153"/>
      <c r="DS54" s="153"/>
      <c r="DT54" s="153"/>
      <c r="DU54" s="153"/>
      <c r="DV54" s="153"/>
      <c r="DW54" s="153"/>
      <c r="DX54" s="153"/>
      <c r="DY54" s="153"/>
      <c r="DZ54" s="153"/>
      <c r="EA54" s="153"/>
      <c r="EB54" s="153"/>
      <c r="EC54" s="153"/>
      <c r="ED54" s="153"/>
      <c r="EE54" s="153"/>
      <c r="EF54" s="153"/>
      <c r="EG54" s="153"/>
      <c r="EH54" s="153"/>
      <c r="EI54" s="153"/>
      <c r="EJ54" s="153"/>
      <c r="EK54" s="153"/>
      <c r="EL54" s="153"/>
      <c r="EM54" s="153"/>
    </row>
    <row r="55" spans="1:143" s="107" customFormat="1" ht="10.5" customHeight="1">
      <c r="A55" s="1140">
        <v>30</v>
      </c>
      <c r="B55" s="1560" t="str">
        <f t="shared" si="2"/>
        <v/>
      </c>
      <c r="C55" s="161" t="str">
        <f>GasTime(GasAnalyser,'Horiba Data'!F48,'Horiba Data'!G48,'Testo, JUM &amp; MRU Data'!A49,'Thermo Data'!B48,HourOffset)</f>
        <v/>
      </c>
      <c r="D55" s="981" t="str">
        <f>IF(D$17=FALSE,"",GasData(GasAnalyser,'Horiba Data'!S48,'Testo, JUM &amp; MRU Data'!D49,'Thermo Data'!E48,'Testo, JUM &amp; MRU Data'!U49,GDF))</f>
        <v/>
      </c>
      <c r="E55" s="981" t="str">
        <f>IF(D55="","",Conc2(D55,D$9,MolVol,D$21,D$20,E$21,E$20))</f>
        <v/>
      </c>
      <c r="F55" s="981" t="str">
        <f>IF(F$17=FALSE,"",GasData(GasAnalyser,'Horiba Data'!AQ48,'Testo, JUM &amp; MRU Data'!E49,'Thermo Data'!F48,'Testo, JUM &amp; MRU Data'!V49,GDF))</f>
        <v/>
      </c>
      <c r="G55" s="981" t="str">
        <f>IF(F55="","",Conc2(F55,F$9,MolVol,F$21,F$20,G$21,G$20))</f>
        <v/>
      </c>
      <c r="H55" s="981" t="str">
        <f>IF(D$17=FALSE,"",IF(F$17=FALSE,"",GasData(GasAnalyser,'Horiba Data'!W48,'Testo, JUM &amp; MRU Data'!F49,'Thermo Data'!G48,'Testo, JUM &amp; MRU Data'!Y49,GDF)))</f>
        <v/>
      </c>
      <c r="I55" s="981" t="str">
        <f>IF(H55="","",Conc2(H55,H$9,MolVol,H$21,H$20,I$21,I$20))</f>
        <v/>
      </c>
      <c r="J55" s="981" t="str">
        <f>IF(J$17=FALSE,"",GasData(GasAnalyser,'Horiba Data'!AM48,'Testo, JUM &amp; MRU Data'!G49,'Thermo Data'!H48,'Testo, JUM &amp; MRU Data'!W49,GDF))</f>
        <v/>
      </c>
      <c r="K55" s="981" t="str">
        <f>IF(J55="","",Conc2(J55,J$9,MolVol,J$21,J$20,K$21,K$20))</f>
        <v/>
      </c>
      <c r="L55" s="981" t="str">
        <f>IF(L$17=FALSE,"",GasData(GasAnalyser,'Horiba Data'!AA48,'Testo, JUM &amp; MRU Data'!H49,'Thermo Data'!I48,'Testo, JUM &amp; MRU Data'!T49,GDF))</f>
        <v/>
      </c>
      <c r="M55" s="981" t="str">
        <f>IF(L55="","",Conc2(L55,L$9,MolVol,L$21,L$20,M$21,M$20))</f>
        <v/>
      </c>
      <c r="N55" s="981" t="str">
        <f>IF(N$17=FALSE,"",GasData(GasAnalyser,'Horiba Data'!AE48,'Testo, JUM &amp; MRU Data'!I49,'Thermo Data'!J48,'Testo, JUM &amp; MRU Data'!S49,GDF))</f>
        <v/>
      </c>
      <c r="O55" s="981" t="str">
        <f>IF(N55="","",Conc2(N55,N$9,MolVol,N$21,N$20,O$21,O$20))</f>
        <v/>
      </c>
      <c r="P55" s="981" t="str">
        <f>IF(P$17=FALSE,"",GasData(GasAnalyser,'Horiba Data'!AI48,'Testo, JUM &amp; MRU Data'!J49,'Thermo Data'!K48,'Testo, JUM &amp; MRU Data'!R49,GDF))</f>
        <v/>
      </c>
      <c r="Q55" s="981" t="str">
        <f>IF(P55="","",Conc2(P55,P$9,MolVol,P$21,P$20,Q$21,Q$20))</f>
        <v/>
      </c>
      <c r="R55" s="981" t="str">
        <f>IF(R$17=FALSE,"",JUMData('Testo, JUM &amp; MRU Data'!M49,$R$7))</f>
        <v/>
      </c>
      <c r="S55" s="982" t="str">
        <f>IF(R55="","",Conc2(R55,R$9,MolVol,R$21,R$20,S$21,S$20)/(1-Bws))</f>
        <v/>
      </c>
      <c r="T55" s="712"/>
      <c r="AR55" s="334"/>
      <c r="AS55" s="334"/>
      <c r="AT55" s="48"/>
      <c r="AU55" s="48"/>
      <c r="AV55" s="153"/>
      <c r="AW55" s="153"/>
      <c r="AX55" s="153"/>
      <c r="AY55" s="153"/>
      <c r="AZ55" s="153"/>
      <c r="BA55" s="153"/>
      <c r="BB55" s="153"/>
      <c r="BC55" s="153"/>
      <c r="BD55" s="153"/>
      <c r="BE55" s="153"/>
      <c r="BF55" s="153"/>
      <c r="BG55" s="153"/>
      <c r="BH55" s="153"/>
      <c r="BI55" s="153"/>
      <c r="BJ55" s="153"/>
      <c r="BK55" s="153"/>
      <c r="BL55" s="153"/>
      <c r="BM55" s="153"/>
      <c r="BN55" s="153"/>
      <c r="BO55" s="153"/>
      <c r="BP55" s="153"/>
      <c r="BQ55" s="153"/>
      <c r="BR55" s="153"/>
      <c r="BS55" s="153"/>
      <c r="BT55" s="153"/>
      <c r="BU55" s="153"/>
      <c r="BV55" s="153"/>
      <c r="BW55" s="153"/>
      <c r="BX55" s="153"/>
      <c r="BY55" s="153"/>
      <c r="BZ55" s="153"/>
      <c r="CA55" s="153"/>
      <c r="CB55" s="153"/>
      <c r="CC55" s="153"/>
      <c r="CD55" s="153"/>
      <c r="CE55" s="153"/>
      <c r="CF55" s="153"/>
      <c r="CG55" s="153"/>
      <c r="CH55" s="153"/>
      <c r="CI55" s="153"/>
      <c r="CJ55" s="153"/>
      <c r="CK55" s="153"/>
      <c r="CL55" s="153"/>
      <c r="CM55" s="153"/>
      <c r="CN55" s="153"/>
      <c r="CO55" s="153"/>
      <c r="CP55" s="153"/>
      <c r="CQ55" s="153"/>
      <c r="CR55" s="153"/>
      <c r="CS55" s="153"/>
      <c r="CT55" s="153"/>
      <c r="CU55" s="153"/>
      <c r="CV55" s="153"/>
      <c r="CW55" s="153"/>
      <c r="CX55" s="153"/>
      <c r="CY55" s="153"/>
      <c r="CZ55" s="153"/>
      <c r="DA55" s="153"/>
      <c r="DB55" s="153"/>
      <c r="DC55" s="153"/>
      <c r="DD55" s="153"/>
      <c r="DE55" s="153"/>
      <c r="DF55" s="153"/>
      <c r="DG55" s="153"/>
      <c r="DH55" s="153"/>
      <c r="DI55" s="153"/>
      <c r="DJ55" s="153"/>
      <c r="DK55" s="153"/>
      <c r="DL55" s="153"/>
      <c r="DM55" s="153"/>
      <c r="DN55" s="153"/>
      <c r="DO55" s="153"/>
      <c r="DP55" s="153"/>
      <c r="DQ55" s="153"/>
      <c r="DR55" s="153"/>
      <c r="DS55" s="153"/>
      <c r="DT55" s="153"/>
      <c r="DU55" s="153"/>
      <c r="DV55" s="153"/>
      <c r="DW55" s="153"/>
      <c r="DX55" s="153"/>
      <c r="DY55" s="153"/>
      <c r="DZ55" s="153"/>
      <c r="EA55" s="153"/>
      <c r="EB55" s="153"/>
      <c r="EC55" s="153"/>
      <c r="ED55" s="153"/>
      <c r="EE55" s="153"/>
      <c r="EF55" s="153"/>
      <c r="EG55" s="153"/>
      <c r="EH55" s="153"/>
      <c r="EI55" s="153"/>
      <c r="EJ55" s="153"/>
      <c r="EK55" s="153"/>
      <c r="EL55" s="153"/>
      <c r="EM55" s="153"/>
    </row>
    <row r="56" spans="1:143" s="107" customFormat="1" ht="10.5" customHeight="1">
      <c r="A56" s="1140">
        <v>31</v>
      </c>
      <c r="B56" s="1560" t="str">
        <f t="shared" si="2"/>
        <v/>
      </c>
      <c r="C56" s="161" t="str">
        <f>GasTime(GasAnalyser,'Horiba Data'!F49,'Horiba Data'!G49,'Testo, JUM &amp; MRU Data'!A50,'Thermo Data'!B49,HourOffset)</f>
        <v/>
      </c>
      <c r="D56" s="981" t="str">
        <f>IF(D$17=FALSE,"",GasData(GasAnalyser,'Horiba Data'!S49,'Testo, JUM &amp; MRU Data'!D50,'Thermo Data'!E49,'Testo, JUM &amp; MRU Data'!U50,GDF))</f>
        <v/>
      </c>
      <c r="E56" s="981" t="str">
        <f>IF(D56="","",Conc2(D56,D$9,MolVol,D$21,D$20,E$21,E$20))</f>
        <v/>
      </c>
      <c r="F56" s="981" t="str">
        <f>IF(F$17=FALSE,"",GasData(GasAnalyser,'Horiba Data'!AQ49,'Testo, JUM &amp; MRU Data'!E50,'Thermo Data'!F49,'Testo, JUM &amp; MRU Data'!V50,GDF))</f>
        <v/>
      </c>
      <c r="G56" s="981" t="str">
        <f>IF(F56="","",Conc2(F56,F$9,MolVol,F$21,F$20,G$21,G$20))</f>
        <v/>
      </c>
      <c r="H56" s="981" t="str">
        <f>IF(D$17=FALSE,"",IF(F$17=FALSE,"",GasData(GasAnalyser,'Horiba Data'!W49,'Testo, JUM &amp; MRU Data'!F50,'Thermo Data'!G49,'Testo, JUM &amp; MRU Data'!Y50,GDF)))</f>
        <v/>
      </c>
      <c r="I56" s="981" t="str">
        <f>IF(H56="","",Conc2(H56,H$9,MolVol,H$21,H$20,I$21,I$20))</f>
        <v/>
      </c>
      <c r="J56" s="981" t="str">
        <f>IF(J$17=FALSE,"",GasData(GasAnalyser,'Horiba Data'!AM49,'Testo, JUM &amp; MRU Data'!G50,'Thermo Data'!H49,'Testo, JUM &amp; MRU Data'!W50,GDF))</f>
        <v/>
      </c>
      <c r="K56" s="981" t="str">
        <f>IF(J56="","",Conc2(J56,J$9,MolVol,J$21,J$20,K$21,K$20))</f>
        <v/>
      </c>
      <c r="L56" s="981" t="str">
        <f>IF(L$17=FALSE,"",GasData(GasAnalyser,'Horiba Data'!AA49,'Testo, JUM &amp; MRU Data'!H50,'Thermo Data'!I49,'Testo, JUM &amp; MRU Data'!T50,GDF))</f>
        <v/>
      </c>
      <c r="M56" s="981" t="str">
        <f>IF(L56="","",Conc2(L56,L$9,MolVol,L$21,L$20,M$21,M$20))</f>
        <v/>
      </c>
      <c r="N56" s="981" t="str">
        <f>IF(N$17=FALSE,"",GasData(GasAnalyser,'Horiba Data'!AE49,'Testo, JUM &amp; MRU Data'!I50,'Thermo Data'!J49,'Testo, JUM &amp; MRU Data'!S50,GDF))</f>
        <v/>
      </c>
      <c r="O56" s="981" t="str">
        <f>IF(N56="","",Conc2(N56,N$9,MolVol,N$21,N$20,O$21,O$20))</f>
        <v/>
      </c>
      <c r="P56" s="981" t="str">
        <f>IF(P$17=FALSE,"",GasData(GasAnalyser,'Horiba Data'!AI49,'Testo, JUM &amp; MRU Data'!J50,'Thermo Data'!K49,'Testo, JUM &amp; MRU Data'!R50,GDF))</f>
        <v/>
      </c>
      <c r="Q56" s="981" t="str">
        <f>IF(P56="","",Conc2(P56,P$9,MolVol,P$21,P$20,Q$21,Q$20))</f>
        <v/>
      </c>
      <c r="R56" s="981" t="str">
        <f>IF(R$17=FALSE,"",JUMData('Testo, JUM &amp; MRU Data'!M50,$R$7))</f>
        <v/>
      </c>
      <c r="S56" s="982" t="str">
        <f>IF(R56="","",Conc2(R56,R$9,MolVol,R$21,R$20,S$21,S$20)/(1-Bws))</f>
        <v/>
      </c>
      <c r="T56" s="712"/>
      <c r="AR56" s="334"/>
      <c r="AS56" s="334"/>
      <c r="AT56" s="48"/>
      <c r="AU56" s="48"/>
      <c r="AV56" s="153"/>
      <c r="AW56" s="153"/>
      <c r="AX56" s="153"/>
      <c r="AY56" s="153"/>
      <c r="AZ56" s="153"/>
      <c r="BA56" s="153"/>
      <c r="BB56" s="153"/>
      <c r="BC56" s="153"/>
      <c r="BD56" s="153"/>
      <c r="BE56" s="153"/>
      <c r="BF56" s="153"/>
      <c r="BG56" s="153"/>
      <c r="BH56" s="153"/>
      <c r="BI56" s="153"/>
      <c r="BJ56" s="153"/>
      <c r="BK56" s="153"/>
      <c r="BL56" s="153"/>
      <c r="BM56" s="153"/>
      <c r="BN56" s="153"/>
      <c r="BO56" s="153"/>
      <c r="BP56" s="153"/>
      <c r="BQ56" s="153"/>
      <c r="BR56" s="153"/>
      <c r="BS56" s="153"/>
      <c r="BT56" s="153"/>
      <c r="BU56" s="153"/>
      <c r="BV56" s="153"/>
      <c r="BW56" s="153"/>
      <c r="BX56" s="153"/>
      <c r="BY56" s="153"/>
      <c r="BZ56" s="153"/>
      <c r="CA56" s="153"/>
      <c r="CB56" s="153"/>
      <c r="CC56" s="153"/>
      <c r="CD56" s="153"/>
      <c r="CE56" s="153"/>
      <c r="CF56" s="153"/>
      <c r="CG56" s="153"/>
      <c r="CH56" s="153"/>
      <c r="CI56" s="153"/>
      <c r="CJ56" s="153"/>
      <c r="CK56" s="153"/>
      <c r="CL56" s="153"/>
      <c r="CM56" s="153"/>
      <c r="CN56" s="153"/>
      <c r="CO56" s="153"/>
      <c r="CP56" s="153"/>
      <c r="CQ56" s="153"/>
      <c r="CR56" s="153"/>
      <c r="CS56" s="153"/>
      <c r="CT56" s="153"/>
      <c r="CU56" s="153"/>
      <c r="CV56" s="153"/>
      <c r="CW56" s="153"/>
      <c r="CX56" s="153"/>
      <c r="CY56" s="153"/>
      <c r="CZ56" s="153"/>
      <c r="DA56" s="153"/>
      <c r="DB56" s="153"/>
      <c r="DC56" s="153"/>
      <c r="DD56" s="153"/>
      <c r="DE56" s="153"/>
      <c r="DF56" s="153"/>
      <c r="DG56" s="153"/>
      <c r="DH56" s="153"/>
      <c r="DI56" s="153"/>
      <c r="DJ56" s="153"/>
      <c r="DK56" s="153"/>
      <c r="DL56" s="153"/>
      <c r="DM56" s="153"/>
      <c r="DN56" s="153"/>
      <c r="DO56" s="153"/>
      <c r="DP56" s="153"/>
      <c r="DQ56" s="153"/>
      <c r="DR56" s="153"/>
      <c r="DS56" s="153"/>
      <c r="DT56" s="153"/>
      <c r="DU56" s="153"/>
      <c r="DV56" s="153"/>
      <c r="DW56" s="153"/>
      <c r="DX56" s="153"/>
      <c r="DY56" s="153"/>
      <c r="DZ56" s="153"/>
      <c r="EA56" s="153"/>
      <c r="EB56" s="153"/>
      <c r="EC56" s="153"/>
      <c r="ED56" s="153"/>
      <c r="EE56" s="153"/>
      <c r="EF56" s="153"/>
      <c r="EG56" s="153"/>
      <c r="EH56" s="153"/>
      <c r="EI56" s="153"/>
      <c r="EJ56" s="153"/>
      <c r="EK56" s="153"/>
      <c r="EL56" s="153"/>
      <c r="EM56" s="153"/>
    </row>
    <row r="57" spans="1:143" s="107" customFormat="1" ht="10.5" customHeight="1">
      <c r="A57" s="1140">
        <v>32</v>
      </c>
      <c r="B57" s="1560" t="str">
        <f t="shared" si="2"/>
        <v/>
      </c>
      <c r="C57" s="161" t="str">
        <f>GasTime(GasAnalyser,'Horiba Data'!F50,'Horiba Data'!G50,'Testo, JUM &amp; MRU Data'!A51,'Thermo Data'!B50,HourOffset)</f>
        <v/>
      </c>
      <c r="D57" s="981" t="str">
        <f>IF(D$17=FALSE,"",GasData(GasAnalyser,'Horiba Data'!S50,'Testo, JUM &amp; MRU Data'!D51,'Thermo Data'!E50,'Testo, JUM &amp; MRU Data'!U51,GDF))</f>
        <v/>
      </c>
      <c r="E57" s="981" t="str">
        <f>IF(D57="","",Conc2(D57,D$9,MolVol,D$21,D$20,E$21,E$20))</f>
        <v/>
      </c>
      <c r="F57" s="981" t="str">
        <f>IF(F$17=FALSE,"",GasData(GasAnalyser,'Horiba Data'!AQ50,'Testo, JUM &amp; MRU Data'!E51,'Thermo Data'!F50,'Testo, JUM &amp; MRU Data'!V51,GDF))</f>
        <v/>
      </c>
      <c r="G57" s="981" t="str">
        <f>IF(F57="","",Conc2(F57,F$9,MolVol,F$21,F$20,G$21,G$20))</f>
        <v/>
      </c>
      <c r="H57" s="981" t="str">
        <f>IF(D$17=FALSE,"",IF(F$17=FALSE,"",GasData(GasAnalyser,'Horiba Data'!W50,'Testo, JUM &amp; MRU Data'!F51,'Thermo Data'!G50,'Testo, JUM &amp; MRU Data'!Y51,GDF)))</f>
        <v/>
      </c>
      <c r="I57" s="981" t="str">
        <f>IF(H57="","",Conc2(H57,H$9,MolVol,H$21,H$20,I$21,I$20))</f>
        <v/>
      </c>
      <c r="J57" s="981" t="str">
        <f>IF(J$17=FALSE,"",GasData(GasAnalyser,'Horiba Data'!AM50,'Testo, JUM &amp; MRU Data'!G51,'Thermo Data'!H50,'Testo, JUM &amp; MRU Data'!W51,GDF))</f>
        <v/>
      </c>
      <c r="K57" s="981" t="str">
        <f>IF(J57="","",Conc2(J57,J$9,MolVol,J$21,J$20,K$21,K$20))</f>
        <v/>
      </c>
      <c r="L57" s="981" t="str">
        <f>IF(L$17=FALSE,"",GasData(GasAnalyser,'Horiba Data'!AA50,'Testo, JUM &amp; MRU Data'!H51,'Thermo Data'!I50,'Testo, JUM &amp; MRU Data'!T51,GDF))</f>
        <v/>
      </c>
      <c r="M57" s="981" t="str">
        <f>IF(L57="","",Conc2(L57,L$9,MolVol,L$21,L$20,M$21,M$20))</f>
        <v/>
      </c>
      <c r="N57" s="981" t="str">
        <f>IF(N$17=FALSE,"",GasData(GasAnalyser,'Horiba Data'!AE50,'Testo, JUM &amp; MRU Data'!I51,'Thermo Data'!J50,'Testo, JUM &amp; MRU Data'!S51,GDF))</f>
        <v/>
      </c>
      <c r="O57" s="981" t="str">
        <f>IF(N57="","",Conc2(N57,N$9,MolVol,N$21,N$20,O$21,O$20))</f>
        <v/>
      </c>
      <c r="P57" s="981" t="str">
        <f>IF(P$17=FALSE,"",GasData(GasAnalyser,'Horiba Data'!AI50,'Testo, JUM &amp; MRU Data'!J51,'Thermo Data'!K50,'Testo, JUM &amp; MRU Data'!R51,GDF))</f>
        <v/>
      </c>
      <c r="Q57" s="981" t="str">
        <f>IF(P57="","",Conc2(P57,P$9,MolVol,P$21,P$20,Q$21,Q$20))</f>
        <v/>
      </c>
      <c r="R57" s="981" t="str">
        <f>IF(R$17=FALSE,"",JUMData('Testo, JUM &amp; MRU Data'!M51,$R$7))</f>
        <v/>
      </c>
      <c r="S57" s="982" t="str">
        <f>IF(R57="","",Conc2(R57,R$9,MolVol,R$21,R$20,S$21,S$20)/(1-Bws))</f>
        <v/>
      </c>
      <c r="T57" s="712"/>
      <c r="AR57" s="334"/>
      <c r="AS57" s="334"/>
      <c r="AT57" s="48"/>
      <c r="AU57" s="48"/>
      <c r="AV57" s="153"/>
      <c r="AW57" s="153"/>
      <c r="AX57" s="153"/>
      <c r="AY57" s="153"/>
      <c r="AZ57" s="153"/>
      <c r="BA57" s="153"/>
      <c r="BB57" s="153"/>
      <c r="BC57" s="153"/>
      <c r="BD57" s="153"/>
      <c r="BE57" s="153"/>
      <c r="BF57" s="153"/>
      <c r="BG57" s="153"/>
      <c r="BH57" s="153"/>
      <c r="BI57" s="153"/>
      <c r="BJ57" s="153"/>
      <c r="BK57" s="153"/>
      <c r="BL57" s="153"/>
      <c r="BM57" s="153"/>
      <c r="BN57" s="153"/>
      <c r="BO57" s="153"/>
      <c r="BP57" s="153"/>
      <c r="BQ57" s="153"/>
      <c r="BR57" s="153"/>
      <c r="BS57" s="153"/>
      <c r="BT57" s="153"/>
      <c r="BU57" s="153"/>
      <c r="BV57" s="153"/>
      <c r="BW57" s="153"/>
      <c r="BX57" s="153"/>
      <c r="BY57" s="153"/>
      <c r="BZ57" s="153"/>
      <c r="CA57" s="153"/>
      <c r="CB57" s="153"/>
      <c r="CC57" s="153"/>
      <c r="CD57" s="153"/>
      <c r="CE57" s="153"/>
      <c r="CF57" s="153"/>
      <c r="CG57" s="153"/>
      <c r="CH57" s="153"/>
      <c r="CI57" s="153"/>
      <c r="CJ57" s="153"/>
      <c r="CK57" s="153"/>
      <c r="CL57" s="153"/>
      <c r="CM57" s="153"/>
      <c r="CN57" s="153"/>
      <c r="CO57" s="153"/>
      <c r="CP57" s="153"/>
      <c r="CQ57" s="153"/>
      <c r="CR57" s="153"/>
      <c r="CS57" s="153"/>
      <c r="CT57" s="153"/>
      <c r="CU57" s="153"/>
      <c r="CV57" s="153"/>
      <c r="CW57" s="153"/>
      <c r="CX57" s="153"/>
      <c r="CY57" s="153"/>
      <c r="CZ57" s="153"/>
      <c r="DA57" s="153"/>
      <c r="DB57" s="153"/>
      <c r="DC57" s="153"/>
      <c r="DD57" s="153"/>
      <c r="DE57" s="153"/>
      <c r="DF57" s="153"/>
      <c r="DG57" s="153"/>
      <c r="DH57" s="153"/>
      <c r="DI57" s="153"/>
      <c r="DJ57" s="153"/>
      <c r="DK57" s="153"/>
      <c r="DL57" s="153"/>
      <c r="DM57" s="153"/>
      <c r="DN57" s="153"/>
      <c r="DO57" s="153"/>
      <c r="DP57" s="153"/>
      <c r="DQ57" s="153"/>
      <c r="DR57" s="153"/>
      <c r="DS57" s="153"/>
      <c r="DT57" s="153"/>
      <c r="DU57" s="153"/>
      <c r="DV57" s="153"/>
      <c r="DW57" s="153"/>
      <c r="DX57" s="153"/>
      <c r="DY57" s="153"/>
      <c r="DZ57" s="153"/>
      <c r="EA57" s="153"/>
      <c r="EB57" s="153"/>
      <c r="EC57" s="153"/>
      <c r="ED57" s="153"/>
      <c r="EE57" s="153"/>
      <c r="EF57" s="153"/>
      <c r="EG57" s="153"/>
      <c r="EH57" s="153"/>
      <c r="EI57" s="153"/>
      <c r="EJ57" s="153"/>
      <c r="EK57" s="153"/>
      <c r="EL57" s="153"/>
      <c r="EM57" s="153"/>
    </row>
    <row r="58" spans="1:143" s="107" customFormat="1" ht="10.5" customHeight="1">
      <c r="A58" s="1140">
        <v>33</v>
      </c>
      <c r="B58" s="1560" t="str">
        <f t="shared" si="2"/>
        <v/>
      </c>
      <c r="C58" s="161" t="str">
        <f>GasTime(GasAnalyser,'Horiba Data'!F51,'Horiba Data'!G51,'Testo, JUM &amp; MRU Data'!A52,'Thermo Data'!B51,HourOffset)</f>
        <v/>
      </c>
      <c r="D58" s="981" t="str">
        <f>IF(D$17=FALSE,"",GasData(GasAnalyser,'Horiba Data'!S51,'Testo, JUM &amp; MRU Data'!D52,'Thermo Data'!E51,'Testo, JUM &amp; MRU Data'!U52,GDF))</f>
        <v/>
      </c>
      <c r="E58" s="981" t="str">
        <f>IF(D58="","",Conc2(D58,D$9,MolVol,D$21,D$20,E$21,E$20))</f>
        <v/>
      </c>
      <c r="F58" s="981" t="str">
        <f>IF(F$17=FALSE,"",GasData(GasAnalyser,'Horiba Data'!AQ51,'Testo, JUM &amp; MRU Data'!E52,'Thermo Data'!F51,'Testo, JUM &amp; MRU Data'!V52,GDF))</f>
        <v/>
      </c>
      <c r="G58" s="981" t="str">
        <f>IF(F58="","",Conc2(F58,F$9,MolVol,F$21,F$20,G$21,G$20))</f>
        <v/>
      </c>
      <c r="H58" s="981" t="str">
        <f>IF(D$17=FALSE,"",IF(F$17=FALSE,"",GasData(GasAnalyser,'Horiba Data'!W51,'Testo, JUM &amp; MRU Data'!F52,'Thermo Data'!G51,'Testo, JUM &amp; MRU Data'!Y52,GDF)))</f>
        <v/>
      </c>
      <c r="I58" s="981" t="str">
        <f>IF(H58="","",Conc2(H58,H$9,MolVol,H$21,H$20,I$21,I$20))</f>
        <v/>
      </c>
      <c r="J58" s="981" t="str">
        <f>IF(J$17=FALSE,"",GasData(GasAnalyser,'Horiba Data'!AM51,'Testo, JUM &amp; MRU Data'!G52,'Thermo Data'!H51,'Testo, JUM &amp; MRU Data'!W52,GDF))</f>
        <v/>
      </c>
      <c r="K58" s="981" t="str">
        <f>IF(J58="","",Conc2(J58,J$9,MolVol,J$21,J$20,K$21,K$20))</f>
        <v/>
      </c>
      <c r="L58" s="981" t="str">
        <f>IF(L$17=FALSE,"",GasData(GasAnalyser,'Horiba Data'!AA51,'Testo, JUM &amp; MRU Data'!H52,'Thermo Data'!I51,'Testo, JUM &amp; MRU Data'!T52,GDF))</f>
        <v/>
      </c>
      <c r="M58" s="981" t="str">
        <f>IF(L58="","",Conc2(L58,L$9,MolVol,L$21,L$20,M$21,M$20))</f>
        <v/>
      </c>
      <c r="N58" s="981" t="str">
        <f>IF(N$17=FALSE,"",GasData(GasAnalyser,'Horiba Data'!AE51,'Testo, JUM &amp; MRU Data'!I52,'Thermo Data'!J51,'Testo, JUM &amp; MRU Data'!S52,GDF))</f>
        <v/>
      </c>
      <c r="O58" s="981" t="str">
        <f>IF(N58="","",Conc2(N58,N$9,MolVol,N$21,N$20,O$21,O$20))</f>
        <v/>
      </c>
      <c r="P58" s="981" t="str">
        <f>IF(P$17=FALSE,"",GasData(GasAnalyser,'Horiba Data'!AI51,'Testo, JUM &amp; MRU Data'!J52,'Thermo Data'!K51,'Testo, JUM &amp; MRU Data'!R52,GDF))</f>
        <v/>
      </c>
      <c r="Q58" s="981" t="str">
        <f>IF(P58="","",Conc2(P58,P$9,MolVol,P$21,P$20,Q$21,Q$20))</f>
        <v/>
      </c>
      <c r="R58" s="981" t="str">
        <f>IF(R$17=FALSE,"",JUMData('Testo, JUM &amp; MRU Data'!M52,$R$7))</f>
        <v/>
      </c>
      <c r="S58" s="982" t="str">
        <f>IF(R58="","",Conc2(R58,R$9,MolVol,R$21,R$20,S$21,S$20)/(1-Bws))</f>
        <v/>
      </c>
      <c r="T58" s="712"/>
      <c r="AR58" s="334"/>
      <c r="AS58" s="334"/>
      <c r="AT58" s="48"/>
      <c r="AU58" s="48"/>
      <c r="AV58" s="153"/>
      <c r="AW58" s="153"/>
      <c r="AX58" s="153"/>
      <c r="AY58" s="153"/>
      <c r="AZ58" s="153"/>
      <c r="BA58" s="153"/>
      <c r="BB58" s="153"/>
      <c r="BC58" s="153"/>
      <c r="BD58" s="153"/>
      <c r="BE58" s="153"/>
      <c r="BF58" s="153"/>
      <c r="BG58" s="153"/>
      <c r="BH58" s="153"/>
      <c r="BI58" s="153"/>
      <c r="BJ58" s="153"/>
      <c r="BK58" s="153"/>
      <c r="BL58" s="153"/>
      <c r="BM58" s="153"/>
      <c r="BN58" s="153"/>
      <c r="BO58" s="153"/>
      <c r="BP58" s="153"/>
      <c r="BQ58" s="153"/>
      <c r="BR58" s="153"/>
      <c r="BS58" s="153"/>
      <c r="BT58" s="153"/>
      <c r="BU58" s="153"/>
      <c r="BV58" s="153"/>
      <c r="BW58" s="153"/>
      <c r="BX58" s="153"/>
      <c r="BY58" s="153"/>
      <c r="BZ58" s="153"/>
      <c r="CA58" s="153"/>
      <c r="CB58" s="153"/>
      <c r="CC58" s="153"/>
      <c r="CD58" s="153"/>
      <c r="CE58" s="153"/>
      <c r="CF58" s="153"/>
      <c r="CG58" s="153"/>
      <c r="CH58" s="153"/>
      <c r="CI58" s="153"/>
      <c r="CJ58" s="153"/>
      <c r="CK58" s="153"/>
      <c r="CL58" s="153"/>
      <c r="CM58" s="153"/>
      <c r="CN58" s="153"/>
      <c r="CO58" s="153"/>
      <c r="CP58" s="153"/>
      <c r="CQ58" s="153"/>
      <c r="CR58" s="153"/>
      <c r="CS58" s="153"/>
      <c r="CT58" s="153"/>
      <c r="CU58" s="153"/>
      <c r="CV58" s="153"/>
      <c r="CW58" s="153"/>
      <c r="CX58" s="153"/>
      <c r="CY58" s="153"/>
      <c r="CZ58" s="153"/>
      <c r="DA58" s="153"/>
      <c r="DB58" s="153"/>
      <c r="DC58" s="153"/>
      <c r="DD58" s="153"/>
      <c r="DE58" s="153"/>
      <c r="DF58" s="153"/>
      <c r="DG58" s="153"/>
      <c r="DH58" s="153"/>
      <c r="DI58" s="153"/>
      <c r="DJ58" s="153"/>
      <c r="DK58" s="153"/>
      <c r="DL58" s="153"/>
      <c r="DM58" s="153"/>
      <c r="DN58" s="153"/>
      <c r="DO58" s="153"/>
      <c r="DP58" s="153"/>
      <c r="DQ58" s="153"/>
      <c r="DR58" s="153"/>
      <c r="DS58" s="153"/>
      <c r="DT58" s="153"/>
      <c r="DU58" s="153"/>
      <c r="DV58" s="153"/>
      <c r="DW58" s="153"/>
      <c r="DX58" s="153"/>
      <c r="DY58" s="153"/>
      <c r="DZ58" s="153"/>
      <c r="EA58" s="153"/>
      <c r="EB58" s="153"/>
      <c r="EC58" s="153"/>
      <c r="ED58" s="153"/>
      <c r="EE58" s="153"/>
      <c r="EF58" s="153"/>
      <c r="EG58" s="153"/>
      <c r="EH58" s="153"/>
      <c r="EI58" s="153"/>
      <c r="EJ58" s="153"/>
      <c r="EK58" s="153"/>
      <c r="EL58" s="153"/>
      <c r="EM58" s="153"/>
    </row>
    <row r="59" spans="1:143" s="107" customFormat="1" ht="10.5" customHeight="1">
      <c r="A59" s="1140">
        <v>34</v>
      </c>
      <c r="B59" s="1560" t="str">
        <f t="shared" si="2"/>
        <v/>
      </c>
      <c r="C59" s="161" t="str">
        <f>GasTime(GasAnalyser,'Horiba Data'!F52,'Horiba Data'!G52,'Testo, JUM &amp; MRU Data'!A53,'Thermo Data'!B52,HourOffset)</f>
        <v/>
      </c>
      <c r="D59" s="981" t="str">
        <f>IF(D$17=FALSE,"",GasData(GasAnalyser,'Horiba Data'!S52,'Testo, JUM &amp; MRU Data'!D53,'Thermo Data'!E52,'Testo, JUM &amp; MRU Data'!U53,GDF))</f>
        <v/>
      </c>
      <c r="E59" s="981" t="str">
        <f>IF(D59="","",Conc2(D59,D$9,MolVol,D$21,D$20,E$21,E$20))</f>
        <v/>
      </c>
      <c r="F59" s="981" t="str">
        <f>IF(F$17=FALSE,"",GasData(GasAnalyser,'Horiba Data'!AQ52,'Testo, JUM &amp; MRU Data'!E53,'Thermo Data'!F52,'Testo, JUM &amp; MRU Data'!V53,GDF))</f>
        <v/>
      </c>
      <c r="G59" s="981" t="str">
        <f>IF(F59="","",Conc2(F59,F$9,MolVol,F$21,F$20,G$21,G$20))</f>
        <v/>
      </c>
      <c r="H59" s="981" t="str">
        <f>IF(D$17=FALSE,"",IF(F$17=FALSE,"",GasData(GasAnalyser,'Horiba Data'!W52,'Testo, JUM &amp; MRU Data'!F53,'Thermo Data'!G52,'Testo, JUM &amp; MRU Data'!Y53,GDF)))</f>
        <v/>
      </c>
      <c r="I59" s="981" t="str">
        <f>IF(H59="","",Conc2(H59,H$9,MolVol,H$21,H$20,I$21,I$20))</f>
        <v/>
      </c>
      <c r="J59" s="981" t="str">
        <f>IF(J$17=FALSE,"",GasData(GasAnalyser,'Horiba Data'!AM52,'Testo, JUM &amp; MRU Data'!G53,'Thermo Data'!H52,'Testo, JUM &amp; MRU Data'!W53,GDF))</f>
        <v/>
      </c>
      <c r="K59" s="981" t="str">
        <f>IF(J59="","",Conc2(J59,J$9,MolVol,J$21,J$20,K$21,K$20))</f>
        <v/>
      </c>
      <c r="L59" s="981" t="str">
        <f>IF(L$17=FALSE,"",GasData(GasAnalyser,'Horiba Data'!AA52,'Testo, JUM &amp; MRU Data'!H53,'Thermo Data'!I52,'Testo, JUM &amp; MRU Data'!T53,GDF))</f>
        <v/>
      </c>
      <c r="M59" s="981" t="str">
        <f>IF(L59="","",Conc2(L59,L$9,MolVol,L$21,L$20,M$21,M$20))</f>
        <v/>
      </c>
      <c r="N59" s="981" t="str">
        <f>IF(N$17=FALSE,"",GasData(GasAnalyser,'Horiba Data'!AE52,'Testo, JUM &amp; MRU Data'!I53,'Thermo Data'!J52,'Testo, JUM &amp; MRU Data'!S53,GDF))</f>
        <v/>
      </c>
      <c r="O59" s="981" t="str">
        <f>IF(N59="","",Conc2(N59,N$9,MolVol,N$21,N$20,O$21,O$20))</f>
        <v/>
      </c>
      <c r="P59" s="981" t="str">
        <f>IF(P$17=FALSE,"",GasData(GasAnalyser,'Horiba Data'!AI52,'Testo, JUM &amp; MRU Data'!J53,'Thermo Data'!K52,'Testo, JUM &amp; MRU Data'!R53,GDF))</f>
        <v/>
      </c>
      <c r="Q59" s="981" t="str">
        <f>IF(P59="","",Conc2(P59,P$9,MolVol,P$21,P$20,Q$21,Q$20))</f>
        <v/>
      </c>
      <c r="R59" s="981" t="str">
        <f>IF(R$17=FALSE,"",JUMData('Testo, JUM &amp; MRU Data'!M53,$R$7))</f>
        <v/>
      </c>
      <c r="S59" s="982" t="str">
        <f>IF(R59="","",Conc2(R59,R$9,MolVol,R$21,R$20,S$21,S$20)/(1-Bws))</f>
        <v/>
      </c>
      <c r="T59" s="712"/>
      <c r="AR59" s="334"/>
      <c r="AS59" s="334"/>
      <c r="AT59" s="48"/>
      <c r="AU59" s="48"/>
      <c r="AV59" s="153"/>
      <c r="AW59" s="153"/>
      <c r="AX59" s="153"/>
      <c r="AY59" s="153"/>
      <c r="AZ59" s="153"/>
      <c r="BA59" s="153"/>
      <c r="BB59" s="153"/>
      <c r="BC59" s="153"/>
      <c r="BD59" s="153"/>
      <c r="BE59" s="153"/>
      <c r="BF59" s="153"/>
      <c r="BG59" s="153"/>
      <c r="BH59" s="153"/>
      <c r="BI59" s="153"/>
      <c r="BJ59" s="153"/>
      <c r="BK59" s="153"/>
      <c r="BL59" s="153"/>
      <c r="BM59" s="153"/>
      <c r="BN59" s="153"/>
      <c r="BO59" s="153"/>
      <c r="BP59" s="153"/>
      <c r="BQ59" s="153"/>
      <c r="BR59" s="153"/>
      <c r="BS59" s="153"/>
      <c r="BT59" s="153"/>
      <c r="BU59" s="153"/>
      <c r="BV59" s="153"/>
      <c r="BW59" s="153"/>
      <c r="BX59" s="153"/>
      <c r="BY59" s="153"/>
      <c r="BZ59" s="153"/>
      <c r="CA59" s="153"/>
      <c r="CB59" s="153"/>
      <c r="CC59" s="153"/>
      <c r="CD59" s="153"/>
      <c r="CE59" s="153"/>
      <c r="CF59" s="153"/>
      <c r="CG59" s="153"/>
      <c r="CH59" s="153"/>
      <c r="CI59" s="153"/>
      <c r="CJ59" s="153"/>
      <c r="CK59" s="153"/>
      <c r="CL59" s="153"/>
      <c r="CM59" s="153"/>
      <c r="CN59" s="153"/>
      <c r="CO59" s="153"/>
      <c r="CP59" s="153"/>
      <c r="CQ59" s="153"/>
      <c r="CR59" s="153"/>
      <c r="CS59" s="153"/>
      <c r="CT59" s="153"/>
      <c r="CU59" s="153"/>
      <c r="CV59" s="153"/>
      <c r="CW59" s="153"/>
      <c r="CX59" s="153"/>
      <c r="CY59" s="153"/>
      <c r="CZ59" s="153"/>
      <c r="DA59" s="153"/>
      <c r="DB59" s="153"/>
      <c r="DC59" s="153"/>
      <c r="DD59" s="153"/>
      <c r="DE59" s="153"/>
      <c r="DF59" s="153"/>
      <c r="DG59" s="153"/>
      <c r="DH59" s="153"/>
      <c r="DI59" s="153"/>
      <c r="DJ59" s="153"/>
      <c r="DK59" s="153"/>
      <c r="DL59" s="153"/>
      <c r="DM59" s="153"/>
      <c r="DN59" s="153"/>
      <c r="DO59" s="153"/>
      <c r="DP59" s="153"/>
      <c r="DQ59" s="153"/>
      <c r="DR59" s="153"/>
      <c r="DS59" s="153"/>
      <c r="DT59" s="153"/>
      <c r="DU59" s="153"/>
      <c r="DV59" s="153"/>
      <c r="DW59" s="153"/>
      <c r="DX59" s="153"/>
      <c r="DY59" s="153"/>
      <c r="DZ59" s="153"/>
      <c r="EA59" s="153"/>
      <c r="EB59" s="153"/>
      <c r="EC59" s="153"/>
      <c r="ED59" s="153"/>
      <c r="EE59" s="153"/>
      <c r="EF59" s="153"/>
      <c r="EG59" s="153"/>
      <c r="EH59" s="153"/>
      <c r="EI59" s="153"/>
      <c r="EJ59" s="153"/>
      <c r="EK59" s="153"/>
      <c r="EL59" s="153"/>
      <c r="EM59" s="153"/>
    </row>
    <row r="60" spans="1:143" s="107" customFormat="1" ht="10.5" customHeight="1">
      <c r="A60" s="1140">
        <v>35</v>
      </c>
      <c r="B60" s="1560" t="str">
        <f t="shared" si="2"/>
        <v/>
      </c>
      <c r="C60" s="161" t="str">
        <f>GasTime(GasAnalyser,'Horiba Data'!F53,'Horiba Data'!G53,'Testo, JUM &amp; MRU Data'!A54,'Thermo Data'!B53,HourOffset)</f>
        <v/>
      </c>
      <c r="D60" s="981" t="str">
        <f>IF(D$17=FALSE,"",GasData(GasAnalyser,'Horiba Data'!S53,'Testo, JUM &amp; MRU Data'!D54,'Thermo Data'!E53,'Testo, JUM &amp; MRU Data'!U54,GDF))</f>
        <v/>
      </c>
      <c r="E60" s="981" t="str">
        <f>IF(D60="","",Conc2(D60,D$9,MolVol,D$21,D$20,E$21,E$20))</f>
        <v/>
      </c>
      <c r="F60" s="981" t="str">
        <f>IF(F$17=FALSE,"",GasData(GasAnalyser,'Horiba Data'!AQ53,'Testo, JUM &amp; MRU Data'!E54,'Thermo Data'!F53,'Testo, JUM &amp; MRU Data'!V54,GDF))</f>
        <v/>
      </c>
      <c r="G60" s="981" t="str">
        <f>IF(F60="","",Conc2(F60,F$9,MolVol,F$21,F$20,G$21,G$20))</f>
        <v/>
      </c>
      <c r="H60" s="981" t="str">
        <f>IF(D$17=FALSE,"",IF(F$17=FALSE,"",GasData(GasAnalyser,'Horiba Data'!W53,'Testo, JUM &amp; MRU Data'!F54,'Thermo Data'!G53,'Testo, JUM &amp; MRU Data'!Y54,GDF)))</f>
        <v/>
      </c>
      <c r="I60" s="981" t="str">
        <f>IF(H60="","",Conc2(H60,H$9,MolVol,H$21,H$20,I$21,I$20))</f>
        <v/>
      </c>
      <c r="J60" s="981" t="str">
        <f>IF(J$17=FALSE,"",GasData(GasAnalyser,'Horiba Data'!AM53,'Testo, JUM &amp; MRU Data'!G54,'Thermo Data'!H53,'Testo, JUM &amp; MRU Data'!W54,GDF))</f>
        <v/>
      </c>
      <c r="K60" s="981" t="str">
        <f>IF(J60="","",Conc2(J60,J$9,MolVol,J$21,J$20,K$21,K$20))</f>
        <v/>
      </c>
      <c r="L60" s="981" t="str">
        <f>IF(L$17=FALSE,"",GasData(GasAnalyser,'Horiba Data'!AA53,'Testo, JUM &amp; MRU Data'!H54,'Thermo Data'!I53,'Testo, JUM &amp; MRU Data'!T54,GDF))</f>
        <v/>
      </c>
      <c r="M60" s="981" t="str">
        <f>IF(L60="","",Conc2(L60,L$9,MolVol,L$21,L$20,M$21,M$20))</f>
        <v/>
      </c>
      <c r="N60" s="981" t="str">
        <f>IF(N$17=FALSE,"",GasData(GasAnalyser,'Horiba Data'!AE53,'Testo, JUM &amp; MRU Data'!I54,'Thermo Data'!J53,'Testo, JUM &amp; MRU Data'!S54,GDF))</f>
        <v/>
      </c>
      <c r="O60" s="981" t="str">
        <f>IF(N60="","",Conc2(N60,N$9,MolVol,N$21,N$20,O$21,O$20))</f>
        <v/>
      </c>
      <c r="P60" s="981" t="str">
        <f>IF(P$17=FALSE,"",GasData(GasAnalyser,'Horiba Data'!AI53,'Testo, JUM &amp; MRU Data'!J54,'Thermo Data'!K53,'Testo, JUM &amp; MRU Data'!R54,GDF))</f>
        <v/>
      </c>
      <c r="Q60" s="981" t="str">
        <f>IF(P60="","",Conc2(P60,P$9,MolVol,P$21,P$20,Q$21,Q$20))</f>
        <v/>
      </c>
      <c r="R60" s="981" t="str">
        <f>IF(R$17=FALSE,"",JUMData('Testo, JUM &amp; MRU Data'!M54,$R$7))</f>
        <v/>
      </c>
      <c r="S60" s="982" t="str">
        <f>IF(R60="","",Conc2(R60,R$9,MolVol,R$21,R$20,S$21,S$20)/(1-Bws))</f>
        <v/>
      </c>
      <c r="T60" s="712"/>
      <c r="AR60" s="334"/>
      <c r="AS60" s="334"/>
      <c r="AT60" s="48"/>
      <c r="AU60" s="48"/>
      <c r="AV60" s="153"/>
      <c r="AW60" s="153"/>
      <c r="AX60" s="153"/>
      <c r="AY60" s="153"/>
      <c r="AZ60" s="153"/>
      <c r="BA60" s="153"/>
      <c r="BB60" s="153"/>
      <c r="BC60" s="153"/>
      <c r="BD60" s="153"/>
      <c r="BE60" s="153"/>
      <c r="BF60" s="153"/>
      <c r="BG60" s="153"/>
      <c r="BH60" s="153"/>
      <c r="BI60" s="153"/>
      <c r="BJ60" s="153"/>
      <c r="BK60" s="153"/>
      <c r="BL60" s="153"/>
      <c r="BM60" s="153"/>
      <c r="BN60" s="153"/>
      <c r="BO60" s="153"/>
      <c r="BP60" s="153"/>
      <c r="BQ60" s="153"/>
      <c r="BR60" s="153"/>
      <c r="BS60" s="153"/>
      <c r="BT60" s="153"/>
      <c r="BU60" s="153"/>
      <c r="BV60" s="153"/>
      <c r="BW60" s="153"/>
      <c r="BX60" s="153"/>
      <c r="BY60" s="153"/>
      <c r="BZ60" s="153"/>
      <c r="CA60" s="153"/>
      <c r="CB60" s="153"/>
      <c r="CC60" s="153"/>
      <c r="CD60" s="153"/>
      <c r="CE60" s="153"/>
      <c r="CF60" s="153"/>
      <c r="CG60" s="153"/>
      <c r="CH60" s="153"/>
      <c r="CI60" s="153"/>
      <c r="CJ60" s="153"/>
      <c r="CK60" s="153"/>
      <c r="CL60" s="153"/>
      <c r="CM60" s="153"/>
      <c r="CN60" s="153"/>
      <c r="CO60" s="153"/>
      <c r="CP60" s="153"/>
      <c r="CQ60" s="153"/>
      <c r="CR60" s="153"/>
      <c r="CS60" s="153"/>
      <c r="CT60" s="153"/>
      <c r="CU60" s="153"/>
      <c r="CV60" s="153"/>
      <c r="CW60" s="153"/>
      <c r="CX60" s="153"/>
      <c r="CY60" s="153"/>
      <c r="CZ60" s="153"/>
      <c r="DA60" s="153"/>
      <c r="DB60" s="153"/>
      <c r="DC60" s="153"/>
      <c r="DD60" s="153"/>
      <c r="DE60" s="153"/>
      <c r="DF60" s="153"/>
      <c r="DG60" s="153"/>
      <c r="DH60" s="153"/>
      <c r="DI60" s="153"/>
      <c r="DJ60" s="153"/>
      <c r="DK60" s="153"/>
      <c r="DL60" s="153"/>
      <c r="DM60" s="153"/>
      <c r="DN60" s="153"/>
      <c r="DO60" s="153"/>
      <c r="DP60" s="153"/>
      <c r="DQ60" s="153"/>
      <c r="DR60" s="153"/>
      <c r="DS60" s="153"/>
      <c r="DT60" s="153"/>
      <c r="DU60" s="153"/>
      <c r="DV60" s="153"/>
      <c r="DW60" s="153"/>
      <c r="DX60" s="153"/>
      <c r="DY60" s="153"/>
      <c r="DZ60" s="153"/>
      <c r="EA60" s="153"/>
      <c r="EB60" s="153"/>
      <c r="EC60" s="153"/>
      <c r="ED60" s="153"/>
      <c r="EE60" s="153"/>
      <c r="EF60" s="153"/>
      <c r="EG60" s="153"/>
      <c r="EH60" s="153"/>
      <c r="EI60" s="153"/>
      <c r="EJ60" s="153"/>
      <c r="EK60" s="153"/>
      <c r="EL60" s="153"/>
      <c r="EM60" s="153"/>
    </row>
    <row r="61" spans="1:143" s="107" customFormat="1" ht="10.5" customHeight="1">
      <c r="A61" s="1140">
        <v>36</v>
      </c>
      <c r="B61" s="1560" t="str">
        <f t="shared" si="2"/>
        <v/>
      </c>
      <c r="C61" s="161" t="str">
        <f>GasTime(GasAnalyser,'Horiba Data'!F54,'Horiba Data'!G54,'Testo, JUM &amp; MRU Data'!A55,'Thermo Data'!B54,HourOffset)</f>
        <v/>
      </c>
      <c r="D61" s="981" t="str">
        <f>IF(D$17=FALSE,"",GasData(GasAnalyser,'Horiba Data'!S54,'Testo, JUM &amp; MRU Data'!D55,'Thermo Data'!E54,'Testo, JUM &amp; MRU Data'!U55,GDF))</f>
        <v/>
      </c>
      <c r="E61" s="981" t="str">
        <f>IF(D61="","",Conc2(D61,D$9,MolVol,D$21,D$20,E$21,E$20))</f>
        <v/>
      </c>
      <c r="F61" s="981" t="str">
        <f>IF(F$17=FALSE,"",GasData(GasAnalyser,'Horiba Data'!AQ54,'Testo, JUM &amp; MRU Data'!E55,'Thermo Data'!F54,'Testo, JUM &amp; MRU Data'!V55,GDF))</f>
        <v/>
      </c>
      <c r="G61" s="981" t="str">
        <f>IF(F61="","",Conc2(F61,F$9,MolVol,F$21,F$20,G$21,G$20))</f>
        <v/>
      </c>
      <c r="H61" s="981" t="str">
        <f>IF(D$17=FALSE,"",IF(F$17=FALSE,"",GasData(GasAnalyser,'Horiba Data'!W54,'Testo, JUM &amp; MRU Data'!F55,'Thermo Data'!G54,'Testo, JUM &amp; MRU Data'!Y55,GDF)))</f>
        <v/>
      </c>
      <c r="I61" s="981" t="str">
        <f>IF(H61="","",Conc2(H61,H$9,MolVol,H$21,H$20,I$21,I$20))</f>
        <v/>
      </c>
      <c r="J61" s="981" t="str">
        <f>IF(J$17=FALSE,"",GasData(GasAnalyser,'Horiba Data'!AM54,'Testo, JUM &amp; MRU Data'!G55,'Thermo Data'!H54,'Testo, JUM &amp; MRU Data'!W55,GDF))</f>
        <v/>
      </c>
      <c r="K61" s="981" t="str">
        <f>IF(J61="","",Conc2(J61,J$9,MolVol,J$21,J$20,K$21,K$20))</f>
        <v/>
      </c>
      <c r="L61" s="981" t="str">
        <f>IF(L$17=FALSE,"",GasData(GasAnalyser,'Horiba Data'!AA54,'Testo, JUM &amp; MRU Data'!H55,'Thermo Data'!I54,'Testo, JUM &amp; MRU Data'!T55,GDF))</f>
        <v/>
      </c>
      <c r="M61" s="981" t="str">
        <f>IF(L61="","",Conc2(L61,L$9,MolVol,L$21,L$20,M$21,M$20))</f>
        <v/>
      </c>
      <c r="N61" s="981" t="str">
        <f>IF(N$17=FALSE,"",GasData(GasAnalyser,'Horiba Data'!AE54,'Testo, JUM &amp; MRU Data'!I55,'Thermo Data'!J54,'Testo, JUM &amp; MRU Data'!S55,GDF))</f>
        <v/>
      </c>
      <c r="O61" s="981" t="str">
        <f>IF(N61="","",Conc2(N61,N$9,MolVol,N$21,N$20,O$21,O$20))</f>
        <v/>
      </c>
      <c r="P61" s="981" t="str">
        <f>IF(P$17=FALSE,"",GasData(GasAnalyser,'Horiba Data'!AI54,'Testo, JUM &amp; MRU Data'!J55,'Thermo Data'!K54,'Testo, JUM &amp; MRU Data'!R55,GDF))</f>
        <v/>
      </c>
      <c r="Q61" s="981" t="str">
        <f>IF(P61="","",Conc2(P61,P$9,MolVol,P$21,P$20,Q$21,Q$20))</f>
        <v/>
      </c>
      <c r="R61" s="981" t="str">
        <f>IF(R$17=FALSE,"",JUMData('Testo, JUM &amp; MRU Data'!M55,$R$7))</f>
        <v/>
      </c>
      <c r="S61" s="982" t="str">
        <f>IF(R61="","",Conc2(R61,R$9,MolVol,R$21,R$20,S$21,S$20)/(1-Bws))</f>
        <v/>
      </c>
      <c r="T61" s="712"/>
      <c r="AR61" s="334"/>
      <c r="AS61" s="334"/>
      <c r="AT61" s="48"/>
      <c r="AU61" s="48"/>
      <c r="AV61" s="153"/>
      <c r="AW61" s="153"/>
      <c r="AX61" s="153"/>
      <c r="AY61" s="153"/>
      <c r="AZ61" s="153"/>
      <c r="BA61" s="153"/>
      <c r="BB61" s="153"/>
      <c r="BC61" s="153"/>
      <c r="BD61" s="153"/>
      <c r="BE61" s="153"/>
      <c r="BF61" s="153"/>
      <c r="BG61" s="153"/>
      <c r="BH61" s="153"/>
      <c r="BI61" s="153"/>
      <c r="BJ61" s="153"/>
      <c r="BK61" s="153"/>
      <c r="BL61" s="153"/>
      <c r="BM61" s="153"/>
      <c r="BN61" s="153"/>
      <c r="BO61" s="153"/>
      <c r="BP61" s="153"/>
      <c r="BQ61" s="153"/>
      <c r="BR61" s="153"/>
      <c r="BS61" s="153"/>
      <c r="BT61" s="153"/>
      <c r="BU61" s="153"/>
      <c r="BV61" s="153"/>
      <c r="BW61" s="153"/>
      <c r="BX61" s="153"/>
      <c r="BY61" s="153"/>
      <c r="BZ61" s="153"/>
      <c r="CA61" s="153"/>
      <c r="CB61" s="153"/>
      <c r="CC61" s="153"/>
      <c r="CD61" s="153"/>
      <c r="CE61" s="153"/>
      <c r="CF61" s="153"/>
      <c r="CG61" s="153"/>
      <c r="CH61" s="153"/>
      <c r="CI61" s="153"/>
      <c r="CJ61" s="153"/>
      <c r="CK61" s="153"/>
      <c r="CL61" s="153"/>
      <c r="CM61" s="153"/>
      <c r="CN61" s="153"/>
      <c r="CO61" s="153"/>
      <c r="CP61" s="153"/>
      <c r="CQ61" s="153"/>
      <c r="CR61" s="153"/>
      <c r="CS61" s="153"/>
      <c r="CT61" s="153"/>
      <c r="CU61" s="153"/>
      <c r="CV61" s="153"/>
      <c r="CW61" s="153"/>
      <c r="CX61" s="153"/>
      <c r="CY61" s="153"/>
      <c r="CZ61" s="153"/>
      <c r="DA61" s="153"/>
      <c r="DB61" s="153"/>
      <c r="DC61" s="153"/>
      <c r="DD61" s="153"/>
      <c r="DE61" s="153"/>
      <c r="DF61" s="153"/>
      <c r="DG61" s="153"/>
      <c r="DH61" s="153"/>
      <c r="DI61" s="153"/>
      <c r="DJ61" s="153"/>
      <c r="DK61" s="153"/>
      <c r="DL61" s="153"/>
      <c r="DM61" s="153"/>
      <c r="DN61" s="153"/>
      <c r="DO61" s="153"/>
      <c r="DP61" s="153"/>
      <c r="DQ61" s="153"/>
      <c r="DR61" s="153"/>
      <c r="DS61" s="153"/>
      <c r="DT61" s="153"/>
      <c r="DU61" s="153"/>
      <c r="DV61" s="153"/>
      <c r="DW61" s="153"/>
      <c r="DX61" s="153"/>
      <c r="DY61" s="153"/>
      <c r="DZ61" s="153"/>
      <c r="EA61" s="153"/>
      <c r="EB61" s="153"/>
      <c r="EC61" s="153"/>
      <c r="ED61" s="153"/>
      <c r="EE61" s="153"/>
      <c r="EF61" s="153"/>
      <c r="EG61" s="153"/>
      <c r="EH61" s="153"/>
      <c r="EI61" s="153"/>
      <c r="EJ61" s="153"/>
      <c r="EK61" s="153"/>
      <c r="EL61" s="153"/>
      <c r="EM61" s="153"/>
    </row>
    <row r="62" spans="1:143" s="107" customFormat="1" ht="10.5" customHeight="1">
      <c r="A62" s="1140">
        <v>37</v>
      </c>
      <c r="B62" s="1560" t="str">
        <f t="shared" si="2"/>
        <v/>
      </c>
      <c r="C62" s="161" t="str">
        <f>GasTime(GasAnalyser,'Horiba Data'!F55,'Horiba Data'!G55,'Testo, JUM &amp; MRU Data'!A56,'Thermo Data'!B55,HourOffset)</f>
        <v/>
      </c>
      <c r="D62" s="981" t="str">
        <f>IF(D$17=FALSE,"",GasData(GasAnalyser,'Horiba Data'!S55,'Testo, JUM &amp; MRU Data'!D56,'Thermo Data'!E55,'Testo, JUM &amp; MRU Data'!U56,GDF))</f>
        <v/>
      </c>
      <c r="E62" s="981" t="str">
        <f>IF(D62="","",Conc2(D62,D$9,MolVol,D$21,D$20,E$21,E$20))</f>
        <v/>
      </c>
      <c r="F62" s="981" t="str">
        <f>IF(F$17=FALSE,"",GasData(GasAnalyser,'Horiba Data'!AQ55,'Testo, JUM &amp; MRU Data'!E56,'Thermo Data'!F55,'Testo, JUM &amp; MRU Data'!V56,GDF))</f>
        <v/>
      </c>
      <c r="G62" s="981" t="str">
        <f>IF(F62="","",Conc2(F62,F$9,MolVol,F$21,F$20,G$21,G$20))</f>
        <v/>
      </c>
      <c r="H62" s="981" t="str">
        <f>IF(D$17=FALSE,"",IF(F$17=FALSE,"",GasData(GasAnalyser,'Horiba Data'!W55,'Testo, JUM &amp; MRU Data'!F56,'Thermo Data'!G55,'Testo, JUM &amp; MRU Data'!Y56,GDF)))</f>
        <v/>
      </c>
      <c r="I62" s="981" t="str">
        <f>IF(H62="","",Conc2(H62,H$9,MolVol,H$21,H$20,I$21,I$20))</f>
        <v/>
      </c>
      <c r="J62" s="981" t="str">
        <f>IF(J$17=FALSE,"",GasData(GasAnalyser,'Horiba Data'!AM55,'Testo, JUM &amp; MRU Data'!G56,'Thermo Data'!H55,'Testo, JUM &amp; MRU Data'!W56,GDF))</f>
        <v/>
      </c>
      <c r="K62" s="981" t="str">
        <f>IF(J62="","",Conc2(J62,J$9,MolVol,J$21,J$20,K$21,K$20))</f>
        <v/>
      </c>
      <c r="L62" s="981" t="str">
        <f>IF(L$17=FALSE,"",GasData(GasAnalyser,'Horiba Data'!AA55,'Testo, JUM &amp; MRU Data'!H56,'Thermo Data'!I55,'Testo, JUM &amp; MRU Data'!T56,GDF))</f>
        <v/>
      </c>
      <c r="M62" s="981" t="str">
        <f>IF(L62="","",Conc2(L62,L$9,MolVol,L$21,L$20,M$21,M$20))</f>
        <v/>
      </c>
      <c r="N62" s="981" t="str">
        <f>IF(N$17=FALSE,"",GasData(GasAnalyser,'Horiba Data'!AE55,'Testo, JUM &amp; MRU Data'!I56,'Thermo Data'!J55,'Testo, JUM &amp; MRU Data'!S56,GDF))</f>
        <v/>
      </c>
      <c r="O62" s="981" t="str">
        <f>IF(N62="","",Conc2(N62,N$9,MolVol,N$21,N$20,O$21,O$20))</f>
        <v/>
      </c>
      <c r="P62" s="981" t="str">
        <f>IF(P$17=FALSE,"",GasData(GasAnalyser,'Horiba Data'!AI55,'Testo, JUM &amp; MRU Data'!J56,'Thermo Data'!K55,'Testo, JUM &amp; MRU Data'!R56,GDF))</f>
        <v/>
      </c>
      <c r="Q62" s="981" t="str">
        <f>IF(P62="","",Conc2(P62,P$9,MolVol,P$21,P$20,Q$21,Q$20))</f>
        <v/>
      </c>
      <c r="R62" s="981" t="str">
        <f>IF(R$17=FALSE,"",JUMData('Testo, JUM &amp; MRU Data'!M56,$R$7))</f>
        <v/>
      </c>
      <c r="S62" s="982" t="str">
        <f>IF(R62="","",Conc2(R62,R$9,MolVol,R$21,R$20,S$21,S$20)/(1-Bws))</f>
        <v/>
      </c>
      <c r="T62" s="712"/>
      <c r="AR62" s="334"/>
      <c r="AS62" s="334"/>
      <c r="AT62" s="48"/>
      <c r="AU62" s="48"/>
      <c r="AV62" s="153"/>
      <c r="AW62" s="153"/>
      <c r="AX62" s="153"/>
      <c r="AY62" s="153"/>
      <c r="AZ62" s="153"/>
      <c r="BA62" s="153"/>
      <c r="BB62" s="153"/>
      <c r="BC62" s="153"/>
      <c r="BD62" s="153"/>
      <c r="BE62" s="153"/>
      <c r="BF62" s="153"/>
      <c r="BG62" s="153"/>
      <c r="BH62" s="153"/>
      <c r="BI62" s="153"/>
      <c r="BJ62" s="153"/>
      <c r="BK62" s="153"/>
      <c r="BL62" s="153"/>
      <c r="BM62" s="153"/>
      <c r="BN62" s="153"/>
      <c r="BO62" s="153"/>
      <c r="BP62" s="153"/>
      <c r="BQ62" s="153"/>
      <c r="BR62" s="153"/>
      <c r="BS62" s="153"/>
      <c r="BT62" s="153"/>
      <c r="BU62" s="153"/>
      <c r="BV62" s="153"/>
      <c r="BW62" s="153"/>
      <c r="BX62" s="153"/>
      <c r="BY62" s="153"/>
      <c r="BZ62" s="153"/>
      <c r="CA62" s="153"/>
      <c r="CB62" s="153"/>
      <c r="CC62" s="153"/>
      <c r="CD62" s="153"/>
      <c r="CE62" s="153"/>
      <c r="CF62" s="153"/>
      <c r="CG62" s="153"/>
      <c r="CH62" s="153"/>
      <c r="CI62" s="153"/>
      <c r="CJ62" s="153"/>
      <c r="CK62" s="153"/>
      <c r="CL62" s="153"/>
      <c r="CM62" s="153"/>
      <c r="CN62" s="153"/>
      <c r="CO62" s="153"/>
      <c r="CP62" s="153"/>
      <c r="CQ62" s="153"/>
      <c r="CR62" s="153"/>
      <c r="CS62" s="153"/>
      <c r="CT62" s="153"/>
      <c r="CU62" s="153"/>
      <c r="CV62" s="153"/>
      <c r="CW62" s="153"/>
      <c r="CX62" s="153"/>
      <c r="CY62" s="153"/>
      <c r="CZ62" s="153"/>
      <c r="DA62" s="153"/>
      <c r="DB62" s="153"/>
      <c r="DC62" s="153"/>
      <c r="DD62" s="153"/>
      <c r="DE62" s="153"/>
      <c r="DF62" s="153"/>
      <c r="DG62" s="153"/>
      <c r="DH62" s="153"/>
      <c r="DI62" s="153"/>
      <c r="DJ62" s="153"/>
      <c r="DK62" s="153"/>
      <c r="DL62" s="153"/>
      <c r="DM62" s="153"/>
      <c r="DN62" s="153"/>
      <c r="DO62" s="153"/>
      <c r="DP62" s="153"/>
      <c r="DQ62" s="153"/>
      <c r="DR62" s="153"/>
      <c r="DS62" s="153"/>
      <c r="DT62" s="153"/>
      <c r="DU62" s="153"/>
      <c r="DV62" s="153"/>
      <c r="DW62" s="153"/>
      <c r="DX62" s="153"/>
      <c r="DY62" s="153"/>
      <c r="DZ62" s="153"/>
      <c r="EA62" s="153"/>
      <c r="EB62" s="153"/>
      <c r="EC62" s="153"/>
      <c r="ED62" s="153"/>
      <c r="EE62" s="153"/>
      <c r="EF62" s="153"/>
      <c r="EG62" s="153"/>
      <c r="EH62" s="153"/>
      <c r="EI62" s="153"/>
      <c r="EJ62" s="153"/>
      <c r="EK62" s="153"/>
      <c r="EL62" s="153"/>
      <c r="EM62" s="153"/>
    </row>
    <row r="63" spans="1:143" s="107" customFormat="1" ht="10.5" customHeight="1">
      <c r="A63" s="1140">
        <v>38</v>
      </c>
      <c r="B63" s="1560" t="str">
        <f t="shared" si="2"/>
        <v/>
      </c>
      <c r="C63" s="161" t="str">
        <f>GasTime(GasAnalyser,'Horiba Data'!F56,'Horiba Data'!G56,'Testo, JUM &amp; MRU Data'!A57,'Thermo Data'!B56,HourOffset)</f>
        <v/>
      </c>
      <c r="D63" s="981" t="str">
        <f>IF(D$17=FALSE,"",GasData(GasAnalyser,'Horiba Data'!S56,'Testo, JUM &amp; MRU Data'!D57,'Thermo Data'!E56,'Testo, JUM &amp; MRU Data'!U57,GDF))</f>
        <v/>
      </c>
      <c r="E63" s="981" t="str">
        <f>IF(D63="","",Conc2(D63,D$9,MolVol,D$21,D$20,E$21,E$20))</f>
        <v/>
      </c>
      <c r="F63" s="981" t="str">
        <f>IF(F$17=FALSE,"",GasData(GasAnalyser,'Horiba Data'!AQ56,'Testo, JUM &amp; MRU Data'!E57,'Thermo Data'!F56,'Testo, JUM &amp; MRU Data'!V57,GDF))</f>
        <v/>
      </c>
      <c r="G63" s="981" t="str">
        <f>IF(F63="","",Conc2(F63,F$9,MolVol,F$21,F$20,G$21,G$20))</f>
        <v/>
      </c>
      <c r="H63" s="981" t="str">
        <f>IF(D$17=FALSE,"",IF(F$17=FALSE,"",GasData(GasAnalyser,'Horiba Data'!W56,'Testo, JUM &amp; MRU Data'!F57,'Thermo Data'!G56,'Testo, JUM &amp; MRU Data'!Y57,GDF)))</f>
        <v/>
      </c>
      <c r="I63" s="981" t="str">
        <f>IF(H63="","",Conc2(H63,H$9,MolVol,H$21,H$20,I$21,I$20))</f>
        <v/>
      </c>
      <c r="J63" s="981" t="str">
        <f>IF(J$17=FALSE,"",GasData(GasAnalyser,'Horiba Data'!AM56,'Testo, JUM &amp; MRU Data'!G57,'Thermo Data'!H56,'Testo, JUM &amp; MRU Data'!W57,GDF))</f>
        <v/>
      </c>
      <c r="K63" s="981" t="str">
        <f>IF(J63="","",Conc2(J63,J$9,MolVol,J$21,J$20,K$21,K$20))</f>
        <v/>
      </c>
      <c r="L63" s="981" t="str">
        <f>IF(L$17=FALSE,"",GasData(GasAnalyser,'Horiba Data'!AA56,'Testo, JUM &amp; MRU Data'!H57,'Thermo Data'!I56,'Testo, JUM &amp; MRU Data'!T57,GDF))</f>
        <v/>
      </c>
      <c r="M63" s="981" t="str">
        <f>IF(L63="","",Conc2(L63,L$9,MolVol,L$21,L$20,M$21,M$20))</f>
        <v/>
      </c>
      <c r="N63" s="981" t="str">
        <f>IF(N$17=FALSE,"",GasData(GasAnalyser,'Horiba Data'!AE56,'Testo, JUM &amp; MRU Data'!I57,'Thermo Data'!J56,'Testo, JUM &amp; MRU Data'!S57,GDF))</f>
        <v/>
      </c>
      <c r="O63" s="981" t="str">
        <f>IF(N63="","",Conc2(N63,N$9,MolVol,N$21,N$20,O$21,O$20))</f>
        <v/>
      </c>
      <c r="P63" s="981" t="str">
        <f>IF(P$17=FALSE,"",GasData(GasAnalyser,'Horiba Data'!AI56,'Testo, JUM &amp; MRU Data'!J57,'Thermo Data'!K56,'Testo, JUM &amp; MRU Data'!R57,GDF))</f>
        <v/>
      </c>
      <c r="Q63" s="981" t="str">
        <f>IF(P63="","",Conc2(P63,P$9,MolVol,P$21,P$20,Q$21,Q$20))</f>
        <v/>
      </c>
      <c r="R63" s="981" t="str">
        <f>IF(R$17=FALSE,"",JUMData('Testo, JUM &amp; MRU Data'!M57,$R$7))</f>
        <v/>
      </c>
      <c r="S63" s="982" t="str">
        <f>IF(R63="","",Conc2(R63,R$9,MolVol,R$21,R$20,S$21,S$20)/(1-Bws))</f>
        <v/>
      </c>
      <c r="T63" s="712"/>
      <c r="AR63" s="334"/>
      <c r="AS63" s="334"/>
      <c r="AT63" s="48"/>
      <c r="AU63" s="48"/>
      <c r="AV63" s="153"/>
      <c r="AW63" s="153"/>
      <c r="AX63" s="153"/>
      <c r="AY63" s="153"/>
      <c r="AZ63" s="153"/>
      <c r="BA63" s="153"/>
      <c r="BB63" s="153"/>
      <c r="BC63" s="153"/>
      <c r="BD63" s="153"/>
      <c r="BE63" s="153"/>
      <c r="BF63" s="153"/>
      <c r="BG63" s="153"/>
      <c r="BH63" s="153"/>
      <c r="BI63" s="153"/>
      <c r="BJ63" s="153"/>
      <c r="BK63" s="153"/>
      <c r="BL63" s="153"/>
      <c r="BM63" s="153"/>
      <c r="BN63" s="153"/>
      <c r="BO63" s="153"/>
      <c r="BP63" s="153"/>
      <c r="BQ63" s="153"/>
      <c r="BR63" s="153"/>
      <c r="BS63" s="153"/>
      <c r="BT63" s="153"/>
      <c r="BU63" s="153"/>
      <c r="BV63" s="153"/>
      <c r="BW63" s="153"/>
      <c r="BX63" s="153"/>
      <c r="BY63" s="153"/>
      <c r="BZ63" s="153"/>
      <c r="CA63" s="153"/>
      <c r="CB63" s="153"/>
      <c r="CC63" s="153"/>
      <c r="CD63" s="153"/>
      <c r="CE63" s="153"/>
      <c r="CF63" s="153"/>
      <c r="CG63" s="153"/>
      <c r="CH63" s="153"/>
      <c r="CI63" s="153"/>
      <c r="CJ63" s="153"/>
      <c r="CK63" s="153"/>
      <c r="CL63" s="153"/>
      <c r="CM63" s="153"/>
      <c r="CN63" s="153"/>
      <c r="CO63" s="153"/>
      <c r="CP63" s="153"/>
      <c r="CQ63" s="153"/>
      <c r="CR63" s="153"/>
      <c r="CS63" s="153"/>
      <c r="CT63" s="153"/>
      <c r="CU63" s="153"/>
      <c r="CV63" s="153"/>
      <c r="CW63" s="153"/>
      <c r="CX63" s="153"/>
      <c r="CY63" s="153"/>
      <c r="CZ63" s="153"/>
      <c r="DA63" s="153"/>
      <c r="DB63" s="153"/>
      <c r="DC63" s="153"/>
      <c r="DD63" s="153"/>
      <c r="DE63" s="153"/>
      <c r="DF63" s="153"/>
      <c r="DG63" s="153"/>
      <c r="DH63" s="153"/>
      <c r="DI63" s="153"/>
      <c r="DJ63" s="153"/>
      <c r="DK63" s="153"/>
      <c r="DL63" s="153"/>
      <c r="DM63" s="153"/>
      <c r="DN63" s="153"/>
      <c r="DO63" s="153"/>
      <c r="DP63" s="153"/>
      <c r="DQ63" s="153"/>
      <c r="DR63" s="153"/>
      <c r="DS63" s="153"/>
      <c r="DT63" s="153"/>
      <c r="DU63" s="153"/>
      <c r="DV63" s="153"/>
      <c r="DW63" s="153"/>
      <c r="DX63" s="153"/>
      <c r="DY63" s="153"/>
      <c r="DZ63" s="153"/>
      <c r="EA63" s="153"/>
      <c r="EB63" s="153"/>
      <c r="EC63" s="153"/>
      <c r="ED63" s="153"/>
      <c r="EE63" s="153"/>
      <c r="EF63" s="153"/>
      <c r="EG63" s="153"/>
      <c r="EH63" s="153"/>
      <c r="EI63" s="153"/>
      <c r="EJ63" s="153"/>
      <c r="EK63" s="153"/>
      <c r="EL63" s="153"/>
      <c r="EM63" s="153"/>
    </row>
    <row r="64" spans="1:143" s="107" customFormat="1" ht="10.5" customHeight="1">
      <c r="A64" s="1140">
        <v>39</v>
      </c>
      <c r="B64" s="1560" t="str">
        <f t="shared" si="2"/>
        <v/>
      </c>
      <c r="C64" s="161" t="str">
        <f>GasTime(GasAnalyser,'Horiba Data'!F57,'Horiba Data'!G57,'Testo, JUM &amp; MRU Data'!A58,'Thermo Data'!B57,HourOffset)</f>
        <v/>
      </c>
      <c r="D64" s="981" t="str">
        <f>IF(D$17=FALSE,"",GasData(GasAnalyser,'Horiba Data'!S57,'Testo, JUM &amp; MRU Data'!D58,'Thermo Data'!E57,'Testo, JUM &amp; MRU Data'!U58,GDF))</f>
        <v/>
      </c>
      <c r="E64" s="981" t="str">
        <f>IF(D64="","",Conc2(D64,D$9,MolVol,D$21,D$20,E$21,E$20))</f>
        <v/>
      </c>
      <c r="F64" s="981" t="str">
        <f>IF(F$17=FALSE,"",GasData(GasAnalyser,'Horiba Data'!AQ57,'Testo, JUM &amp; MRU Data'!E58,'Thermo Data'!F57,'Testo, JUM &amp; MRU Data'!V58,GDF))</f>
        <v/>
      </c>
      <c r="G64" s="981" t="str">
        <f>IF(F64="","",Conc2(F64,F$9,MolVol,F$21,F$20,G$21,G$20))</f>
        <v/>
      </c>
      <c r="H64" s="981" t="str">
        <f>IF(D$17=FALSE,"",IF(F$17=FALSE,"",GasData(GasAnalyser,'Horiba Data'!W57,'Testo, JUM &amp; MRU Data'!F58,'Thermo Data'!G57,'Testo, JUM &amp; MRU Data'!Y58,GDF)))</f>
        <v/>
      </c>
      <c r="I64" s="981" t="str">
        <f>IF(H64="","",Conc2(H64,H$9,MolVol,H$21,H$20,I$21,I$20))</f>
        <v/>
      </c>
      <c r="J64" s="981" t="str">
        <f>IF(J$17=FALSE,"",GasData(GasAnalyser,'Horiba Data'!AM57,'Testo, JUM &amp; MRU Data'!G58,'Thermo Data'!H57,'Testo, JUM &amp; MRU Data'!W58,GDF))</f>
        <v/>
      </c>
      <c r="K64" s="981" t="str">
        <f>IF(J64="","",Conc2(J64,J$9,MolVol,J$21,J$20,K$21,K$20))</f>
        <v/>
      </c>
      <c r="L64" s="981" t="str">
        <f>IF(L$17=FALSE,"",GasData(GasAnalyser,'Horiba Data'!AA57,'Testo, JUM &amp; MRU Data'!H58,'Thermo Data'!I57,'Testo, JUM &amp; MRU Data'!T58,GDF))</f>
        <v/>
      </c>
      <c r="M64" s="981" t="str">
        <f>IF(L64="","",Conc2(L64,L$9,MolVol,L$21,L$20,M$21,M$20))</f>
        <v/>
      </c>
      <c r="N64" s="981" t="str">
        <f>IF(N$17=FALSE,"",GasData(GasAnalyser,'Horiba Data'!AE57,'Testo, JUM &amp; MRU Data'!I58,'Thermo Data'!J57,'Testo, JUM &amp; MRU Data'!S58,GDF))</f>
        <v/>
      </c>
      <c r="O64" s="981" t="str">
        <f>IF(N64="","",Conc2(N64,N$9,MolVol,N$21,N$20,O$21,O$20))</f>
        <v/>
      </c>
      <c r="P64" s="981" t="str">
        <f>IF(P$17=FALSE,"",GasData(GasAnalyser,'Horiba Data'!AI57,'Testo, JUM &amp; MRU Data'!J58,'Thermo Data'!K57,'Testo, JUM &amp; MRU Data'!R58,GDF))</f>
        <v/>
      </c>
      <c r="Q64" s="981" t="str">
        <f>IF(P64="","",Conc2(P64,P$9,MolVol,P$21,P$20,Q$21,Q$20))</f>
        <v/>
      </c>
      <c r="R64" s="981" t="str">
        <f>IF(R$17=FALSE,"",JUMData('Testo, JUM &amp; MRU Data'!M58,$R$7))</f>
        <v/>
      </c>
      <c r="S64" s="982" t="str">
        <f>IF(R64="","",Conc2(R64,R$9,MolVol,R$21,R$20,S$21,S$20)/(1-Bws))</f>
        <v/>
      </c>
      <c r="T64" s="712"/>
      <c r="AR64" s="334"/>
      <c r="AS64" s="334"/>
      <c r="AT64" s="48"/>
      <c r="AU64" s="48"/>
      <c r="AV64" s="153"/>
      <c r="AW64" s="153"/>
      <c r="AX64" s="153"/>
      <c r="AY64" s="153"/>
      <c r="AZ64" s="153"/>
      <c r="BA64" s="153"/>
      <c r="BB64" s="153"/>
      <c r="BC64" s="153"/>
      <c r="BD64" s="153"/>
      <c r="BE64" s="153"/>
      <c r="BF64" s="153"/>
      <c r="BG64" s="153"/>
      <c r="BH64" s="153"/>
      <c r="BI64" s="153"/>
      <c r="BJ64" s="153"/>
      <c r="BK64" s="153"/>
      <c r="BL64" s="153"/>
      <c r="BM64" s="153"/>
      <c r="BN64" s="153"/>
      <c r="BO64" s="153"/>
      <c r="BP64" s="153"/>
      <c r="BQ64" s="153"/>
      <c r="BR64" s="153"/>
      <c r="BS64" s="153"/>
      <c r="BT64" s="153"/>
      <c r="BU64" s="153"/>
      <c r="BV64" s="153"/>
      <c r="BW64" s="153"/>
      <c r="BX64" s="153"/>
      <c r="BY64" s="153"/>
      <c r="BZ64" s="153"/>
      <c r="CA64" s="153"/>
      <c r="CB64" s="153"/>
      <c r="CC64" s="153"/>
      <c r="CD64" s="153"/>
      <c r="CE64" s="153"/>
      <c r="CF64" s="153"/>
      <c r="CG64" s="153"/>
      <c r="CH64" s="153"/>
      <c r="CI64" s="153"/>
      <c r="CJ64" s="153"/>
      <c r="CK64" s="153"/>
      <c r="CL64" s="153"/>
      <c r="CM64" s="153"/>
      <c r="CN64" s="153"/>
      <c r="CO64" s="153"/>
      <c r="CP64" s="153"/>
      <c r="CQ64" s="153"/>
      <c r="CR64" s="153"/>
      <c r="CS64" s="153"/>
      <c r="CT64" s="153"/>
      <c r="CU64" s="153"/>
      <c r="CV64" s="153"/>
      <c r="CW64" s="153"/>
      <c r="CX64" s="153"/>
      <c r="CY64" s="153"/>
      <c r="CZ64" s="153"/>
      <c r="DA64" s="153"/>
      <c r="DB64" s="153"/>
      <c r="DC64" s="153"/>
      <c r="DD64" s="153"/>
      <c r="DE64" s="153"/>
      <c r="DF64" s="153"/>
      <c r="DG64" s="153"/>
      <c r="DH64" s="153"/>
      <c r="DI64" s="153"/>
      <c r="DJ64" s="153"/>
      <c r="DK64" s="153"/>
      <c r="DL64" s="153"/>
      <c r="DM64" s="153"/>
      <c r="DN64" s="153"/>
      <c r="DO64" s="153"/>
      <c r="DP64" s="153"/>
      <c r="DQ64" s="153"/>
      <c r="DR64" s="153"/>
      <c r="DS64" s="153"/>
      <c r="DT64" s="153"/>
      <c r="DU64" s="153"/>
      <c r="DV64" s="153"/>
      <c r="DW64" s="153"/>
      <c r="DX64" s="153"/>
      <c r="DY64" s="153"/>
      <c r="DZ64" s="153"/>
      <c r="EA64" s="153"/>
      <c r="EB64" s="153"/>
      <c r="EC64" s="153"/>
      <c r="ED64" s="153"/>
      <c r="EE64" s="153"/>
      <c r="EF64" s="153"/>
      <c r="EG64" s="153"/>
      <c r="EH64" s="153"/>
      <c r="EI64" s="153"/>
      <c r="EJ64" s="153"/>
      <c r="EK64" s="153"/>
      <c r="EL64" s="153"/>
      <c r="EM64" s="153"/>
    </row>
    <row r="65" spans="1:143" s="107" customFormat="1" ht="10.5" customHeight="1">
      <c r="A65" s="1140">
        <v>40</v>
      </c>
      <c r="B65" s="1560" t="str">
        <f t="shared" si="2"/>
        <v/>
      </c>
      <c r="C65" s="161" t="str">
        <f>GasTime(GasAnalyser,'Horiba Data'!F58,'Horiba Data'!G58,'Testo, JUM &amp; MRU Data'!A59,'Thermo Data'!B58,HourOffset)</f>
        <v/>
      </c>
      <c r="D65" s="981" t="str">
        <f>IF(D$17=FALSE,"",GasData(GasAnalyser,'Horiba Data'!S58,'Testo, JUM &amp; MRU Data'!D59,'Thermo Data'!E58,'Testo, JUM &amp; MRU Data'!U59,GDF))</f>
        <v/>
      </c>
      <c r="E65" s="981" t="str">
        <f>IF(D65="","",Conc2(D65,D$9,MolVol,D$21,D$20,E$21,E$20))</f>
        <v/>
      </c>
      <c r="F65" s="981" t="str">
        <f>IF(F$17=FALSE,"",GasData(GasAnalyser,'Horiba Data'!AQ58,'Testo, JUM &amp; MRU Data'!E59,'Thermo Data'!F58,'Testo, JUM &amp; MRU Data'!V59,GDF))</f>
        <v/>
      </c>
      <c r="G65" s="981" t="str">
        <f>IF(F65="","",Conc2(F65,F$9,MolVol,F$21,F$20,G$21,G$20))</f>
        <v/>
      </c>
      <c r="H65" s="981" t="str">
        <f>IF(D$17=FALSE,"",IF(F$17=FALSE,"",GasData(GasAnalyser,'Horiba Data'!W58,'Testo, JUM &amp; MRU Data'!F59,'Thermo Data'!G58,'Testo, JUM &amp; MRU Data'!Y59,GDF)))</f>
        <v/>
      </c>
      <c r="I65" s="981" t="str">
        <f>IF(H65="","",Conc2(H65,H$9,MolVol,H$21,H$20,I$21,I$20))</f>
        <v/>
      </c>
      <c r="J65" s="981" t="str">
        <f>IF(J$17=FALSE,"",GasData(GasAnalyser,'Horiba Data'!AM58,'Testo, JUM &amp; MRU Data'!G59,'Thermo Data'!H58,'Testo, JUM &amp; MRU Data'!W59,GDF))</f>
        <v/>
      </c>
      <c r="K65" s="981" t="str">
        <f>IF(J65="","",Conc2(J65,J$9,MolVol,J$21,J$20,K$21,K$20))</f>
        <v/>
      </c>
      <c r="L65" s="981" t="str">
        <f>IF(L$17=FALSE,"",GasData(GasAnalyser,'Horiba Data'!AA58,'Testo, JUM &amp; MRU Data'!H59,'Thermo Data'!I58,'Testo, JUM &amp; MRU Data'!T59,GDF))</f>
        <v/>
      </c>
      <c r="M65" s="981" t="str">
        <f>IF(L65="","",Conc2(L65,L$9,MolVol,L$21,L$20,M$21,M$20))</f>
        <v/>
      </c>
      <c r="N65" s="981" t="str">
        <f>IF(N$17=FALSE,"",GasData(GasAnalyser,'Horiba Data'!AE58,'Testo, JUM &amp; MRU Data'!I59,'Thermo Data'!J58,'Testo, JUM &amp; MRU Data'!S59,GDF))</f>
        <v/>
      </c>
      <c r="O65" s="981" t="str">
        <f>IF(N65="","",Conc2(N65,N$9,MolVol,N$21,N$20,O$21,O$20))</f>
        <v/>
      </c>
      <c r="P65" s="981" t="str">
        <f>IF(P$17=FALSE,"",GasData(GasAnalyser,'Horiba Data'!AI58,'Testo, JUM &amp; MRU Data'!J59,'Thermo Data'!K58,'Testo, JUM &amp; MRU Data'!R59,GDF))</f>
        <v/>
      </c>
      <c r="Q65" s="981" t="str">
        <f>IF(P65="","",Conc2(P65,P$9,MolVol,P$21,P$20,Q$21,Q$20))</f>
        <v/>
      </c>
      <c r="R65" s="981" t="str">
        <f>IF(R$17=FALSE,"",JUMData('Testo, JUM &amp; MRU Data'!M59,$R$7))</f>
        <v/>
      </c>
      <c r="S65" s="982" t="str">
        <f>IF(R65="","",Conc2(R65,R$9,MolVol,R$21,R$20,S$21,S$20)/(1-Bws))</f>
        <v/>
      </c>
      <c r="T65" s="740"/>
      <c r="AR65" s="334"/>
      <c r="AS65" s="334"/>
      <c r="AT65" s="48"/>
      <c r="AU65" s="48"/>
      <c r="AV65" s="153"/>
      <c r="AW65" s="153"/>
      <c r="AX65" s="153"/>
      <c r="AY65" s="153"/>
      <c r="AZ65" s="153"/>
      <c r="BA65" s="153"/>
      <c r="BB65" s="153"/>
      <c r="BC65" s="153"/>
      <c r="BD65" s="153"/>
      <c r="BE65" s="153"/>
      <c r="BF65" s="153"/>
      <c r="BG65" s="153"/>
      <c r="BH65" s="153"/>
      <c r="BI65" s="153"/>
      <c r="BJ65" s="153"/>
      <c r="BK65" s="153"/>
      <c r="BL65" s="153"/>
      <c r="BM65" s="153"/>
      <c r="BN65" s="153"/>
      <c r="BO65" s="153"/>
      <c r="BP65" s="153"/>
      <c r="BQ65" s="153"/>
      <c r="BR65" s="153"/>
      <c r="BS65" s="153"/>
      <c r="BT65" s="153"/>
      <c r="BU65" s="153"/>
      <c r="BV65" s="153"/>
      <c r="BW65" s="153"/>
      <c r="BX65" s="153"/>
      <c r="BY65" s="153"/>
      <c r="BZ65" s="153"/>
      <c r="CA65" s="153"/>
      <c r="CB65" s="153"/>
      <c r="CC65" s="153"/>
      <c r="CD65" s="153"/>
      <c r="CE65" s="153"/>
      <c r="CF65" s="153"/>
      <c r="CG65" s="153"/>
      <c r="CH65" s="153"/>
      <c r="CI65" s="153"/>
      <c r="CJ65" s="153"/>
      <c r="CK65" s="153"/>
      <c r="CL65" s="153"/>
      <c r="CM65" s="153"/>
      <c r="CN65" s="153"/>
      <c r="CO65" s="153"/>
      <c r="CP65" s="153"/>
      <c r="CQ65" s="153"/>
      <c r="CR65" s="153"/>
      <c r="CS65" s="153"/>
      <c r="CT65" s="153"/>
      <c r="CU65" s="153"/>
      <c r="CV65" s="153"/>
      <c r="CW65" s="153"/>
      <c r="CX65" s="153"/>
      <c r="CY65" s="153"/>
      <c r="CZ65" s="153"/>
      <c r="DA65" s="153"/>
      <c r="DB65" s="153"/>
      <c r="DC65" s="153"/>
      <c r="DD65" s="153"/>
      <c r="DE65" s="153"/>
      <c r="DF65" s="153"/>
      <c r="DG65" s="153"/>
      <c r="DH65" s="153"/>
      <c r="DI65" s="153"/>
      <c r="DJ65" s="153"/>
      <c r="DK65" s="153"/>
      <c r="DL65" s="153"/>
      <c r="DM65" s="153"/>
      <c r="DN65" s="153"/>
      <c r="DO65" s="153"/>
      <c r="DP65" s="153"/>
      <c r="DQ65" s="153"/>
      <c r="DR65" s="153"/>
      <c r="DS65" s="153"/>
      <c r="DT65" s="153"/>
      <c r="DU65" s="153"/>
      <c r="DV65" s="153"/>
      <c r="DW65" s="153"/>
      <c r="DX65" s="153"/>
      <c r="DY65" s="153"/>
      <c r="DZ65" s="153"/>
      <c r="EA65" s="153"/>
      <c r="EB65" s="153"/>
      <c r="EC65" s="153"/>
      <c r="ED65" s="153"/>
      <c r="EE65" s="153"/>
      <c r="EF65" s="153"/>
      <c r="EG65" s="153"/>
      <c r="EH65" s="153"/>
      <c r="EI65" s="153"/>
      <c r="EJ65" s="153"/>
      <c r="EK65" s="153"/>
      <c r="EL65" s="153"/>
      <c r="EM65" s="153"/>
    </row>
    <row r="66" spans="1:143" s="107" customFormat="1" ht="10.5" customHeight="1">
      <c r="A66" s="1140">
        <v>41</v>
      </c>
      <c r="B66" s="1560" t="str">
        <f t="shared" si="2"/>
        <v/>
      </c>
      <c r="C66" s="161" t="str">
        <f>GasTime(GasAnalyser,'Horiba Data'!F59,'Horiba Data'!G59,'Testo, JUM &amp; MRU Data'!A60,'Thermo Data'!B59,HourOffset)</f>
        <v/>
      </c>
      <c r="D66" s="981" t="str">
        <f>IF(D$17=FALSE,"",GasData(GasAnalyser,'Horiba Data'!S59,'Testo, JUM &amp; MRU Data'!D60,'Thermo Data'!E59,'Testo, JUM &amp; MRU Data'!U60,GDF))</f>
        <v/>
      </c>
      <c r="E66" s="981" t="str">
        <f>IF(D66="","",Conc2(D66,D$9,MolVol,D$21,D$20,E$21,E$20))</f>
        <v/>
      </c>
      <c r="F66" s="981" t="str">
        <f>IF(F$17=FALSE,"",GasData(GasAnalyser,'Horiba Data'!AQ59,'Testo, JUM &amp; MRU Data'!E60,'Thermo Data'!F59,'Testo, JUM &amp; MRU Data'!V60,GDF))</f>
        <v/>
      </c>
      <c r="G66" s="981" t="str">
        <f>IF(F66="","",Conc2(F66,F$9,MolVol,F$21,F$20,G$21,G$20))</f>
        <v/>
      </c>
      <c r="H66" s="981" t="str">
        <f>IF(D$17=FALSE,"",IF(F$17=FALSE,"",GasData(GasAnalyser,'Horiba Data'!W59,'Testo, JUM &amp; MRU Data'!F60,'Thermo Data'!G59,'Testo, JUM &amp; MRU Data'!Y60,GDF)))</f>
        <v/>
      </c>
      <c r="I66" s="981" t="str">
        <f>IF(H66="","",Conc2(H66,H$9,MolVol,H$21,H$20,I$21,I$20))</f>
        <v/>
      </c>
      <c r="J66" s="981" t="str">
        <f>IF(J$17=FALSE,"",GasData(GasAnalyser,'Horiba Data'!AM59,'Testo, JUM &amp; MRU Data'!G60,'Thermo Data'!H59,'Testo, JUM &amp; MRU Data'!W60,GDF))</f>
        <v/>
      </c>
      <c r="K66" s="981" t="str">
        <f>IF(J66="","",Conc2(J66,J$9,MolVol,J$21,J$20,K$21,K$20))</f>
        <v/>
      </c>
      <c r="L66" s="981" t="str">
        <f>IF(L$17=FALSE,"",GasData(GasAnalyser,'Horiba Data'!AA59,'Testo, JUM &amp; MRU Data'!H60,'Thermo Data'!I59,'Testo, JUM &amp; MRU Data'!T60,GDF))</f>
        <v/>
      </c>
      <c r="M66" s="981" t="str">
        <f>IF(L66="","",Conc2(L66,L$9,MolVol,L$21,L$20,M$21,M$20))</f>
        <v/>
      </c>
      <c r="N66" s="981" t="str">
        <f>IF(N$17=FALSE,"",GasData(GasAnalyser,'Horiba Data'!AE59,'Testo, JUM &amp; MRU Data'!I60,'Thermo Data'!J59,'Testo, JUM &amp; MRU Data'!S60,GDF))</f>
        <v/>
      </c>
      <c r="O66" s="981" t="str">
        <f>IF(N66="","",Conc2(N66,N$9,MolVol,N$21,N$20,O$21,O$20))</f>
        <v/>
      </c>
      <c r="P66" s="981" t="str">
        <f>IF(P$17=FALSE,"",GasData(GasAnalyser,'Horiba Data'!AI59,'Testo, JUM &amp; MRU Data'!J60,'Thermo Data'!K59,'Testo, JUM &amp; MRU Data'!R60,GDF))</f>
        <v/>
      </c>
      <c r="Q66" s="981" t="str">
        <f>IF(P66="","",Conc2(P66,P$9,MolVol,P$21,P$20,Q$21,Q$20))</f>
        <v/>
      </c>
      <c r="R66" s="981" t="str">
        <f>IF(R$17=FALSE,"",JUMData('Testo, JUM &amp; MRU Data'!M60,$R$7))</f>
        <v/>
      </c>
      <c r="S66" s="982" t="str">
        <f>IF(R66="","",Conc2(R66,R$9,MolVol,R$21,R$20,S$21,S$20)/(1-Bws))</f>
        <v/>
      </c>
      <c r="T66" s="740"/>
      <c r="AR66" s="334"/>
      <c r="AS66" s="334"/>
      <c r="AT66" s="48"/>
      <c r="AU66" s="48"/>
      <c r="AV66" s="153"/>
      <c r="AW66" s="153"/>
      <c r="AX66" s="153"/>
      <c r="AY66" s="153"/>
      <c r="AZ66" s="153"/>
      <c r="BA66" s="153"/>
      <c r="BB66" s="153"/>
      <c r="BC66" s="153"/>
      <c r="BD66" s="153"/>
      <c r="BE66" s="153"/>
      <c r="BF66" s="153"/>
      <c r="BG66" s="153"/>
      <c r="BH66" s="153"/>
      <c r="BI66" s="153"/>
      <c r="BJ66" s="153"/>
      <c r="BK66" s="153"/>
      <c r="BL66" s="153"/>
      <c r="BM66" s="153"/>
      <c r="BN66" s="153"/>
      <c r="BO66" s="153"/>
      <c r="BP66" s="153"/>
      <c r="BQ66" s="153"/>
      <c r="BR66" s="153"/>
      <c r="BS66" s="153"/>
      <c r="BT66" s="153"/>
      <c r="BU66" s="153"/>
      <c r="BV66" s="153"/>
      <c r="BW66" s="153"/>
      <c r="BX66" s="153"/>
      <c r="BY66" s="153"/>
      <c r="BZ66" s="153"/>
      <c r="CA66" s="153"/>
      <c r="CB66" s="153"/>
      <c r="CC66" s="153"/>
      <c r="CD66" s="153"/>
      <c r="CE66" s="153"/>
      <c r="CF66" s="153"/>
      <c r="CG66" s="153"/>
      <c r="CH66" s="153"/>
      <c r="CI66" s="153"/>
      <c r="CJ66" s="153"/>
      <c r="CK66" s="153"/>
      <c r="CL66" s="153"/>
      <c r="CM66" s="153"/>
      <c r="CN66" s="153"/>
      <c r="CO66" s="153"/>
      <c r="CP66" s="153"/>
      <c r="CQ66" s="153"/>
      <c r="CR66" s="153"/>
      <c r="CS66" s="153"/>
      <c r="CT66" s="153"/>
      <c r="CU66" s="153"/>
      <c r="CV66" s="153"/>
      <c r="CW66" s="153"/>
      <c r="CX66" s="153"/>
      <c r="CY66" s="153"/>
      <c r="CZ66" s="153"/>
      <c r="DA66" s="153"/>
      <c r="DB66" s="153"/>
      <c r="DC66" s="153"/>
      <c r="DD66" s="153"/>
      <c r="DE66" s="153"/>
      <c r="DF66" s="153"/>
      <c r="DG66" s="153"/>
      <c r="DH66" s="153"/>
      <c r="DI66" s="153"/>
      <c r="DJ66" s="153"/>
      <c r="DK66" s="153"/>
      <c r="DL66" s="153"/>
      <c r="DM66" s="153"/>
      <c r="DN66" s="153"/>
      <c r="DO66" s="153"/>
      <c r="DP66" s="153"/>
      <c r="DQ66" s="153"/>
      <c r="DR66" s="153"/>
      <c r="DS66" s="153"/>
      <c r="DT66" s="153"/>
      <c r="DU66" s="153"/>
      <c r="DV66" s="153"/>
      <c r="DW66" s="153"/>
      <c r="DX66" s="153"/>
      <c r="DY66" s="153"/>
      <c r="DZ66" s="153"/>
      <c r="EA66" s="153"/>
      <c r="EB66" s="153"/>
      <c r="EC66" s="153"/>
      <c r="ED66" s="153"/>
      <c r="EE66" s="153"/>
      <c r="EF66" s="153"/>
      <c r="EG66" s="153"/>
      <c r="EH66" s="153"/>
      <c r="EI66" s="153"/>
      <c r="EJ66" s="153"/>
      <c r="EK66" s="153"/>
      <c r="EL66" s="153"/>
      <c r="EM66" s="153"/>
    </row>
    <row r="67" spans="1:143" s="107" customFormat="1" ht="10.5" customHeight="1">
      <c r="A67" s="1140">
        <v>42</v>
      </c>
      <c r="B67" s="1560" t="str">
        <f t="shared" si="2"/>
        <v/>
      </c>
      <c r="C67" s="161" t="str">
        <f>GasTime(GasAnalyser,'Horiba Data'!F60,'Horiba Data'!G60,'Testo, JUM &amp; MRU Data'!A61,'Thermo Data'!B60,HourOffset)</f>
        <v/>
      </c>
      <c r="D67" s="981" t="str">
        <f>IF(D$17=FALSE,"",GasData(GasAnalyser,'Horiba Data'!S60,'Testo, JUM &amp; MRU Data'!D61,'Thermo Data'!E60,'Testo, JUM &amp; MRU Data'!U61,GDF))</f>
        <v/>
      </c>
      <c r="E67" s="981" t="str">
        <f>IF(D67="","",Conc2(D67,D$9,MolVol,D$21,D$20,E$21,E$20))</f>
        <v/>
      </c>
      <c r="F67" s="981" t="str">
        <f>IF(F$17=FALSE,"",GasData(GasAnalyser,'Horiba Data'!AQ60,'Testo, JUM &amp; MRU Data'!E61,'Thermo Data'!F60,'Testo, JUM &amp; MRU Data'!V61,GDF))</f>
        <v/>
      </c>
      <c r="G67" s="981" t="str">
        <f>IF(F67="","",Conc2(F67,F$9,MolVol,F$21,F$20,G$21,G$20))</f>
        <v/>
      </c>
      <c r="H67" s="981" t="str">
        <f>IF(D$17=FALSE,"",IF(F$17=FALSE,"",GasData(GasAnalyser,'Horiba Data'!W60,'Testo, JUM &amp; MRU Data'!F61,'Thermo Data'!G60,'Testo, JUM &amp; MRU Data'!Y61,GDF)))</f>
        <v/>
      </c>
      <c r="I67" s="981" t="str">
        <f>IF(H67="","",Conc2(H67,H$9,MolVol,H$21,H$20,I$21,I$20))</f>
        <v/>
      </c>
      <c r="J67" s="981" t="str">
        <f>IF(J$17=FALSE,"",GasData(GasAnalyser,'Horiba Data'!AM60,'Testo, JUM &amp; MRU Data'!G61,'Thermo Data'!H60,'Testo, JUM &amp; MRU Data'!W61,GDF))</f>
        <v/>
      </c>
      <c r="K67" s="981" t="str">
        <f>IF(J67="","",Conc2(J67,J$9,MolVol,J$21,J$20,K$21,K$20))</f>
        <v/>
      </c>
      <c r="L67" s="981" t="str">
        <f>IF(L$17=FALSE,"",GasData(GasAnalyser,'Horiba Data'!AA60,'Testo, JUM &amp; MRU Data'!H61,'Thermo Data'!I60,'Testo, JUM &amp; MRU Data'!T61,GDF))</f>
        <v/>
      </c>
      <c r="M67" s="981" t="str">
        <f>IF(L67="","",Conc2(L67,L$9,MolVol,L$21,L$20,M$21,M$20))</f>
        <v/>
      </c>
      <c r="N67" s="981" t="str">
        <f>IF(N$17=FALSE,"",GasData(GasAnalyser,'Horiba Data'!AE60,'Testo, JUM &amp; MRU Data'!I61,'Thermo Data'!J60,'Testo, JUM &amp; MRU Data'!S61,GDF))</f>
        <v/>
      </c>
      <c r="O67" s="981" t="str">
        <f>IF(N67="","",Conc2(N67,N$9,MolVol,N$21,N$20,O$21,O$20))</f>
        <v/>
      </c>
      <c r="P67" s="981" t="str">
        <f>IF(P$17=FALSE,"",GasData(GasAnalyser,'Horiba Data'!AI60,'Testo, JUM &amp; MRU Data'!J61,'Thermo Data'!K60,'Testo, JUM &amp; MRU Data'!R61,GDF))</f>
        <v/>
      </c>
      <c r="Q67" s="981" t="str">
        <f>IF(P67="","",Conc2(P67,P$9,MolVol,P$21,P$20,Q$21,Q$20))</f>
        <v/>
      </c>
      <c r="R67" s="981" t="str">
        <f>IF(R$17=FALSE,"",JUMData('Testo, JUM &amp; MRU Data'!M61,$R$7))</f>
        <v/>
      </c>
      <c r="S67" s="982" t="str">
        <f>IF(R67="","",Conc2(R67,R$9,MolVol,R$21,R$20,S$21,S$20)/(1-Bws))</f>
        <v/>
      </c>
      <c r="T67" s="740"/>
      <c r="AR67" s="334"/>
      <c r="AS67" s="334"/>
      <c r="AT67" s="48"/>
      <c r="AU67" s="48"/>
      <c r="AV67" s="153"/>
      <c r="AW67" s="153"/>
      <c r="AX67" s="153"/>
      <c r="AY67" s="153"/>
      <c r="AZ67" s="153"/>
      <c r="BA67" s="153"/>
      <c r="BB67" s="153"/>
      <c r="BC67" s="153"/>
      <c r="BD67" s="153"/>
      <c r="BE67" s="153"/>
      <c r="BF67" s="153"/>
      <c r="BG67" s="153"/>
      <c r="BH67" s="153"/>
      <c r="BI67" s="153"/>
      <c r="BJ67" s="153"/>
      <c r="BK67" s="153"/>
      <c r="BL67" s="153"/>
      <c r="BM67" s="153"/>
      <c r="BN67" s="153"/>
      <c r="BO67" s="153"/>
      <c r="BP67" s="153"/>
      <c r="BQ67" s="153"/>
      <c r="BR67" s="153"/>
      <c r="BS67" s="153"/>
      <c r="BT67" s="153"/>
      <c r="BU67" s="153"/>
      <c r="BV67" s="153"/>
      <c r="BW67" s="153"/>
      <c r="BX67" s="153"/>
      <c r="BY67" s="153"/>
      <c r="BZ67" s="153"/>
      <c r="CA67" s="153"/>
      <c r="CB67" s="153"/>
      <c r="CC67" s="153"/>
      <c r="CD67" s="153"/>
      <c r="CE67" s="153"/>
      <c r="CF67" s="153"/>
      <c r="CG67" s="153"/>
      <c r="CH67" s="153"/>
      <c r="CI67" s="153"/>
      <c r="CJ67" s="153"/>
      <c r="CK67" s="153"/>
      <c r="CL67" s="153"/>
      <c r="CM67" s="153"/>
      <c r="CN67" s="153"/>
      <c r="CO67" s="153"/>
      <c r="CP67" s="153"/>
      <c r="CQ67" s="153"/>
      <c r="CR67" s="153"/>
      <c r="CS67" s="153"/>
      <c r="CT67" s="153"/>
      <c r="CU67" s="153"/>
      <c r="CV67" s="153"/>
      <c r="CW67" s="153"/>
      <c r="CX67" s="153"/>
      <c r="CY67" s="153"/>
      <c r="CZ67" s="153"/>
      <c r="DA67" s="153"/>
      <c r="DB67" s="153"/>
      <c r="DC67" s="153"/>
      <c r="DD67" s="153"/>
      <c r="DE67" s="153"/>
      <c r="DF67" s="153"/>
      <c r="DG67" s="153"/>
      <c r="DH67" s="153"/>
      <c r="DI67" s="153"/>
      <c r="DJ67" s="153"/>
      <c r="DK67" s="153"/>
      <c r="DL67" s="153"/>
      <c r="DM67" s="153"/>
      <c r="DN67" s="153"/>
      <c r="DO67" s="153"/>
      <c r="DP67" s="153"/>
      <c r="DQ67" s="153"/>
      <c r="DR67" s="153"/>
      <c r="DS67" s="153"/>
      <c r="DT67" s="153"/>
      <c r="DU67" s="153"/>
      <c r="DV67" s="153"/>
      <c r="DW67" s="153"/>
      <c r="DX67" s="153"/>
      <c r="DY67" s="153"/>
      <c r="DZ67" s="153"/>
      <c r="EA67" s="153"/>
      <c r="EB67" s="153"/>
      <c r="EC67" s="153"/>
      <c r="ED67" s="153"/>
      <c r="EE67" s="153"/>
      <c r="EF67" s="153"/>
      <c r="EG67" s="153"/>
      <c r="EH67" s="153"/>
      <c r="EI67" s="153"/>
      <c r="EJ67" s="153"/>
      <c r="EK67" s="153"/>
      <c r="EL67" s="153"/>
      <c r="EM67" s="153"/>
    </row>
    <row r="68" spans="1:143" s="107" customFormat="1" ht="10.5" customHeight="1">
      <c r="A68" s="1140">
        <v>43</v>
      </c>
      <c r="B68" s="1560" t="str">
        <f t="shared" si="2"/>
        <v/>
      </c>
      <c r="C68" s="161" t="str">
        <f>GasTime(GasAnalyser,'Horiba Data'!F61,'Horiba Data'!G61,'Testo, JUM &amp; MRU Data'!A62,'Thermo Data'!B61,HourOffset)</f>
        <v/>
      </c>
      <c r="D68" s="981" t="str">
        <f>IF(D$17=FALSE,"",GasData(GasAnalyser,'Horiba Data'!S61,'Testo, JUM &amp; MRU Data'!D62,'Thermo Data'!E61,'Testo, JUM &amp; MRU Data'!U62,GDF))</f>
        <v/>
      </c>
      <c r="E68" s="981" t="str">
        <f>IF(D68="","",Conc2(D68,D$9,MolVol,D$21,D$20,E$21,E$20))</f>
        <v/>
      </c>
      <c r="F68" s="981" t="str">
        <f>IF(F$17=FALSE,"",GasData(GasAnalyser,'Horiba Data'!AQ61,'Testo, JUM &amp; MRU Data'!E62,'Thermo Data'!F61,'Testo, JUM &amp; MRU Data'!V62,GDF))</f>
        <v/>
      </c>
      <c r="G68" s="981" t="str">
        <f>IF(F68="","",Conc2(F68,F$9,MolVol,F$21,F$20,G$21,G$20))</f>
        <v/>
      </c>
      <c r="H68" s="981" t="str">
        <f>IF(D$17=FALSE,"",IF(F$17=FALSE,"",GasData(GasAnalyser,'Horiba Data'!W61,'Testo, JUM &amp; MRU Data'!F62,'Thermo Data'!G61,'Testo, JUM &amp; MRU Data'!Y62,GDF)))</f>
        <v/>
      </c>
      <c r="I68" s="981" t="str">
        <f>IF(H68="","",Conc2(H68,H$9,MolVol,H$21,H$20,I$21,I$20))</f>
        <v/>
      </c>
      <c r="J68" s="981" t="str">
        <f>IF(J$17=FALSE,"",GasData(GasAnalyser,'Horiba Data'!AM61,'Testo, JUM &amp; MRU Data'!G62,'Thermo Data'!H61,'Testo, JUM &amp; MRU Data'!W62,GDF))</f>
        <v/>
      </c>
      <c r="K68" s="981" t="str">
        <f>IF(J68="","",Conc2(J68,J$9,MolVol,J$21,J$20,K$21,K$20))</f>
        <v/>
      </c>
      <c r="L68" s="981" t="str">
        <f>IF(L$17=FALSE,"",GasData(GasAnalyser,'Horiba Data'!AA61,'Testo, JUM &amp; MRU Data'!H62,'Thermo Data'!I61,'Testo, JUM &amp; MRU Data'!T62,GDF))</f>
        <v/>
      </c>
      <c r="M68" s="981" t="str">
        <f>IF(L68="","",Conc2(L68,L$9,MolVol,L$21,L$20,M$21,M$20))</f>
        <v/>
      </c>
      <c r="N68" s="981" t="str">
        <f>IF(N$17=FALSE,"",GasData(GasAnalyser,'Horiba Data'!AE61,'Testo, JUM &amp; MRU Data'!I62,'Thermo Data'!J61,'Testo, JUM &amp; MRU Data'!S62,GDF))</f>
        <v/>
      </c>
      <c r="O68" s="981" t="str">
        <f>IF(N68="","",Conc2(N68,N$9,MolVol,N$21,N$20,O$21,O$20))</f>
        <v/>
      </c>
      <c r="P68" s="981" t="str">
        <f>IF(P$17=FALSE,"",GasData(GasAnalyser,'Horiba Data'!AI61,'Testo, JUM &amp; MRU Data'!J62,'Thermo Data'!K61,'Testo, JUM &amp; MRU Data'!R62,GDF))</f>
        <v/>
      </c>
      <c r="Q68" s="981" t="str">
        <f>IF(P68="","",Conc2(P68,P$9,MolVol,P$21,P$20,Q$21,Q$20))</f>
        <v/>
      </c>
      <c r="R68" s="981" t="str">
        <f>IF(R$17=FALSE,"",JUMData('Testo, JUM &amp; MRU Data'!M62,$R$7))</f>
        <v/>
      </c>
      <c r="S68" s="982" t="str">
        <f>IF(R68="","",Conc2(R68,R$9,MolVol,R$21,R$20,S$21,S$20)/(1-Bws))</f>
        <v/>
      </c>
      <c r="T68" s="740"/>
      <c r="AR68" s="334"/>
      <c r="AS68" s="334"/>
      <c r="AT68" s="48"/>
      <c r="AU68" s="48"/>
      <c r="AV68" s="153"/>
      <c r="AW68" s="153"/>
      <c r="AX68" s="153"/>
      <c r="AY68" s="153"/>
      <c r="AZ68" s="153"/>
      <c r="BA68" s="153"/>
      <c r="BB68" s="153"/>
      <c r="BC68" s="153"/>
      <c r="BD68" s="153"/>
      <c r="BE68" s="153"/>
      <c r="BF68" s="153"/>
      <c r="BG68" s="153"/>
      <c r="BH68" s="153"/>
      <c r="BI68" s="153"/>
      <c r="BJ68" s="153"/>
      <c r="BK68" s="153"/>
      <c r="BL68" s="153"/>
      <c r="BM68" s="153"/>
      <c r="BN68" s="153"/>
      <c r="BO68" s="153"/>
      <c r="BP68" s="153"/>
      <c r="BQ68" s="153"/>
      <c r="BR68" s="153"/>
      <c r="BS68" s="153"/>
      <c r="BT68" s="153"/>
      <c r="BU68" s="153"/>
      <c r="BV68" s="153"/>
      <c r="BW68" s="153"/>
      <c r="BX68" s="153"/>
      <c r="BY68" s="153"/>
      <c r="BZ68" s="153"/>
      <c r="CA68" s="153"/>
      <c r="CB68" s="153"/>
      <c r="CC68" s="153"/>
      <c r="CD68" s="153"/>
      <c r="CE68" s="153"/>
      <c r="CF68" s="153"/>
      <c r="CG68" s="153"/>
      <c r="CH68" s="153"/>
      <c r="CI68" s="153"/>
      <c r="CJ68" s="153"/>
      <c r="CK68" s="153"/>
      <c r="CL68" s="153"/>
      <c r="CM68" s="153"/>
      <c r="CN68" s="153"/>
      <c r="CO68" s="153"/>
      <c r="CP68" s="153"/>
      <c r="CQ68" s="153"/>
      <c r="CR68" s="153"/>
      <c r="CS68" s="153"/>
      <c r="CT68" s="153"/>
      <c r="CU68" s="153"/>
      <c r="CV68" s="153"/>
      <c r="CW68" s="153"/>
      <c r="CX68" s="153"/>
      <c r="CY68" s="153"/>
      <c r="CZ68" s="153"/>
      <c r="DA68" s="153"/>
      <c r="DB68" s="153"/>
      <c r="DC68" s="153"/>
      <c r="DD68" s="153"/>
      <c r="DE68" s="153"/>
      <c r="DF68" s="153"/>
      <c r="DG68" s="153"/>
      <c r="DH68" s="153"/>
      <c r="DI68" s="153"/>
      <c r="DJ68" s="153"/>
      <c r="DK68" s="153"/>
      <c r="DL68" s="153"/>
      <c r="DM68" s="153"/>
      <c r="DN68" s="153"/>
      <c r="DO68" s="153"/>
      <c r="DP68" s="153"/>
      <c r="DQ68" s="153"/>
      <c r="DR68" s="153"/>
      <c r="DS68" s="153"/>
      <c r="DT68" s="153"/>
      <c r="DU68" s="153"/>
      <c r="DV68" s="153"/>
      <c r="DW68" s="153"/>
      <c r="DX68" s="153"/>
      <c r="DY68" s="153"/>
      <c r="DZ68" s="153"/>
      <c r="EA68" s="153"/>
      <c r="EB68" s="153"/>
      <c r="EC68" s="153"/>
      <c r="ED68" s="153"/>
      <c r="EE68" s="153"/>
      <c r="EF68" s="153"/>
      <c r="EG68" s="153"/>
      <c r="EH68" s="153"/>
      <c r="EI68" s="153"/>
      <c r="EJ68" s="153"/>
      <c r="EK68" s="153"/>
      <c r="EL68" s="153"/>
      <c r="EM68" s="153"/>
    </row>
    <row r="69" spans="1:143" s="107" customFormat="1" ht="10.5" customHeight="1">
      <c r="A69" s="1140">
        <v>44</v>
      </c>
      <c r="B69" s="1560" t="str">
        <f t="shared" si="2"/>
        <v/>
      </c>
      <c r="C69" s="161" t="str">
        <f>GasTime(GasAnalyser,'Horiba Data'!F62,'Horiba Data'!G62,'Testo, JUM &amp; MRU Data'!A63,'Thermo Data'!B62,HourOffset)</f>
        <v/>
      </c>
      <c r="D69" s="981" t="str">
        <f>IF(D$17=FALSE,"",GasData(GasAnalyser,'Horiba Data'!S62,'Testo, JUM &amp; MRU Data'!D63,'Thermo Data'!E62,'Testo, JUM &amp; MRU Data'!U63,GDF))</f>
        <v/>
      </c>
      <c r="E69" s="981" t="str">
        <f>IF(D69="","",Conc2(D69,D$9,MolVol,D$21,D$20,E$21,E$20))</f>
        <v/>
      </c>
      <c r="F69" s="981" t="str">
        <f>IF(F$17=FALSE,"",GasData(GasAnalyser,'Horiba Data'!AQ62,'Testo, JUM &amp; MRU Data'!E63,'Thermo Data'!F62,'Testo, JUM &amp; MRU Data'!V63,GDF))</f>
        <v/>
      </c>
      <c r="G69" s="981" t="str">
        <f>IF(F69="","",Conc2(F69,F$9,MolVol,F$21,F$20,G$21,G$20))</f>
        <v/>
      </c>
      <c r="H69" s="981" t="str">
        <f>IF(D$17=FALSE,"",IF(F$17=FALSE,"",GasData(GasAnalyser,'Horiba Data'!W62,'Testo, JUM &amp; MRU Data'!F63,'Thermo Data'!G62,'Testo, JUM &amp; MRU Data'!Y63,GDF)))</f>
        <v/>
      </c>
      <c r="I69" s="981" t="str">
        <f>IF(H69="","",Conc2(H69,H$9,MolVol,H$21,H$20,I$21,I$20))</f>
        <v/>
      </c>
      <c r="J69" s="981" t="str">
        <f>IF(J$17=FALSE,"",GasData(GasAnalyser,'Horiba Data'!AM62,'Testo, JUM &amp; MRU Data'!G63,'Thermo Data'!H62,'Testo, JUM &amp; MRU Data'!W63,GDF))</f>
        <v/>
      </c>
      <c r="K69" s="981" t="str">
        <f>IF(J69="","",Conc2(J69,J$9,MolVol,J$21,J$20,K$21,K$20))</f>
        <v/>
      </c>
      <c r="L69" s="981" t="str">
        <f>IF(L$17=FALSE,"",GasData(GasAnalyser,'Horiba Data'!AA62,'Testo, JUM &amp; MRU Data'!H63,'Thermo Data'!I62,'Testo, JUM &amp; MRU Data'!T63,GDF))</f>
        <v/>
      </c>
      <c r="M69" s="981" t="str">
        <f>IF(L69="","",Conc2(L69,L$9,MolVol,L$21,L$20,M$21,M$20))</f>
        <v/>
      </c>
      <c r="N69" s="981" t="str">
        <f>IF(N$17=FALSE,"",GasData(GasAnalyser,'Horiba Data'!AE62,'Testo, JUM &amp; MRU Data'!I63,'Thermo Data'!J62,'Testo, JUM &amp; MRU Data'!S63,GDF))</f>
        <v/>
      </c>
      <c r="O69" s="981" t="str">
        <f>IF(N69="","",Conc2(N69,N$9,MolVol,N$21,N$20,O$21,O$20))</f>
        <v/>
      </c>
      <c r="P69" s="981" t="str">
        <f>IF(P$17=FALSE,"",GasData(GasAnalyser,'Horiba Data'!AI62,'Testo, JUM &amp; MRU Data'!J63,'Thermo Data'!K62,'Testo, JUM &amp; MRU Data'!R63,GDF))</f>
        <v/>
      </c>
      <c r="Q69" s="981" t="str">
        <f>IF(P69="","",Conc2(P69,P$9,MolVol,P$21,P$20,Q$21,Q$20))</f>
        <v/>
      </c>
      <c r="R69" s="981" t="str">
        <f>IF(R$17=FALSE,"",JUMData('Testo, JUM &amp; MRU Data'!M63,$R$7))</f>
        <v/>
      </c>
      <c r="S69" s="982" t="str">
        <f>IF(R69="","",Conc2(R69,R$9,MolVol,R$21,R$20,S$21,S$20)/(1-Bws))</f>
        <v/>
      </c>
      <c r="T69" s="740"/>
      <c r="AR69" s="334"/>
      <c r="AS69" s="334"/>
      <c r="AT69" s="48"/>
      <c r="AU69" s="48"/>
      <c r="AV69" s="153"/>
      <c r="AW69" s="153"/>
      <c r="AX69" s="153"/>
      <c r="AY69" s="153"/>
      <c r="AZ69" s="153"/>
      <c r="BA69" s="153"/>
      <c r="BB69" s="153"/>
      <c r="BC69" s="153"/>
      <c r="BD69" s="153"/>
      <c r="BE69" s="153"/>
      <c r="BF69" s="153"/>
      <c r="BG69" s="153"/>
      <c r="BH69" s="153"/>
      <c r="BI69" s="153"/>
      <c r="BJ69" s="153"/>
      <c r="BK69" s="153"/>
      <c r="BL69" s="153"/>
      <c r="BM69" s="153"/>
      <c r="BN69" s="153"/>
      <c r="BO69" s="153"/>
      <c r="BP69" s="153"/>
      <c r="BQ69" s="153"/>
      <c r="BR69" s="153"/>
      <c r="BS69" s="153"/>
      <c r="BT69" s="153"/>
      <c r="BU69" s="153"/>
      <c r="BV69" s="153"/>
      <c r="BW69" s="153"/>
      <c r="BX69" s="153"/>
      <c r="BY69" s="153"/>
      <c r="BZ69" s="153"/>
      <c r="CA69" s="153"/>
      <c r="CB69" s="153"/>
      <c r="CC69" s="153"/>
      <c r="CD69" s="153"/>
      <c r="CE69" s="153"/>
      <c r="CF69" s="153"/>
      <c r="CG69" s="153"/>
      <c r="CH69" s="153"/>
      <c r="CI69" s="153"/>
      <c r="CJ69" s="153"/>
      <c r="CK69" s="153"/>
      <c r="CL69" s="153"/>
      <c r="CM69" s="153"/>
      <c r="CN69" s="153"/>
      <c r="CO69" s="153"/>
      <c r="CP69" s="153"/>
      <c r="CQ69" s="153"/>
      <c r="CR69" s="153"/>
      <c r="CS69" s="153"/>
      <c r="CT69" s="153"/>
      <c r="CU69" s="153"/>
      <c r="CV69" s="153"/>
      <c r="CW69" s="153"/>
      <c r="CX69" s="153"/>
      <c r="CY69" s="153"/>
      <c r="CZ69" s="153"/>
      <c r="DA69" s="153"/>
      <c r="DB69" s="153"/>
      <c r="DC69" s="153"/>
      <c r="DD69" s="153"/>
      <c r="DE69" s="153"/>
      <c r="DF69" s="153"/>
      <c r="DG69" s="153"/>
      <c r="DH69" s="153"/>
      <c r="DI69" s="153"/>
      <c r="DJ69" s="153"/>
      <c r="DK69" s="153"/>
      <c r="DL69" s="153"/>
      <c r="DM69" s="153"/>
      <c r="DN69" s="153"/>
      <c r="DO69" s="153"/>
      <c r="DP69" s="153"/>
      <c r="DQ69" s="153"/>
      <c r="DR69" s="153"/>
      <c r="DS69" s="153"/>
      <c r="DT69" s="153"/>
      <c r="DU69" s="153"/>
      <c r="DV69" s="153"/>
      <c r="DW69" s="153"/>
      <c r="DX69" s="153"/>
      <c r="DY69" s="153"/>
      <c r="DZ69" s="153"/>
      <c r="EA69" s="153"/>
      <c r="EB69" s="153"/>
      <c r="EC69" s="153"/>
      <c r="ED69" s="153"/>
      <c r="EE69" s="153"/>
      <c r="EF69" s="153"/>
      <c r="EG69" s="153"/>
      <c r="EH69" s="153"/>
      <c r="EI69" s="153"/>
      <c r="EJ69" s="153"/>
      <c r="EK69" s="153"/>
      <c r="EL69" s="153"/>
      <c r="EM69" s="153"/>
    </row>
    <row r="70" spans="1:143" s="107" customFormat="1" ht="10.5" customHeight="1">
      <c r="A70" s="1140">
        <v>45</v>
      </c>
      <c r="B70" s="1560" t="str">
        <f t="shared" si="2"/>
        <v/>
      </c>
      <c r="C70" s="161" t="str">
        <f>GasTime(GasAnalyser,'Horiba Data'!F63,'Horiba Data'!G63,'Testo, JUM &amp; MRU Data'!A64,'Thermo Data'!B63,HourOffset)</f>
        <v/>
      </c>
      <c r="D70" s="981" t="str">
        <f>IF(D$17=FALSE,"",GasData(GasAnalyser,'Horiba Data'!S63,'Testo, JUM &amp; MRU Data'!D64,'Thermo Data'!E63,'Testo, JUM &amp; MRU Data'!U64,GDF))</f>
        <v/>
      </c>
      <c r="E70" s="981" t="str">
        <f>IF(D70="","",Conc2(D70,D$9,MolVol,D$21,D$20,E$21,E$20))</f>
        <v/>
      </c>
      <c r="F70" s="981" t="str">
        <f>IF(F$17=FALSE,"",GasData(GasAnalyser,'Horiba Data'!AQ63,'Testo, JUM &amp; MRU Data'!E64,'Thermo Data'!F63,'Testo, JUM &amp; MRU Data'!V64,GDF))</f>
        <v/>
      </c>
      <c r="G70" s="981" t="str">
        <f>IF(F70="","",Conc2(F70,F$9,MolVol,F$21,F$20,G$21,G$20))</f>
        <v/>
      </c>
      <c r="H70" s="981" t="str">
        <f>IF(D$17=FALSE,"",IF(F$17=FALSE,"",GasData(GasAnalyser,'Horiba Data'!W63,'Testo, JUM &amp; MRU Data'!F64,'Thermo Data'!G63,'Testo, JUM &amp; MRU Data'!Y64,GDF)))</f>
        <v/>
      </c>
      <c r="I70" s="981" t="str">
        <f>IF(H70="","",Conc2(H70,H$9,MolVol,H$21,H$20,I$21,I$20))</f>
        <v/>
      </c>
      <c r="J70" s="981" t="str">
        <f>IF(J$17=FALSE,"",GasData(GasAnalyser,'Horiba Data'!AM63,'Testo, JUM &amp; MRU Data'!G64,'Thermo Data'!H63,'Testo, JUM &amp; MRU Data'!W64,GDF))</f>
        <v/>
      </c>
      <c r="K70" s="981" t="str">
        <f>IF(J70="","",Conc2(J70,J$9,MolVol,J$21,J$20,K$21,K$20))</f>
        <v/>
      </c>
      <c r="L70" s="981" t="str">
        <f>IF(L$17=FALSE,"",GasData(GasAnalyser,'Horiba Data'!AA63,'Testo, JUM &amp; MRU Data'!H64,'Thermo Data'!I63,'Testo, JUM &amp; MRU Data'!T64,GDF))</f>
        <v/>
      </c>
      <c r="M70" s="981" t="str">
        <f>IF(L70="","",Conc2(L70,L$9,MolVol,L$21,L$20,M$21,M$20))</f>
        <v/>
      </c>
      <c r="N70" s="981" t="str">
        <f>IF(N$17=FALSE,"",GasData(GasAnalyser,'Horiba Data'!AE63,'Testo, JUM &amp; MRU Data'!I64,'Thermo Data'!J63,'Testo, JUM &amp; MRU Data'!S64,GDF))</f>
        <v/>
      </c>
      <c r="O70" s="981" t="str">
        <f>IF(N70="","",Conc2(N70,N$9,MolVol,N$21,N$20,O$21,O$20))</f>
        <v/>
      </c>
      <c r="P70" s="981" t="str">
        <f>IF(P$17=FALSE,"",GasData(GasAnalyser,'Horiba Data'!AI63,'Testo, JUM &amp; MRU Data'!J64,'Thermo Data'!K63,'Testo, JUM &amp; MRU Data'!R64,GDF))</f>
        <v/>
      </c>
      <c r="Q70" s="981" t="str">
        <f>IF(P70="","",Conc2(P70,P$9,MolVol,P$21,P$20,Q$21,Q$20))</f>
        <v/>
      </c>
      <c r="R70" s="981" t="str">
        <f>IF(R$17=FALSE,"",JUMData('Testo, JUM &amp; MRU Data'!M64,$R$7))</f>
        <v/>
      </c>
      <c r="S70" s="982" t="str">
        <f>IF(R70="","",Conc2(R70,R$9,MolVol,R$21,R$20,S$21,S$20)/(1-Bws))</f>
        <v/>
      </c>
      <c r="T70" s="740"/>
      <c r="AR70" s="334"/>
      <c r="AS70" s="334"/>
      <c r="AT70" s="48"/>
      <c r="AU70" s="48"/>
      <c r="AV70" s="153"/>
      <c r="AW70" s="153"/>
      <c r="AX70" s="153"/>
      <c r="AY70" s="153"/>
      <c r="AZ70" s="153"/>
      <c r="BA70" s="153"/>
      <c r="BB70" s="153"/>
      <c r="BC70" s="153"/>
      <c r="BD70" s="153"/>
      <c r="BE70" s="153"/>
      <c r="BF70" s="153"/>
      <c r="BG70" s="153"/>
      <c r="BH70" s="153"/>
      <c r="BI70" s="153"/>
      <c r="BJ70" s="153"/>
      <c r="BK70" s="153"/>
      <c r="BL70" s="153"/>
      <c r="BM70" s="153"/>
      <c r="BN70" s="153"/>
      <c r="BO70" s="153"/>
      <c r="BP70" s="153"/>
      <c r="BQ70" s="153"/>
      <c r="BR70" s="153"/>
      <c r="BS70" s="153"/>
      <c r="BT70" s="153"/>
      <c r="BU70" s="153"/>
      <c r="BV70" s="153"/>
      <c r="BW70" s="153"/>
      <c r="BX70" s="153"/>
      <c r="BY70" s="153"/>
      <c r="BZ70" s="153"/>
      <c r="CA70" s="153"/>
      <c r="CB70" s="153"/>
      <c r="CC70" s="153"/>
      <c r="CD70" s="153"/>
      <c r="CE70" s="153"/>
      <c r="CF70" s="153"/>
      <c r="CG70" s="153"/>
      <c r="CH70" s="153"/>
      <c r="CI70" s="153"/>
      <c r="CJ70" s="153"/>
      <c r="CK70" s="153"/>
      <c r="CL70" s="153"/>
      <c r="CM70" s="153"/>
      <c r="CN70" s="153"/>
      <c r="CO70" s="153"/>
      <c r="CP70" s="153"/>
      <c r="CQ70" s="153"/>
      <c r="CR70" s="153"/>
      <c r="CS70" s="153"/>
      <c r="CT70" s="153"/>
      <c r="CU70" s="153"/>
      <c r="CV70" s="153"/>
      <c r="CW70" s="153"/>
      <c r="CX70" s="153"/>
      <c r="CY70" s="153"/>
      <c r="CZ70" s="153"/>
      <c r="DA70" s="153"/>
      <c r="DB70" s="153"/>
      <c r="DC70" s="153"/>
      <c r="DD70" s="153"/>
      <c r="DE70" s="153"/>
      <c r="DF70" s="153"/>
      <c r="DG70" s="153"/>
      <c r="DH70" s="153"/>
      <c r="DI70" s="153"/>
      <c r="DJ70" s="153"/>
      <c r="DK70" s="153"/>
      <c r="DL70" s="153"/>
      <c r="DM70" s="153"/>
      <c r="DN70" s="153"/>
      <c r="DO70" s="153"/>
      <c r="DP70" s="153"/>
      <c r="DQ70" s="153"/>
      <c r="DR70" s="153"/>
      <c r="DS70" s="153"/>
      <c r="DT70" s="153"/>
      <c r="DU70" s="153"/>
      <c r="DV70" s="153"/>
      <c r="DW70" s="153"/>
      <c r="DX70" s="153"/>
      <c r="DY70" s="153"/>
      <c r="DZ70" s="153"/>
      <c r="EA70" s="153"/>
      <c r="EB70" s="153"/>
      <c r="EC70" s="153"/>
      <c r="ED70" s="153"/>
      <c r="EE70" s="153"/>
      <c r="EF70" s="153"/>
      <c r="EG70" s="153"/>
      <c r="EH70" s="153"/>
      <c r="EI70" s="153"/>
      <c r="EJ70" s="153"/>
      <c r="EK70" s="153"/>
      <c r="EL70" s="153"/>
      <c r="EM70" s="153"/>
    </row>
    <row r="71" spans="1:143" s="107" customFormat="1" ht="10.5" customHeight="1">
      <c r="A71" s="1140">
        <v>46</v>
      </c>
      <c r="B71" s="1560" t="str">
        <f t="shared" si="2"/>
        <v/>
      </c>
      <c r="C71" s="161" t="str">
        <f>GasTime(GasAnalyser,'Horiba Data'!F64,'Horiba Data'!G64,'Testo, JUM &amp; MRU Data'!A65,'Thermo Data'!B64,HourOffset)</f>
        <v/>
      </c>
      <c r="D71" s="981" t="str">
        <f>IF(D$17=FALSE,"",GasData(GasAnalyser,'Horiba Data'!S64,'Testo, JUM &amp; MRU Data'!D65,'Thermo Data'!E64,'Testo, JUM &amp; MRU Data'!U65,GDF))</f>
        <v/>
      </c>
      <c r="E71" s="981" t="str">
        <f>IF(D71="","",Conc2(D71,D$9,MolVol,D$21,D$20,E$21,E$20))</f>
        <v/>
      </c>
      <c r="F71" s="981" t="str">
        <f>IF(F$17=FALSE,"",GasData(GasAnalyser,'Horiba Data'!AQ64,'Testo, JUM &amp; MRU Data'!E65,'Thermo Data'!F64,'Testo, JUM &amp; MRU Data'!V65,GDF))</f>
        <v/>
      </c>
      <c r="G71" s="981" t="str">
        <f>IF(F71="","",Conc2(F71,F$9,MolVol,F$21,F$20,G$21,G$20))</f>
        <v/>
      </c>
      <c r="H71" s="981" t="str">
        <f>IF(D$17=FALSE,"",IF(F$17=FALSE,"",GasData(GasAnalyser,'Horiba Data'!W64,'Testo, JUM &amp; MRU Data'!F65,'Thermo Data'!G64,'Testo, JUM &amp; MRU Data'!Y65,GDF)))</f>
        <v/>
      </c>
      <c r="I71" s="981" t="str">
        <f>IF(H71="","",Conc2(H71,H$9,MolVol,H$21,H$20,I$21,I$20))</f>
        <v/>
      </c>
      <c r="J71" s="981" t="str">
        <f>IF(J$17=FALSE,"",GasData(GasAnalyser,'Horiba Data'!AM64,'Testo, JUM &amp; MRU Data'!G65,'Thermo Data'!H64,'Testo, JUM &amp; MRU Data'!W65,GDF))</f>
        <v/>
      </c>
      <c r="K71" s="981" t="str">
        <f>IF(J71="","",Conc2(J71,J$9,MolVol,J$21,J$20,K$21,K$20))</f>
        <v/>
      </c>
      <c r="L71" s="981" t="str">
        <f>IF(L$17=FALSE,"",GasData(GasAnalyser,'Horiba Data'!AA64,'Testo, JUM &amp; MRU Data'!H65,'Thermo Data'!I64,'Testo, JUM &amp; MRU Data'!T65,GDF))</f>
        <v/>
      </c>
      <c r="M71" s="981" t="str">
        <f>IF(L71="","",Conc2(L71,L$9,MolVol,L$21,L$20,M$21,M$20))</f>
        <v/>
      </c>
      <c r="N71" s="981" t="str">
        <f>IF(N$17=FALSE,"",GasData(GasAnalyser,'Horiba Data'!AE64,'Testo, JUM &amp; MRU Data'!I65,'Thermo Data'!J64,'Testo, JUM &amp; MRU Data'!S65,GDF))</f>
        <v/>
      </c>
      <c r="O71" s="981" t="str">
        <f>IF(N71="","",Conc2(N71,N$9,MolVol,N$21,N$20,O$21,O$20))</f>
        <v/>
      </c>
      <c r="P71" s="981" t="str">
        <f>IF(P$17=FALSE,"",GasData(GasAnalyser,'Horiba Data'!AI64,'Testo, JUM &amp; MRU Data'!J65,'Thermo Data'!K64,'Testo, JUM &amp; MRU Data'!R65,GDF))</f>
        <v/>
      </c>
      <c r="Q71" s="981" t="str">
        <f>IF(P71="","",Conc2(P71,P$9,MolVol,P$21,P$20,Q$21,Q$20))</f>
        <v/>
      </c>
      <c r="R71" s="981" t="str">
        <f>IF(R$17=FALSE,"",JUMData('Testo, JUM &amp; MRU Data'!M65,$R$7))</f>
        <v/>
      </c>
      <c r="S71" s="982" t="str">
        <f>IF(R71="","",Conc2(R71,R$9,MolVol,R$21,R$20,S$21,S$20)/(1-Bws))</f>
        <v/>
      </c>
      <c r="T71" s="740"/>
      <c r="AR71" s="334"/>
      <c r="AS71" s="334"/>
      <c r="AT71" s="48"/>
      <c r="AU71" s="48"/>
      <c r="AV71" s="153"/>
      <c r="AW71" s="153"/>
      <c r="AX71" s="153"/>
      <c r="AY71" s="153"/>
      <c r="AZ71" s="153"/>
      <c r="BA71" s="153"/>
      <c r="BB71" s="153"/>
      <c r="BC71" s="153"/>
      <c r="BD71" s="153"/>
      <c r="BE71" s="153"/>
      <c r="BF71" s="153"/>
      <c r="BG71" s="153"/>
      <c r="BH71" s="153"/>
      <c r="BI71" s="153"/>
      <c r="BJ71" s="153"/>
      <c r="BK71" s="153"/>
      <c r="BL71" s="153"/>
      <c r="BM71" s="153"/>
      <c r="BN71" s="153"/>
      <c r="BO71" s="153"/>
      <c r="BP71" s="153"/>
      <c r="BQ71" s="153"/>
      <c r="BR71" s="153"/>
      <c r="BS71" s="153"/>
      <c r="BT71" s="153"/>
      <c r="BU71" s="153"/>
      <c r="BV71" s="153"/>
      <c r="BW71" s="153"/>
      <c r="BX71" s="153"/>
      <c r="BY71" s="153"/>
      <c r="BZ71" s="153"/>
      <c r="CA71" s="153"/>
      <c r="CB71" s="153"/>
      <c r="CC71" s="153"/>
      <c r="CD71" s="153"/>
      <c r="CE71" s="153"/>
      <c r="CF71" s="153"/>
      <c r="CG71" s="153"/>
      <c r="CH71" s="153"/>
      <c r="CI71" s="153"/>
      <c r="CJ71" s="153"/>
      <c r="CK71" s="153"/>
      <c r="CL71" s="153"/>
      <c r="CM71" s="153"/>
      <c r="CN71" s="153"/>
      <c r="CO71" s="153"/>
      <c r="CP71" s="153"/>
      <c r="CQ71" s="153"/>
      <c r="CR71" s="153"/>
      <c r="CS71" s="153"/>
      <c r="CT71" s="153"/>
      <c r="CU71" s="153"/>
      <c r="CV71" s="153"/>
      <c r="CW71" s="153"/>
      <c r="CX71" s="153"/>
      <c r="CY71" s="153"/>
      <c r="CZ71" s="153"/>
      <c r="DA71" s="153"/>
      <c r="DB71" s="153"/>
      <c r="DC71" s="153"/>
      <c r="DD71" s="153"/>
      <c r="DE71" s="153"/>
      <c r="DF71" s="153"/>
      <c r="DG71" s="153"/>
      <c r="DH71" s="153"/>
      <c r="DI71" s="153"/>
      <c r="DJ71" s="153"/>
      <c r="DK71" s="153"/>
      <c r="DL71" s="153"/>
      <c r="DM71" s="153"/>
      <c r="DN71" s="153"/>
      <c r="DO71" s="153"/>
      <c r="DP71" s="153"/>
      <c r="DQ71" s="153"/>
      <c r="DR71" s="153"/>
      <c r="DS71" s="153"/>
      <c r="DT71" s="153"/>
      <c r="DU71" s="153"/>
      <c r="DV71" s="153"/>
      <c r="DW71" s="153"/>
      <c r="DX71" s="153"/>
      <c r="DY71" s="153"/>
      <c r="DZ71" s="153"/>
      <c r="EA71" s="153"/>
      <c r="EB71" s="153"/>
      <c r="EC71" s="153"/>
      <c r="ED71" s="153"/>
      <c r="EE71" s="153"/>
      <c r="EF71" s="153"/>
      <c r="EG71" s="153"/>
      <c r="EH71" s="153"/>
      <c r="EI71" s="153"/>
      <c r="EJ71" s="153"/>
      <c r="EK71" s="153"/>
      <c r="EL71" s="153"/>
      <c r="EM71" s="153"/>
    </row>
    <row r="72" spans="1:143" s="107" customFormat="1" ht="10.5" customHeight="1">
      <c r="A72" s="1140">
        <v>47</v>
      </c>
      <c r="B72" s="1560" t="str">
        <f t="shared" si="2"/>
        <v/>
      </c>
      <c r="C72" s="161" t="str">
        <f>GasTime(GasAnalyser,'Horiba Data'!F65,'Horiba Data'!G65,'Testo, JUM &amp; MRU Data'!A66,'Thermo Data'!B65,HourOffset)</f>
        <v/>
      </c>
      <c r="D72" s="981" t="str">
        <f>IF(D$17=FALSE,"",GasData(GasAnalyser,'Horiba Data'!S65,'Testo, JUM &amp; MRU Data'!D66,'Thermo Data'!E65,'Testo, JUM &amp; MRU Data'!U66,GDF))</f>
        <v/>
      </c>
      <c r="E72" s="981" t="str">
        <f>IF(D72="","",Conc2(D72,D$9,MolVol,D$21,D$20,E$21,E$20))</f>
        <v/>
      </c>
      <c r="F72" s="981" t="str">
        <f>IF(F$17=FALSE,"",GasData(GasAnalyser,'Horiba Data'!AQ65,'Testo, JUM &amp; MRU Data'!E66,'Thermo Data'!F65,'Testo, JUM &amp; MRU Data'!V66,GDF))</f>
        <v/>
      </c>
      <c r="G72" s="981" t="str">
        <f>IF(F72="","",Conc2(F72,F$9,MolVol,F$21,F$20,G$21,G$20))</f>
        <v/>
      </c>
      <c r="H72" s="981" t="str">
        <f>IF(D$17=FALSE,"",IF(F$17=FALSE,"",GasData(GasAnalyser,'Horiba Data'!W65,'Testo, JUM &amp; MRU Data'!F66,'Thermo Data'!G65,'Testo, JUM &amp; MRU Data'!Y66,GDF)))</f>
        <v/>
      </c>
      <c r="I72" s="981" t="str">
        <f>IF(H72="","",Conc2(H72,H$9,MolVol,H$21,H$20,I$21,I$20))</f>
        <v/>
      </c>
      <c r="J72" s="981" t="str">
        <f>IF(J$17=FALSE,"",GasData(GasAnalyser,'Horiba Data'!AM65,'Testo, JUM &amp; MRU Data'!G66,'Thermo Data'!H65,'Testo, JUM &amp; MRU Data'!W66,GDF))</f>
        <v/>
      </c>
      <c r="K72" s="981" t="str">
        <f>IF(J72="","",Conc2(J72,J$9,MolVol,J$21,J$20,K$21,K$20))</f>
        <v/>
      </c>
      <c r="L72" s="981" t="str">
        <f>IF(L$17=FALSE,"",GasData(GasAnalyser,'Horiba Data'!AA65,'Testo, JUM &amp; MRU Data'!H66,'Thermo Data'!I65,'Testo, JUM &amp; MRU Data'!T66,GDF))</f>
        <v/>
      </c>
      <c r="M72" s="981" t="str">
        <f>IF(L72="","",Conc2(L72,L$9,MolVol,L$21,L$20,M$21,M$20))</f>
        <v/>
      </c>
      <c r="N72" s="981" t="str">
        <f>IF(N$17=FALSE,"",GasData(GasAnalyser,'Horiba Data'!AE65,'Testo, JUM &amp; MRU Data'!I66,'Thermo Data'!J65,'Testo, JUM &amp; MRU Data'!S66,GDF))</f>
        <v/>
      </c>
      <c r="O72" s="981" t="str">
        <f>IF(N72="","",Conc2(N72,N$9,MolVol,N$21,N$20,O$21,O$20))</f>
        <v/>
      </c>
      <c r="P72" s="981" t="str">
        <f>IF(P$17=FALSE,"",GasData(GasAnalyser,'Horiba Data'!AI65,'Testo, JUM &amp; MRU Data'!J66,'Thermo Data'!K65,'Testo, JUM &amp; MRU Data'!R66,GDF))</f>
        <v/>
      </c>
      <c r="Q72" s="981" t="str">
        <f>IF(P72="","",Conc2(P72,P$9,MolVol,P$21,P$20,Q$21,Q$20))</f>
        <v/>
      </c>
      <c r="R72" s="981" t="str">
        <f>IF(R$17=FALSE,"",JUMData('Testo, JUM &amp; MRU Data'!M66,$R$7))</f>
        <v/>
      </c>
      <c r="S72" s="982" t="str">
        <f>IF(R72="","",Conc2(R72,R$9,MolVol,R$21,R$20,S$21,S$20)/(1-Bws))</f>
        <v/>
      </c>
      <c r="T72" s="740"/>
      <c r="AR72" s="334"/>
      <c r="AS72" s="334"/>
      <c r="AT72" s="48"/>
      <c r="AU72" s="48"/>
      <c r="AV72" s="153"/>
      <c r="AW72" s="153"/>
      <c r="AX72" s="153"/>
      <c r="AY72" s="153"/>
      <c r="AZ72" s="153"/>
      <c r="BA72" s="153"/>
      <c r="BB72" s="153"/>
      <c r="BC72" s="153"/>
      <c r="BD72" s="153"/>
      <c r="BE72" s="153"/>
      <c r="BF72" s="153"/>
      <c r="BG72" s="153"/>
      <c r="BH72" s="153"/>
      <c r="BI72" s="153"/>
      <c r="BJ72" s="153"/>
      <c r="BK72" s="153"/>
      <c r="BL72" s="153"/>
      <c r="BM72" s="153"/>
      <c r="BN72" s="153"/>
      <c r="BO72" s="153"/>
      <c r="BP72" s="153"/>
      <c r="BQ72" s="153"/>
      <c r="BR72" s="153"/>
      <c r="BS72" s="153"/>
      <c r="BT72" s="153"/>
      <c r="BU72" s="153"/>
      <c r="BV72" s="153"/>
      <c r="BW72" s="153"/>
      <c r="BX72" s="153"/>
      <c r="BY72" s="153"/>
      <c r="BZ72" s="153"/>
      <c r="CA72" s="153"/>
      <c r="CB72" s="153"/>
      <c r="CC72" s="153"/>
      <c r="CD72" s="153"/>
      <c r="CE72" s="153"/>
      <c r="CF72" s="153"/>
      <c r="CG72" s="153"/>
      <c r="CH72" s="153"/>
      <c r="CI72" s="153"/>
      <c r="CJ72" s="153"/>
      <c r="CK72" s="153"/>
      <c r="CL72" s="153"/>
      <c r="CM72" s="153"/>
      <c r="CN72" s="153"/>
      <c r="CO72" s="153"/>
      <c r="CP72" s="153"/>
      <c r="CQ72" s="153"/>
      <c r="CR72" s="153"/>
      <c r="CS72" s="153"/>
      <c r="CT72" s="153"/>
      <c r="CU72" s="153"/>
      <c r="CV72" s="153"/>
      <c r="CW72" s="153"/>
      <c r="CX72" s="153"/>
      <c r="CY72" s="153"/>
      <c r="CZ72" s="153"/>
      <c r="DA72" s="153"/>
      <c r="DB72" s="153"/>
      <c r="DC72" s="153"/>
      <c r="DD72" s="153"/>
      <c r="DE72" s="153"/>
      <c r="DF72" s="153"/>
      <c r="DG72" s="153"/>
      <c r="DH72" s="153"/>
      <c r="DI72" s="153"/>
      <c r="DJ72" s="153"/>
      <c r="DK72" s="153"/>
      <c r="DL72" s="153"/>
      <c r="DM72" s="153"/>
      <c r="DN72" s="153"/>
      <c r="DO72" s="153"/>
      <c r="DP72" s="153"/>
      <c r="DQ72" s="153"/>
      <c r="DR72" s="153"/>
      <c r="DS72" s="153"/>
      <c r="DT72" s="153"/>
      <c r="DU72" s="153"/>
      <c r="DV72" s="153"/>
      <c r="DW72" s="153"/>
      <c r="DX72" s="153"/>
      <c r="DY72" s="153"/>
      <c r="DZ72" s="153"/>
      <c r="EA72" s="153"/>
      <c r="EB72" s="153"/>
      <c r="EC72" s="153"/>
      <c r="ED72" s="153"/>
      <c r="EE72" s="153"/>
      <c r="EF72" s="153"/>
      <c r="EG72" s="153"/>
      <c r="EH72" s="153"/>
      <c r="EI72" s="153"/>
      <c r="EJ72" s="153"/>
      <c r="EK72" s="153"/>
      <c r="EL72" s="153"/>
      <c r="EM72" s="153"/>
    </row>
    <row r="73" spans="1:143" s="107" customFormat="1" ht="10.5" customHeight="1">
      <c r="A73" s="1140">
        <v>48</v>
      </c>
      <c r="B73" s="1560" t="str">
        <f t="shared" si="2"/>
        <v/>
      </c>
      <c r="C73" s="161" t="str">
        <f>GasTime(GasAnalyser,'Horiba Data'!F66,'Horiba Data'!G66,'Testo, JUM &amp; MRU Data'!A67,'Thermo Data'!B66,HourOffset)</f>
        <v/>
      </c>
      <c r="D73" s="981" t="str">
        <f>IF(D$17=FALSE,"",GasData(GasAnalyser,'Horiba Data'!S66,'Testo, JUM &amp; MRU Data'!D67,'Thermo Data'!E66,'Testo, JUM &amp; MRU Data'!U67,GDF))</f>
        <v/>
      </c>
      <c r="E73" s="981" t="str">
        <f>IF(D73="","",Conc2(D73,D$9,MolVol,D$21,D$20,E$21,E$20))</f>
        <v/>
      </c>
      <c r="F73" s="981" t="str">
        <f>IF(F$17=FALSE,"",GasData(GasAnalyser,'Horiba Data'!AQ66,'Testo, JUM &amp; MRU Data'!E67,'Thermo Data'!F66,'Testo, JUM &amp; MRU Data'!V67,GDF))</f>
        <v/>
      </c>
      <c r="G73" s="981" t="str">
        <f>IF(F73="","",Conc2(F73,F$9,MolVol,F$21,F$20,G$21,G$20))</f>
        <v/>
      </c>
      <c r="H73" s="981" t="str">
        <f>IF(D$17=FALSE,"",IF(F$17=FALSE,"",GasData(GasAnalyser,'Horiba Data'!W66,'Testo, JUM &amp; MRU Data'!F67,'Thermo Data'!G66,'Testo, JUM &amp; MRU Data'!Y67,GDF)))</f>
        <v/>
      </c>
      <c r="I73" s="981" t="str">
        <f>IF(H73="","",Conc2(H73,H$9,MolVol,H$21,H$20,I$21,I$20))</f>
        <v/>
      </c>
      <c r="J73" s="981" t="str">
        <f>IF(J$17=FALSE,"",GasData(GasAnalyser,'Horiba Data'!AM66,'Testo, JUM &amp; MRU Data'!G67,'Thermo Data'!H66,'Testo, JUM &amp; MRU Data'!W67,GDF))</f>
        <v/>
      </c>
      <c r="K73" s="981" t="str">
        <f>IF(J73="","",Conc2(J73,J$9,MolVol,J$21,J$20,K$21,K$20))</f>
        <v/>
      </c>
      <c r="L73" s="981" t="str">
        <f>IF(L$17=FALSE,"",GasData(GasAnalyser,'Horiba Data'!AA66,'Testo, JUM &amp; MRU Data'!H67,'Thermo Data'!I66,'Testo, JUM &amp; MRU Data'!T67,GDF))</f>
        <v/>
      </c>
      <c r="M73" s="981" t="str">
        <f>IF(L73="","",Conc2(L73,L$9,MolVol,L$21,L$20,M$21,M$20))</f>
        <v/>
      </c>
      <c r="N73" s="981" t="str">
        <f>IF(N$17=FALSE,"",GasData(GasAnalyser,'Horiba Data'!AE66,'Testo, JUM &amp; MRU Data'!I67,'Thermo Data'!J66,'Testo, JUM &amp; MRU Data'!S67,GDF))</f>
        <v/>
      </c>
      <c r="O73" s="981" t="str">
        <f>IF(N73="","",Conc2(N73,N$9,MolVol,N$21,N$20,O$21,O$20))</f>
        <v/>
      </c>
      <c r="P73" s="981" t="str">
        <f>IF(P$17=FALSE,"",GasData(GasAnalyser,'Horiba Data'!AI66,'Testo, JUM &amp; MRU Data'!J67,'Thermo Data'!K66,'Testo, JUM &amp; MRU Data'!R67,GDF))</f>
        <v/>
      </c>
      <c r="Q73" s="981" t="str">
        <f>IF(P73="","",Conc2(P73,P$9,MolVol,P$21,P$20,Q$21,Q$20))</f>
        <v/>
      </c>
      <c r="R73" s="981" t="str">
        <f>IF(R$17=FALSE,"",JUMData('Testo, JUM &amp; MRU Data'!M67,$R$7))</f>
        <v/>
      </c>
      <c r="S73" s="982" t="str">
        <f>IF(R73="","",Conc2(R73,R$9,MolVol,R$21,R$20,S$21,S$20)/(1-Bws))</f>
        <v/>
      </c>
      <c r="T73" s="740"/>
      <c r="AR73" s="334"/>
      <c r="AS73" s="334"/>
      <c r="AT73" s="48"/>
      <c r="AU73" s="48"/>
      <c r="AV73" s="153"/>
      <c r="AW73" s="153"/>
      <c r="AX73" s="153"/>
      <c r="AY73" s="153"/>
      <c r="AZ73" s="153"/>
      <c r="BA73" s="153"/>
      <c r="BB73" s="153"/>
      <c r="BC73" s="153"/>
      <c r="BD73" s="153"/>
      <c r="BE73" s="153"/>
      <c r="BF73" s="153"/>
      <c r="BG73" s="153"/>
      <c r="BH73" s="153"/>
      <c r="BI73" s="153"/>
      <c r="BJ73" s="153"/>
      <c r="BK73" s="153"/>
      <c r="BL73" s="153"/>
      <c r="BM73" s="153"/>
      <c r="BN73" s="153"/>
      <c r="BO73" s="153"/>
      <c r="BP73" s="153"/>
      <c r="BQ73" s="153"/>
      <c r="BR73" s="153"/>
      <c r="BS73" s="153"/>
      <c r="BT73" s="153"/>
      <c r="BU73" s="153"/>
      <c r="BV73" s="153"/>
      <c r="BW73" s="153"/>
      <c r="BX73" s="153"/>
      <c r="BY73" s="153"/>
      <c r="BZ73" s="153"/>
      <c r="CA73" s="153"/>
      <c r="CB73" s="153"/>
      <c r="CC73" s="153"/>
      <c r="CD73" s="153"/>
      <c r="CE73" s="153"/>
      <c r="CF73" s="153"/>
      <c r="CG73" s="153"/>
      <c r="CH73" s="153"/>
      <c r="CI73" s="153"/>
      <c r="CJ73" s="153"/>
      <c r="CK73" s="153"/>
      <c r="CL73" s="153"/>
      <c r="CM73" s="153"/>
      <c r="CN73" s="153"/>
      <c r="CO73" s="153"/>
      <c r="CP73" s="153"/>
      <c r="CQ73" s="153"/>
      <c r="CR73" s="153"/>
      <c r="CS73" s="153"/>
      <c r="CT73" s="153"/>
      <c r="CU73" s="153"/>
      <c r="CV73" s="153"/>
      <c r="CW73" s="153"/>
      <c r="CX73" s="153"/>
      <c r="CY73" s="153"/>
      <c r="CZ73" s="153"/>
      <c r="DA73" s="153"/>
      <c r="DB73" s="153"/>
      <c r="DC73" s="153"/>
      <c r="DD73" s="153"/>
      <c r="DE73" s="153"/>
      <c r="DF73" s="153"/>
      <c r="DG73" s="153"/>
      <c r="DH73" s="153"/>
      <c r="DI73" s="153"/>
      <c r="DJ73" s="153"/>
      <c r="DK73" s="153"/>
      <c r="DL73" s="153"/>
      <c r="DM73" s="153"/>
      <c r="DN73" s="153"/>
      <c r="DO73" s="153"/>
      <c r="DP73" s="153"/>
      <c r="DQ73" s="153"/>
      <c r="DR73" s="153"/>
      <c r="DS73" s="153"/>
      <c r="DT73" s="153"/>
      <c r="DU73" s="153"/>
      <c r="DV73" s="153"/>
      <c r="DW73" s="153"/>
      <c r="DX73" s="153"/>
      <c r="DY73" s="153"/>
      <c r="DZ73" s="153"/>
      <c r="EA73" s="153"/>
      <c r="EB73" s="153"/>
      <c r="EC73" s="153"/>
      <c r="ED73" s="153"/>
      <c r="EE73" s="153"/>
      <c r="EF73" s="153"/>
      <c r="EG73" s="153"/>
      <c r="EH73" s="153"/>
      <c r="EI73" s="153"/>
      <c r="EJ73" s="153"/>
      <c r="EK73" s="153"/>
      <c r="EL73" s="153"/>
      <c r="EM73" s="153"/>
    </row>
    <row r="74" spans="1:143" s="107" customFormat="1" ht="10.5" customHeight="1">
      <c r="A74" s="1140">
        <v>49</v>
      </c>
      <c r="B74" s="1560" t="str">
        <f t="shared" si="2"/>
        <v/>
      </c>
      <c r="C74" s="161" t="str">
        <f>GasTime(GasAnalyser,'Horiba Data'!F67,'Horiba Data'!G67,'Testo, JUM &amp; MRU Data'!A68,'Thermo Data'!B67,HourOffset)</f>
        <v/>
      </c>
      <c r="D74" s="981" t="str">
        <f>IF(D$17=FALSE,"",GasData(GasAnalyser,'Horiba Data'!S67,'Testo, JUM &amp; MRU Data'!D68,'Thermo Data'!E67,'Testo, JUM &amp; MRU Data'!U68,GDF))</f>
        <v/>
      </c>
      <c r="E74" s="981" t="str">
        <f>IF(D74="","",Conc2(D74,D$9,MolVol,D$21,D$20,E$21,E$20))</f>
        <v/>
      </c>
      <c r="F74" s="981" t="str">
        <f>IF(F$17=FALSE,"",GasData(GasAnalyser,'Horiba Data'!AQ67,'Testo, JUM &amp; MRU Data'!E68,'Thermo Data'!F67,'Testo, JUM &amp; MRU Data'!V68,GDF))</f>
        <v/>
      </c>
      <c r="G74" s="981" t="str">
        <f>IF(F74="","",Conc2(F74,F$9,MolVol,F$21,F$20,G$21,G$20))</f>
        <v/>
      </c>
      <c r="H74" s="981" t="str">
        <f>IF(D$17=FALSE,"",IF(F$17=FALSE,"",GasData(GasAnalyser,'Horiba Data'!W67,'Testo, JUM &amp; MRU Data'!F68,'Thermo Data'!G67,'Testo, JUM &amp; MRU Data'!Y68,GDF)))</f>
        <v/>
      </c>
      <c r="I74" s="981" t="str">
        <f>IF(H74="","",Conc2(H74,H$9,MolVol,H$21,H$20,I$21,I$20))</f>
        <v/>
      </c>
      <c r="J74" s="981" t="str">
        <f>IF(J$17=FALSE,"",GasData(GasAnalyser,'Horiba Data'!AM67,'Testo, JUM &amp; MRU Data'!G68,'Thermo Data'!H67,'Testo, JUM &amp; MRU Data'!W68,GDF))</f>
        <v/>
      </c>
      <c r="K74" s="981" t="str">
        <f>IF(J74="","",Conc2(J74,J$9,MolVol,J$21,J$20,K$21,K$20))</f>
        <v/>
      </c>
      <c r="L74" s="981" t="str">
        <f>IF(L$17=FALSE,"",GasData(GasAnalyser,'Horiba Data'!AA67,'Testo, JUM &amp; MRU Data'!H68,'Thermo Data'!I67,'Testo, JUM &amp; MRU Data'!T68,GDF))</f>
        <v/>
      </c>
      <c r="M74" s="981" t="str">
        <f>IF(L74="","",Conc2(L74,L$9,MolVol,L$21,L$20,M$21,M$20))</f>
        <v/>
      </c>
      <c r="N74" s="981" t="str">
        <f>IF(N$17=FALSE,"",GasData(GasAnalyser,'Horiba Data'!AE67,'Testo, JUM &amp; MRU Data'!I68,'Thermo Data'!J67,'Testo, JUM &amp; MRU Data'!S68,GDF))</f>
        <v/>
      </c>
      <c r="O74" s="981" t="str">
        <f>IF(N74="","",Conc2(N74,N$9,MolVol,N$21,N$20,O$21,O$20))</f>
        <v/>
      </c>
      <c r="P74" s="981" t="str">
        <f>IF(P$17=FALSE,"",GasData(GasAnalyser,'Horiba Data'!AI67,'Testo, JUM &amp; MRU Data'!J68,'Thermo Data'!K67,'Testo, JUM &amp; MRU Data'!R68,GDF))</f>
        <v/>
      </c>
      <c r="Q74" s="981" t="str">
        <f>IF(P74="","",Conc2(P74,P$9,MolVol,P$21,P$20,Q$21,Q$20))</f>
        <v/>
      </c>
      <c r="R74" s="981" t="str">
        <f>IF(R$17=FALSE,"",JUMData('Testo, JUM &amp; MRU Data'!M68,$R$7))</f>
        <v/>
      </c>
      <c r="S74" s="982" t="str">
        <f>IF(R74="","",Conc2(R74,R$9,MolVol,R$21,R$20,S$21,S$20)/(1-Bws))</f>
        <v/>
      </c>
      <c r="T74" s="740"/>
      <c r="AR74" s="334"/>
      <c r="AS74" s="334"/>
      <c r="AT74" s="48"/>
      <c r="AU74" s="48"/>
      <c r="AV74" s="153"/>
      <c r="AW74" s="153"/>
      <c r="AX74" s="153"/>
      <c r="AY74" s="153"/>
      <c r="AZ74" s="153"/>
      <c r="BA74" s="153"/>
      <c r="BB74" s="153"/>
      <c r="BC74" s="153"/>
      <c r="BD74" s="153"/>
      <c r="BE74" s="153"/>
      <c r="BF74" s="153"/>
      <c r="BG74" s="153"/>
      <c r="BH74" s="153"/>
      <c r="BI74" s="153"/>
      <c r="BJ74" s="153"/>
      <c r="BK74" s="153"/>
      <c r="BL74" s="153"/>
      <c r="BM74" s="153"/>
      <c r="BN74" s="153"/>
      <c r="BO74" s="153"/>
      <c r="BP74" s="153"/>
      <c r="BQ74" s="153"/>
      <c r="BR74" s="153"/>
      <c r="BS74" s="153"/>
      <c r="BT74" s="153"/>
      <c r="BU74" s="153"/>
      <c r="BV74" s="153"/>
      <c r="BW74" s="153"/>
      <c r="BX74" s="153"/>
      <c r="BY74" s="153"/>
      <c r="BZ74" s="153"/>
      <c r="CA74" s="153"/>
      <c r="CB74" s="153"/>
      <c r="CC74" s="153"/>
      <c r="CD74" s="153"/>
      <c r="CE74" s="153"/>
      <c r="CF74" s="153"/>
      <c r="CG74" s="153"/>
      <c r="CH74" s="153"/>
      <c r="CI74" s="153"/>
      <c r="CJ74" s="153"/>
      <c r="CK74" s="153"/>
      <c r="CL74" s="153"/>
      <c r="CM74" s="153"/>
      <c r="CN74" s="153"/>
      <c r="CO74" s="153"/>
      <c r="CP74" s="153"/>
      <c r="CQ74" s="153"/>
      <c r="CR74" s="153"/>
      <c r="CS74" s="153"/>
      <c r="CT74" s="153"/>
      <c r="CU74" s="153"/>
      <c r="CV74" s="153"/>
      <c r="CW74" s="153"/>
      <c r="CX74" s="153"/>
      <c r="CY74" s="153"/>
      <c r="CZ74" s="153"/>
      <c r="DA74" s="153"/>
      <c r="DB74" s="153"/>
      <c r="DC74" s="153"/>
      <c r="DD74" s="153"/>
      <c r="DE74" s="153"/>
      <c r="DF74" s="153"/>
      <c r="DG74" s="153"/>
      <c r="DH74" s="153"/>
      <c r="DI74" s="153"/>
      <c r="DJ74" s="153"/>
      <c r="DK74" s="153"/>
      <c r="DL74" s="153"/>
      <c r="DM74" s="153"/>
      <c r="DN74" s="153"/>
      <c r="DO74" s="153"/>
      <c r="DP74" s="153"/>
      <c r="DQ74" s="153"/>
      <c r="DR74" s="153"/>
      <c r="DS74" s="153"/>
      <c r="DT74" s="153"/>
      <c r="DU74" s="153"/>
      <c r="DV74" s="153"/>
      <c r="DW74" s="153"/>
      <c r="DX74" s="153"/>
      <c r="DY74" s="153"/>
      <c r="DZ74" s="153"/>
      <c r="EA74" s="153"/>
      <c r="EB74" s="153"/>
      <c r="EC74" s="153"/>
      <c r="ED74" s="153"/>
      <c r="EE74" s="153"/>
      <c r="EF74" s="153"/>
      <c r="EG74" s="153"/>
      <c r="EH74" s="153"/>
      <c r="EI74" s="153"/>
      <c r="EJ74" s="153"/>
      <c r="EK74" s="153"/>
      <c r="EL74" s="153"/>
      <c r="EM74" s="153"/>
    </row>
    <row r="75" spans="1:143" s="107" customFormat="1" ht="10.5" customHeight="1">
      <c r="A75" s="1140">
        <v>50</v>
      </c>
      <c r="B75" s="1560" t="str">
        <f t="shared" si="2"/>
        <v/>
      </c>
      <c r="C75" s="161" t="str">
        <f>GasTime(GasAnalyser,'Horiba Data'!F68,'Horiba Data'!G68,'Testo, JUM &amp; MRU Data'!A69,'Thermo Data'!B68,HourOffset)</f>
        <v/>
      </c>
      <c r="D75" s="981" t="str">
        <f>IF(D$17=FALSE,"",GasData(GasAnalyser,'Horiba Data'!S68,'Testo, JUM &amp; MRU Data'!D69,'Thermo Data'!E68,'Testo, JUM &amp; MRU Data'!U69,GDF))</f>
        <v/>
      </c>
      <c r="E75" s="981" t="str">
        <f>IF(D75="","",Conc2(D75,D$9,MolVol,D$21,D$20,E$21,E$20))</f>
        <v/>
      </c>
      <c r="F75" s="981" t="str">
        <f>IF(F$17=FALSE,"",GasData(GasAnalyser,'Horiba Data'!AQ68,'Testo, JUM &amp; MRU Data'!E69,'Thermo Data'!F68,'Testo, JUM &amp; MRU Data'!V69,GDF))</f>
        <v/>
      </c>
      <c r="G75" s="981" t="str">
        <f>IF(F75="","",Conc2(F75,F$9,MolVol,F$21,F$20,G$21,G$20))</f>
        <v/>
      </c>
      <c r="H75" s="981" t="str">
        <f>IF(D$17=FALSE,"",IF(F$17=FALSE,"",GasData(GasAnalyser,'Horiba Data'!W68,'Testo, JUM &amp; MRU Data'!F69,'Thermo Data'!G68,'Testo, JUM &amp; MRU Data'!Y69,GDF)))</f>
        <v/>
      </c>
      <c r="I75" s="981" t="str">
        <f>IF(H75="","",Conc2(H75,H$9,MolVol,H$21,H$20,I$21,I$20))</f>
        <v/>
      </c>
      <c r="J75" s="981" t="str">
        <f>IF(J$17=FALSE,"",GasData(GasAnalyser,'Horiba Data'!AM68,'Testo, JUM &amp; MRU Data'!G69,'Thermo Data'!H68,'Testo, JUM &amp; MRU Data'!W69,GDF))</f>
        <v/>
      </c>
      <c r="K75" s="981" t="str">
        <f>IF(J75="","",Conc2(J75,J$9,MolVol,J$21,J$20,K$21,K$20))</f>
        <v/>
      </c>
      <c r="L75" s="981" t="str">
        <f>IF(L$17=FALSE,"",GasData(GasAnalyser,'Horiba Data'!AA68,'Testo, JUM &amp; MRU Data'!H69,'Thermo Data'!I68,'Testo, JUM &amp; MRU Data'!T69,GDF))</f>
        <v/>
      </c>
      <c r="M75" s="981" t="str">
        <f>IF(L75="","",Conc2(L75,L$9,MolVol,L$21,L$20,M$21,M$20))</f>
        <v/>
      </c>
      <c r="N75" s="981" t="str">
        <f>IF(N$17=FALSE,"",GasData(GasAnalyser,'Horiba Data'!AE68,'Testo, JUM &amp; MRU Data'!I69,'Thermo Data'!J68,'Testo, JUM &amp; MRU Data'!S69,GDF))</f>
        <v/>
      </c>
      <c r="O75" s="981" t="str">
        <f>IF(N75="","",Conc2(N75,N$9,MolVol,N$21,N$20,O$21,O$20))</f>
        <v/>
      </c>
      <c r="P75" s="981" t="str">
        <f>IF(P$17=FALSE,"",GasData(GasAnalyser,'Horiba Data'!AI68,'Testo, JUM &amp; MRU Data'!J69,'Thermo Data'!K68,'Testo, JUM &amp; MRU Data'!R69,GDF))</f>
        <v/>
      </c>
      <c r="Q75" s="981" t="str">
        <f>IF(P75="","",Conc2(P75,P$9,MolVol,P$21,P$20,Q$21,Q$20))</f>
        <v/>
      </c>
      <c r="R75" s="981" t="str">
        <f>IF(R$17=FALSE,"",JUMData('Testo, JUM &amp; MRU Data'!M69,$R$7))</f>
        <v/>
      </c>
      <c r="S75" s="982" t="str">
        <f>IF(R75="","",Conc2(R75,R$9,MolVol,R$21,R$20,S$21,S$20)/(1-Bws))</f>
        <v/>
      </c>
      <c r="T75" s="740"/>
      <c r="AR75" s="334"/>
      <c r="AS75" s="334"/>
      <c r="AT75" s="48"/>
      <c r="AU75" s="48"/>
      <c r="AV75" s="153"/>
      <c r="AW75" s="153"/>
      <c r="AX75" s="153"/>
      <c r="AY75" s="153"/>
      <c r="AZ75" s="153"/>
      <c r="BA75" s="153"/>
      <c r="BB75" s="153"/>
      <c r="BC75" s="153"/>
      <c r="BD75" s="153"/>
      <c r="BE75" s="153"/>
      <c r="BF75" s="153"/>
      <c r="BG75" s="153"/>
      <c r="BH75" s="153"/>
      <c r="BI75" s="153"/>
      <c r="BJ75" s="153"/>
      <c r="BK75" s="153"/>
      <c r="BL75" s="153"/>
      <c r="BM75" s="153"/>
      <c r="BN75" s="153"/>
      <c r="BO75" s="153"/>
      <c r="BP75" s="153"/>
      <c r="BQ75" s="153"/>
      <c r="BR75" s="153"/>
      <c r="BS75" s="153"/>
      <c r="BT75" s="153"/>
      <c r="BU75" s="153"/>
      <c r="BV75" s="153"/>
      <c r="BW75" s="153"/>
      <c r="BX75" s="153"/>
      <c r="BY75" s="153"/>
      <c r="BZ75" s="153"/>
      <c r="CA75" s="153"/>
      <c r="CB75" s="153"/>
      <c r="CC75" s="153"/>
      <c r="CD75" s="153"/>
      <c r="CE75" s="153"/>
      <c r="CF75" s="153"/>
      <c r="CG75" s="153"/>
      <c r="CH75" s="153"/>
      <c r="CI75" s="153"/>
      <c r="CJ75" s="153"/>
      <c r="CK75" s="153"/>
      <c r="CL75" s="153"/>
      <c r="CM75" s="153"/>
      <c r="CN75" s="153"/>
      <c r="CO75" s="153"/>
      <c r="CP75" s="153"/>
      <c r="CQ75" s="153"/>
      <c r="CR75" s="153"/>
      <c r="CS75" s="153"/>
      <c r="CT75" s="153"/>
      <c r="CU75" s="153"/>
      <c r="CV75" s="153"/>
      <c r="CW75" s="153"/>
      <c r="CX75" s="153"/>
      <c r="CY75" s="153"/>
      <c r="CZ75" s="153"/>
      <c r="DA75" s="153"/>
      <c r="DB75" s="153"/>
      <c r="DC75" s="153"/>
      <c r="DD75" s="153"/>
      <c r="DE75" s="153"/>
      <c r="DF75" s="153"/>
      <c r="DG75" s="153"/>
      <c r="DH75" s="153"/>
      <c r="DI75" s="153"/>
      <c r="DJ75" s="153"/>
      <c r="DK75" s="153"/>
      <c r="DL75" s="153"/>
      <c r="DM75" s="153"/>
      <c r="DN75" s="153"/>
      <c r="DO75" s="153"/>
      <c r="DP75" s="153"/>
      <c r="DQ75" s="153"/>
      <c r="DR75" s="153"/>
      <c r="DS75" s="153"/>
      <c r="DT75" s="153"/>
      <c r="DU75" s="153"/>
      <c r="DV75" s="153"/>
      <c r="DW75" s="153"/>
      <c r="DX75" s="153"/>
      <c r="DY75" s="153"/>
      <c r="DZ75" s="153"/>
      <c r="EA75" s="153"/>
      <c r="EB75" s="153"/>
      <c r="EC75" s="153"/>
      <c r="ED75" s="153"/>
      <c r="EE75" s="153"/>
      <c r="EF75" s="153"/>
      <c r="EG75" s="153"/>
      <c r="EH75" s="153"/>
      <c r="EI75" s="153"/>
      <c r="EJ75" s="153"/>
      <c r="EK75" s="153"/>
      <c r="EL75" s="153"/>
      <c r="EM75" s="153"/>
    </row>
    <row r="76" spans="1:143" s="107" customFormat="1" ht="10.5" customHeight="1">
      <c r="A76" s="1140">
        <v>51</v>
      </c>
      <c r="B76" s="1560" t="str">
        <f t="shared" si="2"/>
        <v/>
      </c>
      <c r="C76" s="161" t="str">
        <f>GasTime(GasAnalyser,'Horiba Data'!F69,'Horiba Data'!G69,'Testo, JUM &amp; MRU Data'!A70,'Thermo Data'!B69,HourOffset)</f>
        <v/>
      </c>
      <c r="D76" s="981" t="str">
        <f>IF(D$17=FALSE,"",GasData(GasAnalyser,'Horiba Data'!S69,'Testo, JUM &amp; MRU Data'!D70,'Thermo Data'!E69,'Testo, JUM &amp; MRU Data'!U70,GDF))</f>
        <v/>
      </c>
      <c r="E76" s="981" t="str">
        <f>IF(D76="","",Conc2(D76,D$9,MolVol,D$21,D$20,E$21,E$20))</f>
        <v/>
      </c>
      <c r="F76" s="981" t="str">
        <f>IF(F$17=FALSE,"",GasData(GasAnalyser,'Horiba Data'!AQ69,'Testo, JUM &amp; MRU Data'!E70,'Thermo Data'!F69,'Testo, JUM &amp; MRU Data'!V70,GDF))</f>
        <v/>
      </c>
      <c r="G76" s="981" t="str">
        <f>IF(F76="","",Conc2(F76,F$9,MolVol,F$21,F$20,G$21,G$20))</f>
        <v/>
      </c>
      <c r="H76" s="981" t="str">
        <f>IF(D$17=FALSE,"",IF(F$17=FALSE,"",GasData(GasAnalyser,'Horiba Data'!W69,'Testo, JUM &amp; MRU Data'!F70,'Thermo Data'!G69,'Testo, JUM &amp; MRU Data'!Y70,GDF)))</f>
        <v/>
      </c>
      <c r="I76" s="981" t="str">
        <f>IF(H76="","",Conc2(H76,H$9,MolVol,H$21,H$20,I$21,I$20))</f>
        <v/>
      </c>
      <c r="J76" s="981" t="str">
        <f>IF(J$17=FALSE,"",GasData(GasAnalyser,'Horiba Data'!AM69,'Testo, JUM &amp; MRU Data'!G70,'Thermo Data'!H69,'Testo, JUM &amp; MRU Data'!W70,GDF))</f>
        <v/>
      </c>
      <c r="K76" s="981" t="str">
        <f>IF(J76="","",Conc2(J76,J$9,MolVol,J$21,J$20,K$21,K$20))</f>
        <v/>
      </c>
      <c r="L76" s="981" t="str">
        <f>IF(L$17=FALSE,"",GasData(GasAnalyser,'Horiba Data'!AA69,'Testo, JUM &amp; MRU Data'!H70,'Thermo Data'!I69,'Testo, JUM &amp; MRU Data'!T70,GDF))</f>
        <v/>
      </c>
      <c r="M76" s="981" t="str">
        <f>IF(L76="","",Conc2(L76,L$9,MolVol,L$21,L$20,M$21,M$20))</f>
        <v/>
      </c>
      <c r="N76" s="981" t="str">
        <f>IF(N$17=FALSE,"",GasData(GasAnalyser,'Horiba Data'!AE69,'Testo, JUM &amp; MRU Data'!I70,'Thermo Data'!J69,'Testo, JUM &amp; MRU Data'!S70,GDF))</f>
        <v/>
      </c>
      <c r="O76" s="981" t="str">
        <f>IF(N76="","",Conc2(N76,N$9,MolVol,N$21,N$20,O$21,O$20))</f>
        <v/>
      </c>
      <c r="P76" s="981" t="str">
        <f>IF(P$17=FALSE,"",GasData(GasAnalyser,'Horiba Data'!AI69,'Testo, JUM &amp; MRU Data'!J70,'Thermo Data'!K69,'Testo, JUM &amp; MRU Data'!R70,GDF))</f>
        <v/>
      </c>
      <c r="Q76" s="981" t="str">
        <f>IF(P76="","",Conc2(P76,P$9,MolVol,P$21,P$20,Q$21,Q$20))</f>
        <v/>
      </c>
      <c r="R76" s="981" t="str">
        <f>IF(R$17=FALSE,"",JUMData('Testo, JUM &amp; MRU Data'!M70,$R$7))</f>
        <v/>
      </c>
      <c r="S76" s="982" t="str">
        <f>IF(R76="","",Conc2(R76,R$9,MolVol,R$21,R$20,S$21,S$20)/(1-Bws))</f>
        <v/>
      </c>
      <c r="T76" s="740"/>
      <c r="AR76" s="334"/>
      <c r="AS76" s="334"/>
      <c r="AT76" s="48"/>
      <c r="AU76" s="48"/>
      <c r="AV76" s="153"/>
      <c r="AW76" s="153"/>
      <c r="AX76" s="153"/>
      <c r="AY76" s="153"/>
      <c r="AZ76" s="153"/>
      <c r="BA76" s="153"/>
      <c r="BB76" s="153"/>
      <c r="BC76" s="153"/>
      <c r="BD76" s="153"/>
      <c r="BE76" s="153"/>
      <c r="BF76" s="153"/>
      <c r="BG76" s="153"/>
      <c r="BH76" s="153"/>
      <c r="BI76" s="153"/>
      <c r="BJ76" s="153"/>
      <c r="BK76" s="153"/>
      <c r="BL76" s="153"/>
      <c r="BM76" s="153"/>
      <c r="BN76" s="153"/>
      <c r="BO76" s="153"/>
      <c r="BP76" s="153"/>
      <c r="BQ76" s="153"/>
      <c r="BR76" s="153"/>
      <c r="BS76" s="153"/>
      <c r="BT76" s="153"/>
      <c r="BU76" s="153"/>
      <c r="BV76" s="153"/>
      <c r="BW76" s="153"/>
      <c r="BX76" s="153"/>
      <c r="BY76" s="153"/>
      <c r="BZ76" s="153"/>
      <c r="CA76" s="153"/>
      <c r="CB76" s="153"/>
      <c r="CC76" s="153"/>
      <c r="CD76" s="153"/>
      <c r="CE76" s="153"/>
      <c r="CF76" s="153"/>
      <c r="CG76" s="153"/>
      <c r="CH76" s="153"/>
      <c r="CI76" s="153"/>
      <c r="CJ76" s="153"/>
      <c r="CK76" s="153"/>
      <c r="CL76" s="153"/>
      <c r="CM76" s="153"/>
      <c r="CN76" s="153"/>
      <c r="CO76" s="153"/>
      <c r="CP76" s="153"/>
      <c r="CQ76" s="153"/>
      <c r="CR76" s="153"/>
      <c r="CS76" s="153"/>
      <c r="CT76" s="153"/>
      <c r="CU76" s="153"/>
      <c r="CV76" s="153"/>
      <c r="CW76" s="153"/>
      <c r="CX76" s="153"/>
      <c r="CY76" s="153"/>
      <c r="CZ76" s="153"/>
      <c r="DA76" s="153"/>
      <c r="DB76" s="153"/>
      <c r="DC76" s="153"/>
      <c r="DD76" s="153"/>
      <c r="DE76" s="153"/>
      <c r="DF76" s="153"/>
      <c r="DG76" s="153"/>
      <c r="DH76" s="153"/>
      <c r="DI76" s="153"/>
      <c r="DJ76" s="153"/>
      <c r="DK76" s="153"/>
      <c r="DL76" s="153"/>
      <c r="DM76" s="153"/>
      <c r="DN76" s="153"/>
      <c r="DO76" s="153"/>
      <c r="DP76" s="153"/>
      <c r="DQ76" s="153"/>
      <c r="DR76" s="153"/>
      <c r="DS76" s="153"/>
      <c r="DT76" s="153"/>
      <c r="DU76" s="153"/>
      <c r="DV76" s="153"/>
      <c r="DW76" s="153"/>
      <c r="DX76" s="153"/>
      <c r="DY76" s="153"/>
      <c r="DZ76" s="153"/>
      <c r="EA76" s="153"/>
      <c r="EB76" s="153"/>
      <c r="EC76" s="153"/>
      <c r="ED76" s="153"/>
      <c r="EE76" s="153"/>
      <c r="EF76" s="153"/>
      <c r="EG76" s="153"/>
      <c r="EH76" s="153"/>
      <c r="EI76" s="153"/>
      <c r="EJ76" s="153"/>
      <c r="EK76" s="153"/>
      <c r="EL76" s="153"/>
      <c r="EM76" s="153"/>
    </row>
    <row r="77" spans="1:143" s="107" customFormat="1" ht="10.5" customHeight="1">
      <c r="A77" s="1140">
        <v>52</v>
      </c>
      <c r="B77" s="1560" t="str">
        <f t="shared" si="2"/>
        <v/>
      </c>
      <c r="C77" s="161" t="str">
        <f>GasTime(GasAnalyser,'Horiba Data'!F70,'Horiba Data'!G70,'Testo, JUM &amp; MRU Data'!A71,'Thermo Data'!B70,HourOffset)</f>
        <v/>
      </c>
      <c r="D77" s="981" t="str">
        <f>IF(D$17=FALSE,"",GasData(GasAnalyser,'Horiba Data'!S70,'Testo, JUM &amp; MRU Data'!D71,'Thermo Data'!E70,'Testo, JUM &amp; MRU Data'!U71,GDF))</f>
        <v/>
      </c>
      <c r="E77" s="981" t="str">
        <f>IF(D77="","",Conc2(D77,D$9,MolVol,D$21,D$20,E$21,E$20))</f>
        <v/>
      </c>
      <c r="F77" s="981" t="str">
        <f>IF(F$17=FALSE,"",GasData(GasAnalyser,'Horiba Data'!AQ70,'Testo, JUM &amp; MRU Data'!E71,'Thermo Data'!F70,'Testo, JUM &amp; MRU Data'!V71,GDF))</f>
        <v/>
      </c>
      <c r="G77" s="981" t="str">
        <f>IF(F77="","",Conc2(F77,F$9,MolVol,F$21,F$20,G$21,G$20))</f>
        <v/>
      </c>
      <c r="H77" s="981" t="str">
        <f>IF(D$17=FALSE,"",IF(F$17=FALSE,"",GasData(GasAnalyser,'Horiba Data'!W70,'Testo, JUM &amp; MRU Data'!F71,'Thermo Data'!G70,'Testo, JUM &amp; MRU Data'!Y71,GDF)))</f>
        <v/>
      </c>
      <c r="I77" s="981" t="str">
        <f>IF(H77="","",Conc2(H77,H$9,MolVol,H$21,H$20,I$21,I$20))</f>
        <v/>
      </c>
      <c r="J77" s="981" t="str">
        <f>IF(J$17=FALSE,"",GasData(GasAnalyser,'Horiba Data'!AM70,'Testo, JUM &amp; MRU Data'!G71,'Thermo Data'!H70,'Testo, JUM &amp; MRU Data'!W71,GDF))</f>
        <v/>
      </c>
      <c r="K77" s="981" t="str">
        <f>IF(J77="","",Conc2(J77,J$9,MolVol,J$21,J$20,K$21,K$20))</f>
        <v/>
      </c>
      <c r="L77" s="981" t="str">
        <f>IF(L$17=FALSE,"",GasData(GasAnalyser,'Horiba Data'!AA70,'Testo, JUM &amp; MRU Data'!H71,'Thermo Data'!I70,'Testo, JUM &amp; MRU Data'!T71,GDF))</f>
        <v/>
      </c>
      <c r="M77" s="981" t="str">
        <f>IF(L77="","",Conc2(L77,L$9,MolVol,L$21,L$20,M$21,M$20))</f>
        <v/>
      </c>
      <c r="N77" s="981" t="str">
        <f>IF(N$17=FALSE,"",GasData(GasAnalyser,'Horiba Data'!AE70,'Testo, JUM &amp; MRU Data'!I71,'Thermo Data'!J70,'Testo, JUM &amp; MRU Data'!S71,GDF))</f>
        <v/>
      </c>
      <c r="O77" s="981" t="str">
        <f>IF(N77="","",Conc2(N77,N$9,MolVol,N$21,N$20,O$21,O$20))</f>
        <v/>
      </c>
      <c r="P77" s="981" t="str">
        <f>IF(P$17=FALSE,"",GasData(GasAnalyser,'Horiba Data'!AI70,'Testo, JUM &amp; MRU Data'!J71,'Thermo Data'!K70,'Testo, JUM &amp; MRU Data'!R71,GDF))</f>
        <v/>
      </c>
      <c r="Q77" s="981" t="str">
        <f>IF(P77="","",Conc2(P77,P$9,MolVol,P$21,P$20,Q$21,Q$20))</f>
        <v/>
      </c>
      <c r="R77" s="981" t="str">
        <f>IF(R$17=FALSE,"",JUMData('Testo, JUM &amp; MRU Data'!M71,$R$7))</f>
        <v/>
      </c>
      <c r="S77" s="982" t="str">
        <f>IF(R77="","",Conc2(R77,R$9,MolVol,R$21,R$20,S$21,S$20)/(1-Bws))</f>
        <v/>
      </c>
      <c r="T77" s="740"/>
      <c r="AR77" s="334"/>
      <c r="AS77" s="334"/>
      <c r="AT77" s="48"/>
      <c r="AU77" s="48"/>
      <c r="AV77" s="153"/>
      <c r="AW77" s="153"/>
      <c r="AX77" s="153"/>
      <c r="AY77" s="153"/>
      <c r="AZ77" s="153"/>
      <c r="BA77" s="153"/>
      <c r="BB77" s="153"/>
      <c r="BC77" s="153"/>
      <c r="BD77" s="153"/>
      <c r="BE77" s="153"/>
      <c r="BF77" s="153"/>
      <c r="BG77" s="153"/>
      <c r="BH77" s="153"/>
      <c r="BI77" s="153"/>
      <c r="BJ77" s="153"/>
      <c r="BK77" s="153"/>
      <c r="BL77" s="153"/>
      <c r="BM77" s="153"/>
      <c r="BN77" s="153"/>
      <c r="BO77" s="153"/>
      <c r="BP77" s="153"/>
      <c r="BQ77" s="153"/>
      <c r="BR77" s="153"/>
      <c r="BS77" s="153"/>
      <c r="BT77" s="153"/>
      <c r="BU77" s="153"/>
      <c r="BV77" s="153"/>
      <c r="BW77" s="153"/>
      <c r="BX77" s="153"/>
      <c r="BY77" s="153"/>
      <c r="BZ77" s="153"/>
      <c r="CA77" s="153"/>
      <c r="CB77" s="153"/>
      <c r="CC77" s="153"/>
      <c r="CD77" s="153"/>
      <c r="CE77" s="153"/>
      <c r="CF77" s="153"/>
      <c r="CG77" s="153"/>
      <c r="CH77" s="153"/>
      <c r="CI77" s="153"/>
      <c r="CJ77" s="153"/>
      <c r="CK77" s="153"/>
      <c r="CL77" s="153"/>
      <c r="CM77" s="153"/>
      <c r="CN77" s="153"/>
      <c r="CO77" s="153"/>
      <c r="CP77" s="153"/>
      <c r="CQ77" s="153"/>
      <c r="CR77" s="153"/>
      <c r="CS77" s="153"/>
      <c r="CT77" s="153"/>
      <c r="CU77" s="153"/>
      <c r="CV77" s="153"/>
      <c r="CW77" s="153"/>
      <c r="CX77" s="153"/>
      <c r="CY77" s="153"/>
      <c r="CZ77" s="153"/>
      <c r="DA77" s="153"/>
      <c r="DB77" s="153"/>
      <c r="DC77" s="153"/>
      <c r="DD77" s="153"/>
      <c r="DE77" s="153"/>
      <c r="DF77" s="153"/>
      <c r="DG77" s="153"/>
      <c r="DH77" s="153"/>
      <c r="DI77" s="153"/>
      <c r="DJ77" s="153"/>
      <c r="DK77" s="153"/>
      <c r="DL77" s="153"/>
      <c r="DM77" s="153"/>
      <c r="DN77" s="153"/>
      <c r="DO77" s="153"/>
      <c r="DP77" s="153"/>
      <c r="DQ77" s="153"/>
      <c r="DR77" s="153"/>
      <c r="DS77" s="153"/>
      <c r="DT77" s="153"/>
      <c r="DU77" s="153"/>
      <c r="DV77" s="153"/>
      <c r="DW77" s="153"/>
      <c r="DX77" s="153"/>
      <c r="DY77" s="153"/>
      <c r="DZ77" s="153"/>
      <c r="EA77" s="153"/>
      <c r="EB77" s="153"/>
      <c r="EC77" s="153"/>
      <c r="ED77" s="153"/>
      <c r="EE77" s="153"/>
      <c r="EF77" s="153"/>
      <c r="EG77" s="153"/>
      <c r="EH77" s="153"/>
      <c r="EI77" s="153"/>
      <c r="EJ77" s="153"/>
      <c r="EK77" s="153"/>
      <c r="EL77" s="153"/>
      <c r="EM77" s="153"/>
    </row>
    <row r="78" spans="1:143" s="107" customFormat="1" ht="10.5" customHeight="1">
      <c r="A78" s="1140">
        <v>53</v>
      </c>
      <c r="B78" s="1560" t="str">
        <f t="shared" si="2"/>
        <v/>
      </c>
      <c r="C78" s="161" t="str">
        <f>GasTime(GasAnalyser,'Horiba Data'!F71,'Horiba Data'!G71,'Testo, JUM &amp; MRU Data'!A72,'Thermo Data'!B71,HourOffset)</f>
        <v/>
      </c>
      <c r="D78" s="981" t="str">
        <f>IF(D$17=FALSE,"",GasData(GasAnalyser,'Horiba Data'!S71,'Testo, JUM &amp; MRU Data'!D72,'Thermo Data'!E71,'Testo, JUM &amp; MRU Data'!U72,GDF))</f>
        <v/>
      </c>
      <c r="E78" s="981" t="str">
        <f>IF(D78="","",Conc2(D78,D$9,MolVol,D$21,D$20,E$21,E$20))</f>
        <v/>
      </c>
      <c r="F78" s="981" t="str">
        <f>IF(F$17=FALSE,"",GasData(GasAnalyser,'Horiba Data'!AQ71,'Testo, JUM &amp; MRU Data'!E72,'Thermo Data'!F71,'Testo, JUM &amp; MRU Data'!V72,GDF))</f>
        <v/>
      </c>
      <c r="G78" s="981" t="str">
        <f>IF(F78="","",Conc2(F78,F$9,MolVol,F$21,F$20,G$21,G$20))</f>
        <v/>
      </c>
      <c r="H78" s="981" t="str">
        <f>IF(D$17=FALSE,"",IF(F$17=FALSE,"",GasData(GasAnalyser,'Horiba Data'!W71,'Testo, JUM &amp; MRU Data'!F72,'Thermo Data'!G71,'Testo, JUM &amp; MRU Data'!Y72,GDF)))</f>
        <v/>
      </c>
      <c r="I78" s="981" t="str">
        <f>IF(H78="","",Conc2(H78,H$9,MolVol,H$21,H$20,I$21,I$20))</f>
        <v/>
      </c>
      <c r="J78" s="981" t="str">
        <f>IF(J$17=FALSE,"",GasData(GasAnalyser,'Horiba Data'!AM71,'Testo, JUM &amp; MRU Data'!G72,'Thermo Data'!H71,'Testo, JUM &amp; MRU Data'!W72,GDF))</f>
        <v/>
      </c>
      <c r="K78" s="981" t="str">
        <f>IF(J78="","",Conc2(J78,J$9,MolVol,J$21,J$20,K$21,K$20))</f>
        <v/>
      </c>
      <c r="L78" s="981" t="str">
        <f>IF(L$17=FALSE,"",GasData(GasAnalyser,'Horiba Data'!AA71,'Testo, JUM &amp; MRU Data'!H72,'Thermo Data'!I71,'Testo, JUM &amp; MRU Data'!T72,GDF))</f>
        <v/>
      </c>
      <c r="M78" s="981" t="str">
        <f>IF(L78="","",Conc2(L78,L$9,MolVol,L$21,L$20,M$21,M$20))</f>
        <v/>
      </c>
      <c r="N78" s="981" t="str">
        <f>IF(N$17=FALSE,"",GasData(GasAnalyser,'Horiba Data'!AE71,'Testo, JUM &amp; MRU Data'!I72,'Thermo Data'!J71,'Testo, JUM &amp; MRU Data'!S72,GDF))</f>
        <v/>
      </c>
      <c r="O78" s="981" t="str">
        <f>IF(N78="","",Conc2(N78,N$9,MolVol,N$21,N$20,O$21,O$20))</f>
        <v/>
      </c>
      <c r="P78" s="981" t="str">
        <f>IF(P$17=FALSE,"",GasData(GasAnalyser,'Horiba Data'!AI71,'Testo, JUM &amp; MRU Data'!J72,'Thermo Data'!K71,'Testo, JUM &amp; MRU Data'!R72,GDF))</f>
        <v/>
      </c>
      <c r="Q78" s="981" t="str">
        <f>IF(P78="","",Conc2(P78,P$9,MolVol,P$21,P$20,Q$21,Q$20))</f>
        <v/>
      </c>
      <c r="R78" s="981" t="str">
        <f>IF(R$17=FALSE,"",JUMData('Testo, JUM &amp; MRU Data'!M72,$R$7))</f>
        <v/>
      </c>
      <c r="S78" s="982" t="str">
        <f>IF(R78="","",Conc2(R78,R$9,MolVol,R$21,R$20,S$21,S$20)/(1-Bws))</f>
        <v/>
      </c>
      <c r="T78" s="740"/>
      <c r="AR78" s="334"/>
      <c r="AS78" s="334"/>
      <c r="AT78" s="48"/>
      <c r="AU78" s="48"/>
      <c r="AV78" s="153"/>
      <c r="AW78" s="153"/>
      <c r="AX78" s="153"/>
      <c r="AY78" s="153"/>
      <c r="AZ78" s="153"/>
      <c r="BA78" s="153"/>
      <c r="BB78" s="153"/>
      <c r="BC78" s="153"/>
      <c r="BD78" s="153"/>
      <c r="BE78" s="153"/>
      <c r="BF78" s="153"/>
      <c r="BG78" s="153"/>
      <c r="BH78" s="153"/>
      <c r="BI78" s="153"/>
      <c r="BJ78" s="153"/>
      <c r="BK78" s="153"/>
      <c r="BL78" s="153"/>
      <c r="BM78" s="153"/>
      <c r="BN78" s="153"/>
      <c r="BO78" s="153"/>
      <c r="BP78" s="153"/>
      <c r="BQ78" s="153"/>
      <c r="BR78" s="153"/>
      <c r="BS78" s="153"/>
      <c r="BT78" s="153"/>
      <c r="BU78" s="153"/>
      <c r="BV78" s="153"/>
      <c r="BW78" s="153"/>
      <c r="BX78" s="153"/>
      <c r="BY78" s="153"/>
      <c r="BZ78" s="153"/>
      <c r="CA78" s="153"/>
      <c r="CB78" s="153"/>
      <c r="CC78" s="153"/>
      <c r="CD78" s="153"/>
      <c r="CE78" s="153"/>
      <c r="CF78" s="153"/>
      <c r="CG78" s="153"/>
      <c r="CH78" s="153"/>
      <c r="CI78" s="153"/>
      <c r="CJ78" s="153"/>
      <c r="CK78" s="153"/>
      <c r="CL78" s="153"/>
      <c r="CM78" s="153"/>
      <c r="CN78" s="153"/>
      <c r="CO78" s="153"/>
      <c r="CP78" s="153"/>
      <c r="CQ78" s="153"/>
      <c r="CR78" s="153"/>
      <c r="CS78" s="153"/>
      <c r="CT78" s="153"/>
      <c r="CU78" s="153"/>
      <c r="CV78" s="153"/>
      <c r="CW78" s="153"/>
      <c r="CX78" s="153"/>
      <c r="CY78" s="153"/>
      <c r="CZ78" s="153"/>
      <c r="DA78" s="153"/>
      <c r="DB78" s="153"/>
      <c r="DC78" s="153"/>
      <c r="DD78" s="153"/>
      <c r="DE78" s="153"/>
      <c r="DF78" s="153"/>
      <c r="DG78" s="153"/>
      <c r="DH78" s="153"/>
      <c r="DI78" s="153"/>
      <c r="DJ78" s="153"/>
      <c r="DK78" s="153"/>
      <c r="DL78" s="153"/>
      <c r="DM78" s="153"/>
      <c r="DN78" s="153"/>
      <c r="DO78" s="153"/>
      <c r="DP78" s="153"/>
      <c r="DQ78" s="153"/>
      <c r="DR78" s="153"/>
      <c r="DS78" s="153"/>
      <c r="DT78" s="153"/>
      <c r="DU78" s="153"/>
      <c r="DV78" s="153"/>
      <c r="DW78" s="153"/>
      <c r="DX78" s="153"/>
      <c r="DY78" s="153"/>
      <c r="DZ78" s="153"/>
      <c r="EA78" s="153"/>
      <c r="EB78" s="153"/>
      <c r="EC78" s="153"/>
      <c r="ED78" s="153"/>
      <c r="EE78" s="153"/>
      <c r="EF78" s="153"/>
      <c r="EG78" s="153"/>
      <c r="EH78" s="153"/>
      <c r="EI78" s="153"/>
      <c r="EJ78" s="153"/>
      <c r="EK78" s="153"/>
      <c r="EL78" s="153"/>
      <c r="EM78" s="153"/>
    </row>
    <row r="79" spans="1:143" s="107" customFormat="1" ht="10.5" customHeight="1">
      <c r="A79" s="1140">
        <v>54</v>
      </c>
      <c r="B79" s="1560" t="str">
        <f t="shared" si="2"/>
        <v/>
      </c>
      <c r="C79" s="161" t="str">
        <f>GasTime(GasAnalyser,'Horiba Data'!F72,'Horiba Data'!G72,'Testo, JUM &amp; MRU Data'!A73,'Thermo Data'!B72,HourOffset)</f>
        <v/>
      </c>
      <c r="D79" s="981" t="str">
        <f>IF(D$17=FALSE,"",GasData(GasAnalyser,'Horiba Data'!S72,'Testo, JUM &amp; MRU Data'!D73,'Thermo Data'!E72,'Testo, JUM &amp; MRU Data'!U73,GDF))</f>
        <v/>
      </c>
      <c r="E79" s="981" t="str">
        <f>IF(D79="","",Conc2(D79,D$9,MolVol,D$21,D$20,E$21,E$20))</f>
        <v/>
      </c>
      <c r="F79" s="981" t="str">
        <f>IF(F$17=FALSE,"",GasData(GasAnalyser,'Horiba Data'!AQ72,'Testo, JUM &amp; MRU Data'!E73,'Thermo Data'!F72,'Testo, JUM &amp; MRU Data'!V73,GDF))</f>
        <v/>
      </c>
      <c r="G79" s="981" t="str">
        <f>IF(F79="","",Conc2(F79,F$9,MolVol,F$21,F$20,G$21,G$20))</f>
        <v/>
      </c>
      <c r="H79" s="981" t="str">
        <f>IF(D$17=FALSE,"",IF(F$17=FALSE,"",GasData(GasAnalyser,'Horiba Data'!W72,'Testo, JUM &amp; MRU Data'!F73,'Thermo Data'!G72,'Testo, JUM &amp; MRU Data'!Y73,GDF)))</f>
        <v/>
      </c>
      <c r="I79" s="981" t="str">
        <f>IF(H79="","",Conc2(H79,H$9,MolVol,H$21,H$20,I$21,I$20))</f>
        <v/>
      </c>
      <c r="J79" s="981" t="str">
        <f>IF(J$17=FALSE,"",GasData(GasAnalyser,'Horiba Data'!AM72,'Testo, JUM &amp; MRU Data'!G73,'Thermo Data'!H72,'Testo, JUM &amp; MRU Data'!W73,GDF))</f>
        <v/>
      </c>
      <c r="K79" s="981" t="str">
        <f>IF(J79="","",Conc2(J79,J$9,MolVol,J$21,J$20,K$21,K$20))</f>
        <v/>
      </c>
      <c r="L79" s="981" t="str">
        <f>IF(L$17=FALSE,"",GasData(GasAnalyser,'Horiba Data'!AA72,'Testo, JUM &amp; MRU Data'!H73,'Thermo Data'!I72,'Testo, JUM &amp; MRU Data'!T73,GDF))</f>
        <v/>
      </c>
      <c r="M79" s="981" t="str">
        <f>IF(L79="","",Conc2(L79,L$9,MolVol,L$21,L$20,M$21,M$20))</f>
        <v/>
      </c>
      <c r="N79" s="981" t="str">
        <f>IF(N$17=FALSE,"",GasData(GasAnalyser,'Horiba Data'!AE72,'Testo, JUM &amp; MRU Data'!I73,'Thermo Data'!J72,'Testo, JUM &amp; MRU Data'!S73,GDF))</f>
        <v/>
      </c>
      <c r="O79" s="981" t="str">
        <f>IF(N79="","",Conc2(N79,N$9,MolVol,N$21,N$20,O$21,O$20))</f>
        <v/>
      </c>
      <c r="P79" s="981" t="str">
        <f>IF(P$17=FALSE,"",GasData(GasAnalyser,'Horiba Data'!AI72,'Testo, JUM &amp; MRU Data'!J73,'Thermo Data'!K72,'Testo, JUM &amp; MRU Data'!R73,GDF))</f>
        <v/>
      </c>
      <c r="Q79" s="981" t="str">
        <f>IF(P79="","",Conc2(P79,P$9,MolVol,P$21,P$20,Q$21,Q$20))</f>
        <v/>
      </c>
      <c r="R79" s="981" t="str">
        <f>IF(R$17=FALSE,"",JUMData('Testo, JUM &amp; MRU Data'!M73,$R$7))</f>
        <v/>
      </c>
      <c r="S79" s="982" t="str">
        <f>IF(R79="","",Conc2(R79,R$9,MolVol,R$21,R$20,S$21,S$20)/(1-Bws))</f>
        <v/>
      </c>
      <c r="T79" s="740"/>
      <c r="AR79" s="334"/>
      <c r="AS79" s="334"/>
      <c r="AT79" s="48"/>
      <c r="AU79" s="48"/>
      <c r="AV79" s="153"/>
      <c r="AW79" s="153"/>
      <c r="AX79" s="153"/>
      <c r="AY79" s="153"/>
      <c r="AZ79" s="153"/>
      <c r="BA79" s="153"/>
      <c r="BB79" s="153"/>
      <c r="BC79" s="153"/>
      <c r="BD79" s="153"/>
      <c r="BE79" s="153"/>
      <c r="BF79" s="153"/>
      <c r="BG79" s="153"/>
      <c r="BH79" s="153"/>
      <c r="BI79" s="153"/>
      <c r="BJ79" s="153"/>
      <c r="BK79" s="153"/>
      <c r="BL79" s="153"/>
      <c r="BM79" s="153"/>
      <c r="BN79" s="153"/>
      <c r="BO79" s="153"/>
      <c r="BP79" s="153"/>
      <c r="BQ79" s="153"/>
      <c r="BR79" s="153"/>
      <c r="BS79" s="153"/>
      <c r="BT79" s="153"/>
      <c r="BU79" s="153"/>
      <c r="BV79" s="153"/>
      <c r="BW79" s="153"/>
      <c r="BX79" s="153"/>
      <c r="BY79" s="153"/>
      <c r="BZ79" s="153"/>
      <c r="CA79" s="153"/>
      <c r="CB79" s="153"/>
      <c r="CC79" s="153"/>
      <c r="CD79" s="153"/>
      <c r="CE79" s="153"/>
      <c r="CF79" s="153"/>
      <c r="CG79" s="153"/>
      <c r="CH79" s="153"/>
      <c r="CI79" s="153"/>
      <c r="CJ79" s="153"/>
      <c r="CK79" s="153"/>
      <c r="CL79" s="153"/>
      <c r="CM79" s="153"/>
      <c r="CN79" s="153"/>
      <c r="CO79" s="153"/>
      <c r="CP79" s="153"/>
      <c r="CQ79" s="153"/>
      <c r="CR79" s="153"/>
      <c r="CS79" s="153"/>
      <c r="CT79" s="153"/>
      <c r="CU79" s="153"/>
      <c r="CV79" s="153"/>
      <c r="CW79" s="153"/>
      <c r="CX79" s="153"/>
      <c r="CY79" s="153"/>
      <c r="CZ79" s="153"/>
      <c r="DA79" s="153"/>
      <c r="DB79" s="153"/>
      <c r="DC79" s="153"/>
      <c r="DD79" s="153"/>
      <c r="DE79" s="153"/>
      <c r="DF79" s="153"/>
      <c r="DG79" s="153"/>
      <c r="DH79" s="153"/>
      <c r="DI79" s="153"/>
      <c r="DJ79" s="153"/>
      <c r="DK79" s="153"/>
      <c r="DL79" s="153"/>
      <c r="DM79" s="153"/>
      <c r="DN79" s="153"/>
      <c r="DO79" s="153"/>
      <c r="DP79" s="153"/>
      <c r="DQ79" s="153"/>
      <c r="DR79" s="153"/>
      <c r="DS79" s="153"/>
      <c r="DT79" s="153"/>
      <c r="DU79" s="153"/>
      <c r="DV79" s="153"/>
      <c r="DW79" s="153"/>
      <c r="DX79" s="153"/>
      <c r="DY79" s="153"/>
      <c r="DZ79" s="153"/>
      <c r="EA79" s="153"/>
      <c r="EB79" s="153"/>
      <c r="EC79" s="153"/>
      <c r="ED79" s="153"/>
      <c r="EE79" s="153"/>
      <c r="EF79" s="153"/>
      <c r="EG79" s="153"/>
      <c r="EH79" s="153"/>
      <c r="EI79" s="153"/>
      <c r="EJ79" s="153"/>
      <c r="EK79" s="153"/>
      <c r="EL79" s="153"/>
      <c r="EM79" s="153"/>
    </row>
    <row r="80" spans="1:143" s="107" customFormat="1" ht="10.5" customHeight="1">
      <c r="A80" s="1140">
        <v>55</v>
      </c>
      <c r="B80" s="1560" t="str">
        <f t="shared" si="2"/>
        <v/>
      </c>
      <c r="C80" s="161" t="str">
        <f>GasTime(GasAnalyser,'Horiba Data'!F73,'Horiba Data'!G73,'Testo, JUM &amp; MRU Data'!A74,'Thermo Data'!B73,HourOffset)</f>
        <v/>
      </c>
      <c r="D80" s="981" t="str">
        <f>IF(D$17=FALSE,"",GasData(GasAnalyser,'Horiba Data'!S73,'Testo, JUM &amp; MRU Data'!D74,'Thermo Data'!E73,'Testo, JUM &amp; MRU Data'!U74,GDF))</f>
        <v/>
      </c>
      <c r="E80" s="981" t="str">
        <f>IF(D80="","",Conc2(D80,D$9,MolVol,D$21,D$20,E$21,E$20))</f>
        <v/>
      </c>
      <c r="F80" s="981" t="str">
        <f>IF(F$17=FALSE,"",GasData(GasAnalyser,'Horiba Data'!AQ73,'Testo, JUM &amp; MRU Data'!E74,'Thermo Data'!F73,'Testo, JUM &amp; MRU Data'!V74,GDF))</f>
        <v/>
      </c>
      <c r="G80" s="981" t="str">
        <f>IF(F80="","",Conc2(F80,F$9,MolVol,F$21,F$20,G$21,G$20))</f>
        <v/>
      </c>
      <c r="H80" s="981" t="str">
        <f>IF(D$17=FALSE,"",IF(F$17=FALSE,"",GasData(GasAnalyser,'Horiba Data'!W73,'Testo, JUM &amp; MRU Data'!F74,'Thermo Data'!G73,'Testo, JUM &amp; MRU Data'!Y74,GDF)))</f>
        <v/>
      </c>
      <c r="I80" s="981" t="str">
        <f>IF(H80="","",Conc2(H80,H$9,MolVol,H$21,H$20,I$21,I$20))</f>
        <v/>
      </c>
      <c r="J80" s="981" t="str">
        <f>IF(J$17=FALSE,"",GasData(GasAnalyser,'Horiba Data'!AM73,'Testo, JUM &amp; MRU Data'!G74,'Thermo Data'!H73,'Testo, JUM &amp; MRU Data'!W74,GDF))</f>
        <v/>
      </c>
      <c r="K80" s="981" t="str">
        <f>IF(J80="","",Conc2(J80,J$9,MolVol,J$21,J$20,K$21,K$20))</f>
        <v/>
      </c>
      <c r="L80" s="981" t="str">
        <f>IF(L$17=FALSE,"",GasData(GasAnalyser,'Horiba Data'!AA73,'Testo, JUM &amp; MRU Data'!H74,'Thermo Data'!I73,'Testo, JUM &amp; MRU Data'!T74,GDF))</f>
        <v/>
      </c>
      <c r="M80" s="981" t="str">
        <f>IF(L80="","",Conc2(L80,L$9,MolVol,L$21,L$20,M$21,M$20))</f>
        <v/>
      </c>
      <c r="N80" s="981" t="str">
        <f>IF(N$17=FALSE,"",GasData(GasAnalyser,'Horiba Data'!AE73,'Testo, JUM &amp; MRU Data'!I74,'Thermo Data'!J73,'Testo, JUM &amp; MRU Data'!S74,GDF))</f>
        <v/>
      </c>
      <c r="O80" s="981" t="str">
        <f>IF(N80="","",Conc2(N80,N$9,MolVol,N$21,N$20,O$21,O$20))</f>
        <v/>
      </c>
      <c r="P80" s="981" t="str">
        <f>IF(P$17=FALSE,"",GasData(GasAnalyser,'Horiba Data'!AI73,'Testo, JUM &amp; MRU Data'!J74,'Thermo Data'!K73,'Testo, JUM &amp; MRU Data'!R74,GDF))</f>
        <v/>
      </c>
      <c r="Q80" s="981" t="str">
        <f>IF(P80="","",Conc2(P80,P$9,MolVol,P$21,P$20,Q$21,Q$20))</f>
        <v/>
      </c>
      <c r="R80" s="981" t="str">
        <f>IF(R$17=FALSE,"",JUMData('Testo, JUM &amp; MRU Data'!M74,$R$7))</f>
        <v/>
      </c>
      <c r="S80" s="982" t="str">
        <f>IF(R80="","",Conc2(R80,R$9,MolVol,R$21,R$20,S$21,S$20)/(1-Bws))</f>
        <v/>
      </c>
      <c r="T80" s="740"/>
      <c r="AR80" s="334"/>
      <c r="AS80" s="334"/>
      <c r="AT80" s="48"/>
      <c r="AU80" s="48"/>
      <c r="AV80" s="153"/>
      <c r="AW80" s="153"/>
      <c r="AX80" s="153"/>
      <c r="AY80" s="153"/>
      <c r="AZ80" s="153"/>
      <c r="BA80" s="153"/>
      <c r="BB80" s="153"/>
      <c r="BC80" s="153"/>
      <c r="BD80" s="153"/>
      <c r="BE80" s="153"/>
      <c r="BF80" s="153"/>
      <c r="BG80" s="153"/>
      <c r="BH80" s="153"/>
      <c r="BI80" s="153"/>
      <c r="BJ80" s="153"/>
      <c r="BK80" s="153"/>
      <c r="BL80" s="153"/>
      <c r="BM80" s="153"/>
      <c r="BN80" s="153"/>
      <c r="BO80" s="153"/>
      <c r="BP80" s="153"/>
      <c r="BQ80" s="153"/>
      <c r="BR80" s="153"/>
      <c r="BS80" s="153"/>
      <c r="BT80" s="153"/>
      <c r="BU80" s="153"/>
      <c r="BV80" s="153"/>
      <c r="BW80" s="153"/>
      <c r="BX80" s="153"/>
      <c r="BY80" s="153"/>
      <c r="BZ80" s="153"/>
      <c r="CA80" s="153"/>
      <c r="CB80" s="153"/>
      <c r="CC80" s="153"/>
      <c r="CD80" s="153"/>
      <c r="CE80" s="153"/>
      <c r="CF80" s="153"/>
      <c r="CG80" s="153"/>
      <c r="CH80" s="153"/>
      <c r="CI80" s="153"/>
      <c r="CJ80" s="153"/>
      <c r="CK80" s="153"/>
      <c r="CL80" s="153"/>
      <c r="CM80" s="153"/>
      <c r="CN80" s="153"/>
      <c r="CO80" s="153"/>
      <c r="CP80" s="153"/>
      <c r="CQ80" s="153"/>
      <c r="CR80" s="153"/>
      <c r="CS80" s="153"/>
      <c r="CT80" s="153"/>
      <c r="CU80" s="153"/>
      <c r="CV80" s="153"/>
      <c r="CW80" s="153"/>
      <c r="CX80" s="153"/>
      <c r="CY80" s="153"/>
      <c r="CZ80" s="153"/>
      <c r="DA80" s="153"/>
      <c r="DB80" s="153"/>
      <c r="DC80" s="153"/>
      <c r="DD80" s="153"/>
      <c r="DE80" s="153"/>
      <c r="DF80" s="153"/>
      <c r="DG80" s="153"/>
      <c r="DH80" s="153"/>
      <c r="DI80" s="153"/>
      <c r="DJ80" s="153"/>
      <c r="DK80" s="153"/>
      <c r="DL80" s="153"/>
      <c r="DM80" s="153"/>
      <c r="DN80" s="153"/>
      <c r="DO80" s="153"/>
      <c r="DP80" s="153"/>
      <c r="DQ80" s="153"/>
      <c r="DR80" s="153"/>
      <c r="DS80" s="153"/>
      <c r="DT80" s="153"/>
      <c r="DU80" s="153"/>
      <c r="DV80" s="153"/>
      <c r="DW80" s="153"/>
      <c r="DX80" s="153"/>
      <c r="DY80" s="153"/>
      <c r="DZ80" s="153"/>
      <c r="EA80" s="153"/>
      <c r="EB80" s="153"/>
      <c r="EC80" s="153"/>
      <c r="ED80" s="153"/>
      <c r="EE80" s="153"/>
      <c r="EF80" s="153"/>
      <c r="EG80" s="153"/>
      <c r="EH80" s="153"/>
      <c r="EI80" s="153"/>
      <c r="EJ80" s="153"/>
      <c r="EK80" s="153"/>
      <c r="EL80" s="153"/>
      <c r="EM80" s="153"/>
    </row>
    <row r="81" spans="1:143" s="107" customFormat="1" ht="10.5" customHeight="1">
      <c r="A81" s="1140">
        <v>56</v>
      </c>
      <c r="B81" s="1560" t="str">
        <f t="shared" si="2"/>
        <v/>
      </c>
      <c r="C81" s="161" t="str">
        <f>GasTime(GasAnalyser,'Horiba Data'!F74,'Horiba Data'!G74,'Testo, JUM &amp; MRU Data'!A75,'Thermo Data'!B74,HourOffset)</f>
        <v/>
      </c>
      <c r="D81" s="981" t="str">
        <f>IF(D$17=FALSE,"",GasData(GasAnalyser,'Horiba Data'!S74,'Testo, JUM &amp; MRU Data'!D75,'Thermo Data'!E74,'Testo, JUM &amp; MRU Data'!U75,GDF))</f>
        <v/>
      </c>
      <c r="E81" s="981" t="str">
        <f>IF(D81="","",Conc2(D81,D$9,MolVol,D$21,D$20,E$21,E$20))</f>
        <v/>
      </c>
      <c r="F81" s="981" t="str">
        <f>IF(F$17=FALSE,"",GasData(GasAnalyser,'Horiba Data'!AQ74,'Testo, JUM &amp; MRU Data'!E75,'Thermo Data'!F74,'Testo, JUM &amp; MRU Data'!V75,GDF))</f>
        <v/>
      </c>
      <c r="G81" s="981" t="str">
        <f>IF(F81="","",Conc2(F81,F$9,MolVol,F$21,F$20,G$21,G$20))</f>
        <v/>
      </c>
      <c r="H81" s="981" t="str">
        <f>IF(D$17=FALSE,"",IF(F$17=FALSE,"",GasData(GasAnalyser,'Horiba Data'!W74,'Testo, JUM &amp; MRU Data'!F75,'Thermo Data'!G74,'Testo, JUM &amp; MRU Data'!Y75,GDF)))</f>
        <v/>
      </c>
      <c r="I81" s="981" t="str">
        <f>IF(H81="","",Conc2(H81,H$9,MolVol,H$21,H$20,I$21,I$20))</f>
        <v/>
      </c>
      <c r="J81" s="981" t="str">
        <f>IF(J$17=FALSE,"",GasData(GasAnalyser,'Horiba Data'!AM74,'Testo, JUM &amp; MRU Data'!G75,'Thermo Data'!H74,'Testo, JUM &amp; MRU Data'!W75,GDF))</f>
        <v/>
      </c>
      <c r="K81" s="981" t="str">
        <f>IF(J81="","",Conc2(J81,J$9,MolVol,J$21,J$20,K$21,K$20))</f>
        <v/>
      </c>
      <c r="L81" s="981" t="str">
        <f>IF(L$17=FALSE,"",GasData(GasAnalyser,'Horiba Data'!AA74,'Testo, JUM &amp; MRU Data'!H75,'Thermo Data'!I74,'Testo, JUM &amp; MRU Data'!T75,GDF))</f>
        <v/>
      </c>
      <c r="M81" s="981" t="str">
        <f>IF(L81="","",Conc2(L81,L$9,MolVol,L$21,L$20,M$21,M$20))</f>
        <v/>
      </c>
      <c r="N81" s="981" t="str">
        <f>IF(N$17=FALSE,"",GasData(GasAnalyser,'Horiba Data'!AE74,'Testo, JUM &amp; MRU Data'!I75,'Thermo Data'!J74,'Testo, JUM &amp; MRU Data'!S75,GDF))</f>
        <v/>
      </c>
      <c r="O81" s="981" t="str">
        <f>IF(N81="","",Conc2(N81,N$9,MolVol,N$21,N$20,O$21,O$20))</f>
        <v/>
      </c>
      <c r="P81" s="981" t="str">
        <f>IF(P$17=FALSE,"",GasData(GasAnalyser,'Horiba Data'!AI74,'Testo, JUM &amp; MRU Data'!J75,'Thermo Data'!K74,'Testo, JUM &amp; MRU Data'!R75,GDF))</f>
        <v/>
      </c>
      <c r="Q81" s="981" t="str">
        <f>IF(P81="","",Conc2(P81,P$9,MolVol,P$21,P$20,Q$21,Q$20))</f>
        <v/>
      </c>
      <c r="R81" s="981" t="str">
        <f>IF(R$17=FALSE,"",JUMData('Testo, JUM &amp; MRU Data'!M75,$R$7))</f>
        <v/>
      </c>
      <c r="S81" s="982" t="str">
        <f>IF(R81="","",Conc2(R81,R$9,MolVol,R$21,R$20,S$21,S$20)/(1-Bws))</f>
        <v/>
      </c>
      <c r="T81" s="740"/>
      <c r="AR81" s="334"/>
      <c r="AS81" s="334"/>
      <c r="AT81" s="48"/>
      <c r="AU81" s="48"/>
      <c r="AV81" s="153"/>
      <c r="AW81" s="153"/>
      <c r="AX81" s="153"/>
      <c r="AY81" s="153"/>
      <c r="AZ81" s="153"/>
      <c r="BA81" s="153"/>
      <c r="BB81" s="153"/>
      <c r="BC81" s="153"/>
      <c r="BD81" s="153"/>
      <c r="BE81" s="153"/>
      <c r="BF81" s="153"/>
      <c r="BG81" s="153"/>
      <c r="BH81" s="153"/>
      <c r="BI81" s="153"/>
      <c r="BJ81" s="153"/>
      <c r="BK81" s="153"/>
      <c r="BL81" s="153"/>
      <c r="BM81" s="153"/>
      <c r="BN81" s="153"/>
      <c r="BO81" s="153"/>
      <c r="BP81" s="153"/>
      <c r="BQ81" s="153"/>
      <c r="BR81" s="153"/>
      <c r="BS81" s="153"/>
      <c r="BT81" s="153"/>
      <c r="BU81" s="153"/>
      <c r="BV81" s="153"/>
      <c r="BW81" s="153"/>
      <c r="BX81" s="153"/>
      <c r="BY81" s="153"/>
      <c r="BZ81" s="153"/>
      <c r="CA81" s="153"/>
      <c r="CB81" s="153"/>
      <c r="CC81" s="153"/>
      <c r="CD81" s="153"/>
      <c r="CE81" s="153"/>
      <c r="CF81" s="153"/>
      <c r="CG81" s="153"/>
      <c r="CH81" s="153"/>
      <c r="CI81" s="153"/>
      <c r="CJ81" s="153"/>
      <c r="CK81" s="153"/>
      <c r="CL81" s="153"/>
      <c r="CM81" s="153"/>
      <c r="CN81" s="153"/>
      <c r="CO81" s="153"/>
      <c r="CP81" s="153"/>
      <c r="CQ81" s="153"/>
      <c r="CR81" s="153"/>
      <c r="CS81" s="153"/>
      <c r="CT81" s="153"/>
      <c r="CU81" s="153"/>
      <c r="CV81" s="153"/>
      <c r="CW81" s="153"/>
      <c r="CX81" s="153"/>
      <c r="CY81" s="153"/>
      <c r="CZ81" s="153"/>
      <c r="DA81" s="153"/>
      <c r="DB81" s="153"/>
      <c r="DC81" s="153"/>
      <c r="DD81" s="153"/>
      <c r="DE81" s="153"/>
      <c r="DF81" s="153"/>
      <c r="DG81" s="153"/>
      <c r="DH81" s="153"/>
      <c r="DI81" s="153"/>
      <c r="DJ81" s="153"/>
      <c r="DK81" s="153"/>
      <c r="DL81" s="153"/>
      <c r="DM81" s="153"/>
      <c r="DN81" s="153"/>
      <c r="DO81" s="153"/>
      <c r="DP81" s="153"/>
      <c r="DQ81" s="153"/>
      <c r="DR81" s="153"/>
      <c r="DS81" s="153"/>
      <c r="DT81" s="153"/>
      <c r="DU81" s="153"/>
      <c r="DV81" s="153"/>
      <c r="DW81" s="153"/>
      <c r="DX81" s="153"/>
      <c r="DY81" s="153"/>
      <c r="DZ81" s="153"/>
      <c r="EA81" s="153"/>
      <c r="EB81" s="153"/>
      <c r="EC81" s="153"/>
      <c r="ED81" s="153"/>
      <c r="EE81" s="153"/>
      <c r="EF81" s="153"/>
      <c r="EG81" s="153"/>
      <c r="EH81" s="153"/>
      <c r="EI81" s="153"/>
      <c r="EJ81" s="153"/>
      <c r="EK81" s="153"/>
      <c r="EL81" s="153"/>
      <c r="EM81" s="153"/>
    </row>
    <row r="82" spans="1:143" s="107" customFormat="1" ht="10.5" customHeight="1">
      <c r="A82" s="1140">
        <v>57</v>
      </c>
      <c r="B82" s="1560" t="str">
        <f t="shared" si="2"/>
        <v/>
      </c>
      <c r="C82" s="161" t="str">
        <f>GasTime(GasAnalyser,'Horiba Data'!F75,'Horiba Data'!G75,'Testo, JUM &amp; MRU Data'!A76,'Thermo Data'!B75,HourOffset)</f>
        <v/>
      </c>
      <c r="D82" s="981" t="str">
        <f>IF(D$17=FALSE,"",GasData(GasAnalyser,'Horiba Data'!S75,'Testo, JUM &amp; MRU Data'!D76,'Thermo Data'!E75,'Testo, JUM &amp; MRU Data'!U76,GDF))</f>
        <v/>
      </c>
      <c r="E82" s="981" t="str">
        <f>IF(D82="","",Conc2(D82,D$9,MolVol,D$21,D$20,E$21,E$20))</f>
        <v/>
      </c>
      <c r="F82" s="981" t="str">
        <f>IF(F$17=FALSE,"",GasData(GasAnalyser,'Horiba Data'!AQ75,'Testo, JUM &amp; MRU Data'!E76,'Thermo Data'!F75,'Testo, JUM &amp; MRU Data'!V76,GDF))</f>
        <v/>
      </c>
      <c r="G82" s="981" t="str">
        <f>IF(F82="","",Conc2(F82,F$9,MolVol,F$21,F$20,G$21,G$20))</f>
        <v/>
      </c>
      <c r="H82" s="981" t="str">
        <f>IF(D$17=FALSE,"",IF(F$17=FALSE,"",GasData(GasAnalyser,'Horiba Data'!W75,'Testo, JUM &amp; MRU Data'!F76,'Thermo Data'!G75,'Testo, JUM &amp; MRU Data'!Y76,GDF)))</f>
        <v/>
      </c>
      <c r="I82" s="981" t="str">
        <f>IF(H82="","",Conc2(H82,H$9,MolVol,H$21,H$20,I$21,I$20))</f>
        <v/>
      </c>
      <c r="J82" s="981" t="str">
        <f>IF(J$17=FALSE,"",GasData(GasAnalyser,'Horiba Data'!AM75,'Testo, JUM &amp; MRU Data'!G76,'Thermo Data'!H75,'Testo, JUM &amp; MRU Data'!W76,GDF))</f>
        <v/>
      </c>
      <c r="K82" s="981" t="str">
        <f>IF(J82="","",Conc2(J82,J$9,MolVol,J$21,J$20,K$21,K$20))</f>
        <v/>
      </c>
      <c r="L82" s="981" t="str">
        <f>IF(L$17=FALSE,"",GasData(GasAnalyser,'Horiba Data'!AA75,'Testo, JUM &amp; MRU Data'!H76,'Thermo Data'!I75,'Testo, JUM &amp; MRU Data'!T76,GDF))</f>
        <v/>
      </c>
      <c r="M82" s="981" t="str">
        <f>IF(L82="","",Conc2(L82,L$9,MolVol,L$21,L$20,M$21,M$20))</f>
        <v/>
      </c>
      <c r="N82" s="981" t="str">
        <f>IF(N$17=FALSE,"",GasData(GasAnalyser,'Horiba Data'!AE75,'Testo, JUM &amp; MRU Data'!I76,'Thermo Data'!J75,'Testo, JUM &amp; MRU Data'!S76,GDF))</f>
        <v/>
      </c>
      <c r="O82" s="981" t="str">
        <f>IF(N82="","",Conc2(N82,N$9,MolVol,N$21,N$20,O$21,O$20))</f>
        <v/>
      </c>
      <c r="P82" s="981" t="str">
        <f>IF(P$17=FALSE,"",GasData(GasAnalyser,'Horiba Data'!AI75,'Testo, JUM &amp; MRU Data'!J76,'Thermo Data'!K75,'Testo, JUM &amp; MRU Data'!R76,GDF))</f>
        <v/>
      </c>
      <c r="Q82" s="981" t="str">
        <f>IF(P82="","",Conc2(P82,P$9,MolVol,P$21,P$20,Q$21,Q$20))</f>
        <v/>
      </c>
      <c r="R82" s="981" t="str">
        <f>IF(R$17=FALSE,"",JUMData('Testo, JUM &amp; MRU Data'!M76,$R$7))</f>
        <v/>
      </c>
      <c r="S82" s="982" t="str">
        <f>IF(R82="","",Conc2(R82,R$9,MolVol,R$21,R$20,S$21,S$20)/(1-Bws))</f>
        <v/>
      </c>
      <c r="T82" s="740"/>
      <c r="AR82" s="334"/>
      <c r="AS82" s="334"/>
      <c r="AT82" s="48"/>
      <c r="AU82" s="48"/>
      <c r="AV82" s="153"/>
      <c r="AW82" s="153"/>
      <c r="AX82" s="153"/>
      <c r="AY82" s="153"/>
      <c r="AZ82" s="153"/>
      <c r="BA82" s="153"/>
      <c r="BB82" s="153"/>
      <c r="BC82" s="153"/>
      <c r="BD82" s="153"/>
      <c r="BE82" s="153"/>
      <c r="BF82" s="153"/>
      <c r="BG82" s="153"/>
      <c r="BH82" s="153"/>
      <c r="BI82" s="153"/>
      <c r="BJ82" s="153"/>
      <c r="BK82" s="153"/>
      <c r="BL82" s="153"/>
      <c r="BM82" s="153"/>
      <c r="BN82" s="153"/>
      <c r="BO82" s="153"/>
      <c r="BP82" s="153"/>
      <c r="BQ82" s="153"/>
      <c r="BR82" s="153"/>
      <c r="BS82" s="153"/>
      <c r="BT82" s="153"/>
      <c r="BU82" s="153"/>
      <c r="BV82" s="153"/>
      <c r="BW82" s="153"/>
      <c r="BX82" s="153"/>
      <c r="BY82" s="153"/>
      <c r="BZ82" s="153"/>
      <c r="CA82" s="153"/>
      <c r="CB82" s="153"/>
      <c r="CC82" s="153"/>
      <c r="CD82" s="153"/>
      <c r="CE82" s="153"/>
      <c r="CF82" s="153"/>
      <c r="CG82" s="153"/>
      <c r="CH82" s="153"/>
      <c r="CI82" s="153"/>
      <c r="CJ82" s="153"/>
      <c r="CK82" s="153"/>
      <c r="CL82" s="153"/>
      <c r="CM82" s="153"/>
      <c r="CN82" s="153"/>
      <c r="CO82" s="153"/>
      <c r="CP82" s="153"/>
      <c r="CQ82" s="153"/>
      <c r="CR82" s="153"/>
      <c r="CS82" s="153"/>
      <c r="CT82" s="153"/>
      <c r="CU82" s="153"/>
      <c r="CV82" s="153"/>
      <c r="CW82" s="153"/>
      <c r="CX82" s="153"/>
      <c r="CY82" s="153"/>
      <c r="CZ82" s="153"/>
      <c r="DA82" s="153"/>
      <c r="DB82" s="153"/>
      <c r="DC82" s="153"/>
      <c r="DD82" s="153"/>
      <c r="DE82" s="153"/>
      <c r="DF82" s="153"/>
      <c r="DG82" s="153"/>
      <c r="DH82" s="153"/>
      <c r="DI82" s="153"/>
      <c r="DJ82" s="153"/>
      <c r="DK82" s="153"/>
      <c r="DL82" s="153"/>
      <c r="DM82" s="153"/>
      <c r="DN82" s="153"/>
      <c r="DO82" s="153"/>
      <c r="DP82" s="153"/>
      <c r="DQ82" s="153"/>
      <c r="DR82" s="153"/>
      <c r="DS82" s="153"/>
      <c r="DT82" s="153"/>
      <c r="DU82" s="153"/>
      <c r="DV82" s="153"/>
      <c r="DW82" s="153"/>
      <c r="DX82" s="153"/>
      <c r="DY82" s="153"/>
      <c r="DZ82" s="153"/>
      <c r="EA82" s="153"/>
      <c r="EB82" s="153"/>
      <c r="EC82" s="153"/>
      <c r="ED82" s="153"/>
      <c r="EE82" s="153"/>
      <c r="EF82" s="153"/>
      <c r="EG82" s="153"/>
      <c r="EH82" s="153"/>
      <c r="EI82" s="153"/>
      <c r="EJ82" s="153"/>
      <c r="EK82" s="153"/>
      <c r="EL82" s="153"/>
      <c r="EM82" s="153"/>
    </row>
    <row r="83" spans="1:143" s="107" customFormat="1" ht="10.5" customHeight="1">
      <c r="A83" s="1140">
        <v>58</v>
      </c>
      <c r="B83" s="1560" t="str">
        <f t="shared" si="2"/>
        <v/>
      </c>
      <c r="C83" s="161" t="str">
        <f>GasTime(GasAnalyser,'Horiba Data'!F76,'Horiba Data'!G76,'Testo, JUM &amp; MRU Data'!A77,'Thermo Data'!B76,HourOffset)</f>
        <v/>
      </c>
      <c r="D83" s="981" t="str">
        <f>IF(D$17=FALSE,"",GasData(GasAnalyser,'Horiba Data'!S76,'Testo, JUM &amp; MRU Data'!D77,'Thermo Data'!E76,'Testo, JUM &amp; MRU Data'!U77,GDF))</f>
        <v/>
      </c>
      <c r="E83" s="981" t="str">
        <f>IF(D83="","",Conc2(D83,D$9,MolVol,D$21,D$20,E$21,E$20))</f>
        <v/>
      </c>
      <c r="F83" s="981" t="str">
        <f>IF(F$17=FALSE,"",GasData(GasAnalyser,'Horiba Data'!AQ76,'Testo, JUM &amp; MRU Data'!E77,'Thermo Data'!F76,'Testo, JUM &amp; MRU Data'!V77,GDF))</f>
        <v/>
      </c>
      <c r="G83" s="981" t="str">
        <f>IF(F83="","",Conc2(F83,F$9,MolVol,F$21,F$20,G$21,G$20))</f>
        <v/>
      </c>
      <c r="H83" s="981" t="str">
        <f>IF(D$17=FALSE,"",IF(F$17=FALSE,"",GasData(GasAnalyser,'Horiba Data'!W76,'Testo, JUM &amp; MRU Data'!F77,'Thermo Data'!G76,'Testo, JUM &amp; MRU Data'!Y77,GDF)))</f>
        <v/>
      </c>
      <c r="I83" s="981" t="str">
        <f>IF(H83="","",Conc2(H83,H$9,MolVol,H$21,H$20,I$21,I$20))</f>
        <v/>
      </c>
      <c r="J83" s="981" t="str">
        <f>IF(J$17=FALSE,"",GasData(GasAnalyser,'Horiba Data'!AM76,'Testo, JUM &amp; MRU Data'!G77,'Thermo Data'!H76,'Testo, JUM &amp; MRU Data'!W77,GDF))</f>
        <v/>
      </c>
      <c r="K83" s="981" t="str">
        <f>IF(J83="","",Conc2(J83,J$9,MolVol,J$21,J$20,K$21,K$20))</f>
        <v/>
      </c>
      <c r="L83" s="981" t="str">
        <f>IF(L$17=FALSE,"",GasData(GasAnalyser,'Horiba Data'!AA76,'Testo, JUM &amp; MRU Data'!H77,'Thermo Data'!I76,'Testo, JUM &amp; MRU Data'!T77,GDF))</f>
        <v/>
      </c>
      <c r="M83" s="981" t="str">
        <f>IF(L83="","",Conc2(L83,L$9,MolVol,L$21,L$20,M$21,M$20))</f>
        <v/>
      </c>
      <c r="N83" s="981" t="str">
        <f>IF(N$17=FALSE,"",GasData(GasAnalyser,'Horiba Data'!AE76,'Testo, JUM &amp; MRU Data'!I77,'Thermo Data'!J76,'Testo, JUM &amp; MRU Data'!S77,GDF))</f>
        <v/>
      </c>
      <c r="O83" s="981" t="str">
        <f>IF(N83="","",Conc2(N83,N$9,MolVol,N$21,N$20,O$21,O$20))</f>
        <v/>
      </c>
      <c r="P83" s="981" t="str">
        <f>IF(P$17=FALSE,"",GasData(GasAnalyser,'Horiba Data'!AI76,'Testo, JUM &amp; MRU Data'!J77,'Thermo Data'!K76,'Testo, JUM &amp; MRU Data'!R77,GDF))</f>
        <v/>
      </c>
      <c r="Q83" s="981" t="str">
        <f>IF(P83="","",Conc2(P83,P$9,MolVol,P$21,P$20,Q$21,Q$20))</f>
        <v/>
      </c>
      <c r="R83" s="981" t="str">
        <f>IF(R$17=FALSE,"",JUMData('Testo, JUM &amp; MRU Data'!M77,$R$7))</f>
        <v/>
      </c>
      <c r="S83" s="982" t="str">
        <f>IF(R83="","",Conc2(R83,R$9,MolVol,R$21,R$20,S$21,S$20)/(1-Bws))</f>
        <v/>
      </c>
      <c r="T83" s="740"/>
      <c r="AR83" s="334"/>
      <c r="AS83" s="334"/>
      <c r="AT83" s="48"/>
      <c r="AU83" s="48"/>
      <c r="AV83" s="153"/>
      <c r="AW83" s="153"/>
      <c r="AX83" s="153"/>
      <c r="AY83" s="153"/>
      <c r="AZ83" s="153"/>
      <c r="BA83" s="153"/>
      <c r="BB83" s="153"/>
      <c r="BC83" s="153"/>
      <c r="BD83" s="153"/>
      <c r="BE83" s="153"/>
      <c r="BF83" s="153"/>
      <c r="BG83" s="153"/>
      <c r="BH83" s="153"/>
      <c r="BI83" s="153"/>
      <c r="BJ83" s="153"/>
      <c r="BK83" s="153"/>
      <c r="BL83" s="153"/>
      <c r="BM83" s="153"/>
      <c r="BN83" s="153"/>
      <c r="BO83" s="153"/>
      <c r="BP83" s="153"/>
      <c r="BQ83" s="153"/>
      <c r="BR83" s="153"/>
      <c r="BS83" s="153"/>
      <c r="BT83" s="153"/>
      <c r="BU83" s="153"/>
      <c r="BV83" s="153"/>
      <c r="BW83" s="153"/>
      <c r="BX83" s="153"/>
      <c r="BY83" s="153"/>
      <c r="BZ83" s="153"/>
      <c r="CA83" s="153"/>
      <c r="CB83" s="153"/>
      <c r="CC83" s="153"/>
      <c r="CD83" s="153"/>
      <c r="CE83" s="153"/>
      <c r="CF83" s="153"/>
      <c r="CG83" s="153"/>
      <c r="CH83" s="153"/>
      <c r="CI83" s="153"/>
      <c r="CJ83" s="153"/>
      <c r="CK83" s="153"/>
      <c r="CL83" s="153"/>
      <c r="CM83" s="153"/>
      <c r="CN83" s="153"/>
      <c r="CO83" s="153"/>
      <c r="CP83" s="153"/>
      <c r="CQ83" s="153"/>
      <c r="CR83" s="153"/>
      <c r="CS83" s="153"/>
      <c r="CT83" s="153"/>
      <c r="CU83" s="153"/>
      <c r="CV83" s="153"/>
      <c r="CW83" s="153"/>
      <c r="CX83" s="153"/>
      <c r="CY83" s="153"/>
      <c r="CZ83" s="153"/>
      <c r="DA83" s="153"/>
      <c r="DB83" s="153"/>
      <c r="DC83" s="153"/>
      <c r="DD83" s="153"/>
      <c r="DE83" s="153"/>
      <c r="DF83" s="153"/>
      <c r="DG83" s="153"/>
      <c r="DH83" s="153"/>
      <c r="DI83" s="153"/>
      <c r="DJ83" s="153"/>
      <c r="DK83" s="153"/>
      <c r="DL83" s="153"/>
      <c r="DM83" s="153"/>
      <c r="DN83" s="153"/>
      <c r="DO83" s="153"/>
      <c r="DP83" s="153"/>
      <c r="DQ83" s="153"/>
      <c r="DR83" s="153"/>
      <c r="DS83" s="153"/>
      <c r="DT83" s="153"/>
      <c r="DU83" s="153"/>
      <c r="DV83" s="153"/>
      <c r="DW83" s="153"/>
      <c r="DX83" s="153"/>
      <c r="DY83" s="153"/>
      <c r="DZ83" s="153"/>
      <c r="EA83" s="153"/>
      <c r="EB83" s="153"/>
      <c r="EC83" s="153"/>
      <c r="ED83" s="153"/>
      <c r="EE83" s="153"/>
      <c r="EF83" s="153"/>
      <c r="EG83" s="153"/>
      <c r="EH83" s="153"/>
      <c r="EI83" s="153"/>
      <c r="EJ83" s="153"/>
      <c r="EK83" s="153"/>
      <c r="EL83" s="153"/>
      <c r="EM83" s="153"/>
    </row>
    <row r="84" spans="1:143" s="107" customFormat="1" ht="10.5" customHeight="1">
      <c r="A84" s="1140">
        <v>59</v>
      </c>
      <c r="B84" s="1560" t="str">
        <f t="shared" si="2"/>
        <v/>
      </c>
      <c r="C84" s="161" t="str">
        <f>GasTime(GasAnalyser,'Horiba Data'!F77,'Horiba Data'!G77,'Testo, JUM &amp; MRU Data'!A78,'Thermo Data'!B77,HourOffset)</f>
        <v/>
      </c>
      <c r="D84" s="981" t="str">
        <f>IF(D$17=FALSE,"",GasData(GasAnalyser,'Horiba Data'!S77,'Testo, JUM &amp; MRU Data'!D78,'Thermo Data'!E77,'Testo, JUM &amp; MRU Data'!U78,GDF))</f>
        <v/>
      </c>
      <c r="E84" s="981" t="str">
        <f>IF(D84="","",Conc2(D84,D$9,MolVol,D$21,D$20,E$21,E$20))</f>
        <v/>
      </c>
      <c r="F84" s="981" t="str">
        <f>IF(F$17=FALSE,"",GasData(GasAnalyser,'Horiba Data'!AQ77,'Testo, JUM &amp; MRU Data'!E78,'Thermo Data'!F77,'Testo, JUM &amp; MRU Data'!V78,GDF))</f>
        <v/>
      </c>
      <c r="G84" s="981" t="str">
        <f>IF(F84="","",Conc2(F84,F$9,MolVol,F$21,F$20,G$21,G$20))</f>
        <v/>
      </c>
      <c r="H84" s="981" t="str">
        <f>IF(D$17=FALSE,"",IF(F$17=FALSE,"",GasData(GasAnalyser,'Horiba Data'!W77,'Testo, JUM &amp; MRU Data'!F78,'Thermo Data'!G77,'Testo, JUM &amp; MRU Data'!Y78,GDF)))</f>
        <v/>
      </c>
      <c r="I84" s="981" t="str">
        <f>IF(H84="","",Conc2(H84,H$9,MolVol,H$21,H$20,I$21,I$20))</f>
        <v/>
      </c>
      <c r="J84" s="981" t="str">
        <f>IF(J$17=FALSE,"",GasData(GasAnalyser,'Horiba Data'!AM77,'Testo, JUM &amp; MRU Data'!G78,'Thermo Data'!H77,'Testo, JUM &amp; MRU Data'!W78,GDF))</f>
        <v/>
      </c>
      <c r="K84" s="981" t="str">
        <f>IF(J84="","",Conc2(J84,J$9,MolVol,J$21,J$20,K$21,K$20))</f>
        <v/>
      </c>
      <c r="L84" s="981" t="str">
        <f>IF(L$17=FALSE,"",GasData(GasAnalyser,'Horiba Data'!AA77,'Testo, JUM &amp; MRU Data'!H78,'Thermo Data'!I77,'Testo, JUM &amp; MRU Data'!T78,GDF))</f>
        <v/>
      </c>
      <c r="M84" s="981" t="str">
        <f>IF(L84="","",Conc2(L84,L$9,MolVol,L$21,L$20,M$21,M$20))</f>
        <v/>
      </c>
      <c r="N84" s="981" t="str">
        <f>IF(N$17=FALSE,"",GasData(GasAnalyser,'Horiba Data'!AE77,'Testo, JUM &amp; MRU Data'!I78,'Thermo Data'!J77,'Testo, JUM &amp; MRU Data'!S78,GDF))</f>
        <v/>
      </c>
      <c r="O84" s="981" t="str">
        <f>IF(N84="","",Conc2(N84,N$9,MolVol,N$21,N$20,O$21,O$20))</f>
        <v/>
      </c>
      <c r="P84" s="981" t="str">
        <f>IF(P$17=FALSE,"",GasData(GasAnalyser,'Horiba Data'!AI77,'Testo, JUM &amp; MRU Data'!J78,'Thermo Data'!K77,'Testo, JUM &amp; MRU Data'!R78,GDF))</f>
        <v/>
      </c>
      <c r="Q84" s="981" t="str">
        <f>IF(P84="","",Conc2(P84,P$9,MolVol,P$21,P$20,Q$21,Q$20))</f>
        <v/>
      </c>
      <c r="R84" s="981" t="str">
        <f>IF(R$17=FALSE,"",JUMData('Testo, JUM &amp; MRU Data'!M78,$R$7))</f>
        <v/>
      </c>
      <c r="S84" s="982" t="str">
        <f>IF(R84="","",Conc2(R84,R$9,MolVol,R$21,R$20,S$21,S$20)/(1-Bws))</f>
        <v/>
      </c>
      <c r="T84" s="740"/>
      <c r="AR84" s="334"/>
      <c r="AS84" s="334"/>
      <c r="AT84" s="48"/>
      <c r="AU84" s="48"/>
      <c r="AV84" s="153"/>
      <c r="AW84" s="153"/>
      <c r="AX84" s="153"/>
      <c r="AY84" s="153"/>
      <c r="AZ84" s="153"/>
      <c r="BA84" s="153"/>
      <c r="BB84" s="153"/>
      <c r="BC84" s="153"/>
      <c r="BD84" s="153"/>
      <c r="BE84" s="153"/>
      <c r="BF84" s="153"/>
      <c r="BG84" s="153"/>
      <c r="BH84" s="153"/>
      <c r="BI84" s="153"/>
      <c r="BJ84" s="153"/>
      <c r="BK84" s="153"/>
      <c r="BL84" s="153"/>
      <c r="BM84" s="153"/>
      <c r="BN84" s="153"/>
      <c r="BO84" s="153"/>
      <c r="BP84" s="153"/>
      <c r="BQ84" s="153"/>
      <c r="BR84" s="153"/>
      <c r="BS84" s="153"/>
      <c r="BT84" s="153"/>
      <c r="BU84" s="153"/>
      <c r="BV84" s="153"/>
      <c r="BW84" s="153"/>
      <c r="BX84" s="153"/>
      <c r="BY84" s="153"/>
      <c r="BZ84" s="153"/>
      <c r="CA84" s="153"/>
      <c r="CB84" s="153"/>
      <c r="CC84" s="153"/>
      <c r="CD84" s="153"/>
      <c r="CE84" s="153"/>
      <c r="CF84" s="153"/>
      <c r="CG84" s="153"/>
      <c r="CH84" s="153"/>
      <c r="CI84" s="153"/>
      <c r="CJ84" s="153"/>
      <c r="CK84" s="153"/>
      <c r="CL84" s="153"/>
      <c r="CM84" s="153"/>
      <c r="CN84" s="153"/>
      <c r="CO84" s="153"/>
      <c r="CP84" s="153"/>
      <c r="CQ84" s="153"/>
      <c r="CR84" s="153"/>
      <c r="CS84" s="153"/>
      <c r="CT84" s="153"/>
      <c r="CU84" s="153"/>
      <c r="CV84" s="153"/>
      <c r="CW84" s="153"/>
      <c r="CX84" s="153"/>
      <c r="CY84" s="153"/>
      <c r="CZ84" s="153"/>
      <c r="DA84" s="153"/>
      <c r="DB84" s="153"/>
      <c r="DC84" s="153"/>
      <c r="DD84" s="153"/>
      <c r="DE84" s="153"/>
      <c r="DF84" s="153"/>
      <c r="DG84" s="153"/>
      <c r="DH84" s="153"/>
      <c r="DI84" s="153"/>
      <c r="DJ84" s="153"/>
      <c r="DK84" s="153"/>
      <c r="DL84" s="153"/>
      <c r="DM84" s="153"/>
      <c r="DN84" s="153"/>
      <c r="DO84" s="153"/>
      <c r="DP84" s="153"/>
      <c r="DQ84" s="153"/>
      <c r="DR84" s="153"/>
      <c r="DS84" s="153"/>
      <c r="DT84" s="153"/>
      <c r="DU84" s="153"/>
      <c r="DV84" s="153"/>
      <c r="DW84" s="153"/>
      <c r="DX84" s="153"/>
      <c r="DY84" s="153"/>
      <c r="DZ84" s="153"/>
      <c r="EA84" s="153"/>
      <c r="EB84" s="153"/>
      <c r="EC84" s="153"/>
      <c r="ED84" s="153"/>
      <c r="EE84" s="153"/>
      <c r="EF84" s="153"/>
      <c r="EG84" s="153"/>
      <c r="EH84" s="153"/>
      <c r="EI84" s="153"/>
      <c r="EJ84" s="153"/>
      <c r="EK84" s="153"/>
      <c r="EL84" s="153"/>
      <c r="EM84" s="153"/>
    </row>
    <row r="85" spans="1:143" s="107" customFormat="1" ht="10.5" customHeight="1">
      <c r="A85" s="1140">
        <v>60</v>
      </c>
      <c r="B85" s="1560" t="str">
        <f t="shared" si="2"/>
        <v/>
      </c>
      <c r="C85" s="161" t="str">
        <f>GasTime(GasAnalyser,'Horiba Data'!F78,'Horiba Data'!G78,'Testo, JUM &amp; MRU Data'!A79,'Thermo Data'!B78,HourOffset)</f>
        <v/>
      </c>
      <c r="D85" s="981" t="str">
        <f>IF(D$17=FALSE,"",GasData(GasAnalyser,'Horiba Data'!S78,'Testo, JUM &amp; MRU Data'!D79,'Thermo Data'!E78,'Testo, JUM &amp; MRU Data'!U79,GDF))</f>
        <v/>
      </c>
      <c r="E85" s="981" t="str">
        <f>IF(D85="","",Conc2(D85,D$9,MolVol,D$21,D$20,E$21,E$20))</f>
        <v/>
      </c>
      <c r="F85" s="981" t="str">
        <f>IF(F$17=FALSE,"",GasData(GasAnalyser,'Horiba Data'!AQ78,'Testo, JUM &amp; MRU Data'!E79,'Thermo Data'!F78,'Testo, JUM &amp; MRU Data'!V79,GDF))</f>
        <v/>
      </c>
      <c r="G85" s="981" t="str">
        <f>IF(F85="","",Conc2(F85,F$9,MolVol,F$21,F$20,G$21,G$20))</f>
        <v/>
      </c>
      <c r="H85" s="981" t="str">
        <f>IF(D$17=FALSE,"",IF(F$17=FALSE,"",GasData(GasAnalyser,'Horiba Data'!W78,'Testo, JUM &amp; MRU Data'!F79,'Thermo Data'!G78,'Testo, JUM &amp; MRU Data'!Y79,GDF)))</f>
        <v/>
      </c>
      <c r="I85" s="981" t="str">
        <f>IF(H85="","",Conc2(H85,H$9,MolVol,H$21,H$20,I$21,I$20))</f>
        <v/>
      </c>
      <c r="J85" s="981" t="str">
        <f>IF(J$17=FALSE,"",GasData(GasAnalyser,'Horiba Data'!AM78,'Testo, JUM &amp; MRU Data'!G79,'Thermo Data'!H78,'Testo, JUM &amp; MRU Data'!W79,GDF))</f>
        <v/>
      </c>
      <c r="K85" s="981" t="str">
        <f>IF(J85="","",Conc2(J85,J$9,MolVol,J$21,J$20,K$21,K$20))</f>
        <v/>
      </c>
      <c r="L85" s="981" t="str">
        <f>IF(L$17=FALSE,"",GasData(GasAnalyser,'Horiba Data'!AA78,'Testo, JUM &amp; MRU Data'!H79,'Thermo Data'!I78,'Testo, JUM &amp; MRU Data'!T79,GDF))</f>
        <v/>
      </c>
      <c r="M85" s="981" t="str">
        <f>IF(L85="","",Conc2(L85,L$9,MolVol,L$21,L$20,M$21,M$20))</f>
        <v/>
      </c>
      <c r="N85" s="981" t="str">
        <f>IF(N$17=FALSE,"",GasData(GasAnalyser,'Horiba Data'!AE78,'Testo, JUM &amp; MRU Data'!I79,'Thermo Data'!J78,'Testo, JUM &amp; MRU Data'!S79,GDF))</f>
        <v/>
      </c>
      <c r="O85" s="981" t="str">
        <f>IF(N85="","",Conc2(N85,N$9,MolVol,N$21,N$20,O$21,O$20))</f>
        <v/>
      </c>
      <c r="P85" s="981" t="str">
        <f>IF(P$17=FALSE,"",GasData(GasAnalyser,'Horiba Data'!AI78,'Testo, JUM &amp; MRU Data'!J79,'Thermo Data'!K78,'Testo, JUM &amp; MRU Data'!R79,GDF))</f>
        <v/>
      </c>
      <c r="Q85" s="981" t="str">
        <f>IF(P85="","",Conc2(P85,P$9,MolVol,P$21,P$20,Q$21,Q$20))</f>
        <v/>
      </c>
      <c r="R85" s="981" t="str">
        <f>IF(R$17=FALSE,"",JUMData('Testo, JUM &amp; MRU Data'!M79,$R$7))</f>
        <v/>
      </c>
      <c r="S85" s="982" t="str">
        <f>IF(R85="","",Conc2(R85,R$9,MolVol,R$21,R$20,S$21,S$20)/(1-Bws))</f>
        <v/>
      </c>
      <c r="T85" s="740"/>
      <c r="AR85" s="334"/>
      <c r="AS85" s="334"/>
      <c r="AT85" s="48"/>
      <c r="AU85" s="48"/>
      <c r="AV85" s="153"/>
      <c r="AW85" s="153"/>
      <c r="AX85" s="153"/>
      <c r="AY85" s="153"/>
      <c r="AZ85" s="153"/>
      <c r="BA85" s="153"/>
      <c r="BB85" s="153"/>
      <c r="BC85" s="153"/>
      <c r="BD85" s="153"/>
      <c r="BE85" s="153"/>
      <c r="BF85" s="153"/>
      <c r="BG85" s="153"/>
      <c r="BH85" s="153"/>
      <c r="BI85" s="153"/>
      <c r="BJ85" s="153"/>
      <c r="BK85" s="153"/>
      <c r="BL85" s="153"/>
      <c r="BM85" s="153"/>
      <c r="BN85" s="153"/>
      <c r="BO85" s="153"/>
      <c r="BP85" s="153"/>
      <c r="BQ85" s="153"/>
      <c r="BR85" s="153"/>
      <c r="BS85" s="153"/>
      <c r="BT85" s="153"/>
      <c r="BU85" s="153"/>
      <c r="BV85" s="153"/>
      <c r="BW85" s="153"/>
      <c r="BX85" s="153"/>
      <c r="BY85" s="153"/>
      <c r="BZ85" s="153"/>
      <c r="CA85" s="153"/>
      <c r="CB85" s="153"/>
      <c r="CC85" s="153"/>
      <c r="CD85" s="153"/>
      <c r="CE85" s="153"/>
      <c r="CF85" s="153"/>
      <c r="CG85" s="153"/>
      <c r="CH85" s="153"/>
      <c r="CI85" s="153"/>
      <c r="CJ85" s="153"/>
      <c r="CK85" s="153"/>
      <c r="CL85" s="153"/>
      <c r="CM85" s="153"/>
      <c r="CN85" s="153"/>
      <c r="CO85" s="153"/>
      <c r="CP85" s="153"/>
      <c r="CQ85" s="153"/>
      <c r="CR85" s="153"/>
      <c r="CS85" s="153"/>
      <c r="CT85" s="153"/>
      <c r="CU85" s="153"/>
      <c r="CV85" s="153"/>
      <c r="CW85" s="153"/>
      <c r="CX85" s="153"/>
      <c r="CY85" s="153"/>
      <c r="CZ85" s="153"/>
      <c r="DA85" s="153"/>
      <c r="DB85" s="153"/>
      <c r="DC85" s="153"/>
      <c r="DD85" s="153"/>
      <c r="DE85" s="153"/>
      <c r="DF85" s="153"/>
      <c r="DG85" s="153"/>
      <c r="DH85" s="153"/>
      <c r="DI85" s="153"/>
      <c r="DJ85" s="153"/>
      <c r="DK85" s="153"/>
      <c r="DL85" s="153"/>
      <c r="DM85" s="153"/>
      <c r="DN85" s="153"/>
      <c r="DO85" s="153"/>
      <c r="DP85" s="153"/>
      <c r="DQ85" s="153"/>
      <c r="DR85" s="153"/>
      <c r="DS85" s="153"/>
      <c r="DT85" s="153"/>
      <c r="DU85" s="153"/>
      <c r="DV85" s="153"/>
      <c r="DW85" s="153"/>
      <c r="DX85" s="153"/>
      <c r="DY85" s="153"/>
      <c r="DZ85" s="153"/>
      <c r="EA85" s="153"/>
      <c r="EB85" s="153"/>
      <c r="EC85" s="153"/>
      <c r="ED85" s="153"/>
      <c r="EE85" s="153"/>
      <c r="EF85" s="153"/>
      <c r="EG85" s="153"/>
      <c r="EH85" s="153"/>
      <c r="EI85" s="153"/>
      <c r="EJ85" s="153"/>
      <c r="EK85" s="153"/>
      <c r="EL85" s="153"/>
      <c r="EM85" s="153"/>
    </row>
    <row r="86" spans="1:143" s="107" customFormat="1" ht="10.5" customHeight="1">
      <c r="A86" s="1140">
        <v>61</v>
      </c>
      <c r="B86" s="1560" t="str">
        <f t="shared" si="2"/>
        <v/>
      </c>
      <c r="C86" s="161" t="str">
        <f>GasTime(GasAnalyser,'Horiba Data'!F79,'Horiba Data'!G79,'Testo, JUM &amp; MRU Data'!A80,'Thermo Data'!B79,HourOffset)</f>
        <v/>
      </c>
      <c r="D86" s="981" t="str">
        <f>IF(D$17=FALSE,"",GasData(GasAnalyser,'Horiba Data'!S79,'Testo, JUM &amp; MRU Data'!D80,'Thermo Data'!E79,'Testo, JUM &amp; MRU Data'!U80,GDF))</f>
        <v/>
      </c>
      <c r="E86" s="981" t="str">
        <f>IF(D86="","",Conc2(D86,D$9,MolVol,D$21,D$20,E$21,E$20))</f>
        <v/>
      </c>
      <c r="F86" s="981" t="str">
        <f>IF(F$17=FALSE,"",GasData(GasAnalyser,'Horiba Data'!AQ79,'Testo, JUM &amp; MRU Data'!E80,'Thermo Data'!F79,'Testo, JUM &amp; MRU Data'!V80,GDF))</f>
        <v/>
      </c>
      <c r="G86" s="981" t="str">
        <f>IF(F86="","",Conc2(F86,F$9,MolVol,F$21,F$20,G$21,G$20))</f>
        <v/>
      </c>
      <c r="H86" s="981" t="str">
        <f>IF(D$17=FALSE,"",IF(F$17=FALSE,"",GasData(GasAnalyser,'Horiba Data'!W79,'Testo, JUM &amp; MRU Data'!F80,'Thermo Data'!G79,'Testo, JUM &amp; MRU Data'!Y80,GDF)))</f>
        <v/>
      </c>
      <c r="I86" s="981" t="str">
        <f>IF(H86="","",Conc2(H86,H$9,MolVol,H$21,H$20,I$21,I$20))</f>
        <v/>
      </c>
      <c r="J86" s="981" t="str">
        <f>IF(J$17=FALSE,"",GasData(GasAnalyser,'Horiba Data'!AM79,'Testo, JUM &amp; MRU Data'!G80,'Thermo Data'!H79,'Testo, JUM &amp; MRU Data'!W80,GDF))</f>
        <v/>
      </c>
      <c r="K86" s="981" t="str">
        <f>IF(J86="","",Conc2(J86,J$9,MolVol,J$21,J$20,K$21,K$20))</f>
        <v/>
      </c>
      <c r="L86" s="981" t="str">
        <f>IF(L$17=FALSE,"",GasData(GasAnalyser,'Horiba Data'!AA79,'Testo, JUM &amp; MRU Data'!H80,'Thermo Data'!I79,'Testo, JUM &amp; MRU Data'!T80,GDF))</f>
        <v/>
      </c>
      <c r="M86" s="981" t="str">
        <f>IF(L86="","",Conc2(L86,L$9,MolVol,L$21,L$20,M$21,M$20))</f>
        <v/>
      </c>
      <c r="N86" s="981" t="str">
        <f>IF(N$17=FALSE,"",GasData(GasAnalyser,'Horiba Data'!AE79,'Testo, JUM &amp; MRU Data'!I80,'Thermo Data'!J79,'Testo, JUM &amp; MRU Data'!S80,GDF))</f>
        <v/>
      </c>
      <c r="O86" s="981" t="str">
        <f>IF(N86="","",Conc2(N86,N$9,MolVol,N$21,N$20,O$21,O$20))</f>
        <v/>
      </c>
      <c r="P86" s="981" t="str">
        <f>IF(P$17=FALSE,"",GasData(GasAnalyser,'Horiba Data'!AI79,'Testo, JUM &amp; MRU Data'!J80,'Thermo Data'!K79,'Testo, JUM &amp; MRU Data'!R80,GDF))</f>
        <v/>
      </c>
      <c r="Q86" s="981" t="str">
        <f>IF(P86="","",Conc2(P86,P$9,MolVol,P$21,P$20,Q$21,Q$20))</f>
        <v/>
      </c>
      <c r="R86" s="981" t="str">
        <f>IF(R$17=FALSE,"",JUMData('Testo, JUM &amp; MRU Data'!M80,$R$7))</f>
        <v/>
      </c>
      <c r="S86" s="982" t="str">
        <f>IF(R86="","",Conc2(R86,R$9,MolVol,R$21,R$20,S$21,S$20)/(1-Bws))</f>
        <v/>
      </c>
      <c r="T86" s="740"/>
      <c r="AR86" s="334"/>
      <c r="AS86" s="334"/>
      <c r="AT86" s="48"/>
      <c r="AU86" s="48"/>
      <c r="AV86" s="153"/>
      <c r="AW86" s="153"/>
      <c r="AX86" s="153"/>
      <c r="AY86" s="153"/>
      <c r="AZ86" s="153"/>
      <c r="BA86" s="153"/>
      <c r="BB86" s="153"/>
      <c r="BC86" s="153"/>
      <c r="BD86" s="153"/>
      <c r="BE86" s="153"/>
      <c r="BF86" s="153"/>
      <c r="BG86" s="153"/>
      <c r="BH86" s="153"/>
      <c r="BI86" s="153"/>
      <c r="BJ86" s="153"/>
      <c r="BK86" s="153"/>
      <c r="BL86" s="153"/>
      <c r="BM86" s="153"/>
      <c r="BN86" s="153"/>
      <c r="BO86" s="153"/>
      <c r="BP86" s="153"/>
      <c r="BQ86" s="153"/>
      <c r="BR86" s="153"/>
      <c r="BS86" s="153"/>
      <c r="BT86" s="153"/>
      <c r="BU86" s="153"/>
      <c r="BV86" s="153"/>
      <c r="BW86" s="153"/>
      <c r="BX86" s="153"/>
      <c r="BY86" s="153"/>
      <c r="BZ86" s="153"/>
      <c r="CA86" s="153"/>
      <c r="CB86" s="153"/>
      <c r="CC86" s="153"/>
      <c r="CD86" s="153"/>
      <c r="CE86" s="153"/>
      <c r="CF86" s="153"/>
      <c r="CG86" s="153"/>
      <c r="CH86" s="153"/>
      <c r="CI86" s="153"/>
      <c r="CJ86" s="153"/>
      <c r="CK86" s="153"/>
      <c r="CL86" s="153"/>
      <c r="CM86" s="153"/>
      <c r="CN86" s="153"/>
      <c r="CO86" s="153"/>
      <c r="CP86" s="153"/>
      <c r="CQ86" s="153"/>
      <c r="CR86" s="153"/>
      <c r="CS86" s="153"/>
      <c r="CT86" s="153"/>
      <c r="CU86" s="153"/>
      <c r="CV86" s="153"/>
      <c r="CW86" s="153"/>
      <c r="CX86" s="153"/>
      <c r="CY86" s="153"/>
      <c r="CZ86" s="153"/>
      <c r="DA86" s="153"/>
      <c r="DB86" s="153"/>
      <c r="DC86" s="153"/>
      <c r="DD86" s="153"/>
      <c r="DE86" s="153"/>
      <c r="DF86" s="153"/>
      <c r="DG86" s="153"/>
      <c r="DH86" s="153"/>
      <c r="DI86" s="153"/>
      <c r="DJ86" s="153"/>
      <c r="DK86" s="153"/>
      <c r="DL86" s="153"/>
      <c r="DM86" s="153"/>
      <c r="DN86" s="153"/>
      <c r="DO86" s="153"/>
      <c r="DP86" s="153"/>
      <c r="DQ86" s="153"/>
      <c r="DR86" s="153"/>
      <c r="DS86" s="153"/>
      <c r="DT86" s="153"/>
      <c r="DU86" s="153"/>
      <c r="DV86" s="153"/>
      <c r="DW86" s="153"/>
      <c r="DX86" s="153"/>
      <c r="DY86" s="153"/>
      <c r="DZ86" s="153"/>
      <c r="EA86" s="153"/>
      <c r="EB86" s="153"/>
      <c r="EC86" s="153"/>
      <c r="ED86" s="153"/>
      <c r="EE86" s="153"/>
      <c r="EF86" s="153"/>
      <c r="EG86" s="153"/>
      <c r="EH86" s="153"/>
      <c r="EI86" s="153"/>
      <c r="EJ86" s="153"/>
      <c r="EK86" s="153"/>
      <c r="EL86" s="153"/>
      <c r="EM86" s="153"/>
    </row>
    <row r="87" spans="1:143" s="107" customFormat="1" ht="10.5" customHeight="1">
      <c r="A87" s="1140">
        <v>62</v>
      </c>
      <c r="B87" s="1560" t="str">
        <f t="shared" si="2"/>
        <v/>
      </c>
      <c r="C87" s="161" t="str">
        <f>GasTime(GasAnalyser,'Horiba Data'!F80,'Horiba Data'!G80,'Testo, JUM &amp; MRU Data'!A81,'Thermo Data'!B80,HourOffset)</f>
        <v/>
      </c>
      <c r="D87" s="981" t="str">
        <f>IF(D$17=FALSE,"",GasData(GasAnalyser,'Horiba Data'!S80,'Testo, JUM &amp; MRU Data'!D81,'Thermo Data'!E80,'Testo, JUM &amp; MRU Data'!U81,GDF))</f>
        <v/>
      </c>
      <c r="E87" s="981" t="str">
        <f>IF(D87="","",Conc2(D87,D$9,MolVol,D$21,D$20,E$21,E$20))</f>
        <v/>
      </c>
      <c r="F87" s="981" t="str">
        <f>IF(F$17=FALSE,"",GasData(GasAnalyser,'Horiba Data'!AQ80,'Testo, JUM &amp; MRU Data'!E81,'Thermo Data'!F80,'Testo, JUM &amp; MRU Data'!V81,GDF))</f>
        <v/>
      </c>
      <c r="G87" s="981" t="str">
        <f>IF(F87="","",Conc2(F87,F$9,MolVol,F$21,F$20,G$21,G$20))</f>
        <v/>
      </c>
      <c r="H87" s="981" t="str">
        <f>IF(D$17=FALSE,"",IF(F$17=FALSE,"",GasData(GasAnalyser,'Horiba Data'!W80,'Testo, JUM &amp; MRU Data'!F81,'Thermo Data'!G80,'Testo, JUM &amp; MRU Data'!Y81,GDF)))</f>
        <v/>
      </c>
      <c r="I87" s="981" t="str">
        <f>IF(H87="","",Conc2(H87,H$9,MolVol,H$21,H$20,I$21,I$20))</f>
        <v/>
      </c>
      <c r="J87" s="981" t="str">
        <f>IF(J$17=FALSE,"",GasData(GasAnalyser,'Horiba Data'!AM80,'Testo, JUM &amp; MRU Data'!G81,'Thermo Data'!H80,'Testo, JUM &amp; MRU Data'!W81,GDF))</f>
        <v/>
      </c>
      <c r="K87" s="981" t="str">
        <f>IF(J87="","",Conc2(J87,J$9,MolVol,J$21,J$20,K$21,K$20))</f>
        <v/>
      </c>
      <c r="L87" s="981" t="str">
        <f>IF(L$17=FALSE,"",GasData(GasAnalyser,'Horiba Data'!AA80,'Testo, JUM &amp; MRU Data'!H81,'Thermo Data'!I80,'Testo, JUM &amp; MRU Data'!T81,GDF))</f>
        <v/>
      </c>
      <c r="M87" s="981" t="str">
        <f>IF(L87="","",Conc2(L87,L$9,MolVol,L$21,L$20,M$21,M$20))</f>
        <v/>
      </c>
      <c r="N87" s="981" t="str">
        <f>IF(N$17=FALSE,"",GasData(GasAnalyser,'Horiba Data'!AE80,'Testo, JUM &amp; MRU Data'!I81,'Thermo Data'!J80,'Testo, JUM &amp; MRU Data'!S81,GDF))</f>
        <v/>
      </c>
      <c r="O87" s="981" t="str">
        <f>IF(N87="","",Conc2(N87,N$9,MolVol,N$21,N$20,O$21,O$20))</f>
        <v/>
      </c>
      <c r="P87" s="981" t="str">
        <f>IF(P$17=FALSE,"",GasData(GasAnalyser,'Horiba Data'!AI80,'Testo, JUM &amp; MRU Data'!J81,'Thermo Data'!K80,'Testo, JUM &amp; MRU Data'!R81,GDF))</f>
        <v/>
      </c>
      <c r="Q87" s="981" t="str">
        <f>IF(P87="","",Conc2(P87,P$9,MolVol,P$21,P$20,Q$21,Q$20))</f>
        <v/>
      </c>
      <c r="R87" s="981" t="str">
        <f>IF(R$17=FALSE,"",JUMData('Testo, JUM &amp; MRU Data'!M81,$R$7))</f>
        <v/>
      </c>
      <c r="S87" s="982" t="str">
        <f>IF(R87="","",Conc2(R87,R$9,MolVol,R$21,R$20,S$21,S$20)/(1-Bws))</f>
        <v/>
      </c>
      <c r="T87" s="740"/>
      <c r="AR87" s="334"/>
      <c r="AS87" s="334"/>
      <c r="AT87" s="48"/>
      <c r="AU87" s="48"/>
      <c r="AV87" s="153"/>
      <c r="AW87" s="153"/>
      <c r="AX87" s="153"/>
      <c r="AY87" s="153"/>
      <c r="AZ87" s="153"/>
      <c r="BA87" s="153"/>
      <c r="BB87" s="153"/>
      <c r="BC87" s="153"/>
      <c r="BD87" s="153"/>
      <c r="BE87" s="153"/>
      <c r="BF87" s="153"/>
      <c r="BG87" s="153"/>
      <c r="BH87" s="153"/>
      <c r="BI87" s="153"/>
      <c r="BJ87" s="153"/>
      <c r="BK87" s="153"/>
      <c r="BL87" s="153"/>
      <c r="BM87" s="153"/>
      <c r="BN87" s="153"/>
      <c r="BO87" s="153"/>
      <c r="BP87" s="153"/>
      <c r="BQ87" s="153"/>
      <c r="BR87" s="153"/>
      <c r="BS87" s="153"/>
      <c r="BT87" s="153"/>
      <c r="BU87" s="153"/>
      <c r="BV87" s="153"/>
      <c r="BW87" s="153"/>
      <c r="BX87" s="153"/>
      <c r="BY87" s="153"/>
      <c r="BZ87" s="153"/>
      <c r="CA87" s="153"/>
      <c r="CB87" s="153"/>
      <c r="CC87" s="153"/>
      <c r="CD87" s="153"/>
      <c r="CE87" s="153"/>
      <c r="CF87" s="153"/>
      <c r="CG87" s="153"/>
      <c r="CH87" s="153"/>
      <c r="CI87" s="153"/>
      <c r="CJ87" s="153"/>
      <c r="CK87" s="153"/>
      <c r="CL87" s="153"/>
      <c r="CM87" s="153"/>
      <c r="CN87" s="153"/>
      <c r="CO87" s="153"/>
      <c r="CP87" s="153"/>
      <c r="CQ87" s="153"/>
      <c r="CR87" s="153"/>
      <c r="CS87" s="153"/>
      <c r="CT87" s="153"/>
      <c r="CU87" s="153"/>
      <c r="CV87" s="153"/>
      <c r="CW87" s="153"/>
      <c r="CX87" s="153"/>
      <c r="CY87" s="153"/>
      <c r="CZ87" s="153"/>
      <c r="DA87" s="153"/>
      <c r="DB87" s="153"/>
      <c r="DC87" s="153"/>
      <c r="DD87" s="153"/>
      <c r="DE87" s="153"/>
      <c r="DF87" s="153"/>
      <c r="DG87" s="153"/>
      <c r="DH87" s="153"/>
      <c r="DI87" s="153"/>
      <c r="DJ87" s="153"/>
      <c r="DK87" s="153"/>
      <c r="DL87" s="153"/>
      <c r="DM87" s="153"/>
      <c r="DN87" s="153"/>
      <c r="DO87" s="153"/>
      <c r="DP87" s="153"/>
      <c r="DQ87" s="153"/>
      <c r="DR87" s="153"/>
      <c r="DS87" s="153"/>
      <c r="DT87" s="153"/>
      <c r="DU87" s="153"/>
      <c r="DV87" s="153"/>
      <c r="DW87" s="153"/>
      <c r="DX87" s="153"/>
      <c r="DY87" s="153"/>
      <c r="DZ87" s="153"/>
      <c r="EA87" s="153"/>
      <c r="EB87" s="153"/>
      <c r="EC87" s="153"/>
      <c r="ED87" s="153"/>
      <c r="EE87" s="153"/>
      <c r="EF87" s="153"/>
      <c r="EG87" s="153"/>
      <c r="EH87" s="153"/>
      <c r="EI87" s="153"/>
      <c r="EJ87" s="153"/>
      <c r="EK87" s="153"/>
      <c r="EL87" s="153"/>
      <c r="EM87" s="153"/>
    </row>
    <row r="88" spans="1:143" s="107" customFormat="1" ht="10.5" customHeight="1">
      <c r="A88" s="1140">
        <v>63</v>
      </c>
      <c r="B88" s="1560" t="str">
        <f t="shared" si="2"/>
        <v/>
      </c>
      <c r="C88" s="161" t="str">
        <f>GasTime(GasAnalyser,'Horiba Data'!F81,'Horiba Data'!G81,'Testo, JUM &amp; MRU Data'!A82,'Thermo Data'!B81,HourOffset)</f>
        <v/>
      </c>
      <c r="D88" s="981" t="str">
        <f>IF(D$17=FALSE,"",GasData(GasAnalyser,'Horiba Data'!S81,'Testo, JUM &amp; MRU Data'!D82,'Thermo Data'!E81,'Testo, JUM &amp; MRU Data'!U82,GDF))</f>
        <v/>
      </c>
      <c r="E88" s="981" t="str">
        <f>IF(D88="","",Conc2(D88,D$9,MolVol,D$21,D$20,E$21,E$20))</f>
        <v/>
      </c>
      <c r="F88" s="981" t="str">
        <f>IF(F$17=FALSE,"",GasData(GasAnalyser,'Horiba Data'!AQ81,'Testo, JUM &amp; MRU Data'!E82,'Thermo Data'!F81,'Testo, JUM &amp; MRU Data'!V82,GDF))</f>
        <v/>
      </c>
      <c r="G88" s="981" t="str">
        <f>IF(F88="","",Conc2(F88,F$9,MolVol,F$21,F$20,G$21,G$20))</f>
        <v/>
      </c>
      <c r="H88" s="981" t="str">
        <f>IF(D$17=FALSE,"",IF(F$17=FALSE,"",GasData(GasAnalyser,'Horiba Data'!W81,'Testo, JUM &amp; MRU Data'!F82,'Thermo Data'!G81,'Testo, JUM &amp; MRU Data'!Y82,GDF)))</f>
        <v/>
      </c>
      <c r="I88" s="981" t="str">
        <f>IF(H88="","",Conc2(H88,H$9,MolVol,H$21,H$20,I$21,I$20))</f>
        <v/>
      </c>
      <c r="J88" s="981" t="str">
        <f>IF(J$17=FALSE,"",GasData(GasAnalyser,'Horiba Data'!AM81,'Testo, JUM &amp; MRU Data'!G82,'Thermo Data'!H81,'Testo, JUM &amp; MRU Data'!W82,GDF))</f>
        <v/>
      </c>
      <c r="K88" s="981" t="str">
        <f>IF(J88="","",Conc2(J88,J$9,MolVol,J$21,J$20,K$21,K$20))</f>
        <v/>
      </c>
      <c r="L88" s="981" t="str">
        <f>IF(L$17=FALSE,"",GasData(GasAnalyser,'Horiba Data'!AA81,'Testo, JUM &amp; MRU Data'!H82,'Thermo Data'!I81,'Testo, JUM &amp; MRU Data'!T82,GDF))</f>
        <v/>
      </c>
      <c r="M88" s="981" t="str">
        <f>IF(L88="","",Conc2(L88,L$9,MolVol,L$21,L$20,M$21,M$20))</f>
        <v/>
      </c>
      <c r="N88" s="981" t="str">
        <f>IF(N$17=FALSE,"",GasData(GasAnalyser,'Horiba Data'!AE81,'Testo, JUM &amp; MRU Data'!I82,'Thermo Data'!J81,'Testo, JUM &amp; MRU Data'!S82,GDF))</f>
        <v/>
      </c>
      <c r="O88" s="981" t="str">
        <f>IF(N88="","",Conc2(N88,N$9,MolVol,N$21,N$20,O$21,O$20))</f>
        <v/>
      </c>
      <c r="P88" s="981" t="str">
        <f>IF(P$17=FALSE,"",GasData(GasAnalyser,'Horiba Data'!AI81,'Testo, JUM &amp; MRU Data'!J82,'Thermo Data'!K81,'Testo, JUM &amp; MRU Data'!R82,GDF))</f>
        <v/>
      </c>
      <c r="Q88" s="981" t="str">
        <f>IF(P88="","",Conc2(P88,P$9,MolVol,P$21,P$20,Q$21,Q$20))</f>
        <v/>
      </c>
      <c r="R88" s="981" t="str">
        <f>IF(R$17=FALSE,"",JUMData('Testo, JUM &amp; MRU Data'!M82,$R$7))</f>
        <v/>
      </c>
      <c r="S88" s="982" t="str">
        <f>IF(R88="","",Conc2(R88,R$9,MolVol,R$21,R$20,S$21,S$20)/(1-Bws))</f>
        <v/>
      </c>
      <c r="T88" s="740"/>
      <c r="AR88" s="334"/>
      <c r="AS88" s="334"/>
      <c r="AT88" s="48"/>
      <c r="AU88" s="48"/>
      <c r="AV88" s="153"/>
      <c r="AW88" s="153"/>
      <c r="AX88" s="153"/>
      <c r="AY88" s="153"/>
      <c r="AZ88" s="153"/>
      <c r="BA88" s="153"/>
      <c r="BB88" s="153"/>
      <c r="BC88" s="153"/>
      <c r="BD88" s="153"/>
      <c r="BE88" s="153"/>
      <c r="BF88" s="153"/>
      <c r="BG88" s="153"/>
      <c r="BH88" s="153"/>
      <c r="BI88" s="153"/>
      <c r="BJ88" s="153"/>
      <c r="BK88" s="153"/>
      <c r="BL88" s="153"/>
      <c r="BM88" s="153"/>
      <c r="BN88" s="153"/>
      <c r="BO88" s="153"/>
      <c r="BP88" s="153"/>
      <c r="BQ88" s="153"/>
      <c r="BR88" s="153"/>
      <c r="BS88" s="153"/>
      <c r="BT88" s="153"/>
      <c r="BU88" s="153"/>
      <c r="BV88" s="153"/>
      <c r="BW88" s="153"/>
      <c r="BX88" s="153"/>
      <c r="BY88" s="153"/>
      <c r="BZ88" s="153"/>
      <c r="CA88" s="153"/>
      <c r="CB88" s="153"/>
      <c r="CC88" s="153"/>
      <c r="CD88" s="153"/>
      <c r="CE88" s="153"/>
      <c r="CF88" s="153"/>
      <c r="CG88" s="153"/>
      <c r="CH88" s="153"/>
      <c r="CI88" s="153"/>
      <c r="CJ88" s="153"/>
      <c r="CK88" s="153"/>
      <c r="CL88" s="153"/>
      <c r="CM88" s="153"/>
      <c r="CN88" s="153"/>
      <c r="CO88" s="153"/>
      <c r="CP88" s="153"/>
      <c r="CQ88" s="153"/>
      <c r="CR88" s="153"/>
      <c r="CS88" s="153"/>
      <c r="CT88" s="153"/>
      <c r="CU88" s="153"/>
      <c r="CV88" s="153"/>
      <c r="CW88" s="153"/>
      <c r="CX88" s="153"/>
      <c r="CY88" s="153"/>
      <c r="CZ88" s="153"/>
      <c r="DA88" s="153"/>
      <c r="DB88" s="153"/>
      <c r="DC88" s="153"/>
      <c r="DD88" s="153"/>
      <c r="DE88" s="153"/>
      <c r="DF88" s="153"/>
      <c r="DG88" s="153"/>
      <c r="DH88" s="153"/>
      <c r="DI88" s="153"/>
      <c r="DJ88" s="153"/>
      <c r="DK88" s="153"/>
      <c r="DL88" s="153"/>
      <c r="DM88" s="153"/>
      <c r="DN88" s="153"/>
      <c r="DO88" s="153"/>
      <c r="DP88" s="153"/>
      <c r="DQ88" s="153"/>
      <c r="DR88" s="153"/>
      <c r="DS88" s="153"/>
      <c r="DT88" s="153"/>
      <c r="DU88" s="153"/>
      <c r="DV88" s="153"/>
      <c r="DW88" s="153"/>
      <c r="DX88" s="153"/>
      <c r="DY88" s="153"/>
      <c r="DZ88" s="153"/>
      <c r="EA88" s="153"/>
      <c r="EB88" s="153"/>
      <c r="EC88" s="153"/>
      <c r="ED88" s="153"/>
      <c r="EE88" s="153"/>
      <c r="EF88" s="153"/>
      <c r="EG88" s="153"/>
      <c r="EH88" s="153"/>
      <c r="EI88" s="153"/>
      <c r="EJ88" s="153"/>
      <c r="EK88" s="153"/>
      <c r="EL88" s="153"/>
      <c r="EM88" s="153"/>
    </row>
    <row r="89" spans="1:143" s="107" customFormat="1" ht="10.5" customHeight="1">
      <c r="A89" s="1140">
        <v>64</v>
      </c>
      <c r="B89" s="1560" t="str">
        <f t="shared" si="2"/>
        <v/>
      </c>
      <c r="C89" s="161" t="str">
        <f>GasTime(GasAnalyser,'Horiba Data'!F82,'Horiba Data'!G82,'Testo, JUM &amp; MRU Data'!A83,'Thermo Data'!B82,HourOffset)</f>
        <v/>
      </c>
      <c r="D89" s="981" t="str">
        <f>IF(D$17=FALSE,"",GasData(GasAnalyser,'Horiba Data'!S82,'Testo, JUM &amp; MRU Data'!D83,'Thermo Data'!E82,'Testo, JUM &amp; MRU Data'!U83,GDF))</f>
        <v/>
      </c>
      <c r="E89" s="981" t="str">
        <f>IF(D89="","",Conc2(D89,D$9,MolVol,D$21,D$20,E$21,E$20))</f>
        <v/>
      </c>
      <c r="F89" s="981" t="str">
        <f>IF(F$17=FALSE,"",GasData(GasAnalyser,'Horiba Data'!AQ82,'Testo, JUM &amp; MRU Data'!E83,'Thermo Data'!F82,'Testo, JUM &amp; MRU Data'!V83,GDF))</f>
        <v/>
      </c>
      <c r="G89" s="981" t="str">
        <f>IF(F89="","",Conc2(F89,F$9,MolVol,F$21,F$20,G$21,G$20))</f>
        <v/>
      </c>
      <c r="H89" s="981" t="str">
        <f>IF(D$17=FALSE,"",IF(F$17=FALSE,"",GasData(GasAnalyser,'Horiba Data'!W82,'Testo, JUM &amp; MRU Data'!F83,'Thermo Data'!G82,'Testo, JUM &amp; MRU Data'!Y83,GDF)))</f>
        <v/>
      </c>
      <c r="I89" s="981" t="str">
        <f>IF(H89="","",Conc2(H89,H$9,MolVol,H$21,H$20,I$21,I$20))</f>
        <v/>
      </c>
      <c r="J89" s="981" t="str">
        <f>IF(J$17=FALSE,"",GasData(GasAnalyser,'Horiba Data'!AM82,'Testo, JUM &amp; MRU Data'!G83,'Thermo Data'!H82,'Testo, JUM &amp; MRU Data'!W83,GDF))</f>
        <v/>
      </c>
      <c r="K89" s="981" t="str">
        <f>IF(J89="","",Conc2(J89,J$9,MolVol,J$21,J$20,K$21,K$20))</f>
        <v/>
      </c>
      <c r="L89" s="981" t="str">
        <f>IF(L$17=FALSE,"",GasData(GasAnalyser,'Horiba Data'!AA82,'Testo, JUM &amp; MRU Data'!H83,'Thermo Data'!I82,'Testo, JUM &amp; MRU Data'!T83,GDF))</f>
        <v/>
      </c>
      <c r="M89" s="981" t="str">
        <f>IF(L89="","",Conc2(L89,L$9,MolVol,L$21,L$20,M$21,M$20))</f>
        <v/>
      </c>
      <c r="N89" s="981" t="str">
        <f>IF(N$17=FALSE,"",GasData(GasAnalyser,'Horiba Data'!AE82,'Testo, JUM &amp; MRU Data'!I83,'Thermo Data'!J82,'Testo, JUM &amp; MRU Data'!S83,GDF))</f>
        <v/>
      </c>
      <c r="O89" s="981" t="str">
        <f>IF(N89="","",Conc2(N89,N$9,MolVol,N$21,N$20,O$21,O$20))</f>
        <v/>
      </c>
      <c r="P89" s="981" t="str">
        <f>IF(P$17=FALSE,"",GasData(GasAnalyser,'Horiba Data'!AI82,'Testo, JUM &amp; MRU Data'!J83,'Thermo Data'!K82,'Testo, JUM &amp; MRU Data'!R83,GDF))</f>
        <v/>
      </c>
      <c r="Q89" s="981" t="str">
        <f>IF(P89="","",Conc2(P89,P$9,MolVol,P$21,P$20,Q$21,Q$20))</f>
        <v/>
      </c>
      <c r="R89" s="981" t="str">
        <f>IF(R$17=FALSE,"",JUMData('Testo, JUM &amp; MRU Data'!M83,$R$7))</f>
        <v/>
      </c>
      <c r="S89" s="982" t="str">
        <f>IF(R89="","",Conc2(R89,R$9,MolVol,R$21,R$20,S$21,S$20)/(1-Bws))</f>
        <v/>
      </c>
      <c r="T89" s="740"/>
      <c r="AR89" s="334"/>
      <c r="AS89" s="334"/>
      <c r="AT89" s="48"/>
      <c r="AU89" s="48"/>
      <c r="AV89" s="153"/>
      <c r="AW89" s="153"/>
      <c r="AX89" s="153"/>
      <c r="AY89" s="153"/>
      <c r="AZ89" s="153"/>
      <c r="BA89" s="153"/>
      <c r="BB89" s="153"/>
      <c r="BC89" s="153"/>
      <c r="BD89" s="153"/>
      <c r="BE89" s="153"/>
      <c r="BF89" s="153"/>
      <c r="BG89" s="153"/>
      <c r="BH89" s="153"/>
      <c r="BI89" s="153"/>
      <c r="BJ89" s="153"/>
      <c r="BK89" s="153"/>
      <c r="BL89" s="153"/>
      <c r="BM89" s="153"/>
      <c r="BN89" s="153"/>
      <c r="BO89" s="153"/>
      <c r="BP89" s="153"/>
      <c r="BQ89" s="153"/>
      <c r="BR89" s="153"/>
      <c r="BS89" s="153"/>
      <c r="BT89" s="153"/>
      <c r="BU89" s="153"/>
      <c r="BV89" s="153"/>
      <c r="BW89" s="153"/>
      <c r="BX89" s="153"/>
      <c r="BY89" s="153"/>
      <c r="BZ89" s="153"/>
      <c r="CA89" s="153"/>
      <c r="CB89" s="153"/>
      <c r="CC89" s="153"/>
      <c r="CD89" s="153"/>
      <c r="CE89" s="153"/>
      <c r="CF89" s="153"/>
      <c r="CG89" s="153"/>
      <c r="CH89" s="153"/>
      <c r="CI89" s="153"/>
      <c r="CJ89" s="153"/>
      <c r="CK89" s="153"/>
      <c r="CL89" s="153"/>
      <c r="CM89" s="153"/>
      <c r="CN89" s="153"/>
      <c r="CO89" s="153"/>
      <c r="CP89" s="153"/>
      <c r="CQ89" s="153"/>
      <c r="CR89" s="153"/>
      <c r="CS89" s="153"/>
      <c r="CT89" s="153"/>
      <c r="CU89" s="153"/>
      <c r="CV89" s="153"/>
      <c r="CW89" s="153"/>
      <c r="CX89" s="153"/>
      <c r="CY89" s="153"/>
      <c r="CZ89" s="153"/>
      <c r="DA89" s="153"/>
      <c r="DB89" s="153"/>
      <c r="DC89" s="153"/>
      <c r="DD89" s="153"/>
      <c r="DE89" s="153"/>
      <c r="DF89" s="153"/>
      <c r="DG89" s="153"/>
      <c r="DH89" s="153"/>
      <c r="DI89" s="153"/>
      <c r="DJ89" s="153"/>
      <c r="DK89" s="153"/>
      <c r="DL89" s="153"/>
      <c r="DM89" s="153"/>
      <c r="DN89" s="153"/>
      <c r="DO89" s="153"/>
      <c r="DP89" s="153"/>
      <c r="DQ89" s="153"/>
      <c r="DR89" s="153"/>
      <c r="DS89" s="153"/>
      <c r="DT89" s="153"/>
      <c r="DU89" s="153"/>
      <c r="DV89" s="153"/>
      <c r="DW89" s="153"/>
      <c r="DX89" s="153"/>
      <c r="DY89" s="153"/>
      <c r="DZ89" s="153"/>
      <c r="EA89" s="153"/>
      <c r="EB89" s="153"/>
      <c r="EC89" s="153"/>
      <c r="ED89" s="153"/>
      <c r="EE89" s="153"/>
      <c r="EF89" s="153"/>
      <c r="EG89" s="153"/>
      <c r="EH89" s="153"/>
      <c r="EI89" s="153"/>
      <c r="EJ89" s="153"/>
      <c r="EK89" s="153"/>
      <c r="EL89" s="153"/>
      <c r="EM89" s="153"/>
    </row>
    <row r="90" spans="1:143" s="107" customFormat="1" ht="10.5" customHeight="1">
      <c r="A90" s="1140">
        <v>65</v>
      </c>
      <c r="B90" s="1560" t="str">
        <f t="shared" si="2"/>
        <v/>
      </c>
      <c r="C90" s="161" t="str">
        <f>GasTime(GasAnalyser,'Horiba Data'!F83,'Horiba Data'!G83,'Testo, JUM &amp; MRU Data'!A84,'Thermo Data'!B83,HourOffset)</f>
        <v/>
      </c>
      <c r="D90" s="981" t="str">
        <f>IF(D$17=FALSE,"",GasData(GasAnalyser,'Horiba Data'!S83,'Testo, JUM &amp; MRU Data'!D84,'Thermo Data'!E83,'Testo, JUM &amp; MRU Data'!U84,GDF))</f>
        <v/>
      </c>
      <c r="E90" s="981" t="str">
        <f>IF(D90="","",Conc2(D90,D$9,MolVol,D$21,D$20,E$21,E$20))</f>
        <v/>
      </c>
      <c r="F90" s="981" t="str">
        <f>IF(F$17=FALSE,"",GasData(GasAnalyser,'Horiba Data'!AQ83,'Testo, JUM &amp; MRU Data'!E84,'Thermo Data'!F83,'Testo, JUM &amp; MRU Data'!V84,GDF))</f>
        <v/>
      </c>
      <c r="G90" s="981" t="str">
        <f>IF(F90="","",Conc2(F90,F$9,MolVol,F$21,F$20,G$21,G$20))</f>
        <v/>
      </c>
      <c r="H90" s="981" t="str">
        <f>IF(D$17=FALSE,"",IF(F$17=FALSE,"",GasData(GasAnalyser,'Horiba Data'!W83,'Testo, JUM &amp; MRU Data'!F84,'Thermo Data'!G83,'Testo, JUM &amp; MRU Data'!Y84,GDF)))</f>
        <v/>
      </c>
      <c r="I90" s="981" t="str">
        <f>IF(H90="","",Conc2(H90,H$9,MolVol,H$21,H$20,I$21,I$20))</f>
        <v/>
      </c>
      <c r="J90" s="981" t="str">
        <f>IF(J$17=FALSE,"",GasData(GasAnalyser,'Horiba Data'!AM83,'Testo, JUM &amp; MRU Data'!G84,'Thermo Data'!H83,'Testo, JUM &amp; MRU Data'!W84,GDF))</f>
        <v/>
      </c>
      <c r="K90" s="981" t="str">
        <f>IF(J90="","",Conc2(J90,J$9,MolVol,J$21,J$20,K$21,K$20))</f>
        <v/>
      </c>
      <c r="L90" s="981" t="str">
        <f>IF(L$17=FALSE,"",GasData(GasAnalyser,'Horiba Data'!AA83,'Testo, JUM &amp; MRU Data'!H84,'Thermo Data'!I83,'Testo, JUM &amp; MRU Data'!T84,GDF))</f>
        <v/>
      </c>
      <c r="M90" s="981" t="str">
        <f>IF(L90="","",Conc2(L90,L$9,MolVol,L$21,L$20,M$21,M$20))</f>
        <v/>
      </c>
      <c r="N90" s="981" t="str">
        <f>IF(N$17=FALSE,"",GasData(GasAnalyser,'Horiba Data'!AE83,'Testo, JUM &amp; MRU Data'!I84,'Thermo Data'!J83,'Testo, JUM &amp; MRU Data'!S84,GDF))</f>
        <v/>
      </c>
      <c r="O90" s="981" t="str">
        <f>IF(N90="","",Conc2(N90,N$9,MolVol,N$21,N$20,O$21,O$20))</f>
        <v/>
      </c>
      <c r="P90" s="981" t="str">
        <f>IF(P$17=FALSE,"",GasData(GasAnalyser,'Horiba Data'!AI83,'Testo, JUM &amp; MRU Data'!J84,'Thermo Data'!K83,'Testo, JUM &amp; MRU Data'!R84,GDF))</f>
        <v/>
      </c>
      <c r="Q90" s="981" t="str">
        <f>IF(P90="","",Conc2(P90,P$9,MolVol,P$21,P$20,Q$21,Q$20))</f>
        <v/>
      </c>
      <c r="R90" s="981" t="str">
        <f>IF(R$17=FALSE,"",JUMData('Testo, JUM &amp; MRU Data'!M84,$R$7))</f>
        <v/>
      </c>
      <c r="S90" s="982" t="str">
        <f>IF(R90="","",Conc2(R90,R$9,MolVol,R$21,R$20,S$21,S$20)/(1-Bws))</f>
        <v/>
      </c>
      <c r="T90" s="740"/>
      <c r="AR90" s="334"/>
      <c r="AS90" s="334"/>
      <c r="AT90" s="48"/>
      <c r="AU90" s="48"/>
      <c r="AV90" s="153"/>
      <c r="AW90" s="153"/>
      <c r="AX90" s="153"/>
      <c r="AY90" s="153"/>
      <c r="AZ90" s="153"/>
      <c r="BA90" s="153"/>
      <c r="BB90" s="153"/>
      <c r="BC90" s="153"/>
      <c r="BD90" s="153"/>
      <c r="BE90" s="153"/>
      <c r="BF90" s="153"/>
      <c r="BG90" s="153"/>
      <c r="BH90" s="153"/>
      <c r="BI90" s="153"/>
      <c r="BJ90" s="153"/>
      <c r="BK90" s="153"/>
      <c r="BL90" s="153"/>
      <c r="BM90" s="153"/>
      <c r="BN90" s="153"/>
      <c r="BO90" s="153"/>
      <c r="BP90" s="153"/>
      <c r="BQ90" s="153"/>
      <c r="BR90" s="153"/>
      <c r="BS90" s="153"/>
      <c r="BT90" s="153"/>
      <c r="BU90" s="153"/>
      <c r="BV90" s="153"/>
      <c r="BW90" s="153"/>
      <c r="BX90" s="153"/>
      <c r="BY90" s="153"/>
      <c r="BZ90" s="153"/>
      <c r="CA90" s="153"/>
      <c r="CB90" s="153"/>
      <c r="CC90" s="153"/>
      <c r="CD90" s="153"/>
      <c r="CE90" s="153"/>
      <c r="CF90" s="153"/>
      <c r="CG90" s="153"/>
      <c r="CH90" s="153"/>
      <c r="CI90" s="153"/>
      <c r="CJ90" s="153"/>
      <c r="CK90" s="153"/>
      <c r="CL90" s="153"/>
      <c r="CM90" s="153"/>
      <c r="CN90" s="153"/>
      <c r="CO90" s="153"/>
      <c r="CP90" s="153"/>
      <c r="CQ90" s="153"/>
      <c r="CR90" s="153"/>
      <c r="CS90" s="153"/>
      <c r="CT90" s="153"/>
      <c r="CU90" s="153"/>
      <c r="CV90" s="153"/>
      <c r="CW90" s="153"/>
      <c r="CX90" s="153"/>
      <c r="CY90" s="153"/>
      <c r="CZ90" s="153"/>
      <c r="DA90" s="153"/>
      <c r="DB90" s="153"/>
      <c r="DC90" s="153"/>
      <c r="DD90" s="153"/>
      <c r="DE90" s="153"/>
      <c r="DF90" s="153"/>
      <c r="DG90" s="153"/>
      <c r="DH90" s="153"/>
      <c r="DI90" s="153"/>
      <c r="DJ90" s="153"/>
      <c r="DK90" s="153"/>
      <c r="DL90" s="153"/>
      <c r="DM90" s="153"/>
      <c r="DN90" s="153"/>
      <c r="DO90" s="153"/>
      <c r="DP90" s="153"/>
      <c r="DQ90" s="153"/>
      <c r="DR90" s="153"/>
      <c r="DS90" s="153"/>
      <c r="DT90" s="153"/>
      <c r="DU90" s="153"/>
      <c r="DV90" s="153"/>
      <c r="DW90" s="153"/>
      <c r="DX90" s="153"/>
      <c r="DY90" s="153"/>
      <c r="DZ90" s="153"/>
      <c r="EA90" s="153"/>
      <c r="EB90" s="153"/>
      <c r="EC90" s="153"/>
      <c r="ED90" s="153"/>
      <c r="EE90" s="153"/>
      <c r="EF90" s="153"/>
      <c r="EG90" s="153"/>
      <c r="EH90" s="153"/>
      <c r="EI90" s="153"/>
      <c r="EJ90" s="153"/>
      <c r="EK90" s="153"/>
      <c r="EL90" s="153"/>
      <c r="EM90" s="153"/>
    </row>
    <row r="91" spans="1:143" s="107" customFormat="1" ht="10.5" customHeight="1">
      <c r="A91" s="1140">
        <v>66</v>
      </c>
      <c r="B91" s="1560" t="str">
        <f t="shared" ref="B91:B154" si="3">IF(C91="","",VALUE(C91))</f>
        <v/>
      </c>
      <c r="C91" s="161" t="str">
        <f>GasTime(GasAnalyser,'Horiba Data'!F84,'Horiba Data'!G84,'Testo, JUM &amp; MRU Data'!A85,'Thermo Data'!B84,HourOffset)</f>
        <v/>
      </c>
      <c r="D91" s="981" t="str">
        <f>IF(D$17=FALSE,"",GasData(GasAnalyser,'Horiba Data'!S84,'Testo, JUM &amp; MRU Data'!D85,'Thermo Data'!E84,'Testo, JUM &amp; MRU Data'!U85,GDF))</f>
        <v/>
      </c>
      <c r="E91" s="981" t="str">
        <f>IF(D91="","",Conc2(D91,D$9,MolVol,D$21,D$20,E$21,E$20))</f>
        <v/>
      </c>
      <c r="F91" s="981" t="str">
        <f>IF(F$17=FALSE,"",GasData(GasAnalyser,'Horiba Data'!AQ84,'Testo, JUM &amp; MRU Data'!E85,'Thermo Data'!F84,'Testo, JUM &amp; MRU Data'!V85,GDF))</f>
        <v/>
      </c>
      <c r="G91" s="981" t="str">
        <f>IF(F91="","",Conc2(F91,F$9,MolVol,F$21,F$20,G$21,G$20))</f>
        <v/>
      </c>
      <c r="H91" s="981" t="str">
        <f>IF(D$17=FALSE,"",IF(F$17=FALSE,"",GasData(GasAnalyser,'Horiba Data'!W84,'Testo, JUM &amp; MRU Data'!F85,'Thermo Data'!G84,'Testo, JUM &amp; MRU Data'!Y85,GDF)))</f>
        <v/>
      </c>
      <c r="I91" s="981" t="str">
        <f>IF(H91="","",Conc2(H91,H$9,MolVol,H$21,H$20,I$21,I$20))</f>
        <v/>
      </c>
      <c r="J91" s="981" t="str">
        <f>IF(J$17=FALSE,"",GasData(GasAnalyser,'Horiba Data'!AM84,'Testo, JUM &amp; MRU Data'!G85,'Thermo Data'!H84,'Testo, JUM &amp; MRU Data'!W85,GDF))</f>
        <v/>
      </c>
      <c r="K91" s="981" t="str">
        <f>IF(J91="","",Conc2(J91,J$9,MolVol,J$21,J$20,K$21,K$20))</f>
        <v/>
      </c>
      <c r="L91" s="981" t="str">
        <f>IF(L$17=FALSE,"",GasData(GasAnalyser,'Horiba Data'!AA84,'Testo, JUM &amp; MRU Data'!H85,'Thermo Data'!I84,'Testo, JUM &amp; MRU Data'!T85,GDF))</f>
        <v/>
      </c>
      <c r="M91" s="981" t="str">
        <f>IF(L91="","",Conc2(L91,L$9,MolVol,L$21,L$20,M$21,M$20))</f>
        <v/>
      </c>
      <c r="N91" s="981" t="str">
        <f>IF(N$17=FALSE,"",GasData(GasAnalyser,'Horiba Data'!AE84,'Testo, JUM &amp; MRU Data'!I85,'Thermo Data'!J84,'Testo, JUM &amp; MRU Data'!S85,GDF))</f>
        <v/>
      </c>
      <c r="O91" s="981" t="str">
        <f>IF(N91="","",Conc2(N91,N$9,MolVol,N$21,N$20,O$21,O$20))</f>
        <v/>
      </c>
      <c r="P91" s="981" t="str">
        <f>IF(P$17=FALSE,"",GasData(GasAnalyser,'Horiba Data'!AI84,'Testo, JUM &amp; MRU Data'!J85,'Thermo Data'!K84,'Testo, JUM &amp; MRU Data'!R85,GDF))</f>
        <v/>
      </c>
      <c r="Q91" s="981" t="str">
        <f>IF(P91="","",Conc2(P91,P$9,MolVol,P$21,P$20,Q$21,Q$20))</f>
        <v/>
      </c>
      <c r="R91" s="981" t="str">
        <f>IF(R$17=FALSE,"",JUMData('Testo, JUM &amp; MRU Data'!M85,$R$7))</f>
        <v/>
      </c>
      <c r="S91" s="982" t="str">
        <f>IF(R91="","",Conc2(R91,R$9,MolVol,R$21,R$20,S$21,S$20)/(1-Bws))</f>
        <v/>
      </c>
      <c r="T91" s="740"/>
      <c r="AR91" s="334"/>
      <c r="AS91" s="334"/>
      <c r="AT91" s="48"/>
      <c r="AU91" s="48"/>
      <c r="AV91" s="153"/>
      <c r="AW91" s="153"/>
      <c r="AX91" s="153"/>
      <c r="AY91" s="153"/>
      <c r="AZ91" s="153"/>
      <c r="BA91" s="153"/>
      <c r="BB91" s="153"/>
      <c r="BC91" s="153"/>
      <c r="BD91" s="153"/>
      <c r="BE91" s="153"/>
      <c r="BF91" s="153"/>
      <c r="BG91" s="153"/>
      <c r="BH91" s="153"/>
      <c r="BI91" s="153"/>
      <c r="BJ91" s="153"/>
      <c r="BK91" s="153"/>
      <c r="BL91" s="153"/>
      <c r="BM91" s="153"/>
      <c r="BN91" s="153"/>
      <c r="BO91" s="153"/>
      <c r="BP91" s="153"/>
      <c r="BQ91" s="153"/>
      <c r="BR91" s="153"/>
      <c r="BS91" s="153"/>
      <c r="BT91" s="153"/>
      <c r="BU91" s="153"/>
      <c r="BV91" s="153"/>
      <c r="BW91" s="153"/>
      <c r="BX91" s="153"/>
      <c r="BY91" s="153"/>
      <c r="BZ91" s="153"/>
      <c r="CA91" s="153"/>
      <c r="CB91" s="153"/>
      <c r="CC91" s="153"/>
      <c r="CD91" s="153"/>
      <c r="CE91" s="153"/>
      <c r="CF91" s="153"/>
      <c r="CG91" s="153"/>
      <c r="CH91" s="153"/>
      <c r="CI91" s="153"/>
      <c r="CJ91" s="153"/>
      <c r="CK91" s="153"/>
      <c r="CL91" s="153"/>
      <c r="CM91" s="153"/>
      <c r="CN91" s="153"/>
      <c r="CO91" s="153"/>
      <c r="CP91" s="153"/>
      <c r="CQ91" s="153"/>
      <c r="CR91" s="153"/>
      <c r="CS91" s="153"/>
      <c r="CT91" s="153"/>
      <c r="CU91" s="153"/>
      <c r="CV91" s="153"/>
      <c r="CW91" s="153"/>
      <c r="CX91" s="153"/>
      <c r="CY91" s="153"/>
      <c r="CZ91" s="153"/>
      <c r="DA91" s="153"/>
      <c r="DB91" s="153"/>
      <c r="DC91" s="153"/>
      <c r="DD91" s="153"/>
      <c r="DE91" s="153"/>
      <c r="DF91" s="153"/>
      <c r="DG91" s="153"/>
      <c r="DH91" s="153"/>
      <c r="DI91" s="153"/>
      <c r="DJ91" s="153"/>
      <c r="DK91" s="153"/>
      <c r="DL91" s="153"/>
      <c r="DM91" s="153"/>
      <c r="DN91" s="153"/>
      <c r="DO91" s="153"/>
      <c r="DP91" s="153"/>
      <c r="DQ91" s="153"/>
      <c r="DR91" s="153"/>
      <c r="DS91" s="153"/>
      <c r="DT91" s="153"/>
      <c r="DU91" s="153"/>
      <c r="DV91" s="153"/>
      <c r="DW91" s="153"/>
      <c r="DX91" s="153"/>
      <c r="DY91" s="153"/>
      <c r="DZ91" s="153"/>
      <c r="EA91" s="153"/>
      <c r="EB91" s="153"/>
      <c r="EC91" s="153"/>
      <c r="ED91" s="153"/>
      <c r="EE91" s="153"/>
      <c r="EF91" s="153"/>
      <c r="EG91" s="153"/>
      <c r="EH91" s="153"/>
      <c r="EI91" s="153"/>
      <c r="EJ91" s="153"/>
      <c r="EK91" s="153"/>
      <c r="EL91" s="153"/>
      <c r="EM91" s="153"/>
    </row>
    <row r="92" spans="1:143" s="107" customFormat="1" ht="10.5" customHeight="1">
      <c r="A92" s="1140">
        <v>67</v>
      </c>
      <c r="B92" s="1560" t="str">
        <f t="shared" si="3"/>
        <v/>
      </c>
      <c r="C92" s="161" t="str">
        <f>GasTime(GasAnalyser,'Horiba Data'!F85,'Horiba Data'!G85,'Testo, JUM &amp; MRU Data'!A86,'Thermo Data'!B85,HourOffset)</f>
        <v/>
      </c>
      <c r="D92" s="981" t="str">
        <f>IF(D$17=FALSE,"",GasData(GasAnalyser,'Horiba Data'!S85,'Testo, JUM &amp; MRU Data'!D86,'Thermo Data'!E85,'Testo, JUM &amp; MRU Data'!U86,GDF))</f>
        <v/>
      </c>
      <c r="E92" s="981" t="str">
        <f>IF(D92="","",Conc2(D92,D$9,MolVol,D$21,D$20,E$21,E$20))</f>
        <v/>
      </c>
      <c r="F92" s="981" t="str">
        <f>IF(F$17=FALSE,"",GasData(GasAnalyser,'Horiba Data'!AQ85,'Testo, JUM &amp; MRU Data'!E86,'Thermo Data'!F85,'Testo, JUM &amp; MRU Data'!V86,GDF))</f>
        <v/>
      </c>
      <c r="G92" s="981" t="str">
        <f>IF(F92="","",Conc2(F92,F$9,MolVol,F$21,F$20,G$21,G$20))</f>
        <v/>
      </c>
      <c r="H92" s="981" t="str">
        <f>IF(D$17=FALSE,"",IF(F$17=FALSE,"",GasData(GasAnalyser,'Horiba Data'!W85,'Testo, JUM &amp; MRU Data'!F86,'Thermo Data'!G85,'Testo, JUM &amp; MRU Data'!Y86,GDF)))</f>
        <v/>
      </c>
      <c r="I92" s="981" t="str">
        <f>IF(H92="","",Conc2(H92,H$9,MolVol,H$21,H$20,I$21,I$20))</f>
        <v/>
      </c>
      <c r="J92" s="981" t="str">
        <f>IF(J$17=FALSE,"",GasData(GasAnalyser,'Horiba Data'!AM85,'Testo, JUM &amp; MRU Data'!G86,'Thermo Data'!H85,'Testo, JUM &amp; MRU Data'!W86,GDF))</f>
        <v/>
      </c>
      <c r="K92" s="981" t="str">
        <f>IF(J92="","",Conc2(J92,J$9,MolVol,J$21,J$20,K$21,K$20))</f>
        <v/>
      </c>
      <c r="L92" s="981" t="str">
        <f>IF(L$17=FALSE,"",GasData(GasAnalyser,'Horiba Data'!AA85,'Testo, JUM &amp; MRU Data'!H86,'Thermo Data'!I85,'Testo, JUM &amp; MRU Data'!T86,GDF))</f>
        <v/>
      </c>
      <c r="M92" s="981" t="str">
        <f>IF(L92="","",Conc2(L92,L$9,MolVol,L$21,L$20,M$21,M$20))</f>
        <v/>
      </c>
      <c r="N92" s="981" t="str">
        <f>IF(N$17=FALSE,"",GasData(GasAnalyser,'Horiba Data'!AE85,'Testo, JUM &amp; MRU Data'!I86,'Thermo Data'!J85,'Testo, JUM &amp; MRU Data'!S86,GDF))</f>
        <v/>
      </c>
      <c r="O92" s="981" t="str">
        <f>IF(N92="","",Conc2(N92,N$9,MolVol,N$21,N$20,O$21,O$20))</f>
        <v/>
      </c>
      <c r="P92" s="981" t="str">
        <f>IF(P$17=FALSE,"",GasData(GasAnalyser,'Horiba Data'!AI85,'Testo, JUM &amp; MRU Data'!J86,'Thermo Data'!K85,'Testo, JUM &amp; MRU Data'!R86,GDF))</f>
        <v/>
      </c>
      <c r="Q92" s="981" t="str">
        <f>IF(P92="","",Conc2(P92,P$9,MolVol,P$21,P$20,Q$21,Q$20))</f>
        <v/>
      </c>
      <c r="R92" s="981" t="str">
        <f>IF(R$17=FALSE,"",JUMData('Testo, JUM &amp; MRU Data'!M86,$R$7))</f>
        <v/>
      </c>
      <c r="S92" s="982" t="str">
        <f>IF(R92="","",Conc2(R92,R$9,MolVol,R$21,R$20,S$21,S$20)/(1-Bws))</f>
        <v/>
      </c>
      <c r="T92" s="740"/>
      <c r="AR92" s="334"/>
      <c r="AS92" s="334"/>
      <c r="AT92" s="48"/>
      <c r="AU92" s="48"/>
      <c r="AV92" s="153"/>
      <c r="AW92" s="153"/>
      <c r="AX92" s="153"/>
      <c r="AY92" s="153"/>
      <c r="AZ92" s="153"/>
      <c r="BA92" s="153"/>
      <c r="BB92" s="153"/>
      <c r="BC92" s="153"/>
      <c r="BD92" s="153"/>
      <c r="BE92" s="153"/>
      <c r="BF92" s="153"/>
      <c r="BG92" s="153"/>
      <c r="BH92" s="153"/>
      <c r="BI92" s="153"/>
      <c r="BJ92" s="153"/>
      <c r="BK92" s="153"/>
      <c r="BL92" s="153"/>
      <c r="BM92" s="153"/>
      <c r="BN92" s="153"/>
      <c r="BO92" s="153"/>
      <c r="BP92" s="153"/>
      <c r="BQ92" s="153"/>
      <c r="BR92" s="153"/>
      <c r="BS92" s="153"/>
      <c r="BT92" s="153"/>
      <c r="BU92" s="153"/>
      <c r="BV92" s="153"/>
      <c r="BW92" s="153"/>
      <c r="BX92" s="153"/>
      <c r="BY92" s="153"/>
      <c r="BZ92" s="153"/>
      <c r="CA92" s="153"/>
      <c r="CB92" s="153"/>
      <c r="CC92" s="153"/>
      <c r="CD92" s="153"/>
      <c r="CE92" s="153"/>
      <c r="CF92" s="153"/>
      <c r="CG92" s="153"/>
      <c r="CH92" s="153"/>
      <c r="CI92" s="153"/>
      <c r="CJ92" s="153"/>
      <c r="CK92" s="153"/>
      <c r="CL92" s="153"/>
      <c r="CM92" s="153"/>
      <c r="CN92" s="153"/>
      <c r="CO92" s="153"/>
      <c r="CP92" s="153"/>
      <c r="CQ92" s="153"/>
      <c r="CR92" s="153"/>
      <c r="CS92" s="153"/>
      <c r="CT92" s="153"/>
      <c r="CU92" s="153"/>
      <c r="CV92" s="153"/>
      <c r="CW92" s="153"/>
      <c r="CX92" s="153"/>
      <c r="CY92" s="153"/>
      <c r="CZ92" s="153"/>
      <c r="DA92" s="153"/>
      <c r="DB92" s="153"/>
      <c r="DC92" s="153"/>
      <c r="DD92" s="153"/>
      <c r="DE92" s="153"/>
      <c r="DF92" s="153"/>
      <c r="DG92" s="153"/>
      <c r="DH92" s="153"/>
      <c r="DI92" s="153"/>
      <c r="DJ92" s="153"/>
      <c r="DK92" s="153"/>
      <c r="DL92" s="153"/>
      <c r="DM92" s="153"/>
      <c r="DN92" s="153"/>
      <c r="DO92" s="153"/>
      <c r="DP92" s="153"/>
      <c r="DQ92" s="153"/>
      <c r="DR92" s="153"/>
      <c r="DS92" s="153"/>
      <c r="DT92" s="153"/>
      <c r="DU92" s="153"/>
      <c r="DV92" s="153"/>
      <c r="DW92" s="153"/>
      <c r="DX92" s="153"/>
      <c r="DY92" s="153"/>
      <c r="DZ92" s="153"/>
      <c r="EA92" s="153"/>
      <c r="EB92" s="153"/>
      <c r="EC92" s="153"/>
      <c r="ED92" s="153"/>
      <c r="EE92" s="153"/>
      <c r="EF92" s="153"/>
      <c r="EG92" s="153"/>
      <c r="EH92" s="153"/>
      <c r="EI92" s="153"/>
      <c r="EJ92" s="153"/>
      <c r="EK92" s="153"/>
      <c r="EL92" s="153"/>
      <c r="EM92" s="153"/>
    </row>
    <row r="93" spans="1:143" s="107" customFormat="1" ht="10.5" customHeight="1">
      <c r="A93" s="1140">
        <v>68</v>
      </c>
      <c r="B93" s="1560" t="str">
        <f t="shared" si="3"/>
        <v/>
      </c>
      <c r="C93" s="161" t="str">
        <f>GasTime(GasAnalyser,'Horiba Data'!F86,'Horiba Data'!G86,'Testo, JUM &amp; MRU Data'!A87,'Thermo Data'!B86,HourOffset)</f>
        <v/>
      </c>
      <c r="D93" s="981" t="str">
        <f>IF(D$17=FALSE,"",GasData(GasAnalyser,'Horiba Data'!S86,'Testo, JUM &amp; MRU Data'!D87,'Thermo Data'!E86,'Testo, JUM &amp; MRU Data'!U87,GDF))</f>
        <v/>
      </c>
      <c r="E93" s="981" t="str">
        <f>IF(D93="","",Conc2(D93,D$9,MolVol,D$21,D$20,E$21,E$20))</f>
        <v/>
      </c>
      <c r="F93" s="981" t="str">
        <f>IF(F$17=FALSE,"",GasData(GasAnalyser,'Horiba Data'!AQ86,'Testo, JUM &amp; MRU Data'!E87,'Thermo Data'!F86,'Testo, JUM &amp; MRU Data'!V87,GDF))</f>
        <v/>
      </c>
      <c r="G93" s="981" t="str">
        <f>IF(F93="","",Conc2(F93,F$9,MolVol,F$21,F$20,G$21,G$20))</f>
        <v/>
      </c>
      <c r="H93" s="981" t="str">
        <f>IF(D$17=FALSE,"",IF(F$17=FALSE,"",GasData(GasAnalyser,'Horiba Data'!W86,'Testo, JUM &amp; MRU Data'!F87,'Thermo Data'!G86,'Testo, JUM &amp; MRU Data'!Y87,GDF)))</f>
        <v/>
      </c>
      <c r="I93" s="981" t="str">
        <f>IF(H93="","",Conc2(H93,H$9,MolVol,H$21,H$20,I$21,I$20))</f>
        <v/>
      </c>
      <c r="J93" s="981" t="str">
        <f>IF(J$17=FALSE,"",GasData(GasAnalyser,'Horiba Data'!AM86,'Testo, JUM &amp; MRU Data'!G87,'Thermo Data'!H86,'Testo, JUM &amp; MRU Data'!W87,GDF))</f>
        <v/>
      </c>
      <c r="K93" s="981" t="str">
        <f>IF(J93="","",Conc2(J93,J$9,MolVol,J$21,J$20,K$21,K$20))</f>
        <v/>
      </c>
      <c r="L93" s="981" t="str">
        <f>IF(L$17=FALSE,"",GasData(GasAnalyser,'Horiba Data'!AA86,'Testo, JUM &amp; MRU Data'!H87,'Thermo Data'!I86,'Testo, JUM &amp; MRU Data'!T87,GDF))</f>
        <v/>
      </c>
      <c r="M93" s="981" t="str">
        <f>IF(L93="","",Conc2(L93,L$9,MolVol,L$21,L$20,M$21,M$20))</f>
        <v/>
      </c>
      <c r="N93" s="981" t="str">
        <f>IF(N$17=FALSE,"",GasData(GasAnalyser,'Horiba Data'!AE86,'Testo, JUM &amp; MRU Data'!I87,'Thermo Data'!J86,'Testo, JUM &amp; MRU Data'!S87,GDF))</f>
        <v/>
      </c>
      <c r="O93" s="981" t="str">
        <f>IF(N93="","",Conc2(N93,N$9,MolVol,N$21,N$20,O$21,O$20))</f>
        <v/>
      </c>
      <c r="P93" s="981" t="str">
        <f>IF(P$17=FALSE,"",GasData(GasAnalyser,'Horiba Data'!AI86,'Testo, JUM &amp; MRU Data'!J87,'Thermo Data'!K86,'Testo, JUM &amp; MRU Data'!R87,GDF))</f>
        <v/>
      </c>
      <c r="Q93" s="981" t="str">
        <f>IF(P93="","",Conc2(P93,P$9,MolVol,P$21,P$20,Q$21,Q$20))</f>
        <v/>
      </c>
      <c r="R93" s="981" t="str">
        <f>IF(R$17=FALSE,"",JUMData('Testo, JUM &amp; MRU Data'!M87,$R$7))</f>
        <v/>
      </c>
      <c r="S93" s="982" t="str">
        <f>IF(R93="","",Conc2(R93,R$9,MolVol,R$21,R$20,S$21,S$20)/(1-Bws))</f>
        <v/>
      </c>
      <c r="T93" s="740"/>
      <c r="AR93" s="334"/>
      <c r="AS93" s="334"/>
      <c r="AT93" s="48"/>
      <c r="AU93" s="48"/>
      <c r="AV93" s="153"/>
      <c r="AW93" s="153"/>
      <c r="AX93" s="153"/>
      <c r="AY93" s="153"/>
      <c r="AZ93" s="153"/>
      <c r="BA93" s="153"/>
      <c r="BB93" s="153"/>
      <c r="BC93" s="153"/>
      <c r="BD93" s="153"/>
      <c r="BE93" s="153"/>
      <c r="BF93" s="153"/>
      <c r="BG93" s="153"/>
      <c r="BH93" s="153"/>
      <c r="BI93" s="153"/>
      <c r="BJ93" s="153"/>
      <c r="BK93" s="153"/>
      <c r="BL93" s="153"/>
      <c r="BM93" s="153"/>
      <c r="BN93" s="153"/>
      <c r="BO93" s="153"/>
      <c r="BP93" s="153"/>
      <c r="BQ93" s="153"/>
      <c r="BR93" s="153"/>
      <c r="BS93" s="153"/>
      <c r="BT93" s="153"/>
      <c r="BU93" s="153"/>
      <c r="BV93" s="153"/>
      <c r="BW93" s="153"/>
      <c r="BX93" s="153"/>
      <c r="BY93" s="153"/>
      <c r="BZ93" s="153"/>
      <c r="CA93" s="153"/>
      <c r="CB93" s="153"/>
      <c r="CC93" s="153"/>
      <c r="CD93" s="153"/>
      <c r="CE93" s="153"/>
      <c r="CF93" s="153"/>
      <c r="CG93" s="153"/>
      <c r="CH93" s="153"/>
      <c r="CI93" s="153"/>
      <c r="CJ93" s="153"/>
      <c r="CK93" s="153"/>
      <c r="CL93" s="153"/>
      <c r="CM93" s="153"/>
      <c r="CN93" s="153"/>
      <c r="CO93" s="153"/>
      <c r="CP93" s="153"/>
      <c r="CQ93" s="153"/>
      <c r="CR93" s="153"/>
      <c r="CS93" s="153"/>
      <c r="CT93" s="153"/>
      <c r="CU93" s="153"/>
      <c r="CV93" s="153"/>
      <c r="CW93" s="153"/>
      <c r="CX93" s="153"/>
      <c r="CY93" s="153"/>
      <c r="CZ93" s="153"/>
      <c r="DA93" s="153"/>
      <c r="DB93" s="153"/>
      <c r="DC93" s="153"/>
      <c r="DD93" s="153"/>
      <c r="DE93" s="153"/>
      <c r="DF93" s="153"/>
      <c r="DG93" s="153"/>
      <c r="DH93" s="153"/>
      <c r="DI93" s="153"/>
      <c r="DJ93" s="153"/>
      <c r="DK93" s="153"/>
      <c r="DL93" s="153"/>
      <c r="DM93" s="153"/>
      <c r="DN93" s="153"/>
      <c r="DO93" s="153"/>
      <c r="DP93" s="153"/>
      <c r="DQ93" s="153"/>
      <c r="DR93" s="153"/>
      <c r="DS93" s="153"/>
      <c r="DT93" s="153"/>
      <c r="DU93" s="153"/>
      <c r="DV93" s="153"/>
      <c r="DW93" s="153"/>
      <c r="DX93" s="153"/>
      <c r="DY93" s="153"/>
      <c r="DZ93" s="153"/>
      <c r="EA93" s="153"/>
      <c r="EB93" s="153"/>
      <c r="EC93" s="153"/>
      <c r="ED93" s="153"/>
      <c r="EE93" s="153"/>
      <c r="EF93" s="153"/>
      <c r="EG93" s="153"/>
      <c r="EH93" s="153"/>
      <c r="EI93" s="153"/>
      <c r="EJ93" s="153"/>
      <c r="EK93" s="153"/>
      <c r="EL93" s="153"/>
      <c r="EM93" s="153"/>
    </row>
    <row r="94" spans="1:143" s="107" customFormat="1" ht="10.5" customHeight="1">
      <c r="A94" s="1140">
        <v>69</v>
      </c>
      <c r="B94" s="1560" t="str">
        <f t="shared" si="3"/>
        <v/>
      </c>
      <c r="C94" s="161" t="str">
        <f>GasTime(GasAnalyser,'Horiba Data'!F87,'Horiba Data'!G87,'Testo, JUM &amp; MRU Data'!A88,'Thermo Data'!B87,HourOffset)</f>
        <v/>
      </c>
      <c r="D94" s="981" t="str">
        <f>IF(D$17=FALSE,"",GasData(GasAnalyser,'Horiba Data'!S87,'Testo, JUM &amp; MRU Data'!D88,'Thermo Data'!E87,'Testo, JUM &amp; MRU Data'!U88,GDF))</f>
        <v/>
      </c>
      <c r="E94" s="981" t="str">
        <f>IF(D94="","",Conc2(D94,D$9,MolVol,D$21,D$20,E$21,E$20))</f>
        <v/>
      </c>
      <c r="F94" s="981" t="str">
        <f>IF(F$17=FALSE,"",GasData(GasAnalyser,'Horiba Data'!AQ87,'Testo, JUM &amp; MRU Data'!E88,'Thermo Data'!F87,'Testo, JUM &amp; MRU Data'!V88,GDF))</f>
        <v/>
      </c>
      <c r="G94" s="981" t="str">
        <f>IF(F94="","",Conc2(F94,F$9,MolVol,F$21,F$20,G$21,G$20))</f>
        <v/>
      </c>
      <c r="H94" s="981" t="str">
        <f>IF(D$17=FALSE,"",IF(F$17=FALSE,"",GasData(GasAnalyser,'Horiba Data'!W87,'Testo, JUM &amp; MRU Data'!F88,'Thermo Data'!G87,'Testo, JUM &amp; MRU Data'!Y88,GDF)))</f>
        <v/>
      </c>
      <c r="I94" s="981" t="str">
        <f>IF(H94="","",Conc2(H94,H$9,MolVol,H$21,H$20,I$21,I$20))</f>
        <v/>
      </c>
      <c r="J94" s="981" t="str">
        <f>IF(J$17=FALSE,"",GasData(GasAnalyser,'Horiba Data'!AM87,'Testo, JUM &amp; MRU Data'!G88,'Thermo Data'!H87,'Testo, JUM &amp; MRU Data'!W88,GDF))</f>
        <v/>
      </c>
      <c r="K94" s="981" t="str">
        <f>IF(J94="","",Conc2(J94,J$9,MolVol,J$21,J$20,K$21,K$20))</f>
        <v/>
      </c>
      <c r="L94" s="981" t="str">
        <f>IF(L$17=FALSE,"",GasData(GasAnalyser,'Horiba Data'!AA87,'Testo, JUM &amp; MRU Data'!H88,'Thermo Data'!I87,'Testo, JUM &amp; MRU Data'!T88,GDF))</f>
        <v/>
      </c>
      <c r="M94" s="981" t="str">
        <f>IF(L94="","",Conc2(L94,L$9,MolVol,L$21,L$20,M$21,M$20))</f>
        <v/>
      </c>
      <c r="N94" s="981" t="str">
        <f>IF(N$17=FALSE,"",GasData(GasAnalyser,'Horiba Data'!AE87,'Testo, JUM &amp; MRU Data'!I88,'Thermo Data'!J87,'Testo, JUM &amp; MRU Data'!S88,GDF))</f>
        <v/>
      </c>
      <c r="O94" s="981" t="str">
        <f>IF(N94="","",Conc2(N94,N$9,MolVol,N$21,N$20,O$21,O$20))</f>
        <v/>
      </c>
      <c r="P94" s="981" t="str">
        <f>IF(P$17=FALSE,"",GasData(GasAnalyser,'Horiba Data'!AI87,'Testo, JUM &amp; MRU Data'!J88,'Thermo Data'!K87,'Testo, JUM &amp; MRU Data'!R88,GDF))</f>
        <v/>
      </c>
      <c r="Q94" s="981" t="str">
        <f>IF(P94="","",Conc2(P94,P$9,MolVol,P$21,P$20,Q$21,Q$20))</f>
        <v/>
      </c>
      <c r="R94" s="981" t="str">
        <f>IF(R$17=FALSE,"",JUMData('Testo, JUM &amp; MRU Data'!M88,$R$7))</f>
        <v/>
      </c>
      <c r="S94" s="982" t="str">
        <f>IF(R94="","",Conc2(R94,R$9,MolVol,R$21,R$20,S$21,S$20)/(1-Bws))</f>
        <v/>
      </c>
      <c r="T94" s="740"/>
      <c r="AR94" s="334"/>
      <c r="AS94" s="334"/>
      <c r="AT94" s="48"/>
      <c r="AU94" s="48"/>
      <c r="AV94" s="153"/>
      <c r="AW94" s="153"/>
      <c r="AX94" s="153"/>
      <c r="AY94" s="153"/>
      <c r="AZ94" s="153"/>
      <c r="BA94" s="153"/>
      <c r="BB94" s="153"/>
      <c r="BC94" s="153"/>
      <c r="BD94" s="153"/>
      <c r="BE94" s="153"/>
      <c r="BF94" s="153"/>
      <c r="BG94" s="153"/>
      <c r="BH94" s="153"/>
      <c r="BI94" s="153"/>
      <c r="BJ94" s="153"/>
      <c r="BK94" s="153"/>
      <c r="BL94" s="153"/>
      <c r="BM94" s="153"/>
      <c r="BN94" s="153"/>
      <c r="BO94" s="153"/>
      <c r="BP94" s="153"/>
      <c r="BQ94" s="153"/>
      <c r="BR94" s="153"/>
      <c r="BS94" s="153"/>
      <c r="BT94" s="153"/>
      <c r="BU94" s="153"/>
      <c r="BV94" s="153"/>
      <c r="BW94" s="153"/>
      <c r="BX94" s="153"/>
      <c r="BY94" s="153"/>
      <c r="BZ94" s="153"/>
      <c r="CA94" s="153"/>
      <c r="CB94" s="153"/>
      <c r="CC94" s="153"/>
      <c r="CD94" s="153"/>
      <c r="CE94" s="153"/>
      <c r="CF94" s="153"/>
      <c r="CG94" s="153"/>
      <c r="CH94" s="153"/>
      <c r="CI94" s="153"/>
      <c r="CJ94" s="153"/>
      <c r="CK94" s="153"/>
      <c r="CL94" s="153"/>
      <c r="CM94" s="153"/>
      <c r="CN94" s="153"/>
      <c r="CO94" s="153"/>
      <c r="CP94" s="153"/>
      <c r="CQ94" s="153"/>
      <c r="CR94" s="153"/>
      <c r="CS94" s="153"/>
      <c r="CT94" s="153"/>
      <c r="CU94" s="153"/>
      <c r="CV94" s="153"/>
      <c r="CW94" s="153"/>
      <c r="CX94" s="153"/>
      <c r="CY94" s="153"/>
      <c r="CZ94" s="153"/>
      <c r="DA94" s="153"/>
      <c r="DB94" s="153"/>
      <c r="DC94" s="153"/>
      <c r="DD94" s="153"/>
      <c r="DE94" s="153"/>
      <c r="DF94" s="153"/>
      <c r="DG94" s="153"/>
      <c r="DH94" s="153"/>
      <c r="DI94" s="153"/>
      <c r="DJ94" s="153"/>
      <c r="DK94" s="153"/>
      <c r="DL94" s="153"/>
      <c r="DM94" s="153"/>
      <c r="DN94" s="153"/>
      <c r="DO94" s="153"/>
      <c r="DP94" s="153"/>
      <c r="DQ94" s="153"/>
      <c r="DR94" s="153"/>
      <c r="DS94" s="153"/>
      <c r="DT94" s="153"/>
      <c r="DU94" s="153"/>
      <c r="DV94" s="153"/>
      <c r="DW94" s="153"/>
      <c r="DX94" s="153"/>
      <c r="DY94" s="153"/>
      <c r="DZ94" s="153"/>
      <c r="EA94" s="153"/>
      <c r="EB94" s="153"/>
      <c r="EC94" s="153"/>
      <c r="ED94" s="153"/>
      <c r="EE94" s="153"/>
      <c r="EF94" s="153"/>
      <c r="EG94" s="153"/>
      <c r="EH94" s="153"/>
      <c r="EI94" s="153"/>
      <c r="EJ94" s="153"/>
      <c r="EK94" s="153"/>
      <c r="EL94" s="153"/>
      <c r="EM94" s="153"/>
    </row>
    <row r="95" spans="1:143" s="107" customFormat="1" ht="10.5" customHeight="1">
      <c r="A95" s="1140">
        <v>70</v>
      </c>
      <c r="B95" s="1560" t="str">
        <f t="shared" si="3"/>
        <v/>
      </c>
      <c r="C95" s="161" t="str">
        <f>GasTime(GasAnalyser,'Horiba Data'!F88,'Horiba Data'!G88,'Testo, JUM &amp; MRU Data'!A89,'Thermo Data'!B88,HourOffset)</f>
        <v/>
      </c>
      <c r="D95" s="981" t="str">
        <f>IF(D$17=FALSE,"",GasData(GasAnalyser,'Horiba Data'!S88,'Testo, JUM &amp; MRU Data'!D89,'Thermo Data'!E88,'Testo, JUM &amp; MRU Data'!U89,GDF))</f>
        <v/>
      </c>
      <c r="E95" s="981" t="str">
        <f>IF(D95="","",Conc2(D95,D$9,MolVol,D$21,D$20,E$21,E$20))</f>
        <v/>
      </c>
      <c r="F95" s="981" t="str">
        <f>IF(F$17=FALSE,"",GasData(GasAnalyser,'Horiba Data'!AQ88,'Testo, JUM &amp; MRU Data'!E89,'Thermo Data'!F88,'Testo, JUM &amp; MRU Data'!V89,GDF))</f>
        <v/>
      </c>
      <c r="G95" s="981" t="str">
        <f>IF(F95="","",Conc2(F95,F$9,MolVol,F$21,F$20,G$21,G$20))</f>
        <v/>
      </c>
      <c r="H95" s="981" t="str">
        <f>IF(D$17=FALSE,"",IF(F$17=FALSE,"",GasData(GasAnalyser,'Horiba Data'!W88,'Testo, JUM &amp; MRU Data'!F89,'Thermo Data'!G88,'Testo, JUM &amp; MRU Data'!Y89,GDF)))</f>
        <v/>
      </c>
      <c r="I95" s="981" t="str">
        <f>IF(H95="","",Conc2(H95,H$9,MolVol,H$21,H$20,I$21,I$20))</f>
        <v/>
      </c>
      <c r="J95" s="981" t="str">
        <f>IF(J$17=FALSE,"",GasData(GasAnalyser,'Horiba Data'!AM88,'Testo, JUM &amp; MRU Data'!G89,'Thermo Data'!H88,'Testo, JUM &amp; MRU Data'!W89,GDF))</f>
        <v/>
      </c>
      <c r="K95" s="981" t="str">
        <f>IF(J95="","",Conc2(J95,J$9,MolVol,J$21,J$20,K$21,K$20))</f>
        <v/>
      </c>
      <c r="L95" s="981" t="str">
        <f>IF(L$17=FALSE,"",GasData(GasAnalyser,'Horiba Data'!AA88,'Testo, JUM &amp; MRU Data'!H89,'Thermo Data'!I88,'Testo, JUM &amp; MRU Data'!T89,GDF))</f>
        <v/>
      </c>
      <c r="M95" s="981" t="str">
        <f>IF(L95="","",Conc2(L95,L$9,MolVol,L$21,L$20,M$21,M$20))</f>
        <v/>
      </c>
      <c r="N95" s="981" t="str">
        <f>IF(N$17=FALSE,"",GasData(GasAnalyser,'Horiba Data'!AE88,'Testo, JUM &amp; MRU Data'!I89,'Thermo Data'!J88,'Testo, JUM &amp; MRU Data'!S89,GDF))</f>
        <v/>
      </c>
      <c r="O95" s="981" t="str">
        <f>IF(N95="","",Conc2(N95,N$9,MolVol,N$21,N$20,O$21,O$20))</f>
        <v/>
      </c>
      <c r="P95" s="981" t="str">
        <f>IF(P$17=FALSE,"",GasData(GasAnalyser,'Horiba Data'!AI88,'Testo, JUM &amp; MRU Data'!J89,'Thermo Data'!K88,'Testo, JUM &amp; MRU Data'!R89,GDF))</f>
        <v/>
      </c>
      <c r="Q95" s="981" t="str">
        <f>IF(P95="","",Conc2(P95,P$9,MolVol,P$21,P$20,Q$21,Q$20))</f>
        <v/>
      </c>
      <c r="R95" s="981" t="str">
        <f>IF(R$17=FALSE,"",JUMData('Testo, JUM &amp; MRU Data'!M89,$R$7))</f>
        <v/>
      </c>
      <c r="S95" s="982" t="str">
        <f>IF(R95="","",Conc2(R95,R$9,MolVol,R$21,R$20,S$21,S$20)/(1-Bws))</f>
        <v/>
      </c>
      <c r="T95" s="740"/>
      <c r="AR95" s="334"/>
      <c r="AS95" s="334"/>
      <c r="AT95" s="48"/>
      <c r="AU95" s="48"/>
      <c r="AV95" s="153"/>
      <c r="AW95" s="153"/>
      <c r="AX95" s="153"/>
      <c r="AY95" s="153"/>
      <c r="AZ95" s="153"/>
      <c r="BA95" s="153"/>
      <c r="BB95" s="153"/>
      <c r="BC95" s="153"/>
      <c r="BD95" s="153"/>
      <c r="BE95" s="153"/>
      <c r="BF95" s="153"/>
      <c r="BG95" s="153"/>
      <c r="BH95" s="153"/>
      <c r="BI95" s="153"/>
      <c r="BJ95" s="153"/>
      <c r="BK95" s="153"/>
      <c r="BL95" s="153"/>
      <c r="BM95" s="153"/>
      <c r="BN95" s="153"/>
      <c r="BO95" s="153"/>
      <c r="BP95" s="153"/>
      <c r="BQ95" s="153"/>
      <c r="BR95" s="153"/>
      <c r="BS95" s="153"/>
      <c r="BT95" s="153"/>
      <c r="BU95" s="153"/>
      <c r="BV95" s="153"/>
      <c r="BW95" s="153"/>
      <c r="BX95" s="153"/>
      <c r="BY95" s="153"/>
      <c r="BZ95" s="153"/>
      <c r="CA95" s="153"/>
      <c r="CB95" s="153"/>
      <c r="CC95" s="153"/>
      <c r="CD95" s="153"/>
      <c r="CE95" s="153"/>
      <c r="CF95" s="153"/>
      <c r="CG95" s="153"/>
      <c r="CH95" s="153"/>
      <c r="CI95" s="153"/>
      <c r="CJ95" s="153"/>
      <c r="CK95" s="153"/>
      <c r="CL95" s="153"/>
      <c r="CM95" s="153"/>
      <c r="CN95" s="153"/>
      <c r="CO95" s="153"/>
      <c r="CP95" s="153"/>
      <c r="CQ95" s="153"/>
      <c r="CR95" s="153"/>
      <c r="CS95" s="153"/>
      <c r="CT95" s="153"/>
      <c r="CU95" s="153"/>
      <c r="CV95" s="153"/>
      <c r="CW95" s="153"/>
      <c r="CX95" s="153"/>
      <c r="CY95" s="153"/>
      <c r="CZ95" s="153"/>
      <c r="DA95" s="153"/>
      <c r="DB95" s="153"/>
      <c r="DC95" s="153"/>
      <c r="DD95" s="153"/>
      <c r="DE95" s="153"/>
      <c r="DF95" s="153"/>
      <c r="DG95" s="153"/>
      <c r="DH95" s="153"/>
      <c r="DI95" s="153"/>
      <c r="DJ95" s="153"/>
      <c r="DK95" s="153"/>
      <c r="DL95" s="153"/>
      <c r="DM95" s="153"/>
      <c r="DN95" s="153"/>
      <c r="DO95" s="153"/>
      <c r="DP95" s="153"/>
      <c r="DQ95" s="153"/>
      <c r="DR95" s="153"/>
      <c r="DS95" s="153"/>
      <c r="DT95" s="153"/>
      <c r="DU95" s="153"/>
      <c r="DV95" s="153"/>
      <c r="DW95" s="153"/>
      <c r="DX95" s="153"/>
      <c r="DY95" s="153"/>
      <c r="DZ95" s="153"/>
      <c r="EA95" s="153"/>
      <c r="EB95" s="153"/>
      <c r="EC95" s="153"/>
      <c r="ED95" s="153"/>
      <c r="EE95" s="153"/>
      <c r="EF95" s="153"/>
      <c r="EG95" s="153"/>
      <c r="EH95" s="153"/>
      <c r="EI95" s="153"/>
      <c r="EJ95" s="153"/>
      <c r="EK95" s="153"/>
      <c r="EL95" s="153"/>
      <c r="EM95" s="153"/>
    </row>
    <row r="96" spans="1:143" s="107" customFormat="1" ht="10.5" customHeight="1">
      <c r="A96" s="1140">
        <v>71</v>
      </c>
      <c r="B96" s="1560" t="str">
        <f t="shared" si="3"/>
        <v/>
      </c>
      <c r="C96" s="161" t="str">
        <f>GasTime(GasAnalyser,'Horiba Data'!F89,'Horiba Data'!G89,'Testo, JUM &amp; MRU Data'!A90,'Thermo Data'!B89,HourOffset)</f>
        <v/>
      </c>
      <c r="D96" s="981" t="str">
        <f>IF(D$17=FALSE,"",GasData(GasAnalyser,'Horiba Data'!S89,'Testo, JUM &amp; MRU Data'!D90,'Thermo Data'!E89,'Testo, JUM &amp; MRU Data'!U90,GDF))</f>
        <v/>
      </c>
      <c r="E96" s="981" t="str">
        <f>IF(D96="","",Conc2(D96,D$9,MolVol,D$21,D$20,E$21,E$20))</f>
        <v/>
      </c>
      <c r="F96" s="981" t="str">
        <f>IF(F$17=FALSE,"",GasData(GasAnalyser,'Horiba Data'!AQ89,'Testo, JUM &amp; MRU Data'!E90,'Thermo Data'!F89,'Testo, JUM &amp; MRU Data'!V90,GDF))</f>
        <v/>
      </c>
      <c r="G96" s="981" t="str">
        <f>IF(F96="","",Conc2(F96,F$9,MolVol,F$21,F$20,G$21,G$20))</f>
        <v/>
      </c>
      <c r="H96" s="981" t="str">
        <f>IF(D$17=FALSE,"",IF(F$17=FALSE,"",GasData(GasAnalyser,'Horiba Data'!W89,'Testo, JUM &amp; MRU Data'!F90,'Thermo Data'!G89,'Testo, JUM &amp; MRU Data'!Y90,GDF)))</f>
        <v/>
      </c>
      <c r="I96" s="981" t="str">
        <f>IF(H96="","",Conc2(H96,H$9,MolVol,H$21,H$20,I$21,I$20))</f>
        <v/>
      </c>
      <c r="J96" s="981" t="str">
        <f>IF(J$17=FALSE,"",GasData(GasAnalyser,'Horiba Data'!AM89,'Testo, JUM &amp; MRU Data'!G90,'Thermo Data'!H89,'Testo, JUM &amp; MRU Data'!W90,GDF))</f>
        <v/>
      </c>
      <c r="K96" s="981" t="str">
        <f>IF(J96="","",Conc2(J96,J$9,MolVol,J$21,J$20,K$21,K$20))</f>
        <v/>
      </c>
      <c r="L96" s="981" t="str">
        <f>IF(L$17=FALSE,"",GasData(GasAnalyser,'Horiba Data'!AA89,'Testo, JUM &amp; MRU Data'!H90,'Thermo Data'!I89,'Testo, JUM &amp; MRU Data'!T90,GDF))</f>
        <v/>
      </c>
      <c r="M96" s="981" t="str">
        <f>IF(L96="","",Conc2(L96,L$9,MolVol,L$21,L$20,M$21,M$20))</f>
        <v/>
      </c>
      <c r="N96" s="981" t="str">
        <f>IF(N$17=FALSE,"",GasData(GasAnalyser,'Horiba Data'!AE89,'Testo, JUM &amp; MRU Data'!I90,'Thermo Data'!J89,'Testo, JUM &amp; MRU Data'!S90,GDF))</f>
        <v/>
      </c>
      <c r="O96" s="981" t="str">
        <f>IF(N96="","",Conc2(N96,N$9,MolVol,N$21,N$20,O$21,O$20))</f>
        <v/>
      </c>
      <c r="P96" s="981" t="str">
        <f>IF(P$17=FALSE,"",GasData(GasAnalyser,'Horiba Data'!AI89,'Testo, JUM &amp; MRU Data'!J90,'Thermo Data'!K89,'Testo, JUM &amp; MRU Data'!R90,GDF))</f>
        <v/>
      </c>
      <c r="Q96" s="981" t="str">
        <f>IF(P96="","",Conc2(P96,P$9,MolVol,P$21,P$20,Q$21,Q$20))</f>
        <v/>
      </c>
      <c r="R96" s="981" t="str">
        <f>IF(R$17=FALSE,"",JUMData('Testo, JUM &amp; MRU Data'!M90,$R$7))</f>
        <v/>
      </c>
      <c r="S96" s="982" t="str">
        <f>IF(R96="","",Conc2(R96,R$9,MolVol,R$21,R$20,S$21,S$20)/(1-Bws))</f>
        <v/>
      </c>
      <c r="T96" s="740"/>
      <c r="AR96" s="334"/>
      <c r="AS96" s="334"/>
      <c r="AT96" s="48"/>
      <c r="AU96" s="48"/>
      <c r="AV96" s="153"/>
      <c r="AW96" s="153"/>
      <c r="AX96" s="153"/>
      <c r="AY96" s="153"/>
      <c r="AZ96" s="153"/>
      <c r="BA96" s="153"/>
      <c r="BB96" s="153"/>
      <c r="BC96" s="153"/>
      <c r="BD96" s="153"/>
      <c r="BE96" s="153"/>
      <c r="BF96" s="153"/>
      <c r="BG96" s="153"/>
      <c r="BH96" s="153"/>
      <c r="BI96" s="153"/>
      <c r="BJ96" s="153"/>
      <c r="BK96" s="153"/>
      <c r="BL96" s="153"/>
      <c r="BM96" s="153"/>
      <c r="BN96" s="153"/>
      <c r="BO96" s="153"/>
      <c r="BP96" s="153"/>
      <c r="BQ96" s="153"/>
      <c r="BR96" s="153"/>
      <c r="BS96" s="153"/>
      <c r="BT96" s="153"/>
      <c r="BU96" s="153"/>
      <c r="BV96" s="153"/>
      <c r="BW96" s="153"/>
      <c r="BX96" s="153"/>
      <c r="BY96" s="153"/>
      <c r="BZ96" s="153"/>
      <c r="CA96" s="153"/>
      <c r="CB96" s="153"/>
      <c r="CC96" s="153"/>
      <c r="CD96" s="153"/>
      <c r="CE96" s="153"/>
      <c r="CF96" s="153"/>
      <c r="CG96" s="153"/>
      <c r="CH96" s="153"/>
      <c r="CI96" s="153"/>
      <c r="CJ96" s="153"/>
      <c r="CK96" s="153"/>
      <c r="CL96" s="153"/>
      <c r="CM96" s="153"/>
      <c r="CN96" s="153"/>
      <c r="CO96" s="153"/>
      <c r="CP96" s="153"/>
      <c r="CQ96" s="153"/>
      <c r="CR96" s="153"/>
      <c r="CS96" s="153"/>
      <c r="CT96" s="153"/>
      <c r="CU96" s="153"/>
      <c r="CV96" s="153"/>
      <c r="CW96" s="153"/>
      <c r="CX96" s="153"/>
      <c r="CY96" s="153"/>
      <c r="CZ96" s="153"/>
      <c r="DA96" s="153"/>
      <c r="DB96" s="153"/>
      <c r="DC96" s="153"/>
      <c r="DD96" s="153"/>
      <c r="DE96" s="153"/>
      <c r="DF96" s="153"/>
      <c r="DG96" s="153"/>
      <c r="DH96" s="153"/>
      <c r="DI96" s="153"/>
      <c r="DJ96" s="153"/>
      <c r="DK96" s="153"/>
      <c r="DL96" s="153"/>
      <c r="DM96" s="153"/>
      <c r="DN96" s="153"/>
      <c r="DO96" s="153"/>
      <c r="DP96" s="153"/>
      <c r="DQ96" s="153"/>
      <c r="DR96" s="153"/>
      <c r="DS96" s="153"/>
      <c r="DT96" s="153"/>
      <c r="DU96" s="153"/>
      <c r="DV96" s="153"/>
      <c r="DW96" s="153"/>
      <c r="DX96" s="153"/>
      <c r="DY96" s="153"/>
      <c r="DZ96" s="153"/>
      <c r="EA96" s="153"/>
      <c r="EB96" s="153"/>
      <c r="EC96" s="153"/>
      <c r="ED96" s="153"/>
      <c r="EE96" s="153"/>
      <c r="EF96" s="153"/>
      <c r="EG96" s="153"/>
      <c r="EH96" s="153"/>
      <c r="EI96" s="153"/>
      <c r="EJ96" s="153"/>
      <c r="EK96" s="153"/>
      <c r="EL96" s="153"/>
      <c r="EM96" s="153"/>
    </row>
    <row r="97" spans="1:143" s="107" customFormat="1" ht="10.5" customHeight="1">
      <c r="A97" s="1140">
        <v>72</v>
      </c>
      <c r="B97" s="1560" t="str">
        <f t="shared" si="3"/>
        <v/>
      </c>
      <c r="C97" s="161" t="str">
        <f>GasTime(GasAnalyser,'Horiba Data'!F90,'Horiba Data'!G90,'Testo, JUM &amp; MRU Data'!A91,'Thermo Data'!B90,HourOffset)</f>
        <v/>
      </c>
      <c r="D97" s="981" t="str">
        <f>IF(D$17=FALSE,"",GasData(GasAnalyser,'Horiba Data'!S90,'Testo, JUM &amp; MRU Data'!D91,'Thermo Data'!E90,'Testo, JUM &amp; MRU Data'!U91,GDF))</f>
        <v/>
      </c>
      <c r="E97" s="981" t="str">
        <f>IF(D97="","",Conc2(D97,D$9,MolVol,D$21,D$20,E$21,E$20))</f>
        <v/>
      </c>
      <c r="F97" s="981" t="str">
        <f>IF(F$17=FALSE,"",GasData(GasAnalyser,'Horiba Data'!AQ90,'Testo, JUM &amp; MRU Data'!E91,'Thermo Data'!F90,'Testo, JUM &amp; MRU Data'!V91,GDF))</f>
        <v/>
      </c>
      <c r="G97" s="981" t="str">
        <f>IF(F97="","",Conc2(F97,F$9,MolVol,F$21,F$20,G$21,G$20))</f>
        <v/>
      </c>
      <c r="H97" s="981" t="str">
        <f>IF(D$17=FALSE,"",IF(F$17=FALSE,"",GasData(GasAnalyser,'Horiba Data'!W90,'Testo, JUM &amp; MRU Data'!F91,'Thermo Data'!G90,'Testo, JUM &amp; MRU Data'!Y91,GDF)))</f>
        <v/>
      </c>
      <c r="I97" s="981" t="str">
        <f>IF(H97="","",Conc2(H97,H$9,MolVol,H$21,H$20,I$21,I$20))</f>
        <v/>
      </c>
      <c r="J97" s="981" t="str">
        <f>IF(J$17=FALSE,"",GasData(GasAnalyser,'Horiba Data'!AM90,'Testo, JUM &amp; MRU Data'!G91,'Thermo Data'!H90,'Testo, JUM &amp; MRU Data'!W91,GDF))</f>
        <v/>
      </c>
      <c r="K97" s="981" t="str">
        <f>IF(J97="","",Conc2(J97,J$9,MolVol,J$21,J$20,K$21,K$20))</f>
        <v/>
      </c>
      <c r="L97" s="981" t="str">
        <f>IF(L$17=FALSE,"",GasData(GasAnalyser,'Horiba Data'!AA90,'Testo, JUM &amp; MRU Data'!H91,'Thermo Data'!I90,'Testo, JUM &amp; MRU Data'!T91,GDF))</f>
        <v/>
      </c>
      <c r="M97" s="981" t="str">
        <f>IF(L97="","",Conc2(L97,L$9,MolVol,L$21,L$20,M$21,M$20))</f>
        <v/>
      </c>
      <c r="N97" s="981" t="str">
        <f>IF(N$17=FALSE,"",GasData(GasAnalyser,'Horiba Data'!AE90,'Testo, JUM &amp; MRU Data'!I91,'Thermo Data'!J90,'Testo, JUM &amp; MRU Data'!S91,GDF))</f>
        <v/>
      </c>
      <c r="O97" s="981" t="str">
        <f>IF(N97="","",Conc2(N97,N$9,MolVol,N$21,N$20,O$21,O$20))</f>
        <v/>
      </c>
      <c r="P97" s="981" t="str">
        <f>IF(P$17=FALSE,"",GasData(GasAnalyser,'Horiba Data'!AI90,'Testo, JUM &amp; MRU Data'!J91,'Thermo Data'!K90,'Testo, JUM &amp; MRU Data'!R91,GDF))</f>
        <v/>
      </c>
      <c r="Q97" s="981" t="str">
        <f>IF(P97="","",Conc2(P97,P$9,MolVol,P$21,P$20,Q$21,Q$20))</f>
        <v/>
      </c>
      <c r="R97" s="981" t="str">
        <f>IF(R$17=FALSE,"",JUMData('Testo, JUM &amp; MRU Data'!M91,$R$7))</f>
        <v/>
      </c>
      <c r="S97" s="982" t="str">
        <f>IF(R97="","",Conc2(R97,R$9,MolVol,R$21,R$20,S$21,S$20)/(1-Bws))</f>
        <v/>
      </c>
      <c r="T97" s="740"/>
      <c r="AR97" s="334"/>
      <c r="AS97" s="334"/>
      <c r="AT97" s="48"/>
      <c r="AU97" s="48"/>
      <c r="AV97" s="153"/>
      <c r="AW97" s="153"/>
      <c r="AX97" s="153"/>
      <c r="AY97" s="153"/>
      <c r="AZ97" s="153"/>
      <c r="BA97" s="153"/>
      <c r="BB97" s="153"/>
      <c r="BC97" s="153"/>
      <c r="BD97" s="153"/>
      <c r="BE97" s="153"/>
      <c r="BF97" s="153"/>
      <c r="BG97" s="153"/>
      <c r="BH97" s="153"/>
      <c r="BI97" s="153"/>
      <c r="BJ97" s="153"/>
      <c r="BK97" s="153"/>
      <c r="BL97" s="153"/>
      <c r="BM97" s="153"/>
      <c r="BN97" s="153"/>
      <c r="BO97" s="153"/>
      <c r="BP97" s="153"/>
      <c r="BQ97" s="153"/>
      <c r="BR97" s="153"/>
      <c r="BS97" s="153"/>
      <c r="BT97" s="153"/>
      <c r="BU97" s="153"/>
      <c r="BV97" s="153"/>
      <c r="BW97" s="153"/>
      <c r="BX97" s="153"/>
      <c r="BY97" s="153"/>
      <c r="BZ97" s="153"/>
      <c r="CA97" s="153"/>
      <c r="CB97" s="153"/>
      <c r="CC97" s="153"/>
      <c r="CD97" s="153"/>
      <c r="CE97" s="153"/>
      <c r="CF97" s="153"/>
      <c r="CG97" s="153"/>
      <c r="CH97" s="153"/>
      <c r="CI97" s="153"/>
      <c r="CJ97" s="153"/>
      <c r="CK97" s="153"/>
      <c r="CL97" s="153"/>
      <c r="CM97" s="153"/>
      <c r="CN97" s="153"/>
      <c r="CO97" s="153"/>
      <c r="CP97" s="153"/>
      <c r="CQ97" s="153"/>
      <c r="CR97" s="153"/>
      <c r="CS97" s="153"/>
      <c r="CT97" s="153"/>
      <c r="CU97" s="153"/>
      <c r="CV97" s="153"/>
      <c r="CW97" s="153"/>
      <c r="CX97" s="153"/>
      <c r="CY97" s="153"/>
      <c r="CZ97" s="153"/>
      <c r="DA97" s="153"/>
      <c r="DB97" s="153"/>
      <c r="DC97" s="153"/>
      <c r="DD97" s="153"/>
      <c r="DE97" s="153"/>
      <c r="DF97" s="153"/>
      <c r="DG97" s="153"/>
      <c r="DH97" s="153"/>
      <c r="DI97" s="153"/>
      <c r="DJ97" s="153"/>
      <c r="DK97" s="153"/>
      <c r="DL97" s="153"/>
      <c r="DM97" s="153"/>
      <c r="DN97" s="153"/>
      <c r="DO97" s="153"/>
      <c r="DP97" s="153"/>
      <c r="DQ97" s="153"/>
      <c r="DR97" s="153"/>
      <c r="DS97" s="153"/>
      <c r="DT97" s="153"/>
      <c r="DU97" s="153"/>
      <c r="DV97" s="153"/>
      <c r="DW97" s="153"/>
      <c r="DX97" s="153"/>
      <c r="DY97" s="153"/>
      <c r="DZ97" s="153"/>
      <c r="EA97" s="153"/>
      <c r="EB97" s="153"/>
      <c r="EC97" s="153"/>
      <c r="ED97" s="153"/>
      <c r="EE97" s="153"/>
      <c r="EF97" s="153"/>
      <c r="EG97" s="153"/>
      <c r="EH97" s="153"/>
      <c r="EI97" s="153"/>
      <c r="EJ97" s="153"/>
      <c r="EK97" s="153"/>
      <c r="EL97" s="153"/>
      <c r="EM97" s="153"/>
    </row>
    <row r="98" spans="1:143" s="107" customFormat="1" ht="10.5" customHeight="1">
      <c r="A98" s="1140">
        <v>73</v>
      </c>
      <c r="B98" s="1560" t="str">
        <f t="shared" si="3"/>
        <v/>
      </c>
      <c r="C98" s="161" t="str">
        <f>GasTime(GasAnalyser,'Horiba Data'!F91,'Horiba Data'!G91,'Testo, JUM &amp; MRU Data'!A92,'Thermo Data'!B91,HourOffset)</f>
        <v/>
      </c>
      <c r="D98" s="981" t="str">
        <f>IF(D$17=FALSE,"",GasData(GasAnalyser,'Horiba Data'!S91,'Testo, JUM &amp; MRU Data'!D92,'Thermo Data'!E91,'Testo, JUM &amp; MRU Data'!U92,GDF))</f>
        <v/>
      </c>
      <c r="E98" s="981" t="str">
        <f>IF(D98="","",Conc2(D98,D$9,MolVol,D$21,D$20,E$21,E$20))</f>
        <v/>
      </c>
      <c r="F98" s="981" t="str">
        <f>IF(F$17=FALSE,"",GasData(GasAnalyser,'Horiba Data'!AQ91,'Testo, JUM &amp; MRU Data'!E92,'Thermo Data'!F91,'Testo, JUM &amp; MRU Data'!V92,GDF))</f>
        <v/>
      </c>
      <c r="G98" s="981" t="str">
        <f>IF(F98="","",Conc2(F98,F$9,MolVol,F$21,F$20,G$21,G$20))</f>
        <v/>
      </c>
      <c r="H98" s="981" t="str">
        <f>IF(D$17=FALSE,"",IF(F$17=FALSE,"",GasData(GasAnalyser,'Horiba Data'!W91,'Testo, JUM &amp; MRU Data'!F92,'Thermo Data'!G91,'Testo, JUM &amp; MRU Data'!Y92,GDF)))</f>
        <v/>
      </c>
      <c r="I98" s="981" t="str">
        <f>IF(H98="","",Conc2(H98,H$9,MolVol,H$21,H$20,I$21,I$20))</f>
        <v/>
      </c>
      <c r="J98" s="981" t="str">
        <f>IF(J$17=FALSE,"",GasData(GasAnalyser,'Horiba Data'!AM91,'Testo, JUM &amp; MRU Data'!G92,'Thermo Data'!H91,'Testo, JUM &amp; MRU Data'!W92,GDF))</f>
        <v/>
      </c>
      <c r="K98" s="981" t="str">
        <f>IF(J98="","",Conc2(J98,J$9,MolVol,J$21,J$20,K$21,K$20))</f>
        <v/>
      </c>
      <c r="L98" s="981" t="str">
        <f>IF(L$17=FALSE,"",GasData(GasAnalyser,'Horiba Data'!AA91,'Testo, JUM &amp; MRU Data'!H92,'Thermo Data'!I91,'Testo, JUM &amp; MRU Data'!T92,GDF))</f>
        <v/>
      </c>
      <c r="M98" s="981" t="str">
        <f>IF(L98="","",Conc2(L98,L$9,MolVol,L$21,L$20,M$21,M$20))</f>
        <v/>
      </c>
      <c r="N98" s="981" t="str">
        <f>IF(N$17=FALSE,"",GasData(GasAnalyser,'Horiba Data'!AE91,'Testo, JUM &amp; MRU Data'!I92,'Thermo Data'!J91,'Testo, JUM &amp; MRU Data'!S92,GDF))</f>
        <v/>
      </c>
      <c r="O98" s="981" t="str">
        <f>IF(N98="","",Conc2(N98,N$9,MolVol,N$21,N$20,O$21,O$20))</f>
        <v/>
      </c>
      <c r="P98" s="981" t="str">
        <f>IF(P$17=FALSE,"",GasData(GasAnalyser,'Horiba Data'!AI91,'Testo, JUM &amp; MRU Data'!J92,'Thermo Data'!K91,'Testo, JUM &amp; MRU Data'!R92,GDF))</f>
        <v/>
      </c>
      <c r="Q98" s="981" t="str">
        <f>IF(P98="","",Conc2(P98,P$9,MolVol,P$21,P$20,Q$21,Q$20))</f>
        <v/>
      </c>
      <c r="R98" s="981" t="str">
        <f>IF(R$17=FALSE,"",JUMData('Testo, JUM &amp; MRU Data'!M92,$R$7))</f>
        <v/>
      </c>
      <c r="S98" s="982" t="str">
        <f>IF(R98="","",Conc2(R98,R$9,MolVol,R$21,R$20,S$21,S$20)/(1-Bws))</f>
        <v/>
      </c>
      <c r="T98" s="740"/>
      <c r="AR98" s="334"/>
      <c r="AS98" s="334"/>
      <c r="AT98" s="48"/>
      <c r="AU98" s="48"/>
      <c r="AV98" s="153"/>
      <c r="AW98" s="153"/>
      <c r="AX98" s="153"/>
      <c r="AY98" s="153"/>
      <c r="AZ98" s="153"/>
      <c r="BA98" s="153"/>
      <c r="BB98" s="153"/>
      <c r="BC98" s="153"/>
      <c r="BD98" s="153"/>
      <c r="BE98" s="153"/>
      <c r="BF98" s="153"/>
      <c r="BG98" s="153"/>
      <c r="BH98" s="153"/>
      <c r="BI98" s="153"/>
      <c r="BJ98" s="153"/>
      <c r="BK98" s="153"/>
      <c r="BL98" s="153"/>
      <c r="BM98" s="153"/>
      <c r="BN98" s="153"/>
      <c r="BO98" s="153"/>
      <c r="BP98" s="153"/>
      <c r="BQ98" s="153"/>
      <c r="BR98" s="153"/>
      <c r="BS98" s="153"/>
      <c r="BT98" s="153"/>
      <c r="BU98" s="153"/>
      <c r="BV98" s="153"/>
      <c r="BW98" s="153"/>
      <c r="BX98" s="153"/>
      <c r="BY98" s="153"/>
      <c r="BZ98" s="153"/>
      <c r="CA98" s="153"/>
      <c r="CB98" s="153"/>
      <c r="CC98" s="153"/>
      <c r="CD98" s="153"/>
      <c r="CE98" s="153"/>
      <c r="CF98" s="153"/>
      <c r="CG98" s="153"/>
      <c r="CH98" s="153"/>
      <c r="CI98" s="153"/>
      <c r="CJ98" s="153"/>
      <c r="CK98" s="153"/>
      <c r="CL98" s="153"/>
      <c r="CM98" s="153"/>
      <c r="CN98" s="153"/>
      <c r="CO98" s="153"/>
      <c r="CP98" s="153"/>
      <c r="CQ98" s="153"/>
      <c r="CR98" s="153"/>
      <c r="CS98" s="153"/>
      <c r="CT98" s="153"/>
      <c r="CU98" s="153"/>
      <c r="CV98" s="153"/>
      <c r="CW98" s="153"/>
      <c r="CX98" s="153"/>
      <c r="CY98" s="153"/>
      <c r="CZ98" s="153"/>
      <c r="DA98" s="153"/>
      <c r="DB98" s="153"/>
      <c r="DC98" s="153"/>
      <c r="DD98" s="153"/>
      <c r="DE98" s="153"/>
      <c r="DF98" s="153"/>
      <c r="DG98" s="153"/>
      <c r="DH98" s="153"/>
      <c r="DI98" s="153"/>
      <c r="DJ98" s="153"/>
      <c r="DK98" s="153"/>
      <c r="DL98" s="153"/>
      <c r="DM98" s="153"/>
      <c r="DN98" s="153"/>
      <c r="DO98" s="153"/>
      <c r="DP98" s="153"/>
      <c r="DQ98" s="153"/>
      <c r="DR98" s="153"/>
      <c r="DS98" s="153"/>
      <c r="DT98" s="153"/>
      <c r="DU98" s="153"/>
      <c r="DV98" s="153"/>
      <c r="DW98" s="153"/>
      <c r="DX98" s="153"/>
      <c r="DY98" s="153"/>
      <c r="DZ98" s="153"/>
      <c r="EA98" s="153"/>
      <c r="EB98" s="153"/>
      <c r="EC98" s="153"/>
      <c r="ED98" s="153"/>
      <c r="EE98" s="153"/>
      <c r="EF98" s="153"/>
      <c r="EG98" s="153"/>
      <c r="EH98" s="153"/>
      <c r="EI98" s="153"/>
      <c r="EJ98" s="153"/>
      <c r="EK98" s="153"/>
      <c r="EL98" s="153"/>
      <c r="EM98" s="153"/>
    </row>
    <row r="99" spans="1:143" s="107" customFormat="1" ht="10.5" customHeight="1">
      <c r="A99" s="1140">
        <v>74</v>
      </c>
      <c r="B99" s="1560" t="str">
        <f t="shared" si="3"/>
        <v/>
      </c>
      <c r="C99" s="161" t="str">
        <f>GasTime(GasAnalyser,'Horiba Data'!F92,'Horiba Data'!G92,'Testo, JUM &amp; MRU Data'!A93,'Thermo Data'!B92,HourOffset)</f>
        <v/>
      </c>
      <c r="D99" s="981" t="str">
        <f>IF(D$17=FALSE,"",GasData(GasAnalyser,'Horiba Data'!S92,'Testo, JUM &amp; MRU Data'!D93,'Thermo Data'!E92,'Testo, JUM &amp; MRU Data'!U93,GDF))</f>
        <v/>
      </c>
      <c r="E99" s="981" t="str">
        <f>IF(D99="","",Conc2(D99,D$9,MolVol,D$21,D$20,E$21,E$20))</f>
        <v/>
      </c>
      <c r="F99" s="981" t="str">
        <f>IF(F$17=FALSE,"",GasData(GasAnalyser,'Horiba Data'!AQ92,'Testo, JUM &amp; MRU Data'!E93,'Thermo Data'!F92,'Testo, JUM &amp; MRU Data'!V93,GDF))</f>
        <v/>
      </c>
      <c r="G99" s="981" t="str">
        <f>IF(F99="","",Conc2(F99,F$9,MolVol,F$21,F$20,G$21,G$20))</f>
        <v/>
      </c>
      <c r="H99" s="981" t="str">
        <f>IF(D$17=FALSE,"",IF(F$17=FALSE,"",GasData(GasAnalyser,'Horiba Data'!W92,'Testo, JUM &amp; MRU Data'!F93,'Thermo Data'!G92,'Testo, JUM &amp; MRU Data'!Y93,GDF)))</f>
        <v/>
      </c>
      <c r="I99" s="981" t="str">
        <f>IF(H99="","",Conc2(H99,H$9,MolVol,H$21,H$20,I$21,I$20))</f>
        <v/>
      </c>
      <c r="J99" s="981" t="str">
        <f>IF(J$17=FALSE,"",GasData(GasAnalyser,'Horiba Data'!AM92,'Testo, JUM &amp; MRU Data'!G93,'Thermo Data'!H92,'Testo, JUM &amp; MRU Data'!W93,GDF))</f>
        <v/>
      </c>
      <c r="K99" s="981" t="str">
        <f>IF(J99="","",Conc2(J99,J$9,MolVol,J$21,J$20,K$21,K$20))</f>
        <v/>
      </c>
      <c r="L99" s="981" t="str">
        <f>IF(L$17=FALSE,"",GasData(GasAnalyser,'Horiba Data'!AA92,'Testo, JUM &amp; MRU Data'!H93,'Thermo Data'!I92,'Testo, JUM &amp; MRU Data'!T93,GDF))</f>
        <v/>
      </c>
      <c r="M99" s="981" t="str">
        <f>IF(L99="","",Conc2(L99,L$9,MolVol,L$21,L$20,M$21,M$20))</f>
        <v/>
      </c>
      <c r="N99" s="981" t="str">
        <f>IF(N$17=FALSE,"",GasData(GasAnalyser,'Horiba Data'!AE92,'Testo, JUM &amp; MRU Data'!I93,'Thermo Data'!J92,'Testo, JUM &amp; MRU Data'!S93,GDF))</f>
        <v/>
      </c>
      <c r="O99" s="981" t="str">
        <f>IF(N99="","",Conc2(N99,N$9,MolVol,N$21,N$20,O$21,O$20))</f>
        <v/>
      </c>
      <c r="P99" s="981" t="str">
        <f>IF(P$17=FALSE,"",GasData(GasAnalyser,'Horiba Data'!AI92,'Testo, JUM &amp; MRU Data'!J93,'Thermo Data'!K92,'Testo, JUM &amp; MRU Data'!R93,GDF))</f>
        <v/>
      </c>
      <c r="Q99" s="981" t="str">
        <f>IF(P99="","",Conc2(P99,P$9,MolVol,P$21,P$20,Q$21,Q$20))</f>
        <v/>
      </c>
      <c r="R99" s="981" t="str">
        <f>IF(R$17=FALSE,"",JUMData('Testo, JUM &amp; MRU Data'!M93,$R$7))</f>
        <v/>
      </c>
      <c r="S99" s="982" t="str">
        <f>IF(R99="","",Conc2(R99,R$9,MolVol,R$21,R$20,S$21,S$20)/(1-Bws))</f>
        <v/>
      </c>
      <c r="T99" s="740"/>
      <c r="AR99" s="334"/>
      <c r="AS99" s="334"/>
      <c r="AT99" s="48"/>
      <c r="AU99" s="48"/>
      <c r="AV99" s="153"/>
      <c r="AW99" s="153"/>
      <c r="AX99" s="153"/>
      <c r="AY99" s="153"/>
      <c r="AZ99" s="153"/>
      <c r="BA99" s="153"/>
      <c r="BB99" s="153"/>
      <c r="BC99" s="153"/>
      <c r="BD99" s="153"/>
      <c r="BE99" s="153"/>
      <c r="BF99" s="153"/>
      <c r="BG99" s="153"/>
      <c r="BH99" s="153"/>
      <c r="BI99" s="153"/>
      <c r="BJ99" s="153"/>
      <c r="BK99" s="153"/>
      <c r="BL99" s="153"/>
      <c r="BM99" s="153"/>
      <c r="BN99" s="153"/>
      <c r="BO99" s="153"/>
      <c r="BP99" s="153"/>
      <c r="BQ99" s="153"/>
      <c r="BR99" s="153"/>
      <c r="BS99" s="153"/>
      <c r="BT99" s="153"/>
      <c r="BU99" s="153"/>
      <c r="BV99" s="153"/>
      <c r="BW99" s="153"/>
      <c r="BX99" s="153"/>
      <c r="BY99" s="153"/>
      <c r="BZ99" s="153"/>
      <c r="CA99" s="153"/>
      <c r="CB99" s="153"/>
      <c r="CC99" s="153"/>
      <c r="CD99" s="153"/>
      <c r="CE99" s="153"/>
      <c r="CF99" s="153"/>
      <c r="CG99" s="153"/>
      <c r="CH99" s="153"/>
      <c r="CI99" s="153"/>
      <c r="CJ99" s="153"/>
      <c r="CK99" s="153"/>
      <c r="CL99" s="153"/>
      <c r="CM99" s="153"/>
      <c r="CN99" s="153"/>
      <c r="CO99" s="153"/>
      <c r="CP99" s="153"/>
      <c r="CQ99" s="153"/>
      <c r="CR99" s="153"/>
      <c r="CS99" s="153"/>
      <c r="CT99" s="153"/>
      <c r="CU99" s="153"/>
      <c r="CV99" s="153"/>
      <c r="CW99" s="153"/>
      <c r="CX99" s="153"/>
      <c r="CY99" s="153"/>
      <c r="CZ99" s="153"/>
      <c r="DA99" s="153"/>
      <c r="DB99" s="153"/>
      <c r="DC99" s="153"/>
      <c r="DD99" s="153"/>
      <c r="DE99" s="153"/>
      <c r="DF99" s="153"/>
      <c r="DG99" s="153"/>
      <c r="DH99" s="153"/>
      <c r="DI99" s="153"/>
      <c r="DJ99" s="153"/>
      <c r="DK99" s="153"/>
      <c r="DL99" s="153"/>
      <c r="DM99" s="153"/>
      <c r="DN99" s="153"/>
      <c r="DO99" s="153"/>
      <c r="DP99" s="153"/>
      <c r="DQ99" s="153"/>
      <c r="DR99" s="153"/>
      <c r="DS99" s="153"/>
      <c r="DT99" s="153"/>
      <c r="DU99" s="153"/>
      <c r="DV99" s="153"/>
      <c r="DW99" s="153"/>
      <c r="DX99" s="153"/>
      <c r="DY99" s="153"/>
      <c r="DZ99" s="153"/>
      <c r="EA99" s="153"/>
      <c r="EB99" s="153"/>
      <c r="EC99" s="153"/>
      <c r="ED99" s="153"/>
      <c r="EE99" s="153"/>
      <c r="EF99" s="153"/>
      <c r="EG99" s="153"/>
      <c r="EH99" s="153"/>
      <c r="EI99" s="153"/>
      <c r="EJ99" s="153"/>
      <c r="EK99" s="153"/>
      <c r="EL99" s="153"/>
      <c r="EM99" s="153"/>
    </row>
    <row r="100" spans="1:143" s="107" customFormat="1" ht="10.5" customHeight="1">
      <c r="A100" s="1140">
        <v>75</v>
      </c>
      <c r="B100" s="1560" t="str">
        <f t="shared" si="3"/>
        <v/>
      </c>
      <c r="C100" s="161" t="str">
        <f>GasTime(GasAnalyser,'Horiba Data'!F93,'Horiba Data'!G93,'Testo, JUM &amp; MRU Data'!A94,'Thermo Data'!B93,HourOffset)</f>
        <v/>
      </c>
      <c r="D100" s="981" t="str">
        <f>IF(D$17=FALSE,"",GasData(GasAnalyser,'Horiba Data'!S93,'Testo, JUM &amp; MRU Data'!D94,'Thermo Data'!E93,'Testo, JUM &amp; MRU Data'!U94,GDF))</f>
        <v/>
      </c>
      <c r="E100" s="981" t="str">
        <f>IF(D100="","",Conc2(D100,D$9,MolVol,D$21,D$20,E$21,E$20))</f>
        <v/>
      </c>
      <c r="F100" s="981" t="str">
        <f>IF(F$17=FALSE,"",GasData(GasAnalyser,'Horiba Data'!AQ93,'Testo, JUM &amp; MRU Data'!E94,'Thermo Data'!F93,'Testo, JUM &amp; MRU Data'!V94,GDF))</f>
        <v/>
      </c>
      <c r="G100" s="981" t="str">
        <f>IF(F100="","",Conc2(F100,F$9,MolVol,F$21,F$20,G$21,G$20))</f>
        <v/>
      </c>
      <c r="H100" s="981" t="str">
        <f>IF(D$17=FALSE,"",IF(F$17=FALSE,"",GasData(GasAnalyser,'Horiba Data'!W93,'Testo, JUM &amp; MRU Data'!F94,'Thermo Data'!G93,'Testo, JUM &amp; MRU Data'!Y94,GDF)))</f>
        <v/>
      </c>
      <c r="I100" s="981" t="str">
        <f>IF(H100="","",Conc2(H100,H$9,MolVol,H$21,H$20,I$21,I$20))</f>
        <v/>
      </c>
      <c r="J100" s="981" t="str">
        <f>IF(J$17=FALSE,"",GasData(GasAnalyser,'Horiba Data'!AM93,'Testo, JUM &amp; MRU Data'!G94,'Thermo Data'!H93,'Testo, JUM &amp; MRU Data'!W94,GDF))</f>
        <v/>
      </c>
      <c r="K100" s="981" t="str">
        <f>IF(J100="","",Conc2(J100,J$9,MolVol,J$21,J$20,K$21,K$20))</f>
        <v/>
      </c>
      <c r="L100" s="981" t="str">
        <f>IF(L$17=FALSE,"",GasData(GasAnalyser,'Horiba Data'!AA93,'Testo, JUM &amp; MRU Data'!H94,'Thermo Data'!I93,'Testo, JUM &amp; MRU Data'!T94,GDF))</f>
        <v/>
      </c>
      <c r="M100" s="981" t="str">
        <f>IF(L100="","",Conc2(L100,L$9,MolVol,L$21,L$20,M$21,M$20))</f>
        <v/>
      </c>
      <c r="N100" s="981" t="str">
        <f>IF(N$17=FALSE,"",GasData(GasAnalyser,'Horiba Data'!AE93,'Testo, JUM &amp; MRU Data'!I94,'Thermo Data'!J93,'Testo, JUM &amp; MRU Data'!S94,GDF))</f>
        <v/>
      </c>
      <c r="O100" s="981" t="str">
        <f>IF(N100="","",Conc2(N100,N$9,MolVol,N$21,N$20,O$21,O$20))</f>
        <v/>
      </c>
      <c r="P100" s="981" t="str">
        <f>IF(P$17=FALSE,"",GasData(GasAnalyser,'Horiba Data'!AI93,'Testo, JUM &amp; MRU Data'!J94,'Thermo Data'!K93,'Testo, JUM &amp; MRU Data'!R94,GDF))</f>
        <v/>
      </c>
      <c r="Q100" s="981" t="str">
        <f>IF(P100="","",Conc2(P100,P$9,MolVol,P$21,P$20,Q$21,Q$20))</f>
        <v/>
      </c>
      <c r="R100" s="981" t="str">
        <f>IF(R$17=FALSE,"",JUMData('Testo, JUM &amp; MRU Data'!M94,$R$7))</f>
        <v/>
      </c>
      <c r="S100" s="982" t="str">
        <f>IF(R100="","",Conc2(R100,R$9,MolVol,R$21,R$20,S$21,S$20)/(1-Bws))</f>
        <v/>
      </c>
      <c r="T100" s="740"/>
      <c r="AR100" s="334"/>
      <c r="AS100" s="334"/>
      <c r="AT100" s="48"/>
      <c r="AU100" s="48"/>
      <c r="AV100" s="153"/>
      <c r="AW100" s="153"/>
      <c r="AX100" s="153"/>
      <c r="AY100" s="153"/>
      <c r="AZ100" s="153"/>
      <c r="BA100" s="153"/>
      <c r="BB100" s="153"/>
      <c r="BC100" s="153"/>
      <c r="BD100" s="153"/>
      <c r="BE100" s="153"/>
      <c r="BF100" s="153"/>
      <c r="BG100" s="153"/>
      <c r="BH100" s="153"/>
      <c r="BI100" s="153"/>
      <c r="BJ100" s="153"/>
      <c r="BK100" s="153"/>
      <c r="BL100" s="153"/>
      <c r="BM100" s="153"/>
      <c r="BN100" s="153"/>
      <c r="BO100" s="153"/>
      <c r="BP100" s="153"/>
      <c r="BQ100" s="153"/>
      <c r="BR100" s="153"/>
      <c r="BS100" s="153"/>
      <c r="BT100" s="153"/>
      <c r="BU100" s="153"/>
      <c r="BV100" s="153"/>
      <c r="BW100" s="153"/>
      <c r="BX100" s="153"/>
      <c r="BY100" s="153"/>
      <c r="BZ100" s="153"/>
      <c r="CA100" s="153"/>
      <c r="CB100" s="153"/>
      <c r="CC100" s="153"/>
      <c r="CD100" s="153"/>
      <c r="CE100" s="153"/>
      <c r="CF100" s="153"/>
      <c r="CG100" s="153"/>
      <c r="CH100" s="153"/>
      <c r="CI100" s="153"/>
      <c r="CJ100" s="153"/>
      <c r="CK100" s="153"/>
      <c r="CL100" s="153"/>
      <c r="CM100" s="153"/>
      <c r="CN100" s="153"/>
      <c r="CO100" s="153"/>
      <c r="CP100" s="153"/>
      <c r="CQ100" s="153"/>
      <c r="CR100" s="153"/>
      <c r="CS100" s="153"/>
      <c r="CT100" s="153"/>
      <c r="CU100" s="153"/>
      <c r="CV100" s="153"/>
      <c r="CW100" s="153"/>
      <c r="CX100" s="153"/>
      <c r="CY100" s="153"/>
      <c r="CZ100" s="153"/>
      <c r="DA100" s="153"/>
      <c r="DB100" s="153"/>
      <c r="DC100" s="153"/>
      <c r="DD100" s="153"/>
      <c r="DE100" s="153"/>
      <c r="DF100" s="153"/>
      <c r="DG100" s="153"/>
      <c r="DH100" s="153"/>
      <c r="DI100" s="153"/>
      <c r="DJ100" s="153"/>
      <c r="DK100" s="153"/>
      <c r="DL100" s="153"/>
      <c r="DM100" s="153"/>
      <c r="DN100" s="153"/>
      <c r="DO100" s="153"/>
      <c r="DP100" s="153"/>
      <c r="DQ100" s="153"/>
      <c r="DR100" s="153"/>
      <c r="DS100" s="153"/>
      <c r="DT100" s="153"/>
      <c r="DU100" s="153"/>
      <c r="DV100" s="153"/>
      <c r="DW100" s="153"/>
      <c r="DX100" s="153"/>
      <c r="DY100" s="153"/>
      <c r="DZ100" s="153"/>
      <c r="EA100" s="153"/>
      <c r="EB100" s="153"/>
      <c r="EC100" s="153"/>
      <c r="ED100" s="153"/>
      <c r="EE100" s="153"/>
      <c r="EF100" s="153"/>
      <c r="EG100" s="153"/>
      <c r="EH100" s="153"/>
      <c r="EI100" s="153"/>
      <c r="EJ100" s="153"/>
      <c r="EK100" s="153"/>
      <c r="EL100" s="153"/>
      <c r="EM100" s="153"/>
    </row>
    <row r="101" spans="1:143" s="107" customFormat="1" ht="10.5" customHeight="1">
      <c r="A101" s="1140">
        <v>76</v>
      </c>
      <c r="B101" s="1560" t="str">
        <f t="shared" si="3"/>
        <v/>
      </c>
      <c r="C101" s="161" t="str">
        <f>GasTime(GasAnalyser,'Horiba Data'!F94,'Horiba Data'!G94,'Testo, JUM &amp; MRU Data'!A95,'Thermo Data'!B94,HourOffset)</f>
        <v/>
      </c>
      <c r="D101" s="981" t="str">
        <f>IF(D$17=FALSE,"",GasData(GasAnalyser,'Horiba Data'!S94,'Testo, JUM &amp; MRU Data'!D95,'Thermo Data'!E94,'Testo, JUM &amp; MRU Data'!U95,GDF))</f>
        <v/>
      </c>
      <c r="E101" s="981" t="str">
        <f>IF(D101="","",Conc2(D101,D$9,MolVol,D$21,D$20,E$21,E$20))</f>
        <v/>
      </c>
      <c r="F101" s="981" t="str">
        <f>IF(F$17=FALSE,"",GasData(GasAnalyser,'Horiba Data'!AQ94,'Testo, JUM &amp; MRU Data'!E95,'Thermo Data'!F94,'Testo, JUM &amp; MRU Data'!V95,GDF))</f>
        <v/>
      </c>
      <c r="G101" s="981" t="str">
        <f>IF(F101="","",Conc2(F101,F$9,MolVol,F$21,F$20,G$21,G$20))</f>
        <v/>
      </c>
      <c r="H101" s="981" t="str">
        <f>IF(D$17=FALSE,"",IF(F$17=FALSE,"",GasData(GasAnalyser,'Horiba Data'!W94,'Testo, JUM &amp; MRU Data'!F95,'Thermo Data'!G94,'Testo, JUM &amp; MRU Data'!Y95,GDF)))</f>
        <v/>
      </c>
      <c r="I101" s="981" t="str">
        <f>IF(H101="","",Conc2(H101,H$9,MolVol,H$21,H$20,I$21,I$20))</f>
        <v/>
      </c>
      <c r="J101" s="981" t="str">
        <f>IF(J$17=FALSE,"",GasData(GasAnalyser,'Horiba Data'!AM94,'Testo, JUM &amp; MRU Data'!G95,'Thermo Data'!H94,'Testo, JUM &amp; MRU Data'!W95,GDF))</f>
        <v/>
      </c>
      <c r="K101" s="981" t="str">
        <f>IF(J101="","",Conc2(J101,J$9,MolVol,J$21,J$20,K$21,K$20))</f>
        <v/>
      </c>
      <c r="L101" s="981" t="str">
        <f>IF(L$17=FALSE,"",GasData(GasAnalyser,'Horiba Data'!AA94,'Testo, JUM &amp; MRU Data'!H95,'Thermo Data'!I94,'Testo, JUM &amp; MRU Data'!T95,GDF))</f>
        <v/>
      </c>
      <c r="M101" s="981" t="str">
        <f>IF(L101="","",Conc2(L101,L$9,MolVol,L$21,L$20,M$21,M$20))</f>
        <v/>
      </c>
      <c r="N101" s="981" t="str">
        <f>IF(N$17=FALSE,"",GasData(GasAnalyser,'Horiba Data'!AE94,'Testo, JUM &amp; MRU Data'!I95,'Thermo Data'!J94,'Testo, JUM &amp; MRU Data'!S95,GDF))</f>
        <v/>
      </c>
      <c r="O101" s="981" t="str">
        <f>IF(N101="","",Conc2(N101,N$9,MolVol,N$21,N$20,O$21,O$20))</f>
        <v/>
      </c>
      <c r="P101" s="981" t="str">
        <f>IF(P$17=FALSE,"",GasData(GasAnalyser,'Horiba Data'!AI94,'Testo, JUM &amp; MRU Data'!J95,'Thermo Data'!K94,'Testo, JUM &amp; MRU Data'!R95,GDF))</f>
        <v/>
      </c>
      <c r="Q101" s="981" t="str">
        <f>IF(P101="","",Conc2(P101,P$9,MolVol,P$21,P$20,Q$21,Q$20))</f>
        <v/>
      </c>
      <c r="R101" s="981" t="str">
        <f>IF(R$17=FALSE,"",JUMData('Testo, JUM &amp; MRU Data'!M95,$R$7))</f>
        <v/>
      </c>
      <c r="S101" s="982" t="str">
        <f>IF(R101="","",Conc2(R101,R$9,MolVol,R$21,R$20,S$21,S$20)/(1-Bws))</f>
        <v/>
      </c>
      <c r="T101" s="740"/>
      <c r="AR101" s="334"/>
      <c r="AS101" s="334"/>
      <c r="AT101" s="48"/>
      <c r="AU101" s="48"/>
      <c r="AV101" s="153"/>
      <c r="AW101" s="153"/>
      <c r="AX101" s="153"/>
      <c r="AY101" s="153"/>
      <c r="AZ101" s="153"/>
      <c r="BA101" s="153"/>
      <c r="BB101" s="153"/>
      <c r="BC101" s="153"/>
      <c r="BD101" s="153"/>
      <c r="BE101" s="153"/>
      <c r="BF101" s="153"/>
      <c r="BG101" s="153"/>
      <c r="BH101" s="153"/>
      <c r="BI101" s="153"/>
      <c r="BJ101" s="153"/>
      <c r="BK101" s="153"/>
      <c r="BL101" s="153"/>
      <c r="BM101" s="153"/>
      <c r="BN101" s="153"/>
      <c r="BO101" s="153"/>
      <c r="BP101" s="153"/>
      <c r="BQ101" s="153"/>
      <c r="BR101" s="153"/>
      <c r="BS101" s="153"/>
      <c r="BT101" s="153"/>
      <c r="BU101" s="153"/>
      <c r="BV101" s="153"/>
      <c r="BW101" s="153"/>
      <c r="BX101" s="153"/>
      <c r="BY101" s="153"/>
      <c r="BZ101" s="153"/>
      <c r="CA101" s="153"/>
      <c r="CB101" s="153"/>
      <c r="CC101" s="153"/>
      <c r="CD101" s="153"/>
      <c r="CE101" s="153"/>
      <c r="CF101" s="153"/>
      <c r="CG101" s="153"/>
      <c r="CH101" s="153"/>
      <c r="CI101" s="153"/>
      <c r="CJ101" s="153"/>
      <c r="CK101" s="153"/>
      <c r="CL101" s="153"/>
      <c r="CM101" s="153"/>
      <c r="CN101" s="153"/>
      <c r="CO101" s="153"/>
      <c r="CP101" s="153"/>
      <c r="CQ101" s="153"/>
      <c r="CR101" s="153"/>
      <c r="CS101" s="153"/>
      <c r="CT101" s="153"/>
      <c r="CU101" s="153"/>
      <c r="CV101" s="153"/>
      <c r="CW101" s="153"/>
      <c r="CX101" s="153"/>
      <c r="CY101" s="153"/>
      <c r="CZ101" s="153"/>
      <c r="DA101" s="153"/>
      <c r="DB101" s="153"/>
      <c r="DC101" s="153"/>
      <c r="DD101" s="153"/>
      <c r="DE101" s="153"/>
      <c r="DF101" s="153"/>
      <c r="DG101" s="153"/>
      <c r="DH101" s="153"/>
      <c r="DI101" s="153"/>
      <c r="DJ101" s="153"/>
      <c r="DK101" s="153"/>
      <c r="DL101" s="153"/>
      <c r="DM101" s="153"/>
      <c r="DN101" s="153"/>
      <c r="DO101" s="153"/>
      <c r="DP101" s="153"/>
      <c r="DQ101" s="153"/>
      <c r="DR101" s="153"/>
      <c r="DS101" s="153"/>
      <c r="DT101" s="153"/>
      <c r="DU101" s="153"/>
      <c r="DV101" s="153"/>
      <c r="DW101" s="153"/>
      <c r="DX101" s="153"/>
      <c r="DY101" s="153"/>
      <c r="DZ101" s="153"/>
      <c r="EA101" s="153"/>
      <c r="EB101" s="153"/>
      <c r="EC101" s="153"/>
      <c r="ED101" s="153"/>
      <c r="EE101" s="153"/>
      <c r="EF101" s="153"/>
      <c r="EG101" s="153"/>
      <c r="EH101" s="153"/>
      <c r="EI101" s="153"/>
      <c r="EJ101" s="153"/>
      <c r="EK101" s="153"/>
      <c r="EL101" s="153"/>
      <c r="EM101" s="153"/>
    </row>
    <row r="102" spans="1:143" s="107" customFormat="1" ht="10.5" customHeight="1">
      <c r="A102" s="1140">
        <v>77</v>
      </c>
      <c r="B102" s="1560" t="str">
        <f t="shared" si="3"/>
        <v/>
      </c>
      <c r="C102" s="161" t="str">
        <f>GasTime(GasAnalyser,'Horiba Data'!F95,'Horiba Data'!G95,'Testo, JUM &amp; MRU Data'!A96,'Thermo Data'!B95,HourOffset)</f>
        <v/>
      </c>
      <c r="D102" s="981" t="str">
        <f>IF(D$17=FALSE,"",GasData(GasAnalyser,'Horiba Data'!S95,'Testo, JUM &amp; MRU Data'!D96,'Thermo Data'!E95,'Testo, JUM &amp; MRU Data'!U96,GDF))</f>
        <v/>
      </c>
      <c r="E102" s="981" t="str">
        <f>IF(D102="","",Conc2(D102,D$9,MolVol,D$21,D$20,E$21,E$20))</f>
        <v/>
      </c>
      <c r="F102" s="981" t="str">
        <f>IF(F$17=FALSE,"",GasData(GasAnalyser,'Horiba Data'!AQ95,'Testo, JUM &amp; MRU Data'!E96,'Thermo Data'!F95,'Testo, JUM &amp; MRU Data'!V96,GDF))</f>
        <v/>
      </c>
      <c r="G102" s="981" t="str">
        <f>IF(F102="","",Conc2(F102,F$9,MolVol,F$21,F$20,G$21,G$20))</f>
        <v/>
      </c>
      <c r="H102" s="981" t="str">
        <f>IF(D$17=FALSE,"",IF(F$17=FALSE,"",GasData(GasAnalyser,'Horiba Data'!W95,'Testo, JUM &amp; MRU Data'!F96,'Thermo Data'!G95,'Testo, JUM &amp; MRU Data'!Y96,GDF)))</f>
        <v/>
      </c>
      <c r="I102" s="981" t="str">
        <f>IF(H102="","",Conc2(H102,H$9,MolVol,H$21,H$20,I$21,I$20))</f>
        <v/>
      </c>
      <c r="J102" s="981" t="str">
        <f>IF(J$17=FALSE,"",GasData(GasAnalyser,'Horiba Data'!AM95,'Testo, JUM &amp; MRU Data'!G96,'Thermo Data'!H95,'Testo, JUM &amp; MRU Data'!W96,GDF))</f>
        <v/>
      </c>
      <c r="K102" s="981" t="str">
        <f>IF(J102="","",Conc2(J102,J$9,MolVol,J$21,J$20,K$21,K$20))</f>
        <v/>
      </c>
      <c r="L102" s="981" t="str">
        <f>IF(L$17=FALSE,"",GasData(GasAnalyser,'Horiba Data'!AA95,'Testo, JUM &amp; MRU Data'!H96,'Thermo Data'!I95,'Testo, JUM &amp; MRU Data'!T96,GDF))</f>
        <v/>
      </c>
      <c r="M102" s="981" t="str">
        <f>IF(L102="","",Conc2(L102,L$9,MolVol,L$21,L$20,M$21,M$20))</f>
        <v/>
      </c>
      <c r="N102" s="981" t="str">
        <f>IF(N$17=FALSE,"",GasData(GasAnalyser,'Horiba Data'!AE95,'Testo, JUM &amp; MRU Data'!I96,'Thermo Data'!J95,'Testo, JUM &amp; MRU Data'!S96,GDF))</f>
        <v/>
      </c>
      <c r="O102" s="981" t="str">
        <f>IF(N102="","",Conc2(N102,N$9,MolVol,N$21,N$20,O$21,O$20))</f>
        <v/>
      </c>
      <c r="P102" s="981" t="str">
        <f>IF(P$17=FALSE,"",GasData(GasAnalyser,'Horiba Data'!AI95,'Testo, JUM &amp; MRU Data'!J96,'Thermo Data'!K95,'Testo, JUM &amp; MRU Data'!R96,GDF))</f>
        <v/>
      </c>
      <c r="Q102" s="981" t="str">
        <f>IF(P102="","",Conc2(P102,P$9,MolVol,P$21,P$20,Q$21,Q$20))</f>
        <v/>
      </c>
      <c r="R102" s="981" t="str">
        <f>IF(R$17=FALSE,"",JUMData('Testo, JUM &amp; MRU Data'!M96,$R$7))</f>
        <v/>
      </c>
      <c r="S102" s="982" t="str">
        <f>IF(R102="","",Conc2(R102,R$9,MolVol,R$21,R$20,S$21,S$20)/(1-Bws))</f>
        <v/>
      </c>
      <c r="T102" s="740"/>
      <c r="AR102" s="334"/>
      <c r="AS102" s="334"/>
      <c r="AT102" s="48"/>
      <c r="AU102" s="48"/>
      <c r="AV102" s="153"/>
      <c r="AW102" s="153"/>
      <c r="AX102" s="153"/>
      <c r="AY102" s="153"/>
      <c r="AZ102" s="153"/>
      <c r="BA102" s="153"/>
      <c r="BB102" s="153"/>
      <c r="BC102" s="153"/>
      <c r="BD102" s="153"/>
      <c r="BE102" s="153"/>
      <c r="BF102" s="153"/>
      <c r="BG102" s="153"/>
      <c r="BH102" s="153"/>
      <c r="BI102" s="153"/>
      <c r="BJ102" s="153"/>
      <c r="BK102" s="153"/>
      <c r="BL102" s="153"/>
      <c r="BM102" s="153"/>
      <c r="BN102" s="153"/>
      <c r="BO102" s="153"/>
      <c r="BP102" s="153"/>
      <c r="BQ102" s="153"/>
      <c r="BR102" s="153"/>
      <c r="BS102" s="153"/>
      <c r="BT102" s="153"/>
      <c r="BU102" s="153"/>
      <c r="BV102" s="153"/>
      <c r="BW102" s="153"/>
      <c r="BX102" s="153"/>
      <c r="BY102" s="153"/>
      <c r="BZ102" s="153"/>
      <c r="CA102" s="153"/>
      <c r="CB102" s="153"/>
      <c r="CC102" s="153"/>
      <c r="CD102" s="153"/>
      <c r="CE102" s="153"/>
      <c r="CF102" s="153"/>
      <c r="CG102" s="153"/>
      <c r="CH102" s="153"/>
      <c r="CI102" s="153"/>
      <c r="CJ102" s="153"/>
      <c r="CK102" s="153"/>
      <c r="CL102" s="153"/>
      <c r="CM102" s="153"/>
      <c r="CN102" s="153"/>
      <c r="CO102" s="153"/>
      <c r="CP102" s="153"/>
      <c r="CQ102" s="153"/>
      <c r="CR102" s="153"/>
      <c r="CS102" s="153"/>
      <c r="CT102" s="153"/>
      <c r="CU102" s="153"/>
      <c r="CV102" s="153"/>
      <c r="CW102" s="153"/>
      <c r="CX102" s="153"/>
      <c r="CY102" s="153"/>
      <c r="CZ102" s="153"/>
      <c r="DA102" s="153"/>
      <c r="DB102" s="153"/>
      <c r="DC102" s="153"/>
      <c r="DD102" s="153"/>
      <c r="DE102" s="153"/>
      <c r="DF102" s="153"/>
      <c r="DG102" s="153"/>
      <c r="DH102" s="153"/>
      <c r="DI102" s="153"/>
      <c r="DJ102" s="153"/>
      <c r="DK102" s="153"/>
      <c r="DL102" s="153"/>
      <c r="DM102" s="153"/>
      <c r="DN102" s="153"/>
      <c r="DO102" s="153"/>
      <c r="DP102" s="153"/>
      <c r="DQ102" s="153"/>
      <c r="DR102" s="153"/>
      <c r="DS102" s="153"/>
      <c r="DT102" s="153"/>
      <c r="DU102" s="153"/>
      <c r="DV102" s="153"/>
      <c r="DW102" s="153"/>
      <c r="DX102" s="153"/>
      <c r="DY102" s="153"/>
      <c r="DZ102" s="153"/>
      <c r="EA102" s="153"/>
      <c r="EB102" s="153"/>
      <c r="EC102" s="153"/>
      <c r="ED102" s="153"/>
      <c r="EE102" s="153"/>
      <c r="EF102" s="153"/>
      <c r="EG102" s="153"/>
      <c r="EH102" s="153"/>
      <c r="EI102" s="153"/>
      <c r="EJ102" s="153"/>
      <c r="EK102" s="153"/>
      <c r="EL102" s="153"/>
      <c r="EM102" s="153"/>
    </row>
    <row r="103" spans="1:143" s="107" customFormat="1" ht="10.5" customHeight="1">
      <c r="A103" s="1140">
        <v>78</v>
      </c>
      <c r="B103" s="1560" t="str">
        <f t="shared" si="3"/>
        <v/>
      </c>
      <c r="C103" s="161" t="str">
        <f>GasTime(GasAnalyser,'Horiba Data'!F96,'Horiba Data'!G96,'Testo, JUM &amp; MRU Data'!A97,'Thermo Data'!B96,HourOffset)</f>
        <v/>
      </c>
      <c r="D103" s="981" t="str">
        <f>IF(D$17=FALSE,"",GasData(GasAnalyser,'Horiba Data'!S96,'Testo, JUM &amp; MRU Data'!D97,'Thermo Data'!E96,'Testo, JUM &amp; MRU Data'!U97,GDF))</f>
        <v/>
      </c>
      <c r="E103" s="981" t="str">
        <f>IF(D103="","",Conc2(D103,D$9,MolVol,D$21,D$20,E$21,E$20))</f>
        <v/>
      </c>
      <c r="F103" s="981" t="str">
        <f>IF(F$17=FALSE,"",GasData(GasAnalyser,'Horiba Data'!AQ96,'Testo, JUM &amp; MRU Data'!E97,'Thermo Data'!F96,'Testo, JUM &amp; MRU Data'!V97,GDF))</f>
        <v/>
      </c>
      <c r="G103" s="981" t="str">
        <f>IF(F103="","",Conc2(F103,F$9,MolVol,F$21,F$20,G$21,G$20))</f>
        <v/>
      </c>
      <c r="H103" s="981" t="str">
        <f>IF(D$17=FALSE,"",IF(F$17=FALSE,"",GasData(GasAnalyser,'Horiba Data'!W96,'Testo, JUM &amp; MRU Data'!F97,'Thermo Data'!G96,'Testo, JUM &amp; MRU Data'!Y97,GDF)))</f>
        <v/>
      </c>
      <c r="I103" s="981" t="str">
        <f>IF(H103="","",Conc2(H103,H$9,MolVol,H$21,H$20,I$21,I$20))</f>
        <v/>
      </c>
      <c r="J103" s="981" t="str">
        <f>IF(J$17=FALSE,"",GasData(GasAnalyser,'Horiba Data'!AM96,'Testo, JUM &amp; MRU Data'!G97,'Thermo Data'!H96,'Testo, JUM &amp; MRU Data'!W97,GDF))</f>
        <v/>
      </c>
      <c r="K103" s="981" t="str">
        <f>IF(J103="","",Conc2(J103,J$9,MolVol,J$21,J$20,K$21,K$20))</f>
        <v/>
      </c>
      <c r="L103" s="981" t="str">
        <f>IF(L$17=FALSE,"",GasData(GasAnalyser,'Horiba Data'!AA96,'Testo, JUM &amp; MRU Data'!H97,'Thermo Data'!I96,'Testo, JUM &amp; MRU Data'!T97,GDF))</f>
        <v/>
      </c>
      <c r="M103" s="981" t="str">
        <f>IF(L103="","",Conc2(L103,L$9,MolVol,L$21,L$20,M$21,M$20))</f>
        <v/>
      </c>
      <c r="N103" s="981" t="str">
        <f>IF(N$17=FALSE,"",GasData(GasAnalyser,'Horiba Data'!AE96,'Testo, JUM &amp; MRU Data'!I97,'Thermo Data'!J96,'Testo, JUM &amp; MRU Data'!S97,GDF))</f>
        <v/>
      </c>
      <c r="O103" s="981" t="str">
        <f>IF(N103="","",Conc2(N103,N$9,MolVol,N$21,N$20,O$21,O$20))</f>
        <v/>
      </c>
      <c r="P103" s="981" t="str">
        <f>IF(P$17=FALSE,"",GasData(GasAnalyser,'Horiba Data'!AI96,'Testo, JUM &amp; MRU Data'!J97,'Thermo Data'!K96,'Testo, JUM &amp; MRU Data'!R97,GDF))</f>
        <v/>
      </c>
      <c r="Q103" s="981" t="str">
        <f>IF(P103="","",Conc2(P103,P$9,MolVol,P$21,P$20,Q$21,Q$20))</f>
        <v/>
      </c>
      <c r="R103" s="981" t="str">
        <f>IF(R$17=FALSE,"",JUMData('Testo, JUM &amp; MRU Data'!M97,$R$7))</f>
        <v/>
      </c>
      <c r="S103" s="982" t="str">
        <f>IF(R103="","",Conc2(R103,R$9,MolVol,R$21,R$20,S$21,S$20)/(1-Bws))</f>
        <v/>
      </c>
      <c r="T103" s="740"/>
      <c r="AR103" s="334"/>
      <c r="AS103" s="334"/>
      <c r="AT103" s="48"/>
      <c r="AU103" s="48"/>
      <c r="AV103" s="153"/>
      <c r="AW103" s="153"/>
      <c r="AX103" s="153"/>
      <c r="AY103" s="153"/>
      <c r="AZ103" s="153"/>
      <c r="BA103" s="153"/>
      <c r="BB103" s="153"/>
      <c r="BC103" s="153"/>
      <c r="BD103" s="153"/>
      <c r="BE103" s="153"/>
      <c r="BF103" s="153"/>
      <c r="BG103" s="153"/>
      <c r="BH103" s="153"/>
      <c r="BI103" s="153"/>
      <c r="BJ103" s="153"/>
      <c r="BK103" s="153"/>
      <c r="BL103" s="153"/>
      <c r="BM103" s="153"/>
      <c r="BN103" s="153"/>
      <c r="BO103" s="153"/>
      <c r="BP103" s="153"/>
      <c r="BQ103" s="153"/>
      <c r="BR103" s="153"/>
      <c r="BS103" s="153"/>
      <c r="BT103" s="153"/>
      <c r="BU103" s="153"/>
      <c r="BV103" s="153"/>
      <c r="BW103" s="153"/>
      <c r="BX103" s="153"/>
      <c r="BY103" s="153"/>
      <c r="BZ103" s="153"/>
      <c r="CA103" s="153"/>
      <c r="CB103" s="153"/>
      <c r="CC103" s="153"/>
      <c r="CD103" s="153"/>
      <c r="CE103" s="153"/>
      <c r="CF103" s="153"/>
      <c r="CG103" s="153"/>
      <c r="CH103" s="153"/>
      <c r="CI103" s="153"/>
      <c r="CJ103" s="153"/>
      <c r="CK103" s="153"/>
      <c r="CL103" s="153"/>
      <c r="CM103" s="153"/>
      <c r="CN103" s="153"/>
      <c r="CO103" s="153"/>
      <c r="CP103" s="153"/>
      <c r="CQ103" s="153"/>
      <c r="CR103" s="153"/>
      <c r="CS103" s="153"/>
      <c r="CT103" s="153"/>
      <c r="CU103" s="153"/>
      <c r="CV103" s="153"/>
      <c r="CW103" s="153"/>
      <c r="CX103" s="153"/>
      <c r="CY103" s="153"/>
      <c r="CZ103" s="153"/>
      <c r="DA103" s="153"/>
      <c r="DB103" s="153"/>
      <c r="DC103" s="153"/>
      <c r="DD103" s="153"/>
      <c r="DE103" s="153"/>
      <c r="DF103" s="153"/>
      <c r="DG103" s="153"/>
      <c r="DH103" s="153"/>
      <c r="DI103" s="153"/>
      <c r="DJ103" s="153"/>
      <c r="DK103" s="153"/>
      <c r="DL103" s="153"/>
      <c r="DM103" s="153"/>
      <c r="DN103" s="153"/>
      <c r="DO103" s="153"/>
      <c r="DP103" s="153"/>
      <c r="DQ103" s="153"/>
      <c r="DR103" s="153"/>
      <c r="DS103" s="153"/>
      <c r="DT103" s="153"/>
      <c r="DU103" s="153"/>
      <c r="DV103" s="153"/>
      <c r="DW103" s="153"/>
      <c r="DX103" s="153"/>
      <c r="DY103" s="153"/>
      <c r="DZ103" s="153"/>
      <c r="EA103" s="153"/>
      <c r="EB103" s="153"/>
      <c r="EC103" s="153"/>
      <c r="ED103" s="153"/>
      <c r="EE103" s="153"/>
      <c r="EF103" s="153"/>
      <c r="EG103" s="153"/>
      <c r="EH103" s="153"/>
      <c r="EI103" s="153"/>
      <c r="EJ103" s="153"/>
      <c r="EK103" s="153"/>
      <c r="EL103" s="153"/>
      <c r="EM103" s="153"/>
    </row>
    <row r="104" spans="1:143" s="107" customFormat="1" ht="10.5" customHeight="1">
      <c r="A104" s="1140">
        <v>79</v>
      </c>
      <c r="B104" s="1560" t="str">
        <f t="shared" si="3"/>
        <v/>
      </c>
      <c r="C104" s="161" t="str">
        <f>GasTime(GasAnalyser,'Horiba Data'!F97,'Horiba Data'!G97,'Testo, JUM &amp; MRU Data'!A98,'Thermo Data'!B97,HourOffset)</f>
        <v/>
      </c>
      <c r="D104" s="981" t="str">
        <f>IF(D$17=FALSE,"",GasData(GasAnalyser,'Horiba Data'!S97,'Testo, JUM &amp; MRU Data'!D98,'Thermo Data'!E97,'Testo, JUM &amp; MRU Data'!U98,GDF))</f>
        <v/>
      </c>
      <c r="E104" s="981" t="str">
        <f>IF(D104="","",Conc2(D104,D$9,MolVol,D$21,D$20,E$21,E$20))</f>
        <v/>
      </c>
      <c r="F104" s="981" t="str">
        <f>IF(F$17=FALSE,"",GasData(GasAnalyser,'Horiba Data'!AQ97,'Testo, JUM &amp; MRU Data'!E98,'Thermo Data'!F97,'Testo, JUM &amp; MRU Data'!V98,GDF))</f>
        <v/>
      </c>
      <c r="G104" s="981" t="str">
        <f>IF(F104="","",Conc2(F104,F$9,MolVol,F$21,F$20,G$21,G$20))</f>
        <v/>
      </c>
      <c r="H104" s="981" t="str">
        <f>IF(D$17=FALSE,"",IF(F$17=FALSE,"",GasData(GasAnalyser,'Horiba Data'!W97,'Testo, JUM &amp; MRU Data'!F98,'Thermo Data'!G97,'Testo, JUM &amp; MRU Data'!Y98,GDF)))</f>
        <v/>
      </c>
      <c r="I104" s="981" t="str">
        <f>IF(H104="","",Conc2(H104,H$9,MolVol,H$21,H$20,I$21,I$20))</f>
        <v/>
      </c>
      <c r="J104" s="981" t="str">
        <f>IF(J$17=FALSE,"",GasData(GasAnalyser,'Horiba Data'!AM97,'Testo, JUM &amp; MRU Data'!G98,'Thermo Data'!H97,'Testo, JUM &amp; MRU Data'!W98,GDF))</f>
        <v/>
      </c>
      <c r="K104" s="981" t="str">
        <f>IF(J104="","",Conc2(J104,J$9,MolVol,J$21,J$20,K$21,K$20))</f>
        <v/>
      </c>
      <c r="L104" s="981" t="str">
        <f>IF(L$17=FALSE,"",GasData(GasAnalyser,'Horiba Data'!AA97,'Testo, JUM &amp; MRU Data'!H98,'Thermo Data'!I97,'Testo, JUM &amp; MRU Data'!T98,GDF))</f>
        <v/>
      </c>
      <c r="M104" s="981" t="str">
        <f>IF(L104="","",Conc2(L104,L$9,MolVol,L$21,L$20,M$21,M$20))</f>
        <v/>
      </c>
      <c r="N104" s="981" t="str">
        <f>IF(N$17=FALSE,"",GasData(GasAnalyser,'Horiba Data'!AE97,'Testo, JUM &amp; MRU Data'!I98,'Thermo Data'!J97,'Testo, JUM &amp; MRU Data'!S98,GDF))</f>
        <v/>
      </c>
      <c r="O104" s="981" t="str">
        <f>IF(N104="","",Conc2(N104,N$9,MolVol,N$21,N$20,O$21,O$20))</f>
        <v/>
      </c>
      <c r="P104" s="981" t="str">
        <f>IF(P$17=FALSE,"",GasData(GasAnalyser,'Horiba Data'!AI97,'Testo, JUM &amp; MRU Data'!J98,'Thermo Data'!K97,'Testo, JUM &amp; MRU Data'!R98,GDF))</f>
        <v/>
      </c>
      <c r="Q104" s="981" t="str">
        <f>IF(P104="","",Conc2(P104,P$9,MolVol,P$21,P$20,Q$21,Q$20))</f>
        <v/>
      </c>
      <c r="R104" s="981" t="str">
        <f>IF(R$17=FALSE,"",JUMData('Testo, JUM &amp; MRU Data'!M98,$R$7))</f>
        <v/>
      </c>
      <c r="S104" s="982" t="str">
        <f>IF(R104="","",Conc2(R104,R$9,MolVol,R$21,R$20,S$21,S$20)/(1-Bws))</f>
        <v/>
      </c>
      <c r="T104" s="740"/>
      <c r="AR104" s="334"/>
      <c r="AS104" s="334"/>
      <c r="AT104" s="48"/>
      <c r="AU104" s="48"/>
      <c r="AV104" s="153"/>
      <c r="AW104" s="153"/>
      <c r="AX104" s="153"/>
      <c r="AY104" s="153"/>
      <c r="AZ104" s="153"/>
      <c r="BA104" s="153"/>
      <c r="BB104" s="153"/>
      <c r="BC104" s="153"/>
      <c r="BD104" s="153"/>
      <c r="BE104" s="153"/>
      <c r="BF104" s="153"/>
      <c r="BG104" s="153"/>
      <c r="BH104" s="153"/>
      <c r="BI104" s="153"/>
      <c r="BJ104" s="153"/>
      <c r="BK104" s="153"/>
      <c r="BL104" s="153"/>
      <c r="BM104" s="153"/>
      <c r="BN104" s="153"/>
      <c r="BO104" s="153"/>
      <c r="BP104" s="153"/>
      <c r="BQ104" s="153"/>
      <c r="BR104" s="153"/>
      <c r="BS104" s="153"/>
      <c r="BT104" s="153"/>
      <c r="BU104" s="153"/>
      <c r="BV104" s="153"/>
      <c r="BW104" s="153"/>
      <c r="BX104" s="153"/>
      <c r="BY104" s="153"/>
      <c r="BZ104" s="153"/>
      <c r="CA104" s="153"/>
      <c r="CB104" s="153"/>
      <c r="CC104" s="153"/>
      <c r="CD104" s="153"/>
      <c r="CE104" s="153"/>
      <c r="CF104" s="153"/>
      <c r="CG104" s="153"/>
      <c r="CH104" s="153"/>
      <c r="CI104" s="153"/>
      <c r="CJ104" s="153"/>
      <c r="CK104" s="153"/>
      <c r="CL104" s="153"/>
      <c r="CM104" s="153"/>
      <c r="CN104" s="153"/>
      <c r="CO104" s="153"/>
      <c r="CP104" s="153"/>
      <c r="CQ104" s="153"/>
      <c r="CR104" s="153"/>
      <c r="CS104" s="153"/>
      <c r="CT104" s="153"/>
      <c r="CU104" s="153"/>
      <c r="CV104" s="153"/>
      <c r="CW104" s="153"/>
      <c r="CX104" s="153"/>
      <c r="CY104" s="153"/>
      <c r="CZ104" s="153"/>
      <c r="DA104" s="153"/>
      <c r="DB104" s="153"/>
      <c r="DC104" s="153"/>
      <c r="DD104" s="153"/>
      <c r="DE104" s="153"/>
      <c r="DF104" s="153"/>
      <c r="DG104" s="153"/>
      <c r="DH104" s="153"/>
      <c r="DI104" s="153"/>
      <c r="DJ104" s="153"/>
      <c r="DK104" s="153"/>
      <c r="DL104" s="153"/>
      <c r="DM104" s="153"/>
      <c r="DN104" s="153"/>
      <c r="DO104" s="153"/>
      <c r="DP104" s="153"/>
      <c r="DQ104" s="153"/>
      <c r="DR104" s="153"/>
      <c r="DS104" s="153"/>
      <c r="DT104" s="153"/>
      <c r="DU104" s="153"/>
      <c r="DV104" s="153"/>
      <c r="DW104" s="153"/>
      <c r="DX104" s="153"/>
      <c r="DY104" s="153"/>
      <c r="DZ104" s="153"/>
      <c r="EA104" s="153"/>
      <c r="EB104" s="153"/>
      <c r="EC104" s="153"/>
      <c r="ED104" s="153"/>
      <c r="EE104" s="153"/>
      <c r="EF104" s="153"/>
      <c r="EG104" s="153"/>
      <c r="EH104" s="153"/>
      <c r="EI104" s="153"/>
      <c r="EJ104" s="153"/>
      <c r="EK104" s="153"/>
      <c r="EL104" s="153"/>
      <c r="EM104" s="153"/>
    </row>
    <row r="105" spans="1:143" s="107" customFormat="1" ht="10.5" customHeight="1">
      <c r="A105" s="1140">
        <v>80</v>
      </c>
      <c r="B105" s="1560" t="str">
        <f t="shared" si="3"/>
        <v/>
      </c>
      <c r="C105" s="161" t="str">
        <f>GasTime(GasAnalyser,'Horiba Data'!F98,'Horiba Data'!G98,'Testo, JUM &amp; MRU Data'!A99,'Thermo Data'!B98,HourOffset)</f>
        <v/>
      </c>
      <c r="D105" s="981" t="str">
        <f>IF(D$17=FALSE,"",GasData(GasAnalyser,'Horiba Data'!S98,'Testo, JUM &amp; MRU Data'!D99,'Thermo Data'!E98,'Testo, JUM &amp; MRU Data'!U99,GDF))</f>
        <v/>
      </c>
      <c r="E105" s="981" t="str">
        <f>IF(D105="","",Conc2(D105,D$9,MolVol,D$21,D$20,E$21,E$20))</f>
        <v/>
      </c>
      <c r="F105" s="981" t="str">
        <f>IF(F$17=FALSE,"",GasData(GasAnalyser,'Horiba Data'!AQ98,'Testo, JUM &amp; MRU Data'!E99,'Thermo Data'!F98,'Testo, JUM &amp; MRU Data'!V99,GDF))</f>
        <v/>
      </c>
      <c r="G105" s="981" t="str">
        <f>IF(F105="","",Conc2(F105,F$9,MolVol,F$21,F$20,G$21,G$20))</f>
        <v/>
      </c>
      <c r="H105" s="981" t="str">
        <f>IF(D$17=FALSE,"",IF(F$17=FALSE,"",GasData(GasAnalyser,'Horiba Data'!W98,'Testo, JUM &amp; MRU Data'!F99,'Thermo Data'!G98,'Testo, JUM &amp; MRU Data'!Y99,GDF)))</f>
        <v/>
      </c>
      <c r="I105" s="981" t="str">
        <f>IF(H105="","",Conc2(H105,H$9,MolVol,H$21,H$20,I$21,I$20))</f>
        <v/>
      </c>
      <c r="J105" s="981" t="str">
        <f>IF(J$17=FALSE,"",GasData(GasAnalyser,'Horiba Data'!AM98,'Testo, JUM &amp; MRU Data'!G99,'Thermo Data'!H98,'Testo, JUM &amp; MRU Data'!W99,GDF))</f>
        <v/>
      </c>
      <c r="K105" s="981" t="str">
        <f>IF(J105="","",Conc2(J105,J$9,MolVol,J$21,J$20,K$21,K$20))</f>
        <v/>
      </c>
      <c r="L105" s="981" t="str">
        <f>IF(L$17=FALSE,"",GasData(GasAnalyser,'Horiba Data'!AA98,'Testo, JUM &amp; MRU Data'!H99,'Thermo Data'!I98,'Testo, JUM &amp; MRU Data'!T99,GDF))</f>
        <v/>
      </c>
      <c r="M105" s="981" t="str">
        <f>IF(L105="","",Conc2(L105,L$9,MolVol,L$21,L$20,M$21,M$20))</f>
        <v/>
      </c>
      <c r="N105" s="981" t="str">
        <f>IF(N$17=FALSE,"",GasData(GasAnalyser,'Horiba Data'!AE98,'Testo, JUM &amp; MRU Data'!I99,'Thermo Data'!J98,'Testo, JUM &amp; MRU Data'!S99,GDF))</f>
        <v/>
      </c>
      <c r="O105" s="981" t="str">
        <f>IF(N105="","",Conc2(N105,N$9,MolVol,N$21,N$20,O$21,O$20))</f>
        <v/>
      </c>
      <c r="P105" s="981" t="str">
        <f>IF(P$17=FALSE,"",GasData(GasAnalyser,'Horiba Data'!AI98,'Testo, JUM &amp; MRU Data'!J99,'Thermo Data'!K98,'Testo, JUM &amp; MRU Data'!R99,GDF))</f>
        <v/>
      </c>
      <c r="Q105" s="981" t="str">
        <f>IF(P105="","",Conc2(P105,P$9,MolVol,P$21,P$20,Q$21,Q$20))</f>
        <v/>
      </c>
      <c r="R105" s="981" t="str">
        <f>IF(R$17=FALSE,"",JUMData('Testo, JUM &amp; MRU Data'!M99,$R$7))</f>
        <v/>
      </c>
      <c r="S105" s="982" t="str">
        <f>IF(R105="","",Conc2(R105,R$9,MolVol,R$21,R$20,S$21,S$20)/(1-Bws))</f>
        <v/>
      </c>
      <c r="T105" s="740"/>
      <c r="AR105" s="334"/>
      <c r="AS105" s="334"/>
      <c r="AT105" s="48"/>
      <c r="AU105" s="48"/>
      <c r="AV105" s="153"/>
      <c r="AW105" s="153"/>
      <c r="AX105" s="153"/>
      <c r="AY105" s="153"/>
      <c r="AZ105" s="153"/>
      <c r="BA105" s="153"/>
      <c r="BB105" s="153"/>
      <c r="BC105" s="153"/>
      <c r="BD105" s="153"/>
      <c r="BE105" s="153"/>
      <c r="BF105" s="153"/>
      <c r="BG105" s="153"/>
      <c r="BH105" s="153"/>
      <c r="BI105" s="153"/>
      <c r="BJ105" s="153"/>
      <c r="BK105" s="153"/>
      <c r="BL105" s="153"/>
      <c r="BM105" s="153"/>
      <c r="BN105" s="153"/>
      <c r="BO105" s="153"/>
      <c r="BP105" s="153"/>
      <c r="BQ105" s="153"/>
      <c r="BR105" s="153"/>
      <c r="BS105" s="153"/>
      <c r="BT105" s="153"/>
      <c r="BU105" s="153"/>
      <c r="BV105" s="153"/>
      <c r="BW105" s="153"/>
      <c r="BX105" s="153"/>
      <c r="BY105" s="153"/>
      <c r="BZ105" s="153"/>
      <c r="CA105" s="153"/>
      <c r="CB105" s="153"/>
      <c r="CC105" s="153"/>
      <c r="CD105" s="153"/>
      <c r="CE105" s="153"/>
      <c r="CF105" s="153"/>
      <c r="CG105" s="153"/>
      <c r="CH105" s="153"/>
      <c r="CI105" s="153"/>
      <c r="CJ105" s="153"/>
      <c r="CK105" s="153"/>
      <c r="CL105" s="153"/>
      <c r="CM105" s="153"/>
      <c r="CN105" s="153"/>
      <c r="CO105" s="153"/>
      <c r="CP105" s="153"/>
      <c r="CQ105" s="153"/>
      <c r="CR105" s="153"/>
      <c r="CS105" s="153"/>
      <c r="CT105" s="153"/>
      <c r="CU105" s="153"/>
      <c r="CV105" s="153"/>
      <c r="CW105" s="153"/>
      <c r="CX105" s="153"/>
      <c r="CY105" s="153"/>
      <c r="CZ105" s="153"/>
      <c r="DA105" s="153"/>
      <c r="DB105" s="153"/>
      <c r="DC105" s="153"/>
      <c r="DD105" s="153"/>
      <c r="DE105" s="153"/>
      <c r="DF105" s="153"/>
      <c r="DG105" s="153"/>
      <c r="DH105" s="153"/>
      <c r="DI105" s="153"/>
      <c r="DJ105" s="153"/>
      <c r="DK105" s="153"/>
      <c r="DL105" s="153"/>
      <c r="DM105" s="153"/>
      <c r="DN105" s="153"/>
      <c r="DO105" s="153"/>
      <c r="DP105" s="153"/>
      <c r="DQ105" s="153"/>
      <c r="DR105" s="153"/>
      <c r="DS105" s="153"/>
      <c r="DT105" s="153"/>
      <c r="DU105" s="153"/>
      <c r="DV105" s="153"/>
      <c r="DW105" s="153"/>
      <c r="DX105" s="153"/>
      <c r="DY105" s="153"/>
      <c r="DZ105" s="153"/>
      <c r="EA105" s="153"/>
      <c r="EB105" s="153"/>
      <c r="EC105" s="153"/>
      <c r="ED105" s="153"/>
      <c r="EE105" s="153"/>
      <c r="EF105" s="153"/>
      <c r="EG105" s="153"/>
      <c r="EH105" s="153"/>
      <c r="EI105" s="153"/>
      <c r="EJ105" s="153"/>
      <c r="EK105" s="153"/>
      <c r="EL105" s="153"/>
      <c r="EM105" s="153"/>
    </row>
    <row r="106" spans="1:143" s="107" customFormat="1" ht="10.5" customHeight="1">
      <c r="A106" s="1140">
        <v>81</v>
      </c>
      <c r="B106" s="1560" t="str">
        <f t="shared" si="3"/>
        <v/>
      </c>
      <c r="C106" s="161" t="str">
        <f>GasTime(GasAnalyser,'Horiba Data'!F99,'Horiba Data'!G99,'Testo, JUM &amp; MRU Data'!A100,'Thermo Data'!B99,HourOffset)</f>
        <v/>
      </c>
      <c r="D106" s="981" t="str">
        <f>IF(D$17=FALSE,"",GasData(GasAnalyser,'Horiba Data'!S99,'Testo, JUM &amp; MRU Data'!D100,'Thermo Data'!E99,'Testo, JUM &amp; MRU Data'!U100,GDF))</f>
        <v/>
      </c>
      <c r="E106" s="981" t="str">
        <f>IF(D106="","",Conc2(D106,D$9,MolVol,D$21,D$20,E$21,E$20))</f>
        <v/>
      </c>
      <c r="F106" s="981" t="str">
        <f>IF(F$17=FALSE,"",GasData(GasAnalyser,'Horiba Data'!AQ99,'Testo, JUM &amp; MRU Data'!E100,'Thermo Data'!F99,'Testo, JUM &amp; MRU Data'!V100,GDF))</f>
        <v/>
      </c>
      <c r="G106" s="981" t="str">
        <f>IF(F106="","",Conc2(F106,F$9,MolVol,F$21,F$20,G$21,G$20))</f>
        <v/>
      </c>
      <c r="H106" s="981" t="str">
        <f>IF(D$17=FALSE,"",IF(F$17=FALSE,"",GasData(GasAnalyser,'Horiba Data'!W99,'Testo, JUM &amp; MRU Data'!F100,'Thermo Data'!G99,'Testo, JUM &amp; MRU Data'!Y100,GDF)))</f>
        <v/>
      </c>
      <c r="I106" s="981" t="str">
        <f>IF(H106="","",Conc2(H106,H$9,MolVol,H$21,H$20,I$21,I$20))</f>
        <v/>
      </c>
      <c r="J106" s="981" t="str">
        <f>IF(J$17=FALSE,"",GasData(GasAnalyser,'Horiba Data'!AM99,'Testo, JUM &amp; MRU Data'!G100,'Thermo Data'!H99,'Testo, JUM &amp; MRU Data'!W100,GDF))</f>
        <v/>
      </c>
      <c r="K106" s="981" t="str">
        <f>IF(J106="","",Conc2(J106,J$9,MolVol,J$21,J$20,K$21,K$20))</f>
        <v/>
      </c>
      <c r="L106" s="981" t="str">
        <f>IF(L$17=FALSE,"",GasData(GasAnalyser,'Horiba Data'!AA99,'Testo, JUM &amp; MRU Data'!H100,'Thermo Data'!I99,'Testo, JUM &amp; MRU Data'!T100,GDF))</f>
        <v/>
      </c>
      <c r="M106" s="981" t="str">
        <f>IF(L106="","",Conc2(L106,L$9,MolVol,L$21,L$20,M$21,M$20))</f>
        <v/>
      </c>
      <c r="N106" s="981" t="str">
        <f>IF(N$17=FALSE,"",GasData(GasAnalyser,'Horiba Data'!AE99,'Testo, JUM &amp; MRU Data'!I100,'Thermo Data'!J99,'Testo, JUM &amp; MRU Data'!S100,GDF))</f>
        <v/>
      </c>
      <c r="O106" s="981" t="str">
        <f>IF(N106="","",Conc2(N106,N$9,MolVol,N$21,N$20,O$21,O$20))</f>
        <v/>
      </c>
      <c r="P106" s="981" t="str">
        <f>IF(P$17=FALSE,"",GasData(GasAnalyser,'Horiba Data'!AI99,'Testo, JUM &amp; MRU Data'!J100,'Thermo Data'!K99,'Testo, JUM &amp; MRU Data'!R100,GDF))</f>
        <v/>
      </c>
      <c r="Q106" s="981" t="str">
        <f>IF(P106="","",Conc2(P106,P$9,MolVol,P$21,P$20,Q$21,Q$20))</f>
        <v/>
      </c>
      <c r="R106" s="981" t="str">
        <f>IF(R$17=FALSE,"",JUMData('Testo, JUM &amp; MRU Data'!M100,$R$7))</f>
        <v/>
      </c>
      <c r="S106" s="982" t="str">
        <f>IF(R106="","",Conc2(R106,R$9,MolVol,R$21,R$20,S$21,S$20)/(1-Bws))</f>
        <v/>
      </c>
      <c r="T106" s="740"/>
      <c r="AR106" s="334"/>
      <c r="AS106" s="334"/>
      <c r="AT106" s="48"/>
      <c r="AU106" s="48"/>
      <c r="AV106" s="153"/>
      <c r="AW106" s="153"/>
      <c r="AX106" s="153"/>
      <c r="AY106" s="153"/>
      <c r="AZ106" s="153"/>
      <c r="BA106" s="153"/>
      <c r="BB106" s="153"/>
      <c r="BC106" s="153"/>
      <c r="BD106" s="153"/>
      <c r="BE106" s="153"/>
      <c r="BF106" s="153"/>
      <c r="BG106" s="153"/>
      <c r="BH106" s="153"/>
      <c r="BI106" s="153"/>
      <c r="BJ106" s="153"/>
      <c r="BK106" s="153"/>
      <c r="BL106" s="153"/>
      <c r="BM106" s="153"/>
      <c r="BN106" s="153"/>
      <c r="BO106" s="153"/>
      <c r="BP106" s="153"/>
      <c r="BQ106" s="153"/>
      <c r="BR106" s="153"/>
      <c r="BS106" s="153"/>
      <c r="BT106" s="153"/>
      <c r="BU106" s="153"/>
      <c r="BV106" s="153"/>
      <c r="BW106" s="153"/>
      <c r="BX106" s="153"/>
      <c r="BY106" s="153"/>
      <c r="BZ106" s="153"/>
      <c r="CA106" s="153"/>
      <c r="CB106" s="153"/>
      <c r="CC106" s="153"/>
      <c r="CD106" s="153"/>
      <c r="CE106" s="153"/>
      <c r="CF106" s="153"/>
      <c r="CG106" s="153"/>
      <c r="CH106" s="153"/>
      <c r="CI106" s="153"/>
      <c r="CJ106" s="153"/>
      <c r="CK106" s="153"/>
      <c r="CL106" s="153"/>
      <c r="CM106" s="153"/>
      <c r="CN106" s="153"/>
      <c r="CO106" s="153"/>
      <c r="CP106" s="153"/>
      <c r="CQ106" s="153"/>
      <c r="CR106" s="153"/>
      <c r="CS106" s="153"/>
      <c r="CT106" s="153"/>
      <c r="CU106" s="153"/>
      <c r="CV106" s="153"/>
      <c r="CW106" s="153"/>
      <c r="CX106" s="153"/>
      <c r="CY106" s="153"/>
      <c r="CZ106" s="153"/>
      <c r="DA106" s="153"/>
      <c r="DB106" s="153"/>
      <c r="DC106" s="153"/>
      <c r="DD106" s="153"/>
      <c r="DE106" s="153"/>
      <c r="DF106" s="153"/>
      <c r="DG106" s="153"/>
      <c r="DH106" s="153"/>
      <c r="DI106" s="153"/>
      <c r="DJ106" s="153"/>
      <c r="DK106" s="153"/>
      <c r="DL106" s="153"/>
      <c r="DM106" s="153"/>
      <c r="DN106" s="153"/>
      <c r="DO106" s="153"/>
      <c r="DP106" s="153"/>
      <c r="DQ106" s="153"/>
      <c r="DR106" s="153"/>
      <c r="DS106" s="153"/>
      <c r="DT106" s="153"/>
      <c r="DU106" s="153"/>
      <c r="DV106" s="153"/>
      <c r="DW106" s="153"/>
      <c r="DX106" s="153"/>
      <c r="DY106" s="153"/>
      <c r="DZ106" s="153"/>
      <c r="EA106" s="153"/>
      <c r="EB106" s="153"/>
      <c r="EC106" s="153"/>
      <c r="ED106" s="153"/>
      <c r="EE106" s="153"/>
      <c r="EF106" s="153"/>
      <c r="EG106" s="153"/>
      <c r="EH106" s="153"/>
      <c r="EI106" s="153"/>
      <c r="EJ106" s="153"/>
      <c r="EK106" s="153"/>
      <c r="EL106" s="153"/>
      <c r="EM106" s="153"/>
    </row>
    <row r="107" spans="1:143" s="107" customFormat="1" ht="10.5" customHeight="1">
      <c r="A107" s="1140">
        <v>82</v>
      </c>
      <c r="B107" s="1560" t="str">
        <f t="shared" si="3"/>
        <v/>
      </c>
      <c r="C107" s="161" t="str">
        <f>GasTime(GasAnalyser,'Horiba Data'!F100,'Horiba Data'!G100,'Testo, JUM &amp; MRU Data'!A101,'Thermo Data'!B100,HourOffset)</f>
        <v/>
      </c>
      <c r="D107" s="981" t="str">
        <f>IF(D$17=FALSE,"",GasData(GasAnalyser,'Horiba Data'!S100,'Testo, JUM &amp; MRU Data'!D101,'Thermo Data'!E100,'Testo, JUM &amp; MRU Data'!U101,GDF))</f>
        <v/>
      </c>
      <c r="E107" s="981" t="str">
        <f>IF(D107="","",Conc2(D107,D$9,MolVol,D$21,D$20,E$21,E$20))</f>
        <v/>
      </c>
      <c r="F107" s="981" t="str">
        <f>IF(F$17=FALSE,"",GasData(GasAnalyser,'Horiba Data'!AQ100,'Testo, JUM &amp; MRU Data'!E101,'Thermo Data'!F100,'Testo, JUM &amp; MRU Data'!V101,GDF))</f>
        <v/>
      </c>
      <c r="G107" s="981" t="str">
        <f>IF(F107="","",Conc2(F107,F$9,MolVol,F$21,F$20,G$21,G$20))</f>
        <v/>
      </c>
      <c r="H107" s="981" t="str">
        <f>IF(D$17=FALSE,"",IF(F$17=FALSE,"",GasData(GasAnalyser,'Horiba Data'!W100,'Testo, JUM &amp; MRU Data'!F101,'Thermo Data'!G100,'Testo, JUM &amp; MRU Data'!Y101,GDF)))</f>
        <v/>
      </c>
      <c r="I107" s="981" t="str">
        <f>IF(H107="","",Conc2(H107,H$9,MolVol,H$21,H$20,I$21,I$20))</f>
        <v/>
      </c>
      <c r="J107" s="981" t="str">
        <f>IF(J$17=FALSE,"",GasData(GasAnalyser,'Horiba Data'!AM100,'Testo, JUM &amp; MRU Data'!G101,'Thermo Data'!H100,'Testo, JUM &amp; MRU Data'!W101,GDF))</f>
        <v/>
      </c>
      <c r="K107" s="981" t="str">
        <f>IF(J107="","",Conc2(J107,J$9,MolVol,J$21,J$20,K$21,K$20))</f>
        <v/>
      </c>
      <c r="L107" s="981" t="str">
        <f>IF(L$17=FALSE,"",GasData(GasAnalyser,'Horiba Data'!AA100,'Testo, JUM &amp; MRU Data'!H101,'Thermo Data'!I100,'Testo, JUM &amp; MRU Data'!T101,GDF))</f>
        <v/>
      </c>
      <c r="M107" s="981" t="str">
        <f>IF(L107="","",Conc2(L107,L$9,MolVol,L$21,L$20,M$21,M$20))</f>
        <v/>
      </c>
      <c r="N107" s="981" t="str">
        <f>IF(N$17=FALSE,"",GasData(GasAnalyser,'Horiba Data'!AE100,'Testo, JUM &amp; MRU Data'!I101,'Thermo Data'!J100,'Testo, JUM &amp; MRU Data'!S101,GDF))</f>
        <v/>
      </c>
      <c r="O107" s="981" t="str">
        <f>IF(N107="","",Conc2(N107,N$9,MolVol,N$21,N$20,O$21,O$20))</f>
        <v/>
      </c>
      <c r="P107" s="981" t="str">
        <f>IF(P$17=FALSE,"",GasData(GasAnalyser,'Horiba Data'!AI100,'Testo, JUM &amp; MRU Data'!J101,'Thermo Data'!K100,'Testo, JUM &amp; MRU Data'!R101,GDF))</f>
        <v/>
      </c>
      <c r="Q107" s="981" t="str">
        <f>IF(P107="","",Conc2(P107,P$9,MolVol,P$21,P$20,Q$21,Q$20))</f>
        <v/>
      </c>
      <c r="R107" s="981" t="str">
        <f>IF(R$17=FALSE,"",JUMData('Testo, JUM &amp; MRU Data'!M101,$R$7))</f>
        <v/>
      </c>
      <c r="S107" s="982" t="str">
        <f>IF(R107="","",Conc2(R107,R$9,MolVol,R$21,R$20,S$21,S$20)/(1-Bws))</f>
        <v/>
      </c>
      <c r="T107" s="740"/>
      <c r="AR107" s="334"/>
      <c r="AS107" s="334"/>
      <c r="AT107" s="48"/>
      <c r="AU107" s="48"/>
      <c r="AV107" s="153"/>
      <c r="AW107" s="153"/>
      <c r="AX107" s="153"/>
      <c r="AY107" s="153"/>
      <c r="AZ107" s="153"/>
      <c r="BA107" s="153"/>
      <c r="BB107" s="153"/>
      <c r="BC107" s="153"/>
      <c r="BD107" s="153"/>
      <c r="BE107" s="153"/>
      <c r="BF107" s="153"/>
      <c r="BG107" s="153"/>
      <c r="BH107" s="153"/>
      <c r="BI107" s="153"/>
      <c r="BJ107" s="153"/>
      <c r="BK107" s="153"/>
      <c r="BL107" s="153"/>
      <c r="BM107" s="153"/>
      <c r="BN107" s="153"/>
      <c r="BO107" s="153"/>
      <c r="BP107" s="153"/>
      <c r="BQ107" s="153"/>
      <c r="BR107" s="153"/>
      <c r="BS107" s="153"/>
      <c r="BT107" s="153"/>
      <c r="BU107" s="153"/>
      <c r="BV107" s="153"/>
      <c r="BW107" s="153"/>
      <c r="BX107" s="153"/>
      <c r="BY107" s="153"/>
      <c r="BZ107" s="153"/>
      <c r="CA107" s="153"/>
      <c r="CB107" s="153"/>
      <c r="CC107" s="153"/>
      <c r="CD107" s="153"/>
      <c r="CE107" s="153"/>
      <c r="CF107" s="153"/>
      <c r="CG107" s="153"/>
      <c r="CH107" s="153"/>
      <c r="CI107" s="153"/>
      <c r="CJ107" s="153"/>
      <c r="CK107" s="153"/>
      <c r="CL107" s="153"/>
      <c r="CM107" s="153"/>
      <c r="CN107" s="153"/>
      <c r="CO107" s="153"/>
      <c r="CP107" s="153"/>
      <c r="CQ107" s="153"/>
      <c r="CR107" s="153"/>
      <c r="CS107" s="153"/>
      <c r="CT107" s="153"/>
      <c r="CU107" s="153"/>
      <c r="CV107" s="153"/>
      <c r="CW107" s="153"/>
      <c r="CX107" s="153"/>
      <c r="CY107" s="153"/>
      <c r="CZ107" s="153"/>
      <c r="DA107" s="153"/>
      <c r="DB107" s="153"/>
      <c r="DC107" s="153"/>
      <c r="DD107" s="153"/>
      <c r="DE107" s="153"/>
      <c r="DF107" s="153"/>
      <c r="DG107" s="153"/>
      <c r="DH107" s="153"/>
      <c r="DI107" s="153"/>
      <c r="DJ107" s="153"/>
      <c r="DK107" s="153"/>
      <c r="DL107" s="153"/>
      <c r="DM107" s="153"/>
      <c r="DN107" s="153"/>
      <c r="DO107" s="153"/>
      <c r="DP107" s="153"/>
      <c r="DQ107" s="153"/>
      <c r="DR107" s="153"/>
      <c r="DS107" s="153"/>
      <c r="DT107" s="153"/>
      <c r="DU107" s="153"/>
      <c r="DV107" s="153"/>
      <c r="DW107" s="153"/>
      <c r="DX107" s="153"/>
      <c r="DY107" s="153"/>
      <c r="DZ107" s="153"/>
      <c r="EA107" s="153"/>
      <c r="EB107" s="153"/>
      <c r="EC107" s="153"/>
      <c r="ED107" s="153"/>
      <c r="EE107" s="153"/>
      <c r="EF107" s="153"/>
      <c r="EG107" s="153"/>
      <c r="EH107" s="153"/>
      <c r="EI107" s="153"/>
      <c r="EJ107" s="153"/>
      <c r="EK107" s="153"/>
      <c r="EL107" s="153"/>
      <c r="EM107" s="153"/>
    </row>
    <row r="108" spans="1:143" s="107" customFormat="1" ht="10.5" customHeight="1">
      <c r="A108" s="1140">
        <v>83</v>
      </c>
      <c r="B108" s="1560" t="str">
        <f t="shared" si="3"/>
        <v/>
      </c>
      <c r="C108" s="161" t="str">
        <f>GasTime(GasAnalyser,'Horiba Data'!F101,'Horiba Data'!G101,'Testo, JUM &amp; MRU Data'!A102,'Thermo Data'!B101,HourOffset)</f>
        <v/>
      </c>
      <c r="D108" s="981" t="str">
        <f>IF(D$17=FALSE,"",GasData(GasAnalyser,'Horiba Data'!S101,'Testo, JUM &amp; MRU Data'!D102,'Thermo Data'!E101,'Testo, JUM &amp; MRU Data'!U102,GDF))</f>
        <v/>
      </c>
      <c r="E108" s="981" t="str">
        <f>IF(D108="","",Conc2(D108,D$9,MolVol,D$21,D$20,E$21,E$20))</f>
        <v/>
      </c>
      <c r="F108" s="981" t="str">
        <f>IF(F$17=FALSE,"",GasData(GasAnalyser,'Horiba Data'!AQ101,'Testo, JUM &amp; MRU Data'!E102,'Thermo Data'!F101,'Testo, JUM &amp; MRU Data'!V102,GDF))</f>
        <v/>
      </c>
      <c r="G108" s="981" t="str">
        <f>IF(F108="","",Conc2(F108,F$9,MolVol,F$21,F$20,G$21,G$20))</f>
        <v/>
      </c>
      <c r="H108" s="981" t="str">
        <f>IF(D$17=FALSE,"",IF(F$17=FALSE,"",GasData(GasAnalyser,'Horiba Data'!W101,'Testo, JUM &amp; MRU Data'!F102,'Thermo Data'!G101,'Testo, JUM &amp; MRU Data'!Y102,GDF)))</f>
        <v/>
      </c>
      <c r="I108" s="981" t="str">
        <f>IF(H108="","",Conc2(H108,H$9,MolVol,H$21,H$20,I$21,I$20))</f>
        <v/>
      </c>
      <c r="J108" s="981" t="str">
        <f>IF(J$17=FALSE,"",GasData(GasAnalyser,'Horiba Data'!AM101,'Testo, JUM &amp; MRU Data'!G102,'Thermo Data'!H101,'Testo, JUM &amp; MRU Data'!W102,GDF))</f>
        <v/>
      </c>
      <c r="K108" s="981" t="str">
        <f>IF(J108="","",Conc2(J108,J$9,MolVol,J$21,J$20,K$21,K$20))</f>
        <v/>
      </c>
      <c r="L108" s="981" t="str">
        <f>IF(L$17=FALSE,"",GasData(GasAnalyser,'Horiba Data'!AA101,'Testo, JUM &amp; MRU Data'!H102,'Thermo Data'!I101,'Testo, JUM &amp; MRU Data'!T102,GDF))</f>
        <v/>
      </c>
      <c r="M108" s="981" t="str">
        <f>IF(L108="","",Conc2(L108,L$9,MolVol,L$21,L$20,M$21,M$20))</f>
        <v/>
      </c>
      <c r="N108" s="981" t="str">
        <f>IF(N$17=FALSE,"",GasData(GasAnalyser,'Horiba Data'!AE101,'Testo, JUM &amp; MRU Data'!I102,'Thermo Data'!J101,'Testo, JUM &amp; MRU Data'!S102,GDF))</f>
        <v/>
      </c>
      <c r="O108" s="981" t="str">
        <f>IF(N108="","",Conc2(N108,N$9,MolVol,N$21,N$20,O$21,O$20))</f>
        <v/>
      </c>
      <c r="P108" s="981" t="str">
        <f>IF(P$17=FALSE,"",GasData(GasAnalyser,'Horiba Data'!AI101,'Testo, JUM &amp; MRU Data'!J102,'Thermo Data'!K101,'Testo, JUM &amp; MRU Data'!R102,GDF))</f>
        <v/>
      </c>
      <c r="Q108" s="981" t="str">
        <f>IF(P108="","",Conc2(P108,P$9,MolVol,P$21,P$20,Q$21,Q$20))</f>
        <v/>
      </c>
      <c r="R108" s="981" t="str">
        <f>IF(R$17=FALSE,"",JUMData('Testo, JUM &amp; MRU Data'!M102,$R$7))</f>
        <v/>
      </c>
      <c r="S108" s="982" t="str">
        <f>IF(R108="","",Conc2(R108,R$9,MolVol,R$21,R$20,S$21,S$20)/(1-Bws))</f>
        <v/>
      </c>
      <c r="T108" s="740"/>
      <c r="AR108" s="334"/>
      <c r="AS108" s="334"/>
      <c r="AT108" s="48"/>
      <c r="AU108" s="48"/>
      <c r="AV108" s="153"/>
      <c r="AW108" s="153"/>
      <c r="AX108" s="153"/>
      <c r="AY108" s="153"/>
      <c r="AZ108" s="153"/>
      <c r="BA108" s="153"/>
      <c r="BB108" s="153"/>
      <c r="BC108" s="153"/>
      <c r="BD108" s="153"/>
      <c r="BE108" s="153"/>
      <c r="BF108" s="153"/>
      <c r="BG108" s="153"/>
      <c r="BH108" s="153"/>
      <c r="BI108" s="153"/>
      <c r="BJ108" s="153"/>
      <c r="BK108" s="153"/>
      <c r="BL108" s="153"/>
      <c r="BM108" s="153"/>
      <c r="BN108" s="153"/>
      <c r="BO108" s="153"/>
      <c r="BP108" s="153"/>
      <c r="BQ108" s="153"/>
      <c r="BR108" s="153"/>
      <c r="BS108" s="153"/>
      <c r="BT108" s="153"/>
      <c r="BU108" s="153"/>
      <c r="BV108" s="153"/>
      <c r="BW108" s="153"/>
      <c r="BX108" s="153"/>
      <c r="BY108" s="153"/>
      <c r="BZ108" s="153"/>
      <c r="CA108" s="153"/>
      <c r="CB108" s="153"/>
      <c r="CC108" s="153"/>
      <c r="CD108" s="153"/>
      <c r="CE108" s="153"/>
      <c r="CF108" s="153"/>
      <c r="CG108" s="153"/>
      <c r="CH108" s="153"/>
      <c r="CI108" s="153"/>
      <c r="CJ108" s="153"/>
      <c r="CK108" s="153"/>
      <c r="CL108" s="153"/>
      <c r="CM108" s="153"/>
      <c r="CN108" s="153"/>
      <c r="CO108" s="153"/>
      <c r="CP108" s="153"/>
      <c r="CQ108" s="153"/>
      <c r="CR108" s="153"/>
      <c r="CS108" s="153"/>
      <c r="CT108" s="153"/>
      <c r="CU108" s="153"/>
      <c r="CV108" s="153"/>
      <c r="CW108" s="153"/>
      <c r="CX108" s="153"/>
      <c r="CY108" s="153"/>
      <c r="CZ108" s="153"/>
      <c r="DA108" s="153"/>
      <c r="DB108" s="153"/>
      <c r="DC108" s="153"/>
      <c r="DD108" s="153"/>
      <c r="DE108" s="153"/>
      <c r="DF108" s="153"/>
      <c r="DG108" s="153"/>
      <c r="DH108" s="153"/>
      <c r="DI108" s="153"/>
      <c r="DJ108" s="153"/>
      <c r="DK108" s="153"/>
      <c r="DL108" s="153"/>
      <c r="DM108" s="153"/>
      <c r="DN108" s="153"/>
      <c r="DO108" s="153"/>
      <c r="DP108" s="153"/>
      <c r="DQ108" s="153"/>
      <c r="DR108" s="153"/>
      <c r="DS108" s="153"/>
      <c r="DT108" s="153"/>
      <c r="DU108" s="153"/>
      <c r="DV108" s="153"/>
      <c r="DW108" s="153"/>
      <c r="DX108" s="153"/>
      <c r="DY108" s="153"/>
      <c r="DZ108" s="153"/>
      <c r="EA108" s="153"/>
      <c r="EB108" s="153"/>
      <c r="EC108" s="153"/>
      <c r="ED108" s="153"/>
      <c r="EE108" s="153"/>
      <c r="EF108" s="153"/>
      <c r="EG108" s="153"/>
      <c r="EH108" s="153"/>
      <c r="EI108" s="153"/>
      <c r="EJ108" s="153"/>
      <c r="EK108" s="153"/>
      <c r="EL108" s="153"/>
      <c r="EM108" s="153"/>
    </row>
    <row r="109" spans="1:143" s="107" customFormat="1" ht="10.5" customHeight="1">
      <c r="A109" s="1140">
        <v>84</v>
      </c>
      <c r="B109" s="1560" t="str">
        <f t="shared" si="3"/>
        <v/>
      </c>
      <c r="C109" s="161" t="str">
        <f>GasTime(GasAnalyser,'Horiba Data'!F102,'Horiba Data'!G102,'Testo, JUM &amp; MRU Data'!A103,'Thermo Data'!B102,HourOffset)</f>
        <v/>
      </c>
      <c r="D109" s="981" t="str">
        <f>IF(D$17=FALSE,"",GasData(GasAnalyser,'Horiba Data'!S102,'Testo, JUM &amp; MRU Data'!D103,'Thermo Data'!E102,'Testo, JUM &amp; MRU Data'!U103,GDF))</f>
        <v/>
      </c>
      <c r="E109" s="981" t="str">
        <f>IF(D109="","",Conc2(D109,D$9,MolVol,D$21,D$20,E$21,E$20))</f>
        <v/>
      </c>
      <c r="F109" s="981" t="str">
        <f>IF(F$17=FALSE,"",GasData(GasAnalyser,'Horiba Data'!AQ102,'Testo, JUM &amp; MRU Data'!E103,'Thermo Data'!F102,'Testo, JUM &amp; MRU Data'!V103,GDF))</f>
        <v/>
      </c>
      <c r="G109" s="981" t="str">
        <f>IF(F109="","",Conc2(F109,F$9,MolVol,F$21,F$20,G$21,G$20))</f>
        <v/>
      </c>
      <c r="H109" s="981" t="str">
        <f>IF(D$17=FALSE,"",IF(F$17=FALSE,"",GasData(GasAnalyser,'Horiba Data'!W102,'Testo, JUM &amp; MRU Data'!F103,'Thermo Data'!G102,'Testo, JUM &amp; MRU Data'!Y103,GDF)))</f>
        <v/>
      </c>
      <c r="I109" s="981" t="str">
        <f>IF(H109="","",Conc2(H109,H$9,MolVol,H$21,H$20,I$21,I$20))</f>
        <v/>
      </c>
      <c r="J109" s="981" t="str">
        <f>IF(J$17=FALSE,"",GasData(GasAnalyser,'Horiba Data'!AM102,'Testo, JUM &amp; MRU Data'!G103,'Thermo Data'!H102,'Testo, JUM &amp; MRU Data'!W103,GDF))</f>
        <v/>
      </c>
      <c r="K109" s="981" t="str">
        <f>IF(J109="","",Conc2(J109,J$9,MolVol,J$21,J$20,K$21,K$20))</f>
        <v/>
      </c>
      <c r="L109" s="981" t="str">
        <f>IF(L$17=FALSE,"",GasData(GasAnalyser,'Horiba Data'!AA102,'Testo, JUM &amp; MRU Data'!H103,'Thermo Data'!I102,'Testo, JUM &amp; MRU Data'!T103,GDF))</f>
        <v/>
      </c>
      <c r="M109" s="981" t="str">
        <f>IF(L109="","",Conc2(L109,L$9,MolVol,L$21,L$20,M$21,M$20))</f>
        <v/>
      </c>
      <c r="N109" s="981" t="str">
        <f>IF(N$17=FALSE,"",GasData(GasAnalyser,'Horiba Data'!AE102,'Testo, JUM &amp; MRU Data'!I103,'Thermo Data'!J102,'Testo, JUM &amp; MRU Data'!S103,GDF))</f>
        <v/>
      </c>
      <c r="O109" s="981" t="str">
        <f>IF(N109="","",Conc2(N109,N$9,MolVol,N$21,N$20,O$21,O$20))</f>
        <v/>
      </c>
      <c r="P109" s="981" t="str">
        <f>IF(P$17=FALSE,"",GasData(GasAnalyser,'Horiba Data'!AI102,'Testo, JUM &amp; MRU Data'!J103,'Thermo Data'!K102,'Testo, JUM &amp; MRU Data'!R103,GDF))</f>
        <v/>
      </c>
      <c r="Q109" s="981" t="str">
        <f>IF(P109="","",Conc2(P109,P$9,MolVol,P$21,P$20,Q$21,Q$20))</f>
        <v/>
      </c>
      <c r="R109" s="981" t="str">
        <f>IF(R$17=FALSE,"",JUMData('Testo, JUM &amp; MRU Data'!M103,$R$7))</f>
        <v/>
      </c>
      <c r="S109" s="982" t="str">
        <f>IF(R109="","",Conc2(R109,R$9,MolVol,R$21,R$20,S$21,S$20)/(1-Bws))</f>
        <v/>
      </c>
      <c r="T109" s="740"/>
      <c r="AR109" s="334"/>
      <c r="AS109" s="334"/>
      <c r="AT109" s="48"/>
      <c r="AU109" s="48"/>
      <c r="AV109" s="153"/>
      <c r="AW109" s="153"/>
      <c r="AX109" s="153"/>
      <c r="AY109" s="153"/>
      <c r="AZ109" s="153"/>
      <c r="BA109" s="153"/>
      <c r="BB109" s="153"/>
      <c r="BC109" s="153"/>
      <c r="BD109" s="153"/>
      <c r="BE109" s="153"/>
      <c r="BF109" s="153"/>
      <c r="BG109" s="153"/>
      <c r="BH109" s="153"/>
      <c r="BI109" s="153"/>
      <c r="BJ109" s="153"/>
      <c r="BK109" s="153"/>
      <c r="BL109" s="153"/>
      <c r="BM109" s="153"/>
      <c r="BN109" s="153"/>
      <c r="BO109" s="153"/>
      <c r="BP109" s="153"/>
      <c r="BQ109" s="153"/>
      <c r="BR109" s="153"/>
      <c r="BS109" s="153"/>
      <c r="BT109" s="153"/>
      <c r="BU109" s="153"/>
      <c r="BV109" s="153"/>
      <c r="BW109" s="153"/>
      <c r="BX109" s="153"/>
      <c r="BY109" s="153"/>
      <c r="BZ109" s="153"/>
      <c r="CA109" s="153"/>
      <c r="CB109" s="153"/>
      <c r="CC109" s="153"/>
      <c r="CD109" s="153"/>
      <c r="CE109" s="153"/>
      <c r="CF109" s="153"/>
      <c r="CG109" s="153"/>
      <c r="CH109" s="153"/>
      <c r="CI109" s="153"/>
      <c r="CJ109" s="153"/>
      <c r="CK109" s="153"/>
      <c r="CL109" s="153"/>
      <c r="CM109" s="153"/>
      <c r="CN109" s="153"/>
      <c r="CO109" s="153"/>
      <c r="CP109" s="153"/>
      <c r="CQ109" s="153"/>
      <c r="CR109" s="153"/>
      <c r="CS109" s="153"/>
      <c r="CT109" s="153"/>
      <c r="CU109" s="153"/>
      <c r="CV109" s="153"/>
      <c r="CW109" s="153"/>
      <c r="CX109" s="153"/>
      <c r="CY109" s="153"/>
      <c r="CZ109" s="153"/>
      <c r="DA109" s="153"/>
      <c r="DB109" s="153"/>
      <c r="DC109" s="153"/>
      <c r="DD109" s="153"/>
      <c r="DE109" s="153"/>
      <c r="DF109" s="153"/>
      <c r="DG109" s="153"/>
      <c r="DH109" s="153"/>
      <c r="DI109" s="153"/>
      <c r="DJ109" s="153"/>
      <c r="DK109" s="153"/>
      <c r="DL109" s="153"/>
      <c r="DM109" s="153"/>
      <c r="DN109" s="153"/>
      <c r="DO109" s="153"/>
      <c r="DP109" s="153"/>
      <c r="DQ109" s="153"/>
      <c r="DR109" s="153"/>
      <c r="DS109" s="153"/>
      <c r="DT109" s="153"/>
      <c r="DU109" s="153"/>
      <c r="DV109" s="153"/>
      <c r="DW109" s="153"/>
      <c r="DX109" s="153"/>
      <c r="DY109" s="153"/>
      <c r="DZ109" s="153"/>
      <c r="EA109" s="153"/>
      <c r="EB109" s="153"/>
      <c r="EC109" s="153"/>
      <c r="ED109" s="153"/>
      <c r="EE109" s="153"/>
      <c r="EF109" s="153"/>
      <c r="EG109" s="153"/>
      <c r="EH109" s="153"/>
      <c r="EI109" s="153"/>
      <c r="EJ109" s="153"/>
      <c r="EK109" s="153"/>
      <c r="EL109" s="153"/>
      <c r="EM109" s="153"/>
    </row>
    <row r="110" spans="1:143" s="107" customFormat="1" ht="10.5" customHeight="1">
      <c r="A110" s="1140">
        <v>85</v>
      </c>
      <c r="B110" s="1560" t="str">
        <f t="shared" si="3"/>
        <v/>
      </c>
      <c r="C110" s="161" t="str">
        <f>GasTime(GasAnalyser,'Horiba Data'!F103,'Horiba Data'!G103,'Testo, JUM &amp; MRU Data'!A104,'Thermo Data'!B103,HourOffset)</f>
        <v/>
      </c>
      <c r="D110" s="981" t="str">
        <f>IF(D$17=FALSE,"",GasData(GasAnalyser,'Horiba Data'!S103,'Testo, JUM &amp; MRU Data'!D104,'Thermo Data'!E103,'Testo, JUM &amp; MRU Data'!U104,GDF))</f>
        <v/>
      </c>
      <c r="E110" s="981" t="str">
        <f>IF(D110="","",Conc2(D110,D$9,MolVol,D$21,D$20,E$21,E$20))</f>
        <v/>
      </c>
      <c r="F110" s="981" t="str">
        <f>IF(F$17=FALSE,"",GasData(GasAnalyser,'Horiba Data'!AQ103,'Testo, JUM &amp; MRU Data'!E104,'Thermo Data'!F103,'Testo, JUM &amp; MRU Data'!V104,GDF))</f>
        <v/>
      </c>
      <c r="G110" s="981" t="str">
        <f>IF(F110="","",Conc2(F110,F$9,MolVol,F$21,F$20,G$21,G$20))</f>
        <v/>
      </c>
      <c r="H110" s="981" t="str">
        <f>IF(D$17=FALSE,"",IF(F$17=FALSE,"",GasData(GasAnalyser,'Horiba Data'!W103,'Testo, JUM &amp; MRU Data'!F104,'Thermo Data'!G103,'Testo, JUM &amp; MRU Data'!Y104,GDF)))</f>
        <v/>
      </c>
      <c r="I110" s="981" t="str">
        <f>IF(H110="","",Conc2(H110,H$9,MolVol,H$21,H$20,I$21,I$20))</f>
        <v/>
      </c>
      <c r="J110" s="981" t="str">
        <f>IF(J$17=FALSE,"",GasData(GasAnalyser,'Horiba Data'!AM103,'Testo, JUM &amp; MRU Data'!G104,'Thermo Data'!H103,'Testo, JUM &amp; MRU Data'!W104,GDF))</f>
        <v/>
      </c>
      <c r="K110" s="981" t="str">
        <f>IF(J110="","",Conc2(J110,J$9,MolVol,J$21,J$20,K$21,K$20))</f>
        <v/>
      </c>
      <c r="L110" s="981" t="str">
        <f>IF(L$17=FALSE,"",GasData(GasAnalyser,'Horiba Data'!AA103,'Testo, JUM &amp; MRU Data'!H104,'Thermo Data'!I103,'Testo, JUM &amp; MRU Data'!T104,GDF))</f>
        <v/>
      </c>
      <c r="M110" s="981" t="str">
        <f>IF(L110="","",Conc2(L110,L$9,MolVol,L$21,L$20,M$21,M$20))</f>
        <v/>
      </c>
      <c r="N110" s="981" t="str">
        <f>IF(N$17=FALSE,"",GasData(GasAnalyser,'Horiba Data'!AE103,'Testo, JUM &amp; MRU Data'!I104,'Thermo Data'!J103,'Testo, JUM &amp; MRU Data'!S104,GDF))</f>
        <v/>
      </c>
      <c r="O110" s="981" t="str">
        <f>IF(N110="","",Conc2(N110,N$9,MolVol,N$21,N$20,O$21,O$20))</f>
        <v/>
      </c>
      <c r="P110" s="981" t="str">
        <f>IF(P$17=FALSE,"",GasData(GasAnalyser,'Horiba Data'!AI103,'Testo, JUM &amp; MRU Data'!J104,'Thermo Data'!K103,'Testo, JUM &amp; MRU Data'!R104,GDF))</f>
        <v/>
      </c>
      <c r="Q110" s="981" t="str">
        <f>IF(P110="","",Conc2(P110,P$9,MolVol,P$21,P$20,Q$21,Q$20))</f>
        <v/>
      </c>
      <c r="R110" s="981" t="str">
        <f>IF(R$17=FALSE,"",JUMData('Testo, JUM &amp; MRU Data'!M104,$R$7))</f>
        <v/>
      </c>
      <c r="S110" s="982" t="str">
        <f>IF(R110="","",Conc2(R110,R$9,MolVol,R$21,R$20,S$21,S$20)/(1-Bws))</f>
        <v/>
      </c>
      <c r="T110" s="740"/>
      <c r="AR110" s="334"/>
      <c r="AS110" s="334"/>
      <c r="AT110" s="48"/>
      <c r="AU110" s="48"/>
      <c r="AV110" s="153"/>
      <c r="AW110" s="153"/>
      <c r="AX110" s="153"/>
      <c r="AY110" s="153"/>
      <c r="AZ110" s="153"/>
      <c r="BA110" s="153"/>
      <c r="BB110" s="153"/>
      <c r="BC110" s="153"/>
      <c r="BD110" s="153"/>
      <c r="BE110" s="153"/>
      <c r="BF110" s="153"/>
      <c r="BG110" s="153"/>
      <c r="BH110" s="153"/>
      <c r="BI110" s="153"/>
      <c r="BJ110" s="153"/>
      <c r="BK110" s="153"/>
      <c r="BL110" s="153"/>
      <c r="BM110" s="153"/>
      <c r="BN110" s="153"/>
      <c r="BO110" s="153"/>
      <c r="BP110" s="153"/>
      <c r="BQ110" s="153"/>
      <c r="BR110" s="153"/>
      <c r="BS110" s="153"/>
      <c r="BT110" s="153"/>
      <c r="BU110" s="153"/>
      <c r="BV110" s="153"/>
      <c r="BW110" s="153"/>
      <c r="BX110" s="153"/>
      <c r="BY110" s="153"/>
      <c r="BZ110" s="153"/>
      <c r="CA110" s="153"/>
      <c r="CB110" s="153"/>
      <c r="CC110" s="153"/>
      <c r="CD110" s="153"/>
      <c r="CE110" s="153"/>
      <c r="CF110" s="153"/>
      <c r="CG110" s="153"/>
      <c r="CH110" s="153"/>
      <c r="CI110" s="153"/>
      <c r="CJ110" s="153"/>
      <c r="CK110" s="153"/>
      <c r="CL110" s="153"/>
      <c r="CM110" s="153"/>
      <c r="CN110" s="153"/>
      <c r="CO110" s="153"/>
      <c r="CP110" s="153"/>
      <c r="CQ110" s="153"/>
      <c r="CR110" s="153"/>
      <c r="CS110" s="153"/>
      <c r="CT110" s="153"/>
      <c r="CU110" s="153"/>
      <c r="CV110" s="153"/>
      <c r="CW110" s="153"/>
      <c r="CX110" s="153"/>
      <c r="CY110" s="153"/>
      <c r="CZ110" s="153"/>
      <c r="DA110" s="153"/>
      <c r="DB110" s="153"/>
      <c r="DC110" s="153"/>
      <c r="DD110" s="153"/>
      <c r="DE110" s="153"/>
      <c r="DF110" s="153"/>
      <c r="DG110" s="153"/>
      <c r="DH110" s="153"/>
      <c r="DI110" s="153"/>
      <c r="DJ110" s="153"/>
      <c r="DK110" s="153"/>
      <c r="DL110" s="153"/>
      <c r="DM110" s="153"/>
      <c r="DN110" s="153"/>
      <c r="DO110" s="153"/>
      <c r="DP110" s="153"/>
      <c r="DQ110" s="153"/>
      <c r="DR110" s="153"/>
      <c r="DS110" s="153"/>
      <c r="DT110" s="153"/>
      <c r="DU110" s="153"/>
      <c r="DV110" s="153"/>
      <c r="DW110" s="153"/>
      <c r="DX110" s="153"/>
      <c r="DY110" s="153"/>
      <c r="DZ110" s="153"/>
      <c r="EA110" s="153"/>
      <c r="EB110" s="153"/>
      <c r="EC110" s="153"/>
      <c r="ED110" s="153"/>
      <c r="EE110" s="153"/>
      <c r="EF110" s="153"/>
      <c r="EG110" s="153"/>
      <c r="EH110" s="153"/>
      <c r="EI110" s="153"/>
      <c r="EJ110" s="153"/>
      <c r="EK110" s="153"/>
      <c r="EL110" s="153"/>
      <c r="EM110" s="153"/>
    </row>
    <row r="111" spans="1:143" s="107" customFormat="1" ht="10.5" customHeight="1">
      <c r="A111" s="1140">
        <v>86</v>
      </c>
      <c r="B111" s="1560" t="str">
        <f t="shared" si="3"/>
        <v/>
      </c>
      <c r="C111" s="161" t="str">
        <f>GasTime(GasAnalyser,'Horiba Data'!F104,'Horiba Data'!G104,'Testo, JUM &amp; MRU Data'!A105,'Thermo Data'!B104,HourOffset)</f>
        <v/>
      </c>
      <c r="D111" s="981" t="str">
        <f>IF(D$17=FALSE,"",GasData(GasAnalyser,'Horiba Data'!S104,'Testo, JUM &amp; MRU Data'!D105,'Thermo Data'!E104,'Testo, JUM &amp; MRU Data'!U105,GDF))</f>
        <v/>
      </c>
      <c r="E111" s="981" t="str">
        <f>IF(D111="","",Conc2(D111,D$9,MolVol,D$21,D$20,E$21,E$20))</f>
        <v/>
      </c>
      <c r="F111" s="981" t="str">
        <f>IF(F$17=FALSE,"",GasData(GasAnalyser,'Horiba Data'!AQ104,'Testo, JUM &amp; MRU Data'!E105,'Thermo Data'!F104,'Testo, JUM &amp; MRU Data'!V105,GDF))</f>
        <v/>
      </c>
      <c r="G111" s="981" t="str">
        <f>IF(F111="","",Conc2(F111,F$9,MolVol,F$21,F$20,G$21,G$20))</f>
        <v/>
      </c>
      <c r="H111" s="981" t="str">
        <f>IF(D$17=FALSE,"",IF(F$17=FALSE,"",GasData(GasAnalyser,'Horiba Data'!W104,'Testo, JUM &amp; MRU Data'!F105,'Thermo Data'!G104,'Testo, JUM &amp; MRU Data'!Y105,GDF)))</f>
        <v/>
      </c>
      <c r="I111" s="981" t="str">
        <f>IF(H111="","",Conc2(H111,H$9,MolVol,H$21,H$20,I$21,I$20))</f>
        <v/>
      </c>
      <c r="J111" s="981" t="str">
        <f>IF(J$17=FALSE,"",GasData(GasAnalyser,'Horiba Data'!AM104,'Testo, JUM &amp; MRU Data'!G105,'Thermo Data'!H104,'Testo, JUM &amp; MRU Data'!W105,GDF))</f>
        <v/>
      </c>
      <c r="K111" s="981" t="str">
        <f>IF(J111="","",Conc2(J111,J$9,MolVol,J$21,J$20,K$21,K$20))</f>
        <v/>
      </c>
      <c r="L111" s="981" t="str">
        <f>IF(L$17=FALSE,"",GasData(GasAnalyser,'Horiba Data'!AA104,'Testo, JUM &amp; MRU Data'!H105,'Thermo Data'!I104,'Testo, JUM &amp; MRU Data'!T105,GDF))</f>
        <v/>
      </c>
      <c r="M111" s="981" t="str">
        <f>IF(L111="","",Conc2(L111,L$9,MolVol,L$21,L$20,M$21,M$20))</f>
        <v/>
      </c>
      <c r="N111" s="981" t="str">
        <f>IF(N$17=FALSE,"",GasData(GasAnalyser,'Horiba Data'!AE104,'Testo, JUM &amp; MRU Data'!I105,'Thermo Data'!J104,'Testo, JUM &amp; MRU Data'!S105,GDF))</f>
        <v/>
      </c>
      <c r="O111" s="981" t="str">
        <f>IF(N111="","",Conc2(N111,N$9,MolVol,N$21,N$20,O$21,O$20))</f>
        <v/>
      </c>
      <c r="P111" s="981" t="str">
        <f>IF(P$17=FALSE,"",GasData(GasAnalyser,'Horiba Data'!AI104,'Testo, JUM &amp; MRU Data'!J105,'Thermo Data'!K104,'Testo, JUM &amp; MRU Data'!R105,GDF))</f>
        <v/>
      </c>
      <c r="Q111" s="981" t="str">
        <f>IF(P111="","",Conc2(P111,P$9,MolVol,P$21,P$20,Q$21,Q$20))</f>
        <v/>
      </c>
      <c r="R111" s="981" t="str">
        <f>IF(R$17=FALSE,"",JUMData('Testo, JUM &amp; MRU Data'!M105,$R$7))</f>
        <v/>
      </c>
      <c r="S111" s="982" t="str">
        <f>IF(R111="","",Conc2(R111,R$9,MolVol,R$21,R$20,S$21,S$20)/(1-Bws))</f>
        <v/>
      </c>
      <c r="T111" s="740"/>
      <c r="AR111" s="334"/>
      <c r="AS111" s="334"/>
      <c r="AT111" s="48"/>
      <c r="AU111" s="48"/>
      <c r="AV111" s="153"/>
      <c r="AW111" s="153"/>
      <c r="AX111" s="153"/>
      <c r="AY111" s="153"/>
      <c r="AZ111" s="153"/>
      <c r="BA111" s="153"/>
      <c r="BB111" s="153"/>
      <c r="BC111" s="153"/>
      <c r="BD111" s="153"/>
      <c r="BE111" s="153"/>
      <c r="BF111" s="153"/>
      <c r="BG111" s="153"/>
      <c r="BH111" s="153"/>
      <c r="BI111" s="153"/>
      <c r="BJ111" s="153"/>
      <c r="BK111" s="153"/>
      <c r="BL111" s="153"/>
      <c r="BM111" s="153"/>
      <c r="BN111" s="153"/>
      <c r="BO111" s="153"/>
      <c r="BP111" s="153"/>
      <c r="BQ111" s="153"/>
      <c r="BR111" s="153"/>
      <c r="BS111" s="153"/>
      <c r="BT111" s="153"/>
      <c r="BU111" s="153"/>
      <c r="BV111" s="153"/>
      <c r="BW111" s="153"/>
      <c r="BX111" s="153"/>
      <c r="BY111" s="153"/>
      <c r="BZ111" s="153"/>
      <c r="CA111" s="153"/>
      <c r="CB111" s="153"/>
      <c r="CC111" s="153"/>
      <c r="CD111" s="153"/>
      <c r="CE111" s="153"/>
      <c r="CF111" s="153"/>
      <c r="CG111" s="153"/>
      <c r="CH111" s="153"/>
      <c r="CI111" s="153"/>
      <c r="CJ111" s="153"/>
      <c r="CK111" s="153"/>
      <c r="CL111" s="153"/>
      <c r="CM111" s="153"/>
      <c r="CN111" s="153"/>
      <c r="CO111" s="153"/>
      <c r="CP111" s="153"/>
      <c r="CQ111" s="153"/>
      <c r="CR111" s="153"/>
      <c r="CS111" s="153"/>
      <c r="CT111" s="153"/>
      <c r="CU111" s="153"/>
      <c r="CV111" s="153"/>
      <c r="CW111" s="153"/>
      <c r="CX111" s="153"/>
      <c r="CY111" s="153"/>
      <c r="CZ111" s="153"/>
      <c r="DA111" s="153"/>
      <c r="DB111" s="153"/>
      <c r="DC111" s="153"/>
      <c r="DD111" s="153"/>
      <c r="DE111" s="153"/>
      <c r="DF111" s="153"/>
      <c r="DG111" s="153"/>
      <c r="DH111" s="153"/>
      <c r="DI111" s="153"/>
      <c r="DJ111" s="153"/>
      <c r="DK111" s="153"/>
      <c r="DL111" s="153"/>
      <c r="DM111" s="153"/>
      <c r="DN111" s="153"/>
      <c r="DO111" s="153"/>
      <c r="DP111" s="153"/>
      <c r="DQ111" s="153"/>
      <c r="DR111" s="153"/>
      <c r="DS111" s="153"/>
      <c r="DT111" s="153"/>
      <c r="DU111" s="153"/>
      <c r="DV111" s="153"/>
      <c r="DW111" s="153"/>
      <c r="DX111" s="153"/>
      <c r="DY111" s="153"/>
      <c r="DZ111" s="153"/>
      <c r="EA111" s="153"/>
      <c r="EB111" s="153"/>
      <c r="EC111" s="153"/>
      <c r="ED111" s="153"/>
      <c r="EE111" s="153"/>
      <c r="EF111" s="153"/>
      <c r="EG111" s="153"/>
      <c r="EH111" s="153"/>
      <c r="EI111" s="153"/>
      <c r="EJ111" s="153"/>
      <c r="EK111" s="153"/>
      <c r="EL111" s="153"/>
      <c r="EM111" s="153"/>
    </row>
    <row r="112" spans="1:143" s="107" customFormat="1" ht="10.5" customHeight="1">
      <c r="A112" s="1140">
        <v>87</v>
      </c>
      <c r="B112" s="1560" t="str">
        <f t="shared" si="3"/>
        <v/>
      </c>
      <c r="C112" s="161" t="str">
        <f>GasTime(GasAnalyser,'Horiba Data'!F105,'Horiba Data'!G105,'Testo, JUM &amp; MRU Data'!A106,'Thermo Data'!B105,HourOffset)</f>
        <v/>
      </c>
      <c r="D112" s="981" t="str">
        <f>IF(D$17=FALSE,"",GasData(GasAnalyser,'Horiba Data'!S105,'Testo, JUM &amp; MRU Data'!D106,'Thermo Data'!E105,'Testo, JUM &amp; MRU Data'!U106,GDF))</f>
        <v/>
      </c>
      <c r="E112" s="981" t="str">
        <f>IF(D112="","",Conc2(D112,D$9,MolVol,D$21,D$20,E$21,E$20))</f>
        <v/>
      </c>
      <c r="F112" s="981" t="str">
        <f>IF(F$17=FALSE,"",GasData(GasAnalyser,'Horiba Data'!AQ105,'Testo, JUM &amp; MRU Data'!E106,'Thermo Data'!F105,'Testo, JUM &amp; MRU Data'!V106,GDF))</f>
        <v/>
      </c>
      <c r="G112" s="981" t="str">
        <f>IF(F112="","",Conc2(F112,F$9,MolVol,F$21,F$20,G$21,G$20))</f>
        <v/>
      </c>
      <c r="H112" s="981" t="str">
        <f>IF(D$17=FALSE,"",IF(F$17=FALSE,"",GasData(GasAnalyser,'Horiba Data'!W105,'Testo, JUM &amp; MRU Data'!F106,'Thermo Data'!G105,'Testo, JUM &amp; MRU Data'!Y106,GDF)))</f>
        <v/>
      </c>
      <c r="I112" s="981" t="str">
        <f>IF(H112="","",Conc2(H112,H$9,MolVol,H$21,H$20,I$21,I$20))</f>
        <v/>
      </c>
      <c r="J112" s="981" t="str">
        <f>IF(J$17=FALSE,"",GasData(GasAnalyser,'Horiba Data'!AM105,'Testo, JUM &amp; MRU Data'!G106,'Thermo Data'!H105,'Testo, JUM &amp; MRU Data'!W106,GDF))</f>
        <v/>
      </c>
      <c r="K112" s="981" t="str">
        <f>IF(J112="","",Conc2(J112,J$9,MolVol,J$21,J$20,K$21,K$20))</f>
        <v/>
      </c>
      <c r="L112" s="981" t="str">
        <f>IF(L$17=FALSE,"",GasData(GasAnalyser,'Horiba Data'!AA105,'Testo, JUM &amp; MRU Data'!H106,'Thermo Data'!I105,'Testo, JUM &amp; MRU Data'!T106,GDF))</f>
        <v/>
      </c>
      <c r="M112" s="981" t="str">
        <f>IF(L112="","",Conc2(L112,L$9,MolVol,L$21,L$20,M$21,M$20))</f>
        <v/>
      </c>
      <c r="N112" s="981" t="str">
        <f>IF(N$17=FALSE,"",GasData(GasAnalyser,'Horiba Data'!AE105,'Testo, JUM &amp; MRU Data'!I106,'Thermo Data'!J105,'Testo, JUM &amp; MRU Data'!S106,GDF))</f>
        <v/>
      </c>
      <c r="O112" s="981" t="str">
        <f>IF(N112="","",Conc2(N112,N$9,MolVol,N$21,N$20,O$21,O$20))</f>
        <v/>
      </c>
      <c r="P112" s="981" t="str">
        <f>IF(P$17=FALSE,"",GasData(GasAnalyser,'Horiba Data'!AI105,'Testo, JUM &amp; MRU Data'!J106,'Thermo Data'!K105,'Testo, JUM &amp; MRU Data'!R106,GDF))</f>
        <v/>
      </c>
      <c r="Q112" s="981" t="str">
        <f>IF(P112="","",Conc2(P112,P$9,MolVol,P$21,P$20,Q$21,Q$20))</f>
        <v/>
      </c>
      <c r="R112" s="981" t="str">
        <f>IF(R$17=FALSE,"",JUMData('Testo, JUM &amp; MRU Data'!M106,$R$7))</f>
        <v/>
      </c>
      <c r="S112" s="982" t="str">
        <f>IF(R112="","",Conc2(R112,R$9,MolVol,R$21,R$20,S$21,S$20)/(1-Bws))</f>
        <v/>
      </c>
      <c r="T112" s="740"/>
      <c r="AR112" s="334"/>
      <c r="AS112" s="334"/>
      <c r="AT112" s="48"/>
      <c r="AU112" s="48"/>
      <c r="AV112" s="153"/>
      <c r="AW112" s="153"/>
      <c r="AX112" s="153"/>
      <c r="AY112" s="153"/>
      <c r="AZ112" s="153"/>
      <c r="BA112" s="153"/>
      <c r="BB112" s="153"/>
      <c r="BC112" s="153"/>
      <c r="BD112" s="153"/>
      <c r="BE112" s="153"/>
      <c r="BF112" s="153"/>
      <c r="BG112" s="153"/>
      <c r="BH112" s="153"/>
      <c r="BI112" s="153"/>
      <c r="BJ112" s="153"/>
      <c r="BK112" s="153"/>
      <c r="BL112" s="153"/>
      <c r="BM112" s="153"/>
      <c r="BN112" s="153"/>
      <c r="BO112" s="153"/>
      <c r="BP112" s="153"/>
      <c r="BQ112" s="153"/>
      <c r="BR112" s="153"/>
      <c r="BS112" s="153"/>
      <c r="BT112" s="153"/>
      <c r="BU112" s="153"/>
      <c r="BV112" s="153"/>
      <c r="BW112" s="153"/>
      <c r="BX112" s="153"/>
      <c r="BY112" s="153"/>
      <c r="BZ112" s="153"/>
      <c r="CA112" s="153"/>
      <c r="CB112" s="153"/>
      <c r="CC112" s="153"/>
      <c r="CD112" s="153"/>
      <c r="CE112" s="153"/>
      <c r="CF112" s="153"/>
      <c r="CG112" s="153"/>
      <c r="CH112" s="153"/>
      <c r="CI112" s="153"/>
      <c r="CJ112" s="153"/>
      <c r="CK112" s="153"/>
      <c r="CL112" s="153"/>
      <c r="CM112" s="153"/>
      <c r="CN112" s="153"/>
      <c r="CO112" s="153"/>
      <c r="CP112" s="153"/>
      <c r="CQ112" s="153"/>
      <c r="CR112" s="153"/>
      <c r="CS112" s="153"/>
      <c r="CT112" s="153"/>
      <c r="CU112" s="153"/>
      <c r="CV112" s="153"/>
      <c r="CW112" s="153"/>
      <c r="CX112" s="153"/>
      <c r="CY112" s="153"/>
      <c r="CZ112" s="153"/>
      <c r="DA112" s="153"/>
      <c r="DB112" s="153"/>
      <c r="DC112" s="153"/>
      <c r="DD112" s="153"/>
      <c r="DE112" s="153"/>
      <c r="DF112" s="153"/>
      <c r="DG112" s="153"/>
      <c r="DH112" s="153"/>
      <c r="DI112" s="153"/>
      <c r="DJ112" s="153"/>
      <c r="DK112" s="153"/>
      <c r="DL112" s="153"/>
      <c r="DM112" s="153"/>
      <c r="DN112" s="153"/>
      <c r="DO112" s="153"/>
      <c r="DP112" s="153"/>
      <c r="DQ112" s="153"/>
      <c r="DR112" s="153"/>
      <c r="DS112" s="153"/>
      <c r="DT112" s="153"/>
      <c r="DU112" s="153"/>
      <c r="DV112" s="153"/>
      <c r="DW112" s="153"/>
      <c r="DX112" s="153"/>
      <c r="DY112" s="153"/>
      <c r="DZ112" s="153"/>
      <c r="EA112" s="153"/>
      <c r="EB112" s="153"/>
      <c r="EC112" s="153"/>
      <c r="ED112" s="153"/>
      <c r="EE112" s="153"/>
      <c r="EF112" s="153"/>
      <c r="EG112" s="153"/>
      <c r="EH112" s="153"/>
      <c r="EI112" s="153"/>
      <c r="EJ112" s="153"/>
      <c r="EK112" s="153"/>
      <c r="EL112" s="153"/>
      <c r="EM112" s="153"/>
    </row>
    <row r="113" spans="1:143" s="107" customFormat="1" ht="10.5" customHeight="1">
      <c r="A113" s="1140">
        <v>88</v>
      </c>
      <c r="B113" s="1560" t="str">
        <f t="shared" si="3"/>
        <v/>
      </c>
      <c r="C113" s="161" t="str">
        <f>GasTime(GasAnalyser,'Horiba Data'!F106,'Horiba Data'!G106,'Testo, JUM &amp; MRU Data'!A107,'Thermo Data'!B106,HourOffset)</f>
        <v/>
      </c>
      <c r="D113" s="981" t="str">
        <f>IF(D$17=FALSE,"",GasData(GasAnalyser,'Horiba Data'!S106,'Testo, JUM &amp; MRU Data'!D107,'Thermo Data'!E106,'Testo, JUM &amp; MRU Data'!U107,GDF))</f>
        <v/>
      </c>
      <c r="E113" s="981" t="str">
        <f>IF(D113="","",Conc2(D113,D$9,MolVol,D$21,D$20,E$21,E$20))</f>
        <v/>
      </c>
      <c r="F113" s="981" t="str">
        <f>IF(F$17=FALSE,"",GasData(GasAnalyser,'Horiba Data'!AQ106,'Testo, JUM &amp; MRU Data'!E107,'Thermo Data'!F106,'Testo, JUM &amp; MRU Data'!V107,GDF))</f>
        <v/>
      </c>
      <c r="G113" s="981" t="str">
        <f>IF(F113="","",Conc2(F113,F$9,MolVol,F$21,F$20,G$21,G$20))</f>
        <v/>
      </c>
      <c r="H113" s="981" t="str">
        <f>IF(D$17=FALSE,"",IF(F$17=FALSE,"",GasData(GasAnalyser,'Horiba Data'!W106,'Testo, JUM &amp; MRU Data'!F107,'Thermo Data'!G106,'Testo, JUM &amp; MRU Data'!Y107,GDF)))</f>
        <v/>
      </c>
      <c r="I113" s="981" t="str">
        <f>IF(H113="","",Conc2(H113,H$9,MolVol,H$21,H$20,I$21,I$20))</f>
        <v/>
      </c>
      <c r="J113" s="981" t="str">
        <f>IF(J$17=FALSE,"",GasData(GasAnalyser,'Horiba Data'!AM106,'Testo, JUM &amp; MRU Data'!G107,'Thermo Data'!H106,'Testo, JUM &amp; MRU Data'!W107,GDF))</f>
        <v/>
      </c>
      <c r="K113" s="981" t="str">
        <f>IF(J113="","",Conc2(J113,J$9,MolVol,J$21,J$20,K$21,K$20))</f>
        <v/>
      </c>
      <c r="L113" s="981" t="str">
        <f>IF(L$17=FALSE,"",GasData(GasAnalyser,'Horiba Data'!AA106,'Testo, JUM &amp; MRU Data'!H107,'Thermo Data'!I106,'Testo, JUM &amp; MRU Data'!T107,GDF))</f>
        <v/>
      </c>
      <c r="M113" s="981" t="str">
        <f>IF(L113="","",Conc2(L113,L$9,MolVol,L$21,L$20,M$21,M$20))</f>
        <v/>
      </c>
      <c r="N113" s="981" t="str">
        <f>IF(N$17=FALSE,"",GasData(GasAnalyser,'Horiba Data'!AE106,'Testo, JUM &amp; MRU Data'!I107,'Thermo Data'!J106,'Testo, JUM &amp; MRU Data'!S107,GDF))</f>
        <v/>
      </c>
      <c r="O113" s="981" t="str">
        <f>IF(N113="","",Conc2(N113,N$9,MolVol,N$21,N$20,O$21,O$20))</f>
        <v/>
      </c>
      <c r="P113" s="981" t="str">
        <f>IF(P$17=FALSE,"",GasData(GasAnalyser,'Horiba Data'!AI106,'Testo, JUM &amp; MRU Data'!J107,'Thermo Data'!K106,'Testo, JUM &amp; MRU Data'!R107,GDF))</f>
        <v/>
      </c>
      <c r="Q113" s="981" t="str">
        <f>IF(P113="","",Conc2(P113,P$9,MolVol,P$21,P$20,Q$21,Q$20))</f>
        <v/>
      </c>
      <c r="R113" s="981" t="str">
        <f>IF(R$17=FALSE,"",JUMData('Testo, JUM &amp; MRU Data'!M107,$R$7))</f>
        <v/>
      </c>
      <c r="S113" s="982" t="str">
        <f>IF(R113="","",Conc2(R113,R$9,MolVol,R$21,R$20,S$21,S$20)/(1-Bws))</f>
        <v/>
      </c>
      <c r="T113" s="740"/>
      <c r="AR113" s="334"/>
      <c r="AS113" s="334"/>
      <c r="AT113" s="48"/>
      <c r="AU113" s="48"/>
      <c r="AV113" s="153"/>
      <c r="AW113" s="153"/>
      <c r="AX113" s="153"/>
      <c r="AY113" s="153"/>
      <c r="AZ113" s="153"/>
      <c r="BA113" s="153"/>
      <c r="BB113" s="153"/>
      <c r="BC113" s="153"/>
      <c r="BD113" s="153"/>
      <c r="BE113" s="153"/>
      <c r="BF113" s="153"/>
      <c r="BG113" s="153"/>
      <c r="BH113" s="153"/>
      <c r="BI113" s="153"/>
      <c r="BJ113" s="153"/>
      <c r="BK113" s="153"/>
      <c r="BL113" s="153"/>
      <c r="BM113" s="153"/>
      <c r="BN113" s="153"/>
      <c r="BO113" s="153"/>
      <c r="BP113" s="153"/>
      <c r="BQ113" s="153"/>
      <c r="BR113" s="153"/>
      <c r="BS113" s="153"/>
      <c r="BT113" s="153"/>
      <c r="BU113" s="153"/>
      <c r="BV113" s="153"/>
      <c r="BW113" s="153"/>
      <c r="BX113" s="153"/>
      <c r="BY113" s="153"/>
      <c r="BZ113" s="153"/>
      <c r="CA113" s="153"/>
      <c r="CB113" s="153"/>
      <c r="CC113" s="153"/>
      <c r="CD113" s="153"/>
      <c r="CE113" s="153"/>
      <c r="CF113" s="153"/>
      <c r="CG113" s="153"/>
      <c r="CH113" s="153"/>
      <c r="CI113" s="153"/>
      <c r="CJ113" s="153"/>
      <c r="CK113" s="153"/>
      <c r="CL113" s="153"/>
      <c r="CM113" s="153"/>
      <c r="CN113" s="153"/>
      <c r="CO113" s="153"/>
      <c r="CP113" s="153"/>
      <c r="CQ113" s="153"/>
      <c r="CR113" s="153"/>
      <c r="CS113" s="153"/>
      <c r="CT113" s="153"/>
      <c r="CU113" s="153"/>
      <c r="CV113" s="153"/>
      <c r="CW113" s="153"/>
      <c r="CX113" s="153"/>
      <c r="CY113" s="153"/>
      <c r="CZ113" s="153"/>
      <c r="DA113" s="153"/>
      <c r="DB113" s="153"/>
      <c r="DC113" s="153"/>
      <c r="DD113" s="153"/>
      <c r="DE113" s="153"/>
      <c r="DF113" s="153"/>
      <c r="DG113" s="153"/>
      <c r="DH113" s="153"/>
      <c r="DI113" s="153"/>
      <c r="DJ113" s="153"/>
      <c r="DK113" s="153"/>
      <c r="DL113" s="153"/>
      <c r="DM113" s="153"/>
      <c r="DN113" s="153"/>
      <c r="DO113" s="153"/>
      <c r="DP113" s="153"/>
      <c r="DQ113" s="153"/>
      <c r="DR113" s="153"/>
      <c r="DS113" s="153"/>
      <c r="DT113" s="153"/>
      <c r="DU113" s="153"/>
      <c r="DV113" s="153"/>
      <c r="DW113" s="153"/>
      <c r="DX113" s="153"/>
      <c r="DY113" s="153"/>
      <c r="DZ113" s="153"/>
      <c r="EA113" s="153"/>
      <c r="EB113" s="153"/>
      <c r="EC113" s="153"/>
      <c r="ED113" s="153"/>
      <c r="EE113" s="153"/>
      <c r="EF113" s="153"/>
      <c r="EG113" s="153"/>
      <c r="EH113" s="153"/>
      <c r="EI113" s="153"/>
      <c r="EJ113" s="153"/>
      <c r="EK113" s="153"/>
      <c r="EL113" s="153"/>
      <c r="EM113" s="153"/>
    </row>
    <row r="114" spans="1:143" s="107" customFormat="1" ht="10.5" customHeight="1">
      <c r="A114" s="1140">
        <v>89</v>
      </c>
      <c r="B114" s="1560" t="str">
        <f t="shared" si="3"/>
        <v/>
      </c>
      <c r="C114" s="161" t="str">
        <f>GasTime(GasAnalyser,'Horiba Data'!F107,'Horiba Data'!G107,'Testo, JUM &amp; MRU Data'!A108,'Thermo Data'!B107,HourOffset)</f>
        <v/>
      </c>
      <c r="D114" s="981" t="str">
        <f>IF(D$17=FALSE,"",GasData(GasAnalyser,'Horiba Data'!S107,'Testo, JUM &amp; MRU Data'!D108,'Thermo Data'!E107,'Testo, JUM &amp; MRU Data'!U108,GDF))</f>
        <v/>
      </c>
      <c r="E114" s="981" t="str">
        <f>IF(D114="","",Conc2(D114,D$9,MolVol,D$21,D$20,E$21,E$20))</f>
        <v/>
      </c>
      <c r="F114" s="981" t="str">
        <f>IF(F$17=FALSE,"",GasData(GasAnalyser,'Horiba Data'!AQ107,'Testo, JUM &amp; MRU Data'!E108,'Thermo Data'!F107,'Testo, JUM &amp; MRU Data'!V108,GDF))</f>
        <v/>
      </c>
      <c r="G114" s="981" t="str">
        <f>IF(F114="","",Conc2(F114,F$9,MolVol,F$21,F$20,G$21,G$20))</f>
        <v/>
      </c>
      <c r="H114" s="981" t="str">
        <f>IF(D$17=FALSE,"",IF(F$17=FALSE,"",GasData(GasAnalyser,'Horiba Data'!W107,'Testo, JUM &amp; MRU Data'!F108,'Thermo Data'!G107,'Testo, JUM &amp; MRU Data'!Y108,GDF)))</f>
        <v/>
      </c>
      <c r="I114" s="981" t="str">
        <f>IF(H114="","",Conc2(H114,H$9,MolVol,H$21,H$20,I$21,I$20))</f>
        <v/>
      </c>
      <c r="J114" s="981" t="str">
        <f>IF(J$17=FALSE,"",GasData(GasAnalyser,'Horiba Data'!AM107,'Testo, JUM &amp; MRU Data'!G108,'Thermo Data'!H107,'Testo, JUM &amp; MRU Data'!W108,GDF))</f>
        <v/>
      </c>
      <c r="K114" s="981" t="str">
        <f>IF(J114="","",Conc2(J114,J$9,MolVol,J$21,J$20,K$21,K$20))</f>
        <v/>
      </c>
      <c r="L114" s="981" t="str">
        <f>IF(L$17=FALSE,"",GasData(GasAnalyser,'Horiba Data'!AA107,'Testo, JUM &amp; MRU Data'!H108,'Thermo Data'!I107,'Testo, JUM &amp; MRU Data'!T108,GDF))</f>
        <v/>
      </c>
      <c r="M114" s="981" t="str">
        <f>IF(L114="","",Conc2(L114,L$9,MolVol,L$21,L$20,M$21,M$20))</f>
        <v/>
      </c>
      <c r="N114" s="981" t="str">
        <f>IF(N$17=FALSE,"",GasData(GasAnalyser,'Horiba Data'!AE107,'Testo, JUM &amp; MRU Data'!I108,'Thermo Data'!J107,'Testo, JUM &amp; MRU Data'!S108,GDF))</f>
        <v/>
      </c>
      <c r="O114" s="981" t="str">
        <f>IF(N114="","",Conc2(N114,N$9,MolVol,N$21,N$20,O$21,O$20))</f>
        <v/>
      </c>
      <c r="P114" s="981" t="str">
        <f>IF(P$17=FALSE,"",GasData(GasAnalyser,'Horiba Data'!AI107,'Testo, JUM &amp; MRU Data'!J108,'Thermo Data'!K107,'Testo, JUM &amp; MRU Data'!R108,GDF))</f>
        <v/>
      </c>
      <c r="Q114" s="981" t="str">
        <f>IF(P114="","",Conc2(P114,P$9,MolVol,P$21,P$20,Q$21,Q$20))</f>
        <v/>
      </c>
      <c r="R114" s="981" t="str">
        <f>IF(R$17=FALSE,"",JUMData('Testo, JUM &amp; MRU Data'!M108,$R$7))</f>
        <v/>
      </c>
      <c r="S114" s="982" t="str">
        <f>IF(R114="","",Conc2(R114,R$9,MolVol,R$21,R$20,S$21,S$20)/(1-Bws))</f>
        <v/>
      </c>
      <c r="T114" s="740"/>
      <c r="AR114" s="334"/>
      <c r="AS114" s="334"/>
      <c r="AT114" s="48"/>
      <c r="AU114" s="48"/>
      <c r="AV114" s="153"/>
      <c r="AW114" s="153"/>
      <c r="AX114" s="153"/>
      <c r="AY114" s="153"/>
      <c r="AZ114" s="153"/>
      <c r="BA114" s="153"/>
      <c r="BB114" s="153"/>
      <c r="BC114" s="153"/>
      <c r="BD114" s="153"/>
      <c r="BE114" s="153"/>
      <c r="BF114" s="153"/>
      <c r="BG114" s="153"/>
      <c r="BH114" s="153"/>
      <c r="BI114" s="153"/>
      <c r="BJ114" s="153"/>
      <c r="BK114" s="153"/>
      <c r="BL114" s="153"/>
      <c r="BM114" s="153"/>
      <c r="BN114" s="153"/>
      <c r="BO114" s="153"/>
      <c r="BP114" s="153"/>
      <c r="BQ114" s="153"/>
      <c r="BR114" s="153"/>
      <c r="BS114" s="153"/>
      <c r="BT114" s="153"/>
      <c r="BU114" s="153"/>
      <c r="BV114" s="153"/>
      <c r="BW114" s="153"/>
      <c r="BX114" s="153"/>
      <c r="BY114" s="153"/>
      <c r="BZ114" s="153"/>
      <c r="CA114" s="153"/>
      <c r="CB114" s="153"/>
      <c r="CC114" s="153"/>
      <c r="CD114" s="153"/>
      <c r="CE114" s="153"/>
      <c r="CF114" s="153"/>
      <c r="CG114" s="153"/>
      <c r="CH114" s="153"/>
      <c r="CI114" s="153"/>
      <c r="CJ114" s="153"/>
      <c r="CK114" s="153"/>
      <c r="CL114" s="153"/>
      <c r="CM114" s="153"/>
      <c r="CN114" s="153"/>
      <c r="CO114" s="153"/>
      <c r="CP114" s="153"/>
      <c r="CQ114" s="153"/>
      <c r="CR114" s="153"/>
      <c r="CS114" s="153"/>
      <c r="CT114" s="153"/>
      <c r="CU114" s="153"/>
      <c r="CV114" s="153"/>
      <c r="CW114" s="153"/>
      <c r="CX114" s="153"/>
      <c r="CY114" s="153"/>
      <c r="CZ114" s="153"/>
      <c r="DA114" s="153"/>
      <c r="DB114" s="153"/>
      <c r="DC114" s="153"/>
      <c r="DD114" s="153"/>
      <c r="DE114" s="153"/>
      <c r="DF114" s="153"/>
      <c r="DG114" s="153"/>
      <c r="DH114" s="153"/>
      <c r="DI114" s="153"/>
      <c r="DJ114" s="153"/>
      <c r="DK114" s="153"/>
      <c r="DL114" s="153"/>
      <c r="DM114" s="153"/>
      <c r="DN114" s="153"/>
      <c r="DO114" s="153"/>
      <c r="DP114" s="153"/>
      <c r="DQ114" s="153"/>
      <c r="DR114" s="153"/>
      <c r="DS114" s="153"/>
      <c r="DT114" s="153"/>
      <c r="DU114" s="153"/>
      <c r="DV114" s="153"/>
      <c r="DW114" s="153"/>
      <c r="DX114" s="153"/>
      <c r="DY114" s="153"/>
      <c r="DZ114" s="153"/>
      <c r="EA114" s="153"/>
      <c r="EB114" s="153"/>
      <c r="EC114" s="153"/>
      <c r="ED114" s="153"/>
      <c r="EE114" s="153"/>
      <c r="EF114" s="153"/>
      <c r="EG114" s="153"/>
      <c r="EH114" s="153"/>
      <c r="EI114" s="153"/>
      <c r="EJ114" s="153"/>
      <c r="EK114" s="153"/>
      <c r="EL114" s="153"/>
      <c r="EM114" s="153"/>
    </row>
    <row r="115" spans="1:143" s="107" customFormat="1" ht="10.5" customHeight="1">
      <c r="A115" s="1140">
        <v>90</v>
      </c>
      <c r="B115" s="1560" t="str">
        <f t="shared" si="3"/>
        <v/>
      </c>
      <c r="C115" s="161" t="str">
        <f>GasTime(GasAnalyser,'Horiba Data'!F108,'Horiba Data'!G108,'Testo, JUM &amp; MRU Data'!A109,'Thermo Data'!B108,HourOffset)</f>
        <v/>
      </c>
      <c r="D115" s="981" t="str">
        <f>IF(D$17=FALSE,"",GasData(GasAnalyser,'Horiba Data'!S108,'Testo, JUM &amp; MRU Data'!D109,'Thermo Data'!E108,'Testo, JUM &amp; MRU Data'!U109,GDF))</f>
        <v/>
      </c>
      <c r="E115" s="981" t="str">
        <f>IF(D115="","",Conc2(D115,D$9,MolVol,D$21,D$20,E$21,E$20))</f>
        <v/>
      </c>
      <c r="F115" s="981" t="str">
        <f>IF(F$17=FALSE,"",GasData(GasAnalyser,'Horiba Data'!AQ108,'Testo, JUM &amp; MRU Data'!E109,'Thermo Data'!F108,'Testo, JUM &amp; MRU Data'!V109,GDF))</f>
        <v/>
      </c>
      <c r="G115" s="981" t="str">
        <f>IF(F115="","",Conc2(F115,F$9,MolVol,F$21,F$20,G$21,G$20))</f>
        <v/>
      </c>
      <c r="H115" s="981" t="str">
        <f>IF(D$17=FALSE,"",IF(F$17=FALSE,"",GasData(GasAnalyser,'Horiba Data'!W108,'Testo, JUM &amp; MRU Data'!F109,'Thermo Data'!G108,'Testo, JUM &amp; MRU Data'!Y109,GDF)))</f>
        <v/>
      </c>
      <c r="I115" s="981" t="str">
        <f>IF(H115="","",Conc2(H115,H$9,MolVol,H$21,H$20,I$21,I$20))</f>
        <v/>
      </c>
      <c r="J115" s="981" t="str">
        <f>IF(J$17=FALSE,"",GasData(GasAnalyser,'Horiba Data'!AM108,'Testo, JUM &amp; MRU Data'!G109,'Thermo Data'!H108,'Testo, JUM &amp; MRU Data'!W109,GDF))</f>
        <v/>
      </c>
      <c r="K115" s="981" t="str">
        <f>IF(J115="","",Conc2(J115,J$9,MolVol,J$21,J$20,K$21,K$20))</f>
        <v/>
      </c>
      <c r="L115" s="981" t="str">
        <f>IF(L$17=FALSE,"",GasData(GasAnalyser,'Horiba Data'!AA108,'Testo, JUM &amp; MRU Data'!H109,'Thermo Data'!I108,'Testo, JUM &amp; MRU Data'!T109,GDF))</f>
        <v/>
      </c>
      <c r="M115" s="981" t="str">
        <f>IF(L115="","",Conc2(L115,L$9,MolVol,L$21,L$20,M$21,M$20))</f>
        <v/>
      </c>
      <c r="N115" s="981" t="str">
        <f>IF(N$17=FALSE,"",GasData(GasAnalyser,'Horiba Data'!AE108,'Testo, JUM &amp; MRU Data'!I109,'Thermo Data'!J108,'Testo, JUM &amp; MRU Data'!S109,GDF))</f>
        <v/>
      </c>
      <c r="O115" s="981" t="str">
        <f>IF(N115="","",Conc2(N115,N$9,MolVol,N$21,N$20,O$21,O$20))</f>
        <v/>
      </c>
      <c r="P115" s="981" t="str">
        <f>IF(P$17=FALSE,"",GasData(GasAnalyser,'Horiba Data'!AI108,'Testo, JUM &amp; MRU Data'!J109,'Thermo Data'!K108,'Testo, JUM &amp; MRU Data'!R109,GDF))</f>
        <v/>
      </c>
      <c r="Q115" s="981" t="str">
        <f>IF(P115="","",Conc2(P115,P$9,MolVol,P$21,P$20,Q$21,Q$20))</f>
        <v/>
      </c>
      <c r="R115" s="981" t="str">
        <f>IF(R$17=FALSE,"",JUMData('Testo, JUM &amp; MRU Data'!M109,$R$7))</f>
        <v/>
      </c>
      <c r="S115" s="982" t="str">
        <f>IF(R115="","",Conc2(R115,R$9,MolVol,R$21,R$20,S$21,S$20)/(1-Bws))</f>
        <v/>
      </c>
      <c r="T115" s="740"/>
      <c r="AR115" s="334"/>
      <c r="AS115" s="334"/>
      <c r="AT115" s="48"/>
      <c r="AU115" s="48"/>
      <c r="AV115" s="153"/>
      <c r="AW115" s="153"/>
      <c r="AX115" s="153"/>
      <c r="AY115" s="153"/>
      <c r="AZ115" s="153"/>
      <c r="BA115" s="153"/>
      <c r="BB115" s="153"/>
      <c r="BC115" s="153"/>
      <c r="BD115" s="153"/>
      <c r="BE115" s="153"/>
      <c r="BF115" s="153"/>
      <c r="BG115" s="153"/>
      <c r="BH115" s="153"/>
      <c r="BI115" s="153"/>
      <c r="BJ115" s="153"/>
      <c r="BK115" s="153"/>
      <c r="BL115" s="153"/>
      <c r="BM115" s="153"/>
      <c r="BN115" s="153"/>
      <c r="BO115" s="153"/>
      <c r="BP115" s="153"/>
      <c r="BQ115" s="153"/>
      <c r="BR115" s="153"/>
      <c r="BS115" s="153"/>
      <c r="BT115" s="153"/>
      <c r="BU115" s="153"/>
      <c r="BV115" s="153"/>
      <c r="BW115" s="153"/>
      <c r="BX115" s="153"/>
      <c r="BY115" s="153"/>
      <c r="BZ115" s="153"/>
      <c r="CA115" s="153"/>
      <c r="CB115" s="153"/>
      <c r="CC115" s="153"/>
      <c r="CD115" s="153"/>
      <c r="CE115" s="153"/>
      <c r="CF115" s="153"/>
      <c r="CG115" s="153"/>
      <c r="CH115" s="153"/>
      <c r="CI115" s="153"/>
      <c r="CJ115" s="153"/>
      <c r="CK115" s="153"/>
      <c r="CL115" s="153"/>
      <c r="CM115" s="153"/>
      <c r="CN115" s="153"/>
      <c r="CO115" s="153"/>
      <c r="CP115" s="153"/>
      <c r="CQ115" s="153"/>
      <c r="CR115" s="153"/>
      <c r="CS115" s="153"/>
      <c r="CT115" s="153"/>
      <c r="CU115" s="153"/>
      <c r="CV115" s="153"/>
      <c r="CW115" s="153"/>
      <c r="CX115" s="153"/>
      <c r="CY115" s="153"/>
      <c r="CZ115" s="153"/>
      <c r="DA115" s="153"/>
      <c r="DB115" s="153"/>
      <c r="DC115" s="153"/>
      <c r="DD115" s="153"/>
      <c r="DE115" s="153"/>
      <c r="DF115" s="153"/>
      <c r="DG115" s="153"/>
      <c r="DH115" s="153"/>
      <c r="DI115" s="153"/>
      <c r="DJ115" s="153"/>
      <c r="DK115" s="153"/>
      <c r="DL115" s="153"/>
      <c r="DM115" s="153"/>
      <c r="DN115" s="153"/>
      <c r="DO115" s="153"/>
      <c r="DP115" s="153"/>
      <c r="DQ115" s="153"/>
      <c r="DR115" s="153"/>
      <c r="DS115" s="153"/>
      <c r="DT115" s="153"/>
      <c r="DU115" s="153"/>
      <c r="DV115" s="153"/>
      <c r="DW115" s="153"/>
      <c r="DX115" s="153"/>
      <c r="DY115" s="153"/>
      <c r="DZ115" s="153"/>
      <c r="EA115" s="153"/>
      <c r="EB115" s="153"/>
      <c r="EC115" s="153"/>
      <c r="ED115" s="153"/>
      <c r="EE115" s="153"/>
      <c r="EF115" s="153"/>
      <c r="EG115" s="153"/>
      <c r="EH115" s="153"/>
      <c r="EI115" s="153"/>
      <c r="EJ115" s="153"/>
      <c r="EK115" s="153"/>
      <c r="EL115" s="153"/>
      <c r="EM115" s="153"/>
    </row>
    <row r="116" spans="1:143" s="107" customFormat="1" ht="10.5" customHeight="1">
      <c r="A116" s="1140">
        <v>91</v>
      </c>
      <c r="B116" s="1560" t="str">
        <f t="shared" si="3"/>
        <v/>
      </c>
      <c r="C116" s="161" t="str">
        <f>GasTime(GasAnalyser,'Horiba Data'!F109,'Horiba Data'!G109,'Testo, JUM &amp; MRU Data'!A110,'Thermo Data'!B109,HourOffset)</f>
        <v/>
      </c>
      <c r="D116" s="981" t="str">
        <f>IF(D$17=FALSE,"",GasData(GasAnalyser,'Horiba Data'!S109,'Testo, JUM &amp; MRU Data'!D110,'Thermo Data'!E109,'Testo, JUM &amp; MRU Data'!U110,GDF))</f>
        <v/>
      </c>
      <c r="E116" s="981" t="str">
        <f>IF(D116="","",Conc2(D116,D$9,MolVol,D$21,D$20,E$21,E$20))</f>
        <v/>
      </c>
      <c r="F116" s="981" t="str">
        <f>IF(F$17=FALSE,"",GasData(GasAnalyser,'Horiba Data'!AQ109,'Testo, JUM &amp; MRU Data'!E110,'Thermo Data'!F109,'Testo, JUM &amp; MRU Data'!V110,GDF))</f>
        <v/>
      </c>
      <c r="G116" s="981" t="str">
        <f>IF(F116="","",Conc2(F116,F$9,MolVol,F$21,F$20,G$21,G$20))</f>
        <v/>
      </c>
      <c r="H116" s="981" t="str">
        <f>IF(D$17=FALSE,"",IF(F$17=FALSE,"",GasData(GasAnalyser,'Horiba Data'!W109,'Testo, JUM &amp; MRU Data'!F110,'Thermo Data'!G109,'Testo, JUM &amp; MRU Data'!Y110,GDF)))</f>
        <v/>
      </c>
      <c r="I116" s="981" t="str">
        <f>IF(H116="","",Conc2(H116,H$9,MolVol,H$21,H$20,I$21,I$20))</f>
        <v/>
      </c>
      <c r="J116" s="981" t="str">
        <f>IF(J$17=FALSE,"",GasData(GasAnalyser,'Horiba Data'!AM109,'Testo, JUM &amp; MRU Data'!G110,'Thermo Data'!H109,'Testo, JUM &amp; MRU Data'!W110,GDF))</f>
        <v/>
      </c>
      <c r="K116" s="981" t="str">
        <f>IF(J116="","",Conc2(J116,J$9,MolVol,J$21,J$20,K$21,K$20))</f>
        <v/>
      </c>
      <c r="L116" s="981" t="str">
        <f>IF(L$17=FALSE,"",GasData(GasAnalyser,'Horiba Data'!AA109,'Testo, JUM &amp; MRU Data'!H110,'Thermo Data'!I109,'Testo, JUM &amp; MRU Data'!T110,GDF))</f>
        <v/>
      </c>
      <c r="M116" s="981" t="str">
        <f>IF(L116="","",Conc2(L116,L$9,MolVol,L$21,L$20,M$21,M$20))</f>
        <v/>
      </c>
      <c r="N116" s="981" t="str">
        <f>IF(N$17=FALSE,"",GasData(GasAnalyser,'Horiba Data'!AE109,'Testo, JUM &amp; MRU Data'!I110,'Thermo Data'!J109,'Testo, JUM &amp; MRU Data'!S110,GDF))</f>
        <v/>
      </c>
      <c r="O116" s="981" t="str">
        <f>IF(N116="","",Conc2(N116,N$9,MolVol,N$21,N$20,O$21,O$20))</f>
        <v/>
      </c>
      <c r="P116" s="981" t="str">
        <f>IF(P$17=FALSE,"",GasData(GasAnalyser,'Horiba Data'!AI109,'Testo, JUM &amp; MRU Data'!J110,'Thermo Data'!K109,'Testo, JUM &amp; MRU Data'!R110,GDF))</f>
        <v/>
      </c>
      <c r="Q116" s="981" t="str">
        <f>IF(P116="","",Conc2(P116,P$9,MolVol,P$21,P$20,Q$21,Q$20))</f>
        <v/>
      </c>
      <c r="R116" s="981" t="str">
        <f>IF(R$17=FALSE,"",JUMData('Testo, JUM &amp; MRU Data'!M110,$R$7))</f>
        <v/>
      </c>
      <c r="S116" s="982" t="str">
        <f>IF(R116="","",Conc2(R116,R$9,MolVol,R$21,R$20,S$21,S$20)/(1-Bws))</f>
        <v/>
      </c>
      <c r="T116" s="740"/>
      <c r="AR116" s="334"/>
      <c r="AS116" s="334"/>
      <c r="AT116" s="48"/>
      <c r="AU116" s="48"/>
      <c r="AV116" s="153"/>
      <c r="AW116" s="153"/>
      <c r="AX116" s="153"/>
      <c r="AY116" s="153"/>
      <c r="AZ116" s="153"/>
      <c r="BA116" s="153"/>
      <c r="BB116" s="153"/>
      <c r="BC116" s="153"/>
      <c r="BD116" s="153"/>
      <c r="BE116" s="153"/>
      <c r="BF116" s="153"/>
      <c r="BG116" s="153"/>
      <c r="BH116" s="153"/>
      <c r="BI116" s="153"/>
      <c r="BJ116" s="153"/>
      <c r="BK116" s="153"/>
      <c r="BL116" s="153"/>
      <c r="BM116" s="153"/>
      <c r="BN116" s="153"/>
      <c r="BO116" s="153"/>
      <c r="BP116" s="153"/>
      <c r="BQ116" s="153"/>
      <c r="BR116" s="153"/>
      <c r="BS116" s="153"/>
      <c r="BT116" s="153"/>
      <c r="BU116" s="153"/>
      <c r="BV116" s="153"/>
      <c r="BW116" s="153"/>
      <c r="BX116" s="153"/>
      <c r="BY116" s="153"/>
      <c r="BZ116" s="153"/>
      <c r="CA116" s="153"/>
      <c r="CB116" s="153"/>
      <c r="CC116" s="153"/>
      <c r="CD116" s="153"/>
      <c r="CE116" s="153"/>
      <c r="CF116" s="153"/>
      <c r="CG116" s="153"/>
      <c r="CH116" s="153"/>
      <c r="CI116" s="153"/>
      <c r="CJ116" s="153"/>
      <c r="CK116" s="153"/>
      <c r="CL116" s="153"/>
      <c r="CM116" s="153"/>
      <c r="CN116" s="153"/>
      <c r="CO116" s="153"/>
      <c r="CP116" s="153"/>
      <c r="CQ116" s="153"/>
      <c r="CR116" s="153"/>
      <c r="CS116" s="153"/>
      <c r="CT116" s="153"/>
      <c r="CU116" s="153"/>
      <c r="CV116" s="153"/>
      <c r="CW116" s="153"/>
      <c r="CX116" s="153"/>
      <c r="CY116" s="153"/>
      <c r="CZ116" s="153"/>
      <c r="DA116" s="153"/>
      <c r="DB116" s="153"/>
      <c r="DC116" s="153"/>
      <c r="DD116" s="153"/>
      <c r="DE116" s="153"/>
      <c r="DF116" s="153"/>
      <c r="DG116" s="153"/>
      <c r="DH116" s="153"/>
      <c r="DI116" s="153"/>
      <c r="DJ116" s="153"/>
      <c r="DK116" s="153"/>
      <c r="DL116" s="153"/>
      <c r="DM116" s="153"/>
      <c r="DN116" s="153"/>
      <c r="DO116" s="153"/>
      <c r="DP116" s="153"/>
      <c r="DQ116" s="153"/>
      <c r="DR116" s="153"/>
      <c r="DS116" s="153"/>
      <c r="DT116" s="153"/>
      <c r="DU116" s="153"/>
      <c r="DV116" s="153"/>
      <c r="DW116" s="153"/>
      <c r="DX116" s="153"/>
      <c r="DY116" s="153"/>
      <c r="DZ116" s="153"/>
      <c r="EA116" s="153"/>
      <c r="EB116" s="153"/>
      <c r="EC116" s="153"/>
      <c r="ED116" s="153"/>
      <c r="EE116" s="153"/>
      <c r="EF116" s="153"/>
      <c r="EG116" s="153"/>
      <c r="EH116" s="153"/>
      <c r="EI116" s="153"/>
      <c r="EJ116" s="153"/>
      <c r="EK116" s="153"/>
      <c r="EL116" s="153"/>
      <c r="EM116" s="153"/>
    </row>
    <row r="117" spans="1:143" s="107" customFormat="1" ht="10.5" customHeight="1">
      <c r="A117" s="1140">
        <v>92</v>
      </c>
      <c r="B117" s="1560" t="str">
        <f t="shared" si="3"/>
        <v/>
      </c>
      <c r="C117" s="161" t="str">
        <f>GasTime(GasAnalyser,'Horiba Data'!F110,'Horiba Data'!G110,'Testo, JUM &amp; MRU Data'!A111,'Thermo Data'!B110,HourOffset)</f>
        <v/>
      </c>
      <c r="D117" s="981" t="str">
        <f>IF(D$17=FALSE,"",GasData(GasAnalyser,'Horiba Data'!S110,'Testo, JUM &amp; MRU Data'!D111,'Thermo Data'!E110,'Testo, JUM &amp; MRU Data'!U111,GDF))</f>
        <v/>
      </c>
      <c r="E117" s="981" t="str">
        <f>IF(D117="","",Conc2(D117,D$9,MolVol,D$21,D$20,E$21,E$20))</f>
        <v/>
      </c>
      <c r="F117" s="981" t="str">
        <f>IF(F$17=FALSE,"",GasData(GasAnalyser,'Horiba Data'!AQ110,'Testo, JUM &amp; MRU Data'!E111,'Thermo Data'!F110,'Testo, JUM &amp; MRU Data'!V111,GDF))</f>
        <v/>
      </c>
      <c r="G117" s="981" t="str">
        <f>IF(F117="","",Conc2(F117,F$9,MolVol,F$21,F$20,G$21,G$20))</f>
        <v/>
      </c>
      <c r="H117" s="981" t="str">
        <f>IF(D$17=FALSE,"",IF(F$17=FALSE,"",GasData(GasAnalyser,'Horiba Data'!W110,'Testo, JUM &amp; MRU Data'!F111,'Thermo Data'!G110,'Testo, JUM &amp; MRU Data'!Y111,GDF)))</f>
        <v/>
      </c>
      <c r="I117" s="981" t="str">
        <f>IF(H117="","",Conc2(H117,H$9,MolVol,H$21,H$20,I$21,I$20))</f>
        <v/>
      </c>
      <c r="J117" s="981" t="str">
        <f>IF(J$17=FALSE,"",GasData(GasAnalyser,'Horiba Data'!AM110,'Testo, JUM &amp; MRU Data'!G111,'Thermo Data'!H110,'Testo, JUM &amp; MRU Data'!W111,GDF))</f>
        <v/>
      </c>
      <c r="K117" s="981" t="str">
        <f>IF(J117="","",Conc2(J117,J$9,MolVol,J$21,J$20,K$21,K$20))</f>
        <v/>
      </c>
      <c r="L117" s="981" t="str">
        <f>IF(L$17=FALSE,"",GasData(GasAnalyser,'Horiba Data'!AA110,'Testo, JUM &amp; MRU Data'!H111,'Thermo Data'!I110,'Testo, JUM &amp; MRU Data'!T111,GDF))</f>
        <v/>
      </c>
      <c r="M117" s="981" t="str">
        <f>IF(L117="","",Conc2(L117,L$9,MolVol,L$21,L$20,M$21,M$20))</f>
        <v/>
      </c>
      <c r="N117" s="981" t="str">
        <f>IF(N$17=FALSE,"",GasData(GasAnalyser,'Horiba Data'!AE110,'Testo, JUM &amp; MRU Data'!I111,'Thermo Data'!J110,'Testo, JUM &amp; MRU Data'!S111,GDF))</f>
        <v/>
      </c>
      <c r="O117" s="981" t="str">
        <f>IF(N117="","",Conc2(N117,N$9,MolVol,N$21,N$20,O$21,O$20))</f>
        <v/>
      </c>
      <c r="P117" s="981" t="str">
        <f>IF(P$17=FALSE,"",GasData(GasAnalyser,'Horiba Data'!AI110,'Testo, JUM &amp; MRU Data'!J111,'Thermo Data'!K110,'Testo, JUM &amp; MRU Data'!R111,GDF))</f>
        <v/>
      </c>
      <c r="Q117" s="981" t="str">
        <f>IF(P117="","",Conc2(P117,P$9,MolVol,P$21,P$20,Q$21,Q$20))</f>
        <v/>
      </c>
      <c r="R117" s="981" t="str">
        <f>IF(R$17=FALSE,"",JUMData('Testo, JUM &amp; MRU Data'!M111,$R$7))</f>
        <v/>
      </c>
      <c r="S117" s="982" t="str">
        <f>IF(R117="","",Conc2(R117,R$9,MolVol,R$21,R$20,S$21,S$20)/(1-Bws))</f>
        <v/>
      </c>
      <c r="T117" s="740"/>
      <c r="AR117" s="334"/>
      <c r="AS117" s="334"/>
      <c r="AT117" s="48"/>
      <c r="AU117" s="48"/>
      <c r="AV117" s="153"/>
      <c r="AW117" s="153"/>
      <c r="AX117" s="153"/>
      <c r="AY117" s="153"/>
      <c r="AZ117" s="153"/>
      <c r="BA117" s="153"/>
      <c r="BB117" s="153"/>
      <c r="BC117" s="153"/>
      <c r="BD117" s="153"/>
      <c r="BE117" s="153"/>
      <c r="BF117" s="153"/>
      <c r="BG117" s="153"/>
      <c r="BH117" s="153"/>
      <c r="BI117" s="153"/>
      <c r="BJ117" s="153"/>
      <c r="BK117" s="153"/>
      <c r="BL117" s="153"/>
      <c r="BM117" s="153"/>
      <c r="BN117" s="153"/>
      <c r="BO117" s="153"/>
      <c r="BP117" s="153"/>
      <c r="BQ117" s="153"/>
      <c r="BR117" s="153"/>
      <c r="BS117" s="153"/>
      <c r="BT117" s="153"/>
      <c r="BU117" s="153"/>
      <c r="BV117" s="153"/>
      <c r="BW117" s="153"/>
      <c r="BX117" s="153"/>
      <c r="BY117" s="153"/>
      <c r="BZ117" s="153"/>
      <c r="CA117" s="153"/>
      <c r="CB117" s="153"/>
      <c r="CC117" s="153"/>
      <c r="CD117" s="153"/>
      <c r="CE117" s="153"/>
      <c r="CF117" s="153"/>
      <c r="CG117" s="153"/>
      <c r="CH117" s="153"/>
      <c r="CI117" s="153"/>
      <c r="CJ117" s="153"/>
      <c r="CK117" s="153"/>
      <c r="CL117" s="153"/>
      <c r="CM117" s="153"/>
      <c r="CN117" s="153"/>
      <c r="CO117" s="153"/>
      <c r="CP117" s="153"/>
      <c r="CQ117" s="153"/>
      <c r="CR117" s="153"/>
      <c r="CS117" s="153"/>
      <c r="CT117" s="153"/>
      <c r="CU117" s="153"/>
      <c r="CV117" s="153"/>
      <c r="CW117" s="153"/>
      <c r="CX117" s="153"/>
      <c r="CY117" s="153"/>
      <c r="CZ117" s="153"/>
      <c r="DA117" s="153"/>
      <c r="DB117" s="153"/>
      <c r="DC117" s="153"/>
      <c r="DD117" s="153"/>
      <c r="DE117" s="153"/>
      <c r="DF117" s="153"/>
      <c r="DG117" s="153"/>
      <c r="DH117" s="153"/>
      <c r="DI117" s="153"/>
      <c r="DJ117" s="153"/>
      <c r="DK117" s="153"/>
      <c r="DL117" s="153"/>
      <c r="DM117" s="153"/>
      <c r="DN117" s="153"/>
      <c r="DO117" s="153"/>
      <c r="DP117" s="153"/>
      <c r="DQ117" s="153"/>
      <c r="DR117" s="153"/>
      <c r="DS117" s="153"/>
      <c r="DT117" s="153"/>
      <c r="DU117" s="153"/>
      <c r="DV117" s="153"/>
      <c r="DW117" s="153"/>
      <c r="DX117" s="153"/>
      <c r="DY117" s="153"/>
      <c r="DZ117" s="153"/>
      <c r="EA117" s="153"/>
      <c r="EB117" s="153"/>
      <c r="EC117" s="153"/>
      <c r="ED117" s="153"/>
      <c r="EE117" s="153"/>
      <c r="EF117" s="153"/>
      <c r="EG117" s="153"/>
      <c r="EH117" s="153"/>
      <c r="EI117" s="153"/>
      <c r="EJ117" s="153"/>
      <c r="EK117" s="153"/>
      <c r="EL117" s="153"/>
      <c r="EM117" s="153"/>
    </row>
    <row r="118" spans="1:143" s="107" customFormat="1" ht="10.5" customHeight="1">
      <c r="A118" s="1140">
        <v>93</v>
      </c>
      <c r="B118" s="1560" t="str">
        <f t="shared" si="3"/>
        <v/>
      </c>
      <c r="C118" s="161" t="str">
        <f>GasTime(GasAnalyser,'Horiba Data'!F111,'Horiba Data'!G111,'Testo, JUM &amp; MRU Data'!A112,'Thermo Data'!B111,HourOffset)</f>
        <v/>
      </c>
      <c r="D118" s="981" t="str">
        <f>IF(D$17=FALSE,"",GasData(GasAnalyser,'Horiba Data'!S111,'Testo, JUM &amp; MRU Data'!D112,'Thermo Data'!E111,'Testo, JUM &amp; MRU Data'!U112,GDF))</f>
        <v/>
      </c>
      <c r="E118" s="981" t="str">
        <f>IF(D118="","",Conc2(D118,D$9,MolVol,D$21,D$20,E$21,E$20))</f>
        <v/>
      </c>
      <c r="F118" s="981" t="str">
        <f>IF(F$17=FALSE,"",GasData(GasAnalyser,'Horiba Data'!AQ111,'Testo, JUM &amp; MRU Data'!E112,'Thermo Data'!F111,'Testo, JUM &amp; MRU Data'!V112,GDF))</f>
        <v/>
      </c>
      <c r="G118" s="981" t="str">
        <f>IF(F118="","",Conc2(F118,F$9,MolVol,F$21,F$20,G$21,G$20))</f>
        <v/>
      </c>
      <c r="H118" s="981" t="str">
        <f>IF(D$17=FALSE,"",IF(F$17=FALSE,"",GasData(GasAnalyser,'Horiba Data'!W111,'Testo, JUM &amp; MRU Data'!F112,'Thermo Data'!G111,'Testo, JUM &amp; MRU Data'!Y112,GDF)))</f>
        <v/>
      </c>
      <c r="I118" s="981" t="str">
        <f>IF(H118="","",Conc2(H118,H$9,MolVol,H$21,H$20,I$21,I$20))</f>
        <v/>
      </c>
      <c r="J118" s="981" t="str">
        <f>IF(J$17=FALSE,"",GasData(GasAnalyser,'Horiba Data'!AM111,'Testo, JUM &amp; MRU Data'!G112,'Thermo Data'!H111,'Testo, JUM &amp; MRU Data'!W112,GDF))</f>
        <v/>
      </c>
      <c r="K118" s="981" t="str">
        <f>IF(J118="","",Conc2(J118,J$9,MolVol,J$21,J$20,K$21,K$20))</f>
        <v/>
      </c>
      <c r="L118" s="981" t="str">
        <f>IF(L$17=FALSE,"",GasData(GasAnalyser,'Horiba Data'!AA111,'Testo, JUM &amp; MRU Data'!H112,'Thermo Data'!I111,'Testo, JUM &amp; MRU Data'!T112,GDF))</f>
        <v/>
      </c>
      <c r="M118" s="981" t="str">
        <f>IF(L118="","",Conc2(L118,L$9,MolVol,L$21,L$20,M$21,M$20))</f>
        <v/>
      </c>
      <c r="N118" s="981" t="str">
        <f>IF(N$17=FALSE,"",GasData(GasAnalyser,'Horiba Data'!AE111,'Testo, JUM &amp; MRU Data'!I112,'Thermo Data'!J111,'Testo, JUM &amp; MRU Data'!S112,GDF))</f>
        <v/>
      </c>
      <c r="O118" s="981" t="str">
        <f>IF(N118="","",Conc2(N118,N$9,MolVol,N$21,N$20,O$21,O$20))</f>
        <v/>
      </c>
      <c r="P118" s="981" t="str">
        <f>IF(P$17=FALSE,"",GasData(GasAnalyser,'Horiba Data'!AI111,'Testo, JUM &amp; MRU Data'!J112,'Thermo Data'!K111,'Testo, JUM &amp; MRU Data'!R112,GDF))</f>
        <v/>
      </c>
      <c r="Q118" s="981" t="str">
        <f>IF(P118="","",Conc2(P118,P$9,MolVol,P$21,P$20,Q$21,Q$20))</f>
        <v/>
      </c>
      <c r="R118" s="981" t="str">
        <f>IF(R$17=FALSE,"",JUMData('Testo, JUM &amp; MRU Data'!M112,$R$7))</f>
        <v/>
      </c>
      <c r="S118" s="982" t="str">
        <f>IF(R118="","",Conc2(R118,R$9,MolVol,R$21,R$20,S$21,S$20)/(1-Bws))</f>
        <v/>
      </c>
      <c r="T118" s="740"/>
      <c r="AR118" s="334"/>
      <c r="AS118" s="334"/>
      <c r="AT118" s="48"/>
      <c r="AU118" s="48"/>
      <c r="AV118" s="153"/>
      <c r="AW118" s="153"/>
      <c r="AX118" s="153"/>
      <c r="AY118" s="153"/>
      <c r="AZ118" s="153"/>
      <c r="BA118" s="153"/>
      <c r="BB118" s="153"/>
      <c r="BC118" s="153"/>
      <c r="BD118" s="153"/>
      <c r="BE118" s="153"/>
      <c r="BF118" s="153"/>
      <c r="BG118" s="153"/>
      <c r="BH118" s="153"/>
      <c r="BI118" s="153"/>
      <c r="BJ118" s="153"/>
      <c r="BK118" s="153"/>
      <c r="BL118" s="153"/>
      <c r="BM118" s="153"/>
      <c r="BN118" s="153"/>
      <c r="BO118" s="153"/>
      <c r="BP118" s="153"/>
      <c r="BQ118" s="153"/>
      <c r="BR118" s="153"/>
      <c r="BS118" s="153"/>
      <c r="BT118" s="153"/>
      <c r="BU118" s="153"/>
      <c r="BV118" s="153"/>
      <c r="BW118" s="153"/>
      <c r="BX118" s="153"/>
      <c r="BY118" s="153"/>
      <c r="BZ118" s="153"/>
      <c r="CA118" s="153"/>
      <c r="CB118" s="153"/>
      <c r="CC118" s="153"/>
      <c r="CD118" s="153"/>
      <c r="CE118" s="153"/>
      <c r="CF118" s="153"/>
      <c r="CG118" s="153"/>
      <c r="CH118" s="153"/>
      <c r="CI118" s="153"/>
      <c r="CJ118" s="153"/>
      <c r="CK118" s="153"/>
      <c r="CL118" s="153"/>
      <c r="CM118" s="153"/>
      <c r="CN118" s="153"/>
      <c r="CO118" s="153"/>
      <c r="CP118" s="153"/>
      <c r="CQ118" s="153"/>
      <c r="CR118" s="153"/>
      <c r="CS118" s="153"/>
      <c r="CT118" s="153"/>
      <c r="CU118" s="153"/>
      <c r="CV118" s="153"/>
      <c r="CW118" s="153"/>
      <c r="CX118" s="153"/>
      <c r="CY118" s="153"/>
      <c r="CZ118" s="153"/>
      <c r="DA118" s="153"/>
      <c r="DB118" s="153"/>
      <c r="DC118" s="153"/>
      <c r="DD118" s="153"/>
      <c r="DE118" s="153"/>
      <c r="DF118" s="153"/>
      <c r="DG118" s="153"/>
      <c r="DH118" s="153"/>
      <c r="DI118" s="153"/>
      <c r="DJ118" s="153"/>
      <c r="DK118" s="153"/>
      <c r="DL118" s="153"/>
      <c r="DM118" s="153"/>
      <c r="DN118" s="153"/>
      <c r="DO118" s="153"/>
      <c r="DP118" s="153"/>
      <c r="DQ118" s="153"/>
      <c r="DR118" s="153"/>
      <c r="DS118" s="153"/>
      <c r="DT118" s="153"/>
      <c r="DU118" s="153"/>
      <c r="DV118" s="153"/>
      <c r="DW118" s="153"/>
      <c r="DX118" s="153"/>
      <c r="DY118" s="153"/>
      <c r="DZ118" s="153"/>
      <c r="EA118" s="153"/>
      <c r="EB118" s="153"/>
      <c r="EC118" s="153"/>
      <c r="ED118" s="153"/>
      <c r="EE118" s="153"/>
      <c r="EF118" s="153"/>
      <c r="EG118" s="153"/>
      <c r="EH118" s="153"/>
      <c r="EI118" s="153"/>
      <c r="EJ118" s="153"/>
      <c r="EK118" s="153"/>
      <c r="EL118" s="153"/>
      <c r="EM118" s="153"/>
    </row>
    <row r="119" spans="1:143" s="107" customFormat="1" ht="10.5" customHeight="1">
      <c r="A119" s="1140">
        <v>94</v>
      </c>
      <c r="B119" s="1560" t="str">
        <f t="shared" si="3"/>
        <v/>
      </c>
      <c r="C119" s="161" t="str">
        <f>GasTime(GasAnalyser,'Horiba Data'!F112,'Horiba Data'!G112,'Testo, JUM &amp; MRU Data'!A113,'Thermo Data'!B112,HourOffset)</f>
        <v/>
      </c>
      <c r="D119" s="981" t="str">
        <f>IF(D$17=FALSE,"",GasData(GasAnalyser,'Horiba Data'!S112,'Testo, JUM &amp; MRU Data'!D113,'Thermo Data'!E112,'Testo, JUM &amp; MRU Data'!U113,GDF))</f>
        <v/>
      </c>
      <c r="E119" s="981" t="str">
        <f>IF(D119="","",Conc2(D119,D$9,MolVol,D$21,D$20,E$21,E$20))</f>
        <v/>
      </c>
      <c r="F119" s="981" t="str">
        <f>IF(F$17=FALSE,"",GasData(GasAnalyser,'Horiba Data'!AQ112,'Testo, JUM &amp; MRU Data'!E113,'Thermo Data'!F112,'Testo, JUM &amp; MRU Data'!V113,GDF))</f>
        <v/>
      </c>
      <c r="G119" s="981" t="str">
        <f>IF(F119="","",Conc2(F119,F$9,MolVol,F$21,F$20,G$21,G$20))</f>
        <v/>
      </c>
      <c r="H119" s="981" t="str">
        <f>IF(D$17=FALSE,"",IF(F$17=FALSE,"",GasData(GasAnalyser,'Horiba Data'!W112,'Testo, JUM &amp; MRU Data'!F113,'Thermo Data'!G112,'Testo, JUM &amp; MRU Data'!Y113,GDF)))</f>
        <v/>
      </c>
      <c r="I119" s="981" t="str">
        <f>IF(H119="","",Conc2(H119,H$9,MolVol,H$21,H$20,I$21,I$20))</f>
        <v/>
      </c>
      <c r="J119" s="981" t="str">
        <f>IF(J$17=FALSE,"",GasData(GasAnalyser,'Horiba Data'!AM112,'Testo, JUM &amp; MRU Data'!G113,'Thermo Data'!H112,'Testo, JUM &amp; MRU Data'!W113,GDF))</f>
        <v/>
      </c>
      <c r="K119" s="981" t="str">
        <f>IF(J119="","",Conc2(J119,J$9,MolVol,J$21,J$20,K$21,K$20))</f>
        <v/>
      </c>
      <c r="L119" s="981" t="str">
        <f>IF(L$17=FALSE,"",GasData(GasAnalyser,'Horiba Data'!AA112,'Testo, JUM &amp; MRU Data'!H113,'Thermo Data'!I112,'Testo, JUM &amp; MRU Data'!T113,GDF))</f>
        <v/>
      </c>
      <c r="M119" s="981" t="str">
        <f>IF(L119="","",Conc2(L119,L$9,MolVol,L$21,L$20,M$21,M$20))</f>
        <v/>
      </c>
      <c r="N119" s="981" t="str">
        <f>IF(N$17=FALSE,"",GasData(GasAnalyser,'Horiba Data'!AE112,'Testo, JUM &amp; MRU Data'!I113,'Thermo Data'!J112,'Testo, JUM &amp; MRU Data'!S113,GDF))</f>
        <v/>
      </c>
      <c r="O119" s="981" t="str">
        <f>IF(N119="","",Conc2(N119,N$9,MolVol,N$21,N$20,O$21,O$20))</f>
        <v/>
      </c>
      <c r="P119" s="981" t="str">
        <f>IF(P$17=FALSE,"",GasData(GasAnalyser,'Horiba Data'!AI112,'Testo, JUM &amp; MRU Data'!J113,'Thermo Data'!K112,'Testo, JUM &amp; MRU Data'!R113,GDF))</f>
        <v/>
      </c>
      <c r="Q119" s="981" t="str">
        <f>IF(P119="","",Conc2(P119,P$9,MolVol,P$21,P$20,Q$21,Q$20))</f>
        <v/>
      </c>
      <c r="R119" s="981" t="str">
        <f>IF(R$17=FALSE,"",JUMData('Testo, JUM &amp; MRU Data'!M113,$R$7))</f>
        <v/>
      </c>
      <c r="S119" s="982" t="str">
        <f>IF(R119="","",Conc2(R119,R$9,MolVol,R$21,R$20,S$21,S$20)/(1-Bws))</f>
        <v/>
      </c>
      <c r="T119" s="740"/>
      <c r="AR119" s="334"/>
      <c r="AS119" s="334"/>
      <c r="AT119" s="48"/>
      <c r="AU119" s="48"/>
      <c r="AV119" s="153"/>
      <c r="AW119" s="153"/>
      <c r="AX119" s="153"/>
      <c r="AY119" s="153"/>
      <c r="AZ119" s="153"/>
      <c r="BA119" s="153"/>
      <c r="BB119" s="153"/>
      <c r="BC119" s="153"/>
      <c r="BD119" s="153"/>
      <c r="BE119" s="153"/>
      <c r="BF119" s="153"/>
      <c r="BG119" s="153"/>
      <c r="BH119" s="153"/>
      <c r="BI119" s="153"/>
      <c r="BJ119" s="153"/>
      <c r="BK119" s="153"/>
      <c r="BL119" s="153"/>
      <c r="BM119" s="153"/>
      <c r="BN119" s="153"/>
      <c r="BO119" s="153"/>
      <c r="BP119" s="153"/>
      <c r="BQ119" s="153"/>
      <c r="BR119" s="153"/>
      <c r="BS119" s="153"/>
      <c r="BT119" s="153"/>
      <c r="BU119" s="153"/>
      <c r="BV119" s="153"/>
      <c r="BW119" s="153"/>
      <c r="BX119" s="153"/>
      <c r="BY119" s="153"/>
      <c r="BZ119" s="153"/>
      <c r="CA119" s="153"/>
      <c r="CB119" s="153"/>
      <c r="CC119" s="153"/>
      <c r="CD119" s="153"/>
      <c r="CE119" s="153"/>
      <c r="CF119" s="153"/>
      <c r="CG119" s="153"/>
      <c r="CH119" s="153"/>
      <c r="CI119" s="153"/>
      <c r="CJ119" s="153"/>
      <c r="CK119" s="153"/>
      <c r="CL119" s="153"/>
      <c r="CM119" s="153"/>
      <c r="CN119" s="153"/>
      <c r="CO119" s="153"/>
      <c r="CP119" s="153"/>
      <c r="CQ119" s="153"/>
      <c r="CR119" s="153"/>
      <c r="CS119" s="153"/>
      <c r="CT119" s="153"/>
      <c r="CU119" s="153"/>
      <c r="CV119" s="153"/>
      <c r="CW119" s="153"/>
      <c r="CX119" s="153"/>
      <c r="CY119" s="153"/>
      <c r="CZ119" s="153"/>
      <c r="DA119" s="153"/>
      <c r="DB119" s="153"/>
      <c r="DC119" s="153"/>
      <c r="DD119" s="153"/>
      <c r="DE119" s="153"/>
      <c r="DF119" s="153"/>
      <c r="DG119" s="153"/>
      <c r="DH119" s="153"/>
      <c r="DI119" s="153"/>
      <c r="DJ119" s="153"/>
      <c r="DK119" s="153"/>
      <c r="DL119" s="153"/>
      <c r="DM119" s="153"/>
      <c r="DN119" s="153"/>
      <c r="DO119" s="153"/>
      <c r="DP119" s="153"/>
      <c r="DQ119" s="153"/>
      <c r="DR119" s="153"/>
      <c r="DS119" s="153"/>
      <c r="DT119" s="153"/>
      <c r="DU119" s="153"/>
      <c r="DV119" s="153"/>
      <c r="DW119" s="153"/>
      <c r="DX119" s="153"/>
      <c r="DY119" s="153"/>
      <c r="DZ119" s="153"/>
      <c r="EA119" s="153"/>
      <c r="EB119" s="153"/>
      <c r="EC119" s="153"/>
      <c r="ED119" s="153"/>
      <c r="EE119" s="153"/>
      <c r="EF119" s="153"/>
      <c r="EG119" s="153"/>
      <c r="EH119" s="153"/>
      <c r="EI119" s="153"/>
      <c r="EJ119" s="153"/>
      <c r="EK119" s="153"/>
      <c r="EL119" s="153"/>
      <c r="EM119" s="153"/>
    </row>
    <row r="120" spans="1:143" s="107" customFormat="1" ht="10.5" customHeight="1">
      <c r="A120" s="1140">
        <v>95</v>
      </c>
      <c r="B120" s="1560" t="str">
        <f t="shared" si="3"/>
        <v/>
      </c>
      <c r="C120" s="161" t="str">
        <f>GasTime(GasAnalyser,'Horiba Data'!F113,'Horiba Data'!G113,'Testo, JUM &amp; MRU Data'!A114,'Thermo Data'!B113,HourOffset)</f>
        <v/>
      </c>
      <c r="D120" s="981" t="str">
        <f>IF(D$17=FALSE,"",GasData(GasAnalyser,'Horiba Data'!S113,'Testo, JUM &amp; MRU Data'!D114,'Thermo Data'!E113,'Testo, JUM &amp; MRU Data'!U114,GDF))</f>
        <v/>
      </c>
      <c r="E120" s="981" t="str">
        <f>IF(D120="","",Conc2(D120,D$9,MolVol,D$21,D$20,E$21,E$20))</f>
        <v/>
      </c>
      <c r="F120" s="981" t="str">
        <f>IF(F$17=FALSE,"",GasData(GasAnalyser,'Horiba Data'!AQ113,'Testo, JUM &amp; MRU Data'!E114,'Thermo Data'!F113,'Testo, JUM &amp; MRU Data'!V114,GDF))</f>
        <v/>
      </c>
      <c r="G120" s="981" t="str">
        <f>IF(F120="","",Conc2(F120,F$9,MolVol,F$21,F$20,G$21,G$20))</f>
        <v/>
      </c>
      <c r="H120" s="981" t="str">
        <f>IF(D$17=FALSE,"",IF(F$17=FALSE,"",GasData(GasAnalyser,'Horiba Data'!W113,'Testo, JUM &amp; MRU Data'!F114,'Thermo Data'!G113,'Testo, JUM &amp; MRU Data'!Y114,GDF)))</f>
        <v/>
      </c>
      <c r="I120" s="981" t="str">
        <f>IF(H120="","",Conc2(H120,H$9,MolVol,H$21,H$20,I$21,I$20))</f>
        <v/>
      </c>
      <c r="J120" s="981" t="str">
        <f>IF(J$17=FALSE,"",GasData(GasAnalyser,'Horiba Data'!AM113,'Testo, JUM &amp; MRU Data'!G114,'Thermo Data'!H113,'Testo, JUM &amp; MRU Data'!W114,GDF))</f>
        <v/>
      </c>
      <c r="K120" s="981" t="str">
        <f>IF(J120="","",Conc2(J120,J$9,MolVol,J$21,J$20,K$21,K$20))</f>
        <v/>
      </c>
      <c r="L120" s="981" t="str">
        <f>IF(L$17=FALSE,"",GasData(GasAnalyser,'Horiba Data'!AA113,'Testo, JUM &amp; MRU Data'!H114,'Thermo Data'!I113,'Testo, JUM &amp; MRU Data'!T114,GDF))</f>
        <v/>
      </c>
      <c r="M120" s="981" t="str">
        <f>IF(L120="","",Conc2(L120,L$9,MolVol,L$21,L$20,M$21,M$20))</f>
        <v/>
      </c>
      <c r="N120" s="981" t="str">
        <f>IF(N$17=FALSE,"",GasData(GasAnalyser,'Horiba Data'!AE113,'Testo, JUM &amp; MRU Data'!I114,'Thermo Data'!J113,'Testo, JUM &amp; MRU Data'!S114,GDF))</f>
        <v/>
      </c>
      <c r="O120" s="981" t="str">
        <f>IF(N120="","",Conc2(N120,N$9,MolVol,N$21,N$20,O$21,O$20))</f>
        <v/>
      </c>
      <c r="P120" s="981" t="str">
        <f>IF(P$17=FALSE,"",GasData(GasAnalyser,'Horiba Data'!AI113,'Testo, JUM &amp; MRU Data'!J114,'Thermo Data'!K113,'Testo, JUM &amp; MRU Data'!R114,GDF))</f>
        <v/>
      </c>
      <c r="Q120" s="981" t="str">
        <f>IF(P120="","",Conc2(P120,P$9,MolVol,P$21,P$20,Q$21,Q$20))</f>
        <v/>
      </c>
      <c r="R120" s="981" t="str">
        <f>IF(R$17=FALSE,"",JUMData('Testo, JUM &amp; MRU Data'!M114,$R$7))</f>
        <v/>
      </c>
      <c r="S120" s="982" t="str">
        <f>IF(R120="","",Conc2(R120,R$9,MolVol,R$21,R$20,S$21,S$20)/(1-Bws))</f>
        <v/>
      </c>
      <c r="T120" s="740"/>
      <c r="AR120" s="334"/>
      <c r="AS120" s="334"/>
      <c r="AT120" s="48"/>
      <c r="AU120" s="48"/>
      <c r="AV120" s="153"/>
      <c r="AW120" s="153"/>
      <c r="AX120" s="153"/>
      <c r="AY120" s="153"/>
      <c r="AZ120" s="153"/>
      <c r="BA120" s="153"/>
      <c r="BB120" s="153"/>
      <c r="BC120" s="153"/>
      <c r="BD120" s="153"/>
      <c r="BE120" s="153"/>
      <c r="BF120" s="153"/>
      <c r="BG120" s="153"/>
      <c r="BH120" s="153"/>
      <c r="BI120" s="153"/>
      <c r="BJ120" s="153"/>
      <c r="BK120" s="153"/>
      <c r="BL120" s="153"/>
      <c r="BM120" s="153"/>
      <c r="BN120" s="153"/>
      <c r="BO120" s="153"/>
      <c r="BP120" s="153"/>
      <c r="BQ120" s="153"/>
      <c r="BR120" s="153"/>
      <c r="BS120" s="153"/>
      <c r="BT120" s="153"/>
      <c r="BU120" s="153"/>
      <c r="BV120" s="153"/>
      <c r="BW120" s="153"/>
      <c r="BX120" s="153"/>
      <c r="BY120" s="153"/>
      <c r="BZ120" s="153"/>
      <c r="CA120" s="153"/>
      <c r="CB120" s="153"/>
      <c r="CC120" s="153"/>
      <c r="CD120" s="153"/>
      <c r="CE120" s="153"/>
      <c r="CF120" s="153"/>
      <c r="CG120" s="153"/>
      <c r="CH120" s="153"/>
      <c r="CI120" s="153"/>
      <c r="CJ120" s="153"/>
      <c r="CK120" s="153"/>
      <c r="CL120" s="153"/>
      <c r="CM120" s="153"/>
      <c r="CN120" s="153"/>
      <c r="CO120" s="153"/>
      <c r="CP120" s="153"/>
      <c r="CQ120" s="153"/>
      <c r="CR120" s="153"/>
      <c r="CS120" s="153"/>
      <c r="CT120" s="153"/>
      <c r="CU120" s="153"/>
      <c r="CV120" s="153"/>
      <c r="CW120" s="153"/>
      <c r="CX120" s="153"/>
      <c r="CY120" s="153"/>
      <c r="CZ120" s="153"/>
      <c r="DA120" s="153"/>
      <c r="DB120" s="153"/>
      <c r="DC120" s="153"/>
      <c r="DD120" s="153"/>
      <c r="DE120" s="153"/>
      <c r="DF120" s="153"/>
      <c r="DG120" s="153"/>
      <c r="DH120" s="153"/>
      <c r="DI120" s="153"/>
      <c r="DJ120" s="153"/>
      <c r="DK120" s="153"/>
      <c r="DL120" s="153"/>
      <c r="DM120" s="153"/>
      <c r="DN120" s="153"/>
      <c r="DO120" s="153"/>
      <c r="DP120" s="153"/>
      <c r="DQ120" s="153"/>
      <c r="DR120" s="153"/>
      <c r="DS120" s="153"/>
      <c r="DT120" s="153"/>
      <c r="DU120" s="153"/>
      <c r="DV120" s="153"/>
      <c r="DW120" s="153"/>
      <c r="DX120" s="153"/>
      <c r="DY120" s="153"/>
      <c r="DZ120" s="153"/>
      <c r="EA120" s="153"/>
      <c r="EB120" s="153"/>
      <c r="EC120" s="153"/>
      <c r="ED120" s="153"/>
      <c r="EE120" s="153"/>
      <c r="EF120" s="153"/>
      <c r="EG120" s="153"/>
      <c r="EH120" s="153"/>
      <c r="EI120" s="153"/>
      <c r="EJ120" s="153"/>
      <c r="EK120" s="153"/>
      <c r="EL120" s="153"/>
      <c r="EM120" s="153"/>
    </row>
    <row r="121" spans="1:143" s="107" customFormat="1" ht="10.5" customHeight="1">
      <c r="A121" s="1140">
        <v>96</v>
      </c>
      <c r="B121" s="1560" t="str">
        <f t="shared" si="3"/>
        <v/>
      </c>
      <c r="C121" s="161" t="str">
        <f>GasTime(GasAnalyser,'Horiba Data'!F114,'Horiba Data'!G114,'Testo, JUM &amp; MRU Data'!A115,'Thermo Data'!B114,HourOffset)</f>
        <v/>
      </c>
      <c r="D121" s="981" t="str">
        <f>IF(D$17=FALSE,"",GasData(GasAnalyser,'Horiba Data'!S114,'Testo, JUM &amp; MRU Data'!D115,'Thermo Data'!E114,'Testo, JUM &amp; MRU Data'!U115,GDF))</f>
        <v/>
      </c>
      <c r="E121" s="981" t="str">
        <f>IF(D121="","",Conc2(D121,D$9,MolVol,D$21,D$20,E$21,E$20))</f>
        <v/>
      </c>
      <c r="F121" s="981" t="str">
        <f>IF(F$17=FALSE,"",GasData(GasAnalyser,'Horiba Data'!AQ114,'Testo, JUM &amp; MRU Data'!E115,'Thermo Data'!F114,'Testo, JUM &amp; MRU Data'!V115,GDF))</f>
        <v/>
      </c>
      <c r="G121" s="981" t="str">
        <f>IF(F121="","",Conc2(F121,F$9,MolVol,F$21,F$20,G$21,G$20))</f>
        <v/>
      </c>
      <c r="H121" s="981" t="str">
        <f>IF(D$17=FALSE,"",IF(F$17=FALSE,"",GasData(GasAnalyser,'Horiba Data'!W114,'Testo, JUM &amp; MRU Data'!F115,'Thermo Data'!G114,'Testo, JUM &amp; MRU Data'!Y115,GDF)))</f>
        <v/>
      </c>
      <c r="I121" s="981" t="str">
        <f>IF(H121="","",Conc2(H121,H$9,MolVol,H$21,H$20,I$21,I$20))</f>
        <v/>
      </c>
      <c r="J121" s="981" t="str">
        <f>IF(J$17=FALSE,"",GasData(GasAnalyser,'Horiba Data'!AM114,'Testo, JUM &amp; MRU Data'!G115,'Thermo Data'!H114,'Testo, JUM &amp; MRU Data'!W115,GDF))</f>
        <v/>
      </c>
      <c r="K121" s="981" t="str">
        <f>IF(J121="","",Conc2(J121,J$9,MolVol,J$21,J$20,K$21,K$20))</f>
        <v/>
      </c>
      <c r="L121" s="981" t="str">
        <f>IF(L$17=FALSE,"",GasData(GasAnalyser,'Horiba Data'!AA114,'Testo, JUM &amp; MRU Data'!H115,'Thermo Data'!I114,'Testo, JUM &amp; MRU Data'!T115,GDF))</f>
        <v/>
      </c>
      <c r="M121" s="981" t="str">
        <f>IF(L121="","",Conc2(L121,L$9,MolVol,L$21,L$20,M$21,M$20))</f>
        <v/>
      </c>
      <c r="N121" s="981" t="str">
        <f>IF(N$17=FALSE,"",GasData(GasAnalyser,'Horiba Data'!AE114,'Testo, JUM &amp; MRU Data'!I115,'Thermo Data'!J114,'Testo, JUM &amp; MRU Data'!S115,GDF))</f>
        <v/>
      </c>
      <c r="O121" s="981" t="str">
        <f>IF(N121="","",Conc2(N121,N$9,MolVol,N$21,N$20,O$21,O$20))</f>
        <v/>
      </c>
      <c r="P121" s="981" t="str">
        <f>IF(P$17=FALSE,"",GasData(GasAnalyser,'Horiba Data'!AI114,'Testo, JUM &amp; MRU Data'!J115,'Thermo Data'!K114,'Testo, JUM &amp; MRU Data'!R115,GDF))</f>
        <v/>
      </c>
      <c r="Q121" s="981" t="str">
        <f>IF(P121="","",Conc2(P121,P$9,MolVol,P$21,P$20,Q$21,Q$20))</f>
        <v/>
      </c>
      <c r="R121" s="981" t="str">
        <f>IF(R$17=FALSE,"",JUMData('Testo, JUM &amp; MRU Data'!M115,$R$7))</f>
        <v/>
      </c>
      <c r="S121" s="982" t="str">
        <f>IF(R121="","",Conc2(R121,R$9,MolVol,R$21,R$20,S$21,S$20)/(1-Bws))</f>
        <v/>
      </c>
      <c r="T121" s="740"/>
      <c r="AR121" s="334"/>
      <c r="AS121" s="334"/>
      <c r="AT121" s="48"/>
      <c r="AU121" s="48"/>
      <c r="AV121" s="153"/>
      <c r="AW121" s="153"/>
      <c r="AX121" s="153"/>
      <c r="AY121" s="153"/>
      <c r="AZ121" s="153"/>
      <c r="BA121" s="153"/>
      <c r="BB121" s="153"/>
      <c r="BC121" s="153"/>
      <c r="BD121" s="153"/>
      <c r="BE121" s="153"/>
      <c r="BF121" s="153"/>
      <c r="BG121" s="153"/>
      <c r="BH121" s="153"/>
      <c r="BI121" s="153"/>
      <c r="BJ121" s="153"/>
      <c r="BK121" s="153"/>
      <c r="BL121" s="153"/>
      <c r="BM121" s="153"/>
      <c r="BN121" s="153"/>
      <c r="BO121" s="153"/>
      <c r="BP121" s="153"/>
      <c r="BQ121" s="153"/>
      <c r="BR121" s="153"/>
      <c r="BS121" s="153"/>
      <c r="BT121" s="153"/>
      <c r="BU121" s="153"/>
      <c r="BV121" s="153"/>
      <c r="BW121" s="153"/>
      <c r="BX121" s="153"/>
      <c r="BY121" s="153"/>
      <c r="BZ121" s="153"/>
      <c r="CA121" s="153"/>
      <c r="CB121" s="153"/>
      <c r="CC121" s="153"/>
      <c r="CD121" s="153"/>
      <c r="CE121" s="153"/>
      <c r="CF121" s="153"/>
      <c r="CG121" s="153"/>
      <c r="CH121" s="153"/>
      <c r="CI121" s="153"/>
      <c r="CJ121" s="153"/>
      <c r="CK121" s="153"/>
      <c r="CL121" s="153"/>
      <c r="CM121" s="153"/>
      <c r="CN121" s="153"/>
      <c r="CO121" s="153"/>
      <c r="CP121" s="153"/>
      <c r="CQ121" s="153"/>
      <c r="CR121" s="153"/>
      <c r="CS121" s="153"/>
      <c r="CT121" s="153"/>
      <c r="CU121" s="153"/>
      <c r="CV121" s="153"/>
      <c r="CW121" s="153"/>
      <c r="CX121" s="153"/>
      <c r="CY121" s="153"/>
      <c r="CZ121" s="153"/>
      <c r="DA121" s="153"/>
      <c r="DB121" s="153"/>
      <c r="DC121" s="153"/>
      <c r="DD121" s="153"/>
      <c r="DE121" s="153"/>
      <c r="DF121" s="153"/>
      <c r="DG121" s="153"/>
      <c r="DH121" s="153"/>
      <c r="DI121" s="153"/>
      <c r="DJ121" s="153"/>
      <c r="DK121" s="153"/>
      <c r="DL121" s="153"/>
      <c r="DM121" s="153"/>
      <c r="DN121" s="153"/>
      <c r="DO121" s="153"/>
      <c r="DP121" s="153"/>
      <c r="DQ121" s="153"/>
      <c r="DR121" s="153"/>
      <c r="DS121" s="153"/>
      <c r="DT121" s="153"/>
      <c r="DU121" s="153"/>
      <c r="DV121" s="153"/>
      <c r="DW121" s="153"/>
      <c r="DX121" s="153"/>
      <c r="DY121" s="153"/>
      <c r="DZ121" s="153"/>
      <c r="EA121" s="153"/>
      <c r="EB121" s="153"/>
      <c r="EC121" s="153"/>
      <c r="ED121" s="153"/>
      <c r="EE121" s="153"/>
      <c r="EF121" s="153"/>
      <c r="EG121" s="153"/>
      <c r="EH121" s="153"/>
      <c r="EI121" s="153"/>
      <c r="EJ121" s="153"/>
      <c r="EK121" s="153"/>
      <c r="EL121" s="153"/>
      <c r="EM121" s="153"/>
    </row>
    <row r="122" spans="1:143" s="107" customFormat="1" ht="10.5" customHeight="1">
      <c r="A122" s="1140">
        <v>97</v>
      </c>
      <c r="B122" s="1560" t="str">
        <f t="shared" si="3"/>
        <v/>
      </c>
      <c r="C122" s="161" t="str">
        <f>GasTime(GasAnalyser,'Horiba Data'!F115,'Horiba Data'!G115,'Testo, JUM &amp; MRU Data'!A116,'Thermo Data'!B115,HourOffset)</f>
        <v/>
      </c>
      <c r="D122" s="981" t="str">
        <f>IF(D$17=FALSE,"",GasData(GasAnalyser,'Horiba Data'!S115,'Testo, JUM &amp; MRU Data'!D116,'Thermo Data'!E115,'Testo, JUM &amp; MRU Data'!U116,GDF))</f>
        <v/>
      </c>
      <c r="E122" s="981" t="str">
        <f>IF(D122="","",Conc2(D122,D$9,MolVol,D$21,D$20,E$21,E$20))</f>
        <v/>
      </c>
      <c r="F122" s="981" t="str">
        <f>IF(F$17=FALSE,"",GasData(GasAnalyser,'Horiba Data'!AQ115,'Testo, JUM &amp; MRU Data'!E116,'Thermo Data'!F115,'Testo, JUM &amp; MRU Data'!V116,GDF))</f>
        <v/>
      </c>
      <c r="G122" s="981" t="str">
        <f>IF(F122="","",Conc2(F122,F$9,MolVol,F$21,F$20,G$21,G$20))</f>
        <v/>
      </c>
      <c r="H122" s="981" t="str">
        <f>IF(D$17=FALSE,"",IF(F$17=FALSE,"",GasData(GasAnalyser,'Horiba Data'!W115,'Testo, JUM &amp; MRU Data'!F116,'Thermo Data'!G115,'Testo, JUM &amp; MRU Data'!Y116,GDF)))</f>
        <v/>
      </c>
      <c r="I122" s="981" t="str">
        <f>IF(H122="","",Conc2(H122,H$9,MolVol,H$21,H$20,I$21,I$20))</f>
        <v/>
      </c>
      <c r="J122" s="981" t="str">
        <f>IF(J$17=FALSE,"",GasData(GasAnalyser,'Horiba Data'!AM115,'Testo, JUM &amp; MRU Data'!G116,'Thermo Data'!H115,'Testo, JUM &amp; MRU Data'!W116,GDF))</f>
        <v/>
      </c>
      <c r="K122" s="981" t="str">
        <f>IF(J122="","",Conc2(J122,J$9,MolVol,J$21,J$20,K$21,K$20))</f>
        <v/>
      </c>
      <c r="L122" s="981" t="str">
        <f>IF(L$17=FALSE,"",GasData(GasAnalyser,'Horiba Data'!AA115,'Testo, JUM &amp; MRU Data'!H116,'Thermo Data'!I115,'Testo, JUM &amp; MRU Data'!T116,GDF))</f>
        <v/>
      </c>
      <c r="M122" s="981" t="str">
        <f>IF(L122="","",Conc2(L122,L$9,MolVol,L$21,L$20,M$21,M$20))</f>
        <v/>
      </c>
      <c r="N122" s="981" t="str">
        <f>IF(N$17=FALSE,"",GasData(GasAnalyser,'Horiba Data'!AE115,'Testo, JUM &amp; MRU Data'!I116,'Thermo Data'!J115,'Testo, JUM &amp; MRU Data'!S116,GDF))</f>
        <v/>
      </c>
      <c r="O122" s="981" t="str">
        <f>IF(N122="","",Conc2(N122,N$9,MolVol,N$21,N$20,O$21,O$20))</f>
        <v/>
      </c>
      <c r="P122" s="981" t="str">
        <f>IF(P$17=FALSE,"",GasData(GasAnalyser,'Horiba Data'!AI115,'Testo, JUM &amp; MRU Data'!J116,'Thermo Data'!K115,'Testo, JUM &amp; MRU Data'!R116,GDF))</f>
        <v/>
      </c>
      <c r="Q122" s="981" t="str">
        <f>IF(P122="","",Conc2(P122,P$9,MolVol,P$21,P$20,Q$21,Q$20))</f>
        <v/>
      </c>
      <c r="R122" s="981" t="str">
        <f>IF(R$17=FALSE,"",JUMData('Testo, JUM &amp; MRU Data'!M116,$R$7))</f>
        <v/>
      </c>
      <c r="S122" s="982" t="str">
        <f>IF(R122="","",Conc2(R122,R$9,MolVol,R$21,R$20,S$21,S$20)/(1-Bws))</f>
        <v/>
      </c>
      <c r="T122" s="740"/>
      <c r="AR122" s="334"/>
      <c r="AS122" s="334"/>
      <c r="AT122" s="48"/>
      <c r="AU122" s="48"/>
      <c r="AV122" s="153"/>
      <c r="AW122" s="153"/>
      <c r="AX122" s="153"/>
      <c r="AY122" s="153"/>
      <c r="AZ122" s="153"/>
      <c r="BA122" s="153"/>
      <c r="BB122" s="153"/>
      <c r="BC122" s="153"/>
      <c r="BD122" s="153"/>
      <c r="BE122" s="153"/>
      <c r="BF122" s="153"/>
      <c r="BG122" s="153"/>
      <c r="BH122" s="153"/>
      <c r="BI122" s="153"/>
      <c r="BJ122" s="153"/>
      <c r="BK122" s="153"/>
      <c r="BL122" s="153"/>
      <c r="BM122" s="153"/>
      <c r="BN122" s="153"/>
      <c r="BO122" s="153"/>
      <c r="BP122" s="153"/>
      <c r="BQ122" s="153"/>
      <c r="BR122" s="153"/>
      <c r="BS122" s="153"/>
      <c r="BT122" s="153"/>
      <c r="BU122" s="153"/>
      <c r="BV122" s="153"/>
      <c r="BW122" s="153"/>
      <c r="BX122" s="153"/>
      <c r="BY122" s="153"/>
      <c r="BZ122" s="153"/>
      <c r="CA122" s="153"/>
      <c r="CB122" s="153"/>
      <c r="CC122" s="153"/>
      <c r="CD122" s="153"/>
      <c r="CE122" s="153"/>
      <c r="CF122" s="153"/>
      <c r="CG122" s="153"/>
      <c r="CH122" s="153"/>
      <c r="CI122" s="153"/>
      <c r="CJ122" s="153"/>
      <c r="CK122" s="153"/>
      <c r="CL122" s="153"/>
      <c r="CM122" s="153"/>
      <c r="CN122" s="153"/>
      <c r="CO122" s="153"/>
      <c r="CP122" s="153"/>
      <c r="CQ122" s="153"/>
      <c r="CR122" s="153"/>
      <c r="CS122" s="153"/>
      <c r="CT122" s="153"/>
      <c r="CU122" s="153"/>
      <c r="CV122" s="153"/>
      <c r="CW122" s="153"/>
      <c r="CX122" s="153"/>
      <c r="CY122" s="153"/>
      <c r="CZ122" s="153"/>
      <c r="DA122" s="153"/>
      <c r="DB122" s="153"/>
      <c r="DC122" s="153"/>
      <c r="DD122" s="153"/>
      <c r="DE122" s="153"/>
      <c r="DF122" s="153"/>
      <c r="DG122" s="153"/>
      <c r="DH122" s="153"/>
      <c r="DI122" s="153"/>
      <c r="DJ122" s="153"/>
      <c r="DK122" s="153"/>
      <c r="DL122" s="153"/>
      <c r="DM122" s="153"/>
      <c r="DN122" s="153"/>
      <c r="DO122" s="153"/>
      <c r="DP122" s="153"/>
      <c r="DQ122" s="153"/>
      <c r="DR122" s="153"/>
      <c r="DS122" s="153"/>
      <c r="DT122" s="153"/>
      <c r="DU122" s="153"/>
      <c r="DV122" s="153"/>
      <c r="DW122" s="153"/>
      <c r="DX122" s="153"/>
      <c r="DY122" s="153"/>
      <c r="DZ122" s="153"/>
      <c r="EA122" s="153"/>
      <c r="EB122" s="153"/>
      <c r="EC122" s="153"/>
      <c r="ED122" s="153"/>
      <c r="EE122" s="153"/>
      <c r="EF122" s="153"/>
      <c r="EG122" s="153"/>
      <c r="EH122" s="153"/>
      <c r="EI122" s="153"/>
      <c r="EJ122" s="153"/>
      <c r="EK122" s="153"/>
      <c r="EL122" s="153"/>
      <c r="EM122" s="153"/>
    </row>
    <row r="123" spans="1:143" s="107" customFormat="1" ht="10.5" customHeight="1">
      <c r="A123" s="1140">
        <v>98</v>
      </c>
      <c r="B123" s="1560" t="str">
        <f t="shared" si="3"/>
        <v/>
      </c>
      <c r="C123" s="161" t="str">
        <f>GasTime(GasAnalyser,'Horiba Data'!F116,'Horiba Data'!G116,'Testo, JUM &amp; MRU Data'!A117,'Thermo Data'!B116,HourOffset)</f>
        <v/>
      </c>
      <c r="D123" s="981" t="str">
        <f>IF(D$17=FALSE,"",GasData(GasAnalyser,'Horiba Data'!S116,'Testo, JUM &amp; MRU Data'!D117,'Thermo Data'!E116,'Testo, JUM &amp; MRU Data'!U117,GDF))</f>
        <v/>
      </c>
      <c r="E123" s="981" t="str">
        <f>IF(D123="","",Conc2(D123,D$9,MolVol,D$21,D$20,E$21,E$20))</f>
        <v/>
      </c>
      <c r="F123" s="981" t="str">
        <f>IF(F$17=FALSE,"",GasData(GasAnalyser,'Horiba Data'!AQ116,'Testo, JUM &amp; MRU Data'!E117,'Thermo Data'!F116,'Testo, JUM &amp; MRU Data'!V117,GDF))</f>
        <v/>
      </c>
      <c r="G123" s="981" t="str">
        <f>IF(F123="","",Conc2(F123,F$9,MolVol,F$21,F$20,G$21,G$20))</f>
        <v/>
      </c>
      <c r="H123" s="981" t="str">
        <f>IF(D$17=FALSE,"",IF(F$17=FALSE,"",GasData(GasAnalyser,'Horiba Data'!W116,'Testo, JUM &amp; MRU Data'!F117,'Thermo Data'!G116,'Testo, JUM &amp; MRU Data'!Y117,GDF)))</f>
        <v/>
      </c>
      <c r="I123" s="981" t="str">
        <f>IF(H123="","",Conc2(H123,H$9,MolVol,H$21,H$20,I$21,I$20))</f>
        <v/>
      </c>
      <c r="J123" s="981" t="str">
        <f>IF(J$17=FALSE,"",GasData(GasAnalyser,'Horiba Data'!AM116,'Testo, JUM &amp; MRU Data'!G117,'Thermo Data'!H116,'Testo, JUM &amp; MRU Data'!W117,GDF))</f>
        <v/>
      </c>
      <c r="K123" s="981" t="str">
        <f>IF(J123="","",Conc2(J123,J$9,MolVol,J$21,J$20,K$21,K$20))</f>
        <v/>
      </c>
      <c r="L123" s="981" t="str">
        <f>IF(L$17=FALSE,"",GasData(GasAnalyser,'Horiba Data'!AA116,'Testo, JUM &amp; MRU Data'!H117,'Thermo Data'!I116,'Testo, JUM &amp; MRU Data'!T117,GDF))</f>
        <v/>
      </c>
      <c r="M123" s="981" t="str">
        <f>IF(L123="","",Conc2(L123,L$9,MolVol,L$21,L$20,M$21,M$20))</f>
        <v/>
      </c>
      <c r="N123" s="981" t="str">
        <f>IF(N$17=FALSE,"",GasData(GasAnalyser,'Horiba Data'!AE116,'Testo, JUM &amp; MRU Data'!I117,'Thermo Data'!J116,'Testo, JUM &amp; MRU Data'!S117,GDF))</f>
        <v/>
      </c>
      <c r="O123" s="981" t="str">
        <f>IF(N123="","",Conc2(N123,N$9,MolVol,N$21,N$20,O$21,O$20))</f>
        <v/>
      </c>
      <c r="P123" s="981" t="str">
        <f>IF(P$17=FALSE,"",GasData(GasAnalyser,'Horiba Data'!AI116,'Testo, JUM &amp; MRU Data'!J117,'Thermo Data'!K116,'Testo, JUM &amp; MRU Data'!R117,GDF))</f>
        <v/>
      </c>
      <c r="Q123" s="981" t="str">
        <f>IF(P123="","",Conc2(P123,P$9,MolVol,P$21,P$20,Q$21,Q$20))</f>
        <v/>
      </c>
      <c r="R123" s="981" t="str">
        <f>IF(R$17=FALSE,"",JUMData('Testo, JUM &amp; MRU Data'!M117,$R$7))</f>
        <v/>
      </c>
      <c r="S123" s="982" t="str">
        <f>IF(R123="","",Conc2(R123,R$9,MolVol,R$21,R$20,S$21,S$20)/(1-Bws))</f>
        <v/>
      </c>
      <c r="T123" s="740"/>
      <c r="AR123" s="334"/>
      <c r="AS123" s="334"/>
      <c r="AT123" s="48"/>
      <c r="AU123" s="48"/>
      <c r="AV123" s="153"/>
      <c r="AW123" s="153"/>
      <c r="AX123" s="153"/>
      <c r="AY123" s="153"/>
      <c r="AZ123" s="153"/>
      <c r="BA123" s="153"/>
      <c r="BB123" s="153"/>
      <c r="BC123" s="153"/>
      <c r="BD123" s="153"/>
      <c r="BE123" s="153"/>
      <c r="BF123" s="153"/>
      <c r="BG123" s="153"/>
      <c r="BH123" s="153"/>
      <c r="BI123" s="153"/>
      <c r="BJ123" s="153"/>
      <c r="BK123" s="153"/>
      <c r="BL123" s="153"/>
      <c r="BM123" s="153"/>
      <c r="BN123" s="153"/>
      <c r="BO123" s="153"/>
      <c r="BP123" s="153"/>
      <c r="BQ123" s="153"/>
      <c r="BR123" s="153"/>
      <c r="BS123" s="153"/>
      <c r="BT123" s="153"/>
      <c r="BU123" s="153"/>
      <c r="BV123" s="153"/>
      <c r="BW123" s="153"/>
      <c r="BX123" s="153"/>
      <c r="BY123" s="153"/>
      <c r="BZ123" s="153"/>
      <c r="CA123" s="153"/>
      <c r="CB123" s="153"/>
      <c r="CC123" s="153"/>
      <c r="CD123" s="153"/>
      <c r="CE123" s="153"/>
      <c r="CF123" s="153"/>
      <c r="CG123" s="153"/>
      <c r="CH123" s="153"/>
      <c r="CI123" s="153"/>
      <c r="CJ123" s="153"/>
      <c r="CK123" s="153"/>
      <c r="CL123" s="153"/>
      <c r="CM123" s="153"/>
      <c r="CN123" s="153"/>
      <c r="CO123" s="153"/>
      <c r="CP123" s="153"/>
      <c r="CQ123" s="153"/>
      <c r="CR123" s="153"/>
      <c r="CS123" s="153"/>
      <c r="CT123" s="153"/>
      <c r="CU123" s="153"/>
      <c r="CV123" s="153"/>
      <c r="CW123" s="153"/>
      <c r="CX123" s="153"/>
      <c r="CY123" s="153"/>
      <c r="CZ123" s="153"/>
      <c r="DA123" s="153"/>
      <c r="DB123" s="153"/>
      <c r="DC123" s="153"/>
      <c r="DD123" s="153"/>
      <c r="DE123" s="153"/>
      <c r="DF123" s="153"/>
      <c r="DG123" s="153"/>
      <c r="DH123" s="153"/>
      <c r="DI123" s="153"/>
      <c r="DJ123" s="153"/>
      <c r="DK123" s="153"/>
      <c r="DL123" s="153"/>
      <c r="DM123" s="153"/>
      <c r="DN123" s="153"/>
      <c r="DO123" s="153"/>
      <c r="DP123" s="153"/>
      <c r="DQ123" s="153"/>
      <c r="DR123" s="153"/>
      <c r="DS123" s="153"/>
      <c r="DT123" s="153"/>
      <c r="DU123" s="153"/>
      <c r="DV123" s="153"/>
      <c r="DW123" s="153"/>
      <c r="DX123" s="153"/>
      <c r="DY123" s="153"/>
      <c r="DZ123" s="153"/>
      <c r="EA123" s="153"/>
      <c r="EB123" s="153"/>
      <c r="EC123" s="153"/>
      <c r="ED123" s="153"/>
      <c r="EE123" s="153"/>
      <c r="EF123" s="153"/>
      <c r="EG123" s="153"/>
      <c r="EH123" s="153"/>
      <c r="EI123" s="153"/>
      <c r="EJ123" s="153"/>
      <c r="EK123" s="153"/>
      <c r="EL123" s="153"/>
      <c r="EM123" s="153"/>
    </row>
    <row r="124" spans="1:143" s="107" customFormat="1" ht="10.5" customHeight="1">
      <c r="A124" s="1140">
        <v>99</v>
      </c>
      <c r="B124" s="1560" t="str">
        <f t="shared" si="3"/>
        <v/>
      </c>
      <c r="C124" s="161" t="str">
        <f>GasTime(GasAnalyser,'Horiba Data'!F117,'Horiba Data'!G117,'Testo, JUM &amp; MRU Data'!A118,'Thermo Data'!B117,HourOffset)</f>
        <v/>
      </c>
      <c r="D124" s="981" t="str">
        <f>IF(D$17=FALSE,"",GasData(GasAnalyser,'Horiba Data'!S117,'Testo, JUM &amp; MRU Data'!D118,'Thermo Data'!E117,'Testo, JUM &amp; MRU Data'!U118,GDF))</f>
        <v/>
      </c>
      <c r="E124" s="981" t="str">
        <f>IF(D124="","",Conc2(D124,D$9,MolVol,D$21,D$20,E$21,E$20))</f>
        <v/>
      </c>
      <c r="F124" s="981" t="str">
        <f>IF(F$17=FALSE,"",GasData(GasAnalyser,'Horiba Data'!AQ117,'Testo, JUM &amp; MRU Data'!E118,'Thermo Data'!F117,'Testo, JUM &amp; MRU Data'!V118,GDF))</f>
        <v/>
      </c>
      <c r="G124" s="981" t="str">
        <f>IF(F124="","",Conc2(F124,F$9,MolVol,F$21,F$20,G$21,G$20))</f>
        <v/>
      </c>
      <c r="H124" s="981" t="str">
        <f>IF(D$17=FALSE,"",IF(F$17=FALSE,"",GasData(GasAnalyser,'Horiba Data'!W117,'Testo, JUM &amp; MRU Data'!F118,'Thermo Data'!G117,'Testo, JUM &amp; MRU Data'!Y118,GDF)))</f>
        <v/>
      </c>
      <c r="I124" s="981" t="str">
        <f>IF(H124="","",Conc2(H124,H$9,MolVol,H$21,H$20,I$21,I$20))</f>
        <v/>
      </c>
      <c r="J124" s="981" t="str">
        <f>IF(J$17=FALSE,"",GasData(GasAnalyser,'Horiba Data'!AM117,'Testo, JUM &amp; MRU Data'!G118,'Thermo Data'!H117,'Testo, JUM &amp; MRU Data'!W118,GDF))</f>
        <v/>
      </c>
      <c r="K124" s="981" t="str">
        <f>IF(J124="","",Conc2(J124,J$9,MolVol,J$21,J$20,K$21,K$20))</f>
        <v/>
      </c>
      <c r="L124" s="981" t="str">
        <f>IF(L$17=FALSE,"",GasData(GasAnalyser,'Horiba Data'!AA117,'Testo, JUM &amp; MRU Data'!H118,'Thermo Data'!I117,'Testo, JUM &amp; MRU Data'!T118,GDF))</f>
        <v/>
      </c>
      <c r="M124" s="981" t="str">
        <f>IF(L124="","",Conc2(L124,L$9,MolVol,L$21,L$20,M$21,M$20))</f>
        <v/>
      </c>
      <c r="N124" s="981" t="str">
        <f>IF(N$17=FALSE,"",GasData(GasAnalyser,'Horiba Data'!AE117,'Testo, JUM &amp; MRU Data'!I118,'Thermo Data'!J117,'Testo, JUM &amp; MRU Data'!S118,GDF))</f>
        <v/>
      </c>
      <c r="O124" s="981" t="str">
        <f>IF(N124="","",Conc2(N124,N$9,MolVol,N$21,N$20,O$21,O$20))</f>
        <v/>
      </c>
      <c r="P124" s="981" t="str">
        <f>IF(P$17=FALSE,"",GasData(GasAnalyser,'Horiba Data'!AI117,'Testo, JUM &amp; MRU Data'!J118,'Thermo Data'!K117,'Testo, JUM &amp; MRU Data'!R118,GDF))</f>
        <v/>
      </c>
      <c r="Q124" s="981" t="str">
        <f>IF(P124="","",Conc2(P124,P$9,MolVol,P$21,P$20,Q$21,Q$20))</f>
        <v/>
      </c>
      <c r="R124" s="981" t="str">
        <f>IF(R$17=FALSE,"",JUMData('Testo, JUM &amp; MRU Data'!M118,$R$7))</f>
        <v/>
      </c>
      <c r="S124" s="982" t="str">
        <f>IF(R124="","",Conc2(R124,R$9,MolVol,R$21,R$20,S$21,S$20)/(1-Bws))</f>
        <v/>
      </c>
      <c r="T124" s="740"/>
      <c r="AR124" s="334"/>
      <c r="AS124" s="334"/>
      <c r="AT124" s="48"/>
      <c r="AU124" s="48"/>
      <c r="AV124" s="153"/>
      <c r="AW124" s="153"/>
      <c r="AX124" s="153"/>
      <c r="AY124" s="153"/>
      <c r="AZ124" s="153"/>
      <c r="BA124" s="153"/>
      <c r="BB124" s="153"/>
      <c r="BC124" s="153"/>
      <c r="BD124" s="153"/>
      <c r="BE124" s="153"/>
      <c r="BF124" s="153"/>
      <c r="BG124" s="153"/>
      <c r="BH124" s="153"/>
      <c r="BI124" s="153"/>
      <c r="BJ124" s="153"/>
      <c r="BK124" s="153"/>
      <c r="BL124" s="153"/>
      <c r="BM124" s="153"/>
      <c r="BN124" s="153"/>
      <c r="BO124" s="153"/>
      <c r="BP124" s="153"/>
      <c r="BQ124" s="153"/>
      <c r="BR124" s="153"/>
      <c r="BS124" s="153"/>
      <c r="BT124" s="153"/>
      <c r="BU124" s="153"/>
      <c r="BV124" s="153"/>
      <c r="BW124" s="153"/>
      <c r="BX124" s="153"/>
      <c r="BY124" s="153"/>
      <c r="BZ124" s="153"/>
      <c r="CA124" s="153"/>
      <c r="CB124" s="153"/>
      <c r="CC124" s="153"/>
      <c r="CD124" s="153"/>
      <c r="CE124" s="153"/>
      <c r="CF124" s="153"/>
      <c r="CG124" s="153"/>
      <c r="CH124" s="153"/>
      <c r="CI124" s="153"/>
      <c r="CJ124" s="153"/>
      <c r="CK124" s="153"/>
      <c r="CL124" s="153"/>
      <c r="CM124" s="153"/>
      <c r="CN124" s="153"/>
      <c r="CO124" s="153"/>
      <c r="CP124" s="153"/>
      <c r="CQ124" s="153"/>
      <c r="CR124" s="153"/>
      <c r="CS124" s="153"/>
      <c r="CT124" s="153"/>
      <c r="CU124" s="153"/>
      <c r="CV124" s="153"/>
      <c r="CW124" s="153"/>
      <c r="CX124" s="153"/>
      <c r="CY124" s="153"/>
      <c r="CZ124" s="153"/>
      <c r="DA124" s="153"/>
      <c r="DB124" s="153"/>
      <c r="DC124" s="153"/>
      <c r="DD124" s="153"/>
      <c r="DE124" s="153"/>
      <c r="DF124" s="153"/>
      <c r="DG124" s="153"/>
      <c r="DH124" s="153"/>
      <c r="DI124" s="153"/>
      <c r="DJ124" s="153"/>
      <c r="DK124" s="153"/>
      <c r="DL124" s="153"/>
      <c r="DM124" s="153"/>
      <c r="DN124" s="153"/>
      <c r="DO124" s="153"/>
      <c r="DP124" s="153"/>
      <c r="DQ124" s="153"/>
      <c r="DR124" s="153"/>
      <c r="DS124" s="153"/>
      <c r="DT124" s="153"/>
      <c r="DU124" s="153"/>
      <c r="DV124" s="153"/>
      <c r="DW124" s="153"/>
      <c r="DX124" s="153"/>
      <c r="DY124" s="153"/>
      <c r="DZ124" s="153"/>
      <c r="EA124" s="153"/>
      <c r="EB124" s="153"/>
      <c r="EC124" s="153"/>
      <c r="ED124" s="153"/>
      <c r="EE124" s="153"/>
      <c r="EF124" s="153"/>
      <c r="EG124" s="153"/>
      <c r="EH124" s="153"/>
      <c r="EI124" s="153"/>
      <c r="EJ124" s="153"/>
      <c r="EK124" s="153"/>
      <c r="EL124" s="153"/>
      <c r="EM124" s="153"/>
    </row>
    <row r="125" spans="1:143" s="107" customFormat="1" ht="10.5" customHeight="1">
      <c r="A125" s="1140">
        <v>100</v>
      </c>
      <c r="B125" s="1560" t="str">
        <f t="shared" si="3"/>
        <v/>
      </c>
      <c r="C125" s="161" t="str">
        <f>GasTime(GasAnalyser,'Horiba Data'!F118,'Horiba Data'!G118,'Testo, JUM &amp; MRU Data'!A119,'Thermo Data'!B118,HourOffset)</f>
        <v/>
      </c>
      <c r="D125" s="981" t="str">
        <f>IF(D$17=FALSE,"",GasData(GasAnalyser,'Horiba Data'!S118,'Testo, JUM &amp; MRU Data'!D119,'Thermo Data'!E118,'Testo, JUM &amp; MRU Data'!U119,GDF))</f>
        <v/>
      </c>
      <c r="E125" s="981" t="str">
        <f>IF(D125="","",Conc2(D125,D$9,MolVol,D$21,D$20,E$21,E$20))</f>
        <v/>
      </c>
      <c r="F125" s="981" t="str">
        <f>IF(F$17=FALSE,"",GasData(GasAnalyser,'Horiba Data'!AQ118,'Testo, JUM &amp; MRU Data'!E119,'Thermo Data'!F118,'Testo, JUM &amp; MRU Data'!V119,GDF))</f>
        <v/>
      </c>
      <c r="G125" s="981" t="str">
        <f>IF(F125="","",Conc2(F125,F$9,MolVol,F$21,F$20,G$21,G$20))</f>
        <v/>
      </c>
      <c r="H125" s="981" t="str">
        <f>IF(D$17=FALSE,"",IF(F$17=FALSE,"",GasData(GasAnalyser,'Horiba Data'!W118,'Testo, JUM &amp; MRU Data'!F119,'Thermo Data'!G118,'Testo, JUM &amp; MRU Data'!Y119,GDF)))</f>
        <v/>
      </c>
      <c r="I125" s="981" t="str">
        <f>IF(H125="","",Conc2(H125,H$9,MolVol,H$21,H$20,I$21,I$20))</f>
        <v/>
      </c>
      <c r="J125" s="981" t="str">
        <f>IF(J$17=FALSE,"",GasData(GasAnalyser,'Horiba Data'!AM118,'Testo, JUM &amp; MRU Data'!G119,'Thermo Data'!H118,'Testo, JUM &amp; MRU Data'!W119,GDF))</f>
        <v/>
      </c>
      <c r="K125" s="981" t="str">
        <f>IF(J125="","",Conc2(J125,J$9,MolVol,J$21,J$20,K$21,K$20))</f>
        <v/>
      </c>
      <c r="L125" s="981" t="str">
        <f>IF(L$17=FALSE,"",GasData(GasAnalyser,'Horiba Data'!AA118,'Testo, JUM &amp; MRU Data'!H119,'Thermo Data'!I118,'Testo, JUM &amp; MRU Data'!T119,GDF))</f>
        <v/>
      </c>
      <c r="M125" s="981" t="str">
        <f>IF(L125="","",Conc2(L125,L$9,MolVol,L$21,L$20,M$21,M$20))</f>
        <v/>
      </c>
      <c r="N125" s="981" t="str">
        <f>IF(N$17=FALSE,"",GasData(GasAnalyser,'Horiba Data'!AE118,'Testo, JUM &amp; MRU Data'!I119,'Thermo Data'!J118,'Testo, JUM &amp; MRU Data'!S119,GDF))</f>
        <v/>
      </c>
      <c r="O125" s="981" t="str">
        <f>IF(N125="","",Conc2(N125,N$9,MolVol,N$21,N$20,O$21,O$20))</f>
        <v/>
      </c>
      <c r="P125" s="981" t="str">
        <f>IF(P$17=FALSE,"",GasData(GasAnalyser,'Horiba Data'!AI118,'Testo, JUM &amp; MRU Data'!J119,'Thermo Data'!K118,'Testo, JUM &amp; MRU Data'!R119,GDF))</f>
        <v/>
      </c>
      <c r="Q125" s="981" t="str">
        <f>IF(P125="","",Conc2(P125,P$9,MolVol,P$21,P$20,Q$21,Q$20))</f>
        <v/>
      </c>
      <c r="R125" s="981" t="str">
        <f>IF(R$17=FALSE,"",JUMData('Testo, JUM &amp; MRU Data'!M119,$R$7))</f>
        <v/>
      </c>
      <c r="S125" s="982" t="str">
        <f>IF(R125="","",Conc2(R125,R$9,MolVol,R$21,R$20,S$21,S$20)/(1-Bws))</f>
        <v/>
      </c>
      <c r="T125" s="740"/>
      <c r="AR125" s="334"/>
      <c r="AS125" s="334"/>
      <c r="AT125" s="48"/>
      <c r="AU125" s="48"/>
      <c r="AV125" s="153"/>
      <c r="AW125" s="153"/>
      <c r="AX125" s="153"/>
      <c r="AY125" s="153"/>
      <c r="AZ125" s="153"/>
      <c r="BA125" s="153"/>
      <c r="BB125" s="153"/>
      <c r="BC125" s="153"/>
      <c r="BD125" s="153"/>
      <c r="BE125" s="153"/>
      <c r="BF125" s="153"/>
      <c r="BG125" s="153"/>
      <c r="BH125" s="153"/>
      <c r="BI125" s="153"/>
      <c r="BJ125" s="153"/>
      <c r="BK125" s="153"/>
      <c r="BL125" s="153"/>
      <c r="BM125" s="153"/>
      <c r="BN125" s="153"/>
      <c r="BO125" s="153"/>
      <c r="BP125" s="153"/>
      <c r="BQ125" s="153"/>
      <c r="BR125" s="153"/>
      <c r="BS125" s="153"/>
      <c r="BT125" s="153"/>
      <c r="BU125" s="153"/>
      <c r="BV125" s="153"/>
      <c r="BW125" s="153"/>
      <c r="BX125" s="153"/>
      <c r="BY125" s="153"/>
      <c r="BZ125" s="153"/>
      <c r="CA125" s="153"/>
      <c r="CB125" s="153"/>
      <c r="CC125" s="153"/>
      <c r="CD125" s="153"/>
      <c r="CE125" s="153"/>
      <c r="CF125" s="153"/>
      <c r="CG125" s="153"/>
      <c r="CH125" s="153"/>
      <c r="CI125" s="153"/>
      <c r="CJ125" s="153"/>
      <c r="CK125" s="153"/>
      <c r="CL125" s="153"/>
      <c r="CM125" s="153"/>
      <c r="CN125" s="153"/>
      <c r="CO125" s="153"/>
      <c r="CP125" s="153"/>
      <c r="CQ125" s="153"/>
      <c r="CR125" s="153"/>
      <c r="CS125" s="153"/>
      <c r="CT125" s="153"/>
      <c r="CU125" s="153"/>
      <c r="CV125" s="153"/>
      <c r="CW125" s="153"/>
      <c r="CX125" s="153"/>
      <c r="CY125" s="153"/>
      <c r="CZ125" s="153"/>
      <c r="DA125" s="153"/>
      <c r="DB125" s="153"/>
      <c r="DC125" s="153"/>
      <c r="DD125" s="153"/>
      <c r="DE125" s="153"/>
      <c r="DF125" s="153"/>
      <c r="DG125" s="153"/>
      <c r="DH125" s="153"/>
      <c r="DI125" s="153"/>
      <c r="DJ125" s="153"/>
      <c r="DK125" s="153"/>
      <c r="DL125" s="153"/>
      <c r="DM125" s="153"/>
      <c r="DN125" s="153"/>
      <c r="DO125" s="153"/>
      <c r="DP125" s="153"/>
      <c r="DQ125" s="153"/>
      <c r="DR125" s="153"/>
      <c r="DS125" s="153"/>
      <c r="DT125" s="153"/>
      <c r="DU125" s="153"/>
      <c r="DV125" s="153"/>
      <c r="DW125" s="153"/>
      <c r="DX125" s="153"/>
      <c r="DY125" s="153"/>
      <c r="DZ125" s="153"/>
      <c r="EA125" s="153"/>
      <c r="EB125" s="153"/>
      <c r="EC125" s="153"/>
      <c r="ED125" s="153"/>
      <c r="EE125" s="153"/>
      <c r="EF125" s="153"/>
      <c r="EG125" s="153"/>
      <c r="EH125" s="153"/>
      <c r="EI125" s="153"/>
      <c r="EJ125" s="153"/>
      <c r="EK125" s="153"/>
      <c r="EL125" s="153"/>
      <c r="EM125" s="153"/>
    </row>
    <row r="126" spans="1:143" s="107" customFormat="1" ht="10.5" customHeight="1">
      <c r="A126" s="1140">
        <v>101</v>
      </c>
      <c r="B126" s="1560" t="str">
        <f t="shared" si="3"/>
        <v/>
      </c>
      <c r="C126" s="161" t="str">
        <f>GasTime(GasAnalyser,'Horiba Data'!F119,'Horiba Data'!G119,'Testo, JUM &amp; MRU Data'!A120,'Thermo Data'!B119,HourOffset)</f>
        <v/>
      </c>
      <c r="D126" s="981" t="str">
        <f>IF(D$17=FALSE,"",GasData(GasAnalyser,'Horiba Data'!S119,'Testo, JUM &amp; MRU Data'!D120,'Thermo Data'!E119,'Testo, JUM &amp; MRU Data'!U120,GDF))</f>
        <v/>
      </c>
      <c r="E126" s="981" t="str">
        <f>IF(D126="","",Conc2(D126,D$9,MolVol,D$21,D$20,E$21,E$20))</f>
        <v/>
      </c>
      <c r="F126" s="981" t="str">
        <f>IF(F$17=FALSE,"",GasData(GasAnalyser,'Horiba Data'!AQ119,'Testo, JUM &amp; MRU Data'!E120,'Thermo Data'!F119,'Testo, JUM &amp; MRU Data'!V120,GDF))</f>
        <v/>
      </c>
      <c r="G126" s="981" t="str">
        <f>IF(F126="","",Conc2(F126,F$9,MolVol,F$21,F$20,G$21,G$20))</f>
        <v/>
      </c>
      <c r="H126" s="981" t="str">
        <f>IF(D$17=FALSE,"",IF(F$17=FALSE,"",GasData(GasAnalyser,'Horiba Data'!W119,'Testo, JUM &amp; MRU Data'!F120,'Thermo Data'!G119,'Testo, JUM &amp; MRU Data'!Y120,GDF)))</f>
        <v/>
      </c>
      <c r="I126" s="981" t="str">
        <f>IF(H126="","",Conc2(H126,H$9,MolVol,H$21,H$20,I$21,I$20))</f>
        <v/>
      </c>
      <c r="J126" s="981" t="str">
        <f>IF(J$17=FALSE,"",GasData(GasAnalyser,'Horiba Data'!AM119,'Testo, JUM &amp; MRU Data'!G120,'Thermo Data'!H119,'Testo, JUM &amp; MRU Data'!W120,GDF))</f>
        <v/>
      </c>
      <c r="K126" s="981" t="str">
        <f>IF(J126="","",Conc2(J126,J$9,MolVol,J$21,J$20,K$21,K$20))</f>
        <v/>
      </c>
      <c r="L126" s="981" t="str">
        <f>IF(L$17=FALSE,"",GasData(GasAnalyser,'Horiba Data'!AA119,'Testo, JUM &amp; MRU Data'!H120,'Thermo Data'!I119,'Testo, JUM &amp; MRU Data'!T120,GDF))</f>
        <v/>
      </c>
      <c r="M126" s="981" t="str">
        <f>IF(L126="","",Conc2(L126,L$9,MolVol,L$21,L$20,M$21,M$20))</f>
        <v/>
      </c>
      <c r="N126" s="981" t="str">
        <f>IF(N$17=FALSE,"",GasData(GasAnalyser,'Horiba Data'!AE119,'Testo, JUM &amp; MRU Data'!I120,'Thermo Data'!J119,'Testo, JUM &amp; MRU Data'!S120,GDF))</f>
        <v/>
      </c>
      <c r="O126" s="981" t="str">
        <f>IF(N126="","",Conc2(N126,N$9,MolVol,N$21,N$20,O$21,O$20))</f>
        <v/>
      </c>
      <c r="P126" s="981" t="str">
        <f>IF(P$17=FALSE,"",GasData(GasAnalyser,'Horiba Data'!AI119,'Testo, JUM &amp; MRU Data'!J120,'Thermo Data'!K119,'Testo, JUM &amp; MRU Data'!R120,GDF))</f>
        <v/>
      </c>
      <c r="Q126" s="981" t="str">
        <f>IF(P126="","",Conc2(P126,P$9,MolVol,P$21,P$20,Q$21,Q$20))</f>
        <v/>
      </c>
      <c r="R126" s="981" t="str">
        <f>IF(R$17=FALSE,"",JUMData('Testo, JUM &amp; MRU Data'!M120,$R$7))</f>
        <v/>
      </c>
      <c r="S126" s="982" t="str">
        <f>IF(R126="","",Conc2(R126,R$9,MolVol,R$21,R$20,S$21,S$20)/(1-Bws))</f>
        <v/>
      </c>
      <c r="T126" s="740"/>
      <c r="AR126" s="334"/>
      <c r="AS126" s="334"/>
      <c r="AT126" s="48"/>
      <c r="AU126" s="48"/>
      <c r="AV126" s="153"/>
      <c r="AW126" s="153"/>
      <c r="AX126" s="153"/>
      <c r="AY126" s="153"/>
      <c r="AZ126" s="153"/>
      <c r="BA126" s="153"/>
      <c r="BB126" s="153"/>
      <c r="BC126" s="153"/>
      <c r="BD126" s="153"/>
      <c r="BE126" s="153"/>
      <c r="BF126" s="153"/>
      <c r="BG126" s="153"/>
      <c r="BH126" s="153"/>
      <c r="BI126" s="153"/>
      <c r="BJ126" s="153"/>
      <c r="BK126" s="153"/>
      <c r="BL126" s="153"/>
      <c r="BM126" s="153"/>
      <c r="BN126" s="153"/>
      <c r="BO126" s="153"/>
      <c r="BP126" s="153"/>
      <c r="BQ126" s="153"/>
      <c r="BR126" s="153"/>
      <c r="BS126" s="153"/>
      <c r="BT126" s="153"/>
      <c r="BU126" s="153"/>
      <c r="BV126" s="153"/>
      <c r="BW126" s="153"/>
      <c r="BX126" s="153"/>
      <c r="BY126" s="153"/>
      <c r="BZ126" s="153"/>
      <c r="CA126" s="153"/>
      <c r="CB126" s="153"/>
      <c r="CC126" s="153"/>
      <c r="CD126" s="153"/>
      <c r="CE126" s="153"/>
      <c r="CF126" s="153"/>
      <c r="CG126" s="153"/>
      <c r="CH126" s="153"/>
      <c r="CI126" s="153"/>
      <c r="CJ126" s="153"/>
      <c r="CK126" s="153"/>
      <c r="CL126" s="153"/>
      <c r="CM126" s="153"/>
      <c r="CN126" s="153"/>
      <c r="CO126" s="153"/>
      <c r="CP126" s="153"/>
      <c r="CQ126" s="153"/>
      <c r="CR126" s="153"/>
      <c r="CS126" s="153"/>
      <c r="CT126" s="153"/>
      <c r="CU126" s="153"/>
      <c r="CV126" s="153"/>
      <c r="CW126" s="153"/>
      <c r="CX126" s="153"/>
      <c r="CY126" s="153"/>
      <c r="CZ126" s="153"/>
      <c r="DA126" s="153"/>
      <c r="DB126" s="153"/>
      <c r="DC126" s="153"/>
      <c r="DD126" s="153"/>
      <c r="DE126" s="153"/>
      <c r="DF126" s="153"/>
      <c r="DG126" s="153"/>
      <c r="DH126" s="153"/>
      <c r="DI126" s="153"/>
      <c r="DJ126" s="153"/>
      <c r="DK126" s="153"/>
      <c r="DL126" s="153"/>
      <c r="DM126" s="153"/>
      <c r="DN126" s="153"/>
      <c r="DO126" s="153"/>
      <c r="DP126" s="153"/>
      <c r="DQ126" s="153"/>
      <c r="DR126" s="153"/>
      <c r="DS126" s="153"/>
      <c r="DT126" s="153"/>
      <c r="DU126" s="153"/>
      <c r="DV126" s="153"/>
      <c r="DW126" s="153"/>
      <c r="DX126" s="153"/>
      <c r="DY126" s="153"/>
      <c r="DZ126" s="153"/>
      <c r="EA126" s="153"/>
      <c r="EB126" s="153"/>
      <c r="EC126" s="153"/>
      <c r="ED126" s="153"/>
      <c r="EE126" s="153"/>
      <c r="EF126" s="153"/>
      <c r="EG126" s="153"/>
      <c r="EH126" s="153"/>
      <c r="EI126" s="153"/>
      <c r="EJ126" s="153"/>
      <c r="EK126" s="153"/>
      <c r="EL126" s="153"/>
      <c r="EM126" s="153"/>
    </row>
    <row r="127" spans="1:143" s="107" customFormat="1" ht="10.5" customHeight="1">
      <c r="A127" s="1140">
        <v>102</v>
      </c>
      <c r="B127" s="1560" t="str">
        <f t="shared" si="3"/>
        <v/>
      </c>
      <c r="C127" s="161" t="str">
        <f>GasTime(GasAnalyser,'Horiba Data'!F120,'Horiba Data'!G120,'Testo, JUM &amp; MRU Data'!A121,'Thermo Data'!B120,HourOffset)</f>
        <v/>
      </c>
      <c r="D127" s="981" t="str">
        <f>IF(D$17=FALSE,"",GasData(GasAnalyser,'Horiba Data'!S120,'Testo, JUM &amp; MRU Data'!D121,'Thermo Data'!E120,'Testo, JUM &amp; MRU Data'!U121,GDF))</f>
        <v/>
      </c>
      <c r="E127" s="981" t="str">
        <f>IF(D127="","",Conc2(D127,D$9,MolVol,D$21,D$20,E$21,E$20))</f>
        <v/>
      </c>
      <c r="F127" s="981" t="str">
        <f>IF(F$17=FALSE,"",GasData(GasAnalyser,'Horiba Data'!AQ120,'Testo, JUM &amp; MRU Data'!E121,'Thermo Data'!F120,'Testo, JUM &amp; MRU Data'!V121,GDF))</f>
        <v/>
      </c>
      <c r="G127" s="981" t="str">
        <f>IF(F127="","",Conc2(F127,F$9,MolVol,F$21,F$20,G$21,G$20))</f>
        <v/>
      </c>
      <c r="H127" s="981" t="str">
        <f>IF(D$17=FALSE,"",IF(F$17=FALSE,"",GasData(GasAnalyser,'Horiba Data'!W120,'Testo, JUM &amp; MRU Data'!F121,'Thermo Data'!G120,'Testo, JUM &amp; MRU Data'!Y121,GDF)))</f>
        <v/>
      </c>
      <c r="I127" s="981" t="str">
        <f>IF(H127="","",Conc2(H127,H$9,MolVol,H$21,H$20,I$21,I$20))</f>
        <v/>
      </c>
      <c r="J127" s="981" t="str">
        <f>IF(J$17=FALSE,"",GasData(GasAnalyser,'Horiba Data'!AM120,'Testo, JUM &amp; MRU Data'!G121,'Thermo Data'!H120,'Testo, JUM &amp; MRU Data'!W121,GDF))</f>
        <v/>
      </c>
      <c r="K127" s="981" t="str">
        <f>IF(J127="","",Conc2(J127,J$9,MolVol,J$21,J$20,K$21,K$20))</f>
        <v/>
      </c>
      <c r="L127" s="981" t="str">
        <f>IF(L$17=FALSE,"",GasData(GasAnalyser,'Horiba Data'!AA120,'Testo, JUM &amp; MRU Data'!H121,'Thermo Data'!I120,'Testo, JUM &amp; MRU Data'!T121,GDF))</f>
        <v/>
      </c>
      <c r="M127" s="981" t="str">
        <f>IF(L127="","",Conc2(L127,L$9,MolVol,L$21,L$20,M$21,M$20))</f>
        <v/>
      </c>
      <c r="N127" s="981" t="str">
        <f>IF(N$17=FALSE,"",GasData(GasAnalyser,'Horiba Data'!AE120,'Testo, JUM &amp; MRU Data'!I121,'Thermo Data'!J120,'Testo, JUM &amp; MRU Data'!S121,GDF))</f>
        <v/>
      </c>
      <c r="O127" s="981" t="str">
        <f>IF(N127="","",Conc2(N127,N$9,MolVol,N$21,N$20,O$21,O$20))</f>
        <v/>
      </c>
      <c r="P127" s="981" t="str">
        <f>IF(P$17=FALSE,"",GasData(GasAnalyser,'Horiba Data'!AI120,'Testo, JUM &amp; MRU Data'!J121,'Thermo Data'!K120,'Testo, JUM &amp; MRU Data'!R121,GDF))</f>
        <v/>
      </c>
      <c r="Q127" s="981" t="str">
        <f>IF(P127="","",Conc2(P127,P$9,MolVol,P$21,P$20,Q$21,Q$20))</f>
        <v/>
      </c>
      <c r="R127" s="981" t="str">
        <f>IF(R$17=FALSE,"",JUMData('Testo, JUM &amp; MRU Data'!M121,$R$7))</f>
        <v/>
      </c>
      <c r="S127" s="982" t="str">
        <f>IF(R127="","",Conc2(R127,R$9,MolVol,R$21,R$20,S$21,S$20)/(1-Bws))</f>
        <v/>
      </c>
      <c r="T127" s="740"/>
      <c r="AR127" s="334"/>
      <c r="AS127" s="334"/>
      <c r="AT127" s="48"/>
      <c r="AU127" s="48"/>
      <c r="AV127" s="153"/>
      <c r="AW127" s="153"/>
      <c r="AX127" s="153"/>
      <c r="AY127" s="153"/>
      <c r="AZ127" s="153"/>
      <c r="BA127" s="153"/>
      <c r="BB127" s="153"/>
      <c r="BC127" s="153"/>
      <c r="BD127" s="153"/>
      <c r="BE127" s="153"/>
      <c r="BF127" s="153"/>
      <c r="BG127" s="153"/>
      <c r="BH127" s="153"/>
      <c r="BI127" s="153"/>
      <c r="BJ127" s="153"/>
      <c r="BK127" s="153"/>
      <c r="BL127" s="153"/>
      <c r="BM127" s="153"/>
      <c r="BN127" s="153"/>
      <c r="BO127" s="153"/>
      <c r="BP127" s="153"/>
      <c r="BQ127" s="153"/>
      <c r="BR127" s="153"/>
      <c r="BS127" s="153"/>
      <c r="BT127" s="153"/>
      <c r="BU127" s="153"/>
      <c r="BV127" s="153"/>
      <c r="BW127" s="153"/>
      <c r="BX127" s="153"/>
      <c r="BY127" s="153"/>
      <c r="BZ127" s="153"/>
      <c r="CA127" s="153"/>
      <c r="CB127" s="153"/>
      <c r="CC127" s="153"/>
      <c r="CD127" s="153"/>
      <c r="CE127" s="153"/>
      <c r="CF127" s="153"/>
      <c r="CG127" s="153"/>
      <c r="CH127" s="153"/>
      <c r="CI127" s="153"/>
      <c r="CJ127" s="153"/>
      <c r="CK127" s="153"/>
      <c r="CL127" s="153"/>
      <c r="CM127" s="153"/>
      <c r="CN127" s="153"/>
      <c r="CO127" s="153"/>
      <c r="CP127" s="153"/>
      <c r="CQ127" s="153"/>
      <c r="CR127" s="153"/>
      <c r="CS127" s="153"/>
      <c r="CT127" s="153"/>
      <c r="CU127" s="153"/>
      <c r="CV127" s="153"/>
      <c r="CW127" s="153"/>
      <c r="CX127" s="153"/>
      <c r="CY127" s="153"/>
      <c r="CZ127" s="153"/>
      <c r="DA127" s="153"/>
      <c r="DB127" s="153"/>
      <c r="DC127" s="153"/>
      <c r="DD127" s="153"/>
      <c r="DE127" s="153"/>
      <c r="DF127" s="153"/>
      <c r="DG127" s="153"/>
      <c r="DH127" s="153"/>
      <c r="DI127" s="153"/>
      <c r="DJ127" s="153"/>
      <c r="DK127" s="153"/>
      <c r="DL127" s="153"/>
      <c r="DM127" s="153"/>
      <c r="DN127" s="153"/>
      <c r="DO127" s="153"/>
      <c r="DP127" s="153"/>
      <c r="DQ127" s="153"/>
      <c r="DR127" s="153"/>
      <c r="DS127" s="153"/>
      <c r="DT127" s="153"/>
      <c r="DU127" s="153"/>
      <c r="DV127" s="153"/>
      <c r="DW127" s="153"/>
      <c r="DX127" s="153"/>
      <c r="DY127" s="153"/>
      <c r="DZ127" s="153"/>
      <c r="EA127" s="153"/>
      <c r="EB127" s="153"/>
      <c r="EC127" s="153"/>
      <c r="ED127" s="153"/>
      <c r="EE127" s="153"/>
      <c r="EF127" s="153"/>
      <c r="EG127" s="153"/>
      <c r="EH127" s="153"/>
      <c r="EI127" s="153"/>
      <c r="EJ127" s="153"/>
      <c r="EK127" s="153"/>
      <c r="EL127" s="153"/>
      <c r="EM127" s="153"/>
    </row>
    <row r="128" spans="1:143" s="107" customFormat="1" ht="10.5" customHeight="1">
      <c r="A128" s="1140">
        <v>103</v>
      </c>
      <c r="B128" s="1560" t="str">
        <f t="shared" si="3"/>
        <v/>
      </c>
      <c r="C128" s="161" t="str">
        <f>GasTime(GasAnalyser,'Horiba Data'!F121,'Horiba Data'!G121,'Testo, JUM &amp; MRU Data'!A122,'Thermo Data'!B121,HourOffset)</f>
        <v/>
      </c>
      <c r="D128" s="981" t="str">
        <f>IF(D$17=FALSE,"",GasData(GasAnalyser,'Horiba Data'!S121,'Testo, JUM &amp; MRU Data'!D122,'Thermo Data'!E121,'Testo, JUM &amp; MRU Data'!U122,GDF))</f>
        <v/>
      </c>
      <c r="E128" s="981" t="str">
        <f>IF(D128="","",Conc2(D128,D$9,MolVol,D$21,D$20,E$21,E$20))</f>
        <v/>
      </c>
      <c r="F128" s="981" t="str">
        <f>IF(F$17=FALSE,"",GasData(GasAnalyser,'Horiba Data'!AQ121,'Testo, JUM &amp; MRU Data'!E122,'Thermo Data'!F121,'Testo, JUM &amp; MRU Data'!V122,GDF))</f>
        <v/>
      </c>
      <c r="G128" s="981" t="str">
        <f>IF(F128="","",Conc2(F128,F$9,MolVol,F$21,F$20,G$21,G$20))</f>
        <v/>
      </c>
      <c r="H128" s="981" t="str">
        <f>IF(D$17=FALSE,"",IF(F$17=FALSE,"",GasData(GasAnalyser,'Horiba Data'!W121,'Testo, JUM &amp; MRU Data'!F122,'Thermo Data'!G121,'Testo, JUM &amp; MRU Data'!Y122,GDF)))</f>
        <v/>
      </c>
      <c r="I128" s="981" t="str">
        <f>IF(H128="","",Conc2(H128,H$9,MolVol,H$21,H$20,I$21,I$20))</f>
        <v/>
      </c>
      <c r="J128" s="981" t="str">
        <f>IF(J$17=FALSE,"",GasData(GasAnalyser,'Horiba Data'!AM121,'Testo, JUM &amp; MRU Data'!G122,'Thermo Data'!H121,'Testo, JUM &amp; MRU Data'!W122,GDF))</f>
        <v/>
      </c>
      <c r="K128" s="981" t="str">
        <f>IF(J128="","",Conc2(J128,J$9,MolVol,J$21,J$20,K$21,K$20))</f>
        <v/>
      </c>
      <c r="L128" s="981" t="str">
        <f>IF(L$17=FALSE,"",GasData(GasAnalyser,'Horiba Data'!AA121,'Testo, JUM &amp; MRU Data'!H122,'Thermo Data'!I121,'Testo, JUM &amp; MRU Data'!T122,GDF))</f>
        <v/>
      </c>
      <c r="M128" s="981" t="str">
        <f>IF(L128="","",Conc2(L128,L$9,MolVol,L$21,L$20,M$21,M$20))</f>
        <v/>
      </c>
      <c r="N128" s="981" t="str">
        <f>IF(N$17=FALSE,"",GasData(GasAnalyser,'Horiba Data'!AE121,'Testo, JUM &amp; MRU Data'!I122,'Thermo Data'!J121,'Testo, JUM &amp; MRU Data'!S122,GDF))</f>
        <v/>
      </c>
      <c r="O128" s="981" t="str">
        <f>IF(N128="","",Conc2(N128,N$9,MolVol,N$21,N$20,O$21,O$20))</f>
        <v/>
      </c>
      <c r="P128" s="981" t="str">
        <f>IF(P$17=FALSE,"",GasData(GasAnalyser,'Horiba Data'!AI121,'Testo, JUM &amp; MRU Data'!J122,'Thermo Data'!K121,'Testo, JUM &amp; MRU Data'!R122,GDF))</f>
        <v/>
      </c>
      <c r="Q128" s="981" t="str">
        <f>IF(P128="","",Conc2(P128,P$9,MolVol,P$21,P$20,Q$21,Q$20))</f>
        <v/>
      </c>
      <c r="R128" s="981" t="str">
        <f>IF(R$17=FALSE,"",JUMData('Testo, JUM &amp; MRU Data'!M122,$R$7))</f>
        <v/>
      </c>
      <c r="S128" s="982" t="str">
        <f>IF(R128="","",Conc2(R128,R$9,MolVol,R$21,R$20,S$21,S$20)/(1-Bws))</f>
        <v/>
      </c>
      <c r="T128" s="740"/>
      <c r="AR128" s="334"/>
      <c r="AS128" s="334"/>
      <c r="AT128" s="48"/>
      <c r="AU128" s="48"/>
      <c r="AV128" s="153"/>
      <c r="AW128" s="153"/>
      <c r="AX128" s="153"/>
      <c r="AY128" s="153"/>
      <c r="AZ128" s="153"/>
      <c r="BA128" s="153"/>
      <c r="BB128" s="153"/>
      <c r="BC128" s="153"/>
      <c r="BD128" s="153"/>
      <c r="BE128" s="153"/>
      <c r="BF128" s="153"/>
      <c r="BG128" s="153"/>
      <c r="BH128" s="153"/>
      <c r="BI128" s="153"/>
      <c r="BJ128" s="153"/>
      <c r="BK128" s="153"/>
      <c r="BL128" s="153"/>
      <c r="BM128" s="153"/>
      <c r="BN128" s="153"/>
      <c r="BO128" s="153"/>
      <c r="BP128" s="153"/>
      <c r="BQ128" s="153"/>
      <c r="BR128" s="153"/>
      <c r="BS128" s="153"/>
      <c r="BT128" s="153"/>
      <c r="BU128" s="153"/>
      <c r="BV128" s="153"/>
      <c r="BW128" s="153"/>
      <c r="BX128" s="153"/>
      <c r="BY128" s="153"/>
      <c r="BZ128" s="153"/>
      <c r="CA128" s="153"/>
      <c r="CB128" s="153"/>
      <c r="CC128" s="153"/>
      <c r="CD128" s="153"/>
      <c r="CE128" s="153"/>
      <c r="CF128" s="153"/>
      <c r="CG128" s="153"/>
      <c r="CH128" s="153"/>
      <c r="CI128" s="153"/>
      <c r="CJ128" s="153"/>
      <c r="CK128" s="153"/>
      <c r="CL128" s="153"/>
      <c r="CM128" s="153"/>
      <c r="CN128" s="153"/>
      <c r="CO128" s="153"/>
      <c r="CP128" s="153"/>
      <c r="CQ128" s="153"/>
      <c r="CR128" s="153"/>
      <c r="CS128" s="153"/>
      <c r="CT128" s="153"/>
      <c r="CU128" s="153"/>
      <c r="CV128" s="153"/>
      <c r="CW128" s="153"/>
      <c r="CX128" s="153"/>
      <c r="CY128" s="153"/>
      <c r="CZ128" s="153"/>
      <c r="DA128" s="153"/>
      <c r="DB128" s="153"/>
      <c r="DC128" s="153"/>
      <c r="DD128" s="153"/>
      <c r="DE128" s="153"/>
      <c r="DF128" s="153"/>
      <c r="DG128" s="153"/>
      <c r="DH128" s="153"/>
      <c r="DI128" s="153"/>
      <c r="DJ128" s="153"/>
      <c r="DK128" s="153"/>
      <c r="DL128" s="153"/>
      <c r="DM128" s="153"/>
      <c r="DN128" s="153"/>
      <c r="DO128" s="153"/>
      <c r="DP128" s="153"/>
      <c r="DQ128" s="153"/>
      <c r="DR128" s="153"/>
      <c r="DS128" s="153"/>
      <c r="DT128" s="153"/>
      <c r="DU128" s="153"/>
      <c r="DV128" s="153"/>
      <c r="DW128" s="153"/>
      <c r="DX128" s="153"/>
      <c r="DY128" s="153"/>
      <c r="DZ128" s="153"/>
      <c r="EA128" s="153"/>
      <c r="EB128" s="153"/>
      <c r="EC128" s="153"/>
      <c r="ED128" s="153"/>
      <c r="EE128" s="153"/>
      <c r="EF128" s="153"/>
      <c r="EG128" s="153"/>
      <c r="EH128" s="153"/>
      <c r="EI128" s="153"/>
      <c r="EJ128" s="153"/>
      <c r="EK128" s="153"/>
      <c r="EL128" s="153"/>
      <c r="EM128" s="153"/>
    </row>
    <row r="129" spans="1:143" s="107" customFormat="1" ht="10.5" customHeight="1">
      <c r="A129" s="1140">
        <v>104</v>
      </c>
      <c r="B129" s="1560" t="str">
        <f t="shared" si="3"/>
        <v/>
      </c>
      <c r="C129" s="161" t="str">
        <f>GasTime(GasAnalyser,'Horiba Data'!F122,'Horiba Data'!G122,'Testo, JUM &amp; MRU Data'!A123,'Thermo Data'!B122,HourOffset)</f>
        <v/>
      </c>
      <c r="D129" s="981" t="str">
        <f>IF(D$17=FALSE,"",GasData(GasAnalyser,'Horiba Data'!S122,'Testo, JUM &amp; MRU Data'!D123,'Thermo Data'!E122,'Testo, JUM &amp; MRU Data'!U123,GDF))</f>
        <v/>
      </c>
      <c r="E129" s="981" t="str">
        <f>IF(D129="","",Conc2(D129,D$9,MolVol,D$21,D$20,E$21,E$20))</f>
        <v/>
      </c>
      <c r="F129" s="981" t="str">
        <f>IF(F$17=FALSE,"",GasData(GasAnalyser,'Horiba Data'!AQ122,'Testo, JUM &amp; MRU Data'!E123,'Thermo Data'!F122,'Testo, JUM &amp; MRU Data'!V123,GDF))</f>
        <v/>
      </c>
      <c r="G129" s="981" t="str">
        <f>IF(F129="","",Conc2(F129,F$9,MolVol,F$21,F$20,G$21,G$20))</f>
        <v/>
      </c>
      <c r="H129" s="981" t="str">
        <f>IF(D$17=FALSE,"",IF(F$17=FALSE,"",GasData(GasAnalyser,'Horiba Data'!W122,'Testo, JUM &amp; MRU Data'!F123,'Thermo Data'!G122,'Testo, JUM &amp; MRU Data'!Y123,GDF)))</f>
        <v/>
      </c>
      <c r="I129" s="981" t="str">
        <f>IF(H129="","",Conc2(H129,H$9,MolVol,H$21,H$20,I$21,I$20))</f>
        <v/>
      </c>
      <c r="J129" s="981" t="str">
        <f>IF(J$17=FALSE,"",GasData(GasAnalyser,'Horiba Data'!AM122,'Testo, JUM &amp; MRU Data'!G123,'Thermo Data'!H122,'Testo, JUM &amp; MRU Data'!W123,GDF))</f>
        <v/>
      </c>
      <c r="K129" s="981" t="str">
        <f>IF(J129="","",Conc2(J129,J$9,MolVol,J$21,J$20,K$21,K$20))</f>
        <v/>
      </c>
      <c r="L129" s="981" t="str">
        <f>IF(L$17=FALSE,"",GasData(GasAnalyser,'Horiba Data'!AA122,'Testo, JUM &amp; MRU Data'!H123,'Thermo Data'!I122,'Testo, JUM &amp; MRU Data'!T123,GDF))</f>
        <v/>
      </c>
      <c r="M129" s="981" t="str">
        <f>IF(L129="","",Conc2(L129,L$9,MolVol,L$21,L$20,M$21,M$20))</f>
        <v/>
      </c>
      <c r="N129" s="981" t="str">
        <f>IF(N$17=FALSE,"",GasData(GasAnalyser,'Horiba Data'!AE122,'Testo, JUM &amp; MRU Data'!I123,'Thermo Data'!J122,'Testo, JUM &amp; MRU Data'!S123,GDF))</f>
        <v/>
      </c>
      <c r="O129" s="981" t="str">
        <f>IF(N129="","",Conc2(N129,N$9,MolVol,N$21,N$20,O$21,O$20))</f>
        <v/>
      </c>
      <c r="P129" s="981" t="str">
        <f>IF(P$17=FALSE,"",GasData(GasAnalyser,'Horiba Data'!AI122,'Testo, JUM &amp; MRU Data'!J123,'Thermo Data'!K122,'Testo, JUM &amp; MRU Data'!R123,GDF))</f>
        <v/>
      </c>
      <c r="Q129" s="981" t="str">
        <f>IF(P129="","",Conc2(P129,P$9,MolVol,P$21,P$20,Q$21,Q$20))</f>
        <v/>
      </c>
      <c r="R129" s="981" t="str">
        <f>IF(R$17=FALSE,"",JUMData('Testo, JUM &amp; MRU Data'!M123,$R$7))</f>
        <v/>
      </c>
      <c r="S129" s="982" t="str">
        <f>IF(R129="","",Conc2(R129,R$9,MolVol,R$21,R$20,S$21,S$20)/(1-Bws))</f>
        <v/>
      </c>
      <c r="T129" s="740"/>
      <c r="AR129" s="334"/>
      <c r="AS129" s="334"/>
      <c r="AT129" s="48"/>
      <c r="AU129" s="48"/>
      <c r="AV129" s="153"/>
      <c r="AW129" s="153"/>
      <c r="AX129" s="153"/>
      <c r="AY129" s="153"/>
      <c r="AZ129" s="153"/>
      <c r="BA129" s="153"/>
      <c r="BB129" s="153"/>
      <c r="BC129" s="153"/>
      <c r="BD129" s="153"/>
      <c r="BE129" s="153"/>
      <c r="BF129" s="153"/>
      <c r="BG129" s="153"/>
      <c r="BH129" s="153"/>
      <c r="BI129" s="153"/>
      <c r="BJ129" s="153"/>
      <c r="BK129" s="153"/>
      <c r="BL129" s="153"/>
      <c r="BM129" s="153"/>
      <c r="BN129" s="153"/>
      <c r="BO129" s="153"/>
      <c r="BP129" s="153"/>
      <c r="BQ129" s="153"/>
      <c r="BR129" s="153"/>
      <c r="BS129" s="153"/>
      <c r="BT129" s="153"/>
      <c r="BU129" s="153"/>
      <c r="BV129" s="153"/>
      <c r="BW129" s="153"/>
      <c r="BX129" s="153"/>
      <c r="BY129" s="153"/>
      <c r="BZ129" s="153"/>
      <c r="CA129" s="153"/>
      <c r="CB129" s="153"/>
      <c r="CC129" s="153"/>
      <c r="CD129" s="153"/>
      <c r="CE129" s="153"/>
      <c r="CF129" s="153"/>
      <c r="CG129" s="153"/>
      <c r="CH129" s="153"/>
      <c r="CI129" s="153"/>
      <c r="CJ129" s="153"/>
      <c r="CK129" s="153"/>
      <c r="CL129" s="153"/>
      <c r="CM129" s="153"/>
      <c r="CN129" s="153"/>
      <c r="CO129" s="153"/>
      <c r="CP129" s="153"/>
      <c r="CQ129" s="153"/>
      <c r="CR129" s="153"/>
      <c r="CS129" s="153"/>
      <c r="CT129" s="153"/>
      <c r="CU129" s="153"/>
      <c r="CV129" s="153"/>
      <c r="CW129" s="153"/>
      <c r="CX129" s="153"/>
      <c r="CY129" s="153"/>
      <c r="CZ129" s="153"/>
      <c r="DA129" s="153"/>
      <c r="DB129" s="153"/>
      <c r="DC129" s="153"/>
      <c r="DD129" s="153"/>
      <c r="DE129" s="153"/>
      <c r="DF129" s="153"/>
      <c r="DG129" s="153"/>
      <c r="DH129" s="153"/>
      <c r="DI129" s="153"/>
      <c r="DJ129" s="153"/>
      <c r="DK129" s="153"/>
      <c r="DL129" s="153"/>
      <c r="DM129" s="153"/>
      <c r="DN129" s="153"/>
      <c r="DO129" s="153"/>
      <c r="DP129" s="153"/>
      <c r="DQ129" s="153"/>
      <c r="DR129" s="153"/>
      <c r="DS129" s="153"/>
      <c r="DT129" s="153"/>
      <c r="DU129" s="153"/>
      <c r="DV129" s="153"/>
      <c r="DW129" s="153"/>
      <c r="DX129" s="153"/>
      <c r="DY129" s="153"/>
      <c r="DZ129" s="153"/>
      <c r="EA129" s="153"/>
      <c r="EB129" s="153"/>
      <c r="EC129" s="153"/>
      <c r="ED129" s="153"/>
      <c r="EE129" s="153"/>
      <c r="EF129" s="153"/>
      <c r="EG129" s="153"/>
      <c r="EH129" s="153"/>
      <c r="EI129" s="153"/>
      <c r="EJ129" s="153"/>
      <c r="EK129" s="153"/>
      <c r="EL129" s="153"/>
      <c r="EM129" s="153"/>
    </row>
    <row r="130" spans="1:143" s="107" customFormat="1" ht="10.5" customHeight="1">
      <c r="A130" s="1140">
        <v>105</v>
      </c>
      <c r="B130" s="1560" t="str">
        <f t="shared" si="3"/>
        <v/>
      </c>
      <c r="C130" s="161" t="str">
        <f>GasTime(GasAnalyser,'Horiba Data'!F123,'Horiba Data'!G123,'Testo, JUM &amp; MRU Data'!A124,'Thermo Data'!B123,HourOffset)</f>
        <v/>
      </c>
      <c r="D130" s="981" t="str">
        <f>IF(D$17=FALSE,"",GasData(GasAnalyser,'Horiba Data'!S123,'Testo, JUM &amp; MRU Data'!D124,'Thermo Data'!E123,'Testo, JUM &amp; MRU Data'!U124,GDF))</f>
        <v/>
      </c>
      <c r="E130" s="981" t="str">
        <f>IF(D130="","",Conc2(D130,D$9,MolVol,D$21,D$20,E$21,E$20))</f>
        <v/>
      </c>
      <c r="F130" s="981" t="str">
        <f>IF(F$17=FALSE,"",GasData(GasAnalyser,'Horiba Data'!AQ123,'Testo, JUM &amp; MRU Data'!E124,'Thermo Data'!F123,'Testo, JUM &amp; MRU Data'!V124,GDF))</f>
        <v/>
      </c>
      <c r="G130" s="981" t="str">
        <f>IF(F130="","",Conc2(F130,F$9,MolVol,F$21,F$20,G$21,G$20))</f>
        <v/>
      </c>
      <c r="H130" s="981" t="str">
        <f>IF(D$17=FALSE,"",IF(F$17=FALSE,"",GasData(GasAnalyser,'Horiba Data'!W123,'Testo, JUM &amp; MRU Data'!F124,'Thermo Data'!G123,'Testo, JUM &amp; MRU Data'!Y124,GDF)))</f>
        <v/>
      </c>
      <c r="I130" s="981" t="str">
        <f>IF(H130="","",Conc2(H130,H$9,MolVol,H$21,H$20,I$21,I$20))</f>
        <v/>
      </c>
      <c r="J130" s="981" t="str">
        <f>IF(J$17=FALSE,"",GasData(GasAnalyser,'Horiba Data'!AM123,'Testo, JUM &amp; MRU Data'!G124,'Thermo Data'!H123,'Testo, JUM &amp; MRU Data'!W124,GDF))</f>
        <v/>
      </c>
      <c r="K130" s="981" t="str">
        <f>IF(J130="","",Conc2(J130,J$9,MolVol,J$21,J$20,K$21,K$20))</f>
        <v/>
      </c>
      <c r="L130" s="981" t="str">
        <f>IF(L$17=FALSE,"",GasData(GasAnalyser,'Horiba Data'!AA123,'Testo, JUM &amp; MRU Data'!H124,'Thermo Data'!I123,'Testo, JUM &amp; MRU Data'!T124,GDF))</f>
        <v/>
      </c>
      <c r="M130" s="981" t="str">
        <f>IF(L130="","",Conc2(L130,L$9,MolVol,L$21,L$20,M$21,M$20))</f>
        <v/>
      </c>
      <c r="N130" s="981" t="str">
        <f>IF(N$17=FALSE,"",GasData(GasAnalyser,'Horiba Data'!AE123,'Testo, JUM &amp; MRU Data'!I124,'Thermo Data'!J123,'Testo, JUM &amp; MRU Data'!S124,GDF))</f>
        <v/>
      </c>
      <c r="O130" s="981" t="str">
        <f>IF(N130="","",Conc2(N130,N$9,MolVol,N$21,N$20,O$21,O$20))</f>
        <v/>
      </c>
      <c r="P130" s="981" t="str">
        <f>IF(P$17=FALSE,"",GasData(GasAnalyser,'Horiba Data'!AI123,'Testo, JUM &amp; MRU Data'!J124,'Thermo Data'!K123,'Testo, JUM &amp; MRU Data'!R124,GDF))</f>
        <v/>
      </c>
      <c r="Q130" s="981" t="str">
        <f>IF(P130="","",Conc2(P130,P$9,MolVol,P$21,P$20,Q$21,Q$20))</f>
        <v/>
      </c>
      <c r="R130" s="981" t="str">
        <f>IF(R$17=FALSE,"",JUMData('Testo, JUM &amp; MRU Data'!M124,$R$7))</f>
        <v/>
      </c>
      <c r="S130" s="982" t="str">
        <f>IF(R130="","",Conc2(R130,R$9,MolVol,R$21,R$20,S$21,S$20)/(1-Bws))</f>
        <v/>
      </c>
      <c r="T130" s="740"/>
      <c r="AR130" s="334"/>
      <c r="AS130" s="334"/>
      <c r="AT130" s="48"/>
      <c r="AU130" s="48"/>
      <c r="AV130" s="153"/>
      <c r="AW130" s="153"/>
      <c r="AX130" s="153"/>
      <c r="AY130" s="153"/>
      <c r="AZ130" s="153"/>
      <c r="BA130" s="153"/>
      <c r="BB130" s="153"/>
      <c r="BC130" s="153"/>
      <c r="BD130" s="153"/>
      <c r="BE130" s="153"/>
      <c r="BF130" s="153"/>
      <c r="BG130" s="153"/>
      <c r="BH130" s="153"/>
      <c r="BI130" s="153"/>
      <c r="BJ130" s="153"/>
      <c r="BK130" s="153"/>
      <c r="BL130" s="153"/>
      <c r="BM130" s="153"/>
      <c r="BN130" s="153"/>
      <c r="BO130" s="153"/>
      <c r="BP130" s="153"/>
      <c r="BQ130" s="153"/>
      <c r="BR130" s="153"/>
      <c r="BS130" s="153"/>
      <c r="BT130" s="153"/>
      <c r="BU130" s="153"/>
      <c r="BV130" s="153"/>
      <c r="BW130" s="153"/>
      <c r="BX130" s="153"/>
      <c r="BY130" s="153"/>
      <c r="BZ130" s="153"/>
      <c r="CA130" s="153"/>
      <c r="CB130" s="153"/>
      <c r="CC130" s="153"/>
      <c r="CD130" s="153"/>
      <c r="CE130" s="153"/>
      <c r="CF130" s="153"/>
      <c r="CG130" s="153"/>
      <c r="CH130" s="153"/>
      <c r="CI130" s="153"/>
      <c r="CJ130" s="153"/>
      <c r="CK130" s="153"/>
      <c r="CL130" s="153"/>
      <c r="CM130" s="153"/>
      <c r="CN130" s="153"/>
      <c r="CO130" s="153"/>
      <c r="CP130" s="153"/>
      <c r="CQ130" s="153"/>
      <c r="CR130" s="153"/>
      <c r="CS130" s="153"/>
      <c r="CT130" s="153"/>
      <c r="CU130" s="153"/>
      <c r="CV130" s="153"/>
      <c r="CW130" s="153"/>
      <c r="CX130" s="153"/>
      <c r="CY130" s="153"/>
      <c r="CZ130" s="153"/>
      <c r="DA130" s="153"/>
      <c r="DB130" s="153"/>
      <c r="DC130" s="153"/>
      <c r="DD130" s="153"/>
      <c r="DE130" s="153"/>
      <c r="DF130" s="153"/>
      <c r="DG130" s="153"/>
      <c r="DH130" s="153"/>
      <c r="DI130" s="153"/>
      <c r="DJ130" s="153"/>
      <c r="DK130" s="153"/>
      <c r="DL130" s="153"/>
      <c r="DM130" s="153"/>
      <c r="DN130" s="153"/>
      <c r="DO130" s="153"/>
      <c r="DP130" s="153"/>
      <c r="DQ130" s="153"/>
      <c r="DR130" s="153"/>
      <c r="DS130" s="153"/>
      <c r="DT130" s="153"/>
      <c r="DU130" s="153"/>
      <c r="DV130" s="153"/>
      <c r="DW130" s="153"/>
      <c r="DX130" s="153"/>
      <c r="DY130" s="153"/>
      <c r="DZ130" s="153"/>
      <c r="EA130" s="153"/>
      <c r="EB130" s="153"/>
      <c r="EC130" s="153"/>
      <c r="ED130" s="153"/>
      <c r="EE130" s="153"/>
      <c r="EF130" s="153"/>
      <c r="EG130" s="153"/>
      <c r="EH130" s="153"/>
      <c r="EI130" s="153"/>
      <c r="EJ130" s="153"/>
      <c r="EK130" s="153"/>
      <c r="EL130" s="153"/>
      <c r="EM130" s="153"/>
    </row>
    <row r="131" spans="1:143" s="107" customFormat="1" ht="10.5" customHeight="1">
      <c r="A131" s="1140">
        <v>106</v>
      </c>
      <c r="B131" s="1560" t="str">
        <f t="shared" si="3"/>
        <v/>
      </c>
      <c r="C131" s="161" t="str">
        <f>GasTime(GasAnalyser,'Horiba Data'!F124,'Horiba Data'!G124,'Testo, JUM &amp; MRU Data'!A125,'Thermo Data'!B124,HourOffset)</f>
        <v/>
      </c>
      <c r="D131" s="981" t="str">
        <f>IF(D$17=FALSE,"",GasData(GasAnalyser,'Horiba Data'!S124,'Testo, JUM &amp; MRU Data'!D125,'Thermo Data'!E124,'Testo, JUM &amp; MRU Data'!U125,GDF))</f>
        <v/>
      </c>
      <c r="E131" s="981" t="str">
        <f>IF(D131="","",Conc2(D131,D$9,MolVol,D$21,D$20,E$21,E$20))</f>
        <v/>
      </c>
      <c r="F131" s="981" t="str">
        <f>IF(F$17=FALSE,"",GasData(GasAnalyser,'Horiba Data'!AQ124,'Testo, JUM &amp; MRU Data'!E125,'Thermo Data'!F124,'Testo, JUM &amp; MRU Data'!V125,GDF))</f>
        <v/>
      </c>
      <c r="G131" s="981" t="str">
        <f>IF(F131="","",Conc2(F131,F$9,MolVol,F$21,F$20,G$21,G$20))</f>
        <v/>
      </c>
      <c r="H131" s="981" t="str">
        <f>IF(D$17=FALSE,"",IF(F$17=FALSE,"",GasData(GasAnalyser,'Horiba Data'!W124,'Testo, JUM &amp; MRU Data'!F125,'Thermo Data'!G124,'Testo, JUM &amp; MRU Data'!Y125,GDF)))</f>
        <v/>
      </c>
      <c r="I131" s="981" t="str">
        <f>IF(H131="","",Conc2(H131,H$9,MolVol,H$21,H$20,I$21,I$20))</f>
        <v/>
      </c>
      <c r="J131" s="981" t="str">
        <f>IF(J$17=FALSE,"",GasData(GasAnalyser,'Horiba Data'!AM124,'Testo, JUM &amp; MRU Data'!G125,'Thermo Data'!H124,'Testo, JUM &amp; MRU Data'!W125,GDF))</f>
        <v/>
      </c>
      <c r="K131" s="981" t="str">
        <f>IF(J131="","",Conc2(J131,J$9,MolVol,J$21,J$20,K$21,K$20))</f>
        <v/>
      </c>
      <c r="L131" s="981" t="str">
        <f>IF(L$17=FALSE,"",GasData(GasAnalyser,'Horiba Data'!AA124,'Testo, JUM &amp; MRU Data'!H125,'Thermo Data'!I124,'Testo, JUM &amp; MRU Data'!T125,GDF))</f>
        <v/>
      </c>
      <c r="M131" s="981" t="str">
        <f>IF(L131="","",Conc2(L131,L$9,MolVol,L$21,L$20,M$21,M$20))</f>
        <v/>
      </c>
      <c r="N131" s="981" t="str">
        <f>IF(N$17=FALSE,"",GasData(GasAnalyser,'Horiba Data'!AE124,'Testo, JUM &amp; MRU Data'!I125,'Thermo Data'!J124,'Testo, JUM &amp; MRU Data'!S125,GDF))</f>
        <v/>
      </c>
      <c r="O131" s="981" t="str">
        <f>IF(N131="","",Conc2(N131,N$9,MolVol,N$21,N$20,O$21,O$20))</f>
        <v/>
      </c>
      <c r="P131" s="981" t="str">
        <f>IF(P$17=FALSE,"",GasData(GasAnalyser,'Horiba Data'!AI124,'Testo, JUM &amp; MRU Data'!J125,'Thermo Data'!K124,'Testo, JUM &amp; MRU Data'!R125,GDF))</f>
        <v/>
      </c>
      <c r="Q131" s="981" t="str">
        <f>IF(P131="","",Conc2(P131,P$9,MolVol,P$21,P$20,Q$21,Q$20))</f>
        <v/>
      </c>
      <c r="R131" s="981" t="str">
        <f>IF(R$17=FALSE,"",JUMData('Testo, JUM &amp; MRU Data'!M125,$R$7))</f>
        <v/>
      </c>
      <c r="S131" s="982" t="str">
        <f>IF(R131="","",Conc2(R131,R$9,MolVol,R$21,R$20,S$21,S$20)/(1-Bws))</f>
        <v/>
      </c>
      <c r="T131" s="740"/>
      <c r="AR131" s="334"/>
      <c r="AS131" s="334"/>
      <c r="AT131" s="48"/>
      <c r="AU131" s="48"/>
      <c r="AV131" s="153"/>
      <c r="AW131" s="153"/>
      <c r="AX131" s="153"/>
      <c r="AY131" s="153"/>
      <c r="AZ131" s="153"/>
      <c r="BA131" s="153"/>
      <c r="BB131" s="153"/>
      <c r="BC131" s="153"/>
      <c r="BD131" s="153"/>
      <c r="BE131" s="153"/>
      <c r="BF131" s="153"/>
      <c r="BG131" s="153"/>
      <c r="BH131" s="153"/>
      <c r="BI131" s="153"/>
      <c r="BJ131" s="153"/>
      <c r="BK131" s="153"/>
      <c r="BL131" s="153"/>
      <c r="BM131" s="153"/>
      <c r="BN131" s="153"/>
      <c r="BO131" s="153"/>
      <c r="BP131" s="153"/>
      <c r="BQ131" s="153"/>
      <c r="BR131" s="153"/>
      <c r="BS131" s="153"/>
      <c r="BT131" s="153"/>
      <c r="BU131" s="153"/>
      <c r="BV131" s="153"/>
      <c r="BW131" s="153"/>
      <c r="BX131" s="153"/>
      <c r="BY131" s="153"/>
      <c r="BZ131" s="153"/>
      <c r="CA131" s="153"/>
      <c r="CB131" s="153"/>
      <c r="CC131" s="153"/>
      <c r="CD131" s="153"/>
      <c r="CE131" s="153"/>
      <c r="CF131" s="153"/>
      <c r="CG131" s="153"/>
      <c r="CH131" s="153"/>
      <c r="CI131" s="153"/>
      <c r="CJ131" s="153"/>
      <c r="CK131" s="153"/>
      <c r="CL131" s="153"/>
      <c r="CM131" s="153"/>
      <c r="CN131" s="153"/>
      <c r="CO131" s="153"/>
      <c r="CP131" s="153"/>
      <c r="CQ131" s="153"/>
      <c r="CR131" s="153"/>
      <c r="CS131" s="153"/>
      <c r="CT131" s="153"/>
      <c r="CU131" s="153"/>
      <c r="CV131" s="153"/>
      <c r="CW131" s="153"/>
      <c r="CX131" s="153"/>
      <c r="CY131" s="153"/>
      <c r="CZ131" s="153"/>
      <c r="DA131" s="153"/>
      <c r="DB131" s="153"/>
      <c r="DC131" s="153"/>
      <c r="DD131" s="153"/>
      <c r="DE131" s="153"/>
      <c r="DF131" s="153"/>
      <c r="DG131" s="153"/>
      <c r="DH131" s="153"/>
      <c r="DI131" s="153"/>
      <c r="DJ131" s="153"/>
      <c r="DK131" s="153"/>
      <c r="DL131" s="153"/>
      <c r="DM131" s="153"/>
      <c r="DN131" s="153"/>
      <c r="DO131" s="153"/>
      <c r="DP131" s="153"/>
      <c r="DQ131" s="153"/>
      <c r="DR131" s="153"/>
      <c r="DS131" s="153"/>
      <c r="DT131" s="153"/>
      <c r="DU131" s="153"/>
      <c r="DV131" s="153"/>
      <c r="DW131" s="153"/>
      <c r="DX131" s="153"/>
      <c r="DY131" s="153"/>
      <c r="DZ131" s="153"/>
      <c r="EA131" s="153"/>
      <c r="EB131" s="153"/>
      <c r="EC131" s="153"/>
      <c r="ED131" s="153"/>
      <c r="EE131" s="153"/>
      <c r="EF131" s="153"/>
      <c r="EG131" s="153"/>
      <c r="EH131" s="153"/>
      <c r="EI131" s="153"/>
      <c r="EJ131" s="153"/>
      <c r="EK131" s="153"/>
      <c r="EL131" s="153"/>
      <c r="EM131" s="153"/>
    </row>
    <row r="132" spans="1:143" s="107" customFormat="1" ht="10.5" customHeight="1">
      <c r="A132" s="1140">
        <v>107</v>
      </c>
      <c r="B132" s="1560" t="str">
        <f t="shared" si="3"/>
        <v/>
      </c>
      <c r="C132" s="161" t="str">
        <f>GasTime(GasAnalyser,'Horiba Data'!F125,'Horiba Data'!G125,'Testo, JUM &amp; MRU Data'!A126,'Thermo Data'!B125,HourOffset)</f>
        <v/>
      </c>
      <c r="D132" s="981" t="str">
        <f>IF(D$17=FALSE,"",GasData(GasAnalyser,'Horiba Data'!S125,'Testo, JUM &amp; MRU Data'!D126,'Thermo Data'!E125,'Testo, JUM &amp; MRU Data'!U126,GDF))</f>
        <v/>
      </c>
      <c r="E132" s="981" t="str">
        <f>IF(D132="","",Conc2(D132,D$9,MolVol,D$21,D$20,E$21,E$20))</f>
        <v/>
      </c>
      <c r="F132" s="981" t="str">
        <f>IF(F$17=FALSE,"",GasData(GasAnalyser,'Horiba Data'!AQ125,'Testo, JUM &amp; MRU Data'!E126,'Thermo Data'!F125,'Testo, JUM &amp; MRU Data'!V126,GDF))</f>
        <v/>
      </c>
      <c r="G132" s="981" t="str">
        <f>IF(F132="","",Conc2(F132,F$9,MolVol,F$21,F$20,G$21,G$20))</f>
        <v/>
      </c>
      <c r="H132" s="981" t="str">
        <f>IF(D$17=FALSE,"",IF(F$17=FALSE,"",GasData(GasAnalyser,'Horiba Data'!W125,'Testo, JUM &amp; MRU Data'!F126,'Thermo Data'!G125,'Testo, JUM &amp; MRU Data'!Y126,GDF)))</f>
        <v/>
      </c>
      <c r="I132" s="981" t="str">
        <f>IF(H132="","",Conc2(H132,H$9,MolVol,H$21,H$20,I$21,I$20))</f>
        <v/>
      </c>
      <c r="J132" s="981" t="str">
        <f>IF(J$17=FALSE,"",GasData(GasAnalyser,'Horiba Data'!AM125,'Testo, JUM &amp; MRU Data'!G126,'Thermo Data'!H125,'Testo, JUM &amp; MRU Data'!W126,GDF))</f>
        <v/>
      </c>
      <c r="K132" s="981" t="str">
        <f>IF(J132="","",Conc2(J132,J$9,MolVol,J$21,J$20,K$21,K$20))</f>
        <v/>
      </c>
      <c r="L132" s="981" t="str">
        <f>IF(L$17=FALSE,"",GasData(GasAnalyser,'Horiba Data'!AA125,'Testo, JUM &amp; MRU Data'!H126,'Thermo Data'!I125,'Testo, JUM &amp; MRU Data'!T126,GDF))</f>
        <v/>
      </c>
      <c r="M132" s="981" t="str">
        <f>IF(L132="","",Conc2(L132,L$9,MolVol,L$21,L$20,M$21,M$20))</f>
        <v/>
      </c>
      <c r="N132" s="981" t="str">
        <f>IF(N$17=FALSE,"",GasData(GasAnalyser,'Horiba Data'!AE125,'Testo, JUM &amp; MRU Data'!I126,'Thermo Data'!J125,'Testo, JUM &amp; MRU Data'!S126,GDF))</f>
        <v/>
      </c>
      <c r="O132" s="981" t="str">
        <f>IF(N132="","",Conc2(N132,N$9,MolVol,N$21,N$20,O$21,O$20))</f>
        <v/>
      </c>
      <c r="P132" s="981" t="str">
        <f>IF(P$17=FALSE,"",GasData(GasAnalyser,'Horiba Data'!AI125,'Testo, JUM &amp; MRU Data'!J126,'Thermo Data'!K125,'Testo, JUM &amp; MRU Data'!R126,GDF))</f>
        <v/>
      </c>
      <c r="Q132" s="981" t="str">
        <f>IF(P132="","",Conc2(P132,P$9,MolVol,P$21,P$20,Q$21,Q$20))</f>
        <v/>
      </c>
      <c r="R132" s="981" t="str">
        <f>IF(R$17=FALSE,"",JUMData('Testo, JUM &amp; MRU Data'!M126,$R$7))</f>
        <v/>
      </c>
      <c r="S132" s="982" t="str">
        <f>IF(R132="","",Conc2(R132,R$9,MolVol,R$21,R$20,S$21,S$20)/(1-Bws))</f>
        <v/>
      </c>
      <c r="T132" s="740"/>
      <c r="AR132" s="334"/>
      <c r="AS132" s="334"/>
      <c r="AT132" s="48"/>
      <c r="AU132" s="48"/>
      <c r="AV132" s="153"/>
      <c r="AW132" s="153"/>
      <c r="AX132" s="153"/>
      <c r="AY132" s="153"/>
      <c r="AZ132" s="153"/>
      <c r="BA132" s="153"/>
      <c r="BB132" s="153"/>
      <c r="BC132" s="153"/>
      <c r="BD132" s="153"/>
      <c r="BE132" s="153"/>
      <c r="BF132" s="153"/>
      <c r="BG132" s="153"/>
      <c r="BH132" s="153"/>
      <c r="BI132" s="153"/>
      <c r="BJ132" s="153"/>
      <c r="BK132" s="153"/>
      <c r="BL132" s="153"/>
      <c r="BM132" s="153"/>
      <c r="BN132" s="153"/>
      <c r="BO132" s="153"/>
      <c r="BP132" s="153"/>
      <c r="BQ132" s="153"/>
      <c r="BR132" s="153"/>
      <c r="BS132" s="153"/>
      <c r="BT132" s="153"/>
      <c r="BU132" s="153"/>
      <c r="BV132" s="153"/>
      <c r="BW132" s="153"/>
      <c r="BX132" s="153"/>
      <c r="BY132" s="153"/>
      <c r="BZ132" s="153"/>
      <c r="CA132" s="153"/>
      <c r="CB132" s="153"/>
      <c r="CC132" s="153"/>
      <c r="CD132" s="153"/>
      <c r="CE132" s="153"/>
      <c r="CF132" s="153"/>
      <c r="CG132" s="153"/>
      <c r="CH132" s="153"/>
      <c r="CI132" s="153"/>
      <c r="CJ132" s="153"/>
      <c r="CK132" s="153"/>
      <c r="CL132" s="153"/>
      <c r="CM132" s="153"/>
      <c r="CN132" s="153"/>
      <c r="CO132" s="153"/>
      <c r="CP132" s="153"/>
      <c r="CQ132" s="153"/>
      <c r="CR132" s="153"/>
      <c r="CS132" s="153"/>
      <c r="CT132" s="153"/>
      <c r="CU132" s="153"/>
      <c r="CV132" s="153"/>
      <c r="CW132" s="153"/>
      <c r="CX132" s="153"/>
      <c r="CY132" s="153"/>
      <c r="CZ132" s="153"/>
      <c r="DA132" s="153"/>
      <c r="DB132" s="153"/>
      <c r="DC132" s="153"/>
      <c r="DD132" s="153"/>
      <c r="DE132" s="153"/>
      <c r="DF132" s="153"/>
      <c r="DG132" s="153"/>
      <c r="DH132" s="153"/>
      <c r="DI132" s="153"/>
      <c r="DJ132" s="153"/>
      <c r="DK132" s="153"/>
      <c r="DL132" s="153"/>
      <c r="DM132" s="153"/>
      <c r="DN132" s="153"/>
      <c r="DO132" s="153"/>
      <c r="DP132" s="153"/>
      <c r="DQ132" s="153"/>
      <c r="DR132" s="153"/>
      <c r="DS132" s="153"/>
      <c r="DT132" s="153"/>
      <c r="DU132" s="153"/>
      <c r="DV132" s="153"/>
      <c r="DW132" s="153"/>
      <c r="DX132" s="153"/>
      <c r="DY132" s="153"/>
      <c r="DZ132" s="153"/>
      <c r="EA132" s="153"/>
      <c r="EB132" s="153"/>
      <c r="EC132" s="153"/>
      <c r="ED132" s="153"/>
      <c r="EE132" s="153"/>
      <c r="EF132" s="153"/>
      <c r="EG132" s="153"/>
      <c r="EH132" s="153"/>
      <c r="EI132" s="153"/>
      <c r="EJ132" s="153"/>
      <c r="EK132" s="153"/>
      <c r="EL132" s="153"/>
      <c r="EM132" s="153"/>
    </row>
    <row r="133" spans="1:143" s="107" customFormat="1" ht="10.5" customHeight="1">
      <c r="A133" s="1140">
        <v>108</v>
      </c>
      <c r="B133" s="1560" t="str">
        <f t="shared" si="3"/>
        <v/>
      </c>
      <c r="C133" s="161" t="str">
        <f>GasTime(GasAnalyser,'Horiba Data'!F126,'Horiba Data'!G126,'Testo, JUM &amp; MRU Data'!A127,'Thermo Data'!B126,HourOffset)</f>
        <v/>
      </c>
      <c r="D133" s="981" t="str">
        <f>IF(D$17=FALSE,"",GasData(GasAnalyser,'Horiba Data'!S126,'Testo, JUM &amp; MRU Data'!D127,'Thermo Data'!E126,'Testo, JUM &amp; MRU Data'!U127,GDF))</f>
        <v/>
      </c>
      <c r="E133" s="981" t="str">
        <f>IF(D133="","",Conc2(D133,D$9,MolVol,D$21,D$20,E$21,E$20))</f>
        <v/>
      </c>
      <c r="F133" s="981" t="str">
        <f>IF(F$17=FALSE,"",GasData(GasAnalyser,'Horiba Data'!AQ126,'Testo, JUM &amp; MRU Data'!E127,'Thermo Data'!F126,'Testo, JUM &amp; MRU Data'!V127,GDF))</f>
        <v/>
      </c>
      <c r="G133" s="981" t="str">
        <f>IF(F133="","",Conc2(F133,F$9,MolVol,F$21,F$20,G$21,G$20))</f>
        <v/>
      </c>
      <c r="H133" s="981" t="str">
        <f>IF(D$17=FALSE,"",IF(F$17=FALSE,"",GasData(GasAnalyser,'Horiba Data'!W126,'Testo, JUM &amp; MRU Data'!F127,'Thermo Data'!G126,'Testo, JUM &amp; MRU Data'!Y127,GDF)))</f>
        <v/>
      </c>
      <c r="I133" s="981" t="str">
        <f>IF(H133="","",Conc2(H133,H$9,MolVol,H$21,H$20,I$21,I$20))</f>
        <v/>
      </c>
      <c r="J133" s="981" t="str">
        <f>IF(J$17=FALSE,"",GasData(GasAnalyser,'Horiba Data'!AM126,'Testo, JUM &amp; MRU Data'!G127,'Thermo Data'!H126,'Testo, JUM &amp; MRU Data'!W127,GDF))</f>
        <v/>
      </c>
      <c r="K133" s="981" t="str">
        <f>IF(J133="","",Conc2(J133,J$9,MolVol,J$21,J$20,K$21,K$20))</f>
        <v/>
      </c>
      <c r="L133" s="981" t="str">
        <f>IF(L$17=FALSE,"",GasData(GasAnalyser,'Horiba Data'!AA126,'Testo, JUM &amp; MRU Data'!H127,'Thermo Data'!I126,'Testo, JUM &amp; MRU Data'!T127,GDF))</f>
        <v/>
      </c>
      <c r="M133" s="981" t="str">
        <f>IF(L133="","",Conc2(L133,L$9,MolVol,L$21,L$20,M$21,M$20))</f>
        <v/>
      </c>
      <c r="N133" s="981" t="str">
        <f>IF(N$17=FALSE,"",GasData(GasAnalyser,'Horiba Data'!AE126,'Testo, JUM &amp; MRU Data'!I127,'Thermo Data'!J126,'Testo, JUM &amp; MRU Data'!S127,GDF))</f>
        <v/>
      </c>
      <c r="O133" s="981" t="str">
        <f>IF(N133="","",Conc2(N133,N$9,MolVol,N$21,N$20,O$21,O$20))</f>
        <v/>
      </c>
      <c r="P133" s="981" t="str">
        <f>IF(P$17=FALSE,"",GasData(GasAnalyser,'Horiba Data'!AI126,'Testo, JUM &amp; MRU Data'!J127,'Thermo Data'!K126,'Testo, JUM &amp; MRU Data'!R127,GDF))</f>
        <v/>
      </c>
      <c r="Q133" s="981" t="str">
        <f>IF(P133="","",Conc2(P133,P$9,MolVol,P$21,P$20,Q$21,Q$20))</f>
        <v/>
      </c>
      <c r="R133" s="981" t="str">
        <f>IF(R$17=FALSE,"",JUMData('Testo, JUM &amp; MRU Data'!M127,$R$7))</f>
        <v/>
      </c>
      <c r="S133" s="982" t="str">
        <f>IF(R133="","",Conc2(R133,R$9,MolVol,R$21,R$20,S$21,S$20)/(1-Bws))</f>
        <v/>
      </c>
      <c r="T133" s="712"/>
      <c r="AR133" s="334"/>
      <c r="AS133" s="334"/>
      <c r="AT133" s="48"/>
      <c r="AU133" s="48"/>
      <c r="AV133" s="153"/>
      <c r="AW133" s="153"/>
      <c r="AX133" s="153"/>
      <c r="AY133" s="153"/>
      <c r="AZ133" s="153"/>
      <c r="BA133" s="153"/>
      <c r="BB133" s="153"/>
      <c r="BC133" s="153"/>
      <c r="BD133" s="153"/>
      <c r="BE133" s="153"/>
      <c r="BF133" s="153"/>
      <c r="BG133" s="153"/>
      <c r="BH133" s="153"/>
      <c r="BI133" s="153"/>
      <c r="BJ133" s="153"/>
      <c r="BK133" s="153"/>
      <c r="BL133" s="153"/>
      <c r="BM133" s="153"/>
      <c r="BN133" s="153"/>
      <c r="BO133" s="153"/>
      <c r="BP133" s="153"/>
      <c r="BQ133" s="153"/>
      <c r="BR133" s="153"/>
      <c r="BS133" s="153"/>
      <c r="BT133" s="153"/>
      <c r="BU133" s="153"/>
      <c r="BV133" s="153"/>
      <c r="BW133" s="153"/>
      <c r="BX133" s="153"/>
      <c r="BY133" s="153"/>
      <c r="BZ133" s="153"/>
      <c r="CA133" s="153"/>
      <c r="CB133" s="153"/>
      <c r="CC133" s="153"/>
      <c r="CD133" s="153"/>
      <c r="CE133" s="153"/>
      <c r="CF133" s="153"/>
      <c r="CG133" s="153"/>
      <c r="CH133" s="153"/>
      <c r="CI133" s="153"/>
      <c r="CJ133" s="153"/>
      <c r="CK133" s="153"/>
      <c r="CL133" s="153"/>
      <c r="CM133" s="153"/>
      <c r="CN133" s="153"/>
      <c r="CO133" s="153"/>
      <c r="CP133" s="153"/>
      <c r="CQ133" s="153"/>
      <c r="CR133" s="153"/>
      <c r="CS133" s="153"/>
      <c r="CT133" s="153"/>
      <c r="CU133" s="153"/>
      <c r="CV133" s="153"/>
      <c r="CW133" s="153"/>
      <c r="CX133" s="153"/>
      <c r="CY133" s="153"/>
      <c r="CZ133" s="153"/>
      <c r="DA133" s="153"/>
      <c r="DB133" s="153"/>
      <c r="DC133" s="153"/>
      <c r="DD133" s="153"/>
      <c r="DE133" s="153"/>
      <c r="DF133" s="153"/>
      <c r="DG133" s="153"/>
      <c r="DH133" s="153"/>
      <c r="DI133" s="153"/>
      <c r="DJ133" s="153"/>
      <c r="DK133" s="153"/>
      <c r="DL133" s="153"/>
      <c r="DM133" s="153"/>
      <c r="DN133" s="153"/>
      <c r="DO133" s="153"/>
      <c r="DP133" s="153"/>
      <c r="DQ133" s="153"/>
      <c r="DR133" s="153"/>
      <c r="DS133" s="153"/>
      <c r="DT133" s="153"/>
      <c r="DU133" s="153"/>
      <c r="DV133" s="153"/>
      <c r="DW133" s="153"/>
      <c r="DX133" s="153"/>
      <c r="DY133" s="153"/>
      <c r="DZ133" s="153"/>
      <c r="EA133" s="153"/>
      <c r="EB133" s="153"/>
      <c r="EC133" s="153"/>
      <c r="ED133" s="153"/>
      <c r="EE133" s="153"/>
      <c r="EF133" s="153"/>
      <c r="EG133" s="153"/>
      <c r="EH133" s="153"/>
      <c r="EI133" s="153"/>
      <c r="EJ133" s="153"/>
      <c r="EK133" s="153"/>
      <c r="EL133" s="153"/>
      <c r="EM133" s="153"/>
    </row>
    <row r="134" spans="1:143" s="107" customFormat="1" ht="10.5" customHeight="1">
      <c r="A134" s="1140">
        <v>109</v>
      </c>
      <c r="B134" s="1560" t="str">
        <f t="shared" si="3"/>
        <v/>
      </c>
      <c r="C134" s="161" t="str">
        <f>GasTime(GasAnalyser,'Horiba Data'!F127,'Horiba Data'!G127,'Testo, JUM &amp; MRU Data'!A128,'Thermo Data'!B127,HourOffset)</f>
        <v/>
      </c>
      <c r="D134" s="981" t="str">
        <f>IF(D$17=FALSE,"",GasData(GasAnalyser,'Horiba Data'!S127,'Testo, JUM &amp; MRU Data'!D128,'Thermo Data'!E127,'Testo, JUM &amp; MRU Data'!U128,GDF))</f>
        <v/>
      </c>
      <c r="E134" s="981" t="str">
        <f>IF(D134="","",Conc2(D134,D$9,MolVol,D$21,D$20,E$21,E$20))</f>
        <v/>
      </c>
      <c r="F134" s="981" t="str">
        <f>IF(F$17=FALSE,"",GasData(GasAnalyser,'Horiba Data'!AQ127,'Testo, JUM &amp; MRU Data'!E128,'Thermo Data'!F127,'Testo, JUM &amp; MRU Data'!V128,GDF))</f>
        <v/>
      </c>
      <c r="G134" s="981" t="str">
        <f>IF(F134="","",Conc2(F134,F$9,MolVol,F$21,F$20,G$21,G$20))</f>
        <v/>
      </c>
      <c r="H134" s="981" t="str">
        <f>IF(D$17=FALSE,"",IF(F$17=FALSE,"",GasData(GasAnalyser,'Horiba Data'!W127,'Testo, JUM &amp; MRU Data'!F128,'Thermo Data'!G127,'Testo, JUM &amp; MRU Data'!Y128,GDF)))</f>
        <v/>
      </c>
      <c r="I134" s="981" t="str">
        <f>IF(H134="","",Conc2(H134,H$9,MolVol,H$21,H$20,I$21,I$20))</f>
        <v/>
      </c>
      <c r="J134" s="981" t="str">
        <f>IF(J$17=FALSE,"",GasData(GasAnalyser,'Horiba Data'!AM127,'Testo, JUM &amp; MRU Data'!G128,'Thermo Data'!H127,'Testo, JUM &amp; MRU Data'!W128,GDF))</f>
        <v/>
      </c>
      <c r="K134" s="981" t="str">
        <f>IF(J134="","",Conc2(J134,J$9,MolVol,J$21,J$20,K$21,K$20))</f>
        <v/>
      </c>
      <c r="L134" s="981" t="str">
        <f>IF(L$17=FALSE,"",GasData(GasAnalyser,'Horiba Data'!AA127,'Testo, JUM &amp; MRU Data'!H128,'Thermo Data'!I127,'Testo, JUM &amp; MRU Data'!T128,GDF))</f>
        <v/>
      </c>
      <c r="M134" s="981" t="str">
        <f>IF(L134="","",Conc2(L134,L$9,MolVol,L$21,L$20,M$21,M$20))</f>
        <v/>
      </c>
      <c r="N134" s="981" t="str">
        <f>IF(N$17=FALSE,"",GasData(GasAnalyser,'Horiba Data'!AE127,'Testo, JUM &amp; MRU Data'!I128,'Thermo Data'!J127,'Testo, JUM &amp; MRU Data'!S128,GDF))</f>
        <v/>
      </c>
      <c r="O134" s="981" t="str">
        <f>IF(N134="","",Conc2(N134,N$9,MolVol,N$21,N$20,O$21,O$20))</f>
        <v/>
      </c>
      <c r="P134" s="981" t="str">
        <f>IF(P$17=FALSE,"",GasData(GasAnalyser,'Horiba Data'!AI127,'Testo, JUM &amp; MRU Data'!J128,'Thermo Data'!K127,'Testo, JUM &amp; MRU Data'!R128,GDF))</f>
        <v/>
      </c>
      <c r="Q134" s="981" t="str">
        <f>IF(P134="","",Conc2(P134,P$9,MolVol,P$21,P$20,Q$21,Q$20))</f>
        <v/>
      </c>
      <c r="R134" s="981" t="str">
        <f>IF(R$17=FALSE,"",JUMData('Testo, JUM &amp; MRU Data'!M128,$R$7))</f>
        <v/>
      </c>
      <c r="S134" s="982" t="str">
        <f>IF(R134="","",Conc2(R134,R$9,MolVol,R$21,R$20,S$21,S$20)/(1-Bws))</f>
        <v/>
      </c>
      <c r="T134" s="712"/>
      <c r="AR134" s="334"/>
      <c r="AS134" s="334"/>
      <c r="AT134" s="48"/>
      <c r="AU134" s="48"/>
      <c r="AV134" s="153"/>
      <c r="AW134" s="153"/>
      <c r="AX134" s="153"/>
      <c r="AY134" s="153"/>
      <c r="AZ134" s="153"/>
      <c r="BA134" s="153"/>
      <c r="BB134" s="153"/>
      <c r="BC134" s="153"/>
      <c r="BD134" s="153"/>
      <c r="BE134" s="153"/>
      <c r="BF134" s="153"/>
      <c r="BG134" s="153"/>
      <c r="BH134" s="153"/>
      <c r="BI134" s="153"/>
      <c r="BJ134" s="153"/>
      <c r="BK134" s="153"/>
      <c r="BL134" s="153"/>
      <c r="BM134" s="153"/>
      <c r="BN134" s="153"/>
      <c r="BO134" s="153"/>
      <c r="BP134" s="153"/>
      <c r="BQ134" s="153"/>
      <c r="BR134" s="153"/>
      <c r="BS134" s="153"/>
      <c r="BT134" s="153"/>
      <c r="BU134" s="153"/>
      <c r="BV134" s="153"/>
      <c r="BW134" s="153"/>
      <c r="BX134" s="153"/>
      <c r="BY134" s="153"/>
      <c r="BZ134" s="153"/>
      <c r="CA134" s="153"/>
      <c r="CB134" s="153"/>
      <c r="CC134" s="153"/>
      <c r="CD134" s="153"/>
      <c r="CE134" s="153"/>
      <c r="CF134" s="153"/>
      <c r="CG134" s="153"/>
      <c r="CH134" s="153"/>
      <c r="CI134" s="153"/>
      <c r="CJ134" s="153"/>
      <c r="CK134" s="153"/>
      <c r="CL134" s="153"/>
      <c r="CM134" s="153"/>
      <c r="CN134" s="153"/>
      <c r="CO134" s="153"/>
      <c r="CP134" s="153"/>
      <c r="CQ134" s="153"/>
      <c r="CR134" s="153"/>
      <c r="CS134" s="153"/>
      <c r="CT134" s="153"/>
      <c r="CU134" s="153"/>
      <c r="CV134" s="153"/>
      <c r="CW134" s="153"/>
      <c r="CX134" s="153"/>
      <c r="CY134" s="153"/>
      <c r="CZ134" s="153"/>
      <c r="DA134" s="153"/>
      <c r="DB134" s="153"/>
      <c r="DC134" s="153"/>
      <c r="DD134" s="153"/>
      <c r="DE134" s="153"/>
      <c r="DF134" s="153"/>
      <c r="DG134" s="153"/>
      <c r="DH134" s="153"/>
      <c r="DI134" s="153"/>
      <c r="DJ134" s="153"/>
      <c r="DK134" s="153"/>
      <c r="DL134" s="153"/>
      <c r="DM134" s="153"/>
      <c r="DN134" s="153"/>
      <c r="DO134" s="153"/>
      <c r="DP134" s="153"/>
      <c r="DQ134" s="153"/>
      <c r="DR134" s="153"/>
      <c r="DS134" s="153"/>
      <c r="DT134" s="153"/>
      <c r="DU134" s="153"/>
      <c r="DV134" s="153"/>
      <c r="DW134" s="153"/>
      <c r="DX134" s="153"/>
      <c r="DY134" s="153"/>
      <c r="DZ134" s="153"/>
      <c r="EA134" s="153"/>
      <c r="EB134" s="153"/>
      <c r="EC134" s="153"/>
      <c r="ED134" s="153"/>
      <c r="EE134" s="153"/>
      <c r="EF134" s="153"/>
      <c r="EG134" s="153"/>
      <c r="EH134" s="153"/>
      <c r="EI134" s="153"/>
      <c r="EJ134" s="153"/>
      <c r="EK134" s="153"/>
      <c r="EL134" s="153"/>
      <c r="EM134" s="153"/>
    </row>
    <row r="135" spans="1:143" s="107" customFormat="1" ht="10.5" customHeight="1" thickBot="1">
      <c r="A135" s="1140">
        <v>110</v>
      </c>
      <c r="B135" s="1560" t="str">
        <f t="shared" si="3"/>
        <v/>
      </c>
      <c r="C135" s="161" t="str">
        <f>GasTime(GasAnalyser,'Horiba Data'!F128,'Horiba Data'!G128,'Testo, JUM &amp; MRU Data'!A129,'Thermo Data'!B128,HourOffset)</f>
        <v/>
      </c>
      <c r="D135" s="981" t="str">
        <f>IF(D$17=FALSE,"",GasData(GasAnalyser,'Horiba Data'!S128,'Testo, JUM &amp; MRU Data'!D129,'Thermo Data'!E128,'Testo, JUM &amp; MRU Data'!U129,GDF))</f>
        <v/>
      </c>
      <c r="E135" s="981" t="str">
        <f>IF(D135="","",Conc2(D135,D$9,MolVol,D$21,D$20,E$21,E$20))</f>
        <v/>
      </c>
      <c r="F135" s="981" t="str">
        <f>IF(F$17=FALSE,"",GasData(GasAnalyser,'Horiba Data'!AQ128,'Testo, JUM &amp; MRU Data'!E129,'Thermo Data'!F128,'Testo, JUM &amp; MRU Data'!V129,GDF))</f>
        <v/>
      </c>
      <c r="G135" s="981" t="str">
        <f>IF(F135="","",Conc2(F135,F$9,MolVol,F$21,F$20,G$21,G$20))</f>
        <v/>
      </c>
      <c r="H135" s="981" t="str">
        <f>IF(D$17=FALSE,"",IF(F$17=FALSE,"",GasData(GasAnalyser,'Horiba Data'!W128,'Testo, JUM &amp; MRU Data'!F129,'Thermo Data'!G128,'Testo, JUM &amp; MRU Data'!Y129,GDF)))</f>
        <v/>
      </c>
      <c r="I135" s="981" t="str">
        <f>IF(H135="","",Conc2(H135,H$9,MolVol,H$21,H$20,I$21,I$20))</f>
        <v/>
      </c>
      <c r="J135" s="981" t="str">
        <f>IF(J$17=FALSE,"",GasData(GasAnalyser,'Horiba Data'!AM128,'Testo, JUM &amp; MRU Data'!G129,'Thermo Data'!H128,'Testo, JUM &amp; MRU Data'!W129,GDF))</f>
        <v/>
      </c>
      <c r="K135" s="981" t="str">
        <f>IF(J135="","",Conc2(J135,J$9,MolVol,J$21,J$20,K$21,K$20))</f>
        <v/>
      </c>
      <c r="L135" s="981" t="str">
        <f>IF(L$17=FALSE,"",GasData(GasAnalyser,'Horiba Data'!AA128,'Testo, JUM &amp; MRU Data'!H129,'Thermo Data'!I128,'Testo, JUM &amp; MRU Data'!T129,GDF))</f>
        <v/>
      </c>
      <c r="M135" s="981" t="str">
        <f>IF(L135="","",Conc2(L135,L$9,MolVol,L$21,L$20,M$21,M$20))</f>
        <v/>
      </c>
      <c r="N135" s="981" t="str">
        <f>IF(N$17=FALSE,"",GasData(GasAnalyser,'Horiba Data'!AE128,'Testo, JUM &amp; MRU Data'!I129,'Thermo Data'!J128,'Testo, JUM &amp; MRU Data'!S129,GDF))</f>
        <v/>
      </c>
      <c r="O135" s="981" t="str">
        <f>IF(N135="","",Conc2(N135,N$9,MolVol,N$21,N$20,O$21,O$20))</f>
        <v/>
      </c>
      <c r="P135" s="981" t="str">
        <f>IF(P$17=FALSE,"",GasData(GasAnalyser,'Horiba Data'!AI128,'Testo, JUM &amp; MRU Data'!J129,'Thermo Data'!K128,'Testo, JUM &amp; MRU Data'!R129,GDF))</f>
        <v/>
      </c>
      <c r="Q135" s="981" t="str">
        <f>IF(P135="","",Conc2(P135,P$9,MolVol,P$21,P$20,Q$21,Q$20))</f>
        <v/>
      </c>
      <c r="R135" s="981" t="str">
        <f>IF(R$17=FALSE,"",JUMData('Testo, JUM &amp; MRU Data'!M129,$R$7))</f>
        <v/>
      </c>
      <c r="S135" s="982" t="str">
        <f>IF(R135="","",Conc2(R135,R$9,MolVol,R$21,R$20,S$21,S$20)/(1-Bws))</f>
        <v/>
      </c>
      <c r="T135" s="712"/>
      <c r="AR135" s="334"/>
      <c r="AS135" s="334"/>
      <c r="AT135" s="48"/>
      <c r="AU135" s="48"/>
      <c r="AV135" s="153"/>
      <c r="AW135" s="153"/>
      <c r="AX135" s="153"/>
      <c r="AY135" s="153"/>
      <c r="AZ135" s="153"/>
      <c r="BA135" s="153"/>
      <c r="BB135" s="153"/>
      <c r="BC135" s="153"/>
      <c r="BD135" s="153"/>
      <c r="BE135" s="153"/>
      <c r="BF135" s="153"/>
      <c r="BG135" s="153"/>
      <c r="BH135" s="153"/>
      <c r="BI135" s="153"/>
      <c r="BJ135" s="153"/>
      <c r="BK135" s="153"/>
      <c r="BL135" s="153"/>
      <c r="BM135" s="153"/>
      <c r="BN135" s="153"/>
      <c r="BO135" s="153"/>
      <c r="BP135" s="153"/>
      <c r="BQ135" s="153"/>
      <c r="BR135" s="153"/>
      <c r="BS135" s="153"/>
      <c r="BT135" s="153"/>
      <c r="BU135" s="153"/>
      <c r="BV135" s="153"/>
      <c r="BW135" s="153"/>
      <c r="BX135" s="153"/>
      <c r="BY135" s="153"/>
      <c r="BZ135" s="153"/>
      <c r="CA135" s="153"/>
      <c r="CB135" s="153"/>
      <c r="CC135" s="153"/>
      <c r="CD135" s="153"/>
      <c r="CE135" s="153"/>
      <c r="CF135" s="153"/>
      <c r="CG135" s="153"/>
      <c r="CH135" s="153"/>
      <c r="CI135" s="153"/>
      <c r="CJ135" s="153"/>
      <c r="CK135" s="153"/>
      <c r="CL135" s="153"/>
      <c r="CM135" s="153"/>
      <c r="CN135" s="153"/>
      <c r="CO135" s="153"/>
      <c r="CP135" s="153"/>
      <c r="CQ135" s="153"/>
      <c r="CR135" s="153"/>
      <c r="CS135" s="153"/>
      <c r="CT135" s="153"/>
      <c r="CU135" s="153"/>
      <c r="CV135" s="153"/>
      <c r="CW135" s="153"/>
      <c r="CX135" s="153"/>
      <c r="CY135" s="153"/>
      <c r="CZ135" s="153"/>
      <c r="DA135" s="153"/>
      <c r="DB135" s="153"/>
      <c r="DC135" s="153"/>
      <c r="DD135" s="153"/>
      <c r="DE135" s="153"/>
      <c r="DF135" s="153"/>
      <c r="DG135" s="153"/>
      <c r="DH135" s="153"/>
      <c r="DI135" s="153"/>
      <c r="DJ135" s="153"/>
      <c r="DK135" s="153"/>
      <c r="DL135" s="153"/>
      <c r="DM135" s="153"/>
      <c r="DN135" s="153"/>
      <c r="DO135" s="153"/>
      <c r="DP135" s="153"/>
      <c r="DQ135" s="153"/>
      <c r="DR135" s="153"/>
      <c r="DS135" s="153"/>
      <c r="DT135" s="153"/>
      <c r="DU135" s="153"/>
      <c r="DV135" s="153"/>
      <c r="DW135" s="153"/>
      <c r="DX135" s="153"/>
      <c r="DY135" s="153"/>
      <c r="DZ135" s="153"/>
      <c r="EA135" s="153"/>
      <c r="EB135" s="153"/>
      <c r="EC135" s="153"/>
      <c r="ED135" s="153"/>
      <c r="EE135" s="153"/>
      <c r="EF135" s="153"/>
      <c r="EG135" s="153"/>
      <c r="EH135" s="153"/>
      <c r="EI135" s="153"/>
      <c r="EJ135" s="153"/>
      <c r="EK135" s="153"/>
      <c r="EL135" s="153"/>
      <c r="EM135" s="153"/>
    </row>
    <row r="136" spans="1:143" s="107" customFormat="1" ht="10.5" hidden="1" customHeight="1" outlineLevel="1">
      <c r="A136" s="1548">
        <v>111</v>
      </c>
      <c r="B136" s="1560" t="str">
        <f t="shared" si="3"/>
        <v/>
      </c>
      <c r="C136" s="161" t="str">
        <f>GasTime(GasAnalyser,'Horiba Data'!F129,'Horiba Data'!G129,'Testo, JUM &amp; MRU Data'!A130,'Thermo Data'!B129,HourOffset)</f>
        <v/>
      </c>
      <c r="D136" s="981" t="str">
        <f>IF(D$17=FALSE,"",GasData(GasAnalyser,'Horiba Data'!S129,'Testo, JUM &amp; MRU Data'!D130,'Thermo Data'!E129,'Testo, JUM &amp; MRU Data'!U130,GDF))</f>
        <v/>
      </c>
      <c r="E136" s="981" t="str">
        <f>IF(D136="","",Conc2(D136,D$9,MolVol,D$21,D$20,E$21,E$20))</f>
        <v/>
      </c>
      <c r="F136" s="981" t="str">
        <f>IF(F$17=FALSE,"",GasData(GasAnalyser,'Horiba Data'!AQ129,'Testo, JUM &amp; MRU Data'!E130,'Thermo Data'!F129,'Testo, JUM &amp; MRU Data'!V130,GDF))</f>
        <v/>
      </c>
      <c r="G136" s="981" t="str">
        <f>IF(F136="","",Conc2(F136,F$9,MolVol,F$21,F$20,G$21,G$20))</f>
        <v/>
      </c>
      <c r="H136" s="981" t="str">
        <f>IF(D$17=FALSE,"",IF(F$17=FALSE,"",GasData(GasAnalyser,'Horiba Data'!W129,'Testo, JUM &amp; MRU Data'!F130,'Thermo Data'!G129,'Testo, JUM &amp; MRU Data'!Y130,GDF)))</f>
        <v/>
      </c>
      <c r="I136" s="981" t="str">
        <f>IF(H136="","",Conc2(H136,H$9,MolVol,H$21,H$20,I$21,I$20))</f>
        <v/>
      </c>
      <c r="J136" s="981" t="str">
        <f>IF(J$17=FALSE,"",GasData(GasAnalyser,'Horiba Data'!AM129,'Testo, JUM &amp; MRU Data'!G130,'Thermo Data'!H129,'Testo, JUM &amp; MRU Data'!W130,GDF))</f>
        <v/>
      </c>
      <c r="K136" s="981" t="str">
        <f>IF(J136="","",Conc2(J136,J$9,MolVol,J$21,J$20,K$21,K$20))</f>
        <v/>
      </c>
      <c r="L136" s="981" t="str">
        <f>IF(L$17=FALSE,"",GasData(GasAnalyser,'Horiba Data'!AA129,'Testo, JUM &amp; MRU Data'!H130,'Thermo Data'!I129,'Testo, JUM &amp; MRU Data'!T130,GDF))</f>
        <v/>
      </c>
      <c r="M136" s="981" t="str">
        <f>IF(L136="","",Conc2(L136,L$9,MolVol,L$21,L$20,M$21,M$20))</f>
        <v/>
      </c>
      <c r="N136" s="981" t="str">
        <f>IF(N$17=FALSE,"",GasData(GasAnalyser,'Horiba Data'!AE129,'Testo, JUM &amp; MRU Data'!I130,'Thermo Data'!J129,'Testo, JUM &amp; MRU Data'!S130,GDF))</f>
        <v/>
      </c>
      <c r="O136" s="981" t="str">
        <f>IF(N136="","",Conc2(N136,N$9,MolVol,N$21,N$20,O$21,O$20))</f>
        <v/>
      </c>
      <c r="P136" s="981" t="str">
        <f>IF(P$17=FALSE,"",GasData(GasAnalyser,'Horiba Data'!AI129,'Testo, JUM &amp; MRU Data'!J130,'Thermo Data'!K129,'Testo, JUM &amp; MRU Data'!R130,GDF))</f>
        <v/>
      </c>
      <c r="Q136" s="981" t="str">
        <f>IF(P136="","",Conc2(P136,P$9,MolVol,P$21,P$20,Q$21,Q$20))</f>
        <v/>
      </c>
      <c r="R136" s="981" t="str">
        <f>IF(R$17=FALSE,"",JUMData('Testo, JUM &amp; MRU Data'!M130,$R$7))</f>
        <v/>
      </c>
      <c r="S136" s="982" t="str">
        <f>IF(R136="","",Conc2(R136,R$9,MolVol,R$21,R$20,S$21,S$20)/(1-Bws))</f>
        <v/>
      </c>
      <c r="T136" s="712"/>
      <c r="AR136" s="334"/>
      <c r="AS136" s="334"/>
      <c r="AT136" s="48"/>
      <c r="AU136" s="48"/>
      <c r="AV136" s="153"/>
      <c r="AW136" s="153"/>
      <c r="AX136" s="153"/>
      <c r="AY136" s="153"/>
      <c r="AZ136" s="153"/>
      <c r="BA136" s="153"/>
      <c r="BB136" s="153"/>
      <c r="BC136" s="153"/>
      <c r="BD136" s="153"/>
      <c r="BE136" s="153"/>
      <c r="BF136" s="153"/>
      <c r="BG136" s="153"/>
      <c r="BH136" s="153"/>
      <c r="BI136" s="153"/>
      <c r="BJ136" s="153"/>
      <c r="BK136" s="153"/>
      <c r="BL136" s="153"/>
      <c r="BM136" s="153"/>
      <c r="BN136" s="153"/>
      <c r="BO136" s="153"/>
      <c r="BP136" s="153"/>
      <c r="BQ136" s="153"/>
      <c r="BR136" s="153"/>
      <c r="BS136" s="153"/>
      <c r="BT136" s="153"/>
      <c r="BU136" s="153"/>
      <c r="BV136" s="153"/>
      <c r="BW136" s="153"/>
      <c r="BX136" s="153"/>
      <c r="BY136" s="153"/>
      <c r="BZ136" s="153"/>
      <c r="CA136" s="153"/>
      <c r="CB136" s="153"/>
      <c r="CC136" s="153"/>
      <c r="CD136" s="153"/>
      <c r="CE136" s="153"/>
      <c r="CF136" s="153"/>
      <c r="CG136" s="153"/>
      <c r="CH136" s="153"/>
      <c r="CI136" s="153"/>
      <c r="CJ136" s="153"/>
      <c r="CK136" s="153"/>
      <c r="CL136" s="153"/>
      <c r="CM136" s="153"/>
      <c r="CN136" s="153"/>
      <c r="CO136" s="153"/>
      <c r="CP136" s="153"/>
      <c r="CQ136" s="153"/>
      <c r="CR136" s="153"/>
      <c r="CS136" s="153"/>
      <c r="CT136" s="153"/>
      <c r="CU136" s="153"/>
      <c r="CV136" s="153"/>
      <c r="CW136" s="153"/>
      <c r="CX136" s="153"/>
      <c r="CY136" s="153"/>
      <c r="CZ136" s="153"/>
      <c r="DA136" s="153"/>
      <c r="DB136" s="153"/>
      <c r="DC136" s="153"/>
      <c r="DD136" s="153"/>
      <c r="DE136" s="153"/>
      <c r="DF136" s="153"/>
      <c r="DG136" s="153"/>
      <c r="DH136" s="153"/>
      <c r="DI136" s="153"/>
      <c r="DJ136" s="153"/>
      <c r="DK136" s="153"/>
      <c r="DL136" s="153"/>
      <c r="DM136" s="153"/>
      <c r="DN136" s="153"/>
      <c r="DO136" s="153"/>
      <c r="DP136" s="153"/>
      <c r="DQ136" s="153"/>
      <c r="DR136" s="153"/>
      <c r="DS136" s="153"/>
      <c r="DT136" s="153"/>
      <c r="DU136" s="153"/>
      <c r="DV136" s="153"/>
      <c r="DW136" s="153"/>
      <c r="DX136" s="153"/>
      <c r="DY136" s="153"/>
      <c r="DZ136" s="153"/>
      <c r="EA136" s="153"/>
      <c r="EB136" s="153"/>
      <c r="EC136" s="153"/>
      <c r="ED136" s="153"/>
      <c r="EE136" s="153"/>
      <c r="EF136" s="153"/>
      <c r="EG136" s="153"/>
      <c r="EH136" s="153"/>
      <c r="EI136" s="153"/>
      <c r="EJ136" s="153"/>
      <c r="EK136" s="153"/>
      <c r="EL136" s="153"/>
      <c r="EM136" s="153"/>
    </row>
    <row r="137" spans="1:143" s="107" customFormat="1" ht="10.5" hidden="1" customHeight="1" outlineLevel="1">
      <c r="A137" s="1548">
        <v>112</v>
      </c>
      <c r="B137" s="1560" t="str">
        <f t="shared" si="3"/>
        <v/>
      </c>
      <c r="C137" s="161" t="str">
        <f>GasTime(GasAnalyser,'Horiba Data'!F130,'Horiba Data'!G130,'Testo, JUM &amp; MRU Data'!A131,'Thermo Data'!B130,HourOffset)</f>
        <v/>
      </c>
      <c r="D137" s="981" t="str">
        <f>IF(D$17=FALSE,"",GasData(GasAnalyser,'Horiba Data'!S130,'Testo, JUM &amp; MRU Data'!D131,'Thermo Data'!E130,'Testo, JUM &amp; MRU Data'!U131,GDF))</f>
        <v/>
      </c>
      <c r="E137" s="981" t="str">
        <f>IF(D137="","",Conc2(D137,D$9,MolVol,D$21,D$20,E$21,E$20))</f>
        <v/>
      </c>
      <c r="F137" s="981" t="str">
        <f>IF(F$17=FALSE,"",GasData(GasAnalyser,'Horiba Data'!AQ130,'Testo, JUM &amp; MRU Data'!E131,'Thermo Data'!F130,'Testo, JUM &amp; MRU Data'!V131,GDF))</f>
        <v/>
      </c>
      <c r="G137" s="981" t="str">
        <f>IF(F137="","",Conc2(F137,F$9,MolVol,F$21,F$20,G$21,G$20))</f>
        <v/>
      </c>
      <c r="H137" s="981" t="str">
        <f>IF(D$17=FALSE,"",IF(F$17=FALSE,"",GasData(GasAnalyser,'Horiba Data'!W130,'Testo, JUM &amp; MRU Data'!F131,'Thermo Data'!G130,'Testo, JUM &amp; MRU Data'!Y131,GDF)))</f>
        <v/>
      </c>
      <c r="I137" s="981" t="str">
        <f>IF(H137="","",Conc2(H137,H$9,MolVol,H$21,H$20,I$21,I$20))</f>
        <v/>
      </c>
      <c r="J137" s="981" t="str">
        <f>IF(J$17=FALSE,"",GasData(GasAnalyser,'Horiba Data'!AM130,'Testo, JUM &amp; MRU Data'!G131,'Thermo Data'!H130,'Testo, JUM &amp; MRU Data'!W131,GDF))</f>
        <v/>
      </c>
      <c r="K137" s="981" t="str">
        <f>IF(J137="","",Conc2(J137,J$9,MolVol,J$21,J$20,K$21,K$20))</f>
        <v/>
      </c>
      <c r="L137" s="981" t="str">
        <f>IF(L$17=FALSE,"",GasData(GasAnalyser,'Horiba Data'!AA130,'Testo, JUM &amp; MRU Data'!H131,'Thermo Data'!I130,'Testo, JUM &amp; MRU Data'!T131,GDF))</f>
        <v/>
      </c>
      <c r="M137" s="981" t="str">
        <f>IF(L137="","",Conc2(L137,L$9,MolVol,L$21,L$20,M$21,M$20))</f>
        <v/>
      </c>
      <c r="N137" s="981" t="str">
        <f>IF(N$17=FALSE,"",GasData(GasAnalyser,'Horiba Data'!AE130,'Testo, JUM &amp; MRU Data'!I131,'Thermo Data'!J130,'Testo, JUM &amp; MRU Data'!S131,GDF))</f>
        <v/>
      </c>
      <c r="O137" s="981" t="str">
        <f>IF(N137="","",Conc2(N137,N$9,MolVol,N$21,N$20,O$21,O$20))</f>
        <v/>
      </c>
      <c r="P137" s="981" t="str">
        <f>IF(P$17=FALSE,"",GasData(GasAnalyser,'Horiba Data'!AI130,'Testo, JUM &amp; MRU Data'!J131,'Thermo Data'!K130,'Testo, JUM &amp; MRU Data'!R131,GDF))</f>
        <v/>
      </c>
      <c r="Q137" s="981" t="str">
        <f>IF(P137="","",Conc2(P137,P$9,MolVol,P$21,P$20,Q$21,Q$20))</f>
        <v/>
      </c>
      <c r="R137" s="981" t="str">
        <f>IF(R$17=FALSE,"",JUMData('Testo, JUM &amp; MRU Data'!M131,$R$7))</f>
        <v/>
      </c>
      <c r="S137" s="982" t="str">
        <f>IF(R137="","",Conc2(R137,R$9,MolVol,R$21,R$20,S$21,S$20)/(1-Bws))</f>
        <v/>
      </c>
      <c r="T137" s="712"/>
      <c r="AR137" s="334"/>
      <c r="AS137" s="334"/>
      <c r="AT137" s="48"/>
      <c r="AU137" s="48"/>
      <c r="AV137" s="153"/>
      <c r="AW137" s="153"/>
      <c r="AX137" s="153"/>
      <c r="AY137" s="153"/>
      <c r="AZ137" s="153"/>
      <c r="BA137" s="153"/>
      <c r="BB137" s="153"/>
      <c r="BC137" s="153"/>
      <c r="BD137" s="153"/>
      <c r="BE137" s="153"/>
      <c r="BF137" s="153"/>
      <c r="BG137" s="153"/>
      <c r="BH137" s="153"/>
      <c r="BI137" s="153"/>
      <c r="BJ137" s="153"/>
      <c r="BK137" s="153"/>
      <c r="BL137" s="153"/>
      <c r="BM137" s="153"/>
      <c r="BN137" s="153"/>
      <c r="BO137" s="153"/>
      <c r="BP137" s="153"/>
      <c r="BQ137" s="153"/>
      <c r="BR137" s="153"/>
      <c r="BS137" s="153"/>
      <c r="BT137" s="153"/>
      <c r="BU137" s="153"/>
      <c r="BV137" s="153"/>
      <c r="BW137" s="153"/>
      <c r="BX137" s="153"/>
      <c r="BY137" s="153"/>
      <c r="BZ137" s="153"/>
      <c r="CA137" s="153"/>
      <c r="CB137" s="153"/>
      <c r="CC137" s="153"/>
      <c r="CD137" s="153"/>
      <c r="CE137" s="153"/>
      <c r="CF137" s="153"/>
      <c r="CG137" s="153"/>
      <c r="CH137" s="153"/>
      <c r="CI137" s="153"/>
      <c r="CJ137" s="153"/>
      <c r="CK137" s="153"/>
      <c r="CL137" s="153"/>
      <c r="CM137" s="153"/>
      <c r="CN137" s="153"/>
      <c r="CO137" s="153"/>
      <c r="CP137" s="153"/>
      <c r="CQ137" s="153"/>
      <c r="CR137" s="153"/>
      <c r="CS137" s="153"/>
      <c r="CT137" s="153"/>
      <c r="CU137" s="153"/>
      <c r="CV137" s="153"/>
      <c r="CW137" s="153"/>
      <c r="CX137" s="153"/>
      <c r="CY137" s="153"/>
      <c r="CZ137" s="153"/>
      <c r="DA137" s="153"/>
      <c r="DB137" s="153"/>
      <c r="DC137" s="153"/>
      <c r="DD137" s="153"/>
      <c r="DE137" s="153"/>
      <c r="DF137" s="153"/>
      <c r="DG137" s="153"/>
      <c r="DH137" s="153"/>
      <c r="DI137" s="153"/>
      <c r="DJ137" s="153"/>
      <c r="DK137" s="153"/>
      <c r="DL137" s="153"/>
      <c r="DM137" s="153"/>
      <c r="DN137" s="153"/>
      <c r="DO137" s="153"/>
      <c r="DP137" s="153"/>
      <c r="DQ137" s="153"/>
      <c r="DR137" s="153"/>
      <c r="DS137" s="153"/>
      <c r="DT137" s="153"/>
      <c r="DU137" s="153"/>
      <c r="DV137" s="153"/>
      <c r="DW137" s="153"/>
      <c r="DX137" s="153"/>
      <c r="DY137" s="153"/>
      <c r="DZ137" s="153"/>
      <c r="EA137" s="153"/>
      <c r="EB137" s="153"/>
      <c r="EC137" s="153"/>
      <c r="ED137" s="153"/>
      <c r="EE137" s="153"/>
      <c r="EF137" s="153"/>
      <c r="EG137" s="153"/>
      <c r="EH137" s="153"/>
      <c r="EI137" s="153"/>
      <c r="EJ137" s="153"/>
      <c r="EK137" s="153"/>
      <c r="EL137" s="153"/>
      <c r="EM137" s="153"/>
    </row>
    <row r="138" spans="1:143" s="107" customFormat="1" ht="10.5" hidden="1" customHeight="1" outlineLevel="1">
      <c r="A138" s="1548">
        <v>113</v>
      </c>
      <c r="B138" s="1560" t="str">
        <f t="shared" si="3"/>
        <v/>
      </c>
      <c r="C138" s="161" t="str">
        <f>GasTime(GasAnalyser,'Horiba Data'!F131,'Horiba Data'!G131,'Testo, JUM &amp; MRU Data'!A132,'Thermo Data'!B131,HourOffset)</f>
        <v/>
      </c>
      <c r="D138" s="981" t="str">
        <f>IF(D$17=FALSE,"",GasData(GasAnalyser,'Horiba Data'!S131,'Testo, JUM &amp; MRU Data'!D132,'Thermo Data'!E131,'Testo, JUM &amp; MRU Data'!U132,GDF))</f>
        <v/>
      </c>
      <c r="E138" s="981" t="str">
        <f>IF(D138="","",Conc2(D138,D$9,MolVol,D$21,D$20,E$21,E$20))</f>
        <v/>
      </c>
      <c r="F138" s="981" t="str">
        <f>IF(F$17=FALSE,"",GasData(GasAnalyser,'Horiba Data'!AQ131,'Testo, JUM &amp; MRU Data'!E132,'Thermo Data'!F131,'Testo, JUM &amp; MRU Data'!V132,GDF))</f>
        <v/>
      </c>
      <c r="G138" s="981" t="str">
        <f>IF(F138="","",Conc2(F138,F$9,MolVol,F$21,F$20,G$21,G$20))</f>
        <v/>
      </c>
      <c r="H138" s="981" t="str">
        <f>IF(D$17=FALSE,"",IF(F$17=FALSE,"",GasData(GasAnalyser,'Horiba Data'!W131,'Testo, JUM &amp; MRU Data'!F132,'Thermo Data'!G131,'Testo, JUM &amp; MRU Data'!Y132,GDF)))</f>
        <v/>
      </c>
      <c r="I138" s="981" t="str">
        <f>IF(H138="","",Conc2(H138,H$9,MolVol,H$21,H$20,I$21,I$20))</f>
        <v/>
      </c>
      <c r="J138" s="981" t="str">
        <f>IF(J$17=FALSE,"",GasData(GasAnalyser,'Horiba Data'!AM131,'Testo, JUM &amp; MRU Data'!G132,'Thermo Data'!H131,'Testo, JUM &amp; MRU Data'!W132,GDF))</f>
        <v/>
      </c>
      <c r="K138" s="981" t="str">
        <f>IF(J138="","",Conc2(J138,J$9,MolVol,J$21,J$20,K$21,K$20))</f>
        <v/>
      </c>
      <c r="L138" s="981" t="str">
        <f>IF(L$17=FALSE,"",GasData(GasAnalyser,'Horiba Data'!AA131,'Testo, JUM &amp; MRU Data'!H132,'Thermo Data'!I131,'Testo, JUM &amp; MRU Data'!T132,GDF))</f>
        <v/>
      </c>
      <c r="M138" s="981" t="str">
        <f>IF(L138="","",Conc2(L138,L$9,MolVol,L$21,L$20,M$21,M$20))</f>
        <v/>
      </c>
      <c r="N138" s="981" t="str">
        <f>IF(N$17=FALSE,"",GasData(GasAnalyser,'Horiba Data'!AE131,'Testo, JUM &amp; MRU Data'!I132,'Thermo Data'!J131,'Testo, JUM &amp; MRU Data'!S132,GDF))</f>
        <v/>
      </c>
      <c r="O138" s="981" t="str">
        <f>IF(N138="","",Conc2(N138,N$9,MolVol,N$21,N$20,O$21,O$20))</f>
        <v/>
      </c>
      <c r="P138" s="981" t="str">
        <f>IF(P$17=FALSE,"",GasData(GasAnalyser,'Horiba Data'!AI131,'Testo, JUM &amp; MRU Data'!J132,'Thermo Data'!K131,'Testo, JUM &amp; MRU Data'!R132,GDF))</f>
        <v/>
      </c>
      <c r="Q138" s="981" t="str">
        <f>IF(P138="","",Conc2(P138,P$9,MolVol,P$21,P$20,Q$21,Q$20))</f>
        <v/>
      </c>
      <c r="R138" s="981" t="str">
        <f>IF(R$17=FALSE,"",JUMData('Testo, JUM &amp; MRU Data'!M132,$R$7))</f>
        <v/>
      </c>
      <c r="S138" s="982" t="str">
        <f>IF(R138="","",Conc2(R138,R$9,MolVol,R$21,R$20,S$21,S$20)/(1-Bws))</f>
        <v/>
      </c>
      <c r="T138" s="712"/>
      <c r="AR138" s="334"/>
      <c r="AS138" s="334"/>
      <c r="AT138" s="48"/>
      <c r="AU138" s="48"/>
      <c r="AV138" s="153"/>
      <c r="AW138" s="153"/>
      <c r="AX138" s="153"/>
      <c r="AY138" s="153"/>
      <c r="AZ138" s="153"/>
      <c r="BA138" s="153"/>
      <c r="BB138" s="153"/>
      <c r="BC138" s="153"/>
      <c r="BD138" s="153"/>
      <c r="BE138" s="153"/>
      <c r="BF138" s="153"/>
      <c r="BG138" s="153"/>
      <c r="BH138" s="153"/>
      <c r="BI138" s="153"/>
      <c r="BJ138" s="153"/>
      <c r="BK138" s="153"/>
      <c r="BL138" s="153"/>
      <c r="BM138" s="153"/>
      <c r="BN138" s="153"/>
      <c r="BO138" s="153"/>
      <c r="BP138" s="153"/>
      <c r="BQ138" s="153"/>
      <c r="BR138" s="153"/>
      <c r="BS138" s="153"/>
      <c r="BT138" s="153"/>
      <c r="BU138" s="153"/>
      <c r="BV138" s="153"/>
      <c r="BW138" s="153"/>
      <c r="BX138" s="153"/>
      <c r="BY138" s="153"/>
      <c r="BZ138" s="153"/>
      <c r="CA138" s="153"/>
      <c r="CB138" s="153"/>
      <c r="CC138" s="153"/>
      <c r="CD138" s="153"/>
      <c r="CE138" s="153"/>
      <c r="CF138" s="153"/>
      <c r="CG138" s="153"/>
      <c r="CH138" s="153"/>
      <c r="CI138" s="153"/>
      <c r="CJ138" s="153"/>
      <c r="CK138" s="153"/>
      <c r="CL138" s="153"/>
      <c r="CM138" s="153"/>
      <c r="CN138" s="153"/>
      <c r="CO138" s="153"/>
      <c r="CP138" s="153"/>
      <c r="CQ138" s="153"/>
      <c r="CR138" s="153"/>
      <c r="CS138" s="153"/>
      <c r="CT138" s="153"/>
      <c r="CU138" s="153"/>
      <c r="CV138" s="153"/>
      <c r="CW138" s="153"/>
      <c r="CX138" s="153"/>
      <c r="CY138" s="153"/>
      <c r="CZ138" s="153"/>
      <c r="DA138" s="153"/>
      <c r="DB138" s="153"/>
      <c r="DC138" s="153"/>
      <c r="DD138" s="153"/>
      <c r="DE138" s="153"/>
      <c r="DF138" s="153"/>
      <c r="DG138" s="153"/>
      <c r="DH138" s="153"/>
      <c r="DI138" s="153"/>
      <c r="DJ138" s="153"/>
      <c r="DK138" s="153"/>
      <c r="DL138" s="153"/>
      <c r="DM138" s="153"/>
      <c r="DN138" s="153"/>
      <c r="DO138" s="153"/>
      <c r="DP138" s="153"/>
      <c r="DQ138" s="153"/>
      <c r="DR138" s="153"/>
      <c r="DS138" s="153"/>
      <c r="DT138" s="153"/>
      <c r="DU138" s="153"/>
      <c r="DV138" s="153"/>
      <c r="DW138" s="153"/>
      <c r="DX138" s="153"/>
      <c r="DY138" s="153"/>
      <c r="DZ138" s="153"/>
      <c r="EA138" s="153"/>
      <c r="EB138" s="153"/>
      <c r="EC138" s="153"/>
      <c r="ED138" s="153"/>
      <c r="EE138" s="153"/>
      <c r="EF138" s="153"/>
      <c r="EG138" s="153"/>
      <c r="EH138" s="153"/>
      <c r="EI138" s="153"/>
      <c r="EJ138" s="153"/>
      <c r="EK138" s="153"/>
      <c r="EL138" s="153"/>
      <c r="EM138" s="153"/>
    </row>
    <row r="139" spans="1:143" s="107" customFormat="1" ht="10.5" hidden="1" customHeight="1" outlineLevel="1">
      <c r="A139" s="1548">
        <v>114</v>
      </c>
      <c r="B139" s="1560" t="str">
        <f t="shared" si="3"/>
        <v/>
      </c>
      <c r="C139" s="161" t="str">
        <f>GasTime(GasAnalyser,'Horiba Data'!F132,'Horiba Data'!G132,'Testo, JUM &amp; MRU Data'!A133,'Thermo Data'!B132,HourOffset)</f>
        <v/>
      </c>
      <c r="D139" s="981" t="str">
        <f>IF(D$17=FALSE,"",GasData(GasAnalyser,'Horiba Data'!S132,'Testo, JUM &amp; MRU Data'!D133,'Thermo Data'!E132,'Testo, JUM &amp; MRU Data'!U133,GDF))</f>
        <v/>
      </c>
      <c r="E139" s="981" t="str">
        <f>IF(D139="","",Conc2(D139,D$9,MolVol,D$21,D$20,E$21,E$20))</f>
        <v/>
      </c>
      <c r="F139" s="981" t="str">
        <f>IF(F$17=FALSE,"",GasData(GasAnalyser,'Horiba Data'!AQ132,'Testo, JUM &amp; MRU Data'!E133,'Thermo Data'!F132,'Testo, JUM &amp; MRU Data'!V133,GDF))</f>
        <v/>
      </c>
      <c r="G139" s="981" t="str">
        <f>IF(F139="","",Conc2(F139,F$9,MolVol,F$21,F$20,G$21,G$20))</f>
        <v/>
      </c>
      <c r="H139" s="981" t="str">
        <f>IF(D$17=FALSE,"",IF(F$17=FALSE,"",GasData(GasAnalyser,'Horiba Data'!W132,'Testo, JUM &amp; MRU Data'!F133,'Thermo Data'!G132,'Testo, JUM &amp; MRU Data'!Y133,GDF)))</f>
        <v/>
      </c>
      <c r="I139" s="981" t="str">
        <f>IF(H139="","",Conc2(H139,H$9,MolVol,H$21,H$20,I$21,I$20))</f>
        <v/>
      </c>
      <c r="J139" s="981" t="str">
        <f>IF(J$17=FALSE,"",GasData(GasAnalyser,'Horiba Data'!AM132,'Testo, JUM &amp; MRU Data'!G133,'Thermo Data'!H132,'Testo, JUM &amp; MRU Data'!W133,GDF))</f>
        <v/>
      </c>
      <c r="K139" s="981" t="str">
        <f>IF(J139="","",Conc2(J139,J$9,MolVol,J$21,J$20,K$21,K$20))</f>
        <v/>
      </c>
      <c r="L139" s="981" t="str">
        <f>IF(L$17=FALSE,"",GasData(GasAnalyser,'Horiba Data'!AA132,'Testo, JUM &amp; MRU Data'!H133,'Thermo Data'!I132,'Testo, JUM &amp; MRU Data'!T133,GDF))</f>
        <v/>
      </c>
      <c r="M139" s="981" t="str">
        <f>IF(L139="","",Conc2(L139,L$9,MolVol,L$21,L$20,M$21,M$20))</f>
        <v/>
      </c>
      <c r="N139" s="981" t="str">
        <f>IF(N$17=FALSE,"",GasData(GasAnalyser,'Horiba Data'!AE132,'Testo, JUM &amp; MRU Data'!I133,'Thermo Data'!J132,'Testo, JUM &amp; MRU Data'!S133,GDF))</f>
        <v/>
      </c>
      <c r="O139" s="981" t="str">
        <f>IF(N139="","",Conc2(N139,N$9,MolVol,N$21,N$20,O$21,O$20))</f>
        <v/>
      </c>
      <c r="P139" s="981" t="str">
        <f>IF(P$17=FALSE,"",GasData(GasAnalyser,'Horiba Data'!AI132,'Testo, JUM &amp; MRU Data'!J133,'Thermo Data'!K132,'Testo, JUM &amp; MRU Data'!R133,GDF))</f>
        <v/>
      </c>
      <c r="Q139" s="981" t="str">
        <f>IF(P139="","",Conc2(P139,P$9,MolVol,P$21,P$20,Q$21,Q$20))</f>
        <v/>
      </c>
      <c r="R139" s="981" t="str">
        <f>IF(R$17=FALSE,"",JUMData('Testo, JUM &amp; MRU Data'!M133,$R$7))</f>
        <v/>
      </c>
      <c r="S139" s="982" t="str">
        <f>IF(R139="","",Conc2(R139,R$9,MolVol,R$21,R$20,S$21,S$20)/(1-Bws))</f>
        <v/>
      </c>
      <c r="T139" s="712"/>
      <c r="AR139" s="334"/>
      <c r="AS139" s="334"/>
      <c r="AT139" s="48"/>
      <c r="AU139" s="48"/>
      <c r="AV139" s="153"/>
      <c r="AW139" s="153"/>
      <c r="AX139" s="153"/>
      <c r="AY139" s="153"/>
      <c r="AZ139" s="153"/>
      <c r="BA139" s="153"/>
      <c r="BB139" s="153"/>
      <c r="BC139" s="153"/>
      <c r="BD139" s="153"/>
      <c r="BE139" s="153"/>
      <c r="BF139" s="153"/>
      <c r="BG139" s="153"/>
      <c r="BH139" s="153"/>
      <c r="BI139" s="153"/>
      <c r="BJ139" s="153"/>
      <c r="BK139" s="153"/>
      <c r="BL139" s="153"/>
      <c r="BM139" s="153"/>
      <c r="BN139" s="153"/>
      <c r="BO139" s="153"/>
      <c r="BP139" s="153"/>
      <c r="BQ139" s="153"/>
      <c r="BR139" s="153"/>
      <c r="BS139" s="153"/>
      <c r="BT139" s="153"/>
      <c r="BU139" s="153"/>
      <c r="BV139" s="153"/>
      <c r="BW139" s="153"/>
      <c r="BX139" s="153"/>
      <c r="BY139" s="153"/>
      <c r="BZ139" s="153"/>
      <c r="CA139" s="153"/>
      <c r="CB139" s="153"/>
      <c r="CC139" s="153"/>
      <c r="CD139" s="153"/>
      <c r="CE139" s="153"/>
      <c r="CF139" s="153"/>
      <c r="CG139" s="153"/>
      <c r="CH139" s="153"/>
      <c r="CI139" s="153"/>
      <c r="CJ139" s="153"/>
      <c r="CK139" s="153"/>
      <c r="CL139" s="153"/>
      <c r="CM139" s="153"/>
      <c r="CN139" s="153"/>
      <c r="CO139" s="153"/>
      <c r="CP139" s="153"/>
      <c r="CQ139" s="153"/>
      <c r="CR139" s="153"/>
      <c r="CS139" s="153"/>
      <c r="CT139" s="153"/>
      <c r="CU139" s="153"/>
      <c r="CV139" s="153"/>
      <c r="CW139" s="153"/>
      <c r="CX139" s="153"/>
      <c r="CY139" s="153"/>
      <c r="CZ139" s="153"/>
      <c r="DA139" s="153"/>
      <c r="DB139" s="153"/>
      <c r="DC139" s="153"/>
      <c r="DD139" s="153"/>
      <c r="DE139" s="153"/>
      <c r="DF139" s="153"/>
      <c r="DG139" s="153"/>
      <c r="DH139" s="153"/>
      <c r="DI139" s="153"/>
      <c r="DJ139" s="153"/>
      <c r="DK139" s="153"/>
      <c r="DL139" s="153"/>
      <c r="DM139" s="153"/>
      <c r="DN139" s="153"/>
      <c r="DO139" s="153"/>
      <c r="DP139" s="153"/>
      <c r="DQ139" s="153"/>
      <c r="DR139" s="153"/>
      <c r="DS139" s="153"/>
      <c r="DT139" s="153"/>
      <c r="DU139" s="153"/>
      <c r="DV139" s="153"/>
      <c r="DW139" s="153"/>
      <c r="DX139" s="153"/>
      <c r="DY139" s="153"/>
      <c r="DZ139" s="153"/>
      <c r="EA139" s="153"/>
      <c r="EB139" s="153"/>
      <c r="EC139" s="153"/>
      <c r="ED139" s="153"/>
      <c r="EE139" s="153"/>
      <c r="EF139" s="153"/>
      <c r="EG139" s="153"/>
      <c r="EH139" s="153"/>
      <c r="EI139" s="153"/>
      <c r="EJ139" s="153"/>
      <c r="EK139" s="153"/>
      <c r="EL139" s="153"/>
      <c r="EM139" s="153"/>
    </row>
    <row r="140" spans="1:143" s="107" customFormat="1" ht="10.5" hidden="1" customHeight="1" outlineLevel="1">
      <c r="A140" s="1548">
        <v>115</v>
      </c>
      <c r="B140" s="1560" t="str">
        <f t="shared" si="3"/>
        <v/>
      </c>
      <c r="C140" s="161" t="str">
        <f>GasTime(GasAnalyser,'Horiba Data'!F133,'Horiba Data'!G133,'Testo, JUM &amp; MRU Data'!A134,'Thermo Data'!B133,HourOffset)</f>
        <v/>
      </c>
      <c r="D140" s="981" t="str">
        <f>IF(D$17=FALSE,"",GasData(GasAnalyser,'Horiba Data'!S133,'Testo, JUM &amp; MRU Data'!D134,'Thermo Data'!E133,'Testo, JUM &amp; MRU Data'!U134,GDF))</f>
        <v/>
      </c>
      <c r="E140" s="981" t="str">
        <f>IF(D140="","",Conc2(D140,D$9,MolVol,D$21,D$20,E$21,E$20))</f>
        <v/>
      </c>
      <c r="F140" s="981" t="str">
        <f>IF(F$17=FALSE,"",GasData(GasAnalyser,'Horiba Data'!AQ133,'Testo, JUM &amp; MRU Data'!E134,'Thermo Data'!F133,'Testo, JUM &amp; MRU Data'!V134,GDF))</f>
        <v/>
      </c>
      <c r="G140" s="981" t="str">
        <f>IF(F140="","",Conc2(F140,F$9,MolVol,F$21,F$20,G$21,G$20))</f>
        <v/>
      </c>
      <c r="H140" s="981" t="str">
        <f>IF(D$17=FALSE,"",IF(F$17=FALSE,"",GasData(GasAnalyser,'Horiba Data'!W133,'Testo, JUM &amp; MRU Data'!F134,'Thermo Data'!G133,'Testo, JUM &amp; MRU Data'!Y134,GDF)))</f>
        <v/>
      </c>
      <c r="I140" s="981" t="str">
        <f>IF(H140="","",Conc2(H140,H$9,MolVol,H$21,H$20,I$21,I$20))</f>
        <v/>
      </c>
      <c r="J140" s="981" t="str">
        <f>IF(J$17=FALSE,"",GasData(GasAnalyser,'Horiba Data'!AM133,'Testo, JUM &amp; MRU Data'!G134,'Thermo Data'!H133,'Testo, JUM &amp; MRU Data'!W134,GDF))</f>
        <v/>
      </c>
      <c r="K140" s="981" t="str">
        <f>IF(J140="","",Conc2(J140,J$9,MolVol,J$21,J$20,K$21,K$20))</f>
        <v/>
      </c>
      <c r="L140" s="981" t="str">
        <f>IF(L$17=FALSE,"",GasData(GasAnalyser,'Horiba Data'!AA133,'Testo, JUM &amp; MRU Data'!H134,'Thermo Data'!I133,'Testo, JUM &amp; MRU Data'!T134,GDF))</f>
        <v/>
      </c>
      <c r="M140" s="981" t="str">
        <f>IF(L140="","",Conc2(L140,L$9,MolVol,L$21,L$20,M$21,M$20))</f>
        <v/>
      </c>
      <c r="N140" s="981" t="str">
        <f>IF(N$17=FALSE,"",GasData(GasAnalyser,'Horiba Data'!AE133,'Testo, JUM &amp; MRU Data'!I134,'Thermo Data'!J133,'Testo, JUM &amp; MRU Data'!S134,GDF))</f>
        <v/>
      </c>
      <c r="O140" s="981" t="str">
        <f>IF(N140="","",Conc2(N140,N$9,MolVol,N$21,N$20,O$21,O$20))</f>
        <v/>
      </c>
      <c r="P140" s="981" t="str">
        <f>IF(P$17=FALSE,"",GasData(GasAnalyser,'Horiba Data'!AI133,'Testo, JUM &amp; MRU Data'!J134,'Thermo Data'!K133,'Testo, JUM &amp; MRU Data'!R134,GDF))</f>
        <v/>
      </c>
      <c r="Q140" s="981" t="str">
        <f>IF(P140="","",Conc2(P140,P$9,MolVol,P$21,P$20,Q$21,Q$20))</f>
        <v/>
      </c>
      <c r="R140" s="981" t="str">
        <f>IF(R$17=FALSE,"",JUMData('Testo, JUM &amp; MRU Data'!M134,$R$7))</f>
        <v/>
      </c>
      <c r="S140" s="982" t="str">
        <f>IF(R140="","",Conc2(R140,R$9,MolVol,R$21,R$20,S$21,S$20)/(1-Bws))</f>
        <v/>
      </c>
      <c r="T140" s="712"/>
      <c r="AR140" s="334"/>
      <c r="AS140" s="334"/>
      <c r="AT140" s="48"/>
      <c r="AU140" s="48"/>
      <c r="AV140" s="153"/>
      <c r="AW140" s="153"/>
      <c r="AX140" s="153"/>
      <c r="AY140" s="153"/>
      <c r="AZ140" s="153"/>
      <c r="BA140" s="153"/>
      <c r="BB140" s="153"/>
      <c r="BC140" s="153"/>
      <c r="BD140" s="153"/>
      <c r="BE140" s="153"/>
      <c r="BF140" s="153"/>
      <c r="BG140" s="153"/>
      <c r="BH140" s="153"/>
      <c r="BI140" s="153"/>
      <c r="BJ140" s="153"/>
      <c r="BK140" s="153"/>
      <c r="BL140" s="153"/>
      <c r="BM140" s="153"/>
      <c r="BN140" s="153"/>
      <c r="BO140" s="153"/>
      <c r="BP140" s="153"/>
      <c r="BQ140" s="153"/>
      <c r="BR140" s="153"/>
      <c r="BS140" s="153"/>
      <c r="BT140" s="153"/>
      <c r="BU140" s="153"/>
      <c r="BV140" s="153"/>
      <c r="BW140" s="153"/>
      <c r="BX140" s="153"/>
      <c r="BY140" s="153"/>
      <c r="BZ140" s="153"/>
      <c r="CA140" s="153"/>
      <c r="CB140" s="153"/>
      <c r="CC140" s="153"/>
      <c r="CD140" s="153"/>
      <c r="CE140" s="153"/>
      <c r="CF140" s="153"/>
      <c r="CG140" s="153"/>
      <c r="CH140" s="153"/>
      <c r="CI140" s="153"/>
      <c r="CJ140" s="153"/>
      <c r="CK140" s="153"/>
      <c r="CL140" s="153"/>
      <c r="CM140" s="153"/>
      <c r="CN140" s="153"/>
      <c r="CO140" s="153"/>
      <c r="CP140" s="153"/>
      <c r="CQ140" s="153"/>
      <c r="CR140" s="153"/>
      <c r="CS140" s="153"/>
      <c r="CT140" s="153"/>
      <c r="CU140" s="153"/>
      <c r="CV140" s="153"/>
      <c r="CW140" s="153"/>
      <c r="CX140" s="153"/>
      <c r="CY140" s="153"/>
      <c r="CZ140" s="153"/>
      <c r="DA140" s="153"/>
      <c r="DB140" s="153"/>
      <c r="DC140" s="153"/>
      <c r="DD140" s="153"/>
      <c r="DE140" s="153"/>
      <c r="DF140" s="153"/>
      <c r="DG140" s="153"/>
      <c r="DH140" s="153"/>
      <c r="DI140" s="153"/>
      <c r="DJ140" s="153"/>
      <c r="DK140" s="153"/>
      <c r="DL140" s="153"/>
      <c r="DM140" s="153"/>
      <c r="DN140" s="153"/>
      <c r="DO140" s="153"/>
      <c r="DP140" s="153"/>
      <c r="DQ140" s="153"/>
      <c r="DR140" s="153"/>
      <c r="DS140" s="153"/>
      <c r="DT140" s="153"/>
      <c r="DU140" s="153"/>
      <c r="DV140" s="153"/>
      <c r="DW140" s="153"/>
      <c r="DX140" s="153"/>
      <c r="DY140" s="153"/>
      <c r="DZ140" s="153"/>
      <c r="EA140" s="153"/>
      <c r="EB140" s="153"/>
      <c r="EC140" s="153"/>
      <c r="ED140" s="153"/>
      <c r="EE140" s="153"/>
      <c r="EF140" s="153"/>
      <c r="EG140" s="153"/>
      <c r="EH140" s="153"/>
      <c r="EI140" s="153"/>
      <c r="EJ140" s="153"/>
      <c r="EK140" s="153"/>
      <c r="EL140" s="153"/>
      <c r="EM140" s="153"/>
    </row>
    <row r="141" spans="1:143" s="107" customFormat="1" ht="10.5" hidden="1" customHeight="1" outlineLevel="1">
      <c r="A141" s="1548">
        <v>116</v>
      </c>
      <c r="B141" s="1560" t="str">
        <f t="shared" si="3"/>
        <v/>
      </c>
      <c r="C141" s="161" t="str">
        <f>GasTime(GasAnalyser,'Horiba Data'!F134,'Horiba Data'!G134,'Testo, JUM &amp; MRU Data'!A135,'Thermo Data'!B134,HourOffset)</f>
        <v/>
      </c>
      <c r="D141" s="981" t="str">
        <f>IF(D$17=FALSE,"",GasData(GasAnalyser,'Horiba Data'!S134,'Testo, JUM &amp; MRU Data'!D135,'Thermo Data'!E134,'Testo, JUM &amp; MRU Data'!U135,GDF))</f>
        <v/>
      </c>
      <c r="E141" s="981" t="str">
        <f>IF(D141="","",Conc2(D141,D$9,MolVol,D$21,D$20,E$21,E$20))</f>
        <v/>
      </c>
      <c r="F141" s="981" t="str">
        <f>IF(F$17=FALSE,"",GasData(GasAnalyser,'Horiba Data'!AQ134,'Testo, JUM &amp; MRU Data'!E135,'Thermo Data'!F134,'Testo, JUM &amp; MRU Data'!V135,GDF))</f>
        <v/>
      </c>
      <c r="G141" s="981" t="str">
        <f>IF(F141="","",Conc2(F141,F$9,MolVol,F$21,F$20,G$21,G$20))</f>
        <v/>
      </c>
      <c r="H141" s="981" t="str">
        <f>IF(D$17=FALSE,"",IF(F$17=FALSE,"",GasData(GasAnalyser,'Horiba Data'!W134,'Testo, JUM &amp; MRU Data'!F135,'Thermo Data'!G134,'Testo, JUM &amp; MRU Data'!Y135,GDF)))</f>
        <v/>
      </c>
      <c r="I141" s="981" t="str">
        <f>IF(H141="","",Conc2(H141,H$9,MolVol,H$21,H$20,I$21,I$20))</f>
        <v/>
      </c>
      <c r="J141" s="981" t="str">
        <f>IF(J$17=FALSE,"",GasData(GasAnalyser,'Horiba Data'!AM134,'Testo, JUM &amp; MRU Data'!G135,'Thermo Data'!H134,'Testo, JUM &amp; MRU Data'!W135,GDF))</f>
        <v/>
      </c>
      <c r="K141" s="981" t="str">
        <f>IF(J141="","",Conc2(J141,J$9,MolVol,J$21,J$20,K$21,K$20))</f>
        <v/>
      </c>
      <c r="L141" s="981" t="str">
        <f>IF(L$17=FALSE,"",GasData(GasAnalyser,'Horiba Data'!AA134,'Testo, JUM &amp; MRU Data'!H135,'Thermo Data'!I134,'Testo, JUM &amp; MRU Data'!T135,GDF))</f>
        <v/>
      </c>
      <c r="M141" s="981" t="str">
        <f>IF(L141="","",Conc2(L141,L$9,MolVol,L$21,L$20,M$21,M$20))</f>
        <v/>
      </c>
      <c r="N141" s="981" t="str">
        <f>IF(N$17=FALSE,"",GasData(GasAnalyser,'Horiba Data'!AE134,'Testo, JUM &amp; MRU Data'!I135,'Thermo Data'!J134,'Testo, JUM &amp; MRU Data'!S135,GDF))</f>
        <v/>
      </c>
      <c r="O141" s="981" t="str">
        <f>IF(N141="","",Conc2(N141,N$9,MolVol,N$21,N$20,O$21,O$20))</f>
        <v/>
      </c>
      <c r="P141" s="981" t="str">
        <f>IF(P$17=FALSE,"",GasData(GasAnalyser,'Horiba Data'!AI134,'Testo, JUM &amp; MRU Data'!J135,'Thermo Data'!K134,'Testo, JUM &amp; MRU Data'!R135,GDF))</f>
        <v/>
      </c>
      <c r="Q141" s="981" t="str">
        <f>IF(P141="","",Conc2(P141,P$9,MolVol,P$21,P$20,Q$21,Q$20))</f>
        <v/>
      </c>
      <c r="R141" s="981" t="str">
        <f>IF(R$17=FALSE,"",JUMData('Testo, JUM &amp; MRU Data'!M135,$R$7))</f>
        <v/>
      </c>
      <c r="S141" s="982" t="str">
        <f>IF(R141="","",Conc2(R141,R$9,MolVol,R$21,R$20,S$21,S$20)/(1-Bws))</f>
        <v/>
      </c>
      <c r="T141" s="712"/>
      <c r="AR141" s="334"/>
      <c r="AS141" s="334"/>
      <c r="AT141" s="48"/>
      <c r="AU141" s="48"/>
      <c r="AV141" s="153"/>
      <c r="AW141" s="153"/>
      <c r="AX141" s="153"/>
      <c r="AY141" s="153"/>
      <c r="AZ141" s="153"/>
      <c r="BA141" s="153"/>
      <c r="BB141" s="153"/>
      <c r="BC141" s="153"/>
      <c r="BD141" s="153"/>
      <c r="BE141" s="153"/>
      <c r="BF141" s="153"/>
      <c r="BG141" s="153"/>
      <c r="BH141" s="153"/>
      <c r="BI141" s="153"/>
      <c r="BJ141" s="153"/>
      <c r="BK141" s="153"/>
      <c r="BL141" s="153"/>
      <c r="BM141" s="153"/>
      <c r="BN141" s="153"/>
      <c r="BO141" s="153"/>
      <c r="BP141" s="153"/>
      <c r="BQ141" s="153"/>
      <c r="BR141" s="153"/>
      <c r="BS141" s="153"/>
      <c r="BT141" s="153"/>
      <c r="BU141" s="153"/>
      <c r="BV141" s="153"/>
      <c r="BW141" s="153"/>
      <c r="BX141" s="153"/>
      <c r="BY141" s="153"/>
      <c r="BZ141" s="153"/>
      <c r="CA141" s="153"/>
      <c r="CB141" s="153"/>
      <c r="CC141" s="153"/>
      <c r="CD141" s="153"/>
      <c r="CE141" s="153"/>
      <c r="CF141" s="153"/>
      <c r="CG141" s="153"/>
      <c r="CH141" s="153"/>
      <c r="CI141" s="153"/>
      <c r="CJ141" s="153"/>
      <c r="CK141" s="153"/>
      <c r="CL141" s="153"/>
      <c r="CM141" s="153"/>
      <c r="CN141" s="153"/>
      <c r="CO141" s="153"/>
      <c r="CP141" s="153"/>
      <c r="CQ141" s="153"/>
      <c r="CR141" s="153"/>
      <c r="CS141" s="153"/>
      <c r="CT141" s="153"/>
      <c r="CU141" s="153"/>
      <c r="CV141" s="153"/>
      <c r="CW141" s="153"/>
      <c r="CX141" s="153"/>
      <c r="CY141" s="153"/>
      <c r="CZ141" s="153"/>
      <c r="DA141" s="153"/>
      <c r="DB141" s="153"/>
      <c r="DC141" s="153"/>
      <c r="DD141" s="153"/>
      <c r="DE141" s="153"/>
      <c r="DF141" s="153"/>
      <c r="DG141" s="153"/>
      <c r="DH141" s="153"/>
      <c r="DI141" s="153"/>
      <c r="DJ141" s="153"/>
      <c r="DK141" s="153"/>
      <c r="DL141" s="153"/>
      <c r="DM141" s="153"/>
      <c r="DN141" s="153"/>
      <c r="DO141" s="153"/>
      <c r="DP141" s="153"/>
      <c r="DQ141" s="153"/>
      <c r="DR141" s="153"/>
      <c r="DS141" s="153"/>
      <c r="DT141" s="153"/>
      <c r="DU141" s="153"/>
      <c r="DV141" s="153"/>
      <c r="DW141" s="153"/>
      <c r="DX141" s="153"/>
      <c r="DY141" s="153"/>
      <c r="DZ141" s="153"/>
      <c r="EA141" s="153"/>
      <c r="EB141" s="153"/>
      <c r="EC141" s="153"/>
      <c r="ED141" s="153"/>
      <c r="EE141" s="153"/>
      <c r="EF141" s="153"/>
      <c r="EG141" s="153"/>
      <c r="EH141" s="153"/>
      <c r="EI141" s="153"/>
      <c r="EJ141" s="153"/>
      <c r="EK141" s="153"/>
      <c r="EL141" s="153"/>
      <c r="EM141" s="153"/>
    </row>
    <row r="142" spans="1:143" s="107" customFormat="1" ht="10.5" hidden="1" customHeight="1" outlineLevel="1">
      <c r="A142" s="1548">
        <v>117</v>
      </c>
      <c r="B142" s="1560" t="str">
        <f t="shared" si="3"/>
        <v/>
      </c>
      <c r="C142" s="161" t="str">
        <f>GasTime(GasAnalyser,'Horiba Data'!F135,'Horiba Data'!G135,'Testo, JUM &amp; MRU Data'!A136,'Thermo Data'!B135,HourOffset)</f>
        <v/>
      </c>
      <c r="D142" s="981" t="str">
        <f>IF(D$17=FALSE,"",GasData(GasAnalyser,'Horiba Data'!S135,'Testo, JUM &amp; MRU Data'!D136,'Thermo Data'!E135,'Testo, JUM &amp; MRU Data'!U136,GDF))</f>
        <v/>
      </c>
      <c r="E142" s="981" t="str">
        <f>IF(D142="","",Conc2(D142,D$9,MolVol,D$21,D$20,E$21,E$20))</f>
        <v/>
      </c>
      <c r="F142" s="981" t="str">
        <f>IF(F$17=FALSE,"",GasData(GasAnalyser,'Horiba Data'!AQ135,'Testo, JUM &amp; MRU Data'!E136,'Thermo Data'!F135,'Testo, JUM &amp; MRU Data'!V136,GDF))</f>
        <v/>
      </c>
      <c r="G142" s="981" t="str">
        <f>IF(F142="","",Conc2(F142,F$9,MolVol,F$21,F$20,G$21,G$20))</f>
        <v/>
      </c>
      <c r="H142" s="981" t="str">
        <f>IF(D$17=FALSE,"",IF(F$17=FALSE,"",GasData(GasAnalyser,'Horiba Data'!W135,'Testo, JUM &amp; MRU Data'!F136,'Thermo Data'!G135,'Testo, JUM &amp; MRU Data'!Y136,GDF)))</f>
        <v/>
      </c>
      <c r="I142" s="981" t="str">
        <f>IF(H142="","",Conc2(H142,H$9,MolVol,H$21,H$20,I$21,I$20))</f>
        <v/>
      </c>
      <c r="J142" s="981" t="str">
        <f>IF(J$17=FALSE,"",GasData(GasAnalyser,'Horiba Data'!AM135,'Testo, JUM &amp; MRU Data'!G136,'Thermo Data'!H135,'Testo, JUM &amp; MRU Data'!W136,GDF))</f>
        <v/>
      </c>
      <c r="K142" s="981" t="str">
        <f>IF(J142="","",Conc2(J142,J$9,MolVol,J$21,J$20,K$21,K$20))</f>
        <v/>
      </c>
      <c r="L142" s="981" t="str">
        <f>IF(L$17=FALSE,"",GasData(GasAnalyser,'Horiba Data'!AA135,'Testo, JUM &amp; MRU Data'!H136,'Thermo Data'!I135,'Testo, JUM &amp; MRU Data'!T136,GDF))</f>
        <v/>
      </c>
      <c r="M142" s="981" t="str">
        <f>IF(L142="","",Conc2(L142,L$9,MolVol,L$21,L$20,M$21,M$20))</f>
        <v/>
      </c>
      <c r="N142" s="981" t="str">
        <f>IF(N$17=FALSE,"",GasData(GasAnalyser,'Horiba Data'!AE135,'Testo, JUM &amp; MRU Data'!I136,'Thermo Data'!J135,'Testo, JUM &amp; MRU Data'!S136,GDF))</f>
        <v/>
      </c>
      <c r="O142" s="981" t="str">
        <f>IF(N142="","",Conc2(N142,N$9,MolVol,N$21,N$20,O$21,O$20))</f>
        <v/>
      </c>
      <c r="P142" s="981" t="str">
        <f>IF(P$17=FALSE,"",GasData(GasAnalyser,'Horiba Data'!AI135,'Testo, JUM &amp; MRU Data'!J136,'Thermo Data'!K135,'Testo, JUM &amp; MRU Data'!R136,GDF))</f>
        <v/>
      </c>
      <c r="Q142" s="981" t="str">
        <f>IF(P142="","",Conc2(P142,P$9,MolVol,P$21,P$20,Q$21,Q$20))</f>
        <v/>
      </c>
      <c r="R142" s="981" t="str">
        <f>IF(R$17=FALSE,"",JUMData('Testo, JUM &amp; MRU Data'!M136,$R$7))</f>
        <v/>
      </c>
      <c r="S142" s="982" t="str">
        <f>IF(R142="","",Conc2(R142,R$9,MolVol,R$21,R$20,S$21,S$20)/(1-Bws))</f>
        <v/>
      </c>
      <c r="T142" s="712"/>
      <c r="AR142" s="334"/>
      <c r="AS142" s="334"/>
      <c r="AT142" s="48"/>
      <c r="AU142" s="48"/>
      <c r="AV142" s="153"/>
      <c r="AW142" s="153"/>
      <c r="AX142" s="153"/>
      <c r="AY142" s="153"/>
      <c r="AZ142" s="153"/>
      <c r="BA142" s="153"/>
      <c r="BB142" s="153"/>
      <c r="BC142" s="153"/>
      <c r="BD142" s="153"/>
      <c r="BE142" s="153"/>
      <c r="BF142" s="153"/>
      <c r="BG142" s="153"/>
      <c r="BH142" s="153"/>
      <c r="BI142" s="153"/>
      <c r="BJ142" s="153"/>
      <c r="BK142" s="153"/>
      <c r="BL142" s="153"/>
      <c r="BM142" s="153"/>
      <c r="BN142" s="153"/>
      <c r="BO142" s="153"/>
      <c r="BP142" s="153"/>
      <c r="BQ142" s="153"/>
      <c r="BR142" s="153"/>
      <c r="BS142" s="153"/>
      <c r="BT142" s="153"/>
      <c r="BU142" s="153"/>
      <c r="BV142" s="153"/>
      <c r="BW142" s="153"/>
      <c r="BX142" s="153"/>
      <c r="BY142" s="153"/>
      <c r="BZ142" s="153"/>
      <c r="CA142" s="153"/>
      <c r="CB142" s="153"/>
      <c r="CC142" s="153"/>
      <c r="CD142" s="153"/>
      <c r="CE142" s="153"/>
      <c r="CF142" s="153"/>
      <c r="CG142" s="153"/>
      <c r="CH142" s="153"/>
      <c r="CI142" s="153"/>
      <c r="CJ142" s="153"/>
      <c r="CK142" s="153"/>
      <c r="CL142" s="153"/>
      <c r="CM142" s="153"/>
      <c r="CN142" s="153"/>
      <c r="CO142" s="153"/>
      <c r="CP142" s="153"/>
      <c r="CQ142" s="153"/>
      <c r="CR142" s="153"/>
      <c r="CS142" s="153"/>
      <c r="CT142" s="153"/>
      <c r="CU142" s="153"/>
      <c r="CV142" s="153"/>
      <c r="CW142" s="153"/>
      <c r="CX142" s="153"/>
      <c r="CY142" s="153"/>
      <c r="CZ142" s="153"/>
      <c r="DA142" s="153"/>
      <c r="DB142" s="153"/>
      <c r="DC142" s="153"/>
      <c r="DD142" s="153"/>
      <c r="DE142" s="153"/>
      <c r="DF142" s="153"/>
      <c r="DG142" s="153"/>
      <c r="DH142" s="153"/>
      <c r="DI142" s="153"/>
      <c r="DJ142" s="153"/>
      <c r="DK142" s="153"/>
      <c r="DL142" s="153"/>
      <c r="DM142" s="153"/>
      <c r="DN142" s="153"/>
      <c r="DO142" s="153"/>
      <c r="DP142" s="153"/>
      <c r="DQ142" s="153"/>
      <c r="DR142" s="153"/>
      <c r="DS142" s="153"/>
      <c r="DT142" s="153"/>
      <c r="DU142" s="153"/>
      <c r="DV142" s="153"/>
      <c r="DW142" s="153"/>
      <c r="DX142" s="153"/>
      <c r="DY142" s="153"/>
      <c r="DZ142" s="153"/>
      <c r="EA142" s="153"/>
      <c r="EB142" s="153"/>
      <c r="EC142" s="153"/>
      <c r="ED142" s="153"/>
      <c r="EE142" s="153"/>
      <c r="EF142" s="153"/>
      <c r="EG142" s="153"/>
      <c r="EH142" s="153"/>
      <c r="EI142" s="153"/>
      <c r="EJ142" s="153"/>
      <c r="EK142" s="153"/>
      <c r="EL142" s="153"/>
      <c r="EM142" s="153"/>
    </row>
    <row r="143" spans="1:143" s="107" customFormat="1" ht="10.5" hidden="1" customHeight="1" outlineLevel="1">
      <c r="A143" s="1548">
        <v>118</v>
      </c>
      <c r="B143" s="1560" t="str">
        <f t="shared" si="3"/>
        <v/>
      </c>
      <c r="C143" s="161" t="str">
        <f>GasTime(GasAnalyser,'Horiba Data'!F136,'Horiba Data'!G136,'Testo, JUM &amp; MRU Data'!A137,'Thermo Data'!B136,HourOffset)</f>
        <v/>
      </c>
      <c r="D143" s="981" t="str">
        <f>IF(D$17=FALSE,"",GasData(GasAnalyser,'Horiba Data'!S136,'Testo, JUM &amp; MRU Data'!D137,'Thermo Data'!E136,'Testo, JUM &amp; MRU Data'!U137,GDF))</f>
        <v/>
      </c>
      <c r="E143" s="981" t="str">
        <f>IF(D143="","",Conc2(D143,D$9,MolVol,D$21,D$20,E$21,E$20))</f>
        <v/>
      </c>
      <c r="F143" s="981" t="str">
        <f>IF(F$17=FALSE,"",GasData(GasAnalyser,'Horiba Data'!AQ136,'Testo, JUM &amp; MRU Data'!E137,'Thermo Data'!F136,'Testo, JUM &amp; MRU Data'!V137,GDF))</f>
        <v/>
      </c>
      <c r="G143" s="981" t="str">
        <f>IF(F143="","",Conc2(F143,F$9,MolVol,F$21,F$20,G$21,G$20))</f>
        <v/>
      </c>
      <c r="H143" s="981" t="str">
        <f>IF(D$17=FALSE,"",IF(F$17=FALSE,"",GasData(GasAnalyser,'Horiba Data'!W136,'Testo, JUM &amp; MRU Data'!F137,'Thermo Data'!G136,'Testo, JUM &amp; MRU Data'!Y137,GDF)))</f>
        <v/>
      </c>
      <c r="I143" s="981" t="str">
        <f>IF(H143="","",Conc2(H143,H$9,MolVol,H$21,H$20,I$21,I$20))</f>
        <v/>
      </c>
      <c r="J143" s="981" t="str">
        <f>IF(J$17=FALSE,"",GasData(GasAnalyser,'Horiba Data'!AM136,'Testo, JUM &amp; MRU Data'!G137,'Thermo Data'!H136,'Testo, JUM &amp; MRU Data'!W137,GDF))</f>
        <v/>
      </c>
      <c r="K143" s="981" t="str">
        <f>IF(J143="","",Conc2(J143,J$9,MolVol,J$21,J$20,K$21,K$20))</f>
        <v/>
      </c>
      <c r="L143" s="981" t="str">
        <f>IF(L$17=FALSE,"",GasData(GasAnalyser,'Horiba Data'!AA136,'Testo, JUM &amp; MRU Data'!H137,'Thermo Data'!I136,'Testo, JUM &amp; MRU Data'!T137,GDF))</f>
        <v/>
      </c>
      <c r="M143" s="981" t="str">
        <f>IF(L143="","",Conc2(L143,L$9,MolVol,L$21,L$20,M$21,M$20))</f>
        <v/>
      </c>
      <c r="N143" s="981" t="str">
        <f>IF(N$17=FALSE,"",GasData(GasAnalyser,'Horiba Data'!AE136,'Testo, JUM &amp; MRU Data'!I137,'Thermo Data'!J136,'Testo, JUM &amp; MRU Data'!S137,GDF))</f>
        <v/>
      </c>
      <c r="O143" s="981" t="str">
        <f>IF(N143="","",Conc2(N143,N$9,MolVol,N$21,N$20,O$21,O$20))</f>
        <v/>
      </c>
      <c r="P143" s="981" t="str">
        <f>IF(P$17=FALSE,"",GasData(GasAnalyser,'Horiba Data'!AI136,'Testo, JUM &amp; MRU Data'!J137,'Thermo Data'!K136,'Testo, JUM &amp; MRU Data'!R137,GDF))</f>
        <v/>
      </c>
      <c r="Q143" s="981" t="str">
        <f>IF(P143="","",Conc2(P143,P$9,MolVol,P$21,P$20,Q$21,Q$20))</f>
        <v/>
      </c>
      <c r="R143" s="981" t="str">
        <f>IF(R$17=FALSE,"",JUMData('Testo, JUM &amp; MRU Data'!M137,$R$7))</f>
        <v/>
      </c>
      <c r="S143" s="982" t="str">
        <f>IF(R143="","",Conc2(R143,R$9,MolVol,R$21,R$20,S$21,S$20)/(1-Bws))</f>
        <v/>
      </c>
      <c r="T143" s="712"/>
      <c r="AR143" s="334"/>
      <c r="AS143" s="334"/>
      <c r="AT143" s="48"/>
      <c r="AU143" s="48"/>
      <c r="AV143" s="153"/>
      <c r="AW143" s="153"/>
      <c r="AX143" s="153"/>
      <c r="AY143" s="153"/>
      <c r="AZ143" s="153"/>
      <c r="BA143" s="153"/>
      <c r="BB143" s="153"/>
      <c r="BC143" s="153"/>
      <c r="BD143" s="153"/>
      <c r="BE143" s="153"/>
      <c r="BF143" s="153"/>
      <c r="BG143" s="153"/>
      <c r="BH143" s="153"/>
      <c r="BI143" s="153"/>
      <c r="BJ143" s="153"/>
      <c r="BK143" s="153"/>
      <c r="BL143" s="153"/>
      <c r="BM143" s="153"/>
      <c r="BN143" s="153"/>
      <c r="BO143" s="153"/>
      <c r="BP143" s="153"/>
      <c r="BQ143" s="153"/>
      <c r="BR143" s="153"/>
      <c r="BS143" s="153"/>
      <c r="BT143" s="153"/>
      <c r="BU143" s="153"/>
      <c r="BV143" s="153"/>
      <c r="BW143" s="153"/>
      <c r="BX143" s="153"/>
      <c r="BY143" s="153"/>
      <c r="BZ143" s="153"/>
      <c r="CA143" s="153"/>
      <c r="CB143" s="153"/>
      <c r="CC143" s="153"/>
      <c r="CD143" s="153"/>
      <c r="CE143" s="153"/>
      <c r="CF143" s="153"/>
      <c r="CG143" s="153"/>
      <c r="CH143" s="153"/>
      <c r="CI143" s="153"/>
      <c r="CJ143" s="153"/>
      <c r="CK143" s="153"/>
      <c r="CL143" s="153"/>
      <c r="CM143" s="153"/>
      <c r="CN143" s="153"/>
      <c r="CO143" s="153"/>
      <c r="CP143" s="153"/>
      <c r="CQ143" s="153"/>
      <c r="CR143" s="153"/>
      <c r="CS143" s="153"/>
      <c r="CT143" s="153"/>
      <c r="CU143" s="153"/>
      <c r="CV143" s="153"/>
      <c r="CW143" s="153"/>
      <c r="CX143" s="153"/>
      <c r="CY143" s="153"/>
      <c r="CZ143" s="153"/>
      <c r="DA143" s="153"/>
      <c r="DB143" s="153"/>
      <c r="DC143" s="153"/>
      <c r="DD143" s="153"/>
      <c r="DE143" s="153"/>
      <c r="DF143" s="153"/>
      <c r="DG143" s="153"/>
      <c r="DH143" s="153"/>
      <c r="DI143" s="153"/>
      <c r="DJ143" s="153"/>
      <c r="DK143" s="153"/>
      <c r="DL143" s="153"/>
      <c r="DM143" s="153"/>
      <c r="DN143" s="153"/>
      <c r="DO143" s="153"/>
      <c r="DP143" s="153"/>
      <c r="DQ143" s="153"/>
      <c r="DR143" s="153"/>
      <c r="DS143" s="153"/>
      <c r="DT143" s="153"/>
      <c r="DU143" s="153"/>
      <c r="DV143" s="153"/>
      <c r="DW143" s="153"/>
      <c r="DX143" s="153"/>
      <c r="DY143" s="153"/>
      <c r="DZ143" s="153"/>
      <c r="EA143" s="153"/>
      <c r="EB143" s="153"/>
      <c r="EC143" s="153"/>
      <c r="ED143" s="153"/>
      <c r="EE143" s="153"/>
      <c r="EF143" s="153"/>
      <c r="EG143" s="153"/>
      <c r="EH143" s="153"/>
      <c r="EI143" s="153"/>
      <c r="EJ143" s="153"/>
      <c r="EK143" s="153"/>
      <c r="EL143" s="153"/>
      <c r="EM143" s="153"/>
    </row>
    <row r="144" spans="1:143" s="107" customFormat="1" ht="10.5" hidden="1" customHeight="1" outlineLevel="1">
      <c r="A144" s="1548">
        <v>119</v>
      </c>
      <c r="B144" s="1560" t="str">
        <f t="shared" si="3"/>
        <v/>
      </c>
      <c r="C144" s="161" t="str">
        <f>GasTime(GasAnalyser,'Horiba Data'!F137,'Horiba Data'!G137,'Testo, JUM &amp; MRU Data'!A138,'Thermo Data'!B137,HourOffset)</f>
        <v/>
      </c>
      <c r="D144" s="981" t="str">
        <f>IF(D$17=FALSE,"",GasData(GasAnalyser,'Horiba Data'!S137,'Testo, JUM &amp; MRU Data'!D138,'Thermo Data'!E137,'Testo, JUM &amp; MRU Data'!U138,GDF))</f>
        <v/>
      </c>
      <c r="E144" s="981" t="str">
        <f>IF(D144="","",Conc2(D144,D$9,MolVol,D$21,D$20,E$21,E$20))</f>
        <v/>
      </c>
      <c r="F144" s="981" t="str">
        <f>IF(F$17=FALSE,"",GasData(GasAnalyser,'Horiba Data'!AQ137,'Testo, JUM &amp; MRU Data'!E138,'Thermo Data'!F137,'Testo, JUM &amp; MRU Data'!V138,GDF))</f>
        <v/>
      </c>
      <c r="G144" s="981" t="str">
        <f>IF(F144="","",Conc2(F144,F$9,MolVol,F$21,F$20,G$21,G$20))</f>
        <v/>
      </c>
      <c r="H144" s="981" t="str">
        <f>IF(D$17=FALSE,"",IF(F$17=FALSE,"",GasData(GasAnalyser,'Horiba Data'!W137,'Testo, JUM &amp; MRU Data'!F138,'Thermo Data'!G137,'Testo, JUM &amp; MRU Data'!Y138,GDF)))</f>
        <v/>
      </c>
      <c r="I144" s="981" t="str">
        <f>IF(H144="","",Conc2(H144,H$9,MolVol,H$21,H$20,I$21,I$20))</f>
        <v/>
      </c>
      <c r="J144" s="981" t="str">
        <f>IF(J$17=FALSE,"",GasData(GasAnalyser,'Horiba Data'!AM137,'Testo, JUM &amp; MRU Data'!G138,'Thermo Data'!H137,'Testo, JUM &amp; MRU Data'!W138,GDF))</f>
        <v/>
      </c>
      <c r="K144" s="981" t="str">
        <f>IF(J144="","",Conc2(J144,J$9,MolVol,J$21,J$20,K$21,K$20))</f>
        <v/>
      </c>
      <c r="L144" s="981" t="str">
        <f>IF(L$17=FALSE,"",GasData(GasAnalyser,'Horiba Data'!AA137,'Testo, JUM &amp; MRU Data'!H138,'Thermo Data'!I137,'Testo, JUM &amp; MRU Data'!T138,GDF))</f>
        <v/>
      </c>
      <c r="M144" s="981" t="str">
        <f>IF(L144="","",Conc2(L144,L$9,MolVol,L$21,L$20,M$21,M$20))</f>
        <v/>
      </c>
      <c r="N144" s="981" t="str">
        <f>IF(N$17=FALSE,"",GasData(GasAnalyser,'Horiba Data'!AE137,'Testo, JUM &amp; MRU Data'!I138,'Thermo Data'!J137,'Testo, JUM &amp; MRU Data'!S138,GDF))</f>
        <v/>
      </c>
      <c r="O144" s="981" t="str">
        <f>IF(N144="","",Conc2(N144,N$9,MolVol,N$21,N$20,O$21,O$20))</f>
        <v/>
      </c>
      <c r="P144" s="981" t="str">
        <f>IF(P$17=FALSE,"",GasData(GasAnalyser,'Horiba Data'!AI137,'Testo, JUM &amp; MRU Data'!J138,'Thermo Data'!K137,'Testo, JUM &amp; MRU Data'!R138,GDF))</f>
        <v/>
      </c>
      <c r="Q144" s="981" t="str">
        <f>IF(P144="","",Conc2(P144,P$9,MolVol,P$21,P$20,Q$21,Q$20))</f>
        <v/>
      </c>
      <c r="R144" s="981" t="str">
        <f>IF(R$17=FALSE,"",JUMData('Testo, JUM &amp; MRU Data'!M138,$R$7))</f>
        <v/>
      </c>
      <c r="S144" s="982" t="str">
        <f>IF(R144="","",Conc2(R144,R$9,MolVol,R$21,R$20,S$21,S$20)/(1-Bws))</f>
        <v/>
      </c>
      <c r="T144" s="712"/>
      <c r="AR144" s="334"/>
      <c r="AS144" s="334"/>
      <c r="AT144" s="48"/>
      <c r="AU144" s="48"/>
      <c r="AV144" s="153"/>
      <c r="AW144" s="153"/>
      <c r="AX144" s="153"/>
      <c r="AY144" s="153"/>
      <c r="AZ144" s="153"/>
      <c r="BA144" s="153"/>
      <c r="BB144" s="153"/>
      <c r="BC144" s="153"/>
      <c r="BD144" s="153"/>
      <c r="BE144" s="153"/>
      <c r="BF144" s="153"/>
      <c r="BG144" s="153"/>
      <c r="BH144" s="153"/>
      <c r="BI144" s="153"/>
      <c r="BJ144" s="153"/>
      <c r="BK144" s="153"/>
      <c r="BL144" s="153"/>
      <c r="BM144" s="153"/>
      <c r="BN144" s="153"/>
      <c r="BO144" s="153"/>
      <c r="BP144" s="153"/>
      <c r="BQ144" s="153"/>
      <c r="BR144" s="153"/>
      <c r="BS144" s="153"/>
      <c r="BT144" s="153"/>
      <c r="BU144" s="153"/>
      <c r="BV144" s="153"/>
      <c r="BW144" s="153"/>
      <c r="BX144" s="153"/>
      <c r="BY144" s="153"/>
      <c r="BZ144" s="153"/>
      <c r="CA144" s="153"/>
      <c r="CB144" s="153"/>
      <c r="CC144" s="153"/>
      <c r="CD144" s="153"/>
      <c r="CE144" s="153"/>
      <c r="CF144" s="153"/>
      <c r="CG144" s="153"/>
      <c r="CH144" s="153"/>
      <c r="CI144" s="153"/>
      <c r="CJ144" s="153"/>
      <c r="CK144" s="153"/>
      <c r="CL144" s="153"/>
      <c r="CM144" s="153"/>
      <c r="CN144" s="153"/>
      <c r="CO144" s="153"/>
      <c r="CP144" s="153"/>
      <c r="CQ144" s="153"/>
      <c r="CR144" s="153"/>
      <c r="CS144" s="153"/>
      <c r="CT144" s="153"/>
      <c r="CU144" s="153"/>
      <c r="CV144" s="153"/>
      <c r="CW144" s="153"/>
      <c r="CX144" s="153"/>
      <c r="CY144" s="153"/>
      <c r="CZ144" s="153"/>
      <c r="DA144" s="153"/>
      <c r="DB144" s="153"/>
      <c r="DC144" s="153"/>
      <c r="DD144" s="153"/>
      <c r="DE144" s="153"/>
      <c r="DF144" s="153"/>
      <c r="DG144" s="153"/>
      <c r="DH144" s="153"/>
      <c r="DI144" s="153"/>
      <c r="DJ144" s="153"/>
      <c r="DK144" s="153"/>
      <c r="DL144" s="153"/>
      <c r="DM144" s="153"/>
      <c r="DN144" s="153"/>
      <c r="DO144" s="153"/>
      <c r="DP144" s="153"/>
      <c r="DQ144" s="153"/>
      <c r="DR144" s="153"/>
      <c r="DS144" s="153"/>
      <c r="DT144" s="153"/>
      <c r="DU144" s="153"/>
      <c r="DV144" s="153"/>
      <c r="DW144" s="153"/>
      <c r="DX144" s="153"/>
      <c r="DY144" s="153"/>
      <c r="DZ144" s="153"/>
      <c r="EA144" s="153"/>
      <c r="EB144" s="153"/>
      <c r="EC144" s="153"/>
      <c r="ED144" s="153"/>
      <c r="EE144" s="153"/>
      <c r="EF144" s="153"/>
      <c r="EG144" s="153"/>
      <c r="EH144" s="153"/>
      <c r="EI144" s="153"/>
      <c r="EJ144" s="153"/>
      <c r="EK144" s="153"/>
      <c r="EL144" s="153"/>
      <c r="EM144" s="153"/>
    </row>
    <row r="145" spans="1:143" s="107" customFormat="1" ht="10.5" hidden="1" customHeight="1" outlineLevel="1">
      <c r="A145" s="1548">
        <v>120</v>
      </c>
      <c r="B145" s="1560" t="str">
        <f t="shared" si="3"/>
        <v/>
      </c>
      <c r="C145" s="161" t="str">
        <f>GasTime(GasAnalyser,'Horiba Data'!F138,'Horiba Data'!G138,'Testo, JUM &amp; MRU Data'!A139,'Thermo Data'!B138,HourOffset)</f>
        <v/>
      </c>
      <c r="D145" s="981" t="str">
        <f>IF(D$17=FALSE,"",GasData(GasAnalyser,'Horiba Data'!S138,'Testo, JUM &amp; MRU Data'!D139,'Thermo Data'!E138,'Testo, JUM &amp; MRU Data'!U139,GDF))</f>
        <v/>
      </c>
      <c r="E145" s="981" t="str">
        <f>IF(D145="","",Conc2(D145,D$9,MolVol,D$21,D$20,E$21,E$20))</f>
        <v/>
      </c>
      <c r="F145" s="981" t="str">
        <f>IF(F$17=FALSE,"",GasData(GasAnalyser,'Horiba Data'!AQ138,'Testo, JUM &amp; MRU Data'!E139,'Thermo Data'!F138,'Testo, JUM &amp; MRU Data'!V139,GDF))</f>
        <v/>
      </c>
      <c r="G145" s="981" t="str">
        <f>IF(F145="","",Conc2(F145,F$9,MolVol,F$21,F$20,G$21,G$20))</f>
        <v/>
      </c>
      <c r="H145" s="981" t="str">
        <f>IF(D$17=FALSE,"",IF(F$17=FALSE,"",GasData(GasAnalyser,'Horiba Data'!W138,'Testo, JUM &amp; MRU Data'!F139,'Thermo Data'!G138,'Testo, JUM &amp; MRU Data'!Y139,GDF)))</f>
        <v/>
      </c>
      <c r="I145" s="981" t="str">
        <f>IF(H145="","",Conc2(H145,H$9,MolVol,H$21,H$20,I$21,I$20))</f>
        <v/>
      </c>
      <c r="J145" s="981" t="str">
        <f>IF(J$17=FALSE,"",GasData(GasAnalyser,'Horiba Data'!AM138,'Testo, JUM &amp; MRU Data'!G139,'Thermo Data'!H138,'Testo, JUM &amp; MRU Data'!W139,GDF))</f>
        <v/>
      </c>
      <c r="K145" s="981" t="str">
        <f>IF(J145="","",Conc2(J145,J$9,MolVol,J$21,J$20,K$21,K$20))</f>
        <v/>
      </c>
      <c r="L145" s="981" t="str">
        <f>IF(L$17=FALSE,"",GasData(GasAnalyser,'Horiba Data'!AA138,'Testo, JUM &amp; MRU Data'!H139,'Thermo Data'!I138,'Testo, JUM &amp; MRU Data'!T139,GDF))</f>
        <v/>
      </c>
      <c r="M145" s="981" t="str">
        <f>IF(L145="","",Conc2(L145,L$9,MolVol,L$21,L$20,M$21,M$20))</f>
        <v/>
      </c>
      <c r="N145" s="981" t="str">
        <f>IF(N$17=FALSE,"",GasData(GasAnalyser,'Horiba Data'!AE138,'Testo, JUM &amp; MRU Data'!I139,'Thermo Data'!J138,'Testo, JUM &amp; MRU Data'!S139,GDF))</f>
        <v/>
      </c>
      <c r="O145" s="981" t="str">
        <f>IF(N145="","",Conc2(N145,N$9,MolVol,N$21,N$20,O$21,O$20))</f>
        <v/>
      </c>
      <c r="P145" s="981" t="str">
        <f>IF(P$17=FALSE,"",GasData(GasAnalyser,'Horiba Data'!AI138,'Testo, JUM &amp; MRU Data'!J139,'Thermo Data'!K138,'Testo, JUM &amp; MRU Data'!R139,GDF))</f>
        <v/>
      </c>
      <c r="Q145" s="981" t="str">
        <f>IF(P145="","",Conc2(P145,P$9,MolVol,P$21,P$20,Q$21,Q$20))</f>
        <v/>
      </c>
      <c r="R145" s="981" t="str">
        <f>IF(R$17=FALSE,"",JUMData('Testo, JUM &amp; MRU Data'!M139,$R$7))</f>
        <v/>
      </c>
      <c r="S145" s="982" t="str">
        <f>IF(R145="","",Conc2(R145,R$9,MolVol,R$21,R$20,S$21,S$20)/(1-Bws))</f>
        <v/>
      </c>
      <c r="T145" s="712"/>
      <c r="AR145" s="334"/>
      <c r="AS145" s="334"/>
      <c r="AT145" s="48"/>
      <c r="AU145" s="48"/>
      <c r="AV145" s="153"/>
      <c r="AW145" s="153"/>
      <c r="AX145" s="153"/>
      <c r="AY145" s="153"/>
      <c r="AZ145" s="153"/>
      <c r="BA145" s="153"/>
      <c r="BB145" s="153"/>
      <c r="BC145" s="153"/>
      <c r="BD145" s="153"/>
      <c r="BE145" s="153"/>
      <c r="BF145" s="153"/>
      <c r="BG145" s="153"/>
      <c r="BH145" s="153"/>
      <c r="BI145" s="153"/>
      <c r="BJ145" s="153"/>
      <c r="BK145" s="153"/>
      <c r="BL145" s="153"/>
      <c r="BM145" s="153"/>
      <c r="BN145" s="153"/>
      <c r="BO145" s="153"/>
      <c r="BP145" s="153"/>
      <c r="BQ145" s="153"/>
      <c r="BR145" s="153"/>
      <c r="BS145" s="153"/>
      <c r="BT145" s="153"/>
      <c r="BU145" s="153"/>
      <c r="BV145" s="153"/>
      <c r="BW145" s="153"/>
      <c r="BX145" s="153"/>
      <c r="BY145" s="153"/>
      <c r="BZ145" s="153"/>
      <c r="CA145" s="153"/>
      <c r="CB145" s="153"/>
      <c r="CC145" s="153"/>
      <c r="CD145" s="153"/>
      <c r="CE145" s="153"/>
      <c r="CF145" s="153"/>
      <c r="CG145" s="153"/>
      <c r="CH145" s="153"/>
      <c r="CI145" s="153"/>
      <c r="CJ145" s="153"/>
      <c r="CK145" s="153"/>
      <c r="CL145" s="153"/>
      <c r="CM145" s="153"/>
      <c r="CN145" s="153"/>
      <c r="CO145" s="153"/>
      <c r="CP145" s="153"/>
      <c r="CQ145" s="153"/>
      <c r="CR145" s="153"/>
      <c r="CS145" s="153"/>
      <c r="CT145" s="153"/>
      <c r="CU145" s="153"/>
      <c r="CV145" s="153"/>
      <c r="CW145" s="153"/>
      <c r="CX145" s="153"/>
      <c r="CY145" s="153"/>
      <c r="CZ145" s="153"/>
      <c r="DA145" s="153"/>
      <c r="DB145" s="153"/>
      <c r="DC145" s="153"/>
      <c r="DD145" s="153"/>
      <c r="DE145" s="153"/>
      <c r="DF145" s="153"/>
      <c r="DG145" s="153"/>
      <c r="DH145" s="153"/>
      <c r="DI145" s="153"/>
      <c r="DJ145" s="153"/>
      <c r="DK145" s="153"/>
      <c r="DL145" s="153"/>
      <c r="DM145" s="153"/>
      <c r="DN145" s="153"/>
      <c r="DO145" s="153"/>
      <c r="DP145" s="153"/>
      <c r="DQ145" s="153"/>
      <c r="DR145" s="153"/>
      <c r="DS145" s="153"/>
      <c r="DT145" s="153"/>
      <c r="DU145" s="153"/>
      <c r="DV145" s="153"/>
      <c r="DW145" s="153"/>
      <c r="DX145" s="153"/>
      <c r="DY145" s="153"/>
      <c r="DZ145" s="153"/>
      <c r="EA145" s="153"/>
      <c r="EB145" s="153"/>
      <c r="EC145" s="153"/>
      <c r="ED145" s="153"/>
      <c r="EE145" s="153"/>
      <c r="EF145" s="153"/>
      <c r="EG145" s="153"/>
      <c r="EH145" s="153"/>
      <c r="EI145" s="153"/>
      <c r="EJ145" s="153"/>
      <c r="EK145" s="153"/>
      <c r="EL145" s="153"/>
      <c r="EM145" s="153"/>
    </row>
    <row r="146" spans="1:143" s="107" customFormat="1" ht="10.5" hidden="1" customHeight="1" outlineLevel="1">
      <c r="A146" s="1548">
        <v>121</v>
      </c>
      <c r="B146" s="1560" t="str">
        <f t="shared" si="3"/>
        <v/>
      </c>
      <c r="C146" s="161" t="str">
        <f>GasTime(GasAnalyser,'Horiba Data'!F139,'Horiba Data'!G139,'Testo, JUM &amp; MRU Data'!A140,'Thermo Data'!B139,HourOffset)</f>
        <v/>
      </c>
      <c r="D146" s="981" t="str">
        <f>IF(D$17=FALSE,"",GasData(GasAnalyser,'Horiba Data'!S139,'Testo, JUM &amp; MRU Data'!D140,'Thermo Data'!E139,'Testo, JUM &amp; MRU Data'!U140,GDF))</f>
        <v/>
      </c>
      <c r="E146" s="981" t="str">
        <f>IF(D146="","",Conc2(D146,D$9,MolVol,D$21,D$20,E$21,E$20))</f>
        <v/>
      </c>
      <c r="F146" s="981" t="str">
        <f>IF(F$17=FALSE,"",GasData(GasAnalyser,'Horiba Data'!AQ139,'Testo, JUM &amp; MRU Data'!E140,'Thermo Data'!F139,'Testo, JUM &amp; MRU Data'!V140,GDF))</f>
        <v/>
      </c>
      <c r="G146" s="981" t="str">
        <f>IF(F146="","",Conc2(F146,F$9,MolVol,F$21,F$20,G$21,G$20))</f>
        <v/>
      </c>
      <c r="H146" s="981" t="str">
        <f>IF(D$17=FALSE,"",IF(F$17=FALSE,"",GasData(GasAnalyser,'Horiba Data'!W139,'Testo, JUM &amp; MRU Data'!F140,'Thermo Data'!G139,'Testo, JUM &amp; MRU Data'!Y140,GDF)))</f>
        <v/>
      </c>
      <c r="I146" s="981" t="str">
        <f>IF(H146="","",Conc2(H146,H$9,MolVol,H$21,H$20,I$21,I$20))</f>
        <v/>
      </c>
      <c r="J146" s="981" t="str">
        <f>IF(J$17=FALSE,"",GasData(GasAnalyser,'Horiba Data'!AM139,'Testo, JUM &amp; MRU Data'!G140,'Thermo Data'!H139,'Testo, JUM &amp; MRU Data'!W140,GDF))</f>
        <v/>
      </c>
      <c r="K146" s="981" t="str">
        <f>IF(J146="","",Conc2(J146,J$9,MolVol,J$21,J$20,K$21,K$20))</f>
        <v/>
      </c>
      <c r="L146" s="981" t="str">
        <f>IF(L$17=FALSE,"",GasData(GasAnalyser,'Horiba Data'!AA139,'Testo, JUM &amp; MRU Data'!H140,'Thermo Data'!I139,'Testo, JUM &amp; MRU Data'!T140,GDF))</f>
        <v/>
      </c>
      <c r="M146" s="981" t="str">
        <f>IF(L146="","",Conc2(L146,L$9,MolVol,L$21,L$20,M$21,M$20))</f>
        <v/>
      </c>
      <c r="N146" s="981" t="str">
        <f>IF(N$17=FALSE,"",GasData(GasAnalyser,'Horiba Data'!AE139,'Testo, JUM &amp; MRU Data'!I140,'Thermo Data'!J139,'Testo, JUM &amp; MRU Data'!S140,GDF))</f>
        <v/>
      </c>
      <c r="O146" s="981" t="str">
        <f>IF(N146="","",Conc2(N146,N$9,MolVol,N$21,N$20,O$21,O$20))</f>
        <v/>
      </c>
      <c r="P146" s="981" t="str">
        <f>IF(P$17=FALSE,"",GasData(GasAnalyser,'Horiba Data'!AI139,'Testo, JUM &amp; MRU Data'!J140,'Thermo Data'!K139,'Testo, JUM &amp; MRU Data'!R140,GDF))</f>
        <v/>
      </c>
      <c r="Q146" s="981" t="str">
        <f>IF(P146="","",Conc2(P146,P$9,MolVol,P$21,P$20,Q$21,Q$20))</f>
        <v/>
      </c>
      <c r="R146" s="981" t="str">
        <f>IF(R$17=FALSE,"",JUMData('Testo, JUM &amp; MRU Data'!M140,$R$7))</f>
        <v/>
      </c>
      <c r="S146" s="982" t="str">
        <f>IF(R146="","",Conc2(R146,R$9,MolVol,R$21,R$20,S$21,S$20)/(1-Bws))</f>
        <v/>
      </c>
      <c r="T146" s="712"/>
      <c r="AR146" s="334"/>
      <c r="AS146" s="334"/>
      <c r="AT146" s="48"/>
      <c r="AU146" s="48"/>
      <c r="AV146" s="153"/>
      <c r="AW146" s="153"/>
      <c r="AX146" s="153"/>
      <c r="AY146" s="153"/>
      <c r="AZ146" s="153"/>
      <c r="BA146" s="153"/>
      <c r="BB146" s="153"/>
      <c r="BC146" s="153"/>
      <c r="BD146" s="153"/>
      <c r="BE146" s="153"/>
      <c r="BF146" s="153"/>
      <c r="BG146" s="153"/>
      <c r="BH146" s="153"/>
      <c r="BI146" s="153"/>
      <c r="BJ146" s="153"/>
      <c r="BK146" s="153"/>
      <c r="BL146" s="153"/>
      <c r="BM146" s="153"/>
      <c r="BN146" s="153"/>
      <c r="BO146" s="153"/>
      <c r="BP146" s="153"/>
      <c r="BQ146" s="153"/>
      <c r="BR146" s="153"/>
      <c r="BS146" s="153"/>
      <c r="BT146" s="153"/>
      <c r="BU146" s="153"/>
      <c r="BV146" s="153"/>
      <c r="BW146" s="153"/>
      <c r="BX146" s="153"/>
      <c r="BY146" s="153"/>
      <c r="BZ146" s="153"/>
      <c r="CA146" s="153"/>
      <c r="CB146" s="153"/>
      <c r="CC146" s="153"/>
      <c r="CD146" s="153"/>
      <c r="CE146" s="153"/>
      <c r="CF146" s="153"/>
      <c r="CG146" s="153"/>
      <c r="CH146" s="153"/>
      <c r="CI146" s="153"/>
      <c r="CJ146" s="153"/>
      <c r="CK146" s="153"/>
      <c r="CL146" s="153"/>
      <c r="CM146" s="153"/>
      <c r="CN146" s="153"/>
      <c r="CO146" s="153"/>
      <c r="CP146" s="153"/>
      <c r="CQ146" s="153"/>
      <c r="CR146" s="153"/>
      <c r="CS146" s="153"/>
      <c r="CT146" s="153"/>
      <c r="CU146" s="153"/>
      <c r="CV146" s="153"/>
      <c r="CW146" s="153"/>
      <c r="CX146" s="153"/>
      <c r="CY146" s="153"/>
      <c r="CZ146" s="153"/>
      <c r="DA146" s="153"/>
      <c r="DB146" s="153"/>
      <c r="DC146" s="153"/>
      <c r="DD146" s="153"/>
      <c r="DE146" s="153"/>
      <c r="DF146" s="153"/>
      <c r="DG146" s="153"/>
      <c r="DH146" s="153"/>
      <c r="DI146" s="153"/>
      <c r="DJ146" s="153"/>
      <c r="DK146" s="153"/>
      <c r="DL146" s="153"/>
      <c r="DM146" s="153"/>
      <c r="DN146" s="153"/>
      <c r="DO146" s="153"/>
      <c r="DP146" s="153"/>
      <c r="DQ146" s="153"/>
      <c r="DR146" s="153"/>
      <c r="DS146" s="153"/>
      <c r="DT146" s="153"/>
      <c r="DU146" s="153"/>
      <c r="DV146" s="153"/>
      <c r="DW146" s="153"/>
      <c r="DX146" s="153"/>
      <c r="DY146" s="153"/>
      <c r="DZ146" s="153"/>
      <c r="EA146" s="153"/>
      <c r="EB146" s="153"/>
      <c r="EC146" s="153"/>
      <c r="ED146" s="153"/>
      <c r="EE146" s="153"/>
      <c r="EF146" s="153"/>
      <c r="EG146" s="153"/>
      <c r="EH146" s="153"/>
      <c r="EI146" s="153"/>
      <c r="EJ146" s="153"/>
      <c r="EK146" s="153"/>
      <c r="EL146" s="153"/>
      <c r="EM146" s="153"/>
    </row>
    <row r="147" spans="1:143" s="107" customFormat="1" ht="10.5" hidden="1" customHeight="1" outlineLevel="1">
      <c r="A147" s="1548">
        <v>122</v>
      </c>
      <c r="B147" s="1560" t="str">
        <f t="shared" si="3"/>
        <v/>
      </c>
      <c r="C147" s="161" t="str">
        <f>GasTime(GasAnalyser,'Horiba Data'!F140,'Horiba Data'!G140,'Testo, JUM &amp; MRU Data'!A141,'Thermo Data'!B140,HourOffset)</f>
        <v/>
      </c>
      <c r="D147" s="981" t="str">
        <f>IF(D$17=FALSE,"",GasData(GasAnalyser,'Horiba Data'!S140,'Testo, JUM &amp; MRU Data'!D141,'Thermo Data'!E140,'Testo, JUM &amp; MRU Data'!U141,GDF))</f>
        <v/>
      </c>
      <c r="E147" s="981" t="str">
        <f>IF(D147="","",Conc2(D147,D$9,MolVol,D$21,D$20,E$21,E$20))</f>
        <v/>
      </c>
      <c r="F147" s="981" t="str">
        <f>IF(F$17=FALSE,"",GasData(GasAnalyser,'Horiba Data'!AQ140,'Testo, JUM &amp; MRU Data'!E141,'Thermo Data'!F140,'Testo, JUM &amp; MRU Data'!V141,GDF))</f>
        <v/>
      </c>
      <c r="G147" s="981" t="str">
        <f>IF(F147="","",Conc2(F147,F$9,MolVol,F$21,F$20,G$21,G$20))</f>
        <v/>
      </c>
      <c r="H147" s="981" t="str">
        <f>IF(D$17=FALSE,"",IF(F$17=FALSE,"",GasData(GasAnalyser,'Horiba Data'!W140,'Testo, JUM &amp; MRU Data'!F141,'Thermo Data'!G140,'Testo, JUM &amp; MRU Data'!Y141,GDF)))</f>
        <v/>
      </c>
      <c r="I147" s="981" t="str">
        <f>IF(H147="","",Conc2(H147,H$9,MolVol,H$21,H$20,I$21,I$20))</f>
        <v/>
      </c>
      <c r="J147" s="981" t="str">
        <f>IF(J$17=FALSE,"",GasData(GasAnalyser,'Horiba Data'!AM140,'Testo, JUM &amp; MRU Data'!G141,'Thermo Data'!H140,'Testo, JUM &amp; MRU Data'!W141,GDF))</f>
        <v/>
      </c>
      <c r="K147" s="981" t="str">
        <f>IF(J147="","",Conc2(J147,J$9,MolVol,J$21,J$20,K$21,K$20))</f>
        <v/>
      </c>
      <c r="L147" s="981" t="str">
        <f>IF(L$17=FALSE,"",GasData(GasAnalyser,'Horiba Data'!AA140,'Testo, JUM &amp; MRU Data'!H141,'Thermo Data'!I140,'Testo, JUM &amp; MRU Data'!T141,GDF))</f>
        <v/>
      </c>
      <c r="M147" s="981" t="str">
        <f>IF(L147="","",Conc2(L147,L$9,MolVol,L$21,L$20,M$21,M$20))</f>
        <v/>
      </c>
      <c r="N147" s="981" t="str">
        <f>IF(N$17=FALSE,"",GasData(GasAnalyser,'Horiba Data'!AE140,'Testo, JUM &amp; MRU Data'!I141,'Thermo Data'!J140,'Testo, JUM &amp; MRU Data'!S141,GDF))</f>
        <v/>
      </c>
      <c r="O147" s="981" t="str">
        <f>IF(N147="","",Conc2(N147,N$9,MolVol,N$21,N$20,O$21,O$20))</f>
        <v/>
      </c>
      <c r="P147" s="981" t="str">
        <f>IF(P$17=FALSE,"",GasData(GasAnalyser,'Horiba Data'!AI140,'Testo, JUM &amp; MRU Data'!J141,'Thermo Data'!K140,'Testo, JUM &amp; MRU Data'!R141,GDF))</f>
        <v/>
      </c>
      <c r="Q147" s="981" t="str">
        <f>IF(P147="","",Conc2(P147,P$9,MolVol,P$21,P$20,Q$21,Q$20))</f>
        <v/>
      </c>
      <c r="R147" s="981" t="str">
        <f>IF(R$17=FALSE,"",JUMData('Testo, JUM &amp; MRU Data'!M141,$R$7))</f>
        <v/>
      </c>
      <c r="S147" s="982" t="str">
        <f>IF(R147="","",Conc2(R147,R$9,MolVol,R$21,R$20,S$21,S$20)/(1-Bws))</f>
        <v/>
      </c>
      <c r="T147" s="712"/>
      <c r="AR147" s="334"/>
      <c r="AS147" s="334"/>
      <c r="AT147" s="48"/>
      <c r="AU147" s="48"/>
      <c r="AV147" s="153"/>
      <c r="AW147" s="153"/>
      <c r="AX147" s="153"/>
      <c r="AY147" s="153"/>
      <c r="AZ147" s="153"/>
      <c r="BA147" s="153"/>
      <c r="BB147" s="153"/>
      <c r="BC147" s="153"/>
      <c r="BD147" s="153"/>
      <c r="BE147" s="153"/>
      <c r="BF147" s="153"/>
      <c r="BG147" s="153"/>
      <c r="BH147" s="153"/>
      <c r="BI147" s="153"/>
      <c r="BJ147" s="153"/>
      <c r="BK147" s="153"/>
      <c r="BL147" s="153"/>
      <c r="BM147" s="153"/>
      <c r="BN147" s="153"/>
      <c r="BO147" s="153"/>
      <c r="BP147" s="153"/>
      <c r="BQ147" s="153"/>
      <c r="BR147" s="153"/>
      <c r="BS147" s="153"/>
      <c r="BT147" s="153"/>
      <c r="BU147" s="153"/>
      <c r="BV147" s="153"/>
      <c r="BW147" s="153"/>
      <c r="BX147" s="153"/>
      <c r="BY147" s="153"/>
      <c r="BZ147" s="153"/>
      <c r="CA147" s="153"/>
      <c r="CB147" s="153"/>
      <c r="CC147" s="153"/>
      <c r="CD147" s="153"/>
      <c r="CE147" s="153"/>
      <c r="CF147" s="153"/>
      <c r="CG147" s="153"/>
      <c r="CH147" s="153"/>
      <c r="CI147" s="153"/>
      <c r="CJ147" s="153"/>
      <c r="CK147" s="153"/>
      <c r="CL147" s="153"/>
      <c r="CM147" s="153"/>
      <c r="CN147" s="153"/>
      <c r="CO147" s="153"/>
      <c r="CP147" s="153"/>
      <c r="CQ147" s="153"/>
      <c r="CR147" s="153"/>
      <c r="CS147" s="153"/>
      <c r="CT147" s="153"/>
      <c r="CU147" s="153"/>
      <c r="CV147" s="153"/>
      <c r="CW147" s="153"/>
      <c r="CX147" s="153"/>
      <c r="CY147" s="153"/>
      <c r="CZ147" s="153"/>
      <c r="DA147" s="153"/>
      <c r="DB147" s="153"/>
      <c r="DC147" s="153"/>
      <c r="DD147" s="153"/>
      <c r="DE147" s="153"/>
      <c r="DF147" s="153"/>
      <c r="DG147" s="153"/>
      <c r="DH147" s="153"/>
      <c r="DI147" s="153"/>
      <c r="DJ147" s="153"/>
      <c r="DK147" s="153"/>
      <c r="DL147" s="153"/>
      <c r="DM147" s="153"/>
      <c r="DN147" s="153"/>
      <c r="DO147" s="153"/>
      <c r="DP147" s="153"/>
      <c r="DQ147" s="153"/>
      <c r="DR147" s="153"/>
      <c r="DS147" s="153"/>
      <c r="DT147" s="153"/>
      <c r="DU147" s="153"/>
      <c r="DV147" s="153"/>
      <c r="DW147" s="153"/>
      <c r="DX147" s="153"/>
      <c r="DY147" s="153"/>
      <c r="DZ147" s="153"/>
      <c r="EA147" s="153"/>
      <c r="EB147" s="153"/>
      <c r="EC147" s="153"/>
      <c r="ED147" s="153"/>
      <c r="EE147" s="153"/>
      <c r="EF147" s="153"/>
      <c r="EG147" s="153"/>
      <c r="EH147" s="153"/>
      <c r="EI147" s="153"/>
      <c r="EJ147" s="153"/>
      <c r="EK147" s="153"/>
      <c r="EL147" s="153"/>
      <c r="EM147" s="153"/>
    </row>
    <row r="148" spans="1:143" s="107" customFormat="1" ht="10.5" hidden="1" customHeight="1" outlineLevel="1">
      <c r="A148" s="1548">
        <v>123</v>
      </c>
      <c r="B148" s="1560" t="str">
        <f t="shared" si="3"/>
        <v/>
      </c>
      <c r="C148" s="161" t="str">
        <f>GasTime(GasAnalyser,'Horiba Data'!F141,'Horiba Data'!G141,'Testo, JUM &amp; MRU Data'!A142,'Thermo Data'!B141,HourOffset)</f>
        <v/>
      </c>
      <c r="D148" s="981" t="str">
        <f>IF(D$17=FALSE,"",GasData(GasAnalyser,'Horiba Data'!S141,'Testo, JUM &amp; MRU Data'!D142,'Thermo Data'!E141,'Testo, JUM &amp; MRU Data'!U142,GDF))</f>
        <v/>
      </c>
      <c r="E148" s="981" t="str">
        <f>IF(D148="","",Conc2(D148,D$9,MolVol,D$21,D$20,E$21,E$20))</f>
        <v/>
      </c>
      <c r="F148" s="981" t="str">
        <f>IF(F$17=FALSE,"",GasData(GasAnalyser,'Horiba Data'!AQ141,'Testo, JUM &amp; MRU Data'!E142,'Thermo Data'!F141,'Testo, JUM &amp; MRU Data'!V142,GDF))</f>
        <v/>
      </c>
      <c r="G148" s="981" t="str">
        <f>IF(F148="","",Conc2(F148,F$9,MolVol,F$21,F$20,G$21,G$20))</f>
        <v/>
      </c>
      <c r="H148" s="981" t="str">
        <f>IF(D$17=FALSE,"",IF(F$17=FALSE,"",GasData(GasAnalyser,'Horiba Data'!W141,'Testo, JUM &amp; MRU Data'!F142,'Thermo Data'!G141,'Testo, JUM &amp; MRU Data'!Y142,GDF)))</f>
        <v/>
      </c>
      <c r="I148" s="981" t="str">
        <f>IF(H148="","",Conc2(H148,H$9,MolVol,H$21,H$20,I$21,I$20))</f>
        <v/>
      </c>
      <c r="J148" s="981" t="str">
        <f>IF(J$17=FALSE,"",GasData(GasAnalyser,'Horiba Data'!AM141,'Testo, JUM &amp; MRU Data'!G142,'Thermo Data'!H141,'Testo, JUM &amp; MRU Data'!W142,GDF))</f>
        <v/>
      </c>
      <c r="K148" s="981" t="str">
        <f>IF(J148="","",Conc2(J148,J$9,MolVol,J$21,J$20,K$21,K$20))</f>
        <v/>
      </c>
      <c r="L148" s="981" t="str">
        <f>IF(L$17=FALSE,"",GasData(GasAnalyser,'Horiba Data'!AA141,'Testo, JUM &amp; MRU Data'!H142,'Thermo Data'!I141,'Testo, JUM &amp; MRU Data'!T142,GDF))</f>
        <v/>
      </c>
      <c r="M148" s="981" t="str">
        <f>IF(L148="","",Conc2(L148,L$9,MolVol,L$21,L$20,M$21,M$20))</f>
        <v/>
      </c>
      <c r="N148" s="981" t="str">
        <f>IF(N$17=FALSE,"",GasData(GasAnalyser,'Horiba Data'!AE141,'Testo, JUM &amp; MRU Data'!I142,'Thermo Data'!J141,'Testo, JUM &amp; MRU Data'!S142,GDF))</f>
        <v/>
      </c>
      <c r="O148" s="981" t="str">
        <f>IF(N148="","",Conc2(N148,N$9,MolVol,N$21,N$20,O$21,O$20))</f>
        <v/>
      </c>
      <c r="P148" s="981" t="str">
        <f>IF(P$17=FALSE,"",GasData(GasAnalyser,'Horiba Data'!AI141,'Testo, JUM &amp; MRU Data'!J142,'Thermo Data'!K141,'Testo, JUM &amp; MRU Data'!R142,GDF))</f>
        <v/>
      </c>
      <c r="Q148" s="981" t="str">
        <f>IF(P148="","",Conc2(P148,P$9,MolVol,P$21,P$20,Q$21,Q$20))</f>
        <v/>
      </c>
      <c r="R148" s="981" t="str">
        <f>IF(R$17=FALSE,"",JUMData('Testo, JUM &amp; MRU Data'!M142,$R$7))</f>
        <v/>
      </c>
      <c r="S148" s="982" t="str">
        <f>IF(R148="","",Conc2(R148,R$9,MolVol,R$21,R$20,S$21,S$20)/(1-Bws))</f>
        <v/>
      </c>
      <c r="T148" s="712"/>
      <c r="AR148" s="334"/>
      <c r="AS148" s="334"/>
      <c r="AT148" s="48"/>
      <c r="AU148" s="48"/>
      <c r="AV148" s="153"/>
      <c r="AW148" s="153"/>
      <c r="AX148" s="153"/>
      <c r="AY148" s="153"/>
      <c r="AZ148" s="153"/>
      <c r="BA148" s="153"/>
      <c r="BB148" s="153"/>
      <c r="BC148" s="153"/>
      <c r="BD148" s="153"/>
      <c r="BE148" s="153"/>
      <c r="BF148" s="153"/>
      <c r="BG148" s="153"/>
      <c r="BH148" s="153"/>
      <c r="BI148" s="153"/>
      <c r="BJ148" s="153"/>
      <c r="BK148" s="153"/>
      <c r="BL148" s="153"/>
      <c r="BM148" s="153"/>
      <c r="BN148" s="153"/>
      <c r="BO148" s="153"/>
      <c r="BP148" s="153"/>
      <c r="BQ148" s="153"/>
      <c r="BR148" s="153"/>
      <c r="BS148" s="153"/>
      <c r="BT148" s="153"/>
      <c r="BU148" s="153"/>
      <c r="BV148" s="153"/>
      <c r="BW148" s="153"/>
      <c r="BX148" s="153"/>
      <c r="BY148" s="153"/>
      <c r="BZ148" s="153"/>
      <c r="CA148" s="153"/>
      <c r="CB148" s="153"/>
      <c r="CC148" s="153"/>
      <c r="CD148" s="153"/>
      <c r="CE148" s="153"/>
      <c r="CF148" s="153"/>
      <c r="CG148" s="153"/>
      <c r="CH148" s="153"/>
      <c r="CI148" s="153"/>
      <c r="CJ148" s="153"/>
      <c r="CK148" s="153"/>
      <c r="CL148" s="153"/>
      <c r="CM148" s="153"/>
      <c r="CN148" s="153"/>
      <c r="CO148" s="153"/>
      <c r="CP148" s="153"/>
      <c r="CQ148" s="153"/>
      <c r="CR148" s="153"/>
      <c r="CS148" s="153"/>
      <c r="CT148" s="153"/>
      <c r="CU148" s="153"/>
      <c r="CV148" s="153"/>
      <c r="CW148" s="153"/>
      <c r="CX148" s="153"/>
      <c r="CY148" s="153"/>
      <c r="CZ148" s="153"/>
      <c r="DA148" s="153"/>
      <c r="DB148" s="153"/>
      <c r="DC148" s="153"/>
      <c r="DD148" s="153"/>
      <c r="DE148" s="153"/>
      <c r="DF148" s="153"/>
      <c r="DG148" s="153"/>
      <c r="DH148" s="153"/>
      <c r="DI148" s="153"/>
      <c r="DJ148" s="153"/>
      <c r="DK148" s="153"/>
      <c r="DL148" s="153"/>
      <c r="DM148" s="153"/>
      <c r="DN148" s="153"/>
      <c r="DO148" s="153"/>
      <c r="DP148" s="153"/>
      <c r="DQ148" s="153"/>
      <c r="DR148" s="153"/>
      <c r="DS148" s="153"/>
      <c r="DT148" s="153"/>
      <c r="DU148" s="153"/>
      <c r="DV148" s="153"/>
      <c r="DW148" s="153"/>
      <c r="DX148" s="153"/>
      <c r="DY148" s="153"/>
      <c r="DZ148" s="153"/>
      <c r="EA148" s="153"/>
      <c r="EB148" s="153"/>
      <c r="EC148" s="153"/>
      <c r="ED148" s="153"/>
      <c r="EE148" s="153"/>
      <c r="EF148" s="153"/>
      <c r="EG148" s="153"/>
      <c r="EH148" s="153"/>
      <c r="EI148" s="153"/>
      <c r="EJ148" s="153"/>
      <c r="EK148" s="153"/>
      <c r="EL148" s="153"/>
      <c r="EM148" s="153"/>
    </row>
    <row r="149" spans="1:143" s="107" customFormat="1" ht="10.5" hidden="1" customHeight="1" outlineLevel="1">
      <c r="A149" s="1548">
        <v>124</v>
      </c>
      <c r="B149" s="1560" t="str">
        <f t="shared" si="3"/>
        <v/>
      </c>
      <c r="C149" s="161" t="str">
        <f>GasTime(GasAnalyser,'Horiba Data'!F142,'Horiba Data'!G142,'Testo, JUM &amp; MRU Data'!A143,'Thermo Data'!B142,HourOffset)</f>
        <v/>
      </c>
      <c r="D149" s="981" t="str">
        <f>IF(D$17=FALSE,"",GasData(GasAnalyser,'Horiba Data'!S142,'Testo, JUM &amp; MRU Data'!D143,'Thermo Data'!E142,'Testo, JUM &amp; MRU Data'!U143,GDF))</f>
        <v/>
      </c>
      <c r="E149" s="981" t="str">
        <f>IF(D149="","",Conc2(D149,D$9,MolVol,D$21,D$20,E$21,E$20))</f>
        <v/>
      </c>
      <c r="F149" s="981" t="str">
        <f>IF(F$17=FALSE,"",GasData(GasAnalyser,'Horiba Data'!AQ142,'Testo, JUM &amp; MRU Data'!E143,'Thermo Data'!F142,'Testo, JUM &amp; MRU Data'!V143,GDF))</f>
        <v/>
      </c>
      <c r="G149" s="981" t="str">
        <f>IF(F149="","",Conc2(F149,F$9,MolVol,F$21,F$20,G$21,G$20))</f>
        <v/>
      </c>
      <c r="H149" s="981" t="str">
        <f>IF(D$17=FALSE,"",IF(F$17=FALSE,"",GasData(GasAnalyser,'Horiba Data'!W142,'Testo, JUM &amp; MRU Data'!F143,'Thermo Data'!G142,'Testo, JUM &amp; MRU Data'!Y143,GDF)))</f>
        <v/>
      </c>
      <c r="I149" s="981" t="str">
        <f>IF(H149="","",Conc2(H149,H$9,MolVol,H$21,H$20,I$21,I$20))</f>
        <v/>
      </c>
      <c r="J149" s="981" t="str">
        <f>IF(J$17=FALSE,"",GasData(GasAnalyser,'Horiba Data'!AM142,'Testo, JUM &amp; MRU Data'!G143,'Thermo Data'!H142,'Testo, JUM &amp; MRU Data'!W143,GDF))</f>
        <v/>
      </c>
      <c r="K149" s="981" t="str">
        <f>IF(J149="","",Conc2(J149,J$9,MolVol,J$21,J$20,K$21,K$20))</f>
        <v/>
      </c>
      <c r="L149" s="981" t="str">
        <f>IF(L$17=FALSE,"",GasData(GasAnalyser,'Horiba Data'!AA142,'Testo, JUM &amp; MRU Data'!H143,'Thermo Data'!I142,'Testo, JUM &amp; MRU Data'!T143,GDF))</f>
        <v/>
      </c>
      <c r="M149" s="981" t="str">
        <f>IF(L149="","",Conc2(L149,L$9,MolVol,L$21,L$20,M$21,M$20))</f>
        <v/>
      </c>
      <c r="N149" s="981" t="str">
        <f>IF(N$17=FALSE,"",GasData(GasAnalyser,'Horiba Data'!AE142,'Testo, JUM &amp; MRU Data'!I143,'Thermo Data'!J142,'Testo, JUM &amp; MRU Data'!S143,GDF))</f>
        <v/>
      </c>
      <c r="O149" s="981" t="str">
        <f>IF(N149="","",Conc2(N149,N$9,MolVol,N$21,N$20,O$21,O$20))</f>
        <v/>
      </c>
      <c r="P149" s="981" t="str">
        <f>IF(P$17=FALSE,"",GasData(GasAnalyser,'Horiba Data'!AI142,'Testo, JUM &amp; MRU Data'!J143,'Thermo Data'!K142,'Testo, JUM &amp; MRU Data'!R143,GDF))</f>
        <v/>
      </c>
      <c r="Q149" s="981" t="str">
        <f>IF(P149="","",Conc2(P149,P$9,MolVol,P$21,P$20,Q$21,Q$20))</f>
        <v/>
      </c>
      <c r="R149" s="981" t="str">
        <f>IF(R$17=FALSE,"",JUMData('Testo, JUM &amp; MRU Data'!M143,$R$7))</f>
        <v/>
      </c>
      <c r="S149" s="982" t="str">
        <f>IF(R149="","",Conc2(R149,R$9,MolVol,R$21,R$20,S$21,S$20)/(1-Bws))</f>
        <v/>
      </c>
      <c r="T149" s="712"/>
      <c r="AR149" s="334"/>
      <c r="AS149" s="334"/>
      <c r="AT149" s="48"/>
      <c r="AU149" s="48"/>
      <c r="AV149" s="153"/>
      <c r="AW149" s="153"/>
      <c r="AX149" s="153"/>
      <c r="AY149" s="153"/>
      <c r="AZ149" s="153"/>
      <c r="BA149" s="153"/>
      <c r="BB149" s="153"/>
      <c r="BC149" s="153"/>
      <c r="BD149" s="153"/>
      <c r="BE149" s="153"/>
      <c r="BF149" s="153"/>
      <c r="BG149" s="153"/>
      <c r="BH149" s="153"/>
      <c r="BI149" s="153"/>
      <c r="BJ149" s="153"/>
      <c r="BK149" s="153"/>
      <c r="BL149" s="153"/>
      <c r="BM149" s="153"/>
      <c r="BN149" s="153"/>
      <c r="BO149" s="153"/>
      <c r="BP149" s="153"/>
      <c r="BQ149" s="153"/>
      <c r="BR149" s="153"/>
      <c r="BS149" s="153"/>
      <c r="BT149" s="153"/>
      <c r="BU149" s="153"/>
      <c r="BV149" s="153"/>
      <c r="BW149" s="153"/>
      <c r="BX149" s="153"/>
      <c r="BY149" s="153"/>
      <c r="BZ149" s="153"/>
      <c r="CA149" s="153"/>
      <c r="CB149" s="153"/>
      <c r="CC149" s="153"/>
      <c r="CD149" s="153"/>
      <c r="CE149" s="153"/>
      <c r="CF149" s="153"/>
      <c r="CG149" s="153"/>
      <c r="CH149" s="153"/>
      <c r="CI149" s="153"/>
      <c r="CJ149" s="153"/>
      <c r="CK149" s="153"/>
      <c r="CL149" s="153"/>
      <c r="CM149" s="153"/>
      <c r="CN149" s="153"/>
      <c r="CO149" s="153"/>
      <c r="CP149" s="153"/>
      <c r="CQ149" s="153"/>
      <c r="CR149" s="153"/>
      <c r="CS149" s="153"/>
      <c r="CT149" s="153"/>
      <c r="CU149" s="153"/>
      <c r="CV149" s="153"/>
      <c r="CW149" s="153"/>
      <c r="CX149" s="153"/>
      <c r="CY149" s="153"/>
      <c r="CZ149" s="153"/>
      <c r="DA149" s="153"/>
      <c r="DB149" s="153"/>
      <c r="DC149" s="153"/>
      <c r="DD149" s="153"/>
      <c r="DE149" s="153"/>
      <c r="DF149" s="153"/>
      <c r="DG149" s="153"/>
      <c r="DH149" s="153"/>
      <c r="DI149" s="153"/>
      <c r="DJ149" s="153"/>
      <c r="DK149" s="153"/>
      <c r="DL149" s="153"/>
      <c r="DM149" s="153"/>
      <c r="DN149" s="153"/>
      <c r="DO149" s="153"/>
      <c r="DP149" s="153"/>
      <c r="DQ149" s="153"/>
      <c r="DR149" s="153"/>
      <c r="DS149" s="153"/>
      <c r="DT149" s="153"/>
      <c r="DU149" s="153"/>
      <c r="DV149" s="153"/>
      <c r="DW149" s="153"/>
      <c r="DX149" s="153"/>
      <c r="DY149" s="153"/>
      <c r="DZ149" s="153"/>
      <c r="EA149" s="153"/>
      <c r="EB149" s="153"/>
      <c r="EC149" s="153"/>
      <c r="ED149" s="153"/>
      <c r="EE149" s="153"/>
      <c r="EF149" s="153"/>
      <c r="EG149" s="153"/>
      <c r="EH149" s="153"/>
      <c r="EI149" s="153"/>
      <c r="EJ149" s="153"/>
      <c r="EK149" s="153"/>
      <c r="EL149" s="153"/>
      <c r="EM149" s="153"/>
    </row>
    <row r="150" spans="1:143" s="107" customFormat="1" ht="10.5" hidden="1" customHeight="1" outlineLevel="1">
      <c r="A150" s="1548">
        <v>125</v>
      </c>
      <c r="B150" s="1560" t="str">
        <f t="shared" si="3"/>
        <v/>
      </c>
      <c r="C150" s="161" t="str">
        <f>GasTime(GasAnalyser,'Horiba Data'!F143,'Horiba Data'!G143,'Testo, JUM &amp; MRU Data'!A144,'Thermo Data'!B143,HourOffset)</f>
        <v/>
      </c>
      <c r="D150" s="981" t="str">
        <f>IF(D$17=FALSE,"",GasData(GasAnalyser,'Horiba Data'!S143,'Testo, JUM &amp; MRU Data'!D144,'Thermo Data'!E143,'Testo, JUM &amp; MRU Data'!U144,GDF))</f>
        <v/>
      </c>
      <c r="E150" s="981" t="str">
        <f>IF(D150="","",Conc2(D150,D$9,MolVol,D$21,D$20,E$21,E$20))</f>
        <v/>
      </c>
      <c r="F150" s="981" t="str">
        <f>IF(F$17=FALSE,"",GasData(GasAnalyser,'Horiba Data'!AQ143,'Testo, JUM &amp; MRU Data'!E144,'Thermo Data'!F143,'Testo, JUM &amp; MRU Data'!V144,GDF))</f>
        <v/>
      </c>
      <c r="G150" s="981" t="str">
        <f>IF(F150="","",Conc2(F150,F$9,MolVol,F$21,F$20,G$21,G$20))</f>
        <v/>
      </c>
      <c r="H150" s="981" t="str">
        <f>IF(D$17=FALSE,"",IF(F$17=FALSE,"",GasData(GasAnalyser,'Horiba Data'!W143,'Testo, JUM &amp; MRU Data'!F144,'Thermo Data'!G143,'Testo, JUM &amp; MRU Data'!Y144,GDF)))</f>
        <v/>
      </c>
      <c r="I150" s="981" t="str">
        <f>IF(H150="","",Conc2(H150,H$9,MolVol,H$21,H$20,I$21,I$20))</f>
        <v/>
      </c>
      <c r="J150" s="981" t="str">
        <f>IF(J$17=FALSE,"",GasData(GasAnalyser,'Horiba Data'!AM143,'Testo, JUM &amp; MRU Data'!G144,'Thermo Data'!H143,'Testo, JUM &amp; MRU Data'!W144,GDF))</f>
        <v/>
      </c>
      <c r="K150" s="981" t="str">
        <f>IF(J150="","",Conc2(J150,J$9,MolVol,J$21,J$20,K$21,K$20))</f>
        <v/>
      </c>
      <c r="L150" s="981" t="str">
        <f>IF(L$17=FALSE,"",GasData(GasAnalyser,'Horiba Data'!AA143,'Testo, JUM &amp; MRU Data'!H144,'Thermo Data'!I143,'Testo, JUM &amp; MRU Data'!T144,GDF))</f>
        <v/>
      </c>
      <c r="M150" s="981" t="str">
        <f>IF(L150="","",Conc2(L150,L$9,MolVol,L$21,L$20,M$21,M$20))</f>
        <v/>
      </c>
      <c r="N150" s="981" t="str">
        <f>IF(N$17=FALSE,"",GasData(GasAnalyser,'Horiba Data'!AE143,'Testo, JUM &amp; MRU Data'!I144,'Thermo Data'!J143,'Testo, JUM &amp; MRU Data'!S144,GDF))</f>
        <v/>
      </c>
      <c r="O150" s="981" t="str">
        <f>IF(N150="","",Conc2(N150,N$9,MolVol,N$21,N$20,O$21,O$20))</f>
        <v/>
      </c>
      <c r="P150" s="981" t="str">
        <f>IF(P$17=FALSE,"",GasData(GasAnalyser,'Horiba Data'!AI143,'Testo, JUM &amp; MRU Data'!J144,'Thermo Data'!K143,'Testo, JUM &amp; MRU Data'!R144,GDF))</f>
        <v/>
      </c>
      <c r="Q150" s="981" t="str">
        <f>IF(P150="","",Conc2(P150,P$9,MolVol,P$21,P$20,Q$21,Q$20))</f>
        <v/>
      </c>
      <c r="R150" s="981" t="str">
        <f>IF(R$17=FALSE,"",JUMData('Testo, JUM &amp; MRU Data'!M144,$R$7))</f>
        <v/>
      </c>
      <c r="S150" s="982" t="str">
        <f>IF(R150="","",Conc2(R150,R$9,MolVol,R$21,R$20,S$21,S$20)/(1-Bws))</f>
        <v/>
      </c>
      <c r="T150" s="712"/>
      <c r="AR150" s="334"/>
      <c r="AS150" s="334"/>
      <c r="AT150" s="48"/>
      <c r="AU150" s="48"/>
      <c r="AV150" s="153"/>
      <c r="AW150" s="153"/>
      <c r="AX150" s="153"/>
      <c r="AY150" s="153"/>
      <c r="AZ150" s="153"/>
      <c r="BA150" s="153"/>
      <c r="BB150" s="153"/>
      <c r="BC150" s="153"/>
      <c r="BD150" s="153"/>
      <c r="BE150" s="153"/>
      <c r="BF150" s="153"/>
      <c r="BG150" s="153"/>
      <c r="BH150" s="153"/>
      <c r="BI150" s="153"/>
      <c r="BJ150" s="153"/>
      <c r="BK150" s="153"/>
      <c r="BL150" s="153"/>
      <c r="BM150" s="153"/>
      <c r="BN150" s="153"/>
      <c r="BO150" s="153"/>
      <c r="BP150" s="153"/>
      <c r="BQ150" s="153"/>
      <c r="BR150" s="153"/>
      <c r="BS150" s="153"/>
      <c r="BT150" s="153"/>
      <c r="BU150" s="153"/>
      <c r="BV150" s="153"/>
      <c r="BW150" s="153"/>
      <c r="BX150" s="153"/>
      <c r="BY150" s="153"/>
      <c r="BZ150" s="153"/>
      <c r="CA150" s="153"/>
      <c r="CB150" s="153"/>
      <c r="CC150" s="153"/>
      <c r="CD150" s="153"/>
      <c r="CE150" s="153"/>
      <c r="CF150" s="153"/>
      <c r="CG150" s="153"/>
      <c r="CH150" s="153"/>
      <c r="CI150" s="153"/>
      <c r="CJ150" s="153"/>
      <c r="CK150" s="153"/>
      <c r="CL150" s="153"/>
      <c r="CM150" s="153"/>
      <c r="CN150" s="153"/>
      <c r="CO150" s="153"/>
      <c r="CP150" s="153"/>
      <c r="CQ150" s="153"/>
      <c r="CR150" s="153"/>
      <c r="CS150" s="153"/>
      <c r="CT150" s="153"/>
      <c r="CU150" s="153"/>
      <c r="CV150" s="153"/>
      <c r="CW150" s="153"/>
      <c r="CX150" s="153"/>
      <c r="CY150" s="153"/>
      <c r="CZ150" s="153"/>
      <c r="DA150" s="153"/>
      <c r="DB150" s="153"/>
      <c r="DC150" s="153"/>
      <c r="DD150" s="153"/>
      <c r="DE150" s="153"/>
      <c r="DF150" s="153"/>
      <c r="DG150" s="153"/>
      <c r="DH150" s="153"/>
      <c r="DI150" s="153"/>
      <c r="DJ150" s="153"/>
      <c r="DK150" s="153"/>
      <c r="DL150" s="153"/>
      <c r="DM150" s="153"/>
      <c r="DN150" s="153"/>
      <c r="DO150" s="153"/>
      <c r="DP150" s="153"/>
      <c r="DQ150" s="153"/>
      <c r="DR150" s="153"/>
      <c r="DS150" s="153"/>
      <c r="DT150" s="153"/>
      <c r="DU150" s="153"/>
      <c r="DV150" s="153"/>
      <c r="DW150" s="153"/>
      <c r="DX150" s="153"/>
      <c r="DY150" s="153"/>
      <c r="DZ150" s="153"/>
      <c r="EA150" s="153"/>
      <c r="EB150" s="153"/>
      <c r="EC150" s="153"/>
      <c r="ED150" s="153"/>
      <c r="EE150" s="153"/>
      <c r="EF150" s="153"/>
      <c r="EG150" s="153"/>
      <c r="EH150" s="153"/>
      <c r="EI150" s="153"/>
      <c r="EJ150" s="153"/>
      <c r="EK150" s="153"/>
      <c r="EL150" s="153"/>
      <c r="EM150" s="153"/>
    </row>
    <row r="151" spans="1:143" s="107" customFormat="1" ht="10.5" hidden="1" customHeight="1" outlineLevel="1">
      <c r="A151" s="1548">
        <v>126</v>
      </c>
      <c r="B151" s="1560" t="str">
        <f t="shared" si="3"/>
        <v/>
      </c>
      <c r="C151" s="161" t="str">
        <f>GasTime(GasAnalyser,'Horiba Data'!F144,'Horiba Data'!G144,'Testo, JUM &amp; MRU Data'!A145,'Thermo Data'!B144,HourOffset)</f>
        <v/>
      </c>
      <c r="D151" s="981" t="str">
        <f>IF(D$17=FALSE,"",GasData(GasAnalyser,'Horiba Data'!S144,'Testo, JUM &amp; MRU Data'!D145,'Thermo Data'!E144,'Testo, JUM &amp; MRU Data'!U145,GDF))</f>
        <v/>
      </c>
      <c r="E151" s="981" t="str">
        <f>IF(D151="","",Conc2(D151,D$9,MolVol,D$21,D$20,E$21,E$20))</f>
        <v/>
      </c>
      <c r="F151" s="981" t="str">
        <f>IF(F$17=FALSE,"",GasData(GasAnalyser,'Horiba Data'!AQ144,'Testo, JUM &amp; MRU Data'!E145,'Thermo Data'!F144,'Testo, JUM &amp; MRU Data'!V145,GDF))</f>
        <v/>
      </c>
      <c r="G151" s="981" t="str">
        <f>IF(F151="","",Conc2(F151,F$9,MolVol,F$21,F$20,G$21,G$20))</f>
        <v/>
      </c>
      <c r="H151" s="981" t="str">
        <f>IF(D$17=FALSE,"",IF(F$17=FALSE,"",GasData(GasAnalyser,'Horiba Data'!W144,'Testo, JUM &amp; MRU Data'!F145,'Thermo Data'!G144,'Testo, JUM &amp; MRU Data'!Y145,GDF)))</f>
        <v/>
      </c>
      <c r="I151" s="981" t="str">
        <f>IF(H151="","",Conc2(H151,H$9,MolVol,H$21,H$20,I$21,I$20))</f>
        <v/>
      </c>
      <c r="J151" s="981" t="str">
        <f>IF(J$17=FALSE,"",GasData(GasAnalyser,'Horiba Data'!AM144,'Testo, JUM &amp; MRU Data'!G145,'Thermo Data'!H144,'Testo, JUM &amp; MRU Data'!W145,GDF))</f>
        <v/>
      </c>
      <c r="K151" s="981" t="str">
        <f>IF(J151="","",Conc2(J151,J$9,MolVol,J$21,J$20,K$21,K$20))</f>
        <v/>
      </c>
      <c r="L151" s="981" t="str">
        <f>IF(L$17=FALSE,"",GasData(GasAnalyser,'Horiba Data'!AA144,'Testo, JUM &amp; MRU Data'!H145,'Thermo Data'!I144,'Testo, JUM &amp; MRU Data'!T145,GDF))</f>
        <v/>
      </c>
      <c r="M151" s="981" t="str">
        <f>IF(L151="","",Conc2(L151,L$9,MolVol,L$21,L$20,M$21,M$20))</f>
        <v/>
      </c>
      <c r="N151" s="981" t="str">
        <f>IF(N$17=FALSE,"",GasData(GasAnalyser,'Horiba Data'!AE144,'Testo, JUM &amp; MRU Data'!I145,'Thermo Data'!J144,'Testo, JUM &amp; MRU Data'!S145,GDF))</f>
        <v/>
      </c>
      <c r="O151" s="981" t="str">
        <f>IF(N151="","",Conc2(N151,N$9,MolVol,N$21,N$20,O$21,O$20))</f>
        <v/>
      </c>
      <c r="P151" s="981" t="str">
        <f>IF(P$17=FALSE,"",GasData(GasAnalyser,'Horiba Data'!AI144,'Testo, JUM &amp; MRU Data'!J145,'Thermo Data'!K144,'Testo, JUM &amp; MRU Data'!R145,GDF))</f>
        <v/>
      </c>
      <c r="Q151" s="981" t="str">
        <f>IF(P151="","",Conc2(P151,P$9,MolVol,P$21,P$20,Q$21,Q$20))</f>
        <v/>
      </c>
      <c r="R151" s="981" t="str">
        <f>IF(R$17=FALSE,"",JUMData('Testo, JUM &amp; MRU Data'!M145,$R$7))</f>
        <v/>
      </c>
      <c r="S151" s="982" t="str">
        <f>IF(R151="","",Conc2(R151,R$9,MolVol,R$21,R$20,S$21,S$20)/(1-Bws))</f>
        <v/>
      </c>
      <c r="T151" s="712"/>
      <c r="AR151" s="334"/>
      <c r="AS151" s="334"/>
      <c r="AT151" s="48"/>
      <c r="AU151" s="48"/>
      <c r="AV151" s="153"/>
      <c r="AW151" s="153"/>
      <c r="AX151" s="153"/>
      <c r="AY151" s="153"/>
      <c r="AZ151" s="153"/>
      <c r="BA151" s="153"/>
      <c r="BB151" s="153"/>
      <c r="BC151" s="153"/>
      <c r="BD151" s="153"/>
      <c r="BE151" s="153"/>
      <c r="BF151" s="153"/>
      <c r="BG151" s="153"/>
      <c r="BH151" s="153"/>
      <c r="BI151" s="153"/>
      <c r="BJ151" s="153"/>
      <c r="BK151" s="153"/>
      <c r="BL151" s="153"/>
      <c r="BM151" s="153"/>
      <c r="BN151" s="153"/>
      <c r="BO151" s="153"/>
      <c r="BP151" s="153"/>
      <c r="BQ151" s="153"/>
      <c r="BR151" s="153"/>
      <c r="BS151" s="153"/>
      <c r="BT151" s="153"/>
      <c r="BU151" s="153"/>
      <c r="BV151" s="153"/>
      <c r="BW151" s="153"/>
      <c r="BX151" s="153"/>
      <c r="BY151" s="153"/>
      <c r="BZ151" s="153"/>
      <c r="CA151" s="153"/>
      <c r="CB151" s="153"/>
      <c r="CC151" s="153"/>
      <c r="CD151" s="153"/>
      <c r="CE151" s="153"/>
      <c r="CF151" s="153"/>
      <c r="CG151" s="153"/>
      <c r="CH151" s="153"/>
      <c r="CI151" s="153"/>
      <c r="CJ151" s="153"/>
      <c r="CK151" s="153"/>
      <c r="CL151" s="153"/>
      <c r="CM151" s="153"/>
      <c r="CN151" s="153"/>
      <c r="CO151" s="153"/>
      <c r="CP151" s="153"/>
      <c r="CQ151" s="153"/>
      <c r="CR151" s="153"/>
      <c r="CS151" s="153"/>
      <c r="CT151" s="153"/>
      <c r="CU151" s="153"/>
      <c r="CV151" s="153"/>
      <c r="CW151" s="153"/>
      <c r="CX151" s="153"/>
      <c r="CY151" s="153"/>
      <c r="CZ151" s="153"/>
      <c r="DA151" s="153"/>
      <c r="DB151" s="153"/>
      <c r="DC151" s="153"/>
      <c r="DD151" s="153"/>
      <c r="DE151" s="153"/>
      <c r="DF151" s="153"/>
      <c r="DG151" s="153"/>
      <c r="DH151" s="153"/>
      <c r="DI151" s="153"/>
      <c r="DJ151" s="153"/>
      <c r="DK151" s="153"/>
      <c r="DL151" s="153"/>
      <c r="DM151" s="153"/>
      <c r="DN151" s="153"/>
      <c r="DO151" s="153"/>
      <c r="DP151" s="153"/>
      <c r="DQ151" s="153"/>
      <c r="DR151" s="153"/>
      <c r="DS151" s="153"/>
      <c r="DT151" s="153"/>
      <c r="DU151" s="153"/>
      <c r="DV151" s="153"/>
      <c r="DW151" s="153"/>
      <c r="DX151" s="153"/>
      <c r="DY151" s="153"/>
      <c r="DZ151" s="153"/>
      <c r="EA151" s="153"/>
      <c r="EB151" s="153"/>
      <c r="EC151" s="153"/>
      <c r="ED151" s="153"/>
      <c r="EE151" s="153"/>
      <c r="EF151" s="153"/>
      <c r="EG151" s="153"/>
      <c r="EH151" s="153"/>
      <c r="EI151" s="153"/>
      <c r="EJ151" s="153"/>
      <c r="EK151" s="153"/>
      <c r="EL151" s="153"/>
      <c r="EM151" s="153"/>
    </row>
    <row r="152" spans="1:143" s="107" customFormat="1" ht="10.5" hidden="1" customHeight="1" outlineLevel="1">
      <c r="A152" s="1548">
        <v>127</v>
      </c>
      <c r="B152" s="1560" t="str">
        <f t="shared" si="3"/>
        <v/>
      </c>
      <c r="C152" s="161" t="str">
        <f>GasTime(GasAnalyser,'Horiba Data'!F145,'Horiba Data'!G145,'Testo, JUM &amp; MRU Data'!A146,'Thermo Data'!B145,HourOffset)</f>
        <v/>
      </c>
      <c r="D152" s="981" t="str">
        <f>IF(D$17=FALSE,"",GasData(GasAnalyser,'Horiba Data'!S145,'Testo, JUM &amp; MRU Data'!D146,'Thermo Data'!E145,'Testo, JUM &amp; MRU Data'!U146,GDF))</f>
        <v/>
      </c>
      <c r="E152" s="981" t="str">
        <f>IF(D152="","",Conc2(D152,D$9,MolVol,D$21,D$20,E$21,E$20))</f>
        <v/>
      </c>
      <c r="F152" s="981" t="str">
        <f>IF(F$17=FALSE,"",GasData(GasAnalyser,'Horiba Data'!AQ145,'Testo, JUM &amp; MRU Data'!E146,'Thermo Data'!F145,'Testo, JUM &amp; MRU Data'!V146,GDF))</f>
        <v/>
      </c>
      <c r="G152" s="981" t="str">
        <f>IF(F152="","",Conc2(F152,F$9,MolVol,F$21,F$20,G$21,G$20))</f>
        <v/>
      </c>
      <c r="H152" s="981" t="str">
        <f>IF(D$17=FALSE,"",IF(F$17=FALSE,"",GasData(GasAnalyser,'Horiba Data'!W145,'Testo, JUM &amp; MRU Data'!F146,'Thermo Data'!G145,'Testo, JUM &amp; MRU Data'!Y146,GDF)))</f>
        <v/>
      </c>
      <c r="I152" s="981" t="str">
        <f>IF(H152="","",Conc2(H152,H$9,MolVol,H$21,H$20,I$21,I$20))</f>
        <v/>
      </c>
      <c r="J152" s="981" t="str">
        <f>IF(J$17=FALSE,"",GasData(GasAnalyser,'Horiba Data'!AM145,'Testo, JUM &amp; MRU Data'!G146,'Thermo Data'!H145,'Testo, JUM &amp; MRU Data'!W146,GDF))</f>
        <v/>
      </c>
      <c r="K152" s="981" t="str">
        <f>IF(J152="","",Conc2(J152,J$9,MolVol,J$21,J$20,K$21,K$20))</f>
        <v/>
      </c>
      <c r="L152" s="981" t="str">
        <f>IF(L$17=FALSE,"",GasData(GasAnalyser,'Horiba Data'!AA145,'Testo, JUM &amp; MRU Data'!H146,'Thermo Data'!I145,'Testo, JUM &amp; MRU Data'!T146,GDF))</f>
        <v/>
      </c>
      <c r="M152" s="981" t="str">
        <f>IF(L152="","",Conc2(L152,L$9,MolVol,L$21,L$20,M$21,M$20))</f>
        <v/>
      </c>
      <c r="N152" s="981" t="str">
        <f>IF(N$17=FALSE,"",GasData(GasAnalyser,'Horiba Data'!AE145,'Testo, JUM &amp; MRU Data'!I146,'Thermo Data'!J145,'Testo, JUM &amp; MRU Data'!S146,GDF))</f>
        <v/>
      </c>
      <c r="O152" s="981" t="str">
        <f>IF(N152="","",Conc2(N152,N$9,MolVol,N$21,N$20,O$21,O$20))</f>
        <v/>
      </c>
      <c r="P152" s="981" t="str">
        <f>IF(P$17=FALSE,"",GasData(GasAnalyser,'Horiba Data'!AI145,'Testo, JUM &amp; MRU Data'!J146,'Thermo Data'!K145,'Testo, JUM &amp; MRU Data'!R146,GDF))</f>
        <v/>
      </c>
      <c r="Q152" s="981" t="str">
        <f>IF(P152="","",Conc2(P152,P$9,MolVol,P$21,P$20,Q$21,Q$20))</f>
        <v/>
      </c>
      <c r="R152" s="981" t="str">
        <f>IF(R$17=FALSE,"",JUMData('Testo, JUM &amp; MRU Data'!M146,$R$7))</f>
        <v/>
      </c>
      <c r="S152" s="982" t="str">
        <f>IF(R152="","",Conc2(R152,R$9,MolVol,R$21,R$20,S$21,S$20)/(1-Bws))</f>
        <v/>
      </c>
      <c r="T152" s="712"/>
      <c r="AR152" s="334"/>
      <c r="AS152" s="334"/>
      <c r="AT152" s="48"/>
      <c r="AU152" s="48"/>
      <c r="AV152" s="153"/>
      <c r="AW152" s="153"/>
      <c r="AX152" s="153"/>
      <c r="AY152" s="153"/>
      <c r="AZ152" s="153"/>
      <c r="BA152" s="153"/>
      <c r="BB152" s="153"/>
      <c r="BC152" s="153"/>
      <c r="BD152" s="153"/>
      <c r="BE152" s="153"/>
      <c r="BF152" s="153"/>
      <c r="BG152" s="153"/>
      <c r="BH152" s="153"/>
      <c r="BI152" s="153"/>
      <c r="BJ152" s="153"/>
      <c r="BK152" s="153"/>
      <c r="BL152" s="153"/>
      <c r="BM152" s="153"/>
      <c r="BN152" s="153"/>
      <c r="BO152" s="153"/>
      <c r="BP152" s="153"/>
      <c r="BQ152" s="153"/>
      <c r="BR152" s="153"/>
      <c r="BS152" s="153"/>
      <c r="BT152" s="153"/>
      <c r="BU152" s="153"/>
      <c r="BV152" s="153"/>
      <c r="BW152" s="153"/>
      <c r="BX152" s="153"/>
      <c r="BY152" s="153"/>
      <c r="BZ152" s="153"/>
      <c r="CA152" s="153"/>
      <c r="CB152" s="153"/>
      <c r="CC152" s="153"/>
      <c r="CD152" s="153"/>
      <c r="CE152" s="153"/>
      <c r="CF152" s="153"/>
      <c r="CG152" s="153"/>
      <c r="CH152" s="153"/>
      <c r="CI152" s="153"/>
      <c r="CJ152" s="153"/>
      <c r="CK152" s="153"/>
      <c r="CL152" s="153"/>
      <c r="CM152" s="153"/>
      <c r="CN152" s="153"/>
      <c r="CO152" s="153"/>
      <c r="CP152" s="153"/>
      <c r="CQ152" s="153"/>
      <c r="CR152" s="153"/>
      <c r="CS152" s="153"/>
      <c r="CT152" s="153"/>
      <c r="CU152" s="153"/>
      <c r="CV152" s="153"/>
      <c r="CW152" s="153"/>
      <c r="CX152" s="153"/>
      <c r="CY152" s="153"/>
      <c r="CZ152" s="153"/>
      <c r="DA152" s="153"/>
      <c r="DB152" s="153"/>
      <c r="DC152" s="153"/>
      <c r="DD152" s="153"/>
      <c r="DE152" s="153"/>
      <c r="DF152" s="153"/>
      <c r="DG152" s="153"/>
      <c r="DH152" s="153"/>
      <c r="DI152" s="153"/>
      <c r="DJ152" s="153"/>
      <c r="DK152" s="153"/>
      <c r="DL152" s="153"/>
      <c r="DM152" s="153"/>
      <c r="DN152" s="153"/>
      <c r="DO152" s="153"/>
      <c r="DP152" s="153"/>
      <c r="DQ152" s="153"/>
      <c r="DR152" s="153"/>
      <c r="DS152" s="153"/>
      <c r="DT152" s="153"/>
      <c r="DU152" s="153"/>
      <c r="DV152" s="153"/>
      <c r="DW152" s="153"/>
      <c r="DX152" s="153"/>
      <c r="DY152" s="153"/>
      <c r="DZ152" s="153"/>
      <c r="EA152" s="153"/>
      <c r="EB152" s="153"/>
      <c r="EC152" s="153"/>
      <c r="ED152" s="153"/>
      <c r="EE152" s="153"/>
      <c r="EF152" s="153"/>
      <c r="EG152" s="153"/>
      <c r="EH152" s="153"/>
      <c r="EI152" s="153"/>
      <c r="EJ152" s="153"/>
      <c r="EK152" s="153"/>
      <c r="EL152" s="153"/>
      <c r="EM152" s="153"/>
    </row>
    <row r="153" spans="1:143" s="107" customFormat="1" ht="10.5" hidden="1" customHeight="1" outlineLevel="1">
      <c r="A153" s="1548">
        <v>128</v>
      </c>
      <c r="B153" s="1560" t="str">
        <f t="shared" si="3"/>
        <v/>
      </c>
      <c r="C153" s="161" t="str">
        <f>GasTime(GasAnalyser,'Horiba Data'!F146,'Horiba Data'!G146,'Testo, JUM &amp; MRU Data'!A147,'Thermo Data'!B146,HourOffset)</f>
        <v/>
      </c>
      <c r="D153" s="981" t="str">
        <f>IF(D$17=FALSE,"",GasData(GasAnalyser,'Horiba Data'!S146,'Testo, JUM &amp; MRU Data'!D147,'Thermo Data'!E146,'Testo, JUM &amp; MRU Data'!U147,GDF))</f>
        <v/>
      </c>
      <c r="E153" s="981" t="str">
        <f>IF(D153="","",Conc2(D153,D$9,MolVol,D$21,D$20,E$21,E$20))</f>
        <v/>
      </c>
      <c r="F153" s="981" t="str">
        <f>IF(F$17=FALSE,"",GasData(GasAnalyser,'Horiba Data'!AQ146,'Testo, JUM &amp; MRU Data'!E147,'Thermo Data'!F146,'Testo, JUM &amp; MRU Data'!V147,GDF))</f>
        <v/>
      </c>
      <c r="G153" s="981" t="str">
        <f>IF(F153="","",Conc2(F153,F$9,MolVol,F$21,F$20,G$21,G$20))</f>
        <v/>
      </c>
      <c r="H153" s="981" t="str">
        <f>IF(D$17=FALSE,"",IF(F$17=FALSE,"",GasData(GasAnalyser,'Horiba Data'!W146,'Testo, JUM &amp; MRU Data'!F147,'Thermo Data'!G146,'Testo, JUM &amp; MRU Data'!Y147,GDF)))</f>
        <v/>
      </c>
      <c r="I153" s="981" t="str">
        <f>IF(H153="","",Conc2(H153,H$9,MolVol,H$21,H$20,I$21,I$20))</f>
        <v/>
      </c>
      <c r="J153" s="981" t="str">
        <f>IF(J$17=FALSE,"",GasData(GasAnalyser,'Horiba Data'!AM146,'Testo, JUM &amp; MRU Data'!G147,'Thermo Data'!H146,'Testo, JUM &amp; MRU Data'!W147,GDF))</f>
        <v/>
      </c>
      <c r="K153" s="981" t="str">
        <f>IF(J153="","",Conc2(J153,J$9,MolVol,J$21,J$20,K$21,K$20))</f>
        <v/>
      </c>
      <c r="L153" s="981" t="str">
        <f>IF(L$17=FALSE,"",GasData(GasAnalyser,'Horiba Data'!AA146,'Testo, JUM &amp; MRU Data'!H147,'Thermo Data'!I146,'Testo, JUM &amp; MRU Data'!T147,GDF))</f>
        <v/>
      </c>
      <c r="M153" s="981" t="str">
        <f>IF(L153="","",Conc2(L153,L$9,MolVol,L$21,L$20,M$21,M$20))</f>
        <v/>
      </c>
      <c r="N153" s="981" t="str">
        <f>IF(N$17=FALSE,"",GasData(GasAnalyser,'Horiba Data'!AE146,'Testo, JUM &amp; MRU Data'!I147,'Thermo Data'!J146,'Testo, JUM &amp; MRU Data'!S147,GDF))</f>
        <v/>
      </c>
      <c r="O153" s="981" t="str">
        <f>IF(N153="","",Conc2(N153,N$9,MolVol,N$21,N$20,O$21,O$20))</f>
        <v/>
      </c>
      <c r="P153" s="981" t="str">
        <f>IF(P$17=FALSE,"",GasData(GasAnalyser,'Horiba Data'!AI146,'Testo, JUM &amp; MRU Data'!J147,'Thermo Data'!K146,'Testo, JUM &amp; MRU Data'!R147,GDF))</f>
        <v/>
      </c>
      <c r="Q153" s="981" t="str">
        <f>IF(P153="","",Conc2(P153,P$9,MolVol,P$21,P$20,Q$21,Q$20))</f>
        <v/>
      </c>
      <c r="R153" s="981" t="str">
        <f>IF(R$17=FALSE,"",JUMData('Testo, JUM &amp; MRU Data'!M147,$R$7))</f>
        <v/>
      </c>
      <c r="S153" s="982" t="str">
        <f>IF(R153="","",Conc2(R153,R$9,MolVol,R$21,R$20,S$21,S$20)/(1-Bws))</f>
        <v/>
      </c>
      <c r="T153" s="712"/>
      <c r="AR153" s="334"/>
      <c r="AS153" s="334"/>
      <c r="AT153" s="48"/>
      <c r="AU153" s="48"/>
      <c r="AV153" s="153"/>
      <c r="AW153" s="153"/>
      <c r="AX153" s="153"/>
      <c r="AY153" s="153"/>
      <c r="AZ153" s="153"/>
      <c r="BA153" s="153"/>
      <c r="BB153" s="153"/>
      <c r="BC153" s="153"/>
      <c r="BD153" s="153"/>
      <c r="BE153" s="153"/>
      <c r="BF153" s="153"/>
      <c r="BG153" s="153"/>
      <c r="BH153" s="153"/>
      <c r="BI153" s="153"/>
      <c r="BJ153" s="153"/>
      <c r="BK153" s="153"/>
      <c r="BL153" s="153"/>
      <c r="BM153" s="153"/>
      <c r="BN153" s="153"/>
      <c r="BO153" s="153"/>
      <c r="BP153" s="153"/>
      <c r="BQ153" s="153"/>
      <c r="BR153" s="153"/>
      <c r="BS153" s="153"/>
      <c r="BT153" s="153"/>
      <c r="BU153" s="153"/>
      <c r="BV153" s="153"/>
      <c r="BW153" s="153"/>
      <c r="BX153" s="153"/>
      <c r="BY153" s="153"/>
      <c r="BZ153" s="153"/>
      <c r="CA153" s="153"/>
      <c r="CB153" s="153"/>
      <c r="CC153" s="153"/>
      <c r="CD153" s="153"/>
      <c r="CE153" s="153"/>
      <c r="CF153" s="153"/>
      <c r="CG153" s="153"/>
      <c r="CH153" s="153"/>
      <c r="CI153" s="153"/>
      <c r="CJ153" s="153"/>
      <c r="CK153" s="153"/>
      <c r="CL153" s="153"/>
      <c r="CM153" s="153"/>
      <c r="CN153" s="153"/>
      <c r="CO153" s="153"/>
      <c r="CP153" s="153"/>
      <c r="CQ153" s="153"/>
      <c r="CR153" s="153"/>
      <c r="CS153" s="153"/>
      <c r="CT153" s="153"/>
      <c r="CU153" s="153"/>
      <c r="CV153" s="153"/>
      <c r="CW153" s="153"/>
      <c r="CX153" s="153"/>
      <c r="CY153" s="153"/>
      <c r="CZ153" s="153"/>
      <c r="DA153" s="153"/>
      <c r="DB153" s="153"/>
      <c r="DC153" s="153"/>
      <c r="DD153" s="153"/>
      <c r="DE153" s="153"/>
      <c r="DF153" s="153"/>
      <c r="DG153" s="153"/>
      <c r="DH153" s="153"/>
      <c r="DI153" s="153"/>
      <c r="DJ153" s="153"/>
      <c r="DK153" s="153"/>
      <c r="DL153" s="153"/>
      <c r="DM153" s="153"/>
      <c r="DN153" s="153"/>
      <c r="DO153" s="153"/>
      <c r="DP153" s="153"/>
      <c r="DQ153" s="153"/>
      <c r="DR153" s="153"/>
      <c r="DS153" s="153"/>
      <c r="DT153" s="153"/>
      <c r="DU153" s="153"/>
      <c r="DV153" s="153"/>
      <c r="DW153" s="153"/>
      <c r="DX153" s="153"/>
      <c r="DY153" s="153"/>
      <c r="DZ153" s="153"/>
      <c r="EA153" s="153"/>
      <c r="EB153" s="153"/>
      <c r="EC153" s="153"/>
      <c r="ED153" s="153"/>
      <c r="EE153" s="153"/>
      <c r="EF153" s="153"/>
      <c r="EG153" s="153"/>
      <c r="EH153" s="153"/>
      <c r="EI153" s="153"/>
      <c r="EJ153" s="153"/>
      <c r="EK153" s="153"/>
      <c r="EL153" s="153"/>
      <c r="EM153" s="153"/>
    </row>
    <row r="154" spans="1:143" s="107" customFormat="1" ht="10.5" hidden="1" customHeight="1" outlineLevel="1">
      <c r="A154" s="1548">
        <v>129</v>
      </c>
      <c r="B154" s="1560" t="str">
        <f t="shared" si="3"/>
        <v/>
      </c>
      <c r="C154" s="161" t="str">
        <f>GasTime(GasAnalyser,'Horiba Data'!F147,'Horiba Data'!G147,'Testo, JUM &amp; MRU Data'!A148,'Thermo Data'!B147,HourOffset)</f>
        <v/>
      </c>
      <c r="D154" s="981" t="str">
        <f>IF(D$17=FALSE,"",GasData(GasAnalyser,'Horiba Data'!S147,'Testo, JUM &amp; MRU Data'!D148,'Thermo Data'!E147,'Testo, JUM &amp; MRU Data'!U148,GDF))</f>
        <v/>
      </c>
      <c r="E154" s="981" t="str">
        <f>IF(D154="","",Conc2(D154,D$9,MolVol,D$21,D$20,E$21,E$20))</f>
        <v/>
      </c>
      <c r="F154" s="981" t="str">
        <f>IF(F$17=FALSE,"",GasData(GasAnalyser,'Horiba Data'!AQ147,'Testo, JUM &amp; MRU Data'!E148,'Thermo Data'!F147,'Testo, JUM &amp; MRU Data'!V148,GDF))</f>
        <v/>
      </c>
      <c r="G154" s="981" t="str">
        <f>IF(F154="","",Conc2(F154,F$9,MolVol,F$21,F$20,G$21,G$20))</f>
        <v/>
      </c>
      <c r="H154" s="981" t="str">
        <f>IF(D$17=FALSE,"",IF(F$17=FALSE,"",GasData(GasAnalyser,'Horiba Data'!W147,'Testo, JUM &amp; MRU Data'!F148,'Thermo Data'!G147,'Testo, JUM &amp; MRU Data'!Y148,GDF)))</f>
        <v/>
      </c>
      <c r="I154" s="981" t="str">
        <f>IF(H154="","",Conc2(H154,H$9,MolVol,H$21,H$20,I$21,I$20))</f>
        <v/>
      </c>
      <c r="J154" s="981" t="str">
        <f>IF(J$17=FALSE,"",GasData(GasAnalyser,'Horiba Data'!AM147,'Testo, JUM &amp; MRU Data'!G148,'Thermo Data'!H147,'Testo, JUM &amp; MRU Data'!W148,GDF))</f>
        <v/>
      </c>
      <c r="K154" s="981" t="str">
        <f>IF(J154="","",Conc2(J154,J$9,MolVol,J$21,J$20,K$21,K$20))</f>
        <v/>
      </c>
      <c r="L154" s="981" t="str">
        <f>IF(L$17=FALSE,"",GasData(GasAnalyser,'Horiba Data'!AA147,'Testo, JUM &amp; MRU Data'!H148,'Thermo Data'!I147,'Testo, JUM &amp; MRU Data'!T148,GDF))</f>
        <v/>
      </c>
      <c r="M154" s="981" t="str">
        <f>IF(L154="","",Conc2(L154,L$9,MolVol,L$21,L$20,M$21,M$20))</f>
        <v/>
      </c>
      <c r="N154" s="981" t="str">
        <f>IF(N$17=FALSE,"",GasData(GasAnalyser,'Horiba Data'!AE147,'Testo, JUM &amp; MRU Data'!I148,'Thermo Data'!J147,'Testo, JUM &amp; MRU Data'!S148,GDF))</f>
        <v/>
      </c>
      <c r="O154" s="981" t="str">
        <f>IF(N154="","",Conc2(N154,N$9,MolVol,N$21,N$20,O$21,O$20))</f>
        <v/>
      </c>
      <c r="P154" s="981" t="str">
        <f>IF(P$17=FALSE,"",GasData(GasAnalyser,'Horiba Data'!AI147,'Testo, JUM &amp; MRU Data'!J148,'Thermo Data'!K147,'Testo, JUM &amp; MRU Data'!R148,GDF))</f>
        <v/>
      </c>
      <c r="Q154" s="981" t="str">
        <f>IF(P154="","",Conc2(P154,P$9,MolVol,P$21,P$20,Q$21,Q$20))</f>
        <v/>
      </c>
      <c r="R154" s="981" t="str">
        <f>IF(R$17=FALSE,"",JUMData('Testo, JUM &amp; MRU Data'!M148,$R$7))</f>
        <v/>
      </c>
      <c r="S154" s="982" t="str">
        <f>IF(R154="","",Conc2(R154,R$9,MolVol,R$21,R$20,S$21,S$20)/(1-Bws))</f>
        <v/>
      </c>
      <c r="T154" s="712"/>
      <c r="AR154" s="334"/>
      <c r="AS154" s="334"/>
      <c r="AT154" s="48"/>
      <c r="AU154" s="48"/>
      <c r="AV154" s="153"/>
      <c r="AW154" s="153"/>
      <c r="AX154" s="153"/>
      <c r="AY154" s="153"/>
      <c r="AZ154" s="153"/>
      <c r="BA154" s="153"/>
      <c r="BB154" s="153"/>
      <c r="BC154" s="153"/>
      <c r="BD154" s="153"/>
      <c r="BE154" s="153"/>
      <c r="BF154" s="153"/>
      <c r="BG154" s="153"/>
      <c r="BH154" s="153"/>
      <c r="BI154" s="153"/>
      <c r="BJ154" s="153"/>
      <c r="BK154" s="153"/>
      <c r="BL154" s="153"/>
      <c r="BM154" s="153"/>
      <c r="BN154" s="153"/>
      <c r="BO154" s="153"/>
      <c r="BP154" s="153"/>
      <c r="BQ154" s="153"/>
      <c r="BR154" s="153"/>
      <c r="BS154" s="153"/>
      <c r="BT154" s="153"/>
      <c r="BU154" s="153"/>
      <c r="BV154" s="153"/>
      <c r="BW154" s="153"/>
      <c r="BX154" s="153"/>
      <c r="BY154" s="153"/>
      <c r="BZ154" s="153"/>
      <c r="CA154" s="153"/>
      <c r="CB154" s="153"/>
      <c r="CC154" s="153"/>
      <c r="CD154" s="153"/>
      <c r="CE154" s="153"/>
      <c r="CF154" s="153"/>
      <c r="CG154" s="153"/>
      <c r="CH154" s="153"/>
      <c r="CI154" s="153"/>
      <c r="CJ154" s="153"/>
      <c r="CK154" s="153"/>
      <c r="CL154" s="153"/>
      <c r="CM154" s="153"/>
      <c r="CN154" s="153"/>
      <c r="CO154" s="153"/>
      <c r="CP154" s="153"/>
      <c r="CQ154" s="153"/>
      <c r="CR154" s="153"/>
      <c r="CS154" s="153"/>
      <c r="CT154" s="153"/>
      <c r="CU154" s="153"/>
      <c r="CV154" s="153"/>
      <c r="CW154" s="153"/>
      <c r="CX154" s="153"/>
      <c r="CY154" s="153"/>
      <c r="CZ154" s="153"/>
      <c r="DA154" s="153"/>
      <c r="DB154" s="153"/>
      <c r="DC154" s="153"/>
      <c r="DD154" s="153"/>
      <c r="DE154" s="153"/>
      <c r="DF154" s="153"/>
      <c r="DG154" s="153"/>
      <c r="DH154" s="153"/>
      <c r="DI154" s="153"/>
      <c r="DJ154" s="153"/>
      <c r="DK154" s="153"/>
      <c r="DL154" s="153"/>
      <c r="DM154" s="153"/>
      <c r="DN154" s="153"/>
      <c r="DO154" s="153"/>
      <c r="DP154" s="153"/>
      <c r="DQ154" s="153"/>
      <c r="DR154" s="153"/>
      <c r="DS154" s="153"/>
      <c r="DT154" s="153"/>
      <c r="DU154" s="153"/>
      <c r="DV154" s="153"/>
      <c r="DW154" s="153"/>
      <c r="DX154" s="153"/>
      <c r="DY154" s="153"/>
      <c r="DZ154" s="153"/>
      <c r="EA154" s="153"/>
      <c r="EB154" s="153"/>
      <c r="EC154" s="153"/>
      <c r="ED154" s="153"/>
      <c r="EE154" s="153"/>
      <c r="EF154" s="153"/>
      <c r="EG154" s="153"/>
      <c r="EH154" s="153"/>
      <c r="EI154" s="153"/>
      <c r="EJ154" s="153"/>
      <c r="EK154" s="153"/>
      <c r="EL154" s="153"/>
      <c r="EM154" s="153"/>
    </row>
    <row r="155" spans="1:143" s="107" customFormat="1" ht="10.5" hidden="1" customHeight="1" outlineLevel="1">
      <c r="A155" s="1548">
        <v>130</v>
      </c>
      <c r="B155" s="1560" t="str">
        <f t="shared" ref="B155:B218" si="4">IF(C155="","",VALUE(C155))</f>
        <v/>
      </c>
      <c r="C155" s="161" t="str">
        <f>GasTime(GasAnalyser,'Horiba Data'!F148,'Horiba Data'!G148,'Testo, JUM &amp; MRU Data'!A149,'Thermo Data'!B148,HourOffset)</f>
        <v/>
      </c>
      <c r="D155" s="981" t="str">
        <f>IF(D$17=FALSE,"",GasData(GasAnalyser,'Horiba Data'!S148,'Testo, JUM &amp; MRU Data'!D149,'Thermo Data'!E148,'Testo, JUM &amp; MRU Data'!U149,GDF))</f>
        <v/>
      </c>
      <c r="E155" s="981" t="str">
        <f>IF(D155="","",Conc2(D155,D$9,MolVol,D$21,D$20,E$21,E$20))</f>
        <v/>
      </c>
      <c r="F155" s="981" t="str">
        <f>IF(F$17=FALSE,"",GasData(GasAnalyser,'Horiba Data'!AQ148,'Testo, JUM &amp; MRU Data'!E149,'Thermo Data'!F148,'Testo, JUM &amp; MRU Data'!V149,GDF))</f>
        <v/>
      </c>
      <c r="G155" s="981" t="str">
        <f>IF(F155="","",Conc2(F155,F$9,MolVol,F$21,F$20,G$21,G$20))</f>
        <v/>
      </c>
      <c r="H155" s="981" t="str">
        <f>IF(D$17=FALSE,"",IF(F$17=FALSE,"",GasData(GasAnalyser,'Horiba Data'!W148,'Testo, JUM &amp; MRU Data'!F149,'Thermo Data'!G148,'Testo, JUM &amp; MRU Data'!Y149,GDF)))</f>
        <v/>
      </c>
      <c r="I155" s="981" t="str">
        <f>IF(H155="","",Conc2(H155,H$9,MolVol,H$21,H$20,I$21,I$20))</f>
        <v/>
      </c>
      <c r="J155" s="981" t="str">
        <f>IF(J$17=FALSE,"",GasData(GasAnalyser,'Horiba Data'!AM148,'Testo, JUM &amp; MRU Data'!G149,'Thermo Data'!H148,'Testo, JUM &amp; MRU Data'!W149,GDF))</f>
        <v/>
      </c>
      <c r="K155" s="981" t="str">
        <f>IF(J155="","",Conc2(J155,J$9,MolVol,J$21,J$20,K$21,K$20))</f>
        <v/>
      </c>
      <c r="L155" s="981" t="str">
        <f>IF(L$17=FALSE,"",GasData(GasAnalyser,'Horiba Data'!AA148,'Testo, JUM &amp; MRU Data'!H149,'Thermo Data'!I148,'Testo, JUM &amp; MRU Data'!T149,GDF))</f>
        <v/>
      </c>
      <c r="M155" s="981" t="str">
        <f>IF(L155="","",Conc2(L155,L$9,MolVol,L$21,L$20,M$21,M$20))</f>
        <v/>
      </c>
      <c r="N155" s="981" t="str">
        <f>IF(N$17=FALSE,"",GasData(GasAnalyser,'Horiba Data'!AE148,'Testo, JUM &amp; MRU Data'!I149,'Thermo Data'!J148,'Testo, JUM &amp; MRU Data'!S149,GDF))</f>
        <v/>
      </c>
      <c r="O155" s="981" t="str">
        <f>IF(N155="","",Conc2(N155,N$9,MolVol,N$21,N$20,O$21,O$20))</f>
        <v/>
      </c>
      <c r="P155" s="981" t="str">
        <f>IF(P$17=FALSE,"",GasData(GasAnalyser,'Horiba Data'!AI148,'Testo, JUM &amp; MRU Data'!J149,'Thermo Data'!K148,'Testo, JUM &amp; MRU Data'!R149,GDF))</f>
        <v/>
      </c>
      <c r="Q155" s="981" t="str">
        <f>IF(P155="","",Conc2(P155,P$9,MolVol,P$21,P$20,Q$21,Q$20))</f>
        <v/>
      </c>
      <c r="R155" s="981" t="str">
        <f>IF(R$17=FALSE,"",JUMData('Testo, JUM &amp; MRU Data'!M149,$R$7))</f>
        <v/>
      </c>
      <c r="S155" s="982" t="str">
        <f>IF(R155="","",Conc2(R155,R$9,MolVol,R$21,R$20,S$21,S$20)/(1-Bws))</f>
        <v/>
      </c>
      <c r="T155" s="712"/>
      <c r="AR155" s="334"/>
      <c r="AS155" s="334"/>
      <c r="AT155" s="48"/>
      <c r="AU155" s="48"/>
      <c r="AV155" s="153"/>
      <c r="AW155" s="153"/>
      <c r="AX155" s="153"/>
      <c r="AY155" s="153"/>
      <c r="AZ155" s="153"/>
      <c r="BA155" s="153"/>
      <c r="BB155" s="153"/>
      <c r="BC155" s="153"/>
      <c r="BD155" s="153"/>
      <c r="BE155" s="153"/>
      <c r="BF155" s="153"/>
      <c r="BG155" s="153"/>
      <c r="BH155" s="153"/>
      <c r="BI155" s="153"/>
      <c r="BJ155" s="153"/>
      <c r="BK155" s="153"/>
      <c r="BL155" s="153"/>
      <c r="BM155" s="153"/>
      <c r="BN155" s="153"/>
      <c r="BO155" s="153"/>
      <c r="BP155" s="153"/>
      <c r="BQ155" s="153"/>
      <c r="BR155" s="153"/>
      <c r="BS155" s="153"/>
      <c r="BT155" s="153"/>
      <c r="BU155" s="153"/>
      <c r="BV155" s="153"/>
      <c r="BW155" s="153"/>
      <c r="BX155" s="153"/>
      <c r="BY155" s="153"/>
      <c r="BZ155" s="153"/>
      <c r="CA155" s="153"/>
      <c r="CB155" s="153"/>
      <c r="CC155" s="153"/>
      <c r="CD155" s="153"/>
      <c r="CE155" s="153"/>
      <c r="CF155" s="153"/>
      <c r="CG155" s="153"/>
      <c r="CH155" s="153"/>
      <c r="CI155" s="153"/>
      <c r="CJ155" s="153"/>
      <c r="CK155" s="153"/>
      <c r="CL155" s="153"/>
      <c r="CM155" s="153"/>
      <c r="CN155" s="153"/>
      <c r="CO155" s="153"/>
      <c r="CP155" s="153"/>
      <c r="CQ155" s="153"/>
      <c r="CR155" s="153"/>
      <c r="CS155" s="153"/>
      <c r="CT155" s="153"/>
      <c r="CU155" s="153"/>
      <c r="CV155" s="153"/>
      <c r="CW155" s="153"/>
      <c r="CX155" s="153"/>
      <c r="CY155" s="153"/>
      <c r="CZ155" s="153"/>
      <c r="DA155" s="153"/>
      <c r="DB155" s="153"/>
      <c r="DC155" s="153"/>
      <c r="DD155" s="153"/>
      <c r="DE155" s="153"/>
      <c r="DF155" s="153"/>
      <c r="DG155" s="153"/>
      <c r="DH155" s="153"/>
      <c r="DI155" s="153"/>
      <c r="DJ155" s="153"/>
      <c r="DK155" s="153"/>
      <c r="DL155" s="153"/>
      <c r="DM155" s="153"/>
      <c r="DN155" s="153"/>
      <c r="DO155" s="153"/>
      <c r="DP155" s="153"/>
      <c r="DQ155" s="153"/>
      <c r="DR155" s="153"/>
      <c r="DS155" s="153"/>
      <c r="DT155" s="153"/>
      <c r="DU155" s="153"/>
      <c r="DV155" s="153"/>
      <c r="DW155" s="153"/>
      <c r="DX155" s="153"/>
      <c r="DY155" s="153"/>
      <c r="DZ155" s="153"/>
      <c r="EA155" s="153"/>
      <c r="EB155" s="153"/>
      <c r="EC155" s="153"/>
      <c r="ED155" s="153"/>
      <c r="EE155" s="153"/>
      <c r="EF155" s="153"/>
      <c r="EG155" s="153"/>
      <c r="EH155" s="153"/>
      <c r="EI155" s="153"/>
      <c r="EJ155" s="153"/>
      <c r="EK155" s="153"/>
      <c r="EL155" s="153"/>
      <c r="EM155" s="153"/>
    </row>
    <row r="156" spans="1:143" s="107" customFormat="1" ht="10.5" hidden="1" customHeight="1" outlineLevel="1">
      <c r="A156" s="1548">
        <v>131</v>
      </c>
      <c r="B156" s="1560" t="str">
        <f t="shared" si="4"/>
        <v/>
      </c>
      <c r="C156" s="161" t="str">
        <f>GasTime(GasAnalyser,'Horiba Data'!F149,'Horiba Data'!G149,'Testo, JUM &amp; MRU Data'!A150,'Thermo Data'!B149,HourOffset)</f>
        <v/>
      </c>
      <c r="D156" s="981" t="str">
        <f>IF(D$17=FALSE,"",GasData(GasAnalyser,'Horiba Data'!S149,'Testo, JUM &amp; MRU Data'!D150,'Thermo Data'!E149,'Testo, JUM &amp; MRU Data'!U150,GDF))</f>
        <v/>
      </c>
      <c r="E156" s="981" t="str">
        <f>IF(D156="","",Conc2(D156,D$9,MolVol,D$21,D$20,E$21,E$20))</f>
        <v/>
      </c>
      <c r="F156" s="981" t="str">
        <f>IF(F$17=FALSE,"",GasData(GasAnalyser,'Horiba Data'!AQ149,'Testo, JUM &amp; MRU Data'!E150,'Thermo Data'!F149,'Testo, JUM &amp; MRU Data'!V150,GDF))</f>
        <v/>
      </c>
      <c r="G156" s="981" t="str">
        <f>IF(F156="","",Conc2(F156,F$9,MolVol,F$21,F$20,G$21,G$20))</f>
        <v/>
      </c>
      <c r="H156" s="981" t="str">
        <f>IF(D$17=FALSE,"",IF(F$17=FALSE,"",GasData(GasAnalyser,'Horiba Data'!W149,'Testo, JUM &amp; MRU Data'!F150,'Thermo Data'!G149,'Testo, JUM &amp; MRU Data'!Y150,GDF)))</f>
        <v/>
      </c>
      <c r="I156" s="981" t="str">
        <f>IF(H156="","",Conc2(H156,H$9,MolVol,H$21,H$20,I$21,I$20))</f>
        <v/>
      </c>
      <c r="J156" s="981" t="str">
        <f>IF(J$17=FALSE,"",GasData(GasAnalyser,'Horiba Data'!AM149,'Testo, JUM &amp; MRU Data'!G150,'Thermo Data'!H149,'Testo, JUM &amp; MRU Data'!W150,GDF))</f>
        <v/>
      </c>
      <c r="K156" s="981" t="str">
        <f>IF(J156="","",Conc2(J156,J$9,MolVol,J$21,J$20,K$21,K$20))</f>
        <v/>
      </c>
      <c r="L156" s="981" t="str">
        <f>IF(L$17=FALSE,"",GasData(GasAnalyser,'Horiba Data'!AA149,'Testo, JUM &amp; MRU Data'!H150,'Thermo Data'!I149,'Testo, JUM &amp; MRU Data'!T150,GDF))</f>
        <v/>
      </c>
      <c r="M156" s="981" t="str">
        <f>IF(L156="","",Conc2(L156,L$9,MolVol,L$21,L$20,M$21,M$20))</f>
        <v/>
      </c>
      <c r="N156" s="981" t="str">
        <f>IF(N$17=FALSE,"",GasData(GasAnalyser,'Horiba Data'!AE149,'Testo, JUM &amp; MRU Data'!I150,'Thermo Data'!J149,'Testo, JUM &amp; MRU Data'!S150,GDF))</f>
        <v/>
      </c>
      <c r="O156" s="981" t="str">
        <f>IF(N156="","",Conc2(N156,N$9,MolVol,N$21,N$20,O$21,O$20))</f>
        <v/>
      </c>
      <c r="P156" s="981" t="str">
        <f>IF(P$17=FALSE,"",GasData(GasAnalyser,'Horiba Data'!AI149,'Testo, JUM &amp; MRU Data'!J150,'Thermo Data'!K149,'Testo, JUM &amp; MRU Data'!R150,GDF))</f>
        <v/>
      </c>
      <c r="Q156" s="981" t="str">
        <f>IF(P156="","",Conc2(P156,P$9,MolVol,P$21,P$20,Q$21,Q$20))</f>
        <v/>
      </c>
      <c r="R156" s="981" t="str">
        <f>IF(R$17=FALSE,"",JUMData('Testo, JUM &amp; MRU Data'!M150,$R$7))</f>
        <v/>
      </c>
      <c r="S156" s="982" t="str">
        <f>IF(R156="","",Conc2(R156,R$9,MolVol,R$21,R$20,S$21,S$20)/(1-Bws))</f>
        <v/>
      </c>
      <c r="T156" s="712"/>
      <c r="AR156" s="334"/>
      <c r="AS156" s="334"/>
      <c r="AT156" s="48"/>
      <c r="AU156" s="48"/>
      <c r="AV156" s="153"/>
      <c r="AW156" s="153"/>
      <c r="AX156" s="153"/>
      <c r="AY156" s="153"/>
      <c r="AZ156" s="153"/>
      <c r="BA156" s="153"/>
      <c r="BB156" s="153"/>
      <c r="BC156" s="153"/>
      <c r="BD156" s="153"/>
      <c r="BE156" s="153"/>
      <c r="BF156" s="153"/>
      <c r="BG156" s="153"/>
      <c r="BH156" s="153"/>
      <c r="BI156" s="153"/>
      <c r="BJ156" s="153"/>
      <c r="BK156" s="153"/>
      <c r="BL156" s="153"/>
      <c r="BM156" s="153"/>
      <c r="BN156" s="153"/>
      <c r="BO156" s="153"/>
      <c r="BP156" s="153"/>
      <c r="BQ156" s="153"/>
      <c r="BR156" s="153"/>
      <c r="BS156" s="153"/>
      <c r="BT156" s="153"/>
      <c r="BU156" s="153"/>
      <c r="BV156" s="153"/>
      <c r="BW156" s="153"/>
      <c r="BX156" s="153"/>
      <c r="BY156" s="153"/>
      <c r="BZ156" s="153"/>
      <c r="CA156" s="153"/>
      <c r="CB156" s="153"/>
      <c r="CC156" s="153"/>
      <c r="CD156" s="153"/>
      <c r="CE156" s="153"/>
      <c r="CF156" s="153"/>
      <c r="CG156" s="153"/>
      <c r="CH156" s="153"/>
      <c r="CI156" s="153"/>
      <c r="CJ156" s="153"/>
      <c r="CK156" s="153"/>
      <c r="CL156" s="153"/>
      <c r="CM156" s="153"/>
      <c r="CN156" s="153"/>
      <c r="CO156" s="153"/>
      <c r="CP156" s="153"/>
      <c r="CQ156" s="153"/>
      <c r="CR156" s="153"/>
      <c r="CS156" s="153"/>
      <c r="CT156" s="153"/>
      <c r="CU156" s="153"/>
      <c r="CV156" s="153"/>
      <c r="CW156" s="153"/>
      <c r="CX156" s="153"/>
      <c r="CY156" s="153"/>
      <c r="CZ156" s="153"/>
      <c r="DA156" s="153"/>
      <c r="DB156" s="153"/>
      <c r="DC156" s="153"/>
      <c r="DD156" s="153"/>
      <c r="DE156" s="153"/>
      <c r="DF156" s="153"/>
      <c r="DG156" s="153"/>
      <c r="DH156" s="153"/>
      <c r="DI156" s="153"/>
      <c r="DJ156" s="153"/>
      <c r="DK156" s="153"/>
      <c r="DL156" s="153"/>
      <c r="DM156" s="153"/>
      <c r="DN156" s="153"/>
      <c r="DO156" s="153"/>
      <c r="DP156" s="153"/>
      <c r="DQ156" s="153"/>
      <c r="DR156" s="153"/>
      <c r="DS156" s="153"/>
      <c r="DT156" s="153"/>
      <c r="DU156" s="153"/>
      <c r="DV156" s="153"/>
      <c r="DW156" s="153"/>
      <c r="DX156" s="153"/>
      <c r="DY156" s="153"/>
      <c r="DZ156" s="153"/>
      <c r="EA156" s="153"/>
      <c r="EB156" s="153"/>
      <c r="EC156" s="153"/>
      <c r="ED156" s="153"/>
      <c r="EE156" s="153"/>
      <c r="EF156" s="153"/>
      <c r="EG156" s="153"/>
      <c r="EH156" s="153"/>
      <c r="EI156" s="153"/>
      <c r="EJ156" s="153"/>
      <c r="EK156" s="153"/>
      <c r="EL156" s="153"/>
      <c r="EM156" s="153"/>
    </row>
    <row r="157" spans="1:143" s="107" customFormat="1" ht="10.5" hidden="1" customHeight="1" outlineLevel="1">
      <c r="A157" s="1548">
        <v>132</v>
      </c>
      <c r="B157" s="1560" t="str">
        <f t="shared" si="4"/>
        <v/>
      </c>
      <c r="C157" s="161" t="str">
        <f>GasTime(GasAnalyser,'Horiba Data'!F150,'Horiba Data'!G150,'Testo, JUM &amp; MRU Data'!A151,'Thermo Data'!B150,HourOffset)</f>
        <v/>
      </c>
      <c r="D157" s="981" t="str">
        <f>IF(D$17=FALSE,"",GasData(GasAnalyser,'Horiba Data'!S150,'Testo, JUM &amp; MRU Data'!D151,'Thermo Data'!E150,'Testo, JUM &amp; MRU Data'!U151,GDF))</f>
        <v/>
      </c>
      <c r="E157" s="981" t="str">
        <f>IF(D157="","",Conc2(D157,D$9,MolVol,D$21,D$20,E$21,E$20))</f>
        <v/>
      </c>
      <c r="F157" s="981" t="str">
        <f>IF(F$17=FALSE,"",GasData(GasAnalyser,'Horiba Data'!AQ150,'Testo, JUM &amp; MRU Data'!E151,'Thermo Data'!F150,'Testo, JUM &amp; MRU Data'!V151,GDF))</f>
        <v/>
      </c>
      <c r="G157" s="981" t="str">
        <f>IF(F157="","",Conc2(F157,F$9,MolVol,F$21,F$20,G$21,G$20))</f>
        <v/>
      </c>
      <c r="H157" s="981" t="str">
        <f>IF(D$17=FALSE,"",IF(F$17=FALSE,"",GasData(GasAnalyser,'Horiba Data'!W150,'Testo, JUM &amp; MRU Data'!F151,'Thermo Data'!G150,'Testo, JUM &amp; MRU Data'!Y151,GDF)))</f>
        <v/>
      </c>
      <c r="I157" s="981" t="str">
        <f>IF(H157="","",Conc2(H157,H$9,MolVol,H$21,H$20,I$21,I$20))</f>
        <v/>
      </c>
      <c r="J157" s="981" t="str">
        <f>IF(J$17=FALSE,"",GasData(GasAnalyser,'Horiba Data'!AM150,'Testo, JUM &amp; MRU Data'!G151,'Thermo Data'!H150,'Testo, JUM &amp; MRU Data'!W151,GDF))</f>
        <v/>
      </c>
      <c r="K157" s="981" t="str">
        <f>IF(J157="","",Conc2(J157,J$9,MolVol,J$21,J$20,K$21,K$20))</f>
        <v/>
      </c>
      <c r="L157" s="981" t="str">
        <f>IF(L$17=FALSE,"",GasData(GasAnalyser,'Horiba Data'!AA150,'Testo, JUM &amp; MRU Data'!H151,'Thermo Data'!I150,'Testo, JUM &amp; MRU Data'!T151,GDF))</f>
        <v/>
      </c>
      <c r="M157" s="981" t="str">
        <f>IF(L157="","",Conc2(L157,L$9,MolVol,L$21,L$20,M$21,M$20))</f>
        <v/>
      </c>
      <c r="N157" s="981" t="str">
        <f>IF(N$17=FALSE,"",GasData(GasAnalyser,'Horiba Data'!AE150,'Testo, JUM &amp; MRU Data'!I151,'Thermo Data'!J150,'Testo, JUM &amp; MRU Data'!S151,GDF))</f>
        <v/>
      </c>
      <c r="O157" s="981" t="str">
        <f>IF(N157="","",Conc2(N157,N$9,MolVol,N$21,N$20,O$21,O$20))</f>
        <v/>
      </c>
      <c r="P157" s="981" t="str">
        <f>IF(P$17=FALSE,"",GasData(GasAnalyser,'Horiba Data'!AI150,'Testo, JUM &amp; MRU Data'!J151,'Thermo Data'!K150,'Testo, JUM &amp; MRU Data'!R151,GDF))</f>
        <v/>
      </c>
      <c r="Q157" s="981" t="str">
        <f>IF(P157="","",Conc2(P157,P$9,MolVol,P$21,P$20,Q$21,Q$20))</f>
        <v/>
      </c>
      <c r="R157" s="981" t="str">
        <f>IF(R$17=FALSE,"",JUMData('Testo, JUM &amp; MRU Data'!M151,$R$7))</f>
        <v/>
      </c>
      <c r="S157" s="982" t="str">
        <f>IF(R157="","",Conc2(R157,R$9,MolVol,R$21,R$20,S$21,S$20)/(1-Bws))</f>
        <v/>
      </c>
      <c r="T157" s="712"/>
      <c r="AR157" s="334"/>
      <c r="AS157" s="334"/>
      <c r="AT157" s="48"/>
      <c r="AU157" s="48"/>
      <c r="AV157" s="153"/>
      <c r="AW157" s="153"/>
      <c r="AX157" s="153"/>
      <c r="AY157" s="153"/>
      <c r="AZ157" s="153"/>
      <c r="BA157" s="153"/>
      <c r="BB157" s="153"/>
      <c r="BC157" s="153"/>
      <c r="BD157" s="153"/>
      <c r="BE157" s="153"/>
      <c r="BF157" s="153"/>
      <c r="BG157" s="153"/>
      <c r="BH157" s="153"/>
      <c r="BI157" s="153"/>
      <c r="BJ157" s="153"/>
      <c r="BK157" s="153"/>
      <c r="BL157" s="153"/>
      <c r="BM157" s="153"/>
      <c r="BN157" s="153"/>
      <c r="BO157" s="153"/>
      <c r="BP157" s="153"/>
      <c r="BQ157" s="153"/>
      <c r="BR157" s="153"/>
      <c r="BS157" s="153"/>
      <c r="BT157" s="153"/>
      <c r="BU157" s="153"/>
      <c r="BV157" s="153"/>
      <c r="BW157" s="153"/>
      <c r="BX157" s="153"/>
      <c r="BY157" s="153"/>
      <c r="BZ157" s="153"/>
      <c r="CA157" s="153"/>
      <c r="CB157" s="153"/>
      <c r="CC157" s="153"/>
      <c r="CD157" s="153"/>
      <c r="CE157" s="153"/>
      <c r="CF157" s="153"/>
      <c r="CG157" s="153"/>
      <c r="CH157" s="153"/>
      <c r="CI157" s="153"/>
      <c r="CJ157" s="153"/>
      <c r="CK157" s="153"/>
      <c r="CL157" s="153"/>
      <c r="CM157" s="153"/>
      <c r="CN157" s="153"/>
      <c r="CO157" s="153"/>
      <c r="CP157" s="153"/>
      <c r="CQ157" s="153"/>
      <c r="CR157" s="153"/>
      <c r="CS157" s="153"/>
      <c r="CT157" s="153"/>
      <c r="CU157" s="153"/>
      <c r="CV157" s="153"/>
      <c r="CW157" s="153"/>
      <c r="CX157" s="153"/>
      <c r="CY157" s="153"/>
      <c r="CZ157" s="153"/>
      <c r="DA157" s="153"/>
      <c r="DB157" s="153"/>
      <c r="DC157" s="153"/>
      <c r="DD157" s="153"/>
      <c r="DE157" s="153"/>
      <c r="DF157" s="153"/>
      <c r="DG157" s="153"/>
      <c r="DH157" s="153"/>
      <c r="DI157" s="153"/>
      <c r="DJ157" s="153"/>
      <c r="DK157" s="153"/>
      <c r="DL157" s="153"/>
      <c r="DM157" s="153"/>
      <c r="DN157" s="153"/>
      <c r="DO157" s="153"/>
      <c r="DP157" s="153"/>
      <c r="DQ157" s="153"/>
      <c r="DR157" s="153"/>
      <c r="DS157" s="153"/>
      <c r="DT157" s="153"/>
      <c r="DU157" s="153"/>
      <c r="DV157" s="153"/>
      <c r="DW157" s="153"/>
      <c r="DX157" s="153"/>
      <c r="DY157" s="153"/>
      <c r="DZ157" s="153"/>
      <c r="EA157" s="153"/>
      <c r="EB157" s="153"/>
      <c r="EC157" s="153"/>
      <c r="ED157" s="153"/>
      <c r="EE157" s="153"/>
      <c r="EF157" s="153"/>
      <c r="EG157" s="153"/>
      <c r="EH157" s="153"/>
      <c r="EI157" s="153"/>
      <c r="EJ157" s="153"/>
      <c r="EK157" s="153"/>
      <c r="EL157" s="153"/>
      <c r="EM157" s="153"/>
    </row>
    <row r="158" spans="1:143" s="107" customFormat="1" ht="10.5" hidden="1" customHeight="1" outlineLevel="1">
      <c r="A158" s="1548">
        <v>133</v>
      </c>
      <c r="B158" s="1560" t="str">
        <f t="shared" si="4"/>
        <v/>
      </c>
      <c r="C158" s="161" t="str">
        <f>GasTime(GasAnalyser,'Horiba Data'!F151,'Horiba Data'!G151,'Testo, JUM &amp; MRU Data'!A152,'Thermo Data'!B151,HourOffset)</f>
        <v/>
      </c>
      <c r="D158" s="981" t="str">
        <f>IF(D$17=FALSE,"",GasData(GasAnalyser,'Horiba Data'!S151,'Testo, JUM &amp; MRU Data'!D152,'Thermo Data'!E151,'Testo, JUM &amp; MRU Data'!U152,GDF))</f>
        <v/>
      </c>
      <c r="E158" s="981" t="str">
        <f>IF(D158="","",Conc2(D158,D$9,MolVol,D$21,D$20,E$21,E$20))</f>
        <v/>
      </c>
      <c r="F158" s="981" t="str">
        <f>IF(F$17=FALSE,"",GasData(GasAnalyser,'Horiba Data'!AQ151,'Testo, JUM &amp; MRU Data'!E152,'Thermo Data'!F151,'Testo, JUM &amp; MRU Data'!V152,GDF))</f>
        <v/>
      </c>
      <c r="G158" s="981" t="str">
        <f>IF(F158="","",Conc2(F158,F$9,MolVol,F$21,F$20,G$21,G$20))</f>
        <v/>
      </c>
      <c r="H158" s="981" t="str">
        <f>IF(D$17=FALSE,"",IF(F$17=FALSE,"",GasData(GasAnalyser,'Horiba Data'!W151,'Testo, JUM &amp; MRU Data'!F152,'Thermo Data'!G151,'Testo, JUM &amp; MRU Data'!Y152,GDF)))</f>
        <v/>
      </c>
      <c r="I158" s="981" t="str">
        <f>IF(H158="","",Conc2(H158,H$9,MolVol,H$21,H$20,I$21,I$20))</f>
        <v/>
      </c>
      <c r="J158" s="981" t="str">
        <f>IF(J$17=FALSE,"",GasData(GasAnalyser,'Horiba Data'!AM151,'Testo, JUM &amp; MRU Data'!G152,'Thermo Data'!H151,'Testo, JUM &amp; MRU Data'!W152,GDF))</f>
        <v/>
      </c>
      <c r="K158" s="981" t="str">
        <f>IF(J158="","",Conc2(J158,J$9,MolVol,J$21,J$20,K$21,K$20))</f>
        <v/>
      </c>
      <c r="L158" s="981" t="str">
        <f>IF(L$17=FALSE,"",GasData(GasAnalyser,'Horiba Data'!AA151,'Testo, JUM &amp; MRU Data'!H152,'Thermo Data'!I151,'Testo, JUM &amp; MRU Data'!T152,GDF))</f>
        <v/>
      </c>
      <c r="M158" s="981" t="str">
        <f>IF(L158="","",Conc2(L158,L$9,MolVol,L$21,L$20,M$21,M$20))</f>
        <v/>
      </c>
      <c r="N158" s="981" t="str">
        <f>IF(N$17=FALSE,"",GasData(GasAnalyser,'Horiba Data'!AE151,'Testo, JUM &amp; MRU Data'!I152,'Thermo Data'!J151,'Testo, JUM &amp; MRU Data'!S152,GDF))</f>
        <v/>
      </c>
      <c r="O158" s="981" t="str">
        <f>IF(N158="","",Conc2(N158,N$9,MolVol,N$21,N$20,O$21,O$20))</f>
        <v/>
      </c>
      <c r="P158" s="981" t="str">
        <f>IF(P$17=FALSE,"",GasData(GasAnalyser,'Horiba Data'!AI151,'Testo, JUM &amp; MRU Data'!J152,'Thermo Data'!K151,'Testo, JUM &amp; MRU Data'!R152,GDF))</f>
        <v/>
      </c>
      <c r="Q158" s="981" t="str">
        <f>IF(P158="","",Conc2(P158,P$9,MolVol,P$21,P$20,Q$21,Q$20))</f>
        <v/>
      </c>
      <c r="R158" s="981" t="str">
        <f>IF(R$17=FALSE,"",JUMData('Testo, JUM &amp; MRU Data'!M152,$R$7))</f>
        <v/>
      </c>
      <c r="S158" s="982" t="str">
        <f>IF(R158="","",Conc2(R158,R$9,MolVol,R$21,R$20,S$21,S$20)/(1-Bws))</f>
        <v/>
      </c>
      <c r="T158" s="712"/>
      <c r="AR158" s="334"/>
      <c r="AS158" s="334"/>
      <c r="AT158" s="48"/>
      <c r="AU158" s="48"/>
      <c r="AV158" s="153"/>
      <c r="AW158" s="153"/>
      <c r="AX158" s="153"/>
      <c r="AY158" s="153"/>
      <c r="AZ158" s="153"/>
      <c r="BA158" s="153"/>
      <c r="BB158" s="153"/>
      <c r="BC158" s="153"/>
      <c r="BD158" s="153"/>
      <c r="BE158" s="153"/>
      <c r="BF158" s="153"/>
      <c r="BG158" s="153"/>
      <c r="BH158" s="153"/>
      <c r="BI158" s="153"/>
      <c r="BJ158" s="153"/>
      <c r="BK158" s="153"/>
      <c r="BL158" s="153"/>
      <c r="BM158" s="153"/>
      <c r="BN158" s="153"/>
      <c r="BO158" s="153"/>
      <c r="BP158" s="153"/>
      <c r="BQ158" s="153"/>
      <c r="BR158" s="153"/>
      <c r="BS158" s="153"/>
      <c r="BT158" s="153"/>
      <c r="BU158" s="153"/>
      <c r="BV158" s="153"/>
      <c r="BW158" s="153"/>
      <c r="BX158" s="153"/>
      <c r="BY158" s="153"/>
      <c r="BZ158" s="153"/>
      <c r="CA158" s="153"/>
      <c r="CB158" s="153"/>
      <c r="CC158" s="153"/>
      <c r="CD158" s="153"/>
      <c r="CE158" s="153"/>
      <c r="CF158" s="153"/>
      <c r="CG158" s="153"/>
      <c r="CH158" s="153"/>
      <c r="CI158" s="153"/>
      <c r="CJ158" s="153"/>
      <c r="CK158" s="153"/>
      <c r="CL158" s="153"/>
      <c r="CM158" s="153"/>
      <c r="CN158" s="153"/>
      <c r="CO158" s="153"/>
      <c r="CP158" s="153"/>
      <c r="CQ158" s="153"/>
      <c r="CR158" s="153"/>
      <c r="CS158" s="153"/>
      <c r="CT158" s="153"/>
      <c r="CU158" s="153"/>
      <c r="CV158" s="153"/>
      <c r="CW158" s="153"/>
      <c r="CX158" s="153"/>
      <c r="CY158" s="153"/>
      <c r="CZ158" s="153"/>
      <c r="DA158" s="153"/>
      <c r="DB158" s="153"/>
      <c r="DC158" s="153"/>
      <c r="DD158" s="153"/>
      <c r="DE158" s="153"/>
      <c r="DF158" s="153"/>
      <c r="DG158" s="153"/>
      <c r="DH158" s="153"/>
      <c r="DI158" s="153"/>
      <c r="DJ158" s="153"/>
      <c r="DK158" s="153"/>
      <c r="DL158" s="153"/>
      <c r="DM158" s="153"/>
      <c r="DN158" s="153"/>
      <c r="DO158" s="153"/>
      <c r="DP158" s="153"/>
      <c r="DQ158" s="153"/>
      <c r="DR158" s="153"/>
      <c r="DS158" s="153"/>
      <c r="DT158" s="153"/>
      <c r="DU158" s="153"/>
      <c r="DV158" s="153"/>
      <c r="DW158" s="153"/>
      <c r="DX158" s="153"/>
      <c r="DY158" s="153"/>
      <c r="DZ158" s="153"/>
      <c r="EA158" s="153"/>
      <c r="EB158" s="153"/>
      <c r="EC158" s="153"/>
      <c r="ED158" s="153"/>
      <c r="EE158" s="153"/>
      <c r="EF158" s="153"/>
      <c r="EG158" s="153"/>
      <c r="EH158" s="153"/>
      <c r="EI158" s="153"/>
      <c r="EJ158" s="153"/>
      <c r="EK158" s="153"/>
      <c r="EL158" s="153"/>
      <c r="EM158" s="153"/>
    </row>
    <row r="159" spans="1:143" s="107" customFormat="1" ht="10.5" hidden="1" customHeight="1" outlineLevel="1">
      <c r="A159" s="1548">
        <v>134</v>
      </c>
      <c r="B159" s="1560" t="str">
        <f t="shared" si="4"/>
        <v/>
      </c>
      <c r="C159" s="161" t="str">
        <f>GasTime(GasAnalyser,'Horiba Data'!F152,'Horiba Data'!G152,'Testo, JUM &amp; MRU Data'!A153,'Thermo Data'!B152,HourOffset)</f>
        <v/>
      </c>
      <c r="D159" s="981" t="str">
        <f>IF(D$17=FALSE,"",GasData(GasAnalyser,'Horiba Data'!S152,'Testo, JUM &amp; MRU Data'!D153,'Thermo Data'!E152,'Testo, JUM &amp; MRU Data'!U153,GDF))</f>
        <v/>
      </c>
      <c r="E159" s="981" t="str">
        <f>IF(D159="","",Conc2(D159,D$9,MolVol,D$21,D$20,E$21,E$20))</f>
        <v/>
      </c>
      <c r="F159" s="981" t="str">
        <f>IF(F$17=FALSE,"",GasData(GasAnalyser,'Horiba Data'!AQ152,'Testo, JUM &amp; MRU Data'!E153,'Thermo Data'!F152,'Testo, JUM &amp; MRU Data'!V153,GDF))</f>
        <v/>
      </c>
      <c r="G159" s="981" t="str">
        <f>IF(F159="","",Conc2(F159,F$9,MolVol,F$21,F$20,G$21,G$20))</f>
        <v/>
      </c>
      <c r="H159" s="981" t="str">
        <f>IF(D$17=FALSE,"",IF(F$17=FALSE,"",GasData(GasAnalyser,'Horiba Data'!W152,'Testo, JUM &amp; MRU Data'!F153,'Thermo Data'!G152,'Testo, JUM &amp; MRU Data'!Y153,GDF)))</f>
        <v/>
      </c>
      <c r="I159" s="981" t="str">
        <f>IF(H159="","",Conc2(H159,H$9,MolVol,H$21,H$20,I$21,I$20))</f>
        <v/>
      </c>
      <c r="J159" s="981" t="str">
        <f>IF(J$17=FALSE,"",GasData(GasAnalyser,'Horiba Data'!AM152,'Testo, JUM &amp; MRU Data'!G153,'Thermo Data'!H152,'Testo, JUM &amp; MRU Data'!W153,GDF))</f>
        <v/>
      </c>
      <c r="K159" s="981" t="str">
        <f>IF(J159="","",Conc2(J159,J$9,MolVol,J$21,J$20,K$21,K$20))</f>
        <v/>
      </c>
      <c r="L159" s="981" t="str">
        <f>IF(L$17=FALSE,"",GasData(GasAnalyser,'Horiba Data'!AA152,'Testo, JUM &amp; MRU Data'!H153,'Thermo Data'!I152,'Testo, JUM &amp; MRU Data'!T153,GDF))</f>
        <v/>
      </c>
      <c r="M159" s="981" t="str">
        <f>IF(L159="","",Conc2(L159,L$9,MolVol,L$21,L$20,M$21,M$20))</f>
        <v/>
      </c>
      <c r="N159" s="981" t="str">
        <f>IF(N$17=FALSE,"",GasData(GasAnalyser,'Horiba Data'!AE152,'Testo, JUM &amp; MRU Data'!I153,'Thermo Data'!J152,'Testo, JUM &amp; MRU Data'!S153,GDF))</f>
        <v/>
      </c>
      <c r="O159" s="981" t="str">
        <f>IF(N159="","",Conc2(N159,N$9,MolVol,N$21,N$20,O$21,O$20))</f>
        <v/>
      </c>
      <c r="P159" s="981" t="str">
        <f>IF(P$17=FALSE,"",GasData(GasAnalyser,'Horiba Data'!AI152,'Testo, JUM &amp; MRU Data'!J153,'Thermo Data'!K152,'Testo, JUM &amp; MRU Data'!R153,GDF))</f>
        <v/>
      </c>
      <c r="Q159" s="981" t="str">
        <f>IF(P159="","",Conc2(P159,P$9,MolVol,P$21,P$20,Q$21,Q$20))</f>
        <v/>
      </c>
      <c r="R159" s="981" t="str">
        <f>IF(R$17=FALSE,"",JUMData('Testo, JUM &amp; MRU Data'!M153,$R$7))</f>
        <v/>
      </c>
      <c r="S159" s="982" t="str">
        <f>IF(R159="","",Conc2(R159,R$9,MolVol,R$21,R$20,S$21,S$20)/(1-Bws))</f>
        <v/>
      </c>
      <c r="T159" s="712"/>
      <c r="AR159" s="334"/>
      <c r="AS159" s="334"/>
      <c r="AT159" s="48"/>
      <c r="AU159" s="48"/>
      <c r="AV159" s="153"/>
      <c r="AW159" s="153"/>
      <c r="AX159" s="153"/>
      <c r="AY159" s="153"/>
      <c r="AZ159" s="153"/>
      <c r="BA159" s="153"/>
      <c r="BB159" s="153"/>
      <c r="BC159" s="153"/>
      <c r="BD159" s="153"/>
      <c r="BE159" s="153"/>
      <c r="BF159" s="153"/>
      <c r="BG159" s="153"/>
      <c r="BH159" s="153"/>
      <c r="BI159" s="153"/>
      <c r="BJ159" s="153"/>
      <c r="BK159" s="153"/>
      <c r="BL159" s="153"/>
      <c r="BM159" s="153"/>
      <c r="BN159" s="153"/>
      <c r="BO159" s="153"/>
      <c r="BP159" s="153"/>
      <c r="BQ159" s="153"/>
      <c r="BR159" s="153"/>
      <c r="BS159" s="153"/>
      <c r="BT159" s="153"/>
      <c r="BU159" s="153"/>
      <c r="BV159" s="153"/>
      <c r="BW159" s="153"/>
      <c r="BX159" s="153"/>
      <c r="BY159" s="153"/>
      <c r="BZ159" s="153"/>
      <c r="CA159" s="153"/>
      <c r="CB159" s="153"/>
      <c r="CC159" s="153"/>
      <c r="CD159" s="153"/>
      <c r="CE159" s="153"/>
      <c r="CF159" s="153"/>
      <c r="CG159" s="153"/>
      <c r="CH159" s="153"/>
      <c r="CI159" s="153"/>
      <c r="CJ159" s="153"/>
      <c r="CK159" s="153"/>
      <c r="CL159" s="153"/>
      <c r="CM159" s="153"/>
      <c r="CN159" s="153"/>
      <c r="CO159" s="153"/>
      <c r="CP159" s="153"/>
      <c r="CQ159" s="153"/>
      <c r="CR159" s="153"/>
      <c r="CS159" s="153"/>
      <c r="CT159" s="153"/>
      <c r="CU159" s="153"/>
      <c r="CV159" s="153"/>
      <c r="CW159" s="153"/>
      <c r="CX159" s="153"/>
      <c r="CY159" s="153"/>
      <c r="CZ159" s="153"/>
      <c r="DA159" s="153"/>
      <c r="DB159" s="153"/>
      <c r="DC159" s="153"/>
      <c r="DD159" s="153"/>
      <c r="DE159" s="153"/>
      <c r="DF159" s="153"/>
      <c r="DG159" s="153"/>
      <c r="DH159" s="153"/>
      <c r="DI159" s="153"/>
      <c r="DJ159" s="153"/>
      <c r="DK159" s="153"/>
      <c r="DL159" s="153"/>
      <c r="DM159" s="153"/>
      <c r="DN159" s="153"/>
      <c r="DO159" s="153"/>
      <c r="DP159" s="153"/>
      <c r="DQ159" s="153"/>
      <c r="DR159" s="153"/>
      <c r="DS159" s="153"/>
      <c r="DT159" s="153"/>
      <c r="DU159" s="153"/>
      <c r="DV159" s="153"/>
      <c r="DW159" s="153"/>
      <c r="DX159" s="153"/>
      <c r="DY159" s="153"/>
      <c r="DZ159" s="153"/>
      <c r="EA159" s="153"/>
      <c r="EB159" s="153"/>
      <c r="EC159" s="153"/>
      <c r="ED159" s="153"/>
      <c r="EE159" s="153"/>
      <c r="EF159" s="153"/>
      <c r="EG159" s="153"/>
      <c r="EH159" s="153"/>
      <c r="EI159" s="153"/>
      <c r="EJ159" s="153"/>
      <c r="EK159" s="153"/>
      <c r="EL159" s="153"/>
      <c r="EM159" s="153"/>
    </row>
    <row r="160" spans="1:143" s="107" customFormat="1" ht="10.5" hidden="1" customHeight="1" outlineLevel="1">
      <c r="A160" s="1548">
        <v>135</v>
      </c>
      <c r="B160" s="1560" t="str">
        <f t="shared" si="4"/>
        <v/>
      </c>
      <c r="C160" s="161" t="str">
        <f>GasTime(GasAnalyser,'Horiba Data'!F153,'Horiba Data'!G153,'Testo, JUM &amp; MRU Data'!A154,'Thermo Data'!B153,HourOffset)</f>
        <v/>
      </c>
      <c r="D160" s="981" t="str">
        <f>IF(D$17=FALSE,"",GasData(GasAnalyser,'Horiba Data'!S153,'Testo, JUM &amp; MRU Data'!D154,'Thermo Data'!E153,'Testo, JUM &amp; MRU Data'!U154,GDF))</f>
        <v/>
      </c>
      <c r="E160" s="981" t="str">
        <f>IF(D160="","",Conc2(D160,D$9,MolVol,D$21,D$20,E$21,E$20))</f>
        <v/>
      </c>
      <c r="F160" s="981" t="str">
        <f>IF(F$17=FALSE,"",GasData(GasAnalyser,'Horiba Data'!AQ153,'Testo, JUM &amp; MRU Data'!E154,'Thermo Data'!F153,'Testo, JUM &amp; MRU Data'!V154,GDF))</f>
        <v/>
      </c>
      <c r="G160" s="981" t="str">
        <f>IF(F160="","",Conc2(F160,F$9,MolVol,F$21,F$20,G$21,G$20))</f>
        <v/>
      </c>
      <c r="H160" s="981" t="str">
        <f>IF(D$17=FALSE,"",IF(F$17=FALSE,"",GasData(GasAnalyser,'Horiba Data'!W153,'Testo, JUM &amp; MRU Data'!F154,'Thermo Data'!G153,'Testo, JUM &amp; MRU Data'!Y154,GDF)))</f>
        <v/>
      </c>
      <c r="I160" s="981" t="str">
        <f>IF(H160="","",Conc2(H160,H$9,MolVol,H$21,H$20,I$21,I$20))</f>
        <v/>
      </c>
      <c r="J160" s="981" t="str">
        <f>IF(J$17=FALSE,"",GasData(GasAnalyser,'Horiba Data'!AM153,'Testo, JUM &amp; MRU Data'!G154,'Thermo Data'!H153,'Testo, JUM &amp; MRU Data'!W154,GDF))</f>
        <v/>
      </c>
      <c r="K160" s="981" t="str">
        <f>IF(J160="","",Conc2(J160,J$9,MolVol,J$21,J$20,K$21,K$20))</f>
        <v/>
      </c>
      <c r="L160" s="981" t="str">
        <f>IF(L$17=FALSE,"",GasData(GasAnalyser,'Horiba Data'!AA153,'Testo, JUM &amp; MRU Data'!H154,'Thermo Data'!I153,'Testo, JUM &amp; MRU Data'!T154,GDF))</f>
        <v/>
      </c>
      <c r="M160" s="981" t="str">
        <f>IF(L160="","",Conc2(L160,L$9,MolVol,L$21,L$20,M$21,M$20))</f>
        <v/>
      </c>
      <c r="N160" s="981" t="str">
        <f>IF(N$17=FALSE,"",GasData(GasAnalyser,'Horiba Data'!AE153,'Testo, JUM &amp; MRU Data'!I154,'Thermo Data'!J153,'Testo, JUM &amp; MRU Data'!S154,GDF))</f>
        <v/>
      </c>
      <c r="O160" s="981" t="str">
        <f>IF(N160="","",Conc2(N160,N$9,MolVol,N$21,N$20,O$21,O$20))</f>
        <v/>
      </c>
      <c r="P160" s="981" t="str">
        <f>IF(P$17=FALSE,"",GasData(GasAnalyser,'Horiba Data'!AI153,'Testo, JUM &amp; MRU Data'!J154,'Thermo Data'!K153,'Testo, JUM &amp; MRU Data'!R154,GDF))</f>
        <v/>
      </c>
      <c r="Q160" s="981" t="str">
        <f>IF(P160="","",Conc2(P160,P$9,MolVol,P$21,P$20,Q$21,Q$20))</f>
        <v/>
      </c>
      <c r="R160" s="981" t="str">
        <f>IF(R$17=FALSE,"",JUMData('Testo, JUM &amp; MRU Data'!M154,$R$7))</f>
        <v/>
      </c>
      <c r="S160" s="982" t="str">
        <f>IF(R160="","",Conc2(R160,R$9,MolVol,R$21,R$20,S$21,S$20)/(1-Bws))</f>
        <v/>
      </c>
      <c r="T160" s="712"/>
      <c r="AR160" s="334"/>
      <c r="AS160" s="334"/>
      <c r="AT160" s="48"/>
      <c r="AU160" s="48"/>
      <c r="AV160" s="153"/>
      <c r="AW160" s="153"/>
      <c r="AX160" s="153"/>
      <c r="AY160" s="153"/>
      <c r="AZ160" s="153"/>
      <c r="BA160" s="153"/>
      <c r="BB160" s="153"/>
      <c r="BC160" s="153"/>
      <c r="BD160" s="153"/>
      <c r="BE160" s="153"/>
      <c r="BF160" s="153"/>
      <c r="BG160" s="153"/>
      <c r="BH160" s="153"/>
      <c r="BI160" s="153"/>
      <c r="BJ160" s="153"/>
      <c r="BK160" s="153"/>
      <c r="BL160" s="153"/>
      <c r="BM160" s="153"/>
      <c r="BN160" s="153"/>
      <c r="BO160" s="153"/>
      <c r="BP160" s="153"/>
      <c r="BQ160" s="153"/>
      <c r="BR160" s="153"/>
      <c r="BS160" s="153"/>
      <c r="BT160" s="153"/>
      <c r="BU160" s="153"/>
      <c r="BV160" s="153"/>
      <c r="BW160" s="153"/>
      <c r="BX160" s="153"/>
      <c r="BY160" s="153"/>
      <c r="BZ160" s="153"/>
      <c r="CA160" s="153"/>
      <c r="CB160" s="153"/>
      <c r="CC160" s="153"/>
      <c r="CD160" s="153"/>
      <c r="CE160" s="153"/>
      <c r="CF160" s="153"/>
      <c r="CG160" s="153"/>
      <c r="CH160" s="153"/>
      <c r="CI160" s="153"/>
      <c r="CJ160" s="153"/>
      <c r="CK160" s="153"/>
      <c r="CL160" s="153"/>
      <c r="CM160" s="153"/>
      <c r="CN160" s="153"/>
      <c r="CO160" s="153"/>
      <c r="CP160" s="153"/>
      <c r="CQ160" s="153"/>
      <c r="CR160" s="153"/>
      <c r="CS160" s="153"/>
      <c r="CT160" s="153"/>
      <c r="CU160" s="153"/>
      <c r="CV160" s="153"/>
      <c r="CW160" s="153"/>
      <c r="CX160" s="153"/>
      <c r="CY160" s="153"/>
      <c r="CZ160" s="153"/>
      <c r="DA160" s="153"/>
      <c r="DB160" s="153"/>
      <c r="DC160" s="153"/>
      <c r="DD160" s="153"/>
      <c r="DE160" s="153"/>
      <c r="DF160" s="153"/>
      <c r="DG160" s="153"/>
      <c r="DH160" s="153"/>
      <c r="DI160" s="153"/>
      <c r="DJ160" s="153"/>
      <c r="DK160" s="153"/>
      <c r="DL160" s="153"/>
      <c r="DM160" s="153"/>
      <c r="DN160" s="153"/>
      <c r="DO160" s="153"/>
      <c r="DP160" s="153"/>
      <c r="DQ160" s="153"/>
      <c r="DR160" s="153"/>
      <c r="DS160" s="153"/>
      <c r="DT160" s="153"/>
      <c r="DU160" s="153"/>
      <c r="DV160" s="153"/>
      <c r="DW160" s="153"/>
      <c r="DX160" s="153"/>
      <c r="DY160" s="153"/>
      <c r="DZ160" s="153"/>
      <c r="EA160" s="153"/>
      <c r="EB160" s="153"/>
      <c r="EC160" s="153"/>
      <c r="ED160" s="153"/>
      <c r="EE160" s="153"/>
      <c r="EF160" s="153"/>
      <c r="EG160" s="153"/>
      <c r="EH160" s="153"/>
      <c r="EI160" s="153"/>
      <c r="EJ160" s="153"/>
      <c r="EK160" s="153"/>
      <c r="EL160" s="153"/>
      <c r="EM160" s="153"/>
    </row>
    <row r="161" spans="1:143" s="107" customFormat="1" ht="10.5" hidden="1" customHeight="1" outlineLevel="1">
      <c r="A161" s="1548">
        <v>136</v>
      </c>
      <c r="B161" s="1560" t="str">
        <f t="shared" si="4"/>
        <v/>
      </c>
      <c r="C161" s="161" t="str">
        <f>GasTime(GasAnalyser,'Horiba Data'!F154,'Horiba Data'!G154,'Testo, JUM &amp; MRU Data'!A155,'Thermo Data'!B154,HourOffset)</f>
        <v/>
      </c>
      <c r="D161" s="981" t="str">
        <f>IF(D$17=FALSE,"",GasData(GasAnalyser,'Horiba Data'!S154,'Testo, JUM &amp; MRU Data'!D155,'Thermo Data'!E154,'Testo, JUM &amp; MRU Data'!U155,GDF))</f>
        <v/>
      </c>
      <c r="E161" s="981" t="str">
        <f>IF(D161="","",Conc2(D161,D$9,MolVol,D$21,D$20,E$21,E$20))</f>
        <v/>
      </c>
      <c r="F161" s="981" t="str">
        <f>IF(F$17=FALSE,"",GasData(GasAnalyser,'Horiba Data'!AQ154,'Testo, JUM &amp; MRU Data'!E155,'Thermo Data'!F154,'Testo, JUM &amp; MRU Data'!V155,GDF))</f>
        <v/>
      </c>
      <c r="G161" s="981" t="str">
        <f>IF(F161="","",Conc2(F161,F$9,MolVol,F$21,F$20,G$21,G$20))</f>
        <v/>
      </c>
      <c r="H161" s="981" t="str">
        <f>IF(D$17=FALSE,"",IF(F$17=FALSE,"",GasData(GasAnalyser,'Horiba Data'!W154,'Testo, JUM &amp; MRU Data'!F155,'Thermo Data'!G154,'Testo, JUM &amp; MRU Data'!Y155,GDF)))</f>
        <v/>
      </c>
      <c r="I161" s="981" t="str">
        <f>IF(H161="","",Conc2(H161,H$9,MolVol,H$21,H$20,I$21,I$20))</f>
        <v/>
      </c>
      <c r="J161" s="981" t="str">
        <f>IF(J$17=FALSE,"",GasData(GasAnalyser,'Horiba Data'!AM154,'Testo, JUM &amp; MRU Data'!G155,'Thermo Data'!H154,'Testo, JUM &amp; MRU Data'!W155,GDF))</f>
        <v/>
      </c>
      <c r="K161" s="981" t="str">
        <f>IF(J161="","",Conc2(J161,J$9,MolVol,J$21,J$20,K$21,K$20))</f>
        <v/>
      </c>
      <c r="L161" s="981" t="str">
        <f>IF(L$17=FALSE,"",GasData(GasAnalyser,'Horiba Data'!AA154,'Testo, JUM &amp; MRU Data'!H155,'Thermo Data'!I154,'Testo, JUM &amp; MRU Data'!T155,GDF))</f>
        <v/>
      </c>
      <c r="M161" s="981" t="str">
        <f>IF(L161="","",Conc2(L161,L$9,MolVol,L$21,L$20,M$21,M$20))</f>
        <v/>
      </c>
      <c r="N161" s="981" t="str">
        <f>IF(N$17=FALSE,"",GasData(GasAnalyser,'Horiba Data'!AE154,'Testo, JUM &amp; MRU Data'!I155,'Thermo Data'!J154,'Testo, JUM &amp; MRU Data'!S155,GDF))</f>
        <v/>
      </c>
      <c r="O161" s="981" t="str">
        <f>IF(N161="","",Conc2(N161,N$9,MolVol,N$21,N$20,O$21,O$20))</f>
        <v/>
      </c>
      <c r="P161" s="981" t="str">
        <f>IF(P$17=FALSE,"",GasData(GasAnalyser,'Horiba Data'!AI154,'Testo, JUM &amp; MRU Data'!J155,'Thermo Data'!K154,'Testo, JUM &amp; MRU Data'!R155,GDF))</f>
        <v/>
      </c>
      <c r="Q161" s="981" t="str">
        <f>IF(P161="","",Conc2(P161,P$9,MolVol,P$21,P$20,Q$21,Q$20))</f>
        <v/>
      </c>
      <c r="R161" s="981" t="str">
        <f>IF(R$17=FALSE,"",JUMData('Testo, JUM &amp; MRU Data'!M155,$R$7))</f>
        <v/>
      </c>
      <c r="S161" s="982" t="str">
        <f>IF(R161="","",Conc2(R161,R$9,MolVol,R$21,R$20,S$21,S$20)/(1-Bws))</f>
        <v/>
      </c>
      <c r="T161" s="712"/>
      <c r="AR161" s="334"/>
      <c r="AS161" s="334"/>
      <c r="AT161" s="48"/>
      <c r="AU161" s="48"/>
      <c r="AV161" s="153"/>
      <c r="AW161" s="153"/>
      <c r="AX161" s="153"/>
      <c r="AY161" s="153"/>
      <c r="AZ161" s="153"/>
      <c r="BA161" s="153"/>
      <c r="BB161" s="153"/>
      <c r="BC161" s="153"/>
      <c r="BD161" s="153"/>
      <c r="BE161" s="153"/>
      <c r="BF161" s="153"/>
      <c r="BG161" s="153"/>
      <c r="BH161" s="153"/>
      <c r="BI161" s="153"/>
      <c r="BJ161" s="153"/>
      <c r="BK161" s="153"/>
      <c r="BL161" s="153"/>
      <c r="BM161" s="153"/>
      <c r="BN161" s="153"/>
      <c r="BO161" s="153"/>
      <c r="BP161" s="153"/>
      <c r="BQ161" s="153"/>
      <c r="BR161" s="153"/>
      <c r="BS161" s="153"/>
      <c r="BT161" s="153"/>
      <c r="BU161" s="153"/>
      <c r="BV161" s="153"/>
      <c r="BW161" s="153"/>
      <c r="BX161" s="153"/>
      <c r="BY161" s="153"/>
      <c r="BZ161" s="153"/>
      <c r="CA161" s="153"/>
      <c r="CB161" s="153"/>
      <c r="CC161" s="153"/>
      <c r="CD161" s="153"/>
      <c r="CE161" s="153"/>
      <c r="CF161" s="153"/>
      <c r="CG161" s="153"/>
      <c r="CH161" s="153"/>
      <c r="CI161" s="153"/>
      <c r="CJ161" s="153"/>
      <c r="CK161" s="153"/>
      <c r="CL161" s="153"/>
      <c r="CM161" s="153"/>
      <c r="CN161" s="153"/>
      <c r="CO161" s="153"/>
      <c r="CP161" s="153"/>
      <c r="CQ161" s="153"/>
      <c r="CR161" s="153"/>
      <c r="CS161" s="153"/>
      <c r="CT161" s="153"/>
      <c r="CU161" s="153"/>
      <c r="CV161" s="153"/>
      <c r="CW161" s="153"/>
      <c r="CX161" s="153"/>
      <c r="CY161" s="153"/>
      <c r="CZ161" s="153"/>
      <c r="DA161" s="153"/>
      <c r="DB161" s="153"/>
      <c r="DC161" s="153"/>
      <c r="DD161" s="153"/>
      <c r="DE161" s="153"/>
      <c r="DF161" s="153"/>
      <c r="DG161" s="153"/>
      <c r="DH161" s="153"/>
      <c r="DI161" s="153"/>
      <c r="DJ161" s="153"/>
      <c r="DK161" s="153"/>
      <c r="DL161" s="153"/>
      <c r="DM161" s="153"/>
      <c r="DN161" s="153"/>
      <c r="DO161" s="153"/>
      <c r="DP161" s="153"/>
      <c r="DQ161" s="153"/>
      <c r="DR161" s="153"/>
      <c r="DS161" s="153"/>
      <c r="DT161" s="153"/>
      <c r="DU161" s="153"/>
      <c r="DV161" s="153"/>
      <c r="DW161" s="153"/>
      <c r="DX161" s="153"/>
      <c r="DY161" s="153"/>
      <c r="DZ161" s="153"/>
      <c r="EA161" s="153"/>
      <c r="EB161" s="153"/>
      <c r="EC161" s="153"/>
      <c r="ED161" s="153"/>
      <c r="EE161" s="153"/>
      <c r="EF161" s="153"/>
      <c r="EG161" s="153"/>
      <c r="EH161" s="153"/>
      <c r="EI161" s="153"/>
      <c r="EJ161" s="153"/>
      <c r="EK161" s="153"/>
      <c r="EL161" s="153"/>
      <c r="EM161" s="153"/>
    </row>
    <row r="162" spans="1:143" s="107" customFormat="1" ht="10.5" hidden="1" customHeight="1" outlineLevel="1">
      <c r="A162" s="1548">
        <v>137</v>
      </c>
      <c r="B162" s="1560" t="str">
        <f t="shared" si="4"/>
        <v/>
      </c>
      <c r="C162" s="161" t="str">
        <f>GasTime(GasAnalyser,'Horiba Data'!F155,'Horiba Data'!G155,'Testo, JUM &amp; MRU Data'!A156,'Thermo Data'!B155,HourOffset)</f>
        <v/>
      </c>
      <c r="D162" s="981" t="str">
        <f>IF(D$17=FALSE,"",GasData(GasAnalyser,'Horiba Data'!S155,'Testo, JUM &amp; MRU Data'!D156,'Thermo Data'!E155,'Testo, JUM &amp; MRU Data'!U156,GDF))</f>
        <v/>
      </c>
      <c r="E162" s="981" t="str">
        <f>IF(D162="","",Conc2(D162,D$9,MolVol,D$21,D$20,E$21,E$20))</f>
        <v/>
      </c>
      <c r="F162" s="981" t="str">
        <f>IF(F$17=FALSE,"",GasData(GasAnalyser,'Horiba Data'!AQ155,'Testo, JUM &amp; MRU Data'!E156,'Thermo Data'!F155,'Testo, JUM &amp; MRU Data'!V156,GDF))</f>
        <v/>
      </c>
      <c r="G162" s="981" t="str">
        <f>IF(F162="","",Conc2(F162,F$9,MolVol,F$21,F$20,G$21,G$20))</f>
        <v/>
      </c>
      <c r="H162" s="981" t="str">
        <f>IF(D$17=FALSE,"",IF(F$17=FALSE,"",GasData(GasAnalyser,'Horiba Data'!W155,'Testo, JUM &amp; MRU Data'!F156,'Thermo Data'!G155,'Testo, JUM &amp; MRU Data'!Y156,GDF)))</f>
        <v/>
      </c>
      <c r="I162" s="981" t="str">
        <f>IF(H162="","",Conc2(H162,H$9,MolVol,H$21,H$20,I$21,I$20))</f>
        <v/>
      </c>
      <c r="J162" s="981" t="str">
        <f>IF(J$17=FALSE,"",GasData(GasAnalyser,'Horiba Data'!AM155,'Testo, JUM &amp; MRU Data'!G156,'Thermo Data'!H155,'Testo, JUM &amp; MRU Data'!W156,GDF))</f>
        <v/>
      </c>
      <c r="K162" s="981" t="str">
        <f>IF(J162="","",Conc2(J162,J$9,MolVol,J$21,J$20,K$21,K$20))</f>
        <v/>
      </c>
      <c r="L162" s="981" t="str">
        <f>IF(L$17=FALSE,"",GasData(GasAnalyser,'Horiba Data'!AA155,'Testo, JUM &amp; MRU Data'!H156,'Thermo Data'!I155,'Testo, JUM &amp; MRU Data'!T156,GDF))</f>
        <v/>
      </c>
      <c r="M162" s="981" t="str">
        <f>IF(L162="","",Conc2(L162,L$9,MolVol,L$21,L$20,M$21,M$20))</f>
        <v/>
      </c>
      <c r="N162" s="981" t="str">
        <f>IF(N$17=FALSE,"",GasData(GasAnalyser,'Horiba Data'!AE155,'Testo, JUM &amp; MRU Data'!I156,'Thermo Data'!J155,'Testo, JUM &amp; MRU Data'!S156,GDF))</f>
        <v/>
      </c>
      <c r="O162" s="981" t="str">
        <f>IF(N162="","",Conc2(N162,N$9,MolVol,N$21,N$20,O$21,O$20))</f>
        <v/>
      </c>
      <c r="P162" s="981" t="str">
        <f>IF(P$17=FALSE,"",GasData(GasAnalyser,'Horiba Data'!AI155,'Testo, JUM &amp; MRU Data'!J156,'Thermo Data'!K155,'Testo, JUM &amp; MRU Data'!R156,GDF))</f>
        <v/>
      </c>
      <c r="Q162" s="981" t="str">
        <f>IF(P162="","",Conc2(P162,P$9,MolVol,P$21,P$20,Q$21,Q$20))</f>
        <v/>
      </c>
      <c r="R162" s="981" t="str">
        <f>IF(R$17=FALSE,"",JUMData('Testo, JUM &amp; MRU Data'!M156,$R$7))</f>
        <v/>
      </c>
      <c r="S162" s="982" t="str">
        <f>IF(R162="","",Conc2(R162,R$9,MolVol,R$21,R$20,S$21,S$20)/(1-Bws))</f>
        <v/>
      </c>
      <c r="T162" s="712"/>
      <c r="AR162" s="334"/>
      <c r="AS162" s="334"/>
      <c r="AT162" s="48"/>
      <c r="AU162" s="48"/>
      <c r="AV162" s="153"/>
      <c r="AW162" s="153"/>
      <c r="AX162" s="153"/>
      <c r="AY162" s="153"/>
      <c r="AZ162" s="153"/>
      <c r="BA162" s="153"/>
      <c r="BB162" s="153"/>
      <c r="BC162" s="153"/>
      <c r="BD162" s="153"/>
      <c r="BE162" s="153"/>
      <c r="BF162" s="153"/>
      <c r="BG162" s="153"/>
      <c r="BH162" s="153"/>
      <c r="BI162" s="153"/>
      <c r="BJ162" s="153"/>
      <c r="BK162" s="153"/>
      <c r="BL162" s="153"/>
      <c r="BM162" s="153"/>
      <c r="BN162" s="153"/>
      <c r="BO162" s="153"/>
      <c r="BP162" s="153"/>
      <c r="BQ162" s="153"/>
      <c r="BR162" s="153"/>
      <c r="BS162" s="153"/>
      <c r="BT162" s="153"/>
      <c r="BU162" s="153"/>
      <c r="BV162" s="153"/>
      <c r="BW162" s="153"/>
      <c r="BX162" s="153"/>
      <c r="BY162" s="153"/>
      <c r="BZ162" s="153"/>
      <c r="CA162" s="153"/>
      <c r="CB162" s="153"/>
      <c r="CC162" s="153"/>
      <c r="CD162" s="153"/>
      <c r="CE162" s="153"/>
      <c r="CF162" s="153"/>
      <c r="CG162" s="153"/>
      <c r="CH162" s="153"/>
      <c r="CI162" s="153"/>
      <c r="CJ162" s="153"/>
      <c r="CK162" s="153"/>
      <c r="CL162" s="153"/>
      <c r="CM162" s="153"/>
      <c r="CN162" s="153"/>
      <c r="CO162" s="153"/>
      <c r="CP162" s="153"/>
      <c r="CQ162" s="153"/>
      <c r="CR162" s="153"/>
      <c r="CS162" s="153"/>
      <c r="CT162" s="153"/>
      <c r="CU162" s="153"/>
      <c r="CV162" s="153"/>
      <c r="CW162" s="153"/>
      <c r="CX162" s="153"/>
      <c r="CY162" s="153"/>
      <c r="CZ162" s="153"/>
      <c r="DA162" s="153"/>
      <c r="DB162" s="153"/>
      <c r="DC162" s="153"/>
      <c r="DD162" s="153"/>
      <c r="DE162" s="153"/>
      <c r="DF162" s="153"/>
      <c r="DG162" s="153"/>
      <c r="DH162" s="153"/>
      <c r="DI162" s="153"/>
      <c r="DJ162" s="153"/>
      <c r="DK162" s="153"/>
      <c r="DL162" s="153"/>
      <c r="DM162" s="153"/>
      <c r="DN162" s="153"/>
      <c r="DO162" s="153"/>
      <c r="DP162" s="153"/>
      <c r="DQ162" s="153"/>
      <c r="DR162" s="153"/>
      <c r="DS162" s="153"/>
      <c r="DT162" s="153"/>
      <c r="DU162" s="153"/>
      <c r="DV162" s="153"/>
      <c r="DW162" s="153"/>
      <c r="DX162" s="153"/>
      <c r="DY162" s="153"/>
      <c r="DZ162" s="153"/>
      <c r="EA162" s="153"/>
      <c r="EB162" s="153"/>
      <c r="EC162" s="153"/>
      <c r="ED162" s="153"/>
      <c r="EE162" s="153"/>
      <c r="EF162" s="153"/>
      <c r="EG162" s="153"/>
      <c r="EH162" s="153"/>
      <c r="EI162" s="153"/>
      <c r="EJ162" s="153"/>
      <c r="EK162" s="153"/>
      <c r="EL162" s="153"/>
      <c r="EM162" s="153"/>
    </row>
    <row r="163" spans="1:143" s="107" customFormat="1" ht="10.5" hidden="1" customHeight="1" outlineLevel="1">
      <c r="A163" s="1548">
        <v>138</v>
      </c>
      <c r="B163" s="1560" t="str">
        <f t="shared" si="4"/>
        <v/>
      </c>
      <c r="C163" s="161" t="str">
        <f>GasTime(GasAnalyser,'Horiba Data'!F156,'Horiba Data'!G156,'Testo, JUM &amp; MRU Data'!A157,'Thermo Data'!B156,HourOffset)</f>
        <v/>
      </c>
      <c r="D163" s="981" t="str">
        <f>IF(D$17=FALSE,"",GasData(GasAnalyser,'Horiba Data'!S156,'Testo, JUM &amp; MRU Data'!D157,'Thermo Data'!E156,'Testo, JUM &amp; MRU Data'!U157,GDF))</f>
        <v/>
      </c>
      <c r="E163" s="981" t="str">
        <f>IF(D163="","",Conc2(D163,D$9,MolVol,D$21,D$20,E$21,E$20))</f>
        <v/>
      </c>
      <c r="F163" s="981" t="str">
        <f>IF(F$17=FALSE,"",GasData(GasAnalyser,'Horiba Data'!AQ156,'Testo, JUM &amp; MRU Data'!E157,'Thermo Data'!F156,'Testo, JUM &amp; MRU Data'!V157,GDF))</f>
        <v/>
      </c>
      <c r="G163" s="981" t="str">
        <f>IF(F163="","",Conc2(F163,F$9,MolVol,F$21,F$20,G$21,G$20))</f>
        <v/>
      </c>
      <c r="H163" s="981" t="str">
        <f>IF(D$17=FALSE,"",IF(F$17=FALSE,"",GasData(GasAnalyser,'Horiba Data'!W156,'Testo, JUM &amp; MRU Data'!F157,'Thermo Data'!G156,'Testo, JUM &amp; MRU Data'!Y157,GDF)))</f>
        <v/>
      </c>
      <c r="I163" s="981" t="str">
        <f>IF(H163="","",Conc2(H163,H$9,MolVol,H$21,H$20,I$21,I$20))</f>
        <v/>
      </c>
      <c r="J163" s="981" t="str">
        <f>IF(J$17=FALSE,"",GasData(GasAnalyser,'Horiba Data'!AM156,'Testo, JUM &amp; MRU Data'!G157,'Thermo Data'!H156,'Testo, JUM &amp; MRU Data'!W157,GDF))</f>
        <v/>
      </c>
      <c r="K163" s="981" t="str">
        <f>IF(J163="","",Conc2(J163,J$9,MolVol,J$21,J$20,K$21,K$20))</f>
        <v/>
      </c>
      <c r="L163" s="981" t="str">
        <f>IF(L$17=FALSE,"",GasData(GasAnalyser,'Horiba Data'!AA156,'Testo, JUM &amp; MRU Data'!H157,'Thermo Data'!I156,'Testo, JUM &amp; MRU Data'!T157,GDF))</f>
        <v/>
      </c>
      <c r="M163" s="981" t="str">
        <f>IF(L163="","",Conc2(L163,L$9,MolVol,L$21,L$20,M$21,M$20))</f>
        <v/>
      </c>
      <c r="N163" s="981" t="str">
        <f>IF(N$17=FALSE,"",GasData(GasAnalyser,'Horiba Data'!AE156,'Testo, JUM &amp; MRU Data'!I157,'Thermo Data'!J156,'Testo, JUM &amp; MRU Data'!S157,GDF))</f>
        <v/>
      </c>
      <c r="O163" s="981" t="str">
        <f>IF(N163="","",Conc2(N163,N$9,MolVol,N$21,N$20,O$21,O$20))</f>
        <v/>
      </c>
      <c r="P163" s="981" t="str">
        <f>IF(P$17=FALSE,"",GasData(GasAnalyser,'Horiba Data'!AI156,'Testo, JUM &amp; MRU Data'!J157,'Thermo Data'!K156,'Testo, JUM &amp; MRU Data'!R157,GDF))</f>
        <v/>
      </c>
      <c r="Q163" s="981" t="str">
        <f>IF(P163="","",Conc2(P163,P$9,MolVol,P$21,P$20,Q$21,Q$20))</f>
        <v/>
      </c>
      <c r="R163" s="981" t="str">
        <f>IF(R$17=FALSE,"",JUMData('Testo, JUM &amp; MRU Data'!M157,$R$7))</f>
        <v/>
      </c>
      <c r="S163" s="982" t="str">
        <f>IF(R163="","",Conc2(R163,R$9,MolVol,R$21,R$20,S$21,S$20)/(1-Bws))</f>
        <v/>
      </c>
      <c r="T163" s="712"/>
      <c r="AR163" s="334"/>
      <c r="AS163" s="334"/>
      <c r="AT163" s="48"/>
      <c r="AU163" s="48"/>
      <c r="AV163" s="153"/>
      <c r="AW163" s="153"/>
      <c r="AX163" s="153"/>
      <c r="AY163" s="153"/>
      <c r="AZ163" s="153"/>
      <c r="BA163" s="153"/>
      <c r="BB163" s="153"/>
      <c r="BC163" s="153"/>
      <c r="BD163" s="153"/>
      <c r="BE163" s="153"/>
      <c r="BF163" s="153"/>
      <c r="BG163" s="153"/>
      <c r="BH163" s="153"/>
      <c r="BI163" s="153"/>
      <c r="BJ163" s="153"/>
      <c r="BK163" s="153"/>
      <c r="BL163" s="153"/>
      <c r="BM163" s="153"/>
      <c r="BN163" s="153"/>
      <c r="BO163" s="153"/>
      <c r="BP163" s="153"/>
      <c r="BQ163" s="153"/>
      <c r="BR163" s="153"/>
      <c r="BS163" s="153"/>
      <c r="BT163" s="153"/>
      <c r="BU163" s="153"/>
      <c r="BV163" s="153"/>
      <c r="BW163" s="153"/>
      <c r="BX163" s="153"/>
      <c r="BY163" s="153"/>
      <c r="BZ163" s="153"/>
      <c r="CA163" s="153"/>
      <c r="CB163" s="153"/>
      <c r="CC163" s="153"/>
      <c r="CD163" s="153"/>
      <c r="CE163" s="153"/>
      <c r="CF163" s="153"/>
      <c r="CG163" s="153"/>
      <c r="CH163" s="153"/>
      <c r="CI163" s="153"/>
      <c r="CJ163" s="153"/>
      <c r="CK163" s="153"/>
      <c r="CL163" s="153"/>
      <c r="CM163" s="153"/>
      <c r="CN163" s="153"/>
      <c r="CO163" s="153"/>
      <c r="CP163" s="153"/>
      <c r="CQ163" s="153"/>
      <c r="CR163" s="153"/>
      <c r="CS163" s="153"/>
      <c r="CT163" s="153"/>
      <c r="CU163" s="153"/>
      <c r="CV163" s="153"/>
      <c r="CW163" s="153"/>
      <c r="CX163" s="153"/>
      <c r="CY163" s="153"/>
      <c r="CZ163" s="153"/>
      <c r="DA163" s="153"/>
      <c r="DB163" s="153"/>
      <c r="DC163" s="153"/>
      <c r="DD163" s="153"/>
      <c r="DE163" s="153"/>
      <c r="DF163" s="153"/>
      <c r="DG163" s="153"/>
      <c r="DH163" s="153"/>
      <c r="DI163" s="153"/>
      <c r="DJ163" s="153"/>
      <c r="DK163" s="153"/>
      <c r="DL163" s="153"/>
      <c r="DM163" s="153"/>
      <c r="DN163" s="153"/>
      <c r="DO163" s="153"/>
      <c r="DP163" s="153"/>
      <c r="DQ163" s="153"/>
      <c r="DR163" s="153"/>
      <c r="DS163" s="153"/>
      <c r="DT163" s="153"/>
      <c r="DU163" s="153"/>
      <c r="DV163" s="153"/>
      <c r="DW163" s="153"/>
      <c r="DX163" s="153"/>
      <c r="DY163" s="153"/>
      <c r="DZ163" s="153"/>
      <c r="EA163" s="153"/>
      <c r="EB163" s="153"/>
      <c r="EC163" s="153"/>
      <c r="ED163" s="153"/>
      <c r="EE163" s="153"/>
      <c r="EF163" s="153"/>
      <c r="EG163" s="153"/>
      <c r="EH163" s="153"/>
      <c r="EI163" s="153"/>
      <c r="EJ163" s="153"/>
      <c r="EK163" s="153"/>
      <c r="EL163" s="153"/>
      <c r="EM163" s="153"/>
    </row>
    <row r="164" spans="1:143" s="107" customFormat="1" ht="10.5" hidden="1" customHeight="1" outlineLevel="1">
      <c r="A164" s="1548">
        <v>139</v>
      </c>
      <c r="B164" s="1560" t="str">
        <f t="shared" si="4"/>
        <v/>
      </c>
      <c r="C164" s="161" t="str">
        <f>GasTime(GasAnalyser,'Horiba Data'!F157,'Horiba Data'!G157,'Testo, JUM &amp; MRU Data'!A158,'Thermo Data'!B157,HourOffset)</f>
        <v/>
      </c>
      <c r="D164" s="981" t="str">
        <f>IF(D$17=FALSE,"",GasData(GasAnalyser,'Horiba Data'!S157,'Testo, JUM &amp; MRU Data'!D158,'Thermo Data'!E157,'Testo, JUM &amp; MRU Data'!U158,GDF))</f>
        <v/>
      </c>
      <c r="E164" s="981" t="str">
        <f>IF(D164="","",Conc2(D164,D$9,MolVol,D$21,D$20,E$21,E$20))</f>
        <v/>
      </c>
      <c r="F164" s="981" t="str">
        <f>IF(F$17=FALSE,"",GasData(GasAnalyser,'Horiba Data'!AQ157,'Testo, JUM &amp; MRU Data'!E158,'Thermo Data'!F157,'Testo, JUM &amp; MRU Data'!V158,GDF))</f>
        <v/>
      </c>
      <c r="G164" s="981" t="str">
        <f>IF(F164="","",Conc2(F164,F$9,MolVol,F$21,F$20,G$21,G$20))</f>
        <v/>
      </c>
      <c r="H164" s="981" t="str">
        <f>IF(D$17=FALSE,"",IF(F$17=FALSE,"",GasData(GasAnalyser,'Horiba Data'!W157,'Testo, JUM &amp; MRU Data'!F158,'Thermo Data'!G157,'Testo, JUM &amp; MRU Data'!Y158,GDF)))</f>
        <v/>
      </c>
      <c r="I164" s="981" t="str">
        <f>IF(H164="","",Conc2(H164,H$9,MolVol,H$21,H$20,I$21,I$20))</f>
        <v/>
      </c>
      <c r="J164" s="981" t="str">
        <f>IF(J$17=FALSE,"",GasData(GasAnalyser,'Horiba Data'!AM157,'Testo, JUM &amp; MRU Data'!G158,'Thermo Data'!H157,'Testo, JUM &amp; MRU Data'!W158,GDF))</f>
        <v/>
      </c>
      <c r="K164" s="981" t="str">
        <f>IF(J164="","",Conc2(J164,J$9,MolVol,J$21,J$20,K$21,K$20))</f>
        <v/>
      </c>
      <c r="L164" s="981" t="str">
        <f>IF(L$17=FALSE,"",GasData(GasAnalyser,'Horiba Data'!AA157,'Testo, JUM &amp; MRU Data'!H158,'Thermo Data'!I157,'Testo, JUM &amp; MRU Data'!T158,GDF))</f>
        <v/>
      </c>
      <c r="M164" s="981" t="str">
        <f>IF(L164="","",Conc2(L164,L$9,MolVol,L$21,L$20,M$21,M$20))</f>
        <v/>
      </c>
      <c r="N164" s="981" t="str">
        <f>IF(N$17=FALSE,"",GasData(GasAnalyser,'Horiba Data'!AE157,'Testo, JUM &amp; MRU Data'!I158,'Thermo Data'!J157,'Testo, JUM &amp; MRU Data'!S158,GDF))</f>
        <v/>
      </c>
      <c r="O164" s="981" t="str">
        <f>IF(N164="","",Conc2(N164,N$9,MolVol,N$21,N$20,O$21,O$20))</f>
        <v/>
      </c>
      <c r="P164" s="981" t="str">
        <f>IF(P$17=FALSE,"",GasData(GasAnalyser,'Horiba Data'!AI157,'Testo, JUM &amp; MRU Data'!J158,'Thermo Data'!K157,'Testo, JUM &amp; MRU Data'!R158,GDF))</f>
        <v/>
      </c>
      <c r="Q164" s="981" t="str">
        <f>IF(P164="","",Conc2(P164,P$9,MolVol,P$21,P$20,Q$21,Q$20))</f>
        <v/>
      </c>
      <c r="R164" s="981" t="str">
        <f>IF(R$17=FALSE,"",JUMData('Testo, JUM &amp; MRU Data'!M158,$R$7))</f>
        <v/>
      </c>
      <c r="S164" s="982" t="str">
        <f>IF(R164="","",Conc2(R164,R$9,MolVol,R$21,R$20,S$21,S$20)/(1-Bws))</f>
        <v/>
      </c>
      <c r="T164" s="712"/>
      <c r="AR164" s="334"/>
      <c r="AS164" s="334"/>
      <c r="AT164" s="48"/>
      <c r="AU164" s="48"/>
      <c r="AV164" s="153"/>
      <c r="AW164" s="153"/>
      <c r="AX164" s="153"/>
      <c r="AY164" s="153"/>
      <c r="AZ164" s="153"/>
      <c r="BA164" s="153"/>
      <c r="BB164" s="153"/>
      <c r="BC164" s="153"/>
      <c r="BD164" s="153"/>
      <c r="BE164" s="153"/>
      <c r="BF164" s="153"/>
      <c r="BG164" s="153"/>
      <c r="BH164" s="153"/>
      <c r="BI164" s="153"/>
      <c r="BJ164" s="153"/>
      <c r="BK164" s="153"/>
      <c r="BL164" s="153"/>
      <c r="BM164" s="153"/>
      <c r="BN164" s="153"/>
      <c r="BO164" s="153"/>
      <c r="BP164" s="153"/>
      <c r="BQ164" s="153"/>
      <c r="BR164" s="153"/>
      <c r="BS164" s="153"/>
      <c r="BT164" s="153"/>
      <c r="BU164" s="153"/>
      <c r="BV164" s="153"/>
      <c r="BW164" s="153"/>
      <c r="BX164" s="153"/>
      <c r="BY164" s="153"/>
      <c r="BZ164" s="153"/>
      <c r="CA164" s="153"/>
      <c r="CB164" s="153"/>
      <c r="CC164" s="153"/>
      <c r="CD164" s="153"/>
      <c r="CE164" s="153"/>
      <c r="CF164" s="153"/>
      <c r="CG164" s="153"/>
      <c r="CH164" s="153"/>
      <c r="CI164" s="153"/>
      <c r="CJ164" s="153"/>
      <c r="CK164" s="153"/>
      <c r="CL164" s="153"/>
      <c r="CM164" s="153"/>
      <c r="CN164" s="153"/>
      <c r="CO164" s="153"/>
      <c r="CP164" s="153"/>
      <c r="CQ164" s="153"/>
      <c r="CR164" s="153"/>
      <c r="CS164" s="153"/>
      <c r="CT164" s="153"/>
      <c r="CU164" s="153"/>
      <c r="CV164" s="153"/>
      <c r="CW164" s="153"/>
      <c r="CX164" s="153"/>
      <c r="CY164" s="153"/>
      <c r="CZ164" s="153"/>
      <c r="DA164" s="153"/>
      <c r="DB164" s="153"/>
      <c r="DC164" s="153"/>
      <c r="DD164" s="153"/>
      <c r="DE164" s="153"/>
      <c r="DF164" s="153"/>
      <c r="DG164" s="153"/>
      <c r="DH164" s="153"/>
      <c r="DI164" s="153"/>
      <c r="DJ164" s="153"/>
      <c r="DK164" s="153"/>
      <c r="DL164" s="153"/>
      <c r="DM164" s="153"/>
      <c r="DN164" s="153"/>
      <c r="DO164" s="153"/>
      <c r="DP164" s="153"/>
      <c r="DQ164" s="153"/>
      <c r="DR164" s="153"/>
      <c r="DS164" s="153"/>
      <c r="DT164" s="153"/>
      <c r="DU164" s="153"/>
      <c r="DV164" s="153"/>
      <c r="DW164" s="153"/>
      <c r="DX164" s="153"/>
      <c r="DY164" s="153"/>
      <c r="DZ164" s="153"/>
      <c r="EA164" s="153"/>
      <c r="EB164" s="153"/>
      <c r="EC164" s="153"/>
      <c r="ED164" s="153"/>
      <c r="EE164" s="153"/>
      <c r="EF164" s="153"/>
      <c r="EG164" s="153"/>
      <c r="EH164" s="153"/>
      <c r="EI164" s="153"/>
      <c r="EJ164" s="153"/>
      <c r="EK164" s="153"/>
      <c r="EL164" s="153"/>
      <c r="EM164" s="153"/>
    </row>
    <row r="165" spans="1:143" s="107" customFormat="1" ht="10.5" hidden="1" customHeight="1" outlineLevel="1">
      <c r="A165" s="1548">
        <v>140</v>
      </c>
      <c r="B165" s="1560" t="str">
        <f t="shared" si="4"/>
        <v/>
      </c>
      <c r="C165" s="161" t="str">
        <f>GasTime(GasAnalyser,'Horiba Data'!F158,'Horiba Data'!G158,'Testo, JUM &amp; MRU Data'!A159,'Thermo Data'!B158,HourOffset)</f>
        <v/>
      </c>
      <c r="D165" s="981" t="str">
        <f>IF(D$17=FALSE,"",GasData(GasAnalyser,'Horiba Data'!S158,'Testo, JUM &amp; MRU Data'!D159,'Thermo Data'!E158,'Testo, JUM &amp; MRU Data'!U159,GDF))</f>
        <v/>
      </c>
      <c r="E165" s="981" t="str">
        <f>IF(D165="","",Conc2(D165,D$9,MolVol,D$21,D$20,E$21,E$20))</f>
        <v/>
      </c>
      <c r="F165" s="981" t="str">
        <f>IF(F$17=FALSE,"",GasData(GasAnalyser,'Horiba Data'!AQ158,'Testo, JUM &amp; MRU Data'!E159,'Thermo Data'!F158,'Testo, JUM &amp; MRU Data'!V159,GDF))</f>
        <v/>
      </c>
      <c r="G165" s="981" t="str">
        <f>IF(F165="","",Conc2(F165,F$9,MolVol,F$21,F$20,G$21,G$20))</f>
        <v/>
      </c>
      <c r="H165" s="981" t="str">
        <f>IF(D$17=FALSE,"",IF(F$17=FALSE,"",GasData(GasAnalyser,'Horiba Data'!W158,'Testo, JUM &amp; MRU Data'!F159,'Thermo Data'!G158,'Testo, JUM &amp; MRU Data'!Y159,GDF)))</f>
        <v/>
      </c>
      <c r="I165" s="981" t="str">
        <f>IF(H165="","",Conc2(H165,H$9,MolVol,H$21,H$20,I$21,I$20))</f>
        <v/>
      </c>
      <c r="J165" s="981" t="str">
        <f>IF(J$17=FALSE,"",GasData(GasAnalyser,'Horiba Data'!AM158,'Testo, JUM &amp; MRU Data'!G159,'Thermo Data'!H158,'Testo, JUM &amp; MRU Data'!W159,GDF))</f>
        <v/>
      </c>
      <c r="K165" s="981" t="str">
        <f>IF(J165="","",Conc2(J165,J$9,MolVol,J$21,J$20,K$21,K$20))</f>
        <v/>
      </c>
      <c r="L165" s="981" t="str">
        <f>IF(L$17=FALSE,"",GasData(GasAnalyser,'Horiba Data'!AA158,'Testo, JUM &amp; MRU Data'!H159,'Thermo Data'!I158,'Testo, JUM &amp; MRU Data'!T159,GDF))</f>
        <v/>
      </c>
      <c r="M165" s="981" t="str">
        <f>IF(L165="","",Conc2(L165,L$9,MolVol,L$21,L$20,M$21,M$20))</f>
        <v/>
      </c>
      <c r="N165" s="981" t="str">
        <f>IF(N$17=FALSE,"",GasData(GasAnalyser,'Horiba Data'!AE158,'Testo, JUM &amp; MRU Data'!I159,'Thermo Data'!J158,'Testo, JUM &amp; MRU Data'!S159,GDF))</f>
        <v/>
      </c>
      <c r="O165" s="981" t="str">
        <f>IF(N165="","",Conc2(N165,N$9,MolVol,N$21,N$20,O$21,O$20))</f>
        <v/>
      </c>
      <c r="P165" s="981" t="str">
        <f>IF(P$17=FALSE,"",GasData(GasAnalyser,'Horiba Data'!AI158,'Testo, JUM &amp; MRU Data'!J159,'Thermo Data'!K158,'Testo, JUM &amp; MRU Data'!R159,GDF))</f>
        <v/>
      </c>
      <c r="Q165" s="981" t="str">
        <f>IF(P165="","",Conc2(P165,P$9,MolVol,P$21,P$20,Q$21,Q$20))</f>
        <v/>
      </c>
      <c r="R165" s="981" t="str">
        <f>IF(R$17=FALSE,"",JUMData('Testo, JUM &amp; MRU Data'!M159,$R$7))</f>
        <v/>
      </c>
      <c r="S165" s="982" t="str">
        <f>IF(R165="","",Conc2(R165,R$9,MolVol,R$21,R$20,S$21,S$20)/(1-Bws))</f>
        <v/>
      </c>
      <c r="T165" s="712"/>
      <c r="AR165" s="334"/>
      <c r="AS165" s="334"/>
      <c r="AT165" s="48"/>
      <c r="AU165" s="48"/>
      <c r="AV165" s="153"/>
      <c r="AW165" s="153"/>
      <c r="AX165" s="153"/>
      <c r="AY165" s="153"/>
      <c r="AZ165" s="153"/>
      <c r="BA165" s="153"/>
      <c r="BB165" s="153"/>
      <c r="BC165" s="153"/>
      <c r="BD165" s="153"/>
      <c r="BE165" s="153"/>
      <c r="BF165" s="153"/>
      <c r="BG165" s="153"/>
      <c r="BH165" s="153"/>
      <c r="BI165" s="153"/>
      <c r="BJ165" s="153"/>
      <c r="BK165" s="153"/>
      <c r="BL165" s="153"/>
      <c r="BM165" s="153"/>
      <c r="BN165" s="153"/>
      <c r="BO165" s="153"/>
      <c r="BP165" s="153"/>
      <c r="BQ165" s="153"/>
      <c r="BR165" s="153"/>
      <c r="BS165" s="153"/>
      <c r="BT165" s="153"/>
      <c r="BU165" s="153"/>
      <c r="BV165" s="153"/>
      <c r="BW165" s="153"/>
      <c r="BX165" s="153"/>
      <c r="BY165" s="153"/>
      <c r="BZ165" s="153"/>
      <c r="CA165" s="153"/>
      <c r="CB165" s="153"/>
      <c r="CC165" s="153"/>
      <c r="CD165" s="153"/>
      <c r="CE165" s="153"/>
      <c r="CF165" s="153"/>
      <c r="CG165" s="153"/>
      <c r="CH165" s="153"/>
      <c r="CI165" s="153"/>
      <c r="CJ165" s="153"/>
      <c r="CK165" s="153"/>
      <c r="CL165" s="153"/>
      <c r="CM165" s="153"/>
      <c r="CN165" s="153"/>
      <c r="CO165" s="153"/>
      <c r="CP165" s="153"/>
      <c r="CQ165" s="153"/>
      <c r="CR165" s="153"/>
      <c r="CS165" s="153"/>
      <c r="CT165" s="153"/>
      <c r="CU165" s="153"/>
      <c r="CV165" s="153"/>
      <c r="CW165" s="153"/>
      <c r="CX165" s="153"/>
      <c r="CY165" s="153"/>
      <c r="CZ165" s="153"/>
      <c r="DA165" s="153"/>
      <c r="DB165" s="153"/>
      <c r="DC165" s="153"/>
      <c r="DD165" s="153"/>
      <c r="DE165" s="153"/>
      <c r="DF165" s="153"/>
      <c r="DG165" s="153"/>
      <c r="DH165" s="153"/>
      <c r="DI165" s="153"/>
      <c r="DJ165" s="153"/>
      <c r="DK165" s="153"/>
      <c r="DL165" s="153"/>
      <c r="DM165" s="153"/>
      <c r="DN165" s="153"/>
      <c r="DO165" s="153"/>
      <c r="DP165" s="153"/>
      <c r="DQ165" s="153"/>
      <c r="DR165" s="153"/>
      <c r="DS165" s="153"/>
      <c r="DT165" s="153"/>
      <c r="DU165" s="153"/>
      <c r="DV165" s="153"/>
      <c r="DW165" s="153"/>
      <c r="DX165" s="153"/>
      <c r="DY165" s="153"/>
      <c r="DZ165" s="153"/>
      <c r="EA165" s="153"/>
      <c r="EB165" s="153"/>
      <c r="EC165" s="153"/>
      <c r="ED165" s="153"/>
      <c r="EE165" s="153"/>
      <c r="EF165" s="153"/>
      <c r="EG165" s="153"/>
      <c r="EH165" s="153"/>
      <c r="EI165" s="153"/>
      <c r="EJ165" s="153"/>
      <c r="EK165" s="153"/>
      <c r="EL165" s="153"/>
      <c r="EM165" s="153"/>
    </row>
    <row r="166" spans="1:143" s="107" customFormat="1" ht="10.5" hidden="1" customHeight="1" outlineLevel="1">
      <c r="A166" s="1548">
        <v>141</v>
      </c>
      <c r="B166" s="1560" t="str">
        <f t="shared" si="4"/>
        <v/>
      </c>
      <c r="C166" s="161" t="str">
        <f>GasTime(GasAnalyser,'Horiba Data'!F159,'Horiba Data'!G159,'Testo, JUM &amp; MRU Data'!A160,'Thermo Data'!B159,HourOffset)</f>
        <v/>
      </c>
      <c r="D166" s="981" t="str">
        <f>IF(D$17=FALSE,"",GasData(GasAnalyser,'Horiba Data'!S159,'Testo, JUM &amp; MRU Data'!D160,'Thermo Data'!E159,'Testo, JUM &amp; MRU Data'!U160,GDF))</f>
        <v/>
      </c>
      <c r="E166" s="981" t="str">
        <f>IF(D166="","",Conc2(D166,D$9,MolVol,D$21,D$20,E$21,E$20))</f>
        <v/>
      </c>
      <c r="F166" s="981" t="str">
        <f>IF(F$17=FALSE,"",GasData(GasAnalyser,'Horiba Data'!AQ159,'Testo, JUM &amp; MRU Data'!E160,'Thermo Data'!F159,'Testo, JUM &amp; MRU Data'!V160,GDF))</f>
        <v/>
      </c>
      <c r="G166" s="981" t="str">
        <f>IF(F166="","",Conc2(F166,F$9,MolVol,F$21,F$20,G$21,G$20))</f>
        <v/>
      </c>
      <c r="H166" s="981" t="str">
        <f>IF(D$17=FALSE,"",IF(F$17=FALSE,"",GasData(GasAnalyser,'Horiba Data'!W159,'Testo, JUM &amp; MRU Data'!F160,'Thermo Data'!G159,'Testo, JUM &amp; MRU Data'!Y160,GDF)))</f>
        <v/>
      </c>
      <c r="I166" s="981" t="str">
        <f>IF(H166="","",Conc2(H166,H$9,MolVol,H$21,H$20,I$21,I$20))</f>
        <v/>
      </c>
      <c r="J166" s="981" t="str">
        <f>IF(J$17=FALSE,"",GasData(GasAnalyser,'Horiba Data'!AM159,'Testo, JUM &amp; MRU Data'!G160,'Thermo Data'!H159,'Testo, JUM &amp; MRU Data'!W160,GDF))</f>
        <v/>
      </c>
      <c r="K166" s="981" t="str">
        <f>IF(J166="","",Conc2(J166,J$9,MolVol,J$21,J$20,K$21,K$20))</f>
        <v/>
      </c>
      <c r="L166" s="981" t="str">
        <f>IF(L$17=FALSE,"",GasData(GasAnalyser,'Horiba Data'!AA159,'Testo, JUM &amp; MRU Data'!H160,'Thermo Data'!I159,'Testo, JUM &amp; MRU Data'!T160,GDF))</f>
        <v/>
      </c>
      <c r="M166" s="981" t="str">
        <f>IF(L166="","",Conc2(L166,L$9,MolVol,L$21,L$20,M$21,M$20))</f>
        <v/>
      </c>
      <c r="N166" s="981" t="str">
        <f>IF(N$17=FALSE,"",GasData(GasAnalyser,'Horiba Data'!AE159,'Testo, JUM &amp; MRU Data'!I160,'Thermo Data'!J159,'Testo, JUM &amp; MRU Data'!S160,GDF))</f>
        <v/>
      </c>
      <c r="O166" s="981" t="str">
        <f>IF(N166="","",Conc2(N166,N$9,MolVol,N$21,N$20,O$21,O$20))</f>
        <v/>
      </c>
      <c r="P166" s="981" t="str">
        <f>IF(P$17=FALSE,"",GasData(GasAnalyser,'Horiba Data'!AI159,'Testo, JUM &amp; MRU Data'!J160,'Thermo Data'!K159,'Testo, JUM &amp; MRU Data'!R160,GDF))</f>
        <v/>
      </c>
      <c r="Q166" s="981" t="str">
        <f>IF(P166="","",Conc2(P166,P$9,MolVol,P$21,P$20,Q$21,Q$20))</f>
        <v/>
      </c>
      <c r="R166" s="981" t="str">
        <f>IF(R$17=FALSE,"",JUMData('Testo, JUM &amp; MRU Data'!M160,$R$7))</f>
        <v/>
      </c>
      <c r="S166" s="982" t="str">
        <f>IF(R166="","",Conc2(R166,R$9,MolVol,R$21,R$20,S$21,S$20)/(1-Bws))</f>
        <v/>
      </c>
      <c r="T166" s="712"/>
      <c r="AR166" s="334"/>
      <c r="AS166" s="334"/>
      <c r="AT166" s="48"/>
      <c r="AU166" s="48"/>
      <c r="AV166" s="153"/>
      <c r="AW166" s="153"/>
      <c r="AX166" s="153"/>
      <c r="AY166" s="153"/>
      <c r="AZ166" s="153"/>
      <c r="BA166" s="153"/>
      <c r="BB166" s="153"/>
      <c r="BC166" s="153"/>
      <c r="BD166" s="153"/>
      <c r="BE166" s="153"/>
      <c r="BF166" s="153"/>
      <c r="BG166" s="153"/>
      <c r="BH166" s="153"/>
      <c r="BI166" s="153"/>
      <c r="BJ166" s="153"/>
      <c r="BK166" s="153"/>
      <c r="BL166" s="153"/>
      <c r="BM166" s="153"/>
      <c r="BN166" s="153"/>
      <c r="BO166" s="153"/>
      <c r="BP166" s="153"/>
      <c r="BQ166" s="153"/>
      <c r="BR166" s="153"/>
      <c r="BS166" s="153"/>
      <c r="BT166" s="153"/>
      <c r="BU166" s="153"/>
      <c r="BV166" s="153"/>
      <c r="BW166" s="153"/>
      <c r="BX166" s="153"/>
      <c r="BY166" s="153"/>
      <c r="BZ166" s="153"/>
      <c r="CA166" s="153"/>
      <c r="CB166" s="153"/>
      <c r="CC166" s="153"/>
      <c r="CD166" s="153"/>
      <c r="CE166" s="153"/>
      <c r="CF166" s="153"/>
      <c r="CG166" s="153"/>
      <c r="CH166" s="153"/>
      <c r="CI166" s="153"/>
      <c r="CJ166" s="153"/>
      <c r="CK166" s="153"/>
      <c r="CL166" s="153"/>
      <c r="CM166" s="153"/>
      <c r="CN166" s="153"/>
      <c r="CO166" s="153"/>
      <c r="CP166" s="153"/>
      <c r="CQ166" s="153"/>
      <c r="CR166" s="153"/>
      <c r="CS166" s="153"/>
      <c r="CT166" s="153"/>
      <c r="CU166" s="153"/>
      <c r="CV166" s="153"/>
      <c r="CW166" s="153"/>
      <c r="CX166" s="153"/>
      <c r="CY166" s="153"/>
      <c r="CZ166" s="153"/>
      <c r="DA166" s="153"/>
      <c r="DB166" s="153"/>
      <c r="DC166" s="153"/>
      <c r="DD166" s="153"/>
      <c r="DE166" s="153"/>
      <c r="DF166" s="153"/>
      <c r="DG166" s="153"/>
      <c r="DH166" s="153"/>
      <c r="DI166" s="153"/>
      <c r="DJ166" s="153"/>
      <c r="DK166" s="153"/>
      <c r="DL166" s="153"/>
      <c r="DM166" s="153"/>
      <c r="DN166" s="153"/>
      <c r="DO166" s="153"/>
      <c r="DP166" s="153"/>
      <c r="DQ166" s="153"/>
      <c r="DR166" s="153"/>
      <c r="DS166" s="153"/>
      <c r="DT166" s="153"/>
      <c r="DU166" s="153"/>
      <c r="DV166" s="153"/>
      <c r="DW166" s="153"/>
      <c r="DX166" s="153"/>
      <c r="DY166" s="153"/>
      <c r="DZ166" s="153"/>
      <c r="EA166" s="153"/>
      <c r="EB166" s="153"/>
      <c r="EC166" s="153"/>
      <c r="ED166" s="153"/>
      <c r="EE166" s="153"/>
      <c r="EF166" s="153"/>
      <c r="EG166" s="153"/>
      <c r="EH166" s="153"/>
      <c r="EI166" s="153"/>
      <c r="EJ166" s="153"/>
      <c r="EK166" s="153"/>
      <c r="EL166" s="153"/>
      <c r="EM166" s="153"/>
    </row>
    <row r="167" spans="1:143" s="107" customFormat="1" ht="10.5" hidden="1" customHeight="1" outlineLevel="1">
      <c r="A167" s="1548">
        <v>142</v>
      </c>
      <c r="B167" s="1560" t="str">
        <f t="shared" si="4"/>
        <v/>
      </c>
      <c r="C167" s="161" t="str">
        <f>GasTime(GasAnalyser,'Horiba Data'!F160,'Horiba Data'!G160,'Testo, JUM &amp; MRU Data'!A161,'Thermo Data'!B160,HourOffset)</f>
        <v/>
      </c>
      <c r="D167" s="981" t="str">
        <f>IF(D$17=FALSE,"",GasData(GasAnalyser,'Horiba Data'!S160,'Testo, JUM &amp; MRU Data'!D161,'Thermo Data'!E160,'Testo, JUM &amp; MRU Data'!U161,GDF))</f>
        <v/>
      </c>
      <c r="E167" s="981" t="str">
        <f>IF(D167="","",Conc2(D167,D$9,MolVol,D$21,D$20,E$21,E$20))</f>
        <v/>
      </c>
      <c r="F167" s="981" t="str">
        <f>IF(F$17=FALSE,"",GasData(GasAnalyser,'Horiba Data'!AQ160,'Testo, JUM &amp; MRU Data'!E161,'Thermo Data'!F160,'Testo, JUM &amp; MRU Data'!V161,GDF))</f>
        <v/>
      </c>
      <c r="G167" s="981" t="str">
        <f>IF(F167="","",Conc2(F167,F$9,MolVol,F$21,F$20,G$21,G$20))</f>
        <v/>
      </c>
      <c r="H167" s="981" t="str">
        <f>IF(D$17=FALSE,"",IF(F$17=FALSE,"",GasData(GasAnalyser,'Horiba Data'!W160,'Testo, JUM &amp; MRU Data'!F161,'Thermo Data'!G160,'Testo, JUM &amp; MRU Data'!Y161,GDF)))</f>
        <v/>
      </c>
      <c r="I167" s="981" t="str">
        <f>IF(H167="","",Conc2(H167,H$9,MolVol,H$21,H$20,I$21,I$20))</f>
        <v/>
      </c>
      <c r="J167" s="981" t="str">
        <f>IF(J$17=FALSE,"",GasData(GasAnalyser,'Horiba Data'!AM160,'Testo, JUM &amp; MRU Data'!G161,'Thermo Data'!H160,'Testo, JUM &amp; MRU Data'!W161,GDF))</f>
        <v/>
      </c>
      <c r="K167" s="981" t="str">
        <f>IF(J167="","",Conc2(J167,J$9,MolVol,J$21,J$20,K$21,K$20))</f>
        <v/>
      </c>
      <c r="L167" s="981" t="str">
        <f>IF(L$17=FALSE,"",GasData(GasAnalyser,'Horiba Data'!AA160,'Testo, JUM &amp; MRU Data'!H161,'Thermo Data'!I160,'Testo, JUM &amp; MRU Data'!T161,GDF))</f>
        <v/>
      </c>
      <c r="M167" s="981" t="str">
        <f>IF(L167="","",Conc2(L167,L$9,MolVol,L$21,L$20,M$21,M$20))</f>
        <v/>
      </c>
      <c r="N167" s="981" t="str">
        <f>IF(N$17=FALSE,"",GasData(GasAnalyser,'Horiba Data'!AE160,'Testo, JUM &amp; MRU Data'!I161,'Thermo Data'!J160,'Testo, JUM &amp; MRU Data'!S161,GDF))</f>
        <v/>
      </c>
      <c r="O167" s="981" t="str">
        <f>IF(N167="","",Conc2(N167,N$9,MolVol,N$21,N$20,O$21,O$20))</f>
        <v/>
      </c>
      <c r="P167" s="981" t="str">
        <f>IF(P$17=FALSE,"",GasData(GasAnalyser,'Horiba Data'!AI160,'Testo, JUM &amp; MRU Data'!J161,'Thermo Data'!K160,'Testo, JUM &amp; MRU Data'!R161,GDF))</f>
        <v/>
      </c>
      <c r="Q167" s="981" t="str">
        <f>IF(P167="","",Conc2(P167,P$9,MolVol,P$21,P$20,Q$21,Q$20))</f>
        <v/>
      </c>
      <c r="R167" s="981" t="str">
        <f>IF(R$17=FALSE,"",JUMData('Testo, JUM &amp; MRU Data'!M161,$R$7))</f>
        <v/>
      </c>
      <c r="S167" s="982" t="str">
        <f>IF(R167="","",Conc2(R167,R$9,MolVol,R$21,R$20,S$21,S$20)/(1-Bws))</f>
        <v/>
      </c>
      <c r="T167" s="712"/>
      <c r="AR167" s="334"/>
      <c r="AS167" s="334"/>
      <c r="AT167" s="48"/>
      <c r="AU167" s="48"/>
      <c r="AV167" s="153"/>
      <c r="AW167" s="153"/>
      <c r="AX167" s="153"/>
      <c r="AY167" s="153"/>
      <c r="AZ167" s="153"/>
      <c r="BA167" s="153"/>
      <c r="BB167" s="153"/>
      <c r="BC167" s="153"/>
      <c r="BD167" s="153"/>
      <c r="BE167" s="153"/>
      <c r="BF167" s="153"/>
      <c r="BG167" s="153"/>
      <c r="BH167" s="153"/>
      <c r="BI167" s="153"/>
      <c r="BJ167" s="153"/>
      <c r="BK167" s="153"/>
      <c r="BL167" s="153"/>
      <c r="BM167" s="153"/>
      <c r="BN167" s="153"/>
      <c r="BO167" s="153"/>
      <c r="BP167" s="153"/>
      <c r="BQ167" s="153"/>
      <c r="BR167" s="153"/>
      <c r="BS167" s="153"/>
      <c r="BT167" s="153"/>
      <c r="BU167" s="153"/>
      <c r="BV167" s="153"/>
      <c r="BW167" s="153"/>
      <c r="BX167" s="153"/>
      <c r="BY167" s="153"/>
      <c r="BZ167" s="153"/>
      <c r="CA167" s="153"/>
      <c r="CB167" s="153"/>
      <c r="CC167" s="153"/>
      <c r="CD167" s="153"/>
      <c r="CE167" s="153"/>
      <c r="CF167" s="153"/>
      <c r="CG167" s="153"/>
      <c r="CH167" s="153"/>
      <c r="CI167" s="153"/>
      <c r="CJ167" s="153"/>
      <c r="CK167" s="153"/>
      <c r="CL167" s="153"/>
      <c r="CM167" s="153"/>
      <c r="CN167" s="153"/>
      <c r="CO167" s="153"/>
      <c r="CP167" s="153"/>
      <c r="CQ167" s="153"/>
      <c r="CR167" s="153"/>
      <c r="CS167" s="153"/>
      <c r="CT167" s="153"/>
      <c r="CU167" s="153"/>
      <c r="CV167" s="153"/>
      <c r="CW167" s="153"/>
      <c r="CX167" s="153"/>
      <c r="CY167" s="153"/>
      <c r="CZ167" s="153"/>
      <c r="DA167" s="153"/>
      <c r="DB167" s="153"/>
      <c r="DC167" s="153"/>
      <c r="DD167" s="153"/>
      <c r="DE167" s="153"/>
      <c r="DF167" s="153"/>
      <c r="DG167" s="153"/>
      <c r="DH167" s="153"/>
      <c r="DI167" s="153"/>
      <c r="DJ167" s="153"/>
      <c r="DK167" s="153"/>
      <c r="DL167" s="153"/>
      <c r="DM167" s="153"/>
      <c r="DN167" s="153"/>
      <c r="DO167" s="153"/>
      <c r="DP167" s="153"/>
      <c r="DQ167" s="153"/>
      <c r="DR167" s="153"/>
      <c r="DS167" s="153"/>
      <c r="DT167" s="153"/>
      <c r="DU167" s="153"/>
      <c r="DV167" s="153"/>
      <c r="DW167" s="153"/>
      <c r="DX167" s="153"/>
      <c r="DY167" s="153"/>
      <c r="DZ167" s="153"/>
      <c r="EA167" s="153"/>
      <c r="EB167" s="153"/>
      <c r="EC167" s="153"/>
      <c r="ED167" s="153"/>
      <c r="EE167" s="153"/>
      <c r="EF167" s="153"/>
      <c r="EG167" s="153"/>
      <c r="EH167" s="153"/>
      <c r="EI167" s="153"/>
      <c r="EJ167" s="153"/>
      <c r="EK167" s="153"/>
      <c r="EL167" s="153"/>
      <c r="EM167" s="153"/>
    </row>
    <row r="168" spans="1:143" s="107" customFormat="1" ht="10.5" hidden="1" customHeight="1" outlineLevel="1">
      <c r="A168" s="1548">
        <v>143</v>
      </c>
      <c r="B168" s="1560" t="str">
        <f t="shared" si="4"/>
        <v/>
      </c>
      <c r="C168" s="161" t="str">
        <f>GasTime(GasAnalyser,'Horiba Data'!F161,'Horiba Data'!G161,'Testo, JUM &amp; MRU Data'!A162,'Thermo Data'!B161,HourOffset)</f>
        <v/>
      </c>
      <c r="D168" s="981" t="str">
        <f>IF(D$17=FALSE,"",GasData(GasAnalyser,'Horiba Data'!S161,'Testo, JUM &amp; MRU Data'!D162,'Thermo Data'!E161,'Testo, JUM &amp; MRU Data'!U162,GDF))</f>
        <v/>
      </c>
      <c r="E168" s="981" t="str">
        <f>IF(D168="","",Conc2(D168,D$9,MolVol,D$21,D$20,E$21,E$20))</f>
        <v/>
      </c>
      <c r="F168" s="981" t="str">
        <f>IF(F$17=FALSE,"",GasData(GasAnalyser,'Horiba Data'!AQ161,'Testo, JUM &amp; MRU Data'!E162,'Thermo Data'!F161,'Testo, JUM &amp; MRU Data'!V162,GDF))</f>
        <v/>
      </c>
      <c r="G168" s="981" t="str">
        <f>IF(F168="","",Conc2(F168,F$9,MolVol,F$21,F$20,G$21,G$20))</f>
        <v/>
      </c>
      <c r="H168" s="981" t="str">
        <f>IF(D$17=FALSE,"",IF(F$17=FALSE,"",GasData(GasAnalyser,'Horiba Data'!W161,'Testo, JUM &amp; MRU Data'!F162,'Thermo Data'!G161,'Testo, JUM &amp; MRU Data'!Y162,GDF)))</f>
        <v/>
      </c>
      <c r="I168" s="981" t="str">
        <f>IF(H168="","",Conc2(H168,H$9,MolVol,H$21,H$20,I$21,I$20))</f>
        <v/>
      </c>
      <c r="J168" s="981" t="str">
        <f>IF(J$17=FALSE,"",GasData(GasAnalyser,'Horiba Data'!AM161,'Testo, JUM &amp; MRU Data'!G162,'Thermo Data'!H161,'Testo, JUM &amp; MRU Data'!W162,GDF))</f>
        <v/>
      </c>
      <c r="K168" s="981" t="str">
        <f>IF(J168="","",Conc2(J168,J$9,MolVol,J$21,J$20,K$21,K$20))</f>
        <v/>
      </c>
      <c r="L168" s="981" t="str">
        <f>IF(L$17=FALSE,"",GasData(GasAnalyser,'Horiba Data'!AA161,'Testo, JUM &amp; MRU Data'!H162,'Thermo Data'!I161,'Testo, JUM &amp; MRU Data'!T162,GDF))</f>
        <v/>
      </c>
      <c r="M168" s="981" t="str">
        <f>IF(L168="","",Conc2(L168,L$9,MolVol,L$21,L$20,M$21,M$20))</f>
        <v/>
      </c>
      <c r="N168" s="981" t="str">
        <f>IF(N$17=FALSE,"",GasData(GasAnalyser,'Horiba Data'!AE161,'Testo, JUM &amp; MRU Data'!I162,'Thermo Data'!J161,'Testo, JUM &amp; MRU Data'!S162,GDF))</f>
        <v/>
      </c>
      <c r="O168" s="981" t="str">
        <f>IF(N168="","",Conc2(N168,N$9,MolVol,N$21,N$20,O$21,O$20))</f>
        <v/>
      </c>
      <c r="P168" s="981" t="str">
        <f>IF(P$17=FALSE,"",GasData(GasAnalyser,'Horiba Data'!AI161,'Testo, JUM &amp; MRU Data'!J162,'Thermo Data'!K161,'Testo, JUM &amp; MRU Data'!R162,GDF))</f>
        <v/>
      </c>
      <c r="Q168" s="981" t="str">
        <f>IF(P168="","",Conc2(P168,P$9,MolVol,P$21,P$20,Q$21,Q$20))</f>
        <v/>
      </c>
      <c r="R168" s="981" t="str">
        <f>IF(R$17=FALSE,"",JUMData('Testo, JUM &amp; MRU Data'!M162,$R$7))</f>
        <v/>
      </c>
      <c r="S168" s="982" t="str">
        <f>IF(R168="","",Conc2(R168,R$9,MolVol,R$21,R$20,S$21,S$20)/(1-Bws))</f>
        <v/>
      </c>
      <c r="T168" s="712"/>
      <c r="AR168" s="334"/>
      <c r="AS168" s="334"/>
      <c r="AT168" s="48"/>
      <c r="AU168" s="48"/>
      <c r="AV168" s="153"/>
      <c r="AW168" s="153"/>
      <c r="AX168" s="153"/>
      <c r="AY168" s="153"/>
      <c r="AZ168" s="153"/>
      <c r="BA168" s="153"/>
      <c r="BB168" s="153"/>
      <c r="BC168" s="153"/>
      <c r="BD168" s="153"/>
      <c r="BE168" s="153"/>
      <c r="BF168" s="153"/>
      <c r="BG168" s="153"/>
      <c r="BH168" s="153"/>
      <c r="BI168" s="153"/>
      <c r="BJ168" s="153"/>
      <c r="BK168" s="153"/>
      <c r="BL168" s="153"/>
      <c r="BM168" s="153"/>
      <c r="BN168" s="153"/>
      <c r="BO168" s="153"/>
      <c r="BP168" s="153"/>
      <c r="BQ168" s="153"/>
      <c r="BR168" s="153"/>
      <c r="BS168" s="153"/>
      <c r="BT168" s="153"/>
      <c r="BU168" s="153"/>
      <c r="BV168" s="153"/>
      <c r="BW168" s="153"/>
      <c r="BX168" s="153"/>
      <c r="BY168" s="153"/>
      <c r="BZ168" s="153"/>
      <c r="CA168" s="153"/>
      <c r="CB168" s="153"/>
      <c r="CC168" s="153"/>
      <c r="CD168" s="153"/>
      <c r="CE168" s="153"/>
      <c r="CF168" s="153"/>
      <c r="CG168" s="153"/>
      <c r="CH168" s="153"/>
      <c r="CI168" s="153"/>
      <c r="CJ168" s="153"/>
      <c r="CK168" s="153"/>
      <c r="CL168" s="153"/>
      <c r="CM168" s="153"/>
      <c r="CN168" s="153"/>
      <c r="CO168" s="153"/>
      <c r="CP168" s="153"/>
      <c r="CQ168" s="153"/>
      <c r="CR168" s="153"/>
      <c r="CS168" s="153"/>
      <c r="CT168" s="153"/>
      <c r="CU168" s="153"/>
      <c r="CV168" s="153"/>
      <c r="CW168" s="153"/>
      <c r="CX168" s="153"/>
      <c r="CY168" s="153"/>
      <c r="CZ168" s="153"/>
      <c r="DA168" s="153"/>
      <c r="DB168" s="153"/>
      <c r="DC168" s="153"/>
      <c r="DD168" s="153"/>
      <c r="DE168" s="153"/>
      <c r="DF168" s="153"/>
      <c r="DG168" s="153"/>
      <c r="DH168" s="153"/>
      <c r="DI168" s="153"/>
      <c r="DJ168" s="153"/>
      <c r="DK168" s="153"/>
      <c r="DL168" s="153"/>
      <c r="DM168" s="153"/>
      <c r="DN168" s="153"/>
      <c r="DO168" s="153"/>
      <c r="DP168" s="153"/>
      <c r="DQ168" s="153"/>
      <c r="DR168" s="153"/>
      <c r="DS168" s="153"/>
      <c r="DT168" s="153"/>
      <c r="DU168" s="153"/>
      <c r="DV168" s="153"/>
      <c r="DW168" s="153"/>
      <c r="DX168" s="153"/>
      <c r="DY168" s="153"/>
      <c r="DZ168" s="153"/>
      <c r="EA168" s="153"/>
      <c r="EB168" s="153"/>
      <c r="EC168" s="153"/>
      <c r="ED168" s="153"/>
      <c r="EE168" s="153"/>
      <c r="EF168" s="153"/>
      <c r="EG168" s="153"/>
      <c r="EH168" s="153"/>
      <c r="EI168" s="153"/>
      <c r="EJ168" s="153"/>
      <c r="EK168" s="153"/>
      <c r="EL168" s="153"/>
      <c r="EM168" s="153"/>
    </row>
    <row r="169" spans="1:143" s="107" customFormat="1" ht="10.5" hidden="1" customHeight="1" outlineLevel="1">
      <c r="A169" s="1548">
        <v>144</v>
      </c>
      <c r="B169" s="1560" t="str">
        <f t="shared" si="4"/>
        <v/>
      </c>
      <c r="C169" s="161" t="str">
        <f>GasTime(GasAnalyser,'Horiba Data'!F162,'Horiba Data'!G162,'Testo, JUM &amp; MRU Data'!A163,'Thermo Data'!B162,HourOffset)</f>
        <v/>
      </c>
      <c r="D169" s="981" t="str">
        <f>IF(D$17=FALSE,"",GasData(GasAnalyser,'Horiba Data'!S162,'Testo, JUM &amp; MRU Data'!D163,'Thermo Data'!E162,'Testo, JUM &amp; MRU Data'!U163,GDF))</f>
        <v/>
      </c>
      <c r="E169" s="981" t="str">
        <f>IF(D169="","",Conc2(D169,D$9,MolVol,D$21,D$20,E$21,E$20))</f>
        <v/>
      </c>
      <c r="F169" s="981" t="str">
        <f>IF(F$17=FALSE,"",GasData(GasAnalyser,'Horiba Data'!AQ162,'Testo, JUM &amp; MRU Data'!E163,'Thermo Data'!F162,'Testo, JUM &amp; MRU Data'!V163,GDF))</f>
        <v/>
      </c>
      <c r="G169" s="981" t="str">
        <f>IF(F169="","",Conc2(F169,F$9,MolVol,F$21,F$20,G$21,G$20))</f>
        <v/>
      </c>
      <c r="H169" s="981" t="str">
        <f>IF(D$17=FALSE,"",IF(F$17=FALSE,"",GasData(GasAnalyser,'Horiba Data'!W162,'Testo, JUM &amp; MRU Data'!F163,'Thermo Data'!G162,'Testo, JUM &amp; MRU Data'!Y163,GDF)))</f>
        <v/>
      </c>
      <c r="I169" s="981" t="str">
        <f>IF(H169="","",Conc2(H169,H$9,MolVol,H$21,H$20,I$21,I$20))</f>
        <v/>
      </c>
      <c r="J169" s="981" t="str">
        <f>IF(J$17=FALSE,"",GasData(GasAnalyser,'Horiba Data'!AM162,'Testo, JUM &amp; MRU Data'!G163,'Thermo Data'!H162,'Testo, JUM &amp; MRU Data'!W163,GDF))</f>
        <v/>
      </c>
      <c r="K169" s="981" t="str">
        <f>IF(J169="","",Conc2(J169,J$9,MolVol,J$21,J$20,K$21,K$20))</f>
        <v/>
      </c>
      <c r="L169" s="981" t="str">
        <f>IF(L$17=FALSE,"",GasData(GasAnalyser,'Horiba Data'!AA162,'Testo, JUM &amp; MRU Data'!H163,'Thermo Data'!I162,'Testo, JUM &amp; MRU Data'!T163,GDF))</f>
        <v/>
      </c>
      <c r="M169" s="981" t="str">
        <f>IF(L169="","",Conc2(L169,L$9,MolVol,L$21,L$20,M$21,M$20))</f>
        <v/>
      </c>
      <c r="N169" s="981" t="str">
        <f>IF(N$17=FALSE,"",GasData(GasAnalyser,'Horiba Data'!AE162,'Testo, JUM &amp; MRU Data'!I163,'Thermo Data'!J162,'Testo, JUM &amp; MRU Data'!S163,GDF))</f>
        <v/>
      </c>
      <c r="O169" s="981" t="str">
        <f>IF(N169="","",Conc2(N169,N$9,MolVol,N$21,N$20,O$21,O$20))</f>
        <v/>
      </c>
      <c r="P169" s="981" t="str">
        <f>IF(P$17=FALSE,"",GasData(GasAnalyser,'Horiba Data'!AI162,'Testo, JUM &amp; MRU Data'!J163,'Thermo Data'!K162,'Testo, JUM &amp; MRU Data'!R163,GDF))</f>
        <v/>
      </c>
      <c r="Q169" s="981" t="str">
        <f>IF(P169="","",Conc2(P169,P$9,MolVol,P$21,P$20,Q$21,Q$20))</f>
        <v/>
      </c>
      <c r="R169" s="981" t="str">
        <f>IF(R$17=FALSE,"",JUMData('Testo, JUM &amp; MRU Data'!M163,$R$7))</f>
        <v/>
      </c>
      <c r="S169" s="982" t="str">
        <f>IF(R169="","",Conc2(R169,R$9,MolVol,R$21,R$20,S$21,S$20)/(1-Bws))</f>
        <v/>
      </c>
      <c r="T169" s="712"/>
      <c r="AR169" s="334"/>
      <c r="AS169" s="334"/>
      <c r="AT169" s="48"/>
      <c r="AU169" s="48"/>
      <c r="AV169" s="153"/>
      <c r="AW169" s="153"/>
      <c r="AX169" s="153"/>
      <c r="AY169" s="153"/>
      <c r="AZ169" s="153"/>
      <c r="BA169" s="153"/>
      <c r="BB169" s="153"/>
      <c r="BC169" s="153"/>
      <c r="BD169" s="153"/>
      <c r="BE169" s="153"/>
      <c r="BF169" s="153"/>
      <c r="BG169" s="153"/>
      <c r="BH169" s="153"/>
      <c r="BI169" s="153"/>
      <c r="BJ169" s="153"/>
      <c r="BK169" s="153"/>
      <c r="BL169" s="153"/>
      <c r="BM169" s="153"/>
      <c r="BN169" s="153"/>
      <c r="BO169" s="153"/>
      <c r="BP169" s="153"/>
      <c r="BQ169" s="153"/>
      <c r="BR169" s="153"/>
      <c r="BS169" s="153"/>
      <c r="BT169" s="153"/>
      <c r="BU169" s="153"/>
      <c r="BV169" s="153"/>
      <c r="BW169" s="153"/>
      <c r="BX169" s="153"/>
      <c r="BY169" s="153"/>
      <c r="BZ169" s="153"/>
      <c r="CA169" s="153"/>
      <c r="CB169" s="153"/>
      <c r="CC169" s="153"/>
      <c r="CD169" s="153"/>
      <c r="CE169" s="153"/>
      <c r="CF169" s="153"/>
      <c r="CG169" s="153"/>
      <c r="CH169" s="153"/>
      <c r="CI169" s="153"/>
      <c r="CJ169" s="153"/>
      <c r="CK169" s="153"/>
      <c r="CL169" s="153"/>
      <c r="CM169" s="153"/>
      <c r="CN169" s="153"/>
      <c r="CO169" s="153"/>
      <c r="CP169" s="153"/>
      <c r="CQ169" s="153"/>
      <c r="CR169" s="153"/>
      <c r="CS169" s="153"/>
      <c r="CT169" s="153"/>
      <c r="CU169" s="153"/>
      <c r="CV169" s="153"/>
      <c r="CW169" s="153"/>
      <c r="CX169" s="153"/>
      <c r="CY169" s="153"/>
      <c r="CZ169" s="153"/>
      <c r="DA169" s="153"/>
      <c r="DB169" s="153"/>
      <c r="DC169" s="153"/>
      <c r="DD169" s="153"/>
      <c r="DE169" s="153"/>
      <c r="DF169" s="153"/>
      <c r="DG169" s="153"/>
      <c r="DH169" s="153"/>
      <c r="DI169" s="153"/>
      <c r="DJ169" s="153"/>
      <c r="DK169" s="153"/>
      <c r="DL169" s="153"/>
      <c r="DM169" s="153"/>
      <c r="DN169" s="153"/>
      <c r="DO169" s="153"/>
      <c r="DP169" s="153"/>
      <c r="DQ169" s="153"/>
      <c r="DR169" s="153"/>
      <c r="DS169" s="153"/>
      <c r="DT169" s="153"/>
      <c r="DU169" s="153"/>
      <c r="DV169" s="153"/>
      <c r="DW169" s="153"/>
      <c r="DX169" s="153"/>
      <c r="DY169" s="153"/>
      <c r="DZ169" s="153"/>
      <c r="EA169" s="153"/>
      <c r="EB169" s="153"/>
      <c r="EC169" s="153"/>
      <c r="ED169" s="153"/>
      <c r="EE169" s="153"/>
      <c r="EF169" s="153"/>
      <c r="EG169" s="153"/>
      <c r="EH169" s="153"/>
      <c r="EI169" s="153"/>
      <c r="EJ169" s="153"/>
      <c r="EK169" s="153"/>
      <c r="EL169" s="153"/>
      <c r="EM169" s="153"/>
    </row>
    <row r="170" spans="1:143" s="107" customFormat="1" ht="10.5" hidden="1" customHeight="1" outlineLevel="1">
      <c r="A170" s="1548">
        <v>145</v>
      </c>
      <c r="B170" s="1560" t="str">
        <f t="shared" si="4"/>
        <v/>
      </c>
      <c r="C170" s="161" t="str">
        <f>GasTime(GasAnalyser,'Horiba Data'!F163,'Horiba Data'!G163,'Testo, JUM &amp; MRU Data'!A164,'Thermo Data'!B163,HourOffset)</f>
        <v/>
      </c>
      <c r="D170" s="981" t="str">
        <f>IF(D$17=FALSE,"",GasData(GasAnalyser,'Horiba Data'!S163,'Testo, JUM &amp; MRU Data'!D164,'Thermo Data'!E163,'Testo, JUM &amp; MRU Data'!U164,GDF))</f>
        <v/>
      </c>
      <c r="E170" s="981" t="str">
        <f>IF(D170="","",Conc2(D170,D$9,MolVol,D$21,D$20,E$21,E$20))</f>
        <v/>
      </c>
      <c r="F170" s="981" t="str">
        <f>IF(F$17=FALSE,"",GasData(GasAnalyser,'Horiba Data'!AQ163,'Testo, JUM &amp; MRU Data'!E164,'Thermo Data'!F163,'Testo, JUM &amp; MRU Data'!V164,GDF))</f>
        <v/>
      </c>
      <c r="G170" s="981" t="str">
        <f>IF(F170="","",Conc2(F170,F$9,MolVol,F$21,F$20,G$21,G$20))</f>
        <v/>
      </c>
      <c r="H170" s="981" t="str">
        <f>IF(D$17=FALSE,"",IF(F$17=FALSE,"",GasData(GasAnalyser,'Horiba Data'!W163,'Testo, JUM &amp; MRU Data'!F164,'Thermo Data'!G163,'Testo, JUM &amp; MRU Data'!Y164,GDF)))</f>
        <v/>
      </c>
      <c r="I170" s="981" t="str">
        <f>IF(H170="","",Conc2(H170,H$9,MolVol,H$21,H$20,I$21,I$20))</f>
        <v/>
      </c>
      <c r="J170" s="981" t="str">
        <f>IF(J$17=FALSE,"",GasData(GasAnalyser,'Horiba Data'!AM163,'Testo, JUM &amp; MRU Data'!G164,'Thermo Data'!H163,'Testo, JUM &amp; MRU Data'!W164,GDF))</f>
        <v/>
      </c>
      <c r="K170" s="981" t="str">
        <f>IF(J170="","",Conc2(J170,J$9,MolVol,J$21,J$20,K$21,K$20))</f>
        <v/>
      </c>
      <c r="L170" s="981" t="str">
        <f>IF(L$17=FALSE,"",GasData(GasAnalyser,'Horiba Data'!AA163,'Testo, JUM &amp; MRU Data'!H164,'Thermo Data'!I163,'Testo, JUM &amp; MRU Data'!T164,GDF))</f>
        <v/>
      </c>
      <c r="M170" s="981" t="str">
        <f>IF(L170="","",Conc2(L170,L$9,MolVol,L$21,L$20,M$21,M$20))</f>
        <v/>
      </c>
      <c r="N170" s="981" t="str">
        <f>IF(N$17=FALSE,"",GasData(GasAnalyser,'Horiba Data'!AE163,'Testo, JUM &amp; MRU Data'!I164,'Thermo Data'!J163,'Testo, JUM &amp; MRU Data'!S164,GDF))</f>
        <v/>
      </c>
      <c r="O170" s="981" t="str">
        <f>IF(N170="","",Conc2(N170,N$9,MolVol,N$21,N$20,O$21,O$20))</f>
        <v/>
      </c>
      <c r="P170" s="981" t="str">
        <f>IF(P$17=FALSE,"",GasData(GasAnalyser,'Horiba Data'!AI163,'Testo, JUM &amp; MRU Data'!J164,'Thermo Data'!K163,'Testo, JUM &amp; MRU Data'!R164,GDF))</f>
        <v/>
      </c>
      <c r="Q170" s="981" t="str">
        <f>IF(P170="","",Conc2(P170,P$9,MolVol,P$21,P$20,Q$21,Q$20))</f>
        <v/>
      </c>
      <c r="R170" s="981" t="str">
        <f>IF(R$17=FALSE,"",JUMData('Testo, JUM &amp; MRU Data'!M164,$R$7))</f>
        <v/>
      </c>
      <c r="S170" s="982" t="str">
        <f>IF(R170="","",Conc2(R170,R$9,MolVol,R$21,R$20,S$21,S$20)/(1-Bws))</f>
        <v/>
      </c>
      <c r="T170" s="712"/>
      <c r="AR170" s="334"/>
      <c r="AS170" s="334"/>
      <c r="AT170" s="48"/>
      <c r="AU170" s="48"/>
      <c r="AV170" s="153"/>
      <c r="AW170" s="153"/>
      <c r="AX170" s="153"/>
      <c r="AY170" s="153"/>
      <c r="AZ170" s="153"/>
      <c r="BA170" s="153"/>
      <c r="BB170" s="153"/>
      <c r="BC170" s="153"/>
      <c r="BD170" s="153"/>
      <c r="BE170" s="153"/>
      <c r="BF170" s="153"/>
      <c r="BG170" s="153"/>
      <c r="BH170" s="153"/>
      <c r="BI170" s="153"/>
      <c r="BJ170" s="153"/>
      <c r="BK170" s="153"/>
      <c r="BL170" s="153"/>
      <c r="BM170" s="153"/>
      <c r="BN170" s="153"/>
      <c r="BO170" s="153"/>
      <c r="BP170" s="153"/>
      <c r="BQ170" s="153"/>
      <c r="BR170" s="153"/>
      <c r="BS170" s="153"/>
      <c r="BT170" s="153"/>
      <c r="BU170" s="153"/>
      <c r="BV170" s="153"/>
      <c r="BW170" s="153"/>
      <c r="BX170" s="153"/>
      <c r="BY170" s="153"/>
      <c r="BZ170" s="153"/>
      <c r="CA170" s="153"/>
      <c r="CB170" s="153"/>
      <c r="CC170" s="153"/>
      <c r="CD170" s="153"/>
      <c r="CE170" s="153"/>
      <c r="CF170" s="153"/>
      <c r="CG170" s="153"/>
      <c r="CH170" s="153"/>
      <c r="CI170" s="153"/>
      <c r="CJ170" s="153"/>
      <c r="CK170" s="153"/>
      <c r="CL170" s="153"/>
      <c r="CM170" s="153"/>
      <c r="CN170" s="153"/>
      <c r="CO170" s="153"/>
      <c r="CP170" s="153"/>
      <c r="CQ170" s="153"/>
      <c r="CR170" s="153"/>
      <c r="CS170" s="153"/>
      <c r="CT170" s="153"/>
      <c r="CU170" s="153"/>
      <c r="CV170" s="153"/>
      <c r="CW170" s="153"/>
      <c r="CX170" s="153"/>
      <c r="CY170" s="153"/>
      <c r="CZ170" s="153"/>
      <c r="DA170" s="153"/>
      <c r="DB170" s="153"/>
      <c r="DC170" s="153"/>
      <c r="DD170" s="153"/>
      <c r="DE170" s="153"/>
      <c r="DF170" s="153"/>
      <c r="DG170" s="153"/>
      <c r="DH170" s="153"/>
      <c r="DI170" s="153"/>
      <c r="DJ170" s="153"/>
      <c r="DK170" s="153"/>
      <c r="DL170" s="153"/>
      <c r="DM170" s="153"/>
      <c r="DN170" s="153"/>
      <c r="DO170" s="153"/>
      <c r="DP170" s="153"/>
      <c r="DQ170" s="153"/>
      <c r="DR170" s="153"/>
      <c r="DS170" s="153"/>
      <c r="DT170" s="153"/>
      <c r="DU170" s="153"/>
      <c r="DV170" s="153"/>
      <c r="DW170" s="153"/>
      <c r="DX170" s="153"/>
      <c r="DY170" s="153"/>
      <c r="DZ170" s="153"/>
      <c r="EA170" s="153"/>
      <c r="EB170" s="153"/>
      <c r="EC170" s="153"/>
      <c r="ED170" s="153"/>
      <c r="EE170" s="153"/>
      <c r="EF170" s="153"/>
      <c r="EG170" s="153"/>
      <c r="EH170" s="153"/>
      <c r="EI170" s="153"/>
      <c r="EJ170" s="153"/>
      <c r="EK170" s="153"/>
      <c r="EL170" s="153"/>
      <c r="EM170" s="153"/>
    </row>
    <row r="171" spans="1:143" s="107" customFormat="1" ht="10.5" hidden="1" customHeight="1" outlineLevel="1">
      <c r="A171" s="1548">
        <v>146</v>
      </c>
      <c r="B171" s="1560" t="str">
        <f t="shared" si="4"/>
        <v/>
      </c>
      <c r="C171" s="161" t="str">
        <f>GasTime(GasAnalyser,'Horiba Data'!F164,'Horiba Data'!G164,'Testo, JUM &amp; MRU Data'!A165,'Thermo Data'!B164,HourOffset)</f>
        <v/>
      </c>
      <c r="D171" s="981" t="str">
        <f>IF(D$17=FALSE,"",GasData(GasAnalyser,'Horiba Data'!S164,'Testo, JUM &amp; MRU Data'!D165,'Thermo Data'!E164,'Testo, JUM &amp; MRU Data'!U165,GDF))</f>
        <v/>
      </c>
      <c r="E171" s="981" t="str">
        <f>IF(D171="","",Conc2(D171,D$9,MolVol,D$21,D$20,E$21,E$20))</f>
        <v/>
      </c>
      <c r="F171" s="981" t="str">
        <f>IF(F$17=FALSE,"",GasData(GasAnalyser,'Horiba Data'!AQ164,'Testo, JUM &amp; MRU Data'!E165,'Thermo Data'!F164,'Testo, JUM &amp; MRU Data'!V165,GDF))</f>
        <v/>
      </c>
      <c r="G171" s="981" t="str">
        <f>IF(F171="","",Conc2(F171,F$9,MolVol,F$21,F$20,G$21,G$20))</f>
        <v/>
      </c>
      <c r="H171" s="981" t="str">
        <f>IF(D$17=FALSE,"",IF(F$17=FALSE,"",GasData(GasAnalyser,'Horiba Data'!W164,'Testo, JUM &amp; MRU Data'!F165,'Thermo Data'!G164,'Testo, JUM &amp; MRU Data'!Y165,GDF)))</f>
        <v/>
      </c>
      <c r="I171" s="981" t="str">
        <f>IF(H171="","",Conc2(H171,H$9,MolVol,H$21,H$20,I$21,I$20))</f>
        <v/>
      </c>
      <c r="J171" s="981" t="str">
        <f>IF(J$17=FALSE,"",GasData(GasAnalyser,'Horiba Data'!AM164,'Testo, JUM &amp; MRU Data'!G165,'Thermo Data'!H164,'Testo, JUM &amp; MRU Data'!W165,GDF))</f>
        <v/>
      </c>
      <c r="K171" s="981" t="str">
        <f>IF(J171="","",Conc2(J171,J$9,MolVol,J$21,J$20,K$21,K$20))</f>
        <v/>
      </c>
      <c r="L171" s="981" t="str">
        <f>IF(L$17=FALSE,"",GasData(GasAnalyser,'Horiba Data'!AA164,'Testo, JUM &amp; MRU Data'!H165,'Thermo Data'!I164,'Testo, JUM &amp; MRU Data'!T165,GDF))</f>
        <v/>
      </c>
      <c r="M171" s="981" t="str">
        <f>IF(L171="","",Conc2(L171,L$9,MolVol,L$21,L$20,M$21,M$20))</f>
        <v/>
      </c>
      <c r="N171" s="981" t="str">
        <f>IF(N$17=FALSE,"",GasData(GasAnalyser,'Horiba Data'!AE164,'Testo, JUM &amp; MRU Data'!I165,'Thermo Data'!J164,'Testo, JUM &amp; MRU Data'!S165,GDF))</f>
        <v/>
      </c>
      <c r="O171" s="981" t="str">
        <f>IF(N171="","",Conc2(N171,N$9,MolVol,N$21,N$20,O$21,O$20))</f>
        <v/>
      </c>
      <c r="P171" s="981" t="str">
        <f>IF(P$17=FALSE,"",GasData(GasAnalyser,'Horiba Data'!AI164,'Testo, JUM &amp; MRU Data'!J165,'Thermo Data'!K164,'Testo, JUM &amp; MRU Data'!R165,GDF))</f>
        <v/>
      </c>
      <c r="Q171" s="981" t="str">
        <f>IF(P171="","",Conc2(P171,P$9,MolVol,P$21,P$20,Q$21,Q$20))</f>
        <v/>
      </c>
      <c r="R171" s="981" t="str">
        <f>IF(R$17=FALSE,"",JUMData('Testo, JUM &amp; MRU Data'!M165,$R$7))</f>
        <v/>
      </c>
      <c r="S171" s="982" t="str">
        <f>IF(R171="","",Conc2(R171,R$9,MolVol,R$21,R$20,S$21,S$20)/(1-Bws))</f>
        <v/>
      </c>
      <c r="T171" s="712"/>
      <c r="AR171" s="334"/>
      <c r="AS171" s="334"/>
      <c r="AT171" s="48"/>
      <c r="AU171" s="48"/>
      <c r="AV171" s="153"/>
      <c r="AW171" s="153"/>
      <c r="AX171" s="153"/>
      <c r="AY171" s="153"/>
      <c r="AZ171" s="153"/>
      <c r="BA171" s="153"/>
      <c r="BB171" s="153"/>
      <c r="BC171" s="153"/>
      <c r="BD171" s="153"/>
      <c r="BE171" s="153"/>
      <c r="BF171" s="153"/>
      <c r="BG171" s="153"/>
      <c r="BH171" s="153"/>
      <c r="BI171" s="153"/>
      <c r="BJ171" s="153"/>
      <c r="BK171" s="153"/>
      <c r="BL171" s="153"/>
      <c r="BM171" s="153"/>
      <c r="BN171" s="153"/>
      <c r="BO171" s="153"/>
      <c r="BP171" s="153"/>
      <c r="BQ171" s="153"/>
      <c r="BR171" s="153"/>
      <c r="BS171" s="153"/>
      <c r="BT171" s="153"/>
      <c r="BU171" s="153"/>
      <c r="BV171" s="153"/>
      <c r="BW171" s="153"/>
      <c r="BX171" s="153"/>
      <c r="BY171" s="153"/>
      <c r="BZ171" s="153"/>
      <c r="CA171" s="153"/>
      <c r="CB171" s="153"/>
      <c r="CC171" s="153"/>
      <c r="CD171" s="153"/>
      <c r="CE171" s="153"/>
      <c r="CF171" s="153"/>
      <c r="CG171" s="153"/>
      <c r="CH171" s="153"/>
      <c r="CI171" s="153"/>
      <c r="CJ171" s="153"/>
      <c r="CK171" s="153"/>
      <c r="CL171" s="153"/>
      <c r="CM171" s="153"/>
      <c r="CN171" s="153"/>
      <c r="CO171" s="153"/>
      <c r="CP171" s="153"/>
      <c r="CQ171" s="153"/>
      <c r="CR171" s="153"/>
      <c r="CS171" s="153"/>
      <c r="CT171" s="153"/>
      <c r="CU171" s="153"/>
      <c r="CV171" s="153"/>
      <c r="CW171" s="153"/>
      <c r="CX171" s="153"/>
      <c r="CY171" s="153"/>
      <c r="CZ171" s="153"/>
      <c r="DA171" s="153"/>
      <c r="DB171" s="153"/>
      <c r="DC171" s="153"/>
      <c r="DD171" s="153"/>
      <c r="DE171" s="153"/>
      <c r="DF171" s="153"/>
      <c r="DG171" s="153"/>
      <c r="DH171" s="153"/>
      <c r="DI171" s="153"/>
      <c r="DJ171" s="153"/>
      <c r="DK171" s="153"/>
      <c r="DL171" s="153"/>
      <c r="DM171" s="153"/>
      <c r="DN171" s="153"/>
      <c r="DO171" s="153"/>
      <c r="DP171" s="153"/>
      <c r="DQ171" s="153"/>
      <c r="DR171" s="153"/>
      <c r="DS171" s="153"/>
      <c r="DT171" s="153"/>
      <c r="DU171" s="153"/>
      <c r="DV171" s="153"/>
      <c r="DW171" s="153"/>
      <c r="DX171" s="153"/>
      <c r="DY171" s="153"/>
      <c r="DZ171" s="153"/>
      <c r="EA171" s="153"/>
      <c r="EB171" s="153"/>
      <c r="EC171" s="153"/>
      <c r="ED171" s="153"/>
      <c r="EE171" s="153"/>
      <c r="EF171" s="153"/>
      <c r="EG171" s="153"/>
      <c r="EH171" s="153"/>
      <c r="EI171" s="153"/>
      <c r="EJ171" s="153"/>
      <c r="EK171" s="153"/>
      <c r="EL171" s="153"/>
      <c r="EM171" s="153"/>
    </row>
    <row r="172" spans="1:143" s="107" customFormat="1" ht="10.5" hidden="1" customHeight="1" outlineLevel="1">
      <c r="A172" s="1548">
        <v>147</v>
      </c>
      <c r="B172" s="1560" t="str">
        <f t="shared" si="4"/>
        <v/>
      </c>
      <c r="C172" s="161" t="str">
        <f>GasTime(GasAnalyser,'Horiba Data'!F165,'Horiba Data'!G165,'Testo, JUM &amp; MRU Data'!A166,'Thermo Data'!B165,HourOffset)</f>
        <v/>
      </c>
      <c r="D172" s="981" t="str">
        <f>IF(D$17=FALSE,"",GasData(GasAnalyser,'Horiba Data'!S165,'Testo, JUM &amp; MRU Data'!D166,'Thermo Data'!E165,'Testo, JUM &amp; MRU Data'!U166,GDF))</f>
        <v/>
      </c>
      <c r="E172" s="981" t="str">
        <f>IF(D172="","",Conc2(D172,D$9,MolVol,D$21,D$20,E$21,E$20))</f>
        <v/>
      </c>
      <c r="F172" s="981" t="str">
        <f>IF(F$17=FALSE,"",GasData(GasAnalyser,'Horiba Data'!AQ165,'Testo, JUM &amp; MRU Data'!E166,'Thermo Data'!F165,'Testo, JUM &amp; MRU Data'!V166,GDF))</f>
        <v/>
      </c>
      <c r="G172" s="981" t="str">
        <f>IF(F172="","",Conc2(F172,F$9,MolVol,F$21,F$20,G$21,G$20))</f>
        <v/>
      </c>
      <c r="H172" s="981" t="str">
        <f>IF(D$17=FALSE,"",IF(F$17=FALSE,"",GasData(GasAnalyser,'Horiba Data'!W165,'Testo, JUM &amp; MRU Data'!F166,'Thermo Data'!G165,'Testo, JUM &amp; MRU Data'!Y166,GDF)))</f>
        <v/>
      </c>
      <c r="I172" s="981" t="str">
        <f>IF(H172="","",Conc2(H172,H$9,MolVol,H$21,H$20,I$21,I$20))</f>
        <v/>
      </c>
      <c r="J172" s="981" t="str">
        <f>IF(J$17=FALSE,"",GasData(GasAnalyser,'Horiba Data'!AM165,'Testo, JUM &amp; MRU Data'!G166,'Thermo Data'!H165,'Testo, JUM &amp; MRU Data'!W166,GDF))</f>
        <v/>
      </c>
      <c r="K172" s="981" t="str">
        <f>IF(J172="","",Conc2(J172,J$9,MolVol,J$21,J$20,K$21,K$20))</f>
        <v/>
      </c>
      <c r="L172" s="981" t="str">
        <f>IF(L$17=FALSE,"",GasData(GasAnalyser,'Horiba Data'!AA165,'Testo, JUM &amp; MRU Data'!H166,'Thermo Data'!I165,'Testo, JUM &amp; MRU Data'!T166,GDF))</f>
        <v/>
      </c>
      <c r="M172" s="981" t="str">
        <f>IF(L172="","",Conc2(L172,L$9,MolVol,L$21,L$20,M$21,M$20))</f>
        <v/>
      </c>
      <c r="N172" s="981" t="str">
        <f>IF(N$17=FALSE,"",GasData(GasAnalyser,'Horiba Data'!AE165,'Testo, JUM &amp; MRU Data'!I166,'Thermo Data'!J165,'Testo, JUM &amp; MRU Data'!S166,GDF))</f>
        <v/>
      </c>
      <c r="O172" s="981" t="str">
        <f>IF(N172="","",Conc2(N172,N$9,MolVol,N$21,N$20,O$21,O$20))</f>
        <v/>
      </c>
      <c r="P172" s="981" t="str">
        <f>IF(P$17=FALSE,"",GasData(GasAnalyser,'Horiba Data'!AI165,'Testo, JUM &amp; MRU Data'!J166,'Thermo Data'!K165,'Testo, JUM &amp; MRU Data'!R166,GDF))</f>
        <v/>
      </c>
      <c r="Q172" s="981" t="str">
        <f>IF(P172="","",Conc2(P172,P$9,MolVol,P$21,P$20,Q$21,Q$20))</f>
        <v/>
      </c>
      <c r="R172" s="981" t="str">
        <f>IF(R$17=FALSE,"",JUMData('Testo, JUM &amp; MRU Data'!M166,$R$7))</f>
        <v/>
      </c>
      <c r="S172" s="982" t="str">
        <f>IF(R172="","",Conc2(R172,R$9,MolVol,R$21,R$20,S$21,S$20)/(1-Bws))</f>
        <v/>
      </c>
      <c r="T172" s="712"/>
      <c r="AR172" s="334"/>
      <c r="AS172" s="334"/>
      <c r="AT172" s="48"/>
      <c r="AU172" s="48"/>
      <c r="AV172" s="153"/>
      <c r="AW172" s="153"/>
      <c r="AX172" s="153"/>
      <c r="AY172" s="153"/>
      <c r="AZ172" s="153"/>
      <c r="BA172" s="153"/>
      <c r="BB172" s="153"/>
      <c r="BC172" s="153"/>
      <c r="BD172" s="153"/>
      <c r="BE172" s="153"/>
      <c r="BF172" s="153"/>
      <c r="BG172" s="153"/>
      <c r="BH172" s="153"/>
      <c r="BI172" s="153"/>
      <c r="BJ172" s="153"/>
      <c r="BK172" s="153"/>
      <c r="BL172" s="153"/>
      <c r="BM172" s="153"/>
      <c r="BN172" s="153"/>
      <c r="BO172" s="153"/>
      <c r="BP172" s="153"/>
      <c r="BQ172" s="153"/>
      <c r="BR172" s="153"/>
      <c r="BS172" s="153"/>
      <c r="BT172" s="153"/>
      <c r="BU172" s="153"/>
      <c r="BV172" s="153"/>
      <c r="BW172" s="153"/>
      <c r="BX172" s="153"/>
      <c r="BY172" s="153"/>
      <c r="BZ172" s="153"/>
      <c r="CA172" s="153"/>
      <c r="CB172" s="153"/>
      <c r="CC172" s="153"/>
      <c r="CD172" s="153"/>
      <c r="CE172" s="153"/>
      <c r="CF172" s="153"/>
      <c r="CG172" s="153"/>
      <c r="CH172" s="153"/>
      <c r="CI172" s="153"/>
      <c r="CJ172" s="153"/>
      <c r="CK172" s="153"/>
      <c r="CL172" s="153"/>
      <c r="CM172" s="153"/>
      <c r="CN172" s="153"/>
      <c r="CO172" s="153"/>
      <c r="CP172" s="153"/>
      <c r="CQ172" s="153"/>
      <c r="CR172" s="153"/>
      <c r="CS172" s="153"/>
      <c r="CT172" s="153"/>
      <c r="CU172" s="153"/>
      <c r="CV172" s="153"/>
      <c r="CW172" s="153"/>
      <c r="CX172" s="153"/>
      <c r="CY172" s="153"/>
      <c r="CZ172" s="153"/>
      <c r="DA172" s="153"/>
      <c r="DB172" s="153"/>
      <c r="DC172" s="153"/>
      <c r="DD172" s="153"/>
      <c r="DE172" s="153"/>
      <c r="DF172" s="153"/>
      <c r="DG172" s="153"/>
      <c r="DH172" s="153"/>
      <c r="DI172" s="153"/>
      <c r="DJ172" s="153"/>
      <c r="DK172" s="153"/>
      <c r="DL172" s="153"/>
      <c r="DM172" s="153"/>
      <c r="DN172" s="153"/>
      <c r="DO172" s="153"/>
      <c r="DP172" s="153"/>
      <c r="DQ172" s="153"/>
      <c r="DR172" s="153"/>
      <c r="DS172" s="153"/>
      <c r="DT172" s="153"/>
      <c r="DU172" s="153"/>
      <c r="DV172" s="153"/>
      <c r="DW172" s="153"/>
      <c r="DX172" s="153"/>
      <c r="DY172" s="153"/>
      <c r="DZ172" s="153"/>
      <c r="EA172" s="153"/>
      <c r="EB172" s="153"/>
      <c r="EC172" s="153"/>
      <c r="ED172" s="153"/>
      <c r="EE172" s="153"/>
      <c r="EF172" s="153"/>
      <c r="EG172" s="153"/>
      <c r="EH172" s="153"/>
      <c r="EI172" s="153"/>
      <c r="EJ172" s="153"/>
      <c r="EK172" s="153"/>
      <c r="EL172" s="153"/>
      <c r="EM172" s="153"/>
    </row>
    <row r="173" spans="1:143" s="107" customFormat="1" ht="10.5" hidden="1" customHeight="1" outlineLevel="1">
      <c r="A173" s="1548">
        <v>148</v>
      </c>
      <c r="B173" s="1560" t="str">
        <f t="shared" si="4"/>
        <v/>
      </c>
      <c r="C173" s="161" t="str">
        <f>GasTime(GasAnalyser,'Horiba Data'!F166,'Horiba Data'!G166,'Testo, JUM &amp; MRU Data'!A167,'Thermo Data'!B166,HourOffset)</f>
        <v/>
      </c>
      <c r="D173" s="981" t="str">
        <f>IF(D$17=FALSE,"",GasData(GasAnalyser,'Horiba Data'!S166,'Testo, JUM &amp; MRU Data'!D167,'Thermo Data'!E166,'Testo, JUM &amp; MRU Data'!U167,GDF))</f>
        <v/>
      </c>
      <c r="E173" s="981" t="str">
        <f>IF(D173="","",Conc2(D173,D$9,MolVol,D$21,D$20,E$21,E$20))</f>
        <v/>
      </c>
      <c r="F173" s="981" t="str">
        <f>IF(F$17=FALSE,"",GasData(GasAnalyser,'Horiba Data'!AQ166,'Testo, JUM &amp; MRU Data'!E167,'Thermo Data'!F166,'Testo, JUM &amp; MRU Data'!V167,GDF))</f>
        <v/>
      </c>
      <c r="G173" s="981" t="str">
        <f>IF(F173="","",Conc2(F173,F$9,MolVol,F$21,F$20,G$21,G$20))</f>
        <v/>
      </c>
      <c r="H173" s="981" t="str">
        <f>IF(D$17=FALSE,"",IF(F$17=FALSE,"",GasData(GasAnalyser,'Horiba Data'!W166,'Testo, JUM &amp; MRU Data'!F167,'Thermo Data'!G166,'Testo, JUM &amp; MRU Data'!Y167,GDF)))</f>
        <v/>
      </c>
      <c r="I173" s="981" t="str">
        <f>IF(H173="","",Conc2(H173,H$9,MolVol,H$21,H$20,I$21,I$20))</f>
        <v/>
      </c>
      <c r="J173" s="981" t="str">
        <f>IF(J$17=FALSE,"",GasData(GasAnalyser,'Horiba Data'!AM166,'Testo, JUM &amp; MRU Data'!G167,'Thermo Data'!H166,'Testo, JUM &amp; MRU Data'!W167,GDF))</f>
        <v/>
      </c>
      <c r="K173" s="981" t="str">
        <f>IF(J173="","",Conc2(J173,J$9,MolVol,J$21,J$20,K$21,K$20))</f>
        <v/>
      </c>
      <c r="L173" s="981" t="str">
        <f>IF(L$17=FALSE,"",GasData(GasAnalyser,'Horiba Data'!AA166,'Testo, JUM &amp; MRU Data'!H167,'Thermo Data'!I166,'Testo, JUM &amp; MRU Data'!T167,GDF))</f>
        <v/>
      </c>
      <c r="M173" s="981" t="str">
        <f>IF(L173="","",Conc2(L173,L$9,MolVol,L$21,L$20,M$21,M$20))</f>
        <v/>
      </c>
      <c r="N173" s="981" t="str">
        <f>IF(N$17=FALSE,"",GasData(GasAnalyser,'Horiba Data'!AE166,'Testo, JUM &amp; MRU Data'!I167,'Thermo Data'!J166,'Testo, JUM &amp; MRU Data'!S167,GDF))</f>
        <v/>
      </c>
      <c r="O173" s="981" t="str">
        <f>IF(N173="","",Conc2(N173,N$9,MolVol,N$21,N$20,O$21,O$20))</f>
        <v/>
      </c>
      <c r="P173" s="981" t="str">
        <f>IF(P$17=FALSE,"",GasData(GasAnalyser,'Horiba Data'!AI166,'Testo, JUM &amp; MRU Data'!J167,'Thermo Data'!K166,'Testo, JUM &amp; MRU Data'!R167,GDF))</f>
        <v/>
      </c>
      <c r="Q173" s="981" t="str">
        <f>IF(P173="","",Conc2(P173,P$9,MolVol,P$21,P$20,Q$21,Q$20))</f>
        <v/>
      </c>
      <c r="R173" s="981" t="str">
        <f>IF(R$17=FALSE,"",JUMData('Testo, JUM &amp; MRU Data'!M167,$R$7))</f>
        <v/>
      </c>
      <c r="S173" s="982" t="str">
        <f>IF(R173="","",Conc2(R173,R$9,MolVol,R$21,R$20,S$21,S$20)/(1-Bws))</f>
        <v/>
      </c>
      <c r="T173" s="712"/>
      <c r="AR173" s="334"/>
      <c r="AS173" s="334"/>
      <c r="AT173" s="48"/>
      <c r="AU173" s="48"/>
      <c r="AV173" s="153"/>
      <c r="AW173" s="153"/>
      <c r="AX173" s="153"/>
      <c r="AY173" s="153"/>
      <c r="AZ173" s="153"/>
      <c r="BA173" s="153"/>
      <c r="BB173" s="153"/>
      <c r="BC173" s="153"/>
      <c r="BD173" s="153"/>
      <c r="BE173" s="153"/>
      <c r="BF173" s="153"/>
      <c r="BG173" s="153"/>
      <c r="BH173" s="153"/>
      <c r="BI173" s="153"/>
      <c r="BJ173" s="153"/>
      <c r="BK173" s="153"/>
      <c r="BL173" s="153"/>
      <c r="BM173" s="153"/>
      <c r="BN173" s="153"/>
      <c r="BO173" s="153"/>
      <c r="BP173" s="153"/>
      <c r="BQ173" s="153"/>
      <c r="BR173" s="153"/>
      <c r="BS173" s="153"/>
      <c r="BT173" s="153"/>
      <c r="BU173" s="153"/>
      <c r="BV173" s="153"/>
      <c r="BW173" s="153"/>
      <c r="BX173" s="153"/>
      <c r="BY173" s="153"/>
      <c r="BZ173" s="153"/>
      <c r="CA173" s="153"/>
      <c r="CB173" s="153"/>
      <c r="CC173" s="153"/>
      <c r="CD173" s="153"/>
      <c r="CE173" s="153"/>
      <c r="CF173" s="153"/>
      <c r="CG173" s="153"/>
      <c r="CH173" s="153"/>
      <c r="CI173" s="153"/>
      <c r="CJ173" s="153"/>
      <c r="CK173" s="153"/>
      <c r="CL173" s="153"/>
      <c r="CM173" s="153"/>
      <c r="CN173" s="153"/>
      <c r="CO173" s="153"/>
      <c r="CP173" s="153"/>
      <c r="CQ173" s="153"/>
      <c r="CR173" s="153"/>
      <c r="CS173" s="153"/>
      <c r="CT173" s="153"/>
      <c r="CU173" s="153"/>
      <c r="CV173" s="153"/>
      <c r="CW173" s="153"/>
      <c r="CX173" s="153"/>
      <c r="CY173" s="153"/>
      <c r="CZ173" s="153"/>
      <c r="DA173" s="153"/>
      <c r="DB173" s="153"/>
      <c r="DC173" s="153"/>
      <c r="DD173" s="153"/>
      <c r="DE173" s="153"/>
      <c r="DF173" s="153"/>
      <c r="DG173" s="153"/>
      <c r="DH173" s="153"/>
      <c r="DI173" s="153"/>
      <c r="DJ173" s="153"/>
      <c r="DK173" s="153"/>
      <c r="DL173" s="153"/>
      <c r="DM173" s="153"/>
      <c r="DN173" s="153"/>
      <c r="DO173" s="153"/>
      <c r="DP173" s="153"/>
      <c r="DQ173" s="153"/>
      <c r="DR173" s="153"/>
      <c r="DS173" s="153"/>
      <c r="DT173" s="153"/>
      <c r="DU173" s="153"/>
      <c r="DV173" s="153"/>
      <c r="DW173" s="153"/>
      <c r="DX173" s="153"/>
      <c r="DY173" s="153"/>
      <c r="DZ173" s="153"/>
      <c r="EA173" s="153"/>
      <c r="EB173" s="153"/>
      <c r="EC173" s="153"/>
      <c r="ED173" s="153"/>
      <c r="EE173" s="153"/>
      <c r="EF173" s="153"/>
      <c r="EG173" s="153"/>
      <c r="EH173" s="153"/>
      <c r="EI173" s="153"/>
      <c r="EJ173" s="153"/>
      <c r="EK173" s="153"/>
      <c r="EL173" s="153"/>
      <c r="EM173" s="153"/>
    </row>
    <row r="174" spans="1:143" s="107" customFormat="1" ht="10.5" hidden="1" customHeight="1" outlineLevel="1">
      <c r="A174" s="1548">
        <v>149</v>
      </c>
      <c r="B174" s="1560" t="str">
        <f t="shared" si="4"/>
        <v/>
      </c>
      <c r="C174" s="161" t="str">
        <f>GasTime(GasAnalyser,'Horiba Data'!F167,'Horiba Data'!G167,'Testo, JUM &amp; MRU Data'!A168,'Thermo Data'!B167,HourOffset)</f>
        <v/>
      </c>
      <c r="D174" s="981" t="str">
        <f>IF(D$17=FALSE,"",GasData(GasAnalyser,'Horiba Data'!S167,'Testo, JUM &amp; MRU Data'!D168,'Thermo Data'!E167,'Testo, JUM &amp; MRU Data'!U168,GDF))</f>
        <v/>
      </c>
      <c r="E174" s="981" t="str">
        <f>IF(D174="","",Conc2(D174,D$9,MolVol,D$21,D$20,E$21,E$20))</f>
        <v/>
      </c>
      <c r="F174" s="981" t="str">
        <f>IF(F$17=FALSE,"",GasData(GasAnalyser,'Horiba Data'!AQ167,'Testo, JUM &amp; MRU Data'!E168,'Thermo Data'!F167,'Testo, JUM &amp; MRU Data'!V168,GDF))</f>
        <v/>
      </c>
      <c r="G174" s="981" t="str">
        <f>IF(F174="","",Conc2(F174,F$9,MolVol,F$21,F$20,G$21,G$20))</f>
        <v/>
      </c>
      <c r="H174" s="981" t="str">
        <f>IF(D$17=FALSE,"",IF(F$17=FALSE,"",GasData(GasAnalyser,'Horiba Data'!W167,'Testo, JUM &amp; MRU Data'!F168,'Thermo Data'!G167,'Testo, JUM &amp; MRU Data'!Y168,GDF)))</f>
        <v/>
      </c>
      <c r="I174" s="981" t="str">
        <f>IF(H174="","",Conc2(H174,H$9,MolVol,H$21,H$20,I$21,I$20))</f>
        <v/>
      </c>
      <c r="J174" s="981" t="str">
        <f>IF(J$17=FALSE,"",GasData(GasAnalyser,'Horiba Data'!AM167,'Testo, JUM &amp; MRU Data'!G168,'Thermo Data'!H167,'Testo, JUM &amp; MRU Data'!W168,GDF))</f>
        <v/>
      </c>
      <c r="K174" s="981" t="str">
        <f>IF(J174="","",Conc2(J174,J$9,MolVol,J$21,J$20,K$21,K$20))</f>
        <v/>
      </c>
      <c r="L174" s="981" t="str">
        <f>IF(L$17=FALSE,"",GasData(GasAnalyser,'Horiba Data'!AA167,'Testo, JUM &amp; MRU Data'!H168,'Thermo Data'!I167,'Testo, JUM &amp; MRU Data'!T168,GDF))</f>
        <v/>
      </c>
      <c r="M174" s="981" t="str">
        <f>IF(L174="","",Conc2(L174,L$9,MolVol,L$21,L$20,M$21,M$20))</f>
        <v/>
      </c>
      <c r="N174" s="981" t="str">
        <f>IF(N$17=FALSE,"",GasData(GasAnalyser,'Horiba Data'!AE167,'Testo, JUM &amp; MRU Data'!I168,'Thermo Data'!J167,'Testo, JUM &amp; MRU Data'!S168,GDF))</f>
        <v/>
      </c>
      <c r="O174" s="981" t="str">
        <f>IF(N174="","",Conc2(N174,N$9,MolVol,N$21,N$20,O$21,O$20))</f>
        <v/>
      </c>
      <c r="P174" s="981" t="str">
        <f>IF(P$17=FALSE,"",GasData(GasAnalyser,'Horiba Data'!AI167,'Testo, JUM &amp; MRU Data'!J168,'Thermo Data'!K167,'Testo, JUM &amp; MRU Data'!R168,GDF))</f>
        <v/>
      </c>
      <c r="Q174" s="981" t="str">
        <f>IF(P174="","",Conc2(P174,P$9,MolVol,P$21,P$20,Q$21,Q$20))</f>
        <v/>
      </c>
      <c r="R174" s="981" t="str">
        <f>IF(R$17=FALSE,"",JUMData('Testo, JUM &amp; MRU Data'!M168,$R$7))</f>
        <v/>
      </c>
      <c r="S174" s="982" t="str">
        <f>IF(R174="","",Conc2(R174,R$9,MolVol,R$21,R$20,S$21,S$20)/(1-Bws))</f>
        <v/>
      </c>
      <c r="T174" s="712"/>
      <c r="AR174" s="334"/>
      <c r="AS174" s="334"/>
      <c r="AT174" s="48"/>
      <c r="AU174" s="48"/>
      <c r="AV174" s="153"/>
      <c r="AW174" s="153"/>
      <c r="AX174" s="153"/>
      <c r="AY174" s="153"/>
      <c r="AZ174" s="153"/>
      <c r="BA174" s="153"/>
      <c r="BB174" s="153"/>
      <c r="BC174" s="153"/>
      <c r="BD174" s="153"/>
      <c r="BE174" s="153"/>
      <c r="BF174" s="153"/>
      <c r="BG174" s="153"/>
      <c r="BH174" s="153"/>
      <c r="BI174" s="153"/>
      <c r="BJ174" s="153"/>
      <c r="BK174" s="153"/>
      <c r="BL174" s="153"/>
      <c r="BM174" s="153"/>
      <c r="BN174" s="153"/>
      <c r="BO174" s="153"/>
      <c r="BP174" s="153"/>
      <c r="BQ174" s="153"/>
      <c r="BR174" s="153"/>
      <c r="BS174" s="153"/>
      <c r="BT174" s="153"/>
      <c r="BU174" s="153"/>
      <c r="BV174" s="153"/>
      <c r="BW174" s="153"/>
      <c r="BX174" s="153"/>
      <c r="BY174" s="153"/>
      <c r="BZ174" s="153"/>
      <c r="CA174" s="153"/>
      <c r="CB174" s="153"/>
      <c r="CC174" s="153"/>
      <c r="CD174" s="153"/>
      <c r="CE174" s="153"/>
      <c r="CF174" s="153"/>
      <c r="CG174" s="153"/>
      <c r="CH174" s="153"/>
      <c r="CI174" s="153"/>
      <c r="CJ174" s="153"/>
      <c r="CK174" s="153"/>
      <c r="CL174" s="153"/>
      <c r="CM174" s="153"/>
      <c r="CN174" s="153"/>
      <c r="CO174" s="153"/>
      <c r="CP174" s="153"/>
      <c r="CQ174" s="153"/>
      <c r="CR174" s="153"/>
      <c r="CS174" s="153"/>
      <c r="CT174" s="153"/>
      <c r="CU174" s="153"/>
      <c r="CV174" s="153"/>
      <c r="CW174" s="153"/>
      <c r="CX174" s="153"/>
      <c r="CY174" s="153"/>
      <c r="CZ174" s="153"/>
      <c r="DA174" s="153"/>
      <c r="DB174" s="153"/>
      <c r="DC174" s="153"/>
      <c r="DD174" s="153"/>
      <c r="DE174" s="153"/>
      <c r="DF174" s="153"/>
      <c r="DG174" s="153"/>
      <c r="DH174" s="153"/>
      <c r="DI174" s="153"/>
      <c r="DJ174" s="153"/>
      <c r="DK174" s="153"/>
      <c r="DL174" s="153"/>
      <c r="DM174" s="153"/>
      <c r="DN174" s="153"/>
      <c r="DO174" s="153"/>
      <c r="DP174" s="153"/>
      <c r="DQ174" s="153"/>
      <c r="DR174" s="153"/>
      <c r="DS174" s="153"/>
      <c r="DT174" s="153"/>
      <c r="DU174" s="153"/>
      <c r="DV174" s="153"/>
      <c r="DW174" s="153"/>
      <c r="DX174" s="153"/>
      <c r="DY174" s="153"/>
      <c r="DZ174" s="153"/>
      <c r="EA174" s="153"/>
      <c r="EB174" s="153"/>
      <c r="EC174" s="153"/>
      <c r="ED174" s="153"/>
      <c r="EE174" s="153"/>
      <c r="EF174" s="153"/>
      <c r="EG174" s="153"/>
      <c r="EH174" s="153"/>
      <c r="EI174" s="153"/>
      <c r="EJ174" s="153"/>
      <c r="EK174" s="153"/>
      <c r="EL174" s="153"/>
      <c r="EM174" s="153"/>
    </row>
    <row r="175" spans="1:143" s="107" customFormat="1" ht="10.5" hidden="1" customHeight="1" outlineLevel="1">
      <c r="A175" s="1548">
        <v>150</v>
      </c>
      <c r="B175" s="1560" t="str">
        <f t="shared" si="4"/>
        <v/>
      </c>
      <c r="C175" s="161" t="str">
        <f>GasTime(GasAnalyser,'Horiba Data'!F168,'Horiba Data'!G168,'Testo, JUM &amp; MRU Data'!A169,'Thermo Data'!B168,HourOffset)</f>
        <v/>
      </c>
      <c r="D175" s="981" t="str">
        <f>IF(D$17=FALSE,"",GasData(GasAnalyser,'Horiba Data'!S168,'Testo, JUM &amp; MRU Data'!D169,'Thermo Data'!E168,'Testo, JUM &amp; MRU Data'!U169,GDF))</f>
        <v/>
      </c>
      <c r="E175" s="981" t="str">
        <f>IF(D175="","",Conc2(D175,D$9,MolVol,D$21,D$20,E$21,E$20))</f>
        <v/>
      </c>
      <c r="F175" s="981" t="str">
        <f>IF(F$17=FALSE,"",GasData(GasAnalyser,'Horiba Data'!AQ168,'Testo, JUM &amp; MRU Data'!E169,'Thermo Data'!F168,'Testo, JUM &amp; MRU Data'!V169,GDF))</f>
        <v/>
      </c>
      <c r="G175" s="981" t="str">
        <f>IF(F175="","",Conc2(F175,F$9,MolVol,F$21,F$20,G$21,G$20))</f>
        <v/>
      </c>
      <c r="H175" s="981" t="str">
        <f>IF(D$17=FALSE,"",IF(F$17=FALSE,"",GasData(GasAnalyser,'Horiba Data'!W168,'Testo, JUM &amp; MRU Data'!F169,'Thermo Data'!G168,'Testo, JUM &amp; MRU Data'!Y169,GDF)))</f>
        <v/>
      </c>
      <c r="I175" s="981" t="str">
        <f>IF(H175="","",Conc2(H175,H$9,MolVol,H$21,H$20,I$21,I$20))</f>
        <v/>
      </c>
      <c r="J175" s="981" t="str">
        <f>IF(J$17=FALSE,"",GasData(GasAnalyser,'Horiba Data'!AM168,'Testo, JUM &amp; MRU Data'!G169,'Thermo Data'!H168,'Testo, JUM &amp; MRU Data'!W169,GDF))</f>
        <v/>
      </c>
      <c r="K175" s="981" t="str">
        <f>IF(J175="","",Conc2(J175,J$9,MolVol,J$21,J$20,K$21,K$20))</f>
        <v/>
      </c>
      <c r="L175" s="981" t="str">
        <f>IF(L$17=FALSE,"",GasData(GasAnalyser,'Horiba Data'!AA168,'Testo, JUM &amp; MRU Data'!H169,'Thermo Data'!I168,'Testo, JUM &amp; MRU Data'!T169,GDF))</f>
        <v/>
      </c>
      <c r="M175" s="981" t="str">
        <f>IF(L175="","",Conc2(L175,L$9,MolVol,L$21,L$20,M$21,M$20))</f>
        <v/>
      </c>
      <c r="N175" s="981" t="str">
        <f>IF(N$17=FALSE,"",GasData(GasAnalyser,'Horiba Data'!AE168,'Testo, JUM &amp; MRU Data'!I169,'Thermo Data'!J168,'Testo, JUM &amp; MRU Data'!S169,GDF))</f>
        <v/>
      </c>
      <c r="O175" s="981" t="str">
        <f>IF(N175="","",Conc2(N175,N$9,MolVol,N$21,N$20,O$21,O$20))</f>
        <v/>
      </c>
      <c r="P175" s="981" t="str">
        <f>IF(P$17=FALSE,"",GasData(GasAnalyser,'Horiba Data'!AI168,'Testo, JUM &amp; MRU Data'!J169,'Thermo Data'!K168,'Testo, JUM &amp; MRU Data'!R169,GDF))</f>
        <v/>
      </c>
      <c r="Q175" s="981" t="str">
        <f>IF(P175="","",Conc2(P175,P$9,MolVol,P$21,P$20,Q$21,Q$20))</f>
        <v/>
      </c>
      <c r="R175" s="981" t="str">
        <f>IF(R$17=FALSE,"",JUMData('Testo, JUM &amp; MRU Data'!M169,$R$7))</f>
        <v/>
      </c>
      <c r="S175" s="982" t="str">
        <f>IF(R175="","",Conc2(R175,R$9,MolVol,R$21,R$20,S$21,S$20)/(1-Bws))</f>
        <v/>
      </c>
      <c r="T175" s="712"/>
      <c r="AR175" s="334"/>
      <c r="AS175" s="334"/>
      <c r="AT175" s="48"/>
      <c r="AU175" s="48"/>
      <c r="AV175" s="153"/>
      <c r="AW175" s="153"/>
      <c r="AX175" s="153"/>
      <c r="AY175" s="153"/>
      <c r="AZ175" s="153"/>
      <c r="BA175" s="153"/>
      <c r="BB175" s="153"/>
      <c r="BC175" s="153"/>
      <c r="BD175" s="153"/>
      <c r="BE175" s="153"/>
      <c r="BF175" s="153"/>
      <c r="BG175" s="153"/>
      <c r="BH175" s="153"/>
      <c r="BI175" s="153"/>
      <c r="BJ175" s="153"/>
      <c r="BK175" s="153"/>
      <c r="BL175" s="153"/>
      <c r="BM175" s="153"/>
      <c r="BN175" s="153"/>
      <c r="BO175" s="153"/>
      <c r="BP175" s="153"/>
      <c r="BQ175" s="153"/>
      <c r="BR175" s="153"/>
      <c r="BS175" s="153"/>
      <c r="BT175" s="153"/>
      <c r="BU175" s="153"/>
      <c r="BV175" s="153"/>
      <c r="BW175" s="153"/>
      <c r="BX175" s="153"/>
      <c r="BY175" s="153"/>
      <c r="BZ175" s="153"/>
      <c r="CA175" s="153"/>
      <c r="CB175" s="153"/>
      <c r="CC175" s="153"/>
      <c r="CD175" s="153"/>
      <c r="CE175" s="153"/>
      <c r="CF175" s="153"/>
      <c r="CG175" s="153"/>
      <c r="CH175" s="153"/>
      <c r="CI175" s="153"/>
      <c r="CJ175" s="153"/>
      <c r="CK175" s="153"/>
      <c r="CL175" s="153"/>
      <c r="CM175" s="153"/>
      <c r="CN175" s="153"/>
      <c r="CO175" s="153"/>
      <c r="CP175" s="153"/>
      <c r="CQ175" s="153"/>
      <c r="CR175" s="153"/>
      <c r="CS175" s="153"/>
      <c r="CT175" s="153"/>
      <c r="CU175" s="153"/>
      <c r="CV175" s="153"/>
      <c r="CW175" s="153"/>
      <c r="CX175" s="153"/>
      <c r="CY175" s="153"/>
      <c r="CZ175" s="153"/>
      <c r="DA175" s="153"/>
      <c r="DB175" s="153"/>
      <c r="DC175" s="153"/>
      <c r="DD175" s="153"/>
      <c r="DE175" s="153"/>
      <c r="DF175" s="153"/>
      <c r="DG175" s="153"/>
      <c r="DH175" s="153"/>
      <c r="DI175" s="153"/>
      <c r="DJ175" s="153"/>
      <c r="DK175" s="153"/>
      <c r="DL175" s="153"/>
      <c r="DM175" s="153"/>
      <c r="DN175" s="153"/>
      <c r="DO175" s="153"/>
      <c r="DP175" s="153"/>
      <c r="DQ175" s="153"/>
      <c r="DR175" s="153"/>
      <c r="DS175" s="153"/>
      <c r="DT175" s="153"/>
      <c r="DU175" s="153"/>
      <c r="DV175" s="153"/>
      <c r="DW175" s="153"/>
      <c r="DX175" s="153"/>
      <c r="DY175" s="153"/>
      <c r="DZ175" s="153"/>
      <c r="EA175" s="153"/>
      <c r="EB175" s="153"/>
      <c r="EC175" s="153"/>
      <c r="ED175" s="153"/>
      <c r="EE175" s="153"/>
      <c r="EF175" s="153"/>
      <c r="EG175" s="153"/>
      <c r="EH175" s="153"/>
      <c r="EI175" s="153"/>
      <c r="EJ175" s="153"/>
      <c r="EK175" s="153"/>
      <c r="EL175" s="153"/>
      <c r="EM175" s="153"/>
    </row>
    <row r="176" spans="1:143" s="107" customFormat="1" ht="10.5" hidden="1" customHeight="1" outlineLevel="1">
      <c r="A176" s="1548">
        <v>151</v>
      </c>
      <c r="B176" s="1560" t="str">
        <f t="shared" si="4"/>
        <v/>
      </c>
      <c r="C176" s="161" t="str">
        <f>GasTime(GasAnalyser,'Horiba Data'!F169,'Horiba Data'!G169,'Testo, JUM &amp; MRU Data'!A170,'Thermo Data'!B169,HourOffset)</f>
        <v/>
      </c>
      <c r="D176" s="981" t="str">
        <f>IF(D$17=FALSE,"",GasData(GasAnalyser,'Horiba Data'!S169,'Testo, JUM &amp; MRU Data'!D170,'Thermo Data'!E169,'Testo, JUM &amp; MRU Data'!U170,GDF))</f>
        <v/>
      </c>
      <c r="E176" s="981" t="str">
        <f>IF(D176="","",Conc2(D176,D$9,MolVol,D$21,D$20,E$21,E$20))</f>
        <v/>
      </c>
      <c r="F176" s="981" t="str">
        <f>IF(F$17=FALSE,"",GasData(GasAnalyser,'Horiba Data'!AQ169,'Testo, JUM &amp; MRU Data'!E170,'Thermo Data'!F169,'Testo, JUM &amp; MRU Data'!V170,GDF))</f>
        <v/>
      </c>
      <c r="G176" s="981" t="str">
        <f>IF(F176="","",Conc2(F176,F$9,MolVol,F$21,F$20,G$21,G$20))</f>
        <v/>
      </c>
      <c r="H176" s="981" t="str">
        <f>IF(D$17=FALSE,"",IF(F$17=FALSE,"",GasData(GasAnalyser,'Horiba Data'!W169,'Testo, JUM &amp; MRU Data'!F170,'Thermo Data'!G169,'Testo, JUM &amp; MRU Data'!Y170,GDF)))</f>
        <v/>
      </c>
      <c r="I176" s="981" t="str">
        <f>IF(H176="","",Conc2(H176,H$9,MolVol,H$21,H$20,I$21,I$20))</f>
        <v/>
      </c>
      <c r="J176" s="981" t="str">
        <f>IF(J$17=FALSE,"",GasData(GasAnalyser,'Horiba Data'!AM169,'Testo, JUM &amp; MRU Data'!G170,'Thermo Data'!H169,'Testo, JUM &amp; MRU Data'!W170,GDF))</f>
        <v/>
      </c>
      <c r="K176" s="981" t="str">
        <f>IF(J176="","",Conc2(J176,J$9,MolVol,J$21,J$20,K$21,K$20))</f>
        <v/>
      </c>
      <c r="L176" s="981" t="str">
        <f>IF(L$17=FALSE,"",GasData(GasAnalyser,'Horiba Data'!AA169,'Testo, JUM &amp; MRU Data'!H170,'Thermo Data'!I169,'Testo, JUM &amp; MRU Data'!T170,GDF))</f>
        <v/>
      </c>
      <c r="M176" s="981" t="str">
        <f>IF(L176="","",Conc2(L176,L$9,MolVol,L$21,L$20,M$21,M$20))</f>
        <v/>
      </c>
      <c r="N176" s="981" t="str">
        <f>IF(N$17=FALSE,"",GasData(GasAnalyser,'Horiba Data'!AE169,'Testo, JUM &amp; MRU Data'!I170,'Thermo Data'!J169,'Testo, JUM &amp; MRU Data'!S170,GDF))</f>
        <v/>
      </c>
      <c r="O176" s="981" t="str">
        <f>IF(N176="","",Conc2(N176,N$9,MolVol,N$21,N$20,O$21,O$20))</f>
        <v/>
      </c>
      <c r="P176" s="981" t="str">
        <f>IF(P$17=FALSE,"",GasData(GasAnalyser,'Horiba Data'!AI169,'Testo, JUM &amp; MRU Data'!J170,'Thermo Data'!K169,'Testo, JUM &amp; MRU Data'!R170,GDF))</f>
        <v/>
      </c>
      <c r="Q176" s="981" t="str">
        <f>IF(P176="","",Conc2(P176,P$9,MolVol,P$21,P$20,Q$21,Q$20))</f>
        <v/>
      </c>
      <c r="R176" s="981" t="str">
        <f>IF(R$17=FALSE,"",JUMData('Testo, JUM &amp; MRU Data'!M170,$R$7))</f>
        <v/>
      </c>
      <c r="S176" s="982" t="str">
        <f>IF(R176="","",Conc2(R176,R$9,MolVol,R$21,R$20,S$21,S$20)/(1-Bws))</f>
        <v/>
      </c>
      <c r="T176" s="712"/>
      <c r="AR176" s="334"/>
      <c r="AS176" s="334"/>
      <c r="AT176" s="48"/>
      <c r="AU176" s="48"/>
      <c r="AV176" s="153"/>
      <c r="AW176" s="153"/>
      <c r="AX176" s="153"/>
      <c r="AY176" s="153"/>
      <c r="AZ176" s="153"/>
      <c r="BA176" s="153"/>
      <c r="BB176" s="153"/>
      <c r="BC176" s="153"/>
      <c r="BD176" s="153"/>
      <c r="BE176" s="153"/>
      <c r="BF176" s="153"/>
      <c r="BG176" s="153"/>
      <c r="BH176" s="153"/>
      <c r="BI176" s="153"/>
      <c r="BJ176" s="153"/>
      <c r="BK176" s="153"/>
      <c r="BL176" s="153"/>
      <c r="BM176" s="153"/>
      <c r="BN176" s="153"/>
      <c r="BO176" s="153"/>
      <c r="BP176" s="153"/>
      <c r="BQ176" s="153"/>
      <c r="BR176" s="153"/>
      <c r="BS176" s="153"/>
      <c r="BT176" s="153"/>
      <c r="BU176" s="153"/>
      <c r="BV176" s="153"/>
      <c r="BW176" s="153"/>
      <c r="BX176" s="153"/>
      <c r="BY176" s="153"/>
      <c r="BZ176" s="153"/>
      <c r="CA176" s="153"/>
      <c r="CB176" s="153"/>
      <c r="CC176" s="153"/>
      <c r="CD176" s="153"/>
      <c r="CE176" s="153"/>
      <c r="CF176" s="153"/>
      <c r="CG176" s="153"/>
      <c r="CH176" s="153"/>
      <c r="CI176" s="153"/>
      <c r="CJ176" s="153"/>
      <c r="CK176" s="153"/>
      <c r="CL176" s="153"/>
      <c r="CM176" s="153"/>
      <c r="CN176" s="153"/>
      <c r="CO176" s="153"/>
      <c r="CP176" s="153"/>
      <c r="CQ176" s="153"/>
      <c r="CR176" s="153"/>
      <c r="CS176" s="153"/>
      <c r="CT176" s="153"/>
      <c r="CU176" s="153"/>
      <c r="CV176" s="153"/>
      <c r="CW176" s="153"/>
      <c r="CX176" s="153"/>
      <c r="CY176" s="153"/>
      <c r="CZ176" s="153"/>
      <c r="DA176" s="153"/>
      <c r="DB176" s="153"/>
      <c r="DC176" s="153"/>
      <c r="DD176" s="153"/>
      <c r="DE176" s="153"/>
      <c r="DF176" s="153"/>
      <c r="DG176" s="153"/>
      <c r="DH176" s="153"/>
      <c r="DI176" s="153"/>
      <c r="DJ176" s="153"/>
      <c r="DK176" s="153"/>
      <c r="DL176" s="153"/>
      <c r="DM176" s="153"/>
      <c r="DN176" s="153"/>
      <c r="DO176" s="153"/>
      <c r="DP176" s="153"/>
      <c r="DQ176" s="153"/>
      <c r="DR176" s="153"/>
      <c r="DS176" s="153"/>
      <c r="DT176" s="153"/>
      <c r="DU176" s="153"/>
      <c r="DV176" s="153"/>
      <c r="DW176" s="153"/>
      <c r="DX176" s="153"/>
      <c r="DY176" s="153"/>
      <c r="DZ176" s="153"/>
      <c r="EA176" s="153"/>
      <c r="EB176" s="153"/>
      <c r="EC176" s="153"/>
      <c r="ED176" s="153"/>
      <c r="EE176" s="153"/>
      <c r="EF176" s="153"/>
      <c r="EG176" s="153"/>
      <c r="EH176" s="153"/>
      <c r="EI176" s="153"/>
      <c r="EJ176" s="153"/>
      <c r="EK176" s="153"/>
      <c r="EL176" s="153"/>
      <c r="EM176" s="153"/>
    </row>
    <row r="177" spans="1:143" s="107" customFormat="1" ht="10.5" hidden="1" customHeight="1" outlineLevel="1">
      <c r="A177" s="1548">
        <v>152</v>
      </c>
      <c r="B177" s="1560" t="str">
        <f t="shared" si="4"/>
        <v/>
      </c>
      <c r="C177" s="161" t="str">
        <f>GasTime(GasAnalyser,'Horiba Data'!F170,'Horiba Data'!G170,'Testo, JUM &amp; MRU Data'!A171,'Thermo Data'!B170,HourOffset)</f>
        <v/>
      </c>
      <c r="D177" s="981" t="str">
        <f>IF(D$17=FALSE,"",GasData(GasAnalyser,'Horiba Data'!S170,'Testo, JUM &amp; MRU Data'!D171,'Thermo Data'!E170,'Testo, JUM &amp; MRU Data'!U171,GDF))</f>
        <v/>
      </c>
      <c r="E177" s="981" t="str">
        <f>IF(D177="","",Conc2(D177,D$9,MolVol,D$21,D$20,E$21,E$20))</f>
        <v/>
      </c>
      <c r="F177" s="981" t="str">
        <f>IF(F$17=FALSE,"",GasData(GasAnalyser,'Horiba Data'!AQ170,'Testo, JUM &amp; MRU Data'!E171,'Thermo Data'!F170,'Testo, JUM &amp; MRU Data'!V171,GDF))</f>
        <v/>
      </c>
      <c r="G177" s="981" t="str">
        <f>IF(F177="","",Conc2(F177,F$9,MolVol,F$21,F$20,G$21,G$20))</f>
        <v/>
      </c>
      <c r="H177" s="981" t="str">
        <f>IF(D$17=FALSE,"",IF(F$17=FALSE,"",GasData(GasAnalyser,'Horiba Data'!W170,'Testo, JUM &amp; MRU Data'!F171,'Thermo Data'!G170,'Testo, JUM &amp; MRU Data'!Y171,GDF)))</f>
        <v/>
      </c>
      <c r="I177" s="981" t="str">
        <f>IF(H177="","",Conc2(H177,H$9,MolVol,H$21,H$20,I$21,I$20))</f>
        <v/>
      </c>
      <c r="J177" s="981" t="str">
        <f>IF(J$17=FALSE,"",GasData(GasAnalyser,'Horiba Data'!AM170,'Testo, JUM &amp; MRU Data'!G171,'Thermo Data'!H170,'Testo, JUM &amp; MRU Data'!W171,GDF))</f>
        <v/>
      </c>
      <c r="K177" s="981" t="str">
        <f>IF(J177="","",Conc2(J177,J$9,MolVol,J$21,J$20,K$21,K$20))</f>
        <v/>
      </c>
      <c r="L177" s="981" t="str">
        <f>IF(L$17=FALSE,"",GasData(GasAnalyser,'Horiba Data'!AA170,'Testo, JUM &amp; MRU Data'!H171,'Thermo Data'!I170,'Testo, JUM &amp; MRU Data'!T171,GDF))</f>
        <v/>
      </c>
      <c r="M177" s="981" t="str">
        <f>IF(L177="","",Conc2(L177,L$9,MolVol,L$21,L$20,M$21,M$20))</f>
        <v/>
      </c>
      <c r="N177" s="981" t="str">
        <f>IF(N$17=FALSE,"",GasData(GasAnalyser,'Horiba Data'!AE170,'Testo, JUM &amp; MRU Data'!I171,'Thermo Data'!J170,'Testo, JUM &amp; MRU Data'!S171,GDF))</f>
        <v/>
      </c>
      <c r="O177" s="981" t="str">
        <f>IF(N177="","",Conc2(N177,N$9,MolVol,N$21,N$20,O$21,O$20))</f>
        <v/>
      </c>
      <c r="P177" s="981" t="str">
        <f>IF(P$17=FALSE,"",GasData(GasAnalyser,'Horiba Data'!AI170,'Testo, JUM &amp; MRU Data'!J171,'Thermo Data'!K170,'Testo, JUM &amp; MRU Data'!R171,GDF))</f>
        <v/>
      </c>
      <c r="Q177" s="981" t="str">
        <f>IF(P177="","",Conc2(P177,P$9,MolVol,P$21,P$20,Q$21,Q$20))</f>
        <v/>
      </c>
      <c r="R177" s="981" t="str">
        <f>IF(R$17=FALSE,"",JUMData('Testo, JUM &amp; MRU Data'!M171,$R$7))</f>
        <v/>
      </c>
      <c r="S177" s="982" t="str">
        <f>IF(R177="","",Conc2(R177,R$9,MolVol,R$21,R$20,S$21,S$20)/(1-Bws))</f>
        <v/>
      </c>
      <c r="T177" s="712"/>
      <c r="AR177" s="334"/>
      <c r="AS177" s="334"/>
      <c r="AT177" s="48"/>
      <c r="AU177" s="48"/>
      <c r="AV177" s="153"/>
      <c r="AW177" s="153"/>
      <c r="AX177" s="153"/>
      <c r="AY177" s="153"/>
      <c r="AZ177" s="153"/>
      <c r="BA177" s="153"/>
      <c r="BB177" s="153"/>
      <c r="BC177" s="153"/>
      <c r="BD177" s="153"/>
      <c r="BE177" s="153"/>
      <c r="BF177" s="153"/>
      <c r="BG177" s="153"/>
      <c r="BH177" s="153"/>
      <c r="BI177" s="153"/>
      <c r="BJ177" s="153"/>
      <c r="BK177" s="153"/>
      <c r="BL177" s="153"/>
      <c r="BM177" s="153"/>
      <c r="BN177" s="153"/>
      <c r="BO177" s="153"/>
      <c r="BP177" s="153"/>
      <c r="BQ177" s="153"/>
      <c r="BR177" s="153"/>
      <c r="BS177" s="153"/>
      <c r="BT177" s="153"/>
      <c r="BU177" s="153"/>
      <c r="BV177" s="153"/>
      <c r="BW177" s="153"/>
      <c r="BX177" s="153"/>
      <c r="BY177" s="153"/>
      <c r="BZ177" s="153"/>
      <c r="CA177" s="153"/>
      <c r="CB177" s="153"/>
      <c r="CC177" s="153"/>
      <c r="CD177" s="153"/>
      <c r="CE177" s="153"/>
      <c r="CF177" s="153"/>
      <c r="CG177" s="153"/>
      <c r="CH177" s="153"/>
      <c r="CI177" s="153"/>
      <c r="CJ177" s="153"/>
      <c r="CK177" s="153"/>
      <c r="CL177" s="153"/>
      <c r="CM177" s="153"/>
      <c r="CN177" s="153"/>
      <c r="CO177" s="153"/>
      <c r="CP177" s="153"/>
      <c r="CQ177" s="153"/>
      <c r="CR177" s="153"/>
      <c r="CS177" s="153"/>
      <c r="CT177" s="153"/>
      <c r="CU177" s="153"/>
      <c r="CV177" s="153"/>
      <c r="CW177" s="153"/>
      <c r="CX177" s="153"/>
      <c r="CY177" s="153"/>
      <c r="CZ177" s="153"/>
      <c r="DA177" s="153"/>
      <c r="DB177" s="153"/>
      <c r="DC177" s="153"/>
      <c r="DD177" s="153"/>
      <c r="DE177" s="153"/>
      <c r="DF177" s="153"/>
      <c r="DG177" s="153"/>
      <c r="DH177" s="153"/>
      <c r="DI177" s="153"/>
      <c r="DJ177" s="153"/>
      <c r="DK177" s="153"/>
      <c r="DL177" s="153"/>
      <c r="DM177" s="153"/>
      <c r="DN177" s="153"/>
      <c r="DO177" s="153"/>
      <c r="DP177" s="153"/>
      <c r="DQ177" s="153"/>
      <c r="DR177" s="153"/>
      <c r="DS177" s="153"/>
      <c r="DT177" s="153"/>
      <c r="DU177" s="153"/>
      <c r="DV177" s="153"/>
      <c r="DW177" s="153"/>
      <c r="DX177" s="153"/>
      <c r="DY177" s="153"/>
      <c r="DZ177" s="153"/>
      <c r="EA177" s="153"/>
      <c r="EB177" s="153"/>
      <c r="EC177" s="153"/>
      <c r="ED177" s="153"/>
      <c r="EE177" s="153"/>
      <c r="EF177" s="153"/>
      <c r="EG177" s="153"/>
      <c r="EH177" s="153"/>
      <c r="EI177" s="153"/>
      <c r="EJ177" s="153"/>
      <c r="EK177" s="153"/>
      <c r="EL177" s="153"/>
      <c r="EM177" s="153"/>
    </row>
    <row r="178" spans="1:143" s="107" customFormat="1" ht="10.5" hidden="1" customHeight="1" outlineLevel="1">
      <c r="A178" s="1548">
        <v>153</v>
      </c>
      <c r="B178" s="1560" t="str">
        <f t="shared" si="4"/>
        <v/>
      </c>
      <c r="C178" s="161" t="str">
        <f>GasTime(GasAnalyser,'Horiba Data'!F171,'Horiba Data'!G171,'Testo, JUM &amp; MRU Data'!A172,'Thermo Data'!B171,HourOffset)</f>
        <v/>
      </c>
      <c r="D178" s="981" t="str">
        <f>IF(D$17=FALSE,"",GasData(GasAnalyser,'Horiba Data'!S171,'Testo, JUM &amp; MRU Data'!D172,'Thermo Data'!E171,'Testo, JUM &amp; MRU Data'!U172,GDF))</f>
        <v/>
      </c>
      <c r="E178" s="981" t="str">
        <f>IF(D178="","",Conc2(D178,D$9,MolVol,D$21,D$20,E$21,E$20))</f>
        <v/>
      </c>
      <c r="F178" s="981" t="str">
        <f>IF(F$17=FALSE,"",GasData(GasAnalyser,'Horiba Data'!AQ171,'Testo, JUM &amp; MRU Data'!E172,'Thermo Data'!F171,'Testo, JUM &amp; MRU Data'!V172,GDF))</f>
        <v/>
      </c>
      <c r="G178" s="981" t="str">
        <f>IF(F178="","",Conc2(F178,F$9,MolVol,F$21,F$20,G$21,G$20))</f>
        <v/>
      </c>
      <c r="H178" s="981" t="str">
        <f>IF(D$17=FALSE,"",IF(F$17=FALSE,"",GasData(GasAnalyser,'Horiba Data'!W171,'Testo, JUM &amp; MRU Data'!F172,'Thermo Data'!G171,'Testo, JUM &amp; MRU Data'!Y172,GDF)))</f>
        <v/>
      </c>
      <c r="I178" s="981" t="str">
        <f>IF(H178="","",Conc2(H178,H$9,MolVol,H$21,H$20,I$21,I$20))</f>
        <v/>
      </c>
      <c r="J178" s="981" t="str">
        <f>IF(J$17=FALSE,"",GasData(GasAnalyser,'Horiba Data'!AM171,'Testo, JUM &amp; MRU Data'!G172,'Thermo Data'!H171,'Testo, JUM &amp; MRU Data'!W172,GDF))</f>
        <v/>
      </c>
      <c r="K178" s="981" t="str">
        <f>IF(J178="","",Conc2(J178,J$9,MolVol,J$21,J$20,K$21,K$20))</f>
        <v/>
      </c>
      <c r="L178" s="981" t="str">
        <f>IF(L$17=FALSE,"",GasData(GasAnalyser,'Horiba Data'!AA171,'Testo, JUM &amp; MRU Data'!H172,'Thermo Data'!I171,'Testo, JUM &amp; MRU Data'!T172,GDF))</f>
        <v/>
      </c>
      <c r="M178" s="981" t="str">
        <f>IF(L178="","",Conc2(L178,L$9,MolVol,L$21,L$20,M$21,M$20))</f>
        <v/>
      </c>
      <c r="N178" s="981" t="str">
        <f>IF(N$17=FALSE,"",GasData(GasAnalyser,'Horiba Data'!AE171,'Testo, JUM &amp; MRU Data'!I172,'Thermo Data'!J171,'Testo, JUM &amp; MRU Data'!S172,GDF))</f>
        <v/>
      </c>
      <c r="O178" s="981" t="str">
        <f>IF(N178="","",Conc2(N178,N$9,MolVol,N$21,N$20,O$21,O$20))</f>
        <v/>
      </c>
      <c r="P178" s="981" t="str">
        <f>IF(P$17=FALSE,"",GasData(GasAnalyser,'Horiba Data'!AI171,'Testo, JUM &amp; MRU Data'!J172,'Thermo Data'!K171,'Testo, JUM &amp; MRU Data'!R172,GDF))</f>
        <v/>
      </c>
      <c r="Q178" s="981" t="str">
        <f>IF(P178="","",Conc2(P178,P$9,MolVol,P$21,P$20,Q$21,Q$20))</f>
        <v/>
      </c>
      <c r="R178" s="981" t="str">
        <f>IF(R$17=FALSE,"",JUMData('Testo, JUM &amp; MRU Data'!M172,$R$7))</f>
        <v/>
      </c>
      <c r="S178" s="982" t="str">
        <f>IF(R178="","",Conc2(R178,R$9,MolVol,R$21,R$20,S$21,S$20)/(1-Bws))</f>
        <v/>
      </c>
      <c r="T178" s="712"/>
      <c r="AR178" s="334"/>
      <c r="AS178" s="334"/>
      <c r="AT178" s="48"/>
      <c r="AU178" s="48"/>
      <c r="AV178" s="153"/>
      <c r="AW178" s="153"/>
      <c r="AX178" s="153"/>
      <c r="AY178" s="153"/>
      <c r="AZ178" s="153"/>
      <c r="BA178" s="153"/>
      <c r="BB178" s="153"/>
      <c r="BC178" s="153"/>
      <c r="BD178" s="153"/>
      <c r="BE178" s="153"/>
      <c r="BF178" s="153"/>
      <c r="BG178" s="153"/>
      <c r="BH178" s="153"/>
      <c r="BI178" s="153"/>
      <c r="BJ178" s="153"/>
      <c r="BK178" s="153"/>
      <c r="BL178" s="153"/>
      <c r="BM178" s="153"/>
      <c r="BN178" s="153"/>
      <c r="BO178" s="153"/>
      <c r="BP178" s="153"/>
      <c r="BQ178" s="153"/>
      <c r="BR178" s="153"/>
      <c r="BS178" s="153"/>
      <c r="BT178" s="153"/>
      <c r="BU178" s="153"/>
      <c r="BV178" s="153"/>
      <c r="BW178" s="153"/>
      <c r="BX178" s="153"/>
      <c r="BY178" s="153"/>
      <c r="BZ178" s="153"/>
      <c r="CA178" s="153"/>
      <c r="CB178" s="153"/>
      <c r="CC178" s="153"/>
      <c r="CD178" s="153"/>
      <c r="CE178" s="153"/>
      <c r="CF178" s="153"/>
      <c r="CG178" s="153"/>
      <c r="CH178" s="153"/>
      <c r="CI178" s="153"/>
      <c r="CJ178" s="153"/>
      <c r="CK178" s="153"/>
      <c r="CL178" s="153"/>
      <c r="CM178" s="153"/>
      <c r="CN178" s="153"/>
      <c r="CO178" s="153"/>
      <c r="CP178" s="153"/>
      <c r="CQ178" s="153"/>
      <c r="CR178" s="153"/>
      <c r="CS178" s="153"/>
      <c r="CT178" s="153"/>
      <c r="CU178" s="153"/>
      <c r="CV178" s="153"/>
      <c r="CW178" s="153"/>
      <c r="CX178" s="153"/>
      <c r="CY178" s="153"/>
      <c r="CZ178" s="153"/>
      <c r="DA178" s="153"/>
      <c r="DB178" s="153"/>
      <c r="DC178" s="153"/>
      <c r="DD178" s="153"/>
      <c r="DE178" s="153"/>
      <c r="DF178" s="153"/>
      <c r="DG178" s="153"/>
      <c r="DH178" s="153"/>
      <c r="DI178" s="153"/>
      <c r="DJ178" s="153"/>
      <c r="DK178" s="153"/>
      <c r="DL178" s="153"/>
      <c r="DM178" s="153"/>
      <c r="DN178" s="153"/>
      <c r="DO178" s="153"/>
      <c r="DP178" s="153"/>
      <c r="DQ178" s="153"/>
      <c r="DR178" s="153"/>
      <c r="DS178" s="153"/>
      <c r="DT178" s="153"/>
      <c r="DU178" s="153"/>
      <c r="DV178" s="153"/>
      <c r="DW178" s="153"/>
      <c r="DX178" s="153"/>
      <c r="DY178" s="153"/>
      <c r="DZ178" s="153"/>
      <c r="EA178" s="153"/>
      <c r="EB178" s="153"/>
      <c r="EC178" s="153"/>
      <c r="ED178" s="153"/>
      <c r="EE178" s="153"/>
      <c r="EF178" s="153"/>
      <c r="EG178" s="153"/>
      <c r="EH178" s="153"/>
      <c r="EI178" s="153"/>
      <c r="EJ178" s="153"/>
      <c r="EK178" s="153"/>
      <c r="EL178" s="153"/>
      <c r="EM178" s="153"/>
    </row>
    <row r="179" spans="1:143" s="107" customFormat="1" ht="10.5" hidden="1" customHeight="1" outlineLevel="1">
      <c r="A179" s="1548">
        <v>154</v>
      </c>
      <c r="B179" s="1560" t="str">
        <f t="shared" si="4"/>
        <v/>
      </c>
      <c r="C179" s="161" t="str">
        <f>GasTime(GasAnalyser,'Horiba Data'!F172,'Horiba Data'!G172,'Testo, JUM &amp; MRU Data'!A173,'Thermo Data'!B172,HourOffset)</f>
        <v/>
      </c>
      <c r="D179" s="981" t="str">
        <f>IF(D$17=FALSE,"",GasData(GasAnalyser,'Horiba Data'!S172,'Testo, JUM &amp; MRU Data'!D173,'Thermo Data'!E172,'Testo, JUM &amp; MRU Data'!U173,GDF))</f>
        <v/>
      </c>
      <c r="E179" s="981" t="str">
        <f>IF(D179="","",Conc2(D179,D$9,MolVol,D$21,D$20,E$21,E$20))</f>
        <v/>
      </c>
      <c r="F179" s="981" t="str">
        <f>IF(F$17=FALSE,"",GasData(GasAnalyser,'Horiba Data'!AQ172,'Testo, JUM &amp; MRU Data'!E173,'Thermo Data'!F172,'Testo, JUM &amp; MRU Data'!V173,GDF))</f>
        <v/>
      </c>
      <c r="G179" s="981" t="str">
        <f>IF(F179="","",Conc2(F179,F$9,MolVol,F$21,F$20,G$21,G$20))</f>
        <v/>
      </c>
      <c r="H179" s="981" t="str">
        <f>IF(D$17=FALSE,"",IF(F$17=FALSE,"",GasData(GasAnalyser,'Horiba Data'!W172,'Testo, JUM &amp; MRU Data'!F173,'Thermo Data'!G172,'Testo, JUM &amp; MRU Data'!Y173,GDF)))</f>
        <v/>
      </c>
      <c r="I179" s="981" t="str">
        <f>IF(H179="","",Conc2(H179,H$9,MolVol,H$21,H$20,I$21,I$20))</f>
        <v/>
      </c>
      <c r="J179" s="981" t="str">
        <f>IF(J$17=FALSE,"",GasData(GasAnalyser,'Horiba Data'!AM172,'Testo, JUM &amp; MRU Data'!G173,'Thermo Data'!H172,'Testo, JUM &amp; MRU Data'!W173,GDF))</f>
        <v/>
      </c>
      <c r="K179" s="981" t="str">
        <f>IF(J179="","",Conc2(J179,J$9,MolVol,J$21,J$20,K$21,K$20))</f>
        <v/>
      </c>
      <c r="L179" s="981" t="str">
        <f>IF(L$17=FALSE,"",GasData(GasAnalyser,'Horiba Data'!AA172,'Testo, JUM &amp; MRU Data'!H173,'Thermo Data'!I172,'Testo, JUM &amp; MRU Data'!T173,GDF))</f>
        <v/>
      </c>
      <c r="M179" s="981" t="str">
        <f>IF(L179="","",Conc2(L179,L$9,MolVol,L$21,L$20,M$21,M$20))</f>
        <v/>
      </c>
      <c r="N179" s="981" t="str">
        <f>IF(N$17=FALSE,"",GasData(GasAnalyser,'Horiba Data'!AE172,'Testo, JUM &amp; MRU Data'!I173,'Thermo Data'!J172,'Testo, JUM &amp; MRU Data'!S173,GDF))</f>
        <v/>
      </c>
      <c r="O179" s="981" t="str">
        <f>IF(N179="","",Conc2(N179,N$9,MolVol,N$21,N$20,O$21,O$20))</f>
        <v/>
      </c>
      <c r="P179" s="981" t="str">
        <f>IF(P$17=FALSE,"",GasData(GasAnalyser,'Horiba Data'!AI172,'Testo, JUM &amp; MRU Data'!J173,'Thermo Data'!K172,'Testo, JUM &amp; MRU Data'!R173,GDF))</f>
        <v/>
      </c>
      <c r="Q179" s="981" t="str">
        <f>IF(P179="","",Conc2(P179,P$9,MolVol,P$21,P$20,Q$21,Q$20))</f>
        <v/>
      </c>
      <c r="R179" s="981" t="str">
        <f>IF(R$17=FALSE,"",JUMData('Testo, JUM &amp; MRU Data'!M173,$R$7))</f>
        <v/>
      </c>
      <c r="S179" s="982" t="str">
        <f>IF(R179="","",Conc2(R179,R$9,MolVol,R$21,R$20,S$21,S$20)/(1-Bws))</f>
        <v/>
      </c>
      <c r="T179" s="712"/>
      <c r="AR179" s="334"/>
      <c r="AS179" s="334"/>
      <c r="AT179" s="48"/>
      <c r="AU179" s="48"/>
      <c r="AV179" s="153"/>
      <c r="AW179" s="153"/>
      <c r="AX179" s="153"/>
      <c r="AY179" s="153"/>
      <c r="AZ179" s="153"/>
      <c r="BA179" s="153"/>
      <c r="BB179" s="153"/>
      <c r="BC179" s="153"/>
      <c r="BD179" s="153"/>
      <c r="BE179" s="153"/>
      <c r="BF179" s="153"/>
      <c r="BG179" s="153"/>
      <c r="BH179" s="153"/>
      <c r="BI179" s="153"/>
      <c r="BJ179" s="153"/>
      <c r="BK179" s="153"/>
      <c r="BL179" s="153"/>
      <c r="BM179" s="153"/>
      <c r="BN179" s="153"/>
      <c r="BO179" s="153"/>
      <c r="BP179" s="153"/>
      <c r="BQ179" s="153"/>
      <c r="BR179" s="153"/>
      <c r="BS179" s="153"/>
      <c r="BT179" s="153"/>
      <c r="BU179" s="153"/>
      <c r="BV179" s="153"/>
      <c r="BW179" s="153"/>
      <c r="BX179" s="153"/>
      <c r="BY179" s="153"/>
      <c r="BZ179" s="153"/>
      <c r="CA179" s="153"/>
      <c r="CB179" s="153"/>
      <c r="CC179" s="153"/>
      <c r="CD179" s="153"/>
      <c r="CE179" s="153"/>
      <c r="CF179" s="153"/>
      <c r="CG179" s="153"/>
      <c r="CH179" s="153"/>
      <c r="CI179" s="153"/>
      <c r="CJ179" s="153"/>
      <c r="CK179" s="153"/>
      <c r="CL179" s="153"/>
      <c r="CM179" s="153"/>
      <c r="CN179" s="153"/>
      <c r="CO179" s="153"/>
      <c r="CP179" s="153"/>
      <c r="CQ179" s="153"/>
      <c r="CR179" s="153"/>
      <c r="CS179" s="153"/>
      <c r="CT179" s="153"/>
      <c r="CU179" s="153"/>
      <c r="CV179" s="153"/>
      <c r="CW179" s="153"/>
      <c r="CX179" s="153"/>
      <c r="CY179" s="153"/>
      <c r="CZ179" s="153"/>
      <c r="DA179" s="153"/>
      <c r="DB179" s="153"/>
      <c r="DC179" s="153"/>
      <c r="DD179" s="153"/>
      <c r="DE179" s="153"/>
      <c r="DF179" s="153"/>
      <c r="DG179" s="153"/>
      <c r="DH179" s="153"/>
      <c r="DI179" s="153"/>
      <c r="DJ179" s="153"/>
      <c r="DK179" s="153"/>
      <c r="DL179" s="153"/>
      <c r="DM179" s="153"/>
      <c r="DN179" s="153"/>
      <c r="DO179" s="153"/>
      <c r="DP179" s="153"/>
      <c r="DQ179" s="153"/>
      <c r="DR179" s="153"/>
      <c r="DS179" s="153"/>
      <c r="DT179" s="153"/>
      <c r="DU179" s="153"/>
      <c r="DV179" s="153"/>
      <c r="DW179" s="153"/>
      <c r="DX179" s="153"/>
      <c r="DY179" s="153"/>
      <c r="DZ179" s="153"/>
      <c r="EA179" s="153"/>
      <c r="EB179" s="153"/>
      <c r="EC179" s="153"/>
      <c r="ED179" s="153"/>
      <c r="EE179" s="153"/>
      <c r="EF179" s="153"/>
      <c r="EG179" s="153"/>
      <c r="EH179" s="153"/>
      <c r="EI179" s="153"/>
      <c r="EJ179" s="153"/>
      <c r="EK179" s="153"/>
      <c r="EL179" s="153"/>
      <c r="EM179" s="153"/>
    </row>
    <row r="180" spans="1:143" s="107" customFormat="1" ht="10.5" hidden="1" customHeight="1" outlineLevel="1">
      <c r="A180" s="1548">
        <v>155</v>
      </c>
      <c r="B180" s="1560" t="str">
        <f t="shared" si="4"/>
        <v/>
      </c>
      <c r="C180" s="161" t="str">
        <f>GasTime(GasAnalyser,'Horiba Data'!F173,'Horiba Data'!G173,'Testo, JUM &amp; MRU Data'!A174,'Thermo Data'!B173,HourOffset)</f>
        <v/>
      </c>
      <c r="D180" s="981" t="str">
        <f>IF(D$17=FALSE,"",GasData(GasAnalyser,'Horiba Data'!S173,'Testo, JUM &amp; MRU Data'!D174,'Thermo Data'!E173,'Testo, JUM &amp; MRU Data'!U174,GDF))</f>
        <v/>
      </c>
      <c r="E180" s="981" t="str">
        <f>IF(D180="","",Conc2(D180,D$9,MolVol,D$21,D$20,E$21,E$20))</f>
        <v/>
      </c>
      <c r="F180" s="981" t="str">
        <f>IF(F$17=FALSE,"",GasData(GasAnalyser,'Horiba Data'!AQ173,'Testo, JUM &amp; MRU Data'!E174,'Thermo Data'!F173,'Testo, JUM &amp; MRU Data'!V174,GDF))</f>
        <v/>
      </c>
      <c r="G180" s="981" t="str">
        <f>IF(F180="","",Conc2(F180,F$9,MolVol,F$21,F$20,G$21,G$20))</f>
        <v/>
      </c>
      <c r="H180" s="981" t="str">
        <f>IF(D$17=FALSE,"",IF(F$17=FALSE,"",GasData(GasAnalyser,'Horiba Data'!W173,'Testo, JUM &amp; MRU Data'!F174,'Thermo Data'!G173,'Testo, JUM &amp; MRU Data'!Y174,GDF)))</f>
        <v/>
      </c>
      <c r="I180" s="981" t="str">
        <f>IF(H180="","",Conc2(H180,H$9,MolVol,H$21,H$20,I$21,I$20))</f>
        <v/>
      </c>
      <c r="J180" s="981" t="str">
        <f>IF(J$17=FALSE,"",GasData(GasAnalyser,'Horiba Data'!AM173,'Testo, JUM &amp; MRU Data'!G174,'Thermo Data'!H173,'Testo, JUM &amp; MRU Data'!W174,GDF))</f>
        <v/>
      </c>
      <c r="K180" s="981" t="str">
        <f>IF(J180="","",Conc2(J180,J$9,MolVol,J$21,J$20,K$21,K$20))</f>
        <v/>
      </c>
      <c r="L180" s="981" t="str">
        <f>IF(L$17=FALSE,"",GasData(GasAnalyser,'Horiba Data'!AA173,'Testo, JUM &amp; MRU Data'!H174,'Thermo Data'!I173,'Testo, JUM &amp; MRU Data'!T174,GDF))</f>
        <v/>
      </c>
      <c r="M180" s="981" t="str">
        <f>IF(L180="","",Conc2(L180,L$9,MolVol,L$21,L$20,M$21,M$20))</f>
        <v/>
      </c>
      <c r="N180" s="981" t="str">
        <f>IF(N$17=FALSE,"",GasData(GasAnalyser,'Horiba Data'!AE173,'Testo, JUM &amp; MRU Data'!I174,'Thermo Data'!J173,'Testo, JUM &amp; MRU Data'!S174,GDF))</f>
        <v/>
      </c>
      <c r="O180" s="981" t="str">
        <f>IF(N180="","",Conc2(N180,N$9,MolVol,N$21,N$20,O$21,O$20))</f>
        <v/>
      </c>
      <c r="P180" s="981" t="str">
        <f>IF(P$17=FALSE,"",GasData(GasAnalyser,'Horiba Data'!AI173,'Testo, JUM &amp; MRU Data'!J174,'Thermo Data'!K173,'Testo, JUM &amp; MRU Data'!R174,GDF))</f>
        <v/>
      </c>
      <c r="Q180" s="981" t="str">
        <f>IF(P180="","",Conc2(P180,P$9,MolVol,P$21,P$20,Q$21,Q$20))</f>
        <v/>
      </c>
      <c r="R180" s="981" t="str">
        <f>IF(R$17=FALSE,"",JUMData('Testo, JUM &amp; MRU Data'!M174,$R$7))</f>
        <v/>
      </c>
      <c r="S180" s="982" t="str">
        <f>IF(R180="","",Conc2(R180,R$9,MolVol,R$21,R$20,S$21,S$20)/(1-Bws))</f>
        <v/>
      </c>
      <c r="T180" s="712"/>
      <c r="AR180" s="334"/>
      <c r="AS180" s="334"/>
      <c r="AT180" s="48"/>
      <c r="AU180" s="48"/>
      <c r="AV180" s="153"/>
      <c r="AW180" s="153"/>
      <c r="AX180" s="153"/>
      <c r="AY180" s="153"/>
      <c r="AZ180" s="153"/>
      <c r="BA180" s="153"/>
      <c r="BB180" s="153"/>
      <c r="BC180" s="153"/>
      <c r="BD180" s="153"/>
      <c r="BE180" s="153"/>
      <c r="BF180" s="153"/>
      <c r="BG180" s="153"/>
      <c r="BH180" s="153"/>
      <c r="BI180" s="153"/>
      <c r="BJ180" s="153"/>
      <c r="BK180" s="153"/>
      <c r="BL180" s="153"/>
      <c r="BM180" s="153"/>
      <c r="BN180" s="153"/>
      <c r="BO180" s="153"/>
      <c r="BP180" s="153"/>
      <c r="BQ180" s="153"/>
      <c r="BR180" s="153"/>
      <c r="BS180" s="153"/>
      <c r="BT180" s="153"/>
      <c r="BU180" s="153"/>
      <c r="BV180" s="153"/>
      <c r="BW180" s="153"/>
      <c r="BX180" s="153"/>
      <c r="BY180" s="153"/>
      <c r="BZ180" s="153"/>
      <c r="CA180" s="153"/>
      <c r="CB180" s="153"/>
      <c r="CC180" s="153"/>
      <c r="CD180" s="153"/>
      <c r="CE180" s="153"/>
      <c r="CF180" s="153"/>
      <c r="CG180" s="153"/>
      <c r="CH180" s="153"/>
      <c r="CI180" s="153"/>
      <c r="CJ180" s="153"/>
      <c r="CK180" s="153"/>
      <c r="CL180" s="153"/>
      <c r="CM180" s="153"/>
      <c r="CN180" s="153"/>
      <c r="CO180" s="153"/>
      <c r="CP180" s="153"/>
      <c r="CQ180" s="153"/>
      <c r="CR180" s="153"/>
      <c r="CS180" s="153"/>
      <c r="CT180" s="153"/>
      <c r="CU180" s="153"/>
      <c r="CV180" s="153"/>
      <c r="CW180" s="153"/>
      <c r="CX180" s="153"/>
      <c r="CY180" s="153"/>
      <c r="CZ180" s="153"/>
      <c r="DA180" s="153"/>
      <c r="DB180" s="153"/>
      <c r="DC180" s="153"/>
      <c r="DD180" s="153"/>
      <c r="DE180" s="153"/>
      <c r="DF180" s="153"/>
      <c r="DG180" s="153"/>
      <c r="DH180" s="153"/>
      <c r="DI180" s="153"/>
      <c r="DJ180" s="153"/>
      <c r="DK180" s="153"/>
      <c r="DL180" s="153"/>
      <c r="DM180" s="153"/>
      <c r="DN180" s="153"/>
      <c r="DO180" s="153"/>
      <c r="DP180" s="153"/>
      <c r="DQ180" s="153"/>
      <c r="DR180" s="153"/>
      <c r="DS180" s="153"/>
      <c r="DT180" s="153"/>
      <c r="DU180" s="153"/>
      <c r="DV180" s="153"/>
      <c r="DW180" s="153"/>
      <c r="DX180" s="153"/>
      <c r="DY180" s="153"/>
      <c r="DZ180" s="153"/>
      <c r="EA180" s="153"/>
      <c r="EB180" s="153"/>
      <c r="EC180" s="153"/>
      <c r="ED180" s="153"/>
      <c r="EE180" s="153"/>
      <c r="EF180" s="153"/>
      <c r="EG180" s="153"/>
      <c r="EH180" s="153"/>
      <c r="EI180" s="153"/>
      <c r="EJ180" s="153"/>
      <c r="EK180" s="153"/>
      <c r="EL180" s="153"/>
      <c r="EM180" s="153"/>
    </row>
    <row r="181" spans="1:143" s="107" customFormat="1" ht="10.5" hidden="1" customHeight="1" outlineLevel="1">
      <c r="A181" s="1548">
        <v>156</v>
      </c>
      <c r="B181" s="1560" t="str">
        <f t="shared" si="4"/>
        <v/>
      </c>
      <c r="C181" s="161" t="str">
        <f>GasTime(GasAnalyser,'Horiba Data'!F174,'Horiba Data'!G174,'Testo, JUM &amp; MRU Data'!A175,'Thermo Data'!B174,HourOffset)</f>
        <v/>
      </c>
      <c r="D181" s="981" t="str">
        <f>IF(D$17=FALSE,"",GasData(GasAnalyser,'Horiba Data'!S174,'Testo, JUM &amp; MRU Data'!D175,'Thermo Data'!E174,'Testo, JUM &amp; MRU Data'!U175,GDF))</f>
        <v/>
      </c>
      <c r="E181" s="981" t="str">
        <f>IF(D181="","",Conc2(D181,D$9,MolVol,D$21,D$20,E$21,E$20))</f>
        <v/>
      </c>
      <c r="F181" s="981" t="str">
        <f>IF(F$17=FALSE,"",GasData(GasAnalyser,'Horiba Data'!AQ174,'Testo, JUM &amp; MRU Data'!E175,'Thermo Data'!F174,'Testo, JUM &amp; MRU Data'!V175,GDF))</f>
        <v/>
      </c>
      <c r="G181" s="981" t="str">
        <f>IF(F181="","",Conc2(F181,F$9,MolVol,F$21,F$20,G$21,G$20))</f>
        <v/>
      </c>
      <c r="H181" s="981" t="str">
        <f>IF(D$17=FALSE,"",IF(F$17=FALSE,"",GasData(GasAnalyser,'Horiba Data'!W174,'Testo, JUM &amp; MRU Data'!F175,'Thermo Data'!G174,'Testo, JUM &amp; MRU Data'!Y175,GDF)))</f>
        <v/>
      </c>
      <c r="I181" s="981" t="str">
        <f>IF(H181="","",Conc2(H181,H$9,MolVol,H$21,H$20,I$21,I$20))</f>
        <v/>
      </c>
      <c r="J181" s="981" t="str">
        <f>IF(J$17=FALSE,"",GasData(GasAnalyser,'Horiba Data'!AM174,'Testo, JUM &amp; MRU Data'!G175,'Thermo Data'!H174,'Testo, JUM &amp; MRU Data'!W175,GDF))</f>
        <v/>
      </c>
      <c r="K181" s="981" t="str">
        <f>IF(J181="","",Conc2(J181,J$9,MolVol,J$21,J$20,K$21,K$20))</f>
        <v/>
      </c>
      <c r="L181" s="981" t="str">
        <f>IF(L$17=FALSE,"",GasData(GasAnalyser,'Horiba Data'!AA174,'Testo, JUM &amp; MRU Data'!H175,'Thermo Data'!I174,'Testo, JUM &amp; MRU Data'!T175,GDF))</f>
        <v/>
      </c>
      <c r="M181" s="981" t="str">
        <f>IF(L181="","",Conc2(L181,L$9,MolVol,L$21,L$20,M$21,M$20))</f>
        <v/>
      </c>
      <c r="N181" s="981" t="str">
        <f>IF(N$17=FALSE,"",GasData(GasAnalyser,'Horiba Data'!AE174,'Testo, JUM &amp; MRU Data'!I175,'Thermo Data'!J174,'Testo, JUM &amp; MRU Data'!S175,GDF))</f>
        <v/>
      </c>
      <c r="O181" s="981" t="str">
        <f>IF(N181="","",Conc2(N181,N$9,MolVol,N$21,N$20,O$21,O$20))</f>
        <v/>
      </c>
      <c r="P181" s="981" t="str">
        <f>IF(P$17=FALSE,"",GasData(GasAnalyser,'Horiba Data'!AI174,'Testo, JUM &amp; MRU Data'!J175,'Thermo Data'!K174,'Testo, JUM &amp; MRU Data'!R175,GDF))</f>
        <v/>
      </c>
      <c r="Q181" s="981" t="str">
        <f>IF(P181="","",Conc2(P181,P$9,MolVol,P$21,P$20,Q$21,Q$20))</f>
        <v/>
      </c>
      <c r="R181" s="981" t="str">
        <f>IF(R$17=FALSE,"",JUMData('Testo, JUM &amp; MRU Data'!M175,$R$7))</f>
        <v/>
      </c>
      <c r="S181" s="982" t="str">
        <f>IF(R181="","",Conc2(R181,R$9,MolVol,R$21,R$20,S$21,S$20)/(1-Bws))</f>
        <v/>
      </c>
      <c r="T181" s="712"/>
      <c r="AR181" s="334"/>
      <c r="AS181" s="334"/>
      <c r="AT181" s="48"/>
      <c r="AU181" s="48"/>
      <c r="AV181" s="153"/>
      <c r="AW181" s="153"/>
      <c r="AX181" s="153"/>
      <c r="AY181" s="153"/>
      <c r="AZ181" s="153"/>
      <c r="BA181" s="153"/>
      <c r="BB181" s="153"/>
      <c r="BC181" s="153"/>
      <c r="BD181" s="153"/>
      <c r="BE181" s="153"/>
      <c r="BF181" s="153"/>
      <c r="BG181" s="153"/>
      <c r="BH181" s="153"/>
      <c r="BI181" s="153"/>
      <c r="BJ181" s="153"/>
      <c r="BK181" s="153"/>
      <c r="BL181" s="153"/>
      <c r="BM181" s="153"/>
      <c r="BN181" s="153"/>
      <c r="BO181" s="153"/>
      <c r="BP181" s="153"/>
      <c r="BQ181" s="153"/>
      <c r="BR181" s="153"/>
      <c r="BS181" s="153"/>
      <c r="BT181" s="153"/>
      <c r="BU181" s="153"/>
      <c r="BV181" s="153"/>
      <c r="BW181" s="153"/>
      <c r="BX181" s="153"/>
      <c r="BY181" s="153"/>
      <c r="BZ181" s="153"/>
      <c r="CA181" s="153"/>
      <c r="CB181" s="153"/>
      <c r="CC181" s="153"/>
      <c r="CD181" s="153"/>
      <c r="CE181" s="153"/>
      <c r="CF181" s="153"/>
      <c r="CG181" s="153"/>
      <c r="CH181" s="153"/>
      <c r="CI181" s="153"/>
      <c r="CJ181" s="153"/>
      <c r="CK181" s="153"/>
      <c r="CL181" s="153"/>
      <c r="CM181" s="153"/>
      <c r="CN181" s="153"/>
      <c r="CO181" s="153"/>
      <c r="CP181" s="153"/>
      <c r="CQ181" s="153"/>
      <c r="CR181" s="153"/>
      <c r="CS181" s="153"/>
      <c r="CT181" s="153"/>
      <c r="CU181" s="153"/>
      <c r="CV181" s="153"/>
      <c r="CW181" s="153"/>
      <c r="CX181" s="153"/>
      <c r="CY181" s="153"/>
      <c r="CZ181" s="153"/>
      <c r="DA181" s="153"/>
      <c r="DB181" s="153"/>
      <c r="DC181" s="153"/>
      <c r="DD181" s="153"/>
      <c r="DE181" s="153"/>
      <c r="DF181" s="153"/>
      <c r="DG181" s="153"/>
      <c r="DH181" s="153"/>
      <c r="DI181" s="153"/>
      <c r="DJ181" s="153"/>
      <c r="DK181" s="153"/>
      <c r="DL181" s="153"/>
      <c r="DM181" s="153"/>
      <c r="DN181" s="153"/>
      <c r="DO181" s="153"/>
      <c r="DP181" s="153"/>
      <c r="DQ181" s="153"/>
      <c r="DR181" s="153"/>
      <c r="DS181" s="153"/>
      <c r="DT181" s="153"/>
      <c r="DU181" s="153"/>
      <c r="DV181" s="153"/>
      <c r="DW181" s="153"/>
      <c r="DX181" s="153"/>
      <c r="DY181" s="153"/>
      <c r="DZ181" s="153"/>
      <c r="EA181" s="153"/>
      <c r="EB181" s="153"/>
      <c r="EC181" s="153"/>
      <c r="ED181" s="153"/>
      <c r="EE181" s="153"/>
      <c r="EF181" s="153"/>
      <c r="EG181" s="153"/>
      <c r="EH181" s="153"/>
      <c r="EI181" s="153"/>
      <c r="EJ181" s="153"/>
      <c r="EK181" s="153"/>
      <c r="EL181" s="153"/>
      <c r="EM181" s="153"/>
    </row>
    <row r="182" spans="1:143" s="107" customFormat="1" ht="10.5" hidden="1" customHeight="1" outlineLevel="1">
      <c r="A182" s="1548">
        <v>157</v>
      </c>
      <c r="B182" s="1560" t="str">
        <f t="shared" si="4"/>
        <v/>
      </c>
      <c r="C182" s="161" t="str">
        <f>GasTime(GasAnalyser,'Horiba Data'!F175,'Horiba Data'!G175,'Testo, JUM &amp; MRU Data'!A176,'Thermo Data'!B175,HourOffset)</f>
        <v/>
      </c>
      <c r="D182" s="981" t="str">
        <f>IF(D$17=FALSE,"",GasData(GasAnalyser,'Horiba Data'!S175,'Testo, JUM &amp; MRU Data'!D176,'Thermo Data'!E175,'Testo, JUM &amp; MRU Data'!U176,GDF))</f>
        <v/>
      </c>
      <c r="E182" s="981" t="str">
        <f>IF(D182="","",Conc2(D182,D$9,MolVol,D$21,D$20,E$21,E$20))</f>
        <v/>
      </c>
      <c r="F182" s="981" t="str">
        <f>IF(F$17=FALSE,"",GasData(GasAnalyser,'Horiba Data'!AQ175,'Testo, JUM &amp; MRU Data'!E176,'Thermo Data'!F175,'Testo, JUM &amp; MRU Data'!V176,GDF))</f>
        <v/>
      </c>
      <c r="G182" s="981" t="str">
        <f>IF(F182="","",Conc2(F182,F$9,MolVol,F$21,F$20,G$21,G$20))</f>
        <v/>
      </c>
      <c r="H182" s="981" t="str">
        <f>IF(D$17=FALSE,"",IF(F$17=FALSE,"",GasData(GasAnalyser,'Horiba Data'!W175,'Testo, JUM &amp; MRU Data'!F176,'Thermo Data'!G175,'Testo, JUM &amp; MRU Data'!Y176,GDF)))</f>
        <v/>
      </c>
      <c r="I182" s="981" t="str">
        <f>IF(H182="","",Conc2(H182,H$9,MolVol,H$21,H$20,I$21,I$20))</f>
        <v/>
      </c>
      <c r="J182" s="981" t="str">
        <f>IF(J$17=FALSE,"",GasData(GasAnalyser,'Horiba Data'!AM175,'Testo, JUM &amp; MRU Data'!G176,'Thermo Data'!H175,'Testo, JUM &amp; MRU Data'!W176,GDF))</f>
        <v/>
      </c>
      <c r="K182" s="981" t="str">
        <f>IF(J182="","",Conc2(J182,J$9,MolVol,J$21,J$20,K$21,K$20))</f>
        <v/>
      </c>
      <c r="L182" s="981" t="str">
        <f>IF(L$17=FALSE,"",GasData(GasAnalyser,'Horiba Data'!AA175,'Testo, JUM &amp; MRU Data'!H176,'Thermo Data'!I175,'Testo, JUM &amp; MRU Data'!T176,GDF))</f>
        <v/>
      </c>
      <c r="M182" s="981" t="str">
        <f>IF(L182="","",Conc2(L182,L$9,MolVol,L$21,L$20,M$21,M$20))</f>
        <v/>
      </c>
      <c r="N182" s="981" t="str">
        <f>IF(N$17=FALSE,"",GasData(GasAnalyser,'Horiba Data'!AE175,'Testo, JUM &amp; MRU Data'!I176,'Thermo Data'!J175,'Testo, JUM &amp; MRU Data'!S176,GDF))</f>
        <v/>
      </c>
      <c r="O182" s="981" t="str">
        <f>IF(N182="","",Conc2(N182,N$9,MolVol,N$21,N$20,O$21,O$20))</f>
        <v/>
      </c>
      <c r="P182" s="981" t="str">
        <f>IF(P$17=FALSE,"",GasData(GasAnalyser,'Horiba Data'!AI175,'Testo, JUM &amp; MRU Data'!J176,'Thermo Data'!K175,'Testo, JUM &amp; MRU Data'!R176,GDF))</f>
        <v/>
      </c>
      <c r="Q182" s="981" t="str">
        <f>IF(P182="","",Conc2(P182,P$9,MolVol,P$21,P$20,Q$21,Q$20))</f>
        <v/>
      </c>
      <c r="R182" s="981" t="str">
        <f>IF(R$17=FALSE,"",JUMData('Testo, JUM &amp; MRU Data'!M176,$R$7))</f>
        <v/>
      </c>
      <c r="S182" s="982" t="str">
        <f>IF(R182="","",Conc2(R182,R$9,MolVol,R$21,R$20,S$21,S$20)/(1-Bws))</f>
        <v/>
      </c>
      <c r="T182" s="712"/>
      <c r="AR182" s="334"/>
      <c r="AS182" s="334"/>
      <c r="AT182" s="48"/>
      <c r="AU182" s="48"/>
      <c r="AV182" s="153"/>
      <c r="AW182" s="153"/>
      <c r="AX182" s="153"/>
      <c r="AY182" s="153"/>
      <c r="AZ182" s="153"/>
      <c r="BA182" s="153"/>
      <c r="BB182" s="153"/>
      <c r="BC182" s="153"/>
      <c r="BD182" s="153"/>
      <c r="BE182" s="153"/>
      <c r="BF182" s="153"/>
      <c r="BG182" s="153"/>
      <c r="BH182" s="153"/>
      <c r="BI182" s="153"/>
      <c r="BJ182" s="153"/>
      <c r="BK182" s="153"/>
      <c r="BL182" s="153"/>
      <c r="BM182" s="153"/>
      <c r="BN182" s="153"/>
      <c r="BO182" s="153"/>
      <c r="BP182" s="153"/>
      <c r="BQ182" s="153"/>
      <c r="BR182" s="153"/>
      <c r="BS182" s="153"/>
      <c r="BT182" s="153"/>
      <c r="BU182" s="153"/>
      <c r="BV182" s="153"/>
      <c r="BW182" s="153"/>
      <c r="BX182" s="153"/>
      <c r="BY182" s="153"/>
      <c r="BZ182" s="153"/>
      <c r="CA182" s="153"/>
      <c r="CB182" s="153"/>
      <c r="CC182" s="153"/>
      <c r="CD182" s="153"/>
      <c r="CE182" s="153"/>
      <c r="CF182" s="153"/>
      <c r="CG182" s="153"/>
      <c r="CH182" s="153"/>
      <c r="CI182" s="153"/>
      <c r="CJ182" s="153"/>
      <c r="CK182" s="153"/>
      <c r="CL182" s="153"/>
      <c r="CM182" s="153"/>
      <c r="CN182" s="153"/>
      <c r="CO182" s="153"/>
      <c r="CP182" s="153"/>
      <c r="CQ182" s="153"/>
      <c r="CR182" s="153"/>
      <c r="CS182" s="153"/>
      <c r="CT182" s="153"/>
      <c r="CU182" s="153"/>
      <c r="CV182" s="153"/>
      <c r="CW182" s="153"/>
      <c r="CX182" s="153"/>
      <c r="CY182" s="153"/>
      <c r="CZ182" s="153"/>
      <c r="DA182" s="153"/>
      <c r="DB182" s="153"/>
      <c r="DC182" s="153"/>
      <c r="DD182" s="153"/>
      <c r="DE182" s="153"/>
      <c r="DF182" s="153"/>
      <c r="DG182" s="153"/>
      <c r="DH182" s="153"/>
      <c r="DI182" s="153"/>
      <c r="DJ182" s="153"/>
      <c r="DK182" s="153"/>
      <c r="DL182" s="153"/>
      <c r="DM182" s="153"/>
      <c r="DN182" s="153"/>
      <c r="DO182" s="153"/>
      <c r="DP182" s="153"/>
      <c r="DQ182" s="153"/>
      <c r="DR182" s="153"/>
      <c r="DS182" s="153"/>
      <c r="DT182" s="153"/>
      <c r="DU182" s="153"/>
      <c r="DV182" s="153"/>
      <c r="DW182" s="153"/>
      <c r="DX182" s="153"/>
      <c r="DY182" s="153"/>
      <c r="DZ182" s="153"/>
      <c r="EA182" s="153"/>
      <c r="EB182" s="153"/>
      <c r="EC182" s="153"/>
      <c r="ED182" s="153"/>
      <c r="EE182" s="153"/>
      <c r="EF182" s="153"/>
      <c r="EG182" s="153"/>
      <c r="EH182" s="153"/>
      <c r="EI182" s="153"/>
      <c r="EJ182" s="153"/>
      <c r="EK182" s="153"/>
      <c r="EL182" s="153"/>
      <c r="EM182" s="153"/>
    </row>
    <row r="183" spans="1:143" s="107" customFormat="1" ht="10.5" hidden="1" customHeight="1" outlineLevel="1">
      <c r="A183" s="1548">
        <v>158</v>
      </c>
      <c r="B183" s="1560" t="str">
        <f t="shared" si="4"/>
        <v/>
      </c>
      <c r="C183" s="161" t="str">
        <f>GasTime(GasAnalyser,'Horiba Data'!F176,'Horiba Data'!G176,'Testo, JUM &amp; MRU Data'!A177,'Thermo Data'!B176,HourOffset)</f>
        <v/>
      </c>
      <c r="D183" s="981" t="str">
        <f>IF(D$17=FALSE,"",GasData(GasAnalyser,'Horiba Data'!S176,'Testo, JUM &amp; MRU Data'!D177,'Thermo Data'!E176,'Testo, JUM &amp; MRU Data'!U177,GDF))</f>
        <v/>
      </c>
      <c r="E183" s="981" t="str">
        <f>IF(D183="","",Conc2(D183,D$9,MolVol,D$21,D$20,E$21,E$20))</f>
        <v/>
      </c>
      <c r="F183" s="981" t="str">
        <f>IF(F$17=FALSE,"",GasData(GasAnalyser,'Horiba Data'!AQ176,'Testo, JUM &amp; MRU Data'!E177,'Thermo Data'!F176,'Testo, JUM &amp; MRU Data'!V177,GDF))</f>
        <v/>
      </c>
      <c r="G183" s="981" t="str">
        <f>IF(F183="","",Conc2(F183,F$9,MolVol,F$21,F$20,G$21,G$20))</f>
        <v/>
      </c>
      <c r="H183" s="981" t="str">
        <f>IF(D$17=FALSE,"",IF(F$17=FALSE,"",GasData(GasAnalyser,'Horiba Data'!W176,'Testo, JUM &amp; MRU Data'!F177,'Thermo Data'!G176,'Testo, JUM &amp; MRU Data'!Y177,GDF)))</f>
        <v/>
      </c>
      <c r="I183" s="981" t="str">
        <f>IF(H183="","",Conc2(H183,H$9,MolVol,H$21,H$20,I$21,I$20))</f>
        <v/>
      </c>
      <c r="J183" s="981" t="str">
        <f>IF(J$17=FALSE,"",GasData(GasAnalyser,'Horiba Data'!AM176,'Testo, JUM &amp; MRU Data'!G177,'Thermo Data'!H176,'Testo, JUM &amp; MRU Data'!W177,GDF))</f>
        <v/>
      </c>
      <c r="K183" s="981" t="str">
        <f>IF(J183="","",Conc2(J183,J$9,MolVol,J$21,J$20,K$21,K$20))</f>
        <v/>
      </c>
      <c r="L183" s="981" t="str">
        <f>IF(L$17=FALSE,"",GasData(GasAnalyser,'Horiba Data'!AA176,'Testo, JUM &amp; MRU Data'!H177,'Thermo Data'!I176,'Testo, JUM &amp; MRU Data'!T177,GDF))</f>
        <v/>
      </c>
      <c r="M183" s="981" t="str">
        <f>IF(L183="","",Conc2(L183,L$9,MolVol,L$21,L$20,M$21,M$20))</f>
        <v/>
      </c>
      <c r="N183" s="981" t="str">
        <f>IF(N$17=FALSE,"",GasData(GasAnalyser,'Horiba Data'!AE176,'Testo, JUM &amp; MRU Data'!I177,'Thermo Data'!J176,'Testo, JUM &amp; MRU Data'!S177,GDF))</f>
        <v/>
      </c>
      <c r="O183" s="981" t="str">
        <f>IF(N183="","",Conc2(N183,N$9,MolVol,N$21,N$20,O$21,O$20))</f>
        <v/>
      </c>
      <c r="P183" s="981" t="str">
        <f>IF(P$17=FALSE,"",GasData(GasAnalyser,'Horiba Data'!AI176,'Testo, JUM &amp; MRU Data'!J177,'Thermo Data'!K176,'Testo, JUM &amp; MRU Data'!R177,GDF))</f>
        <v/>
      </c>
      <c r="Q183" s="981" t="str">
        <f>IF(P183="","",Conc2(P183,P$9,MolVol,P$21,P$20,Q$21,Q$20))</f>
        <v/>
      </c>
      <c r="R183" s="981" t="str">
        <f>IF(R$17=FALSE,"",JUMData('Testo, JUM &amp; MRU Data'!M177,$R$7))</f>
        <v/>
      </c>
      <c r="S183" s="982" t="str">
        <f>IF(R183="","",Conc2(R183,R$9,MolVol,R$21,R$20,S$21,S$20)/(1-Bws))</f>
        <v/>
      </c>
      <c r="T183" s="712"/>
      <c r="AR183" s="334"/>
      <c r="AS183" s="334"/>
      <c r="AT183" s="48"/>
      <c r="AU183" s="48"/>
      <c r="AV183" s="153"/>
      <c r="AW183" s="153"/>
      <c r="AX183" s="153"/>
      <c r="AY183" s="153"/>
      <c r="AZ183" s="153"/>
      <c r="BA183" s="153"/>
      <c r="BB183" s="153"/>
      <c r="BC183" s="153"/>
      <c r="BD183" s="153"/>
      <c r="BE183" s="153"/>
      <c r="BF183" s="153"/>
      <c r="BG183" s="153"/>
      <c r="BH183" s="153"/>
      <c r="BI183" s="153"/>
      <c r="BJ183" s="153"/>
      <c r="BK183" s="153"/>
      <c r="BL183" s="153"/>
      <c r="BM183" s="153"/>
      <c r="BN183" s="153"/>
      <c r="BO183" s="153"/>
      <c r="BP183" s="153"/>
      <c r="BQ183" s="153"/>
      <c r="BR183" s="153"/>
      <c r="BS183" s="153"/>
      <c r="BT183" s="153"/>
      <c r="BU183" s="153"/>
      <c r="BV183" s="153"/>
      <c r="BW183" s="153"/>
      <c r="BX183" s="153"/>
      <c r="BY183" s="153"/>
      <c r="BZ183" s="153"/>
      <c r="CA183" s="153"/>
      <c r="CB183" s="153"/>
      <c r="CC183" s="153"/>
      <c r="CD183" s="153"/>
      <c r="CE183" s="153"/>
      <c r="CF183" s="153"/>
      <c r="CG183" s="153"/>
      <c r="CH183" s="153"/>
      <c r="CI183" s="153"/>
      <c r="CJ183" s="153"/>
      <c r="CK183" s="153"/>
      <c r="CL183" s="153"/>
      <c r="CM183" s="153"/>
      <c r="CN183" s="153"/>
      <c r="CO183" s="153"/>
      <c r="CP183" s="153"/>
      <c r="CQ183" s="153"/>
      <c r="CR183" s="153"/>
      <c r="CS183" s="153"/>
      <c r="CT183" s="153"/>
      <c r="CU183" s="153"/>
      <c r="CV183" s="153"/>
      <c r="CW183" s="153"/>
      <c r="CX183" s="153"/>
      <c r="CY183" s="153"/>
      <c r="CZ183" s="153"/>
      <c r="DA183" s="153"/>
      <c r="DB183" s="153"/>
      <c r="DC183" s="153"/>
      <c r="DD183" s="153"/>
      <c r="DE183" s="153"/>
      <c r="DF183" s="153"/>
      <c r="DG183" s="153"/>
      <c r="DH183" s="153"/>
      <c r="DI183" s="153"/>
      <c r="DJ183" s="153"/>
      <c r="DK183" s="153"/>
      <c r="DL183" s="153"/>
      <c r="DM183" s="153"/>
      <c r="DN183" s="153"/>
      <c r="DO183" s="153"/>
      <c r="DP183" s="153"/>
      <c r="DQ183" s="153"/>
      <c r="DR183" s="153"/>
      <c r="DS183" s="153"/>
      <c r="DT183" s="153"/>
      <c r="DU183" s="153"/>
      <c r="DV183" s="153"/>
      <c r="DW183" s="153"/>
      <c r="DX183" s="153"/>
      <c r="DY183" s="153"/>
      <c r="DZ183" s="153"/>
      <c r="EA183" s="153"/>
      <c r="EB183" s="153"/>
      <c r="EC183" s="153"/>
      <c r="ED183" s="153"/>
      <c r="EE183" s="153"/>
      <c r="EF183" s="153"/>
      <c r="EG183" s="153"/>
      <c r="EH183" s="153"/>
      <c r="EI183" s="153"/>
      <c r="EJ183" s="153"/>
      <c r="EK183" s="153"/>
      <c r="EL183" s="153"/>
      <c r="EM183" s="153"/>
    </row>
    <row r="184" spans="1:143" s="107" customFormat="1" ht="10.5" hidden="1" customHeight="1" outlineLevel="1">
      <c r="A184" s="1548">
        <v>159</v>
      </c>
      <c r="B184" s="1560" t="str">
        <f t="shared" si="4"/>
        <v/>
      </c>
      <c r="C184" s="161" t="str">
        <f>GasTime(GasAnalyser,'Horiba Data'!F177,'Horiba Data'!G177,'Testo, JUM &amp; MRU Data'!A178,'Thermo Data'!B177,HourOffset)</f>
        <v/>
      </c>
      <c r="D184" s="981" t="str">
        <f>IF(D$17=FALSE,"",GasData(GasAnalyser,'Horiba Data'!S177,'Testo, JUM &amp; MRU Data'!D178,'Thermo Data'!E177,'Testo, JUM &amp; MRU Data'!U178,GDF))</f>
        <v/>
      </c>
      <c r="E184" s="981" t="str">
        <f>IF(D184="","",Conc2(D184,D$9,MolVol,D$21,D$20,E$21,E$20))</f>
        <v/>
      </c>
      <c r="F184" s="981" t="str">
        <f>IF(F$17=FALSE,"",GasData(GasAnalyser,'Horiba Data'!AQ177,'Testo, JUM &amp; MRU Data'!E178,'Thermo Data'!F177,'Testo, JUM &amp; MRU Data'!V178,GDF))</f>
        <v/>
      </c>
      <c r="G184" s="981" t="str">
        <f>IF(F184="","",Conc2(F184,F$9,MolVol,F$21,F$20,G$21,G$20))</f>
        <v/>
      </c>
      <c r="H184" s="981" t="str">
        <f>IF(D$17=FALSE,"",IF(F$17=FALSE,"",GasData(GasAnalyser,'Horiba Data'!W177,'Testo, JUM &amp; MRU Data'!F178,'Thermo Data'!G177,'Testo, JUM &amp; MRU Data'!Y178,GDF)))</f>
        <v/>
      </c>
      <c r="I184" s="981" t="str">
        <f>IF(H184="","",Conc2(H184,H$9,MolVol,H$21,H$20,I$21,I$20))</f>
        <v/>
      </c>
      <c r="J184" s="981" t="str">
        <f>IF(J$17=FALSE,"",GasData(GasAnalyser,'Horiba Data'!AM177,'Testo, JUM &amp; MRU Data'!G178,'Thermo Data'!H177,'Testo, JUM &amp; MRU Data'!W178,GDF))</f>
        <v/>
      </c>
      <c r="K184" s="981" t="str">
        <f>IF(J184="","",Conc2(J184,J$9,MolVol,J$21,J$20,K$21,K$20))</f>
        <v/>
      </c>
      <c r="L184" s="981" t="str">
        <f>IF(L$17=FALSE,"",GasData(GasAnalyser,'Horiba Data'!AA177,'Testo, JUM &amp; MRU Data'!H178,'Thermo Data'!I177,'Testo, JUM &amp; MRU Data'!T178,GDF))</f>
        <v/>
      </c>
      <c r="M184" s="981" t="str">
        <f>IF(L184="","",Conc2(L184,L$9,MolVol,L$21,L$20,M$21,M$20))</f>
        <v/>
      </c>
      <c r="N184" s="981" t="str">
        <f>IF(N$17=FALSE,"",GasData(GasAnalyser,'Horiba Data'!AE177,'Testo, JUM &amp; MRU Data'!I178,'Thermo Data'!J177,'Testo, JUM &amp; MRU Data'!S178,GDF))</f>
        <v/>
      </c>
      <c r="O184" s="981" t="str">
        <f>IF(N184="","",Conc2(N184,N$9,MolVol,N$21,N$20,O$21,O$20))</f>
        <v/>
      </c>
      <c r="P184" s="981" t="str">
        <f>IF(P$17=FALSE,"",GasData(GasAnalyser,'Horiba Data'!AI177,'Testo, JUM &amp; MRU Data'!J178,'Thermo Data'!K177,'Testo, JUM &amp; MRU Data'!R178,GDF))</f>
        <v/>
      </c>
      <c r="Q184" s="981" t="str">
        <f>IF(P184="","",Conc2(P184,P$9,MolVol,P$21,P$20,Q$21,Q$20))</f>
        <v/>
      </c>
      <c r="R184" s="981" t="str">
        <f>IF(R$17=FALSE,"",JUMData('Testo, JUM &amp; MRU Data'!M178,$R$7))</f>
        <v/>
      </c>
      <c r="S184" s="982" t="str">
        <f>IF(R184="","",Conc2(R184,R$9,MolVol,R$21,R$20,S$21,S$20)/(1-Bws))</f>
        <v/>
      </c>
      <c r="T184" s="712"/>
      <c r="AR184" s="334"/>
      <c r="AS184" s="334"/>
      <c r="AT184" s="48"/>
      <c r="AU184" s="48"/>
      <c r="AV184" s="153"/>
      <c r="AW184" s="153"/>
      <c r="AX184" s="153"/>
      <c r="AY184" s="153"/>
      <c r="AZ184" s="153"/>
      <c r="BA184" s="153"/>
      <c r="BB184" s="153"/>
      <c r="BC184" s="153"/>
      <c r="BD184" s="153"/>
      <c r="BE184" s="153"/>
      <c r="BF184" s="153"/>
      <c r="BG184" s="153"/>
      <c r="BH184" s="153"/>
      <c r="BI184" s="153"/>
      <c r="BJ184" s="153"/>
      <c r="BK184" s="153"/>
      <c r="BL184" s="153"/>
      <c r="BM184" s="153"/>
      <c r="BN184" s="153"/>
      <c r="BO184" s="153"/>
      <c r="BP184" s="153"/>
      <c r="BQ184" s="153"/>
      <c r="BR184" s="153"/>
      <c r="BS184" s="153"/>
      <c r="BT184" s="153"/>
      <c r="BU184" s="153"/>
      <c r="BV184" s="153"/>
      <c r="BW184" s="153"/>
      <c r="BX184" s="153"/>
      <c r="BY184" s="153"/>
      <c r="BZ184" s="153"/>
      <c r="CA184" s="153"/>
      <c r="CB184" s="153"/>
      <c r="CC184" s="153"/>
      <c r="CD184" s="153"/>
      <c r="CE184" s="153"/>
      <c r="CF184" s="153"/>
      <c r="CG184" s="153"/>
      <c r="CH184" s="153"/>
      <c r="CI184" s="153"/>
      <c r="CJ184" s="153"/>
      <c r="CK184" s="153"/>
      <c r="CL184" s="153"/>
      <c r="CM184" s="153"/>
      <c r="CN184" s="153"/>
      <c r="CO184" s="153"/>
      <c r="CP184" s="153"/>
      <c r="CQ184" s="153"/>
      <c r="CR184" s="153"/>
      <c r="CS184" s="153"/>
      <c r="CT184" s="153"/>
      <c r="CU184" s="153"/>
      <c r="CV184" s="153"/>
      <c r="CW184" s="153"/>
      <c r="CX184" s="153"/>
      <c r="CY184" s="153"/>
      <c r="CZ184" s="153"/>
      <c r="DA184" s="153"/>
      <c r="DB184" s="153"/>
      <c r="DC184" s="153"/>
      <c r="DD184" s="153"/>
      <c r="DE184" s="153"/>
      <c r="DF184" s="153"/>
      <c r="DG184" s="153"/>
      <c r="DH184" s="153"/>
      <c r="DI184" s="153"/>
      <c r="DJ184" s="153"/>
      <c r="DK184" s="153"/>
      <c r="DL184" s="153"/>
      <c r="DM184" s="153"/>
      <c r="DN184" s="153"/>
      <c r="DO184" s="153"/>
      <c r="DP184" s="153"/>
      <c r="DQ184" s="153"/>
      <c r="DR184" s="153"/>
      <c r="DS184" s="153"/>
      <c r="DT184" s="153"/>
      <c r="DU184" s="153"/>
      <c r="DV184" s="153"/>
      <c r="DW184" s="153"/>
      <c r="DX184" s="153"/>
      <c r="DY184" s="153"/>
      <c r="DZ184" s="153"/>
      <c r="EA184" s="153"/>
      <c r="EB184" s="153"/>
      <c r="EC184" s="153"/>
      <c r="ED184" s="153"/>
      <c r="EE184" s="153"/>
      <c r="EF184" s="153"/>
      <c r="EG184" s="153"/>
      <c r="EH184" s="153"/>
      <c r="EI184" s="153"/>
      <c r="EJ184" s="153"/>
      <c r="EK184" s="153"/>
      <c r="EL184" s="153"/>
      <c r="EM184" s="153"/>
    </row>
    <row r="185" spans="1:143" s="107" customFormat="1" ht="10.5" hidden="1" customHeight="1" outlineLevel="1">
      <c r="A185" s="1548">
        <v>160</v>
      </c>
      <c r="B185" s="1560" t="str">
        <f t="shared" si="4"/>
        <v/>
      </c>
      <c r="C185" s="161" t="str">
        <f>GasTime(GasAnalyser,'Horiba Data'!F178,'Horiba Data'!G178,'Testo, JUM &amp; MRU Data'!A179,'Thermo Data'!B178,HourOffset)</f>
        <v/>
      </c>
      <c r="D185" s="981" t="str">
        <f>IF(D$17=FALSE,"",GasData(GasAnalyser,'Horiba Data'!S178,'Testo, JUM &amp; MRU Data'!D179,'Thermo Data'!E178,'Testo, JUM &amp; MRU Data'!U179,GDF))</f>
        <v/>
      </c>
      <c r="E185" s="981" t="str">
        <f>IF(D185="","",Conc2(D185,D$9,MolVol,D$21,D$20,E$21,E$20))</f>
        <v/>
      </c>
      <c r="F185" s="981" t="str">
        <f>IF(F$17=FALSE,"",GasData(GasAnalyser,'Horiba Data'!AQ178,'Testo, JUM &amp; MRU Data'!E179,'Thermo Data'!F178,'Testo, JUM &amp; MRU Data'!V179,GDF))</f>
        <v/>
      </c>
      <c r="G185" s="981" t="str">
        <f>IF(F185="","",Conc2(F185,F$9,MolVol,F$21,F$20,G$21,G$20))</f>
        <v/>
      </c>
      <c r="H185" s="981" t="str">
        <f>IF(D$17=FALSE,"",IF(F$17=FALSE,"",GasData(GasAnalyser,'Horiba Data'!W178,'Testo, JUM &amp; MRU Data'!F179,'Thermo Data'!G178,'Testo, JUM &amp; MRU Data'!Y179,GDF)))</f>
        <v/>
      </c>
      <c r="I185" s="981" t="str">
        <f>IF(H185="","",Conc2(H185,H$9,MolVol,H$21,H$20,I$21,I$20))</f>
        <v/>
      </c>
      <c r="J185" s="981" t="str">
        <f>IF(J$17=FALSE,"",GasData(GasAnalyser,'Horiba Data'!AM178,'Testo, JUM &amp; MRU Data'!G179,'Thermo Data'!H178,'Testo, JUM &amp; MRU Data'!W179,GDF))</f>
        <v/>
      </c>
      <c r="K185" s="981" t="str">
        <f>IF(J185="","",Conc2(J185,J$9,MolVol,J$21,J$20,K$21,K$20))</f>
        <v/>
      </c>
      <c r="L185" s="981" t="str">
        <f>IF(L$17=FALSE,"",GasData(GasAnalyser,'Horiba Data'!AA178,'Testo, JUM &amp; MRU Data'!H179,'Thermo Data'!I178,'Testo, JUM &amp; MRU Data'!T179,GDF))</f>
        <v/>
      </c>
      <c r="M185" s="981" t="str">
        <f>IF(L185="","",Conc2(L185,L$9,MolVol,L$21,L$20,M$21,M$20))</f>
        <v/>
      </c>
      <c r="N185" s="981" t="str">
        <f>IF(N$17=FALSE,"",GasData(GasAnalyser,'Horiba Data'!AE178,'Testo, JUM &amp; MRU Data'!I179,'Thermo Data'!J178,'Testo, JUM &amp; MRU Data'!S179,GDF))</f>
        <v/>
      </c>
      <c r="O185" s="981" t="str">
        <f>IF(N185="","",Conc2(N185,N$9,MolVol,N$21,N$20,O$21,O$20))</f>
        <v/>
      </c>
      <c r="P185" s="981" t="str">
        <f>IF(P$17=FALSE,"",GasData(GasAnalyser,'Horiba Data'!AI178,'Testo, JUM &amp; MRU Data'!J179,'Thermo Data'!K178,'Testo, JUM &amp; MRU Data'!R179,GDF))</f>
        <v/>
      </c>
      <c r="Q185" s="981" t="str">
        <f>IF(P185="","",Conc2(P185,P$9,MolVol,P$21,P$20,Q$21,Q$20))</f>
        <v/>
      </c>
      <c r="R185" s="981" t="str">
        <f>IF(R$17=FALSE,"",JUMData('Testo, JUM &amp; MRU Data'!M179,$R$7))</f>
        <v/>
      </c>
      <c r="S185" s="982" t="str">
        <f>IF(R185="","",Conc2(R185,R$9,MolVol,R$21,R$20,S$21,S$20)/(1-Bws))</f>
        <v/>
      </c>
      <c r="T185" s="712"/>
      <c r="AR185" s="334"/>
      <c r="AS185" s="334"/>
      <c r="AT185" s="48"/>
      <c r="AU185" s="48"/>
      <c r="AV185" s="153"/>
      <c r="AW185" s="153"/>
      <c r="AX185" s="153"/>
      <c r="AY185" s="153"/>
      <c r="AZ185" s="153"/>
      <c r="BA185" s="153"/>
      <c r="BB185" s="153"/>
      <c r="BC185" s="153"/>
      <c r="BD185" s="153"/>
      <c r="BE185" s="153"/>
      <c r="BF185" s="153"/>
      <c r="BG185" s="153"/>
      <c r="BH185" s="153"/>
      <c r="BI185" s="153"/>
      <c r="BJ185" s="153"/>
      <c r="BK185" s="153"/>
      <c r="BL185" s="153"/>
      <c r="BM185" s="153"/>
      <c r="BN185" s="153"/>
      <c r="BO185" s="153"/>
      <c r="BP185" s="153"/>
      <c r="BQ185" s="153"/>
      <c r="BR185" s="153"/>
      <c r="BS185" s="153"/>
      <c r="BT185" s="153"/>
      <c r="BU185" s="153"/>
      <c r="BV185" s="153"/>
      <c r="BW185" s="153"/>
      <c r="BX185" s="153"/>
      <c r="BY185" s="153"/>
      <c r="BZ185" s="153"/>
      <c r="CA185" s="153"/>
      <c r="CB185" s="153"/>
      <c r="CC185" s="153"/>
      <c r="CD185" s="153"/>
      <c r="CE185" s="153"/>
      <c r="CF185" s="153"/>
      <c r="CG185" s="153"/>
      <c r="CH185" s="153"/>
      <c r="CI185" s="153"/>
      <c r="CJ185" s="153"/>
      <c r="CK185" s="153"/>
      <c r="CL185" s="153"/>
      <c r="CM185" s="153"/>
      <c r="CN185" s="153"/>
      <c r="CO185" s="153"/>
      <c r="CP185" s="153"/>
      <c r="CQ185" s="153"/>
      <c r="CR185" s="153"/>
      <c r="CS185" s="153"/>
      <c r="CT185" s="153"/>
      <c r="CU185" s="153"/>
      <c r="CV185" s="153"/>
      <c r="CW185" s="153"/>
      <c r="CX185" s="153"/>
      <c r="CY185" s="153"/>
      <c r="CZ185" s="153"/>
      <c r="DA185" s="153"/>
      <c r="DB185" s="153"/>
      <c r="DC185" s="153"/>
      <c r="DD185" s="153"/>
      <c r="DE185" s="153"/>
      <c r="DF185" s="153"/>
      <c r="DG185" s="153"/>
      <c r="DH185" s="153"/>
      <c r="DI185" s="153"/>
      <c r="DJ185" s="153"/>
      <c r="DK185" s="153"/>
      <c r="DL185" s="153"/>
      <c r="DM185" s="153"/>
      <c r="DN185" s="153"/>
      <c r="DO185" s="153"/>
      <c r="DP185" s="153"/>
      <c r="DQ185" s="153"/>
      <c r="DR185" s="153"/>
      <c r="DS185" s="153"/>
      <c r="DT185" s="153"/>
      <c r="DU185" s="153"/>
      <c r="DV185" s="153"/>
      <c r="DW185" s="153"/>
      <c r="DX185" s="153"/>
      <c r="DY185" s="153"/>
      <c r="DZ185" s="153"/>
      <c r="EA185" s="153"/>
      <c r="EB185" s="153"/>
      <c r="EC185" s="153"/>
      <c r="ED185" s="153"/>
      <c r="EE185" s="153"/>
      <c r="EF185" s="153"/>
      <c r="EG185" s="153"/>
      <c r="EH185" s="153"/>
      <c r="EI185" s="153"/>
      <c r="EJ185" s="153"/>
      <c r="EK185" s="153"/>
      <c r="EL185" s="153"/>
      <c r="EM185" s="153"/>
    </row>
    <row r="186" spans="1:143" s="107" customFormat="1" ht="10.5" hidden="1" customHeight="1" outlineLevel="1">
      <c r="A186" s="1548">
        <v>161</v>
      </c>
      <c r="B186" s="1560" t="str">
        <f t="shared" si="4"/>
        <v/>
      </c>
      <c r="C186" s="161" t="str">
        <f>GasTime(GasAnalyser,'Horiba Data'!F179,'Horiba Data'!G179,'Testo, JUM &amp; MRU Data'!A180,'Thermo Data'!B179,HourOffset)</f>
        <v/>
      </c>
      <c r="D186" s="981" t="str">
        <f>IF(D$17=FALSE,"",GasData(GasAnalyser,'Horiba Data'!S179,'Testo, JUM &amp; MRU Data'!D180,'Thermo Data'!E179,'Testo, JUM &amp; MRU Data'!U180,GDF))</f>
        <v/>
      </c>
      <c r="E186" s="981" t="str">
        <f>IF(D186="","",Conc2(D186,D$9,MolVol,D$21,D$20,E$21,E$20))</f>
        <v/>
      </c>
      <c r="F186" s="981" t="str">
        <f>IF(F$17=FALSE,"",GasData(GasAnalyser,'Horiba Data'!AQ179,'Testo, JUM &amp; MRU Data'!E180,'Thermo Data'!F179,'Testo, JUM &amp; MRU Data'!V180,GDF))</f>
        <v/>
      </c>
      <c r="G186" s="981" t="str">
        <f>IF(F186="","",Conc2(F186,F$9,MolVol,F$21,F$20,G$21,G$20))</f>
        <v/>
      </c>
      <c r="H186" s="981" t="str">
        <f>IF(D$17=FALSE,"",IF(F$17=FALSE,"",GasData(GasAnalyser,'Horiba Data'!W179,'Testo, JUM &amp; MRU Data'!F180,'Thermo Data'!G179,'Testo, JUM &amp; MRU Data'!Y180,GDF)))</f>
        <v/>
      </c>
      <c r="I186" s="981" t="str">
        <f>IF(H186="","",Conc2(H186,H$9,MolVol,H$21,H$20,I$21,I$20))</f>
        <v/>
      </c>
      <c r="J186" s="981" t="str">
        <f>IF(J$17=FALSE,"",GasData(GasAnalyser,'Horiba Data'!AM179,'Testo, JUM &amp; MRU Data'!G180,'Thermo Data'!H179,'Testo, JUM &amp; MRU Data'!W180,GDF))</f>
        <v/>
      </c>
      <c r="K186" s="981" t="str">
        <f>IF(J186="","",Conc2(J186,J$9,MolVol,J$21,J$20,K$21,K$20))</f>
        <v/>
      </c>
      <c r="L186" s="981" t="str">
        <f>IF(L$17=FALSE,"",GasData(GasAnalyser,'Horiba Data'!AA179,'Testo, JUM &amp; MRU Data'!H180,'Thermo Data'!I179,'Testo, JUM &amp; MRU Data'!T180,GDF))</f>
        <v/>
      </c>
      <c r="M186" s="981" t="str">
        <f>IF(L186="","",Conc2(L186,L$9,MolVol,L$21,L$20,M$21,M$20))</f>
        <v/>
      </c>
      <c r="N186" s="981" t="str">
        <f>IF(N$17=FALSE,"",GasData(GasAnalyser,'Horiba Data'!AE179,'Testo, JUM &amp; MRU Data'!I180,'Thermo Data'!J179,'Testo, JUM &amp; MRU Data'!S180,GDF))</f>
        <v/>
      </c>
      <c r="O186" s="981" t="str">
        <f>IF(N186="","",Conc2(N186,N$9,MolVol,N$21,N$20,O$21,O$20))</f>
        <v/>
      </c>
      <c r="P186" s="981" t="str">
        <f>IF(P$17=FALSE,"",GasData(GasAnalyser,'Horiba Data'!AI179,'Testo, JUM &amp; MRU Data'!J180,'Thermo Data'!K179,'Testo, JUM &amp; MRU Data'!R180,GDF))</f>
        <v/>
      </c>
      <c r="Q186" s="981" t="str">
        <f>IF(P186="","",Conc2(P186,P$9,MolVol,P$21,P$20,Q$21,Q$20))</f>
        <v/>
      </c>
      <c r="R186" s="981" t="str">
        <f>IF(R$17=FALSE,"",JUMData('Testo, JUM &amp; MRU Data'!M180,$R$7))</f>
        <v/>
      </c>
      <c r="S186" s="982" t="str">
        <f>IF(R186="","",Conc2(R186,R$9,MolVol,R$21,R$20,S$21,S$20)/(1-Bws))</f>
        <v/>
      </c>
      <c r="T186" s="712"/>
      <c r="AR186" s="334"/>
      <c r="AS186" s="334"/>
      <c r="AT186" s="48"/>
      <c r="AU186" s="48"/>
      <c r="AV186" s="153"/>
      <c r="AW186" s="153"/>
      <c r="AX186" s="153"/>
      <c r="AY186" s="153"/>
      <c r="AZ186" s="153"/>
      <c r="BA186" s="153"/>
      <c r="BB186" s="153"/>
      <c r="BC186" s="153"/>
      <c r="BD186" s="153"/>
      <c r="BE186" s="153"/>
      <c r="BF186" s="153"/>
      <c r="BG186" s="153"/>
      <c r="BH186" s="153"/>
      <c r="BI186" s="153"/>
      <c r="BJ186" s="153"/>
      <c r="BK186" s="153"/>
      <c r="BL186" s="153"/>
      <c r="BM186" s="153"/>
      <c r="BN186" s="153"/>
      <c r="BO186" s="153"/>
      <c r="BP186" s="153"/>
      <c r="BQ186" s="153"/>
      <c r="BR186" s="153"/>
      <c r="BS186" s="153"/>
      <c r="BT186" s="153"/>
      <c r="BU186" s="153"/>
      <c r="BV186" s="153"/>
      <c r="BW186" s="153"/>
      <c r="BX186" s="153"/>
      <c r="BY186" s="153"/>
      <c r="BZ186" s="153"/>
      <c r="CA186" s="153"/>
      <c r="CB186" s="153"/>
      <c r="CC186" s="153"/>
      <c r="CD186" s="153"/>
      <c r="CE186" s="153"/>
      <c r="CF186" s="153"/>
      <c r="CG186" s="153"/>
      <c r="CH186" s="153"/>
      <c r="CI186" s="153"/>
      <c r="CJ186" s="153"/>
      <c r="CK186" s="153"/>
      <c r="CL186" s="153"/>
      <c r="CM186" s="153"/>
      <c r="CN186" s="153"/>
      <c r="CO186" s="153"/>
      <c r="CP186" s="153"/>
      <c r="CQ186" s="153"/>
      <c r="CR186" s="153"/>
      <c r="CS186" s="153"/>
      <c r="CT186" s="153"/>
      <c r="CU186" s="153"/>
      <c r="CV186" s="153"/>
      <c r="CW186" s="153"/>
      <c r="CX186" s="153"/>
      <c r="CY186" s="153"/>
      <c r="CZ186" s="153"/>
      <c r="DA186" s="153"/>
      <c r="DB186" s="153"/>
      <c r="DC186" s="153"/>
      <c r="DD186" s="153"/>
      <c r="DE186" s="153"/>
      <c r="DF186" s="153"/>
      <c r="DG186" s="153"/>
      <c r="DH186" s="153"/>
      <c r="DI186" s="153"/>
      <c r="DJ186" s="153"/>
      <c r="DK186" s="153"/>
      <c r="DL186" s="153"/>
      <c r="DM186" s="153"/>
      <c r="DN186" s="153"/>
      <c r="DO186" s="153"/>
      <c r="DP186" s="153"/>
      <c r="DQ186" s="153"/>
      <c r="DR186" s="153"/>
      <c r="DS186" s="153"/>
      <c r="DT186" s="153"/>
      <c r="DU186" s="153"/>
      <c r="DV186" s="153"/>
      <c r="DW186" s="153"/>
      <c r="DX186" s="153"/>
      <c r="DY186" s="153"/>
      <c r="DZ186" s="153"/>
      <c r="EA186" s="153"/>
      <c r="EB186" s="153"/>
      <c r="EC186" s="153"/>
      <c r="ED186" s="153"/>
      <c r="EE186" s="153"/>
      <c r="EF186" s="153"/>
      <c r="EG186" s="153"/>
      <c r="EH186" s="153"/>
      <c r="EI186" s="153"/>
      <c r="EJ186" s="153"/>
      <c r="EK186" s="153"/>
      <c r="EL186" s="153"/>
      <c r="EM186" s="153"/>
    </row>
    <row r="187" spans="1:143" s="107" customFormat="1" ht="10.5" hidden="1" customHeight="1" outlineLevel="1">
      <c r="A187" s="1548">
        <v>162</v>
      </c>
      <c r="B187" s="1560" t="str">
        <f t="shared" si="4"/>
        <v/>
      </c>
      <c r="C187" s="161" t="str">
        <f>GasTime(GasAnalyser,'Horiba Data'!F180,'Horiba Data'!G180,'Testo, JUM &amp; MRU Data'!A181,'Thermo Data'!B180,HourOffset)</f>
        <v/>
      </c>
      <c r="D187" s="981" t="str">
        <f>IF(D$17=FALSE,"",GasData(GasAnalyser,'Horiba Data'!S180,'Testo, JUM &amp; MRU Data'!D181,'Thermo Data'!E180,'Testo, JUM &amp; MRU Data'!U181,GDF))</f>
        <v/>
      </c>
      <c r="E187" s="981" t="str">
        <f>IF(D187="","",Conc2(D187,D$9,MolVol,D$21,D$20,E$21,E$20))</f>
        <v/>
      </c>
      <c r="F187" s="981" t="str">
        <f>IF(F$17=FALSE,"",GasData(GasAnalyser,'Horiba Data'!AQ180,'Testo, JUM &amp; MRU Data'!E181,'Thermo Data'!F180,'Testo, JUM &amp; MRU Data'!V181,GDF))</f>
        <v/>
      </c>
      <c r="G187" s="981" t="str">
        <f>IF(F187="","",Conc2(F187,F$9,MolVol,F$21,F$20,G$21,G$20))</f>
        <v/>
      </c>
      <c r="H187" s="981" t="str">
        <f>IF(D$17=FALSE,"",IF(F$17=FALSE,"",GasData(GasAnalyser,'Horiba Data'!W180,'Testo, JUM &amp; MRU Data'!F181,'Thermo Data'!G180,'Testo, JUM &amp; MRU Data'!Y181,GDF)))</f>
        <v/>
      </c>
      <c r="I187" s="981" t="str">
        <f>IF(H187="","",Conc2(H187,H$9,MolVol,H$21,H$20,I$21,I$20))</f>
        <v/>
      </c>
      <c r="J187" s="981" t="str">
        <f>IF(J$17=FALSE,"",GasData(GasAnalyser,'Horiba Data'!AM180,'Testo, JUM &amp; MRU Data'!G181,'Thermo Data'!H180,'Testo, JUM &amp; MRU Data'!W181,GDF))</f>
        <v/>
      </c>
      <c r="K187" s="981" t="str">
        <f>IF(J187="","",Conc2(J187,J$9,MolVol,J$21,J$20,K$21,K$20))</f>
        <v/>
      </c>
      <c r="L187" s="981" t="str">
        <f>IF(L$17=FALSE,"",GasData(GasAnalyser,'Horiba Data'!AA180,'Testo, JUM &amp; MRU Data'!H181,'Thermo Data'!I180,'Testo, JUM &amp; MRU Data'!T181,GDF))</f>
        <v/>
      </c>
      <c r="M187" s="981" t="str">
        <f>IF(L187="","",Conc2(L187,L$9,MolVol,L$21,L$20,M$21,M$20))</f>
        <v/>
      </c>
      <c r="N187" s="981" t="str">
        <f>IF(N$17=FALSE,"",GasData(GasAnalyser,'Horiba Data'!AE180,'Testo, JUM &amp; MRU Data'!I181,'Thermo Data'!J180,'Testo, JUM &amp; MRU Data'!S181,GDF))</f>
        <v/>
      </c>
      <c r="O187" s="981" t="str">
        <f>IF(N187="","",Conc2(N187,N$9,MolVol,N$21,N$20,O$21,O$20))</f>
        <v/>
      </c>
      <c r="P187" s="981" t="str">
        <f>IF(P$17=FALSE,"",GasData(GasAnalyser,'Horiba Data'!AI180,'Testo, JUM &amp; MRU Data'!J181,'Thermo Data'!K180,'Testo, JUM &amp; MRU Data'!R181,GDF))</f>
        <v/>
      </c>
      <c r="Q187" s="981" t="str">
        <f>IF(P187="","",Conc2(P187,P$9,MolVol,P$21,P$20,Q$21,Q$20))</f>
        <v/>
      </c>
      <c r="R187" s="981" t="str">
        <f>IF(R$17=FALSE,"",JUMData('Testo, JUM &amp; MRU Data'!M181,$R$7))</f>
        <v/>
      </c>
      <c r="S187" s="982" t="str">
        <f>IF(R187="","",Conc2(R187,R$9,MolVol,R$21,R$20,S$21,S$20)/(1-Bws))</f>
        <v/>
      </c>
      <c r="T187" s="712"/>
      <c r="AR187" s="334"/>
      <c r="AS187" s="334"/>
      <c r="AT187" s="48"/>
      <c r="AU187" s="48"/>
      <c r="AV187" s="153"/>
      <c r="AW187" s="153"/>
      <c r="AX187" s="153"/>
      <c r="AY187" s="153"/>
      <c r="AZ187" s="153"/>
      <c r="BA187" s="153"/>
      <c r="BB187" s="153"/>
      <c r="BC187" s="153"/>
      <c r="BD187" s="153"/>
      <c r="BE187" s="153"/>
      <c r="BF187" s="153"/>
      <c r="BG187" s="153"/>
      <c r="BH187" s="153"/>
      <c r="BI187" s="153"/>
      <c r="BJ187" s="153"/>
      <c r="BK187" s="153"/>
      <c r="BL187" s="153"/>
      <c r="BM187" s="153"/>
      <c r="BN187" s="153"/>
      <c r="BO187" s="153"/>
      <c r="BP187" s="153"/>
      <c r="BQ187" s="153"/>
      <c r="BR187" s="153"/>
      <c r="BS187" s="153"/>
      <c r="BT187" s="153"/>
      <c r="BU187" s="153"/>
      <c r="BV187" s="153"/>
      <c r="BW187" s="153"/>
      <c r="BX187" s="153"/>
      <c r="BY187" s="153"/>
      <c r="BZ187" s="153"/>
      <c r="CA187" s="153"/>
      <c r="CB187" s="153"/>
      <c r="CC187" s="153"/>
      <c r="CD187" s="153"/>
      <c r="CE187" s="153"/>
      <c r="CF187" s="153"/>
      <c r="CG187" s="153"/>
      <c r="CH187" s="153"/>
      <c r="CI187" s="153"/>
      <c r="CJ187" s="153"/>
      <c r="CK187" s="153"/>
      <c r="CL187" s="153"/>
      <c r="CM187" s="153"/>
      <c r="CN187" s="153"/>
      <c r="CO187" s="153"/>
      <c r="CP187" s="153"/>
      <c r="CQ187" s="153"/>
      <c r="CR187" s="153"/>
      <c r="CS187" s="153"/>
      <c r="CT187" s="153"/>
      <c r="CU187" s="153"/>
      <c r="CV187" s="153"/>
      <c r="CW187" s="153"/>
      <c r="CX187" s="153"/>
      <c r="CY187" s="153"/>
      <c r="CZ187" s="153"/>
      <c r="DA187" s="153"/>
      <c r="DB187" s="153"/>
      <c r="DC187" s="153"/>
      <c r="DD187" s="153"/>
      <c r="DE187" s="153"/>
      <c r="DF187" s="153"/>
      <c r="DG187" s="153"/>
      <c r="DH187" s="153"/>
      <c r="DI187" s="153"/>
      <c r="DJ187" s="153"/>
      <c r="DK187" s="153"/>
      <c r="DL187" s="153"/>
      <c r="DM187" s="153"/>
      <c r="DN187" s="153"/>
      <c r="DO187" s="153"/>
      <c r="DP187" s="153"/>
      <c r="DQ187" s="153"/>
      <c r="DR187" s="153"/>
      <c r="DS187" s="153"/>
      <c r="DT187" s="153"/>
      <c r="DU187" s="153"/>
      <c r="DV187" s="153"/>
      <c r="DW187" s="153"/>
      <c r="DX187" s="153"/>
      <c r="DY187" s="153"/>
      <c r="DZ187" s="153"/>
      <c r="EA187" s="153"/>
      <c r="EB187" s="153"/>
      <c r="EC187" s="153"/>
      <c r="ED187" s="153"/>
      <c r="EE187" s="153"/>
      <c r="EF187" s="153"/>
      <c r="EG187" s="153"/>
      <c r="EH187" s="153"/>
      <c r="EI187" s="153"/>
      <c r="EJ187" s="153"/>
      <c r="EK187" s="153"/>
      <c r="EL187" s="153"/>
      <c r="EM187" s="153"/>
    </row>
    <row r="188" spans="1:143" s="107" customFormat="1" ht="10.5" hidden="1" customHeight="1" outlineLevel="1">
      <c r="A188" s="1548">
        <v>163</v>
      </c>
      <c r="B188" s="1560" t="str">
        <f t="shared" si="4"/>
        <v/>
      </c>
      <c r="C188" s="161" t="str">
        <f>GasTime(GasAnalyser,'Horiba Data'!F181,'Horiba Data'!G181,'Testo, JUM &amp; MRU Data'!A182,'Thermo Data'!B181,HourOffset)</f>
        <v/>
      </c>
      <c r="D188" s="981" t="str">
        <f>IF(D$17=FALSE,"",GasData(GasAnalyser,'Horiba Data'!S181,'Testo, JUM &amp; MRU Data'!D182,'Thermo Data'!E181,'Testo, JUM &amp; MRU Data'!U182,GDF))</f>
        <v/>
      </c>
      <c r="E188" s="981" t="str">
        <f>IF(D188="","",Conc2(D188,D$9,MolVol,D$21,D$20,E$21,E$20))</f>
        <v/>
      </c>
      <c r="F188" s="981" t="str">
        <f>IF(F$17=FALSE,"",GasData(GasAnalyser,'Horiba Data'!AQ181,'Testo, JUM &amp; MRU Data'!E182,'Thermo Data'!F181,'Testo, JUM &amp; MRU Data'!V182,GDF))</f>
        <v/>
      </c>
      <c r="G188" s="981" t="str">
        <f>IF(F188="","",Conc2(F188,F$9,MolVol,F$21,F$20,G$21,G$20))</f>
        <v/>
      </c>
      <c r="H188" s="981" t="str">
        <f>IF(D$17=FALSE,"",IF(F$17=FALSE,"",GasData(GasAnalyser,'Horiba Data'!W181,'Testo, JUM &amp; MRU Data'!F182,'Thermo Data'!G181,'Testo, JUM &amp; MRU Data'!Y182,GDF)))</f>
        <v/>
      </c>
      <c r="I188" s="981" t="str">
        <f>IF(H188="","",Conc2(H188,H$9,MolVol,H$21,H$20,I$21,I$20))</f>
        <v/>
      </c>
      <c r="J188" s="981" t="str">
        <f>IF(J$17=FALSE,"",GasData(GasAnalyser,'Horiba Data'!AM181,'Testo, JUM &amp; MRU Data'!G182,'Thermo Data'!H181,'Testo, JUM &amp; MRU Data'!W182,GDF))</f>
        <v/>
      </c>
      <c r="K188" s="981" t="str">
        <f>IF(J188="","",Conc2(J188,J$9,MolVol,J$21,J$20,K$21,K$20))</f>
        <v/>
      </c>
      <c r="L188" s="981" t="str">
        <f>IF(L$17=FALSE,"",GasData(GasAnalyser,'Horiba Data'!AA181,'Testo, JUM &amp; MRU Data'!H182,'Thermo Data'!I181,'Testo, JUM &amp; MRU Data'!T182,GDF))</f>
        <v/>
      </c>
      <c r="M188" s="981" t="str">
        <f>IF(L188="","",Conc2(L188,L$9,MolVol,L$21,L$20,M$21,M$20))</f>
        <v/>
      </c>
      <c r="N188" s="981" t="str">
        <f>IF(N$17=FALSE,"",GasData(GasAnalyser,'Horiba Data'!AE181,'Testo, JUM &amp; MRU Data'!I182,'Thermo Data'!J181,'Testo, JUM &amp; MRU Data'!S182,GDF))</f>
        <v/>
      </c>
      <c r="O188" s="981" t="str">
        <f>IF(N188="","",Conc2(N188,N$9,MolVol,N$21,N$20,O$21,O$20))</f>
        <v/>
      </c>
      <c r="P188" s="981" t="str">
        <f>IF(P$17=FALSE,"",GasData(GasAnalyser,'Horiba Data'!AI181,'Testo, JUM &amp; MRU Data'!J182,'Thermo Data'!K181,'Testo, JUM &amp; MRU Data'!R182,GDF))</f>
        <v/>
      </c>
      <c r="Q188" s="981" t="str">
        <f>IF(P188="","",Conc2(P188,P$9,MolVol,P$21,P$20,Q$21,Q$20))</f>
        <v/>
      </c>
      <c r="R188" s="981" t="str">
        <f>IF(R$17=FALSE,"",JUMData('Testo, JUM &amp; MRU Data'!M182,$R$7))</f>
        <v/>
      </c>
      <c r="S188" s="982" t="str">
        <f>IF(R188="","",Conc2(R188,R$9,MolVol,R$21,R$20,S$21,S$20)/(1-Bws))</f>
        <v/>
      </c>
      <c r="T188" s="712"/>
      <c r="AR188" s="334"/>
      <c r="AS188" s="334"/>
      <c r="AT188" s="48"/>
      <c r="AU188" s="48"/>
      <c r="AV188" s="153"/>
      <c r="AW188" s="153"/>
      <c r="AX188" s="153"/>
      <c r="AY188" s="153"/>
      <c r="AZ188" s="153"/>
      <c r="BA188" s="153"/>
      <c r="BB188" s="153"/>
      <c r="BC188" s="153"/>
      <c r="BD188" s="153"/>
      <c r="BE188" s="153"/>
      <c r="BF188" s="153"/>
      <c r="BG188" s="153"/>
      <c r="BH188" s="153"/>
      <c r="BI188" s="153"/>
      <c r="BJ188" s="153"/>
      <c r="BK188" s="153"/>
      <c r="BL188" s="153"/>
      <c r="BM188" s="153"/>
      <c r="BN188" s="153"/>
      <c r="BO188" s="153"/>
      <c r="BP188" s="153"/>
      <c r="BQ188" s="153"/>
      <c r="BR188" s="153"/>
      <c r="BS188" s="153"/>
      <c r="BT188" s="153"/>
      <c r="BU188" s="153"/>
      <c r="BV188" s="153"/>
      <c r="BW188" s="153"/>
      <c r="BX188" s="153"/>
      <c r="BY188" s="153"/>
      <c r="BZ188" s="153"/>
      <c r="CA188" s="153"/>
      <c r="CB188" s="153"/>
      <c r="CC188" s="153"/>
      <c r="CD188" s="153"/>
      <c r="CE188" s="153"/>
      <c r="CF188" s="153"/>
      <c r="CG188" s="153"/>
      <c r="CH188" s="153"/>
      <c r="CI188" s="153"/>
      <c r="CJ188" s="153"/>
      <c r="CK188" s="153"/>
      <c r="CL188" s="153"/>
      <c r="CM188" s="153"/>
      <c r="CN188" s="153"/>
      <c r="CO188" s="153"/>
      <c r="CP188" s="153"/>
      <c r="CQ188" s="153"/>
      <c r="CR188" s="153"/>
      <c r="CS188" s="153"/>
      <c r="CT188" s="153"/>
      <c r="CU188" s="153"/>
      <c r="CV188" s="153"/>
      <c r="CW188" s="153"/>
      <c r="CX188" s="153"/>
      <c r="CY188" s="153"/>
      <c r="CZ188" s="153"/>
      <c r="DA188" s="153"/>
      <c r="DB188" s="153"/>
      <c r="DC188" s="153"/>
      <c r="DD188" s="153"/>
      <c r="DE188" s="153"/>
      <c r="DF188" s="153"/>
      <c r="DG188" s="153"/>
      <c r="DH188" s="153"/>
      <c r="DI188" s="153"/>
      <c r="DJ188" s="153"/>
      <c r="DK188" s="153"/>
      <c r="DL188" s="153"/>
      <c r="DM188" s="153"/>
      <c r="DN188" s="153"/>
      <c r="DO188" s="153"/>
      <c r="DP188" s="153"/>
      <c r="DQ188" s="153"/>
      <c r="DR188" s="153"/>
      <c r="DS188" s="153"/>
      <c r="DT188" s="153"/>
      <c r="DU188" s="153"/>
      <c r="DV188" s="153"/>
      <c r="DW188" s="153"/>
      <c r="DX188" s="153"/>
      <c r="DY188" s="153"/>
      <c r="DZ188" s="153"/>
      <c r="EA188" s="153"/>
      <c r="EB188" s="153"/>
      <c r="EC188" s="153"/>
      <c r="ED188" s="153"/>
      <c r="EE188" s="153"/>
      <c r="EF188" s="153"/>
      <c r="EG188" s="153"/>
      <c r="EH188" s="153"/>
      <c r="EI188" s="153"/>
      <c r="EJ188" s="153"/>
      <c r="EK188" s="153"/>
      <c r="EL188" s="153"/>
      <c r="EM188" s="153"/>
    </row>
    <row r="189" spans="1:143" s="107" customFormat="1" ht="10.5" hidden="1" customHeight="1" outlineLevel="1">
      <c r="A189" s="1548">
        <v>164</v>
      </c>
      <c r="B189" s="1560" t="str">
        <f t="shared" si="4"/>
        <v/>
      </c>
      <c r="C189" s="161" t="str">
        <f>GasTime(GasAnalyser,'Horiba Data'!F182,'Horiba Data'!G182,'Testo, JUM &amp; MRU Data'!A183,'Thermo Data'!B182,HourOffset)</f>
        <v/>
      </c>
      <c r="D189" s="981" t="str">
        <f>IF(D$17=FALSE,"",GasData(GasAnalyser,'Horiba Data'!S182,'Testo, JUM &amp; MRU Data'!D183,'Thermo Data'!E182,'Testo, JUM &amp; MRU Data'!U183,GDF))</f>
        <v/>
      </c>
      <c r="E189" s="981" t="str">
        <f>IF(D189="","",Conc2(D189,D$9,MolVol,D$21,D$20,E$21,E$20))</f>
        <v/>
      </c>
      <c r="F189" s="981" t="str">
        <f>IF(F$17=FALSE,"",GasData(GasAnalyser,'Horiba Data'!AQ182,'Testo, JUM &amp; MRU Data'!E183,'Thermo Data'!F182,'Testo, JUM &amp; MRU Data'!V183,GDF))</f>
        <v/>
      </c>
      <c r="G189" s="981" t="str">
        <f>IF(F189="","",Conc2(F189,F$9,MolVol,F$21,F$20,G$21,G$20))</f>
        <v/>
      </c>
      <c r="H189" s="981" t="str">
        <f>IF(D$17=FALSE,"",IF(F$17=FALSE,"",GasData(GasAnalyser,'Horiba Data'!W182,'Testo, JUM &amp; MRU Data'!F183,'Thermo Data'!G182,'Testo, JUM &amp; MRU Data'!Y183,GDF)))</f>
        <v/>
      </c>
      <c r="I189" s="981" t="str">
        <f>IF(H189="","",Conc2(H189,H$9,MolVol,H$21,H$20,I$21,I$20))</f>
        <v/>
      </c>
      <c r="J189" s="981" t="str">
        <f>IF(J$17=FALSE,"",GasData(GasAnalyser,'Horiba Data'!AM182,'Testo, JUM &amp; MRU Data'!G183,'Thermo Data'!H182,'Testo, JUM &amp; MRU Data'!W183,GDF))</f>
        <v/>
      </c>
      <c r="K189" s="981" t="str">
        <f>IF(J189="","",Conc2(J189,J$9,MolVol,J$21,J$20,K$21,K$20))</f>
        <v/>
      </c>
      <c r="L189" s="981" t="str">
        <f>IF(L$17=FALSE,"",GasData(GasAnalyser,'Horiba Data'!AA182,'Testo, JUM &amp; MRU Data'!H183,'Thermo Data'!I182,'Testo, JUM &amp; MRU Data'!T183,GDF))</f>
        <v/>
      </c>
      <c r="M189" s="981" t="str">
        <f>IF(L189="","",Conc2(L189,L$9,MolVol,L$21,L$20,M$21,M$20))</f>
        <v/>
      </c>
      <c r="N189" s="981" t="str">
        <f>IF(N$17=FALSE,"",GasData(GasAnalyser,'Horiba Data'!AE182,'Testo, JUM &amp; MRU Data'!I183,'Thermo Data'!J182,'Testo, JUM &amp; MRU Data'!S183,GDF))</f>
        <v/>
      </c>
      <c r="O189" s="981" t="str">
        <f>IF(N189="","",Conc2(N189,N$9,MolVol,N$21,N$20,O$21,O$20))</f>
        <v/>
      </c>
      <c r="P189" s="981" t="str">
        <f>IF(P$17=FALSE,"",GasData(GasAnalyser,'Horiba Data'!AI182,'Testo, JUM &amp; MRU Data'!J183,'Thermo Data'!K182,'Testo, JUM &amp; MRU Data'!R183,GDF))</f>
        <v/>
      </c>
      <c r="Q189" s="981" t="str">
        <f>IF(P189="","",Conc2(P189,P$9,MolVol,P$21,P$20,Q$21,Q$20))</f>
        <v/>
      </c>
      <c r="R189" s="981" t="str">
        <f>IF(R$17=FALSE,"",JUMData('Testo, JUM &amp; MRU Data'!M183,$R$7))</f>
        <v/>
      </c>
      <c r="S189" s="982" t="str">
        <f>IF(R189="","",Conc2(R189,R$9,MolVol,R$21,R$20,S$21,S$20)/(1-Bws))</f>
        <v/>
      </c>
      <c r="T189" s="740"/>
      <c r="AR189" s="334"/>
      <c r="AS189" s="334"/>
      <c r="AT189" s="48"/>
      <c r="AU189" s="48"/>
      <c r="AV189" s="153"/>
      <c r="AW189" s="153"/>
      <c r="AX189" s="153"/>
      <c r="AY189" s="153"/>
      <c r="AZ189" s="153"/>
      <c r="BA189" s="153"/>
      <c r="BB189" s="153"/>
      <c r="BC189" s="153"/>
      <c r="BD189" s="153"/>
      <c r="BE189" s="153"/>
      <c r="BF189" s="153"/>
      <c r="BG189" s="153"/>
      <c r="BH189" s="153"/>
      <c r="BI189" s="153"/>
      <c r="BJ189" s="153"/>
      <c r="BK189" s="153"/>
      <c r="BL189" s="153"/>
      <c r="BM189" s="153"/>
      <c r="BN189" s="153"/>
      <c r="BO189" s="153"/>
      <c r="BP189" s="153"/>
      <c r="BQ189" s="153"/>
      <c r="BR189" s="153"/>
      <c r="BS189" s="153"/>
      <c r="BT189" s="153"/>
      <c r="BU189" s="153"/>
      <c r="BV189" s="153"/>
      <c r="BW189" s="153"/>
      <c r="BX189" s="153"/>
      <c r="BY189" s="153"/>
      <c r="BZ189" s="153"/>
      <c r="CA189" s="153"/>
      <c r="CB189" s="153"/>
      <c r="CC189" s="153"/>
      <c r="CD189" s="153"/>
      <c r="CE189" s="153"/>
      <c r="CF189" s="153"/>
      <c r="CG189" s="153"/>
      <c r="CH189" s="153"/>
      <c r="CI189" s="153"/>
      <c r="CJ189" s="153"/>
      <c r="CK189" s="153"/>
      <c r="CL189" s="153"/>
      <c r="CM189" s="153"/>
      <c r="CN189" s="153"/>
      <c r="CO189" s="153"/>
      <c r="CP189" s="153"/>
      <c r="CQ189" s="153"/>
      <c r="CR189" s="153"/>
      <c r="CS189" s="153"/>
      <c r="CT189" s="153"/>
      <c r="CU189" s="153"/>
      <c r="CV189" s="153"/>
      <c r="CW189" s="153"/>
      <c r="CX189" s="153"/>
      <c r="CY189" s="153"/>
      <c r="CZ189" s="153"/>
      <c r="DA189" s="153"/>
      <c r="DB189" s="153"/>
      <c r="DC189" s="153"/>
      <c r="DD189" s="153"/>
      <c r="DE189" s="153"/>
      <c r="DF189" s="153"/>
      <c r="DG189" s="153"/>
      <c r="DH189" s="153"/>
      <c r="DI189" s="153"/>
      <c r="DJ189" s="153"/>
      <c r="DK189" s="153"/>
      <c r="DL189" s="153"/>
      <c r="DM189" s="153"/>
      <c r="DN189" s="153"/>
      <c r="DO189" s="153"/>
      <c r="DP189" s="153"/>
      <c r="DQ189" s="153"/>
      <c r="DR189" s="153"/>
      <c r="DS189" s="153"/>
      <c r="DT189" s="153"/>
      <c r="DU189" s="153"/>
      <c r="DV189" s="153"/>
      <c r="DW189" s="153"/>
      <c r="DX189" s="153"/>
      <c r="DY189" s="153"/>
      <c r="DZ189" s="153"/>
      <c r="EA189" s="153"/>
      <c r="EB189" s="153"/>
      <c r="EC189" s="153"/>
      <c r="ED189" s="153"/>
      <c r="EE189" s="153"/>
      <c r="EF189" s="153"/>
      <c r="EG189" s="153"/>
      <c r="EH189" s="153"/>
      <c r="EI189" s="153"/>
      <c r="EJ189" s="153"/>
      <c r="EK189" s="153"/>
      <c r="EL189" s="153"/>
      <c r="EM189" s="153"/>
    </row>
    <row r="190" spans="1:143" s="107" customFormat="1" ht="10.5" hidden="1" customHeight="1" outlineLevel="1">
      <c r="A190" s="1548">
        <v>165</v>
      </c>
      <c r="B190" s="1560" t="str">
        <f t="shared" si="4"/>
        <v/>
      </c>
      <c r="C190" s="161" t="str">
        <f>GasTime(GasAnalyser,'Horiba Data'!F183,'Horiba Data'!G183,'Testo, JUM &amp; MRU Data'!A184,'Thermo Data'!B183,HourOffset)</f>
        <v/>
      </c>
      <c r="D190" s="981" t="str">
        <f>IF(D$17=FALSE,"",GasData(GasAnalyser,'Horiba Data'!S183,'Testo, JUM &amp; MRU Data'!D184,'Thermo Data'!E183,'Testo, JUM &amp; MRU Data'!U184,GDF))</f>
        <v/>
      </c>
      <c r="E190" s="981" t="str">
        <f>IF(D190="","",Conc2(D190,D$9,MolVol,D$21,D$20,E$21,E$20))</f>
        <v/>
      </c>
      <c r="F190" s="981" t="str">
        <f>IF(F$17=FALSE,"",GasData(GasAnalyser,'Horiba Data'!AQ183,'Testo, JUM &amp; MRU Data'!E184,'Thermo Data'!F183,'Testo, JUM &amp; MRU Data'!V184,GDF))</f>
        <v/>
      </c>
      <c r="G190" s="981" t="str">
        <f>IF(F190="","",Conc2(F190,F$9,MolVol,F$21,F$20,G$21,G$20))</f>
        <v/>
      </c>
      <c r="H190" s="981" t="str">
        <f>IF(D$17=FALSE,"",IF(F$17=FALSE,"",GasData(GasAnalyser,'Horiba Data'!W183,'Testo, JUM &amp; MRU Data'!F184,'Thermo Data'!G183,'Testo, JUM &amp; MRU Data'!Y184,GDF)))</f>
        <v/>
      </c>
      <c r="I190" s="981" t="str">
        <f>IF(H190="","",Conc2(H190,H$9,MolVol,H$21,H$20,I$21,I$20))</f>
        <v/>
      </c>
      <c r="J190" s="981" t="str">
        <f>IF(J$17=FALSE,"",GasData(GasAnalyser,'Horiba Data'!AM183,'Testo, JUM &amp; MRU Data'!G184,'Thermo Data'!H183,'Testo, JUM &amp; MRU Data'!W184,GDF))</f>
        <v/>
      </c>
      <c r="K190" s="981" t="str">
        <f>IF(J190="","",Conc2(J190,J$9,MolVol,J$21,J$20,K$21,K$20))</f>
        <v/>
      </c>
      <c r="L190" s="981" t="str">
        <f>IF(L$17=FALSE,"",GasData(GasAnalyser,'Horiba Data'!AA183,'Testo, JUM &amp; MRU Data'!H184,'Thermo Data'!I183,'Testo, JUM &amp; MRU Data'!T184,GDF))</f>
        <v/>
      </c>
      <c r="M190" s="981" t="str">
        <f>IF(L190="","",Conc2(L190,L$9,MolVol,L$21,L$20,M$21,M$20))</f>
        <v/>
      </c>
      <c r="N190" s="981" t="str">
        <f>IF(N$17=FALSE,"",GasData(GasAnalyser,'Horiba Data'!AE183,'Testo, JUM &amp; MRU Data'!I184,'Thermo Data'!J183,'Testo, JUM &amp; MRU Data'!S184,GDF))</f>
        <v/>
      </c>
      <c r="O190" s="981" t="str">
        <f>IF(N190="","",Conc2(N190,N$9,MolVol,N$21,N$20,O$21,O$20))</f>
        <v/>
      </c>
      <c r="P190" s="981" t="str">
        <f>IF(P$17=FALSE,"",GasData(GasAnalyser,'Horiba Data'!AI183,'Testo, JUM &amp; MRU Data'!J184,'Thermo Data'!K183,'Testo, JUM &amp; MRU Data'!R184,GDF))</f>
        <v/>
      </c>
      <c r="Q190" s="981" t="str">
        <f>IF(P190="","",Conc2(P190,P$9,MolVol,P$21,P$20,Q$21,Q$20))</f>
        <v/>
      </c>
      <c r="R190" s="981" t="str">
        <f>IF(R$17=FALSE,"",JUMData('Testo, JUM &amp; MRU Data'!M184,$R$7))</f>
        <v/>
      </c>
      <c r="S190" s="982" t="str">
        <f>IF(R190="","",Conc2(R190,R$9,MolVol,R$21,R$20,S$21,S$20)/(1-Bws))</f>
        <v/>
      </c>
      <c r="T190" s="740"/>
      <c r="AR190" s="334"/>
      <c r="AS190" s="334"/>
      <c r="AT190" s="48"/>
      <c r="AU190" s="48"/>
      <c r="AV190" s="153"/>
      <c r="AW190" s="153"/>
      <c r="AX190" s="153"/>
      <c r="AY190" s="153"/>
      <c r="AZ190" s="153"/>
      <c r="BA190" s="153"/>
      <c r="BB190" s="153"/>
      <c r="BC190" s="153"/>
      <c r="BD190" s="153"/>
      <c r="BE190" s="153"/>
      <c r="BF190" s="153"/>
      <c r="BG190" s="153"/>
      <c r="BH190" s="153"/>
      <c r="BI190" s="153"/>
      <c r="BJ190" s="153"/>
      <c r="BK190" s="153"/>
      <c r="BL190" s="153"/>
      <c r="BM190" s="153"/>
      <c r="BN190" s="153"/>
      <c r="BO190" s="153"/>
      <c r="BP190" s="153"/>
      <c r="BQ190" s="153"/>
      <c r="BR190" s="153"/>
      <c r="BS190" s="153"/>
      <c r="BT190" s="153"/>
      <c r="BU190" s="153"/>
      <c r="BV190" s="153"/>
      <c r="BW190" s="153"/>
      <c r="BX190" s="153"/>
      <c r="BY190" s="153"/>
      <c r="BZ190" s="153"/>
      <c r="CA190" s="153"/>
      <c r="CB190" s="153"/>
      <c r="CC190" s="153"/>
      <c r="CD190" s="153"/>
      <c r="CE190" s="153"/>
      <c r="CF190" s="153"/>
      <c r="CG190" s="153"/>
      <c r="CH190" s="153"/>
      <c r="CI190" s="153"/>
      <c r="CJ190" s="153"/>
      <c r="CK190" s="153"/>
      <c r="CL190" s="153"/>
      <c r="CM190" s="153"/>
      <c r="CN190" s="153"/>
      <c r="CO190" s="153"/>
      <c r="CP190" s="153"/>
      <c r="CQ190" s="153"/>
      <c r="CR190" s="153"/>
      <c r="CS190" s="153"/>
      <c r="CT190" s="153"/>
      <c r="CU190" s="153"/>
      <c r="CV190" s="153"/>
      <c r="CW190" s="153"/>
      <c r="CX190" s="153"/>
      <c r="CY190" s="153"/>
      <c r="CZ190" s="153"/>
      <c r="DA190" s="153"/>
      <c r="DB190" s="153"/>
      <c r="DC190" s="153"/>
      <c r="DD190" s="153"/>
      <c r="DE190" s="153"/>
      <c r="DF190" s="153"/>
      <c r="DG190" s="153"/>
      <c r="DH190" s="153"/>
      <c r="DI190" s="153"/>
      <c r="DJ190" s="153"/>
      <c r="DK190" s="153"/>
      <c r="DL190" s="153"/>
      <c r="DM190" s="153"/>
      <c r="DN190" s="153"/>
      <c r="DO190" s="153"/>
      <c r="DP190" s="153"/>
      <c r="DQ190" s="153"/>
      <c r="DR190" s="153"/>
      <c r="DS190" s="153"/>
      <c r="DT190" s="153"/>
      <c r="DU190" s="153"/>
      <c r="DV190" s="153"/>
      <c r="DW190" s="153"/>
      <c r="DX190" s="153"/>
      <c r="DY190" s="153"/>
      <c r="DZ190" s="153"/>
      <c r="EA190" s="153"/>
      <c r="EB190" s="153"/>
      <c r="EC190" s="153"/>
      <c r="ED190" s="153"/>
      <c r="EE190" s="153"/>
      <c r="EF190" s="153"/>
      <c r="EG190" s="153"/>
      <c r="EH190" s="153"/>
      <c r="EI190" s="153"/>
      <c r="EJ190" s="153"/>
      <c r="EK190" s="153"/>
      <c r="EL190" s="153"/>
      <c r="EM190" s="153"/>
    </row>
    <row r="191" spans="1:143" s="107" customFormat="1" ht="10.5" hidden="1" customHeight="1" outlineLevel="1">
      <c r="A191" s="1548">
        <v>166</v>
      </c>
      <c r="B191" s="1560" t="str">
        <f t="shared" si="4"/>
        <v/>
      </c>
      <c r="C191" s="161" t="str">
        <f>GasTime(GasAnalyser,'Horiba Data'!F184,'Horiba Data'!G184,'Testo, JUM &amp; MRU Data'!A185,'Thermo Data'!B184,HourOffset)</f>
        <v/>
      </c>
      <c r="D191" s="981" t="str">
        <f>IF(D$17=FALSE,"",GasData(GasAnalyser,'Horiba Data'!S184,'Testo, JUM &amp; MRU Data'!D185,'Thermo Data'!E184,'Testo, JUM &amp; MRU Data'!U185,GDF))</f>
        <v/>
      </c>
      <c r="E191" s="981" t="str">
        <f>IF(D191="","",Conc2(D191,D$9,MolVol,D$21,D$20,E$21,E$20))</f>
        <v/>
      </c>
      <c r="F191" s="981" t="str">
        <f>IF(F$17=FALSE,"",GasData(GasAnalyser,'Horiba Data'!AQ184,'Testo, JUM &amp; MRU Data'!E185,'Thermo Data'!F184,'Testo, JUM &amp; MRU Data'!V185,GDF))</f>
        <v/>
      </c>
      <c r="G191" s="981" t="str">
        <f>IF(F191="","",Conc2(F191,F$9,MolVol,F$21,F$20,G$21,G$20))</f>
        <v/>
      </c>
      <c r="H191" s="981" t="str">
        <f>IF(D$17=FALSE,"",IF(F$17=FALSE,"",GasData(GasAnalyser,'Horiba Data'!W184,'Testo, JUM &amp; MRU Data'!F185,'Thermo Data'!G184,'Testo, JUM &amp; MRU Data'!Y185,GDF)))</f>
        <v/>
      </c>
      <c r="I191" s="981" t="str">
        <f>IF(H191="","",Conc2(H191,H$9,MolVol,H$21,H$20,I$21,I$20))</f>
        <v/>
      </c>
      <c r="J191" s="981" t="str">
        <f>IF(J$17=FALSE,"",GasData(GasAnalyser,'Horiba Data'!AM184,'Testo, JUM &amp; MRU Data'!G185,'Thermo Data'!H184,'Testo, JUM &amp; MRU Data'!W185,GDF))</f>
        <v/>
      </c>
      <c r="K191" s="981" t="str">
        <f>IF(J191="","",Conc2(J191,J$9,MolVol,J$21,J$20,K$21,K$20))</f>
        <v/>
      </c>
      <c r="L191" s="981" t="str">
        <f>IF(L$17=FALSE,"",GasData(GasAnalyser,'Horiba Data'!AA184,'Testo, JUM &amp; MRU Data'!H185,'Thermo Data'!I184,'Testo, JUM &amp; MRU Data'!T185,GDF))</f>
        <v/>
      </c>
      <c r="M191" s="981" t="str">
        <f>IF(L191="","",Conc2(L191,L$9,MolVol,L$21,L$20,M$21,M$20))</f>
        <v/>
      </c>
      <c r="N191" s="981" t="str">
        <f>IF(N$17=FALSE,"",GasData(GasAnalyser,'Horiba Data'!AE184,'Testo, JUM &amp; MRU Data'!I185,'Thermo Data'!J184,'Testo, JUM &amp; MRU Data'!S185,GDF))</f>
        <v/>
      </c>
      <c r="O191" s="981" t="str">
        <f>IF(N191="","",Conc2(N191,N$9,MolVol,N$21,N$20,O$21,O$20))</f>
        <v/>
      </c>
      <c r="P191" s="981" t="str">
        <f>IF(P$17=FALSE,"",GasData(GasAnalyser,'Horiba Data'!AI184,'Testo, JUM &amp; MRU Data'!J185,'Thermo Data'!K184,'Testo, JUM &amp; MRU Data'!R185,GDF))</f>
        <v/>
      </c>
      <c r="Q191" s="981" t="str">
        <f>IF(P191="","",Conc2(P191,P$9,MolVol,P$21,P$20,Q$21,Q$20))</f>
        <v/>
      </c>
      <c r="R191" s="981" t="str">
        <f>IF(R$17=FALSE,"",JUMData('Testo, JUM &amp; MRU Data'!M185,$R$7))</f>
        <v/>
      </c>
      <c r="S191" s="982" t="str">
        <f>IF(R191="","",Conc2(R191,R$9,MolVol,R$21,R$20,S$21,S$20)/(1-Bws))</f>
        <v/>
      </c>
      <c r="T191" s="740"/>
      <c r="AR191" s="334"/>
      <c r="AS191" s="334"/>
      <c r="AT191" s="48"/>
      <c r="AU191" s="48"/>
      <c r="AV191" s="153"/>
      <c r="AW191" s="153"/>
      <c r="AX191" s="153"/>
      <c r="AY191" s="153"/>
      <c r="AZ191" s="153"/>
      <c r="BA191" s="153"/>
      <c r="BB191" s="153"/>
      <c r="BC191" s="153"/>
      <c r="BD191" s="153"/>
      <c r="BE191" s="153"/>
      <c r="BF191" s="153"/>
      <c r="BG191" s="153"/>
      <c r="BH191" s="153"/>
      <c r="BI191" s="153"/>
      <c r="BJ191" s="153"/>
      <c r="BK191" s="153"/>
      <c r="BL191" s="153"/>
      <c r="BM191" s="153"/>
      <c r="BN191" s="153"/>
      <c r="BO191" s="153"/>
      <c r="BP191" s="153"/>
      <c r="BQ191" s="153"/>
      <c r="BR191" s="153"/>
      <c r="BS191" s="153"/>
      <c r="BT191" s="153"/>
      <c r="BU191" s="153"/>
      <c r="BV191" s="153"/>
      <c r="BW191" s="153"/>
      <c r="BX191" s="153"/>
      <c r="BY191" s="153"/>
      <c r="BZ191" s="153"/>
      <c r="CA191" s="153"/>
      <c r="CB191" s="153"/>
      <c r="CC191" s="153"/>
      <c r="CD191" s="153"/>
      <c r="CE191" s="153"/>
      <c r="CF191" s="153"/>
      <c r="CG191" s="153"/>
      <c r="CH191" s="153"/>
      <c r="CI191" s="153"/>
      <c r="CJ191" s="153"/>
      <c r="CK191" s="153"/>
      <c r="CL191" s="153"/>
      <c r="CM191" s="153"/>
      <c r="CN191" s="153"/>
      <c r="CO191" s="153"/>
      <c r="CP191" s="153"/>
      <c r="CQ191" s="153"/>
      <c r="CR191" s="153"/>
      <c r="CS191" s="153"/>
      <c r="CT191" s="153"/>
      <c r="CU191" s="153"/>
      <c r="CV191" s="153"/>
      <c r="CW191" s="153"/>
      <c r="CX191" s="153"/>
      <c r="CY191" s="153"/>
      <c r="CZ191" s="153"/>
      <c r="DA191" s="153"/>
      <c r="DB191" s="153"/>
      <c r="DC191" s="153"/>
      <c r="DD191" s="153"/>
      <c r="DE191" s="153"/>
      <c r="DF191" s="153"/>
      <c r="DG191" s="153"/>
      <c r="DH191" s="153"/>
      <c r="DI191" s="153"/>
      <c r="DJ191" s="153"/>
      <c r="DK191" s="153"/>
      <c r="DL191" s="153"/>
      <c r="DM191" s="153"/>
      <c r="DN191" s="153"/>
      <c r="DO191" s="153"/>
      <c r="DP191" s="153"/>
      <c r="DQ191" s="153"/>
      <c r="DR191" s="153"/>
      <c r="DS191" s="153"/>
      <c r="DT191" s="153"/>
      <c r="DU191" s="153"/>
      <c r="DV191" s="153"/>
      <c r="DW191" s="153"/>
      <c r="DX191" s="153"/>
      <c r="DY191" s="153"/>
      <c r="DZ191" s="153"/>
      <c r="EA191" s="153"/>
      <c r="EB191" s="153"/>
      <c r="EC191" s="153"/>
      <c r="ED191" s="153"/>
      <c r="EE191" s="153"/>
      <c r="EF191" s="153"/>
      <c r="EG191" s="153"/>
      <c r="EH191" s="153"/>
      <c r="EI191" s="153"/>
      <c r="EJ191" s="153"/>
      <c r="EK191" s="153"/>
      <c r="EL191" s="153"/>
      <c r="EM191" s="153"/>
    </row>
    <row r="192" spans="1:143" s="107" customFormat="1" ht="10.5" hidden="1" customHeight="1" outlineLevel="1">
      <c r="A192" s="1548">
        <v>167</v>
      </c>
      <c r="B192" s="1560" t="str">
        <f t="shared" si="4"/>
        <v/>
      </c>
      <c r="C192" s="161" t="str">
        <f>GasTime(GasAnalyser,'Horiba Data'!F185,'Horiba Data'!G185,'Testo, JUM &amp; MRU Data'!A186,'Thermo Data'!B185,HourOffset)</f>
        <v/>
      </c>
      <c r="D192" s="981" t="str">
        <f>IF(D$17=FALSE,"",GasData(GasAnalyser,'Horiba Data'!S185,'Testo, JUM &amp; MRU Data'!D186,'Thermo Data'!E185,'Testo, JUM &amp; MRU Data'!U186,GDF))</f>
        <v/>
      </c>
      <c r="E192" s="981" t="str">
        <f>IF(D192="","",Conc2(D192,D$9,MolVol,D$21,D$20,E$21,E$20))</f>
        <v/>
      </c>
      <c r="F192" s="981" t="str">
        <f>IF(F$17=FALSE,"",GasData(GasAnalyser,'Horiba Data'!AQ185,'Testo, JUM &amp; MRU Data'!E186,'Thermo Data'!F185,'Testo, JUM &amp; MRU Data'!V186,GDF))</f>
        <v/>
      </c>
      <c r="G192" s="981" t="str">
        <f>IF(F192="","",Conc2(F192,F$9,MolVol,F$21,F$20,G$21,G$20))</f>
        <v/>
      </c>
      <c r="H192" s="981" t="str">
        <f>IF(D$17=FALSE,"",IF(F$17=FALSE,"",GasData(GasAnalyser,'Horiba Data'!W185,'Testo, JUM &amp; MRU Data'!F186,'Thermo Data'!G185,'Testo, JUM &amp; MRU Data'!Y186,GDF)))</f>
        <v/>
      </c>
      <c r="I192" s="981" t="str">
        <f>IF(H192="","",Conc2(H192,H$9,MolVol,H$21,H$20,I$21,I$20))</f>
        <v/>
      </c>
      <c r="J192" s="981" t="str">
        <f>IF(J$17=FALSE,"",GasData(GasAnalyser,'Horiba Data'!AM185,'Testo, JUM &amp; MRU Data'!G186,'Thermo Data'!H185,'Testo, JUM &amp; MRU Data'!W186,GDF))</f>
        <v/>
      </c>
      <c r="K192" s="981" t="str">
        <f>IF(J192="","",Conc2(J192,J$9,MolVol,J$21,J$20,K$21,K$20))</f>
        <v/>
      </c>
      <c r="L192" s="981" t="str">
        <f>IF(L$17=FALSE,"",GasData(GasAnalyser,'Horiba Data'!AA185,'Testo, JUM &amp; MRU Data'!H186,'Thermo Data'!I185,'Testo, JUM &amp; MRU Data'!T186,GDF))</f>
        <v/>
      </c>
      <c r="M192" s="981" t="str">
        <f>IF(L192="","",Conc2(L192,L$9,MolVol,L$21,L$20,M$21,M$20))</f>
        <v/>
      </c>
      <c r="N192" s="981" t="str">
        <f>IF(N$17=FALSE,"",GasData(GasAnalyser,'Horiba Data'!AE185,'Testo, JUM &amp; MRU Data'!I186,'Thermo Data'!J185,'Testo, JUM &amp; MRU Data'!S186,GDF))</f>
        <v/>
      </c>
      <c r="O192" s="981" t="str">
        <f>IF(N192="","",Conc2(N192,N$9,MolVol,N$21,N$20,O$21,O$20))</f>
        <v/>
      </c>
      <c r="P192" s="981" t="str">
        <f>IF(P$17=FALSE,"",GasData(GasAnalyser,'Horiba Data'!AI185,'Testo, JUM &amp; MRU Data'!J186,'Thermo Data'!K185,'Testo, JUM &amp; MRU Data'!R186,GDF))</f>
        <v/>
      </c>
      <c r="Q192" s="981" t="str">
        <f>IF(P192="","",Conc2(P192,P$9,MolVol,P$21,P$20,Q$21,Q$20))</f>
        <v/>
      </c>
      <c r="R192" s="981" t="str">
        <f>IF(R$17=FALSE,"",JUMData('Testo, JUM &amp; MRU Data'!M186,$R$7))</f>
        <v/>
      </c>
      <c r="S192" s="982" t="str">
        <f>IF(R192="","",Conc2(R192,R$9,MolVol,R$21,R$20,S$21,S$20)/(1-Bws))</f>
        <v/>
      </c>
      <c r="T192" s="740"/>
      <c r="AR192" s="334"/>
      <c r="AS192" s="334"/>
      <c r="AT192" s="48"/>
      <c r="AU192" s="48"/>
      <c r="AV192" s="153"/>
      <c r="AW192" s="153"/>
      <c r="AX192" s="153"/>
      <c r="AY192" s="153"/>
      <c r="AZ192" s="153"/>
      <c r="BA192" s="153"/>
      <c r="BB192" s="153"/>
      <c r="BC192" s="153"/>
      <c r="BD192" s="153"/>
      <c r="BE192" s="153"/>
      <c r="BF192" s="153"/>
      <c r="BG192" s="153"/>
      <c r="BH192" s="153"/>
      <c r="BI192" s="153"/>
      <c r="BJ192" s="153"/>
      <c r="BK192" s="153"/>
      <c r="BL192" s="153"/>
      <c r="BM192" s="153"/>
      <c r="BN192" s="153"/>
      <c r="BO192" s="153"/>
      <c r="BP192" s="153"/>
      <c r="BQ192" s="153"/>
      <c r="BR192" s="153"/>
      <c r="BS192" s="153"/>
      <c r="BT192" s="153"/>
      <c r="BU192" s="153"/>
      <c r="BV192" s="153"/>
      <c r="BW192" s="153"/>
      <c r="BX192" s="153"/>
      <c r="BY192" s="153"/>
      <c r="BZ192" s="153"/>
      <c r="CA192" s="153"/>
      <c r="CB192" s="153"/>
      <c r="CC192" s="153"/>
      <c r="CD192" s="153"/>
      <c r="CE192" s="153"/>
      <c r="CF192" s="153"/>
      <c r="CG192" s="153"/>
      <c r="CH192" s="153"/>
      <c r="CI192" s="153"/>
      <c r="CJ192" s="153"/>
      <c r="CK192" s="153"/>
      <c r="CL192" s="153"/>
      <c r="CM192" s="153"/>
      <c r="CN192" s="153"/>
      <c r="CO192" s="153"/>
      <c r="CP192" s="153"/>
      <c r="CQ192" s="153"/>
      <c r="CR192" s="153"/>
      <c r="CS192" s="153"/>
      <c r="CT192" s="153"/>
      <c r="CU192" s="153"/>
      <c r="CV192" s="153"/>
      <c r="CW192" s="153"/>
      <c r="CX192" s="153"/>
      <c r="CY192" s="153"/>
      <c r="CZ192" s="153"/>
      <c r="DA192" s="153"/>
      <c r="DB192" s="153"/>
      <c r="DC192" s="153"/>
      <c r="DD192" s="153"/>
      <c r="DE192" s="153"/>
      <c r="DF192" s="153"/>
      <c r="DG192" s="153"/>
      <c r="DH192" s="153"/>
      <c r="DI192" s="153"/>
      <c r="DJ192" s="153"/>
      <c r="DK192" s="153"/>
      <c r="DL192" s="153"/>
      <c r="DM192" s="153"/>
      <c r="DN192" s="153"/>
      <c r="DO192" s="153"/>
      <c r="DP192" s="153"/>
      <c r="DQ192" s="153"/>
      <c r="DR192" s="153"/>
      <c r="DS192" s="153"/>
      <c r="DT192" s="153"/>
      <c r="DU192" s="153"/>
      <c r="DV192" s="153"/>
      <c r="DW192" s="153"/>
      <c r="DX192" s="153"/>
      <c r="DY192" s="153"/>
      <c r="DZ192" s="153"/>
      <c r="EA192" s="153"/>
      <c r="EB192" s="153"/>
      <c r="EC192" s="153"/>
      <c r="ED192" s="153"/>
      <c r="EE192" s="153"/>
      <c r="EF192" s="153"/>
      <c r="EG192" s="153"/>
      <c r="EH192" s="153"/>
      <c r="EI192" s="153"/>
      <c r="EJ192" s="153"/>
      <c r="EK192" s="153"/>
      <c r="EL192" s="153"/>
      <c r="EM192" s="153"/>
    </row>
    <row r="193" spans="1:143" s="107" customFormat="1" ht="10.5" hidden="1" customHeight="1" outlineLevel="1">
      <c r="A193" s="1548">
        <v>168</v>
      </c>
      <c r="B193" s="1560" t="str">
        <f t="shared" si="4"/>
        <v/>
      </c>
      <c r="C193" s="161" t="str">
        <f>GasTime(GasAnalyser,'Horiba Data'!F186,'Horiba Data'!G186,'Testo, JUM &amp; MRU Data'!A187,'Thermo Data'!B186,HourOffset)</f>
        <v/>
      </c>
      <c r="D193" s="981" t="str">
        <f>IF(D$17=FALSE,"",GasData(GasAnalyser,'Horiba Data'!S186,'Testo, JUM &amp; MRU Data'!D187,'Thermo Data'!E186,'Testo, JUM &amp; MRU Data'!U187,GDF))</f>
        <v/>
      </c>
      <c r="E193" s="981" t="str">
        <f>IF(D193="","",Conc2(D193,D$9,MolVol,D$21,D$20,E$21,E$20))</f>
        <v/>
      </c>
      <c r="F193" s="981" t="str">
        <f>IF(F$17=FALSE,"",GasData(GasAnalyser,'Horiba Data'!AQ186,'Testo, JUM &amp; MRU Data'!E187,'Thermo Data'!F186,'Testo, JUM &amp; MRU Data'!V187,GDF))</f>
        <v/>
      </c>
      <c r="G193" s="981" t="str">
        <f>IF(F193="","",Conc2(F193,F$9,MolVol,F$21,F$20,G$21,G$20))</f>
        <v/>
      </c>
      <c r="H193" s="981" t="str">
        <f>IF(D$17=FALSE,"",IF(F$17=FALSE,"",GasData(GasAnalyser,'Horiba Data'!W186,'Testo, JUM &amp; MRU Data'!F187,'Thermo Data'!G186,'Testo, JUM &amp; MRU Data'!Y187,GDF)))</f>
        <v/>
      </c>
      <c r="I193" s="981" t="str">
        <f>IF(H193="","",Conc2(H193,H$9,MolVol,H$21,H$20,I$21,I$20))</f>
        <v/>
      </c>
      <c r="J193" s="981" t="str">
        <f>IF(J$17=FALSE,"",GasData(GasAnalyser,'Horiba Data'!AM186,'Testo, JUM &amp; MRU Data'!G187,'Thermo Data'!H186,'Testo, JUM &amp; MRU Data'!W187,GDF))</f>
        <v/>
      </c>
      <c r="K193" s="981" t="str">
        <f>IF(J193="","",Conc2(J193,J$9,MolVol,J$21,J$20,K$21,K$20))</f>
        <v/>
      </c>
      <c r="L193" s="981" t="str">
        <f>IF(L$17=FALSE,"",GasData(GasAnalyser,'Horiba Data'!AA186,'Testo, JUM &amp; MRU Data'!H187,'Thermo Data'!I186,'Testo, JUM &amp; MRU Data'!T187,GDF))</f>
        <v/>
      </c>
      <c r="M193" s="981" t="str">
        <f>IF(L193="","",Conc2(L193,L$9,MolVol,L$21,L$20,M$21,M$20))</f>
        <v/>
      </c>
      <c r="N193" s="981" t="str">
        <f>IF(N$17=FALSE,"",GasData(GasAnalyser,'Horiba Data'!AE186,'Testo, JUM &amp; MRU Data'!I187,'Thermo Data'!J186,'Testo, JUM &amp; MRU Data'!S187,GDF))</f>
        <v/>
      </c>
      <c r="O193" s="981" t="str">
        <f>IF(N193="","",Conc2(N193,N$9,MolVol,N$21,N$20,O$21,O$20))</f>
        <v/>
      </c>
      <c r="P193" s="981" t="str">
        <f>IF(P$17=FALSE,"",GasData(GasAnalyser,'Horiba Data'!AI186,'Testo, JUM &amp; MRU Data'!J187,'Thermo Data'!K186,'Testo, JUM &amp; MRU Data'!R187,GDF))</f>
        <v/>
      </c>
      <c r="Q193" s="981" t="str">
        <f>IF(P193="","",Conc2(P193,P$9,MolVol,P$21,P$20,Q$21,Q$20))</f>
        <v/>
      </c>
      <c r="R193" s="981" t="str">
        <f>IF(R$17=FALSE,"",JUMData('Testo, JUM &amp; MRU Data'!M187,$R$7))</f>
        <v/>
      </c>
      <c r="S193" s="982" t="str">
        <f>IF(R193="","",Conc2(R193,R$9,MolVol,R$21,R$20,S$21,S$20)/(1-Bws))</f>
        <v/>
      </c>
      <c r="T193" s="740"/>
      <c r="AR193" s="334"/>
      <c r="AS193" s="334"/>
      <c r="AT193" s="48"/>
      <c r="AU193" s="48"/>
      <c r="AV193" s="153"/>
      <c r="AW193" s="153"/>
      <c r="AX193" s="153"/>
      <c r="AY193" s="153"/>
      <c r="AZ193" s="153"/>
      <c r="BA193" s="153"/>
      <c r="BB193" s="153"/>
      <c r="BC193" s="153"/>
      <c r="BD193" s="153"/>
      <c r="BE193" s="153"/>
      <c r="BF193" s="153"/>
      <c r="BG193" s="153"/>
      <c r="BH193" s="153"/>
      <c r="BI193" s="153"/>
      <c r="BJ193" s="153"/>
      <c r="BK193" s="153"/>
      <c r="BL193" s="153"/>
      <c r="BM193" s="153"/>
      <c r="BN193" s="153"/>
      <c r="BO193" s="153"/>
      <c r="BP193" s="153"/>
      <c r="BQ193" s="153"/>
      <c r="BR193" s="153"/>
      <c r="BS193" s="153"/>
      <c r="BT193" s="153"/>
      <c r="BU193" s="153"/>
      <c r="BV193" s="153"/>
      <c r="BW193" s="153"/>
      <c r="BX193" s="153"/>
      <c r="BY193" s="153"/>
      <c r="BZ193" s="153"/>
      <c r="CA193" s="153"/>
      <c r="CB193" s="153"/>
      <c r="CC193" s="153"/>
      <c r="CD193" s="153"/>
      <c r="CE193" s="153"/>
      <c r="CF193" s="153"/>
      <c r="CG193" s="153"/>
      <c r="CH193" s="153"/>
      <c r="CI193" s="153"/>
      <c r="CJ193" s="153"/>
      <c r="CK193" s="153"/>
      <c r="CL193" s="153"/>
      <c r="CM193" s="153"/>
      <c r="CN193" s="153"/>
      <c r="CO193" s="153"/>
      <c r="CP193" s="153"/>
      <c r="CQ193" s="153"/>
      <c r="CR193" s="153"/>
      <c r="CS193" s="153"/>
      <c r="CT193" s="153"/>
      <c r="CU193" s="153"/>
      <c r="CV193" s="153"/>
      <c r="CW193" s="153"/>
      <c r="CX193" s="153"/>
      <c r="CY193" s="153"/>
      <c r="CZ193" s="153"/>
      <c r="DA193" s="153"/>
      <c r="DB193" s="153"/>
      <c r="DC193" s="153"/>
      <c r="DD193" s="153"/>
      <c r="DE193" s="153"/>
      <c r="DF193" s="153"/>
      <c r="DG193" s="153"/>
      <c r="DH193" s="153"/>
      <c r="DI193" s="153"/>
      <c r="DJ193" s="153"/>
      <c r="DK193" s="153"/>
      <c r="DL193" s="153"/>
      <c r="DM193" s="153"/>
      <c r="DN193" s="153"/>
      <c r="DO193" s="153"/>
      <c r="DP193" s="153"/>
      <c r="DQ193" s="153"/>
      <c r="DR193" s="153"/>
      <c r="DS193" s="153"/>
      <c r="DT193" s="153"/>
      <c r="DU193" s="153"/>
      <c r="DV193" s="153"/>
      <c r="DW193" s="153"/>
      <c r="DX193" s="153"/>
      <c r="DY193" s="153"/>
      <c r="DZ193" s="153"/>
      <c r="EA193" s="153"/>
      <c r="EB193" s="153"/>
      <c r="EC193" s="153"/>
      <c r="ED193" s="153"/>
      <c r="EE193" s="153"/>
      <c r="EF193" s="153"/>
      <c r="EG193" s="153"/>
      <c r="EH193" s="153"/>
      <c r="EI193" s="153"/>
      <c r="EJ193" s="153"/>
      <c r="EK193" s="153"/>
      <c r="EL193" s="153"/>
      <c r="EM193" s="153"/>
    </row>
    <row r="194" spans="1:143" s="107" customFormat="1" ht="10.5" hidden="1" customHeight="1" outlineLevel="1">
      <c r="A194" s="1548">
        <v>169</v>
      </c>
      <c r="B194" s="1560" t="str">
        <f t="shared" si="4"/>
        <v/>
      </c>
      <c r="C194" s="161" t="str">
        <f>GasTime(GasAnalyser,'Horiba Data'!F187,'Horiba Data'!G187,'Testo, JUM &amp; MRU Data'!A188,'Thermo Data'!B187,HourOffset)</f>
        <v/>
      </c>
      <c r="D194" s="981" t="str">
        <f>IF(D$17=FALSE,"",GasData(GasAnalyser,'Horiba Data'!S187,'Testo, JUM &amp; MRU Data'!D188,'Thermo Data'!E187,'Testo, JUM &amp; MRU Data'!U188,GDF))</f>
        <v/>
      </c>
      <c r="E194" s="981" t="str">
        <f>IF(D194="","",Conc2(D194,D$9,MolVol,D$21,D$20,E$21,E$20))</f>
        <v/>
      </c>
      <c r="F194" s="981" t="str">
        <f>IF(F$17=FALSE,"",GasData(GasAnalyser,'Horiba Data'!AQ187,'Testo, JUM &amp; MRU Data'!E188,'Thermo Data'!F187,'Testo, JUM &amp; MRU Data'!V188,GDF))</f>
        <v/>
      </c>
      <c r="G194" s="981" t="str">
        <f>IF(F194="","",Conc2(F194,F$9,MolVol,F$21,F$20,G$21,G$20))</f>
        <v/>
      </c>
      <c r="H194" s="981" t="str">
        <f>IF(D$17=FALSE,"",IF(F$17=FALSE,"",GasData(GasAnalyser,'Horiba Data'!W187,'Testo, JUM &amp; MRU Data'!F188,'Thermo Data'!G187,'Testo, JUM &amp; MRU Data'!Y188,GDF)))</f>
        <v/>
      </c>
      <c r="I194" s="981" t="str">
        <f>IF(H194="","",Conc2(H194,H$9,MolVol,H$21,H$20,I$21,I$20))</f>
        <v/>
      </c>
      <c r="J194" s="981" t="str">
        <f>IF(J$17=FALSE,"",GasData(GasAnalyser,'Horiba Data'!AM187,'Testo, JUM &amp; MRU Data'!G188,'Thermo Data'!H187,'Testo, JUM &amp; MRU Data'!W188,GDF))</f>
        <v/>
      </c>
      <c r="K194" s="981" t="str">
        <f>IF(J194="","",Conc2(J194,J$9,MolVol,J$21,J$20,K$21,K$20))</f>
        <v/>
      </c>
      <c r="L194" s="981" t="str">
        <f>IF(L$17=FALSE,"",GasData(GasAnalyser,'Horiba Data'!AA187,'Testo, JUM &amp; MRU Data'!H188,'Thermo Data'!I187,'Testo, JUM &amp; MRU Data'!T188,GDF))</f>
        <v/>
      </c>
      <c r="M194" s="981" t="str">
        <f>IF(L194="","",Conc2(L194,L$9,MolVol,L$21,L$20,M$21,M$20))</f>
        <v/>
      </c>
      <c r="N194" s="981" t="str">
        <f>IF(N$17=FALSE,"",GasData(GasAnalyser,'Horiba Data'!AE187,'Testo, JUM &amp; MRU Data'!I188,'Thermo Data'!J187,'Testo, JUM &amp; MRU Data'!S188,GDF))</f>
        <v/>
      </c>
      <c r="O194" s="981" t="str">
        <f>IF(N194="","",Conc2(N194,N$9,MolVol,N$21,N$20,O$21,O$20))</f>
        <v/>
      </c>
      <c r="P194" s="981" t="str">
        <f>IF(P$17=FALSE,"",GasData(GasAnalyser,'Horiba Data'!AI187,'Testo, JUM &amp; MRU Data'!J188,'Thermo Data'!K187,'Testo, JUM &amp; MRU Data'!R188,GDF))</f>
        <v/>
      </c>
      <c r="Q194" s="981" t="str">
        <f>IF(P194="","",Conc2(P194,P$9,MolVol,P$21,P$20,Q$21,Q$20))</f>
        <v/>
      </c>
      <c r="R194" s="981" t="str">
        <f>IF(R$17=FALSE,"",JUMData('Testo, JUM &amp; MRU Data'!M188,$R$7))</f>
        <v/>
      </c>
      <c r="S194" s="982" t="str">
        <f>IF(R194="","",Conc2(R194,R$9,MolVol,R$21,R$20,S$21,S$20)/(1-Bws))</f>
        <v/>
      </c>
      <c r="T194" s="740"/>
      <c r="AR194" s="334"/>
      <c r="AS194" s="334"/>
      <c r="AT194" s="48"/>
      <c r="AU194" s="48"/>
      <c r="AV194" s="153"/>
      <c r="AW194" s="153"/>
      <c r="AX194" s="153"/>
      <c r="AY194" s="153"/>
      <c r="AZ194" s="153"/>
      <c r="BA194" s="153"/>
      <c r="BB194" s="153"/>
      <c r="BC194" s="153"/>
      <c r="BD194" s="153"/>
      <c r="BE194" s="153"/>
      <c r="BF194" s="153"/>
      <c r="BG194" s="153"/>
      <c r="BH194" s="153"/>
      <c r="BI194" s="153"/>
      <c r="BJ194" s="153"/>
      <c r="BK194" s="153"/>
      <c r="BL194" s="153"/>
      <c r="BM194" s="153"/>
      <c r="BN194" s="153"/>
      <c r="BO194" s="153"/>
      <c r="BP194" s="153"/>
      <c r="BQ194" s="153"/>
      <c r="BR194" s="153"/>
      <c r="BS194" s="153"/>
      <c r="BT194" s="153"/>
      <c r="BU194" s="153"/>
      <c r="BV194" s="153"/>
      <c r="BW194" s="153"/>
      <c r="BX194" s="153"/>
      <c r="BY194" s="153"/>
      <c r="BZ194" s="153"/>
      <c r="CA194" s="153"/>
      <c r="CB194" s="153"/>
      <c r="CC194" s="153"/>
      <c r="CD194" s="153"/>
      <c r="CE194" s="153"/>
      <c r="CF194" s="153"/>
      <c r="CG194" s="153"/>
      <c r="CH194" s="153"/>
      <c r="CI194" s="153"/>
      <c r="CJ194" s="153"/>
      <c r="CK194" s="153"/>
      <c r="CL194" s="153"/>
      <c r="CM194" s="153"/>
      <c r="CN194" s="153"/>
      <c r="CO194" s="153"/>
      <c r="CP194" s="153"/>
      <c r="CQ194" s="153"/>
      <c r="CR194" s="153"/>
      <c r="CS194" s="153"/>
      <c r="CT194" s="153"/>
      <c r="CU194" s="153"/>
      <c r="CV194" s="153"/>
      <c r="CW194" s="153"/>
      <c r="CX194" s="153"/>
      <c r="CY194" s="153"/>
      <c r="CZ194" s="153"/>
      <c r="DA194" s="153"/>
      <c r="DB194" s="153"/>
      <c r="DC194" s="153"/>
      <c r="DD194" s="153"/>
      <c r="DE194" s="153"/>
      <c r="DF194" s="153"/>
      <c r="DG194" s="153"/>
      <c r="DH194" s="153"/>
      <c r="DI194" s="153"/>
      <c r="DJ194" s="153"/>
      <c r="DK194" s="153"/>
      <c r="DL194" s="153"/>
      <c r="DM194" s="153"/>
      <c r="DN194" s="153"/>
      <c r="DO194" s="153"/>
      <c r="DP194" s="153"/>
      <c r="DQ194" s="153"/>
      <c r="DR194" s="153"/>
      <c r="DS194" s="153"/>
      <c r="DT194" s="153"/>
      <c r="DU194" s="153"/>
      <c r="DV194" s="153"/>
      <c r="DW194" s="153"/>
      <c r="DX194" s="153"/>
      <c r="DY194" s="153"/>
      <c r="DZ194" s="153"/>
      <c r="EA194" s="153"/>
      <c r="EB194" s="153"/>
      <c r="EC194" s="153"/>
      <c r="ED194" s="153"/>
      <c r="EE194" s="153"/>
      <c r="EF194" s="153"/>
      <c r="EG194" s="153"/>
      <c r="EH194" s="153"/>
      <c r="EI194" s="153"/>
      <c r="EJ194" s="153"/>
      <c r="EK194" s="153"/>
      <c r="EL194" s="153"/>
      <c r="EM194" s="153"/>
    </row>
    <row r="195" spans="1:143" s="107" customFormat="1" ht="10.5" hidden="1" customHeight="1" outlineLevel="1">
      <c r="A195" s="1548">
        <v>170</v>
      </c>
      <c r="B195" s="1560" t="str">
        <f t="shared" si="4"/>
        <v/>
      </c>
      <c r="C195" s="161" t="str">
        <f>GasTime(GasAnalyser,'Horiba Data'!F188,'Horiba Data'!G188,'Testo, JUM &amp; MRU Data'!A189,'Thermo Data'!B188,HourOffset)</f>
        <v/>
      </c>
      <c r="D195" s="981" t="str">
        <f>IF(D$17=FALSE,"",GasData(GasAnalyser,'Horiba Data'!S188,'Testo, JUM &amp; MRU Data'!D189,'Thermo Data'!E188,'Testo, JUM &amp; MRU Data'!U189,GDF))</f>
        <v/>
      </c>
      <c r="E195" s="981" t="str">
        <f>IF(D195="","",Conc2(D195,D$9,MolVol,D$21,D$20,E$21,E$20))</f>
        <v/>
      </c>
      <c r="F195" s="981" t="str">
        <f>IF(F$17=FALSE,"",GasData(GasAnalyser,'Horiba Data'!AQ188,'Testo, JUM &amp; MRU Data'!E189,'Thermo Data'!F188,'Testo, JUM &amp; MRU Data'!V189,GDF))</f>
        <v/>
      </c>
      <c r="G195" s="981" t="str">
        <f>IF(F195="","",Conc2(F195,F$9,MolVol,F$21,F$20,G$21,G$20))</f>
        <v/>
      </c>
      <c r="H195" s="981" t="str">
        <f>IF(D$17=FALSE,"",IF(F$17=FALSE,"",GasData(GasAnalyser,'Horiba Data'!W188,'Testo, JUM &amp; MRU Data'!F189,'Thermo Data'!G188,'Testo, JUM &amp; MRU Data'!Y189,GDF)))</f>
        <v/>
      </c>
      <c r="I195" s="981" t="str">
        <f>IF(H195="","",Conc2(H195,H$9,MolVol,H$21,H$20,I$21,I$20))</f>
        <v/>
      </c>
      <c r="J195" s="981" t="str">
        <f>IF(J$17=FALSE,"",GasData(GasAnalyser,'Horiba Data'!AM188,'Testo, JUM &amp; MRU Data'!G189,'Thermo Data'!H188,'Testo, JUM &amp; MRU Data'!W189,GDF))</f>
        <v/>
      </c>
      <c r="K195" s="981" t="str">
        <f>IF(J195="","",Conc2(J195,J$9,MolVol,J$21,J$20,K$21,K$20))</f>
        <v/>
      </c>
      <c r="L195" s="981" t="str">
        <f>IF(L$17=FALSE,"",GasData(GasAnalyser,'Horiba Data'!AA188,'Testo, JUM &amp; MRU Data'!H189,'Thermo Data'!I188,'Testo, JUM &amp; MRU Data'!T189,GDF))</f>
        <v/>
      </c>
      <c r="M195" s="981" t="str">
        <f>IF(L195="","",Conc2(L195,L$9,MolVol,L$21,L$20,M$21,M$20))</f>
        <v/>
      </c>
      <c r="N195" s="981" t="str">
        <f>IF(N$17=FALSE,"",GasData(GasAnalyser,'Horiba Data'!AE188,'Testo, JUM &amp; MRU Data'!I189,'Thermo Data'!J188,'Testo, JUM &amp; MRU Data'!S189,GDF))</f>
        <v/>
      </c>
      <c r="O195" s="981" t="str">
        <f>IF(N195="","",Conc2(N195,N$9,MolVol,N$21,N$20,O$21,O$20))</f>
        <v/>
      </c>
      <c r="P195" s="981" t="str">
        <f>IF(P$17=FALSE,"",GasData(GasAnalyser,'Horiba Data'!AI188,'Testo, JUM &amp; MRU Data'!J189,'Thermo Data'!K188,'Testo, JUM &amp; MRU Data'!R189,GDF))</f>
        <v/>
      </c>
      <c r="Q195" s="981" t="str">
        <f>IF(P195="","",Conc2(P195,P$9,MolVol,P$21,P$20,Q$21,Q$20))</f>
        <v/>
      </c>
      <c r="R195" s="981" t="str">
        <f>IF(R$17=FALSE,"",JUMData('Testo, JUM &amp; MRU Data'!M189,$R$7))</f>
        <v/>
      </c>
      <c r="S195" s="982" t="str">
        <f>IF(R195="","",Conc2(R195,R$9,MolVol,R$21,R$20,S$21,S$20)/(1-Bws))</f>
        <v/>
      </c>
      <c r="T195" s="740"/>
      <c r="AR195" s="334"/>
      <c r="AS195" s="334"/>
      <c r="AT195" s="48"/>
      <c r="AU195" s="48"/>
      <c r="AV195" s="153"/>
      <c r="AW195" s="153"/>
      <c r="AX195" s="153"/>
      <c r="AY195" s="153"/>
      <c r="AZ195" s="153"/>
      <c r="BA195" s="153"/>
      <c r="BB195" s="153"/>
      <c r="BC195" s="153"/>
      <c r="BD195" s="153"/>
      <c r="BE195" s="153"/>
      <c r="BF195" s="153"/>
      <c r="BG195" s="153"/>
      <c r="BH195" s="153"/>
      <c r="BI195" s="153"/>
      <c r="BJ195" s="153"/>
      <c r="BK195" s="153"/>
      <c r="BL195" s="153"/>
      <c r="BM195" s="153"/>
      <c r="BN195" s="153"/>
      <c r="BO195" s="153"/>
      <c r="BP195" s="153"/>
      <c r="BQ195" s="153"/>
      <c r="BR195" s="153"/>
      <c r="BS195" s="153"/>
      <c r="BT195" s="153"/>
      <c r="BU195" s="153"/>
      <c r="BV195" s="153"/>
      <c r="BW195" s="153"/>
      <c r="BX195" s="153"/>
      <c r="BY195" s="153"/>
      <c r="BZ195" s="153"/>
      <c r="CA195" s="153"/>
      <c r="CB195" s="153"/>
      <c r="CC195" s="153"/>
      <c r="CD195" s="153"/>
      <c r="CE195" s="153"/>
      <c r="CF195" s="153"/>
      <c r="CG195" s="153"/>
      <c r="CH195" s="153"/>
      <c r="CI195" s="153"/>
      <c r="CJ195" s="153"/>
      <c r="CK195" s="153"/>
      <c r="CL195" s="153"/>
      <c r="CM195" s="153"/>
      <c r="CN195" s="153"/>
      <c r="CO195" s="153"/>
      <c r="CP195" s="153"/>
      <c r="CQ195" s="153"/>
      <c r="CR195" s="153"/>
      <c r="CS195" s="153"/>
      <c r="CT195" s="153"/>
      <c r="CU195" s="153"/>
      <c r="CV195" s="153"/>
      <c r="CW195" s="153"/>
      <c r="CX195" s="153"/>
      <c r="CY195" s="153"/>
      <c r="CZ195" s="153"/>
      <c r="DA195" s="153"/>
      <c r="DB195" s="153"/>
      <c r="DC195" s="153"/>
      <c r="DD195" s="153"/>
      <c r="DE195" s="153"/>
      <c r="DF195" s="153"/>
      <c r="DG195" s="153"/>
      <c r="DH195" s="153"/>
      <c r="DI195" s="153"/>
      <c r="DJ195" s="153"/>
      <c r="DK195" s="153"/>
      <c r="DL195" s="153"/>
      <c r="DM195" s="153"/>
      <c r="DN195" s="153"/>
      <c r="DO195" s="153"/>
      <c r="DP195" s="153"/>
      <c r="DQ195" s="153"/>
      <c r="DR195" s="153"/>
      <c r="DS195" s="153"/>
      <c r="DT195" s="153"/>
      <c r="DU195" s="153"/>
      <c r="DV195" s="153"/>
      <c r="DW195" s="153"/>
      <c r="DX195" s="153"/>
      <c r="DY195" s="153"/>
      <c r="DZ195" s="153"/>
      <c r="EA195" s="153"/>
      <c r="EB195" s="153"/>
      <c r="EC195" s="153"/>
      <c r="ED195" s="153"/>
      <c r="EE195" s="153"/>
      <c r="EF195" s="153"/>
      <c r="EG195" s="153"/>
      <c r="EH195" s="153"/>
      <c r="EI195" s="153"/>
      <c r="EJ195" s="153"/>
      <c r="EK195" s="153"/>
      <c r="EL195" s="153"/>
      <c r="EM195" s="153"/>
    </row>
    <row r="196" spans="1:143" s="107" customFormat="1" ht="10.5" hidden="1" customHeight="1" outlineLevel="1">
      <c r="A196" s="1548">
        <v>171</v>
      </c>
      <c r="B196" s="1560" t="str">
        <f t="shared" si="4"/>
        <v/>
      </c>
      <c r="C196" s="161" t="str">
        <f>GasTime(GasAnalyser,'Horiba Data'!F189,'Horiba Data'!G189,'Testo, JUM &amp; MRU Data'!A190,'Thermo Data'!B189,HourOffset)</f>
        <v/>
      </c>
      <c r="D196" s="981" t="str">
        <f>IF(D$17=FALSE,"",GasData(GasAnalyser,'Horiba Data'!S189,'Testo, JUM &amp; MRU Data'!D190,'Thermo Data'!E189,'Testo, JUM &amp; MRU Data'!U190,GDF))</f>
        <v/>
      </c>
      <c r="E196" s="981" t="str">
        <f>IF(D196="","",Conc2(D196,D$9,MolVol,D$21,D$20,E$21,E$20))</f>
        <v/>
      </c>
      <c r="F196" s="981" t="str">
        <f>IF(F$17=FALSE,"",GasData(GasAnalyser,'Horiba Data'!AQ189,'Testo, JUM &amp; MRU Data'!E190,'Thermo Data'!F189,'Testo, JUM &amp; MRU Data'!V190,GDF))</f>
        <v/>
      </c>
      <c r="G196" s="981" t="str">
        <f>IF(F196="","",Conc2(F196,F$9,MolVol,F$21,F$20,G$21,G$20))</f>
        <v/>
      </c>
      <c r="H196" s="981" t="str">
        <f>IF(D$17=FALSE,"",IF(F$17=FALSE,"",GasData(GasAnalyser,'Horiba Data'!W189,'Testo, JUM &amp; MRU Data'!F190,'Thermo Data'!G189,'Testo, JUM &amp; MRU Data'!Y190,GDF)))</f>
        <v/>
      </c>
      <c r="I196" s="981" t="str">
        <f>IF(H196="","",Conc2(H196,H$9,MolVol,H$21,H$20,I$21,I$20))</f>
        <v/>
      </c>
      <c r="J196" s="981" t="str">
        <f>IF(J$17=FALSE,"",GasData(GasAnalyser,'Horiba Data'!AM189,'Testo, JUM &amp; MRU Data'!G190,'Thermo Data'!H189,'Testo, JUM &amp; MRU Data'!W190,GDF))</f>
        <v/>
      </c>
      <c r="K196" s="981" t="str">
        <f>IF(J196="","",Conc2(J196,J$9,MolVol,J$21,J$20,K$21,K$20))</f>
        <v/>
      </c>
      <c r="L196" s="981" t="str">
        <f>IF(L$17=FALSE,"",GasData(GasAnalyser,'Horiba Data'!AA189,'Testo, JUM &amp; MRU Data'!H190,'Thermo Data'!I189,'Testo, JUM &amp; MRU Data'!T190,GDF))</f>
        <v/>
      </c>
      <c r="M196" s="981" t="str">
        <f>IF(L196="","",Conc2(L196,L$9,MolVol,L$21,L$20,M$21,M$20))</f>
        <v/>
      </c>
      <c r="N196" s="981" t="str">
        <f>IF(N$17=FALSE,"",GasData(GasAnalyser,'Horiba Data'!AE189,'Testo, JUM &amp; MRU Data'!I190,'Thermo Data'!J189,'Testo, JUM &amp; MRU Data'!S190,GDF))</f>
        <v/>
      </c>
      <c r="O196" s="981" t="str">
        <f>IF(N196="","",Conc2(N196,N$9,MolVol,N$21,N$20,O$21,O$20))</f>
        <v/>
      </c>
      <c r="P196" s="981" t="str">
        <f>IF(P$17=FALSE,"",GasData(GasAnalyser,'Horiba Data'!AI189,'Testo, JUM &amp; MRU Data'!J190,'Thermo Data'!K189,'Testo, JUM &amp; MRU Data'!R190,GDF))</f>
        <v/>
      </c>
      <c r="Q196" s="981" t="str">
        <f>IF(P196="","",Conc2(P196,P$9,MolVol,P$21,P$20,Q$21,Q$20))</f>
        <v/>
      </c>
      <c r="R196" s="981" t="str">
        <f>IF(R$17=FALSE,"",JUMData('Testo, JUM &amp; MRU Data'!M190,$R$7))</f>
        <v/>
      </c>
      <c r="S196" s="982" t="str">
        <f>IF(R196="","",Conc2(R196,R$9,MolVol,R$21,R$20,S$21,S$20)/(1-Bws))</f>
        <v/>
      </c>
      <c r="T196" s="740"/>
      <c r="AR196" s="334"/>
      <c r="AS196" s="334"/>
      <c r="AT196" s="48"/>
      <c r="AU196" s="48"/>
      <c r="AV196" s="153"/>
      <c r="AW196" s="153"/>
      <c r="AX196" s="153"/>
      <c r="AY196" s="153"/>
      <c r="AZ196" s="153"/>
      <c r="BA196" s="153"/>
      <c r="BB196" s="153"/>
      <c r="BC196" s="153"/>
      <c r="BD196" s="153"/>
      <c r="BE196" s="153"/>
      <c r="BF196" s="153"/>
      <c r="BG196" s="153"/>
      <c r="BH196" s="153"/>
      <c r="BI196" s="153"/>
      <c r="BJ196" s="153"/>
      <c r="BK196" s="153"/>
      <c r="BL196" s="153"/>
      <c r="BM196" s="153"/>
      <c r="BN196" s="153"/>
      <c r="BO196" s="153"/>
      <c r="BP196" s="153"/>
      <c r="BQ196" s="153"/>
      <c r="BR196" s="153"/>
      <c r="BS196" s="153"/>
      <c r="BT196" s="153"/>
      <c r="BU196" s="153"/>
      <c r="BV196" s="153"/>
      <c r="BW196" s="153"/>
      <c r="BX196" s="153"/>
      <c r="BY196" s="153"/>
      <c r="BZ196" s="153"/>
      <c r="CA196" s="153"/>
      <c r="CB196" s="153"/>
      <c r="CC196" s="153"/>
      <c r="CD196" s="153"/>
      <c r="CE196" s="153"/>
      <c r="CF196" s="153"/>
      <c r="CG196" s="153"/>
      <c r="CH196" s="153"/>
      <c r="CI196" s="153"/>
      <c r="CJ196" s="153"/>
      <c r="CK196" s="153"/>
      <c r="CL196" s="153"/>
      <c r="CM196" s="153"/>
      <c r="CN196" s="153"/>
      <c r="CO196" s="153"/>
      <c r="CP196" s="153"/>
      <c r="CQ196" s="153"/>
      <c r="CR196" s="153"/>
      <c r="CS196" s="153"/>
      <c r="CT196" s="153"/>
      <c r="CU196" s="153"/>
      <c r="CV196" s="153"/>
      <c r="CW196" s="153"/>
      <c r="CX196" s="153"/>
      <c r="CY196" s="153"/>
      <c r="CZ196" s="153"/>
      <c r="DA196" s="153"/>
      <c r="DB196" s="153"/>
      <c r="DC196" s="153"/>
      <c r="DD196" s="153"/>
      <c r="DE196" s="153"/>
      <c r="DF196" s="153"/>
      <c r="DG196" s="153"/>
      <c r="DH196" s="153"/>
      <c r="DI196" s="153"/>
      <c r="DJ196" s="153"/>
      <c r="DK196" s="153"/>
      <c r="DL196" s="153"/>
      <c r="DM196" s="153"/>
      <c r="DN196" s="153"/>
      <c r="DO196" s="153"/>
      <c r="DP196" s="153"/>
      <c r="DQ196" s="153"/>
      <c r="DR196" s="153"/>
      <c r="DS196" s="153"/>
      <c r="DT196" s="153"/>
      <c r="DU196" s="153"/>
      <c r="DV196" s="153"/>
      <c r="DW196" s="153"/>
      <c r="DX196" s="153"/>
      <c r="DY196" s="153"/>
      <c r="DZ196" s="153"/>
      <c r="EA196" s="153"/>
      <c r="EB196" s="153"/>
      <c r="EC196" s="153"/>
      <c r="ED196" s="153"/>
      <c r="EE196" s="153"/>
      <c r="EF196" s="153"/>
      <c r="EG196" s="153"/>
      <c r="EH196" s="153"/>
      <c r="EI196" s="153"/>
      <c r="EJ196" s="153"/>
      <c r="EK196" s="153"/>
      <c r="EL196" s="153"/>
      <c r="EM196" s="153"/>
    </row>
    <row r="197" spans="1:143" s="107" customFormat="1" ht="10.5" hidden="1" customHeight="1" outlineLevel="1">
      <c r="A197" s="1548">
        <v>172</v>
      </c>
      <c r="B197" s="1560" t="str">
        <f t="shared" si="4"/>
        <v/>
      </c>
      <c r="C197" s="161" t="str">
        <f>GasTime(GasAnalyser,'Horiba Data'!F190,'Horiba Data'!G190,'Testo, JUM &amp; MRU Data'!A191,'Thermo Data'!B190,HourOffset)</f>
        <v/>
      </c>
      <c r="D197" s="981" t="str">
        <f>IF(D$17=FALSE,"",GasData(GasAnalyser,'Horiba Data'!S190,'Testo, JUM &amp; MRU Data'!D191,'Thermo Data'!E190,'Testo, JUM &amp; MRU Data'!U191,GDF))</f>
        <v/>
      </c>
      <c r="E197" s="981" t="str">
        <f>IF(D197="","",Conc2(D197,D$9,MolVol,D$21,D$20,E$21,E$20))</f>
        <v/>
      </c>
      <c r="F197" s="981" t="str">
        <f>IF(F$17=FALSE,"",GasData(GasAnalyser,'Horiba Data'!AQ190,'Testo, JUM &amp; MRU Data'!E191,'Thermo Data'!F190,'Testo, JUM &amp; MRU Data'!V191,GDF))</f>
        <v/>
      </c>
      <c r="G197" s="981" t="str">
        <f>IF(F197="","",Conc2(F197,F$9,MolVol,F$21,F$20,G$21,G$20))</f>
        <v/>
      </c>
      <c r="H197" s="981" t="str">
        <f>IF(D$17=FALSE,"",IF(F$17=FALSE,"",GasData(GasAnalyser,'Horiba Data'!W190,'Testo, JUM &amp; MRU Data'!F191,'Thermo Data'!G190,'Testo, JUM &amp; MRU Data'!Y191,GDF)))</f>
        <v/>
      </c>
      <c r="I197" s="981" t="str">
        <f>IF(H197="","",Conc2(H197,H$9,MolVol,H$21,H$20,I$21,I$20))</f>
        <v/>
      </c>
      <c r="J197" s="981" t="str">
        <f>IF(J$17=FALSE,"",GasData(GasAnalyser,'Horiba Data'!AM190,'Testo, JUM &amp; MRU Data'!G191,'Thermo Data'!H190,'Testo, JUM &amp; MRU Data'!W191,GDF))</f>
        <v/>
      </c>
      <c r="K197" s="981" t="str">
        <f>IF(J197="","",Conc2(J197,J$9,MolVol,J$21,J$20,K$21,K$20))</f>
        <v/>
      </c>
      <c r="L197" s="981" t="str">
        <f>IF(L$17=FALSE,"",GasData(GasAnalyser,'Horiba Data'!AA190,'Testo, JUM &amp; MRU Data'!H191,'Thermo Data'!I190,'Testo, JUM &amp; MRU Data'!T191,GDF))</f>
        <v/>
      </c>
      <c r="M197" s="981" t="str">
        <f>IF(L197="","",Conc2(L197,L$9,MolVol,L$21,L$20,M$21,M$20))</f>
        <v/>
      </c>
      <c r="N197" s="981" t="str">
        <f>IF(N$17=FALSE,"",GasData(GasAnalyser,'Horiba Data'!AE190,'Testo, JUM &amp; MRU Data'!I191,'Thermo Data'!J190,'Testo, JUM &amp; MRU Data'!S191,GDF))</f>
        <v/>
      </c>
      <c r="O197" s="981" t="str">
        <f>IF(N197="","",Conc2(N197,N$9,MolVol,N$21,N$20,O$21,O$20))</f>
        <v/>
      </c>
      <c r="P197" s="981" t="str">
        <f>IF(P$17=FALSE,"",GasData(GasAnalyser,'Horiba Data'!AI190,'Testo, JUM &amp; MRU Data'!J191,'Thermo Data'!K190,'Testo, JUM &amp; MRU Data'!R191,GDF))</f>
        <v/>
      </c>
      <c r="Q197" s="981" t="str">
        <f>IF(P197="","",Conc2(P197,P$9,MolVol,P$21,P$20,Q$21,Q$20))</f>
        <v/>
      </c>
      <c r="R197" s="981" t="str">
        <f>IF(R$17=FALSE,"",JUMData('Testo, JUM &amp; MRU Data'!M191,$R$7))</f>
        <v/>
      </c>
      <c r="S197" s="982" t="str">
        <f>IF(R197="","",Conc2(R197,R$9,MolVol,R$21,R$20,S$21,S$20)/(1-Bws))</f>
        <v/>
      </c>
      <c r="T197" s="740"/>
      <c r="AR197" s="334"/>
      <c r="AS197" s="334"/>
      <c r="AT197" s="48"/>
      <c r="AU197" s="48"/>
      <c r="AV197" s="153"/>
      <c r="AW197" s="153"/>
      <c r="AX197" s="153"/>
      <c r="AY197" s="153"/>
      <c r="AZ197" s="153"/>
      <c r="BA197" s="153"/>
      <c r="BB197" s="153"/>
      <c r="BC197" s="153"/>
      <c r="BD197" s="153"/>
      <c r="BE197" s="153"/>
      <c r="BF197" s="153"/>
      <c r="BG197" s="153"/>
      <c r="BH197" s="153"/>
      <c r="BI197" s="153"/>
      <c r="BJ197" s="153"/>
      <c r="BK197" s="153"/>
      <c r="BL197" s="153"/>
      <c r="BM197" s="153"/>
      <c r="BN197" s="153"/>
      <c r="BO197" s="153"/>
      <c r="BP197" s="153"/>
      <c r="BQ197" s="153"/>
      <c r="BR197" s="153"/>
      <c r="BS197" s="153"/>
      <c r="BT197" s="153"/>
      <c r="BU197" s="153"/>
      <c r="BV197" s="153"/>
      <c r="BW197" s="153"/>
      <c r="BX197" s="153"/>
      <c r="BY197" s="153"/>
      <c r="BZ197" s="153"/>
      <c r="CA197" s="153"/>
      <c r="CB197" s="153"/>
      <c r="CC197" s="153"/>
      <c r="CD197" s="153"/>
      <c r="CE197" s="153"/>
      <c r="CF197" s="153"/>
      <c r="CG197" s="153"/>
      <c r="CH197" s="153"/>
      <c r="CI197" s="153"/>
      <c r="CJ197" s="153"/>
      <c r="CK197" s="153"/>
      <c r="CL197" s="153"/>
      <c r="CM197" s="153"/>
      <c r="CN197" s="153"/>
      <c r="CO197" s="153"/>
      <c r="CP197" s="153"/>
      <c r="CQ197" s="153"/>
      <c r="CR197" s="153"/>
      <c r="CS197" s="153"/>
      <c r="CT197" s="153"/>
      <c r="CU197" s="153"/>
      <c r="CV197" s="153"/>
      <c r="CW197" s="153"/>
      <c r="CX197" s="153"/>
      <c r="CY197" s="153"/>
      <c r="CZ197" s="153"/>
      <c r="DA197" s="153"/>
      <c r="DB197" s="153"/>
      <c r="DC197" s="153"/>
      <c r="DD197" s="153"/>
      <c r="DE197" s="153"/>
      <c r="DF197" s="153"/>
      <c r="DG197" s="153"/>
      <c r="DH197" s="153"/>
      <c r="DI197" s="153"/>
      <c r="DJ197" s="153"/>
      <c r="DK197" s="153"/>
      <c r="DL197" s="153"/>
      <c r="DM197" s="153"/>
      <c r="DN197" s="153"/>
      <c r="DO197" s="153"/>
      <c r="DP197" s="153"/>
      <c r="DQ197" s="153"/>
      <c r="DR197" s="153"/>
      <c r="DS197" s="153"/>
      <c r="DT197" s="153"/>
      <c r="DU197" s="153"/>
      <c r="DV197" s="153"/>
      <c r="DW197" s="153"/>
      <c r="DX197" s="153"/>
      <c r="DY197" s="153"/>
      <c r="DZ197" s="153"/>
      <c r="EA197" s="153"/>
      <c r="EB197" s="153"/>
      <c r="EC197" s="153"/>
      <c r="ED197" s="153"/>
      <c r="EE197" s="153"/>
      <c r="EF197" s="153"/>
      <c r="EG197" s="153"/>
      <c r="EH197" s="153"/>
      <c r="EI197" s="153"/>
      <c r="EJ197" s="153"/>
      <c r="EK197" s="153"/>
      <c r="EL197" s="153"/>
      <c r="EM197" s="153"/>
    </row>
    <row r="198" spans="1:143" s="107" customFormat="1" ht="10.5" hidden="1" customHeight="1" outlineLevel="1">
      <c r="A198" s="1548">
        <v>173</v>
      </c>
      <c r="B198" s="1560" t="str">
        <f t="shared" si="4"/>
        <v/>
      </c>
      <c r="C198" s="161" t="str">
        <f>GasTime(GasAnalyser,'Horiba Data'!F191,'Horiba Data'!G191,'Testo, JUM &amp; MRU Data'!A192,'Thermo Data'!B191,HourOffset)</f>
        <v/>
      </c>
      <c r="D198" s="981" t="str">
        <f>IF(D$17=FALSE,"",GasData(GasAnalyser,'Horiba Data'!S191,'Testo, JUM &amp; MRU Data'!D192,'Thermo Data'!E191,'Testo, JUM &amp; MRU Data'!U192,GDF))</f>
        <v/>
      </c>
      <c r="E198" s="981" t="str">
        <f>IF(D198="","",Conc2(D198,D$9,MolVol,D$21,D$20,E$21,E$20))</f>
        <v/>
      </c>
      <c r="F198" s="981" t="str">
        <f>IF(F$17=FALSE,"",GasData(GasAnalyser,'Horiba Data'!AQ191,'Testo, JUM &amp; MRU Data'!E192,'Thermo Data'!F191,'Testo, JUM &amp; MRU Data'!V192,GDF))</f>
        <v/>
      </c>
      <c r="G198" s="981" t="str">
        <f>IF(F198="","",Conc2(F198,F$9,MolVol,F$21,F$20,G$21,G$20))</f>
        <v/>
      </c>
      <c r="H198" s="981" t="str">
        <f>IF(D$17=FALSE,"",IF(F$17=FALSE,"",GasData(GasAnalyser,'Horiba Data'!W191,'Testo, JUM &amp; MRU Data'!F192,'Thermo Data'!G191,'Testo, JUM &amp; MRU Data'!Y192,GDF)))</f>
        <v/>
      </c>
      <c r="I198" s="981" t="str">
        <f>IF(H198="","",Conc2(H198,H$9,MolVol,H$21,H$20,I$21,I$20))</f>
        <v/>
      </c>
      <c r="J198" s="981" t="str">
        <f>IF(J$17=FALSE,"",GasData(GasAnalyser,'Horiba Data'!AM191,'Testo, JUM &amp; MRU Data'!G192,'Thermo Data'!H191,'Testo, JUM &amp; MRU Data'!W192,GDF))</f>
        <v/>
      </c>
      <c r="K198" s="981" t="str">
        <f>IF(J198="","",Conc2(J198,J$9,MolVol,J$21,J$20,K$21,K$20))</f>
        <v/>
      </c>
      <c r="L198" s="981" t="str">
        <f>IF(L$17=FALSE,"",GasData(GasAnalyser,'Horiba Data'!AA191,'Testo, JUM &amp; MRU Data'!H192,'Thermo Data'!I191,'Testo, JUM &amp; MRU Data'!T192,GDF))</f>
        <v/>
      </c>
      <c r="M198" s="981" t="str">
        <f>IF(L198="","",Conc2(L198,L$9,MolVol,L$21,L$20,M$21,M$20))</f>
        <v/>
      </c>
      <c r="N198" s="981" t="str">
        <f>IF(N$17=FALSE,"",GasData(GasAnalyser,'Horiba Data'!AE191,'Testo, JUM &amp; MRU Data'!I192,'Thermo Data'!J191,'Testo, JUM &amp; MRU Data'!S192,GDF))</f>
        <v/>
      </c>
      <c r="O198" s="981" t="str">
        <f>IF(N198="","",Conc2(N198,N$9,MolVol,N$21,N$20,O$21,O$20))</f>
        <v/>
      </c>
      <c r="P198" s="981" t="str">
        <f>IF(P$17=FALSE,"",GasData(GasAnalyser,'Horiba Data'!AI191,'Testo, JUM &amp; MRU Data'!J192,'Thermo Data'!K191,'Testo, JUM &amp; MRU Data'!R192,GDF))</f>
        <v/>
      </c>
      <c r="Q198" s="981" t="str">
        <f>IF(P198="","",Conc2(P198,P$9,MolVol,P$21,P$20,Q$21,Q$20))</f>
        <v/>
      </c>
      <c r="R198" s="981" t="str">
        <f>IF(R$17=FALSE,"",JUMData('Testo, JUM &amp; MRU Data'!M192,$R$7))</f>
        <v/>
      </c>
      <c r="S198" s="982" t="str">
        <f>IF(R198="","",Conc2(R198,R$9,MolVol,R$21,R$20,S$21,S$20)/(1-Bws))</f>
        <v/>
      </c>
      <c r="T198" s="740"/>
      <c r="AR198" s="334"/>
      <c r="AS198" s="334"/>
      <c r="AT198" s="48"/>
      <c r="AU198" s="48"/>
      <c r="AV198" s="153"/>
      <c r="AW198" s="153"/>
      <c r="AX198" s="153"/>
      <c r="AY198" s="153"/>
      <c r="AZ198" s="153"/>
      <c r="BA198" s="153"/>
      <c r="BB198" s="153"/>
      <c r="BC198" s="153"/>
      <c r="BD198" s="153"/>
      <c r="BE198" s="153"/>
      <c r="BF198" s="153"/>
      <c r="BG198" s="153"/>
      <c r="BH198" s="153"/>
      <c r="BI198" s="153"/>
      <c r="BJ198" s="153"/>
      <c r="BK198" s="153"/>
      <c r="BL198" s="153"/>
      <c r="BM198" s="153"/>
      <c r="BN198" s="153"/>
      <c r="BO198" s="153"/>
      <c r="BP198" s="153"/>
      <c r="BQ198" s="153"/>
      <c r="BR198" s="153"/>
      <c r="BS198" s="153"/>
      <c r="BT198" s="153"/>
      <c r="BU198" s="153"/>
      <c r="BV198" s="153"/>
      <c r="BW198" s="153"/>
      <c r="BX198" s="153"/>
      <c r="BY198" s="153"/>
      <c r="BZ198" s="153"/>
      <c r="CA198" s="153"/>
      <c r="CB198" s="153"/>
      <c r="CC198" s="153"/>
      <c r="CD198" s="153"/>
      <c r="CE198" s="153"/>
      <c r="CF198" s="153"/>
      <c r="CG198" s="153"/>
      <c r="CH198" s="153"/>
      <c r="CI198" s="153"/>
      <c r="CJ198" s="153"/>
      <c r="CK198" s="153"/>
      <c r="CL198" s="153"/>
      <c r="CM198" s="153"/>
      <c r="CN198" s="153"/>
      <c r="CO198" s="153"/>
      <c r="CP198" s="153"/>
      <c r="CQ198" s="153"/>
      <c r="CR198" s="153"/>
      <c r="CS198" s="153"/>
      <c r="CT198" s="153"/>
      <c r="CU198" s="153"/>
      <c r="CV198" s="153"/>
      <c r="CW198" s="153"/>
      <c r="CX198" s="153"/>
      <c r="CY198" s="153"/>
      <c r="CZ198" s="153"/>
      <c r="DA198" s="153"/>
      <c r="DB198" s="153"/>
      <c r="DC198" s="153"/>
      <c r="DD198" s="153"/>
      <c r="DE198" s="153"/>
      <c r="DF198" s="153"/>
      <c r="DG198" s="153"/>
      <c r="DH198" s="153"/>
      <c r="DI198" s="153"/>
      <c r="DJ198" s="153"/>
      <c r="DK198" s="153"/>
      <c r="DL198" s="153"/>
      <c r="DM198" s="153"/>
      <c r="DN198" s="153"/>
      <c r="DO198" s="153"/>
      <c r="DP198" s="153"/>
      <c r="DQ198" s="153"/>
      <c r="DR198" s="153"/>
      <c r="DS198" s="153"/>
      <c r="DT198" s="153"/>
      <c r="DU198" s="153"/>
      <c r="DV198" s="153"/>
      <c r="DW198" s="153"/>
      <c r="DX198" s="153"/>
      <c r="DY198" s="153"/>
      <c r="DZ198" s="153"/>
      <c r="EA198" s="153"/>
      <c r="EB198" s="153"/>
      <c r="EC198" s="153"/>
      <c r="ED198" s="153"/>
      <c r="EE198" s="153"/>
      <c r="EF198" s="153"/>
      <c r="EG198" s="153"/>
      <c r="EH198" s="153"/>
      <c r="EI198" s="153"/>
      <c r="EJ198" s="153"/>
      <c r="EK198" s="153"/>
      <c r="EL198" s="153"/>
      <c r="EM198" s="153"/>
    </row>
    <row r="199" spans="1:143" s="107" customFormat="1" ht="10.5" hidden="1" customHeight="1" outlineLevel="1">
      <c r="A199" s="1548">
        <v>174</v>
      </c>
      <c r="B199" s="1560" t="str">
        <f t="shared" si="4"/>
        <v/>
      </c>
      <c r="C199" s="161" t="str">
        <f>GasTime(GasAnalyser,'Horiba Data'!F192,'Horiba Data'!G192,'Testo, JUM &amp; MRU Data'!A193,'Thermo Data'!B192,HourOffset)</f>
        <v/>
      </c>
      <c r="D199" s="981" t="str">
        <f>IF(D$17=FALSE,"",GasData(GasAnalyser,'Horiba Data'!S192,'Testo, JUM &amp; MRU Data'!D193,'Thermo Data'!E192,'Testo, JUM &amp; MRU Data'!U193,GDF))</f>
        <v/>
      </c>
      <c r="E199" s="981" t="str">
        <f>IF(D199="","",Conc2(D199,D$9,MolVol,D$21,D$20,E$21,E$20))</f>
        <v/>
      </c>
      <c r="F199" s="981" t="str">
        <f>IF(F$17=FALSE,"",GasData(GasAnalyser,'Horiba Data'!AQ192,'Testo, JUM &amp; MRU Data'!E193,'Thermo Data'!F192,'Testo, JUM &amp; MRU Data'!V193,GDF))</f>
        <v/>
      </c>
      <c r="G199" s="981" t="str">
        <f>IF(F199="","",Conc2(F199,F$9,MolVol,F$21,F$20,G$21,G$20))</f>
        <v/>
      </c>
      <c r="H199" s="981" t="str">
        <f>IF(D$17=FALSE,"",IF(F$17=FALSE,"",GasData(GasAnalyser,'Horiba Data'!W192,'Testo, JUM &amp; MRU Data'!F193,'Thermo Data'!G192,'Testo, JUM &amp; MRU Data'!Y193,GDF)))</f>
        <v/>
      </c>
      <c r="I199" s="981" t="str">
        <f>IF(H199="","",Conc2(H199,H$9,MolVol,H$21,H$20,I$21,I$20))</f>
        <v/>
      </c>
      <c r="J199" s="981" t="str">
        <f>IF(J$17=FALSE,"",GasData(GasAnalyser,'Horiba Data'!AM192,'Testo, JUM &amp; MRU Data'!G193,'Thermo Data'!H192,'Testo, JUM &amp; MRU Data'!W193,GDF))</f>
        <v/>
      </c>
      <c r="K199" s="981" t="str">
        <f>IF(J199="","",Conc2(J199,J$9,MolVol,J$21,J$20,K$21,K$20))</f>
        <v/>
      </c>
      <c r="L199" s="981" t="str">
        <f>IF(L$17=FALSE,"",GasData(GasAnalyser,'Horiba Data'!AA192,'Testo, JUM &amp; MRU Data'!H193,'Thermo Data'!I192,'Testo, JUM &amp; MRU Data'!T193,GDF))</f>
        <v/>
      </c>
      <c r="M199" s="981" t="str">
        <f>IF(L199="","",Conc2(L199,L$9,MolVol,L$21,L$20,M$21,M$20))</f>
        <v/>
      </c>
      <c r="N199" s="981" t="str">
        <f>IF(N$17=FALSE,"",GasData(GasAnalyser,'Horiba Data'!AE192,'Testo, JUM &amp; MRU Data'!I193,'Thermo Data'!J192,'Testo, JUM &amp; MRU Data'!S193,GDF))</f>
        <v/>
      </c>
      <c r="O199" s="981" t="str">
        <f>IF(N199="","",Conc2(N199,N$9,MolVol,N$21,N$20,O$21,O$20))</f>
        <v/>
      </c>
      <c r="P199" s="981" t="str">
        <f>IF(P$17=FALSE,"",GasData(GasAnalyser,'Horiba Data'!AI192,'Testo, JUM &amp; MRU Data'!J193,'Thermo Data'!K192,'Testo, JUM &amp; MRU Data'!R193,GDF))</f>
        <v/>
      </c>
      <c r="Q199" s="981" t="str">
        <f>IF(P199="","",Conc2(P199,P$9,MolVol,P$21,P$20,Q$21,Q$20))</f>
        <v/>
      </c>
      <c r="R199" s="981" t="str">
        <f>IF(R$17=FALSE,"",JUMData('Testo, JUM &amp; MRU Data'!M193,$R$7))</f>
        <v/>
      </c>
      <c r="S199" s="982" t="str">
        <f>IF(R199="","",Conc2(R199,R$9,MolVol,R$21,R$20,S$21,S$20)/(1-Bws))</f>
        <v/>
      </c>
      <c r="T199" s="740"/>
      <c r="AR199" s="334"/>
      <c r="AS199" s="334"/>
      <c r="AT199" s="48"/>
      <c r="AU199" s="48"/>
      <c r="AV199" s="153"/>
      <c r="AW199" s="153"/>
      <c r="AX199" s="153"/>
      <c r="AY199" s="153"/>
      <c r="AZ199" s="153"/>
      <c r="BA199" s="153"/>
      <c r="BB199" s="153"/>
      <c r="BC199" s="153"/>
      <c r="BD199" s="153"/>
      <c r="BE199" s="153"/>
      <c r="BF199" s="153"/>
      <c r="BG199" s="153"/>
      <c r="BH199" s="153"/>
      <c r="BI199" s="153"/>
      <c r="BJ199" s="153"/>
      <c r="BK199" s="153"/>
      <c r="BL199" s="153"/>
      <c r="BM199" s="153"/>
      <c r="BN199" s="153"/>
      <c r="BO199" s="153"/>
      <c r="BP199" s="153"/>
      <c r="BQ199" s="153"/>
      <c r="BR199" s="153"/>
      <c r="BS199" s="153"/>
      <c r="BT199" s="153"/>
      <c r="BU199" s="153"/>
      <c r="BV199" s="153"/>
      <c r="BW199" s="153"/>
      <c r="BX199" s="153"/>
      <c r="BY199" s="153"/>
      <c r="BZ199" s="153"/>
      <c r="CA199" s="153"/>
      <c r="CB199" s="153"/>
      <c r="CC199" s="153"/>
      <c r="CD199" s="153"/>
      <c r="CE199" s="153"/>
      <c r="CF199" s="153"/>
      <c r="CG199" s="153"/>
      <c r="CH199" s="153"/>
      <c r="CI199" s="153"/>
      <c r="CJ199" s="153"/>
      <c r="CK199" s="153"/>
      <c r="CL199" s="153"/>
      <c r="CM199" s="153"/>
      <c r="CN199" s="153"/>
      <c r="CO199" s="153"/>
      <c r="CP199" s="153"/>
      <c r="CQ199" s="153"/>
      <c r="CR199" s="153"/>
      <c r="CS199" s="153"/>
      <c r="CT199" s="153"/>
      <c r="CU199" s="153"/>
      <c r="CV199" s="153"/>
      <c r="CW199" s="153"/>
      <c r="CX199" s="153"/>
      <c r="CY199" s="153"/>
      <c r="CZ199" s="153"/>
      <c r="DA199" s="153"/>
      <c r="DB199" s="153"/>
      <c r="DC199" s="153"/>
      <c r="DD199" s="153"/>
      <c r="DE199" s="153"/>
      <c r="DF199" s="153"/>
      <c r="DG199" s="153"/>
      <c r="DH199" s="153"/>
      <c r="DI199" s="153"/>
      <c r="DJ199" s="153"/>
      <c r="DK199" s="153"/>
      <c r="DL199" s="153"/>
      <c r="DM199" s="153"/>
      <c r="DN199" s="153"/>
      <c r="DO199" s="153"/>
      <c r="DP199" s="153"/>
      <c r="DQ199" s="153"/>
      <c r="DR199" s="153"/>
      <c r="DS199" s="153"/>
      <c r="DT199" s="153"/>
      <c r="DU199" s="153"/>
      <c r="DV199" s="153"/>
      <c r="DW199" s="153"/>
      <c r="DX199" s="153"/>
      <c r="DY199" s="153"/>
      <c r="DZ199" s="153"/>
      <c r="EA199" s="153"/>
      <c r="EB199" s="153"/>
      <c r="EC199" s="153"/>
      <c r="ED199" s="153"/>
      <c r="EE199" s="153"/>
      <c r="EF199" s="153"/>
      <c r="EG199" s="153"/>
      <c r="EH199" s="153"/>
      <c r="EI199" s="153"/>
      <c r="EJ199" s="153"/>
      <c r="EK199" s="153"/>
      <c r="EL199" s="153"/>
      <c r="EM199" s="153"/>
    </row>
    <row r="200" spans="1:143" s="107" customFormat="1" ht="10.5" hidden="1" customHeight="1" outlineLevel="1">
      <c r="A200" s="1548">
        <v>175</v>
      </c>
      <c r="B200" s="1560" t="str">
        <f t="shared" si="4"/>
        <v/>
      </c>
      <c r="C200" s="161" t="str">
        <f>GasTime(GasAnalyser,'Horiba Data'!F193,'Horiba Data'!G193,'Testo, JUM &amp; MRU Data'!A194,'Thermo Data'!B193,HourOffset)</f>
        <v/>
      </c>
      <c r="D200" s="981" t="str">
        <f>IF(D$17=FALSE,"",GasData(GasAnalyser,'Horiba Data'!S193,'Testo, JUM &amp; MRU Data'!D194,'Thermo Data'!E193,'Testo, JUM &amp; MRU Data'!U194,GDF))</f>
        <v/>
      </c>
      <c r="E200" s="981" t="str">
        <f>IF(D200="","",Conc2(D200,D$9,MolVol,D$21,D$20,E$21,E$20))</f>
        <v/>
      </c>
      <c r="F200" s="981" t="str">
        <f>IF(F$17=FALSE,"",GasData(GasAnalyser,'Horiba Data'!AQ193,'Testo, JUM &amp; MRU Data'!E194,'Thermo Data'!F193,'Testo, JUM &amp; MRU Data'!V194,GDF))</f>
        <v/>
      </c>
      <c r="G200" s="981" t="str">
        <f>IF(F200="","",Conc2(F200,F$9,MolVol,F$21,F$20,G$21,G$20))</f>
        <v/>
      </c>
      <c r="H200" s="981" t="str">
        <f>IF(D$17=FALSE,"",IF(F$17=FALSE,"",GasData(GasAnalyser,'Horiba Data'!W193,'Testo, JUM &amp; MRU Data'!F194,'Thermo Data'!G193,'Testo, JUM &amp; MRU Data'!Y194,GDF)))</f>
        <v/>
      </c>
      <c r="I200" s="981" t="str">
        <f>IF(H200="","",Conc2(H200,H$9,MolVol,H$21,H$20,I$21,I$20))</f>
        <v/>
      </c>
      <c r="J200" s="981" t="str">
        <f>IF(J$17=FALSE,"",GasData(GasAnalyser,'Horiba Data'!AM193,'Testo, JUM &amp; MRU Data'!G194,'Thermo Data'!H193,'Testo, JUM &amp; MRU Data'!W194,GDF))</f>
        <v/>
      </c>
      <c r="K200" s="981" t="str">
        <f>IF(J200="","",Conc2(J200,J$9,MolVol,J$21,J$20,K$21,K$20))</f>
        <v/>
      </c>
      <c r="L200" s="981" t="str">
        <f>IF(L$17=FALSE,"",GasData(GasAnalyser,'Horiba Data'!AA193,'Testo, JUM &amp; MRU Data'!H194,'Thermo Data'!I193,'Testo, JUM &amp; MRU Data'!T194,GDF))</f>
        <v/>
      </c>
      <c r="M200" s="981" t="str">
        <f>IF(L200="","",Conc2(L200,L$9,MolVol,L$21,L$20,M$21,M$20))</f>
        <v/>
      </c>
      <c r="N200" s="981" t="str">
        <f>IF(N$17=FALSE,"",GasData(GasAnalyser,'Horiba Data'!AE193,'Testo, JUM &amp; MRU Data'!I194,'Thermo Data'!J193,'Testo, JUM &amp; MRU Data'!S194,GDF))</f>
        <v/>
      </c>
      <c r="O200" s="981" t="str">
        <f>IF(N200="","",Conc2(N200,N$9,MolVol,N$21,N$20,O$21,O$20))</f>
        <v/>
      </c>
      <c r="P200" s="981" t="str">
        <f>IF(P$17=FALSE,"",GasData(GasAnalyser,'Horiba Data'!AI193,'Testo, JUM &amp; MRU Data'!J194,'Thermo Data'!K193,'Testo, JUM &amp; MRU Data'!R194,GDF))</f>
        <v/>
      </c>
      <c r="Q200" s="981" t="str">
        <f>IF(P200="","",Conc2(P200,P$9,MolVol,P$21,P$20,Q$21,Q$20))</f>
        <v/>
      </c>
      <c r="R200" s="981" t="str">
        <f>IF(R$17=FALSE,"",JUMData('Testo, JUM &amp; MRU Data'!M194,$R$7))</f>
        <v/>
      </c>
      <c r="S200" s="982" t="str">
        <f>IF(R200="","",Conc2(R200,R$9,MolVol,R$21,R$20,S$21,S$20)/(1-Bws))</f>
        <v/>
      </c>
      <c r="T200" s="740"/>
      <c r="AR200" s="334"/>
      <c r="AS200" s="334"/>
      <c r="AT200" s="48"/>
      <c r="AU200" s="48"/>
      <c r="AV200" s="153"/>
      <c r="AW200" s="153"/>
      <c r="AX200" s="153"/>
      <c r="AY200" s="153"/>
      <c r="AZ200" s="153"/>
      <c r="BA200" s="153"/>
      <c r="BB200" s="153"/>
      <c r="BC200" s="153"/>
      <c r="BD200" s="153"/>
      <c r="BE200" s="153"/>
      <c r="BF200" s="153"/>
      <c r="BG200" s="153"/>
      <c r="BH200" s="153"/>
      <c r="BI200" s="153"/>
      <c r="BJ200" s="153"/>
      <c r="BK200" s="153"/>
      <c r="BL200" s="153"/>
      <c r="BM200" s="153"/>
      <c r="BN200" s="153"/>
      <c r="BO200" s="153"/>
      <c r="BP200" s="153"/>
      <c r="BQ200" s="153"/>
      <c r="BR200" s="153"/>
      <c r="BS200" s="153"/>
      <c r="BT200" s="153"/>
      <c r="BU200" s="153"/>
      <c r="BV200" s="153"/>
      <c r="BW200" s="153"/>
      <c r="BX200" s="153"/>
      <c r="BY200" s="153"/>
      <c r="BZ200" s="153"/>
      <c r="CA200" s="153"/>
      <c r="CB200" s="153"/>
      <c r="CC200" s="153"/>
      <c r="CD200" s="153"/>
      <c r="CE200" s="153"/>
      <c r="CF200" s="153"/>
      <c r="CG200" s="153"/>
      <c r="CH200" s="153"/>
      <c r="CI200" s="153"/>
      <c r="CJ200" s="153"/>
      <c r="CK200" s="153"/>
      <c r="CL200" s="153"/>
      <c r="CM200" s="153"/>
      <c r="CN200" s="153"/>
      <c r="CO200" s="153"/>
      <c r="CP200" s="153"/>
      <c r="CQ200" s="153"/>
      <c r="CR200" s="153"/>
      <c r="CS200" s="153"/>
      <c r="CT200" s="153"/>
      <c r="CU200" s="153"/>
      <c r="CV200" s="153"/>
      <c r="CW200" s="153"/>
      <c r="CX200" s="153"/>
      <c r="CY200" s="153"/>
      <c r="CZ200" s="153"/>
      <c r="DA200" s="153"/>
      <c r="DB200" s="153"/>
      <c r="DC200" s="153"/>
      <c r="DD200" s="153"/>
      <c r="DE200" s="153"/>
      <c r="DF200" s="153"/>
      <c r="DG200" s="153"/>
      <c r="DH200" s="153"/>
      <c r="DI200" s="153"/>
      <c r="DJ200" s="153"/>
      <c r="DK200" s="153"/>
      <c r="DL200" s="153"/>
      <c r="DM200" s="153"/>
      <c r="DN200" s="153"/>
      <c r="DO200" s="153"/>
      <c r="DP200" s="153"/>
      <c r="DQ200" s="153"/>
      <c r="DR200" s="153"/>
      <c r="DS200" s="153"/>
      <c r="DT200" s="153"/>
      <c r="DU200" s="153"/>
      <c r="DV200" s="153"/>
      <c r="DW200" s="153"/>
      <c r="DX200" s="153"/>
      <c r="DY200" s="153"/>
      <c r="DZ200" s="153"/>
      <c r="EA200" s="153"/>
      <c r="EB200" s="153"/>
      <c r="EC200" s="153"/>
      <c r="ED200" s="153"/>
      <c r="EE200" s="153"/>
      <c r="EF200" s="153"/>
      <c r="EG200" s="153"/>
      <c r="EH200" s="153"/>
      <c r="EI200" s="153"/>
      <c r="EJ200" s="153"/>
      <c r="EK200" s="153"/>
      <c r="EL200" s="153"/>
      <c r="EM200" s="153"/>
    </row>
    <row r="201" spans="1:143" s="107" customFormat="1" ht="10.5" hidden="1" customHeight="1" outlineLevel="1">
      <c r="A201" s="1548">
        <v>176</v>
      </c>
      <c r="B201" s="1560" t="str">
        <f t="shared" si="4"/>
        <v/>
      </c>
      <c r="C201" s="161" t="str">
        <f>GasTime(GasAnalyser,'Horiba Data'!F194,'Horiba Data'!G194,'Testo, JUM &amp; MRU Data'!A195,'Thermo Data'!B194,HourOffset)</f>
        <v/>
      </c>
      <c r="D201" s="981" t="str">
        <f>IF(D$17=FALSE,"",GasData(GasAnalyser,'Horiba Data'!S194,'Testo, JUM &amp; MRU Data'!D195,'Thermo Data'!E194,'Testo, JUM &amp; MRU Data'!U195,GDF))</f>
        <v/>
      </c>
      <c r="E201" s="981" t="str">
        <f>IF(D201="","",Conc2(D201,D$9,MolVol,D$21,D$20,E$21,E$20))</f>
        <v/>
      </c>
      <c r="F201" s="981" t="str">
        <f>IF(F$17=FALSE,"",GasData(GasAnalyser,'Horiba Data'!AQ194,'Testo, JUM &amp; MRU Data'!E195,'Thermo Data'!F194,'Testo, JUM &amp; MRU Data'!V195,GDF))</f>
        <v/>
      </c>
      <c r="G201" s="981" t="str">
        <f>IF(F201="","",Conc2(F201,F$9,MolVol,F$21,F$20,G$21,G$20))</f>
        <v/>
      </c>
      <c r="H201" s="981" t="str">
        <f>IF(D$17=FALSE,"",IF(F$17=FALSE,"",GasData(GasAnalyser,'Horiba Data'!W194,'Testo, JUM &amp; MRU Data'!F195,'Thermo Data'!G194,'Testo, JUM &amp; MRU Data'!Y195,GDF)))</f>
        <v/>
      </c>
      <c r="I201" s="981" t="str">
        <f>IF(H201="","",Conc2(H201,H$9,MolVol,H$21,H$20,I$21,I$20))</f>
        <v/>
      </c>
      <c r="J201" s="981" t="str">
        <f>IF(J$17=FALSE,"",GasData(GasAnalyser,'Horiba Data'!AM194,'Testo, JUM &amp; MRU Data'!G195,'Thermo Data'!H194,'Testo, JUM &amp; MRU Data'!W195,GDF))</f>
        <v/>
      </c>
      <c r="K201" s="981" t="str">
        <f>IF(J201="","",Conc2(J201,J$9,MolVol,J$21,J$20,K$21,K$20))</f>
        <v/>
      </c>
      <c r="L201" s="981" t="str">
        <f>IF(L$17=FALSE,"",GasData(GasAnalyser,'Horiba Data'!AA194,'Testo, JUM &amp; MRU Data'!H195,'Thermo Data'!I194,'Testo, JUM &amp; MRU Data'!T195,GDF))</f>
        <v/>
      </c>
      <c r="M201" s="981" t="str">
        <f>IF(L201="","",Conc2(L201,L$9,MolVol,L$21,L$20,M$21,M$20))</f>
        <v/>
      </c>
      <c r="N201" s="981" t="str">
        <f>IF(N$17=FALSE,"",GasData(GasAnalyser,'Horiba Data'!AE194,'Testo, JUM &amp; MRU Data'!I195,'Thermo Data'!J194,'Testo, JUM &amp; MRU Data'!S195,GDF))</f>
        <v/>
      </c>
      <c r="O201" s="981" t="str">
        <f>IF(N201="","",Conc2(N201,N$9,MolVol,N$21,N$20,O$21,O$20))</f>
        <v/>
      </c>
      <c r="P201" s="981" t="str">
        <f>IF(P$17=FALSE,"",GasData(GasAnalyser,'Horiba Data'!AI194,'Testo, JUM &amp; MRU Data'!J195,'Thermo Data'!K194,'Testo, JUM &amp; MRU Data'!R195,GDF))</f>
        <v/>
      </c>
      <c r="Q201" s="981" t="str">
        <f>IF(P201="","",Conc2(P201,P$9,MolVol,P$21,P$20,Q$21,Q$20))</f>
        <v/>
      </c>
      <c r="R201" s="981" t="str">
        <f>IF(R$17=FALSE,"",JUMData('Testo, JUM &amp; MRU Data'!M195,$R$7))</f>
        <v/>
      </c>
      <c r="S201" s="982" t="str">
        <f>IF(R201="","",Conc2(R201,R$9,MolVol,R$21,R$20,S$21,S$20)/(1-Bws))</f>
        <v/>
      </c>
      <c r="T201" s="740"/>
      <c r="AR201" s="334"/>
      <c r="AS201" s="334"/>
      <c r="AT201" s="48"/>
      <c r="AU201" s="48"/>
      <c r="AV201" s="153"/>
      <c r="AW201" s="153"/>
      <c r="AX201" s="153"/>
      <c r="AY201" s="153"/>
      <c r="AZ201" s="153"/>
      <c r="BA201" s="153"/>
      <c r="BB201" s="153"/>
      <c r="BC201" s="153"/>
      <c r="BD201" s="153"/>
      <c r="BE201" s="153"/>
      <c r="BF201" s="153"/>
      <c r="BG201" s="153"/>
      <c r="BH201" s="153"/>
      <c r="BI201" s="153"/>
      <c r="BJ201" s="153"/>
      <c r="BK201" s="153"/>
      <c r="BL201" s="153"/>
      <c r="BM201" s="153"/>
      <c r="BN201" s="153"/>
      <c r="BO201" s="153"/>
      <c r="BP201" s="153"/>
      <c r="BQ201" s="153"/>
      <c r="BR201" s="153"/>
      <c r="BS201" s="153"/>
      <c r="BT201" s="153"/>
      <c r="BU201" s="153"/>
      <c r="BV201" s="153"/>
      <c r="BW201" s="153"/>
      <c r="BX201" s="153"/>
      <c r="BY201" s="153"/>
      <c r="BZ201" s="153"/>
      <c r="CA201" s="153"/>
      <c r="CB201" s="153"/>
      <c r="CC201" s="153"/>
      <c r="CD201" s="153"/>
      <c r="CE201" s="153"/>
      <c r="CF201" s="153"/>
      <c r="CG201" s="153"/>
      <c r="CH201" s="153"/>
      <c r="CI201" s="153"/>
      <c r="CJ201" s="153"/>
      <c r="CK201" s="153"/>
      <c r="CL201" s="153"/>
      <c r="CM201" s="153"/>
      <c r="CN201" s="153"/>
      <c r="CO201" s="153"/>
      <c r="CP201" s="153"/>
      <c r="CQ201" s="153"/>
      <c r="CR201" s="153"/>
      <c r="CS201" s="153"/>
      <c r="CT201" s="153"/>
      <c r="CU201" s="153"/>
      <c r="CV201" s="153"/>
      <c r="CW201" s="153"/>
      <c r="CX201" s="153"/>
      <c r="CY201" s="153"/>
      <c r="CZ201" s="153"/>
      <c r="DA201" s="153"/>
      <c r="DB201" s="153"/>
      <c r="DC201" s="153"/>
      <c r="DD201" s="153"/>
      <c r="DE201" s="153"/>
      <c r="DF201" s="153"/>
      <c r="DG201" s="153"/>
      <c r="DH201" s="153"/>
      <c r="DI201" s="153"/>
      <c r="DJ201" s="153"/>
      <c r="DK201" s="153"/>
      <c r="DL201" s="153"/>
      <c r="DM201" s="153"/>
      <c r="DN201" s="153"/>
      <c r="DO201" s="153"/>
      <c r="DP201" s="153"/>
      <c r="DQ201" s="153"/>
      <c r="DR201" s="153"/>
      <c r="DS201" s="153"/>
      <c r="DT201" s="153"/>
      <c r="DU201" s="153"/>
      <c r="DV201" s="153"/>
      <c r="DW201" s="153"/>
      <c r="DX201" s="153"/>
      <c r="DY201" s="153"/>
      <c r="DZ201" s="153"/>
      <c r="EA201" s="153"/>
      <c r="EB201" s="153"/>
      <c r="EC201" s="153"/>
      <c r="ED201" s="153"/>
      <c r="EE201" s="153"/>
      <c r="EF201" s="153"/>
      <c r="EG201" s="153"/>
      <c r="EH201" s="153"/>
      <c r="EI201" s="153"/>
      <c r="EJ201" s="153"/>
      <c r="EK201" s="153"/>
      <c r="EL201" s="153"/>
      <c r="EM201" s="153"/>
    </row>
    <row r="202" spans="1:143" s="107" customFormat="1" ht="10.5" hidden="1" customHeight="1" outlineLevel="1">
      <c r="A202" s="1548">
        <v>177</v>
      </c>
      <c r="B202" s="1560" t="str">
        <f t="shared" si="4"/>
        <v/>
      </c>
      <c r="C202" s="161" t="str">
        <f>GasTime(GasAnalyser,'Horiba Data'!F195,'Horiba Data'!G195,'Testo, JUM &amp; MRU Data'!A196,'Thermo Data'!B195,HourOffset)</f>
        <v/>
      </c>
      <c r="D202" s="981" t="str">
        <f>IF(D$17=FALSE,"",GasData(GasAnalyser,'Horiba Data'!S195,'Testo, JUM &amp; MRU Data'!D196,'Thermo Data'!E195,'Testo, JUM &amp; MRU Data'!U196,GDF))</f>
        <v/>
      </c>
      <c r="E202" s="981" t="str">
        <f>IF(D202="","",Conc2(D202,D$9,MolVol,D$21,D$20,E$21,E$20))</f>
        <v/>
      </c>
      <c r="F202" s="981" t="str">
        <f>IF(F$17=FALSE,"",GasData(GasAnalyser,'Horiba Data'!AQ195,'Testo, JUM &amp; MRU Data'!E196,'Thermo Data'!F195,'Testo, JUM &amp; MRU Data'!V196,GDF))</f>
        <v/>
      </c>
      <c r="G202" s="981" t="str">
        <f>IF(F202="","",Conc2(F202,F$9,MolVol,F$21,F$20,G$21,G$20))</f>
        <v/>
      </c>
      <c r="H202" s="981" t="str">
        <f>IF(D$17=FALSE,"",IF(F$17=FALSE,"",GasData(GasAnalyser,'Horiba Data'!W195,'Testo, JUM &amp; MRU Data'!F196,'Thermo Data'!G195,'Testo, JUM &amp; MRU Data'!Y196,GDF)))</f>
        <v/>
      </c>
      <c r="I202" s="981" t="str">
        <f>IF(H202="","",Conc2(H202,H$9,MolVol,H$21,H$20,I$21,I$20))</f>
        <v/>
      </c>
      <c r="J202" s="981" t="str">
        <f>IF(J$17=FALSE,"",GasData(GasAnalyser,'Horiba Data'!AM195,'Testo, JUM &amp; MRU Data'!G196,'Thermo Data'!H195,'Testo, JUM &amp; MRU Data'!W196,GDF))</f>
        <v/>
      </c>
      <c r="K202" s="981" t="str">
        <f>IF(J202="","",Conc2(J202,J$9,MolVol,J$21,J$20,K$21,K$20))</f>
        <v/>
      </c>
      <c r="L202" s="981" t="str">
        <f>IF(L$17=FALSE,"",GasData(GasAnalyser,'Horiba Data'!AA195,'Testo, JUM &amp; MRU Data'!H196,'Thermo Data'!I195,'Testo, JUM &amp; MRU Data'!T196,GDF))</f>
        <v/>
      </c>
      <c r="M202" s="981" t="str">
        <f>IF(L202="","",Conc2(L202,L$9,MolVol,L$21,L$20,M$21,M$20))</f>
        <v/>
      </c>
      <c r="N202" s="981" t="str">
        <f>IF(N$17=FALSE,"",GasData(GasAnalyser,'Horiba Data'!AE195,'Testo, JUM &amp; MRU Data'!I196,'Thermo Data'!J195,'Testo, JUM &amp; MRU Data'!S196,GDF))</f>
        <v/>
      </c>
      <c r="O202" s="981" t="str">
        <f>IF(N202="","",Conc2(N202,N$9,MolVol,N$21,N$20,O$21,O$20))</f>
        <v/>
      </c>
      <c r="P202" s="981" t="str">
        <f>IF(P$17=FALSE,"",GasData(GasAnalyser,'Horiba Data'!AI195,'Testo, JUM &amp; MRU Data'!J196,'Thermo Data'!K195,'Testo, JUM &amp; MRU Data'!R196,GDF))</f>
        <v/>
      </c>
      <c r="Q202" s="981" t="str">
        <f>IF(P202="","",Conc2(P202,P$9,MolVol,P$21,P$20,Q$21,Q$20))</f>
        <v/>
      </c>
      <c r="R202" s="981" t="str">
        <f>IF(R$17=FALSE,"",JUMData('Testo, JUM &amp; MRU Data'!M196,$R$7))</f>
        <v/>
      </c>
      <c r="S202" s="982" t="str">
        <f>IF(R202="","",Conc2(R202,R$9,MolVol,R$21,R$20,S$21,S$20)/(1-Bws))</f>
        <v/>
      </c>
      <c r="T202" s="740"/>
      <c r="AR202" s="334"/>
      <c r="AS202" s="334"/>
      <c r="AT202" s="48"/>
      <c r="AU202" s="48"/>
      <c r="AV202" s="153"/>
      <c r="AW202" s="153"/>
      <c r="AX202" s="153"/>
      <c r="AY202" s="153"/>
      <c r="AZ202" s="153"/>
      <c r="BA202" s="153"/>
      <c r="BB202" s="153"/>
      <c r="BC202" s="153"/>
      <c r="BD202" s="153"/>
      <c r="BE202" s="153"/>
      <c r="BF202" s="153"/>
      <c r="BG202" s="153"/>
      <c r="BH202" s="153"/>
      <c r="BI202" s="153"/>
      <c r="BJ202" s="153"/>
      <c r="BK202" s="153"/>
      <c r="BL202" s="153"/>
      <c r="BM202" s="153"/>
      <c r="BN202" s="153"/>
      <c r="BO202" s="153"/>
      <c r="BP202" s="153"/>
      <c r="BQ202" s="153"/>
      <c r="BR202" s="153"/>
      <c r="BS202" s="153"/>
      <c r="BT202" s="153"/>
      <c r="BU202" s="153"/>
      <c r="BV202" s="153"/>
      <c r="BW202" s="153"/>
      <c r="BX202" s="153"/>
      <c r="BY202" s="153"/>
      <c r="BZ202" s="153"/>
      <c r="CA202" s="153"/>
      <c r="CB202" s="153"/>
      <c r="CC202" s="153"/>
      <c r="CD202" s="153"/>
      <c r="CE202" s="153"/>
      <c r="CF202" s="153"/>
      <c r="CG202" s="153"/>
      <c r="CH202" s="153"/>
      <c r="CI202" s="153"/>
      <c r="CJ202" s="153"/>
      <c r="CK202" s="153"/>
      <c r="CL202" s="153"/>
      <c r="CM202" s="153"/>
      <c r="CN202" s="153"/>
      <c r="CO202" s="153"/>
      <c r="CP202" s="153"/>
      <c r="CQ202" s="153"/>
      <c r="CR202" s="153"/>
      <c r="CS202" s="153"/>
      <c r="CT202" s="153"/>
      <c r="CU202" s="153"/>
      <c r="CV202" s="153"/>
      <c r="CW202" s="153"/>
      <c r="CX202" s="153"/>
      <c r="CY202" s="153"/>
      <c r="CZ202" s="153"/>
      <c r="DA202" s="153"/>
      <c r="DB202" s="153"/>
      <c r="DC202" s="153"/>
      <c r="DD202" s="153"/>
      <c r="DE202" s="153"/>
      <c r="DF202" s="153"/>
      <c r="DG202" s="153"/>
      <c r="DH202" s="153"/>
      <c r="DI202" s="153"/>
      <c r="DJ202" s="153"/>
      <c r="DK202" s="153"/>
      <c r="DL202" s="153"/>
      <c r="DM202" s="153"/>
      <c r="DN202" s="153"/>
      <c r="DO202" s="153"/>
      <c r="DP202" s="153"/>
      <c r="DQ202" s="153"/>
      <c r="DR202" s="153"/>
      <c r="DS202" s="153"/>
      <c r="DT202" s="153"/>
      <c r="DU202" s="153"/>
      <c r="DV202" s="153"/>
      <c r="DW202" s="153"/>
      <c r="DX202" s="153"/>
      <c r="DY202" s="153"/>
      <c r="DZ202" s="153"/>
      <c r="EA202" s="153"/>
      <c r="EB202" s="153"/>
      <c r="EC202" s="153"/>
      <c r="ED202" s="153"/>
      <c r="EE202" s="153"/>
      <c r="EF202" s="153"/>
      <c r="EG202" s="153"/>
      <c r="EH202" s="153"/>
      <c r="EI202" s="153"/>
      <c r="EJ202" s="153"/>
      <c r="EK202" s="153"/>
      <c r="EL202" s="153"/>
      <c r="EM202" s="153"/>
    </row>
    <row r="203" spans="1:143" s="107" customFormat="1" ht="10.5" hidden="1" customHeight="1" outlineLevel="1">
      <c r="A203" s="1548">
        <v>178</v>
      </c>
      <c r="B203" s="1560" t="str">
        <f t="shared" si="4"/>
        <v/>
      </c>
      <c r="C203" s="161" t="str">
        <f>GasTime(GasAnalyser,'Horiba Data'!F196,'Horiba Data'!G196,'Testo, JUM &amp; MRU Data'!A197,'Thermo Data'!B196,HourOffset)</f>
        <v/>
      </c>
      <c r="D203" s="981" t="str">
        <f>IF(D$17=FALSE,"",GasData(GasAnalyser,'Horiba Data'!S196,'Testo, JUM &amp; MRU Data'!D197,'Thermo Data'!E196,'Testo, JUM &amp; MRU Data'!U197,GDF))</f>
        <v/>
      </c>
      <c r="E203" s="981" t="str">
        <f>IF(D203="","",Conc2(D203,D$9,MolVol,D$21,D$20,E$21,E$20))</f>
        <v/>
      </c>
      <c r="F203" s="981" t="str">
        <f>IF(F$17=FALSE,"",GasData(GasAnalyser,'Horiba Data'!AQ196,'Testo, JUM &amp; MRU Data'!E197,'Thermo Data'!F196,'Testo, JUM &amp; MRU Data'!V197,GDF))</f>
        <v/>
      </c>
      <c r="G203" s="981" t="str">
        <f>IF(F203="","",Conc2(F203,F$9,MolVol,F$21,F$20,G$21,G$20))</f>
        <v/>
      </c>
      <c r="H203" s="981" t="str">
        <f>IF(D$17=FALSE,"",IF(F$17=FALSE,"",GasData(GasAnalyser,'Horiba Data'!W196,'Testo, JUM &amp; MRU Data'!F197,'Thermo Data'!G196,'Testo, JUM &amp; MRU Data'!Y197,GDF)))</f>
        <v/>
      </c>
      <c r="I203" s="981" t="str">
        <f>IF(H203="","",Conc2(H203,H$9,MolVol,H$21,H$20,I$21,I$20))</f>
        <v/>
      </c>
      <c r="J203" s="981" t="str">
        <f>IF(J$17=FALSE,"",GasData(GasAnalyser,'Horiba Data'!AM196,'Testo, JUM &amp; MRU Data'!G197,'Thermo Data'!H196,'Testo, JUM &amp; MRU Data'!W197,GDF))</f>
        <v/>
      </c>
      <c r="K203" s="981" t="str">
        <f>IF(J203="","",Conc2(J203,J$9,MolVol,J$21,J$20,K$21,K$20))</f>
        <v/>
      </c>
      <c r="L203" s="981" t="str">
        <f>IF(L$17=FALSE,"",GasData(GasAnalyser,'Horiba Data'!AA196,'Testo, JUM &amp; MRU Data'!H197,'Thermo Data'!I196,'Testo, JUM &amp; MRU Data'!T197,GDF))</f>
        <v/>
      </c>
      <c r="M203" s="981" t="str">
        <f>IF(L203="","",Conc2(L203,L$9,MolVol,L$21,L$20,M$21,M$20))</f>
        <v/>
      </c>
      <c r="N203" s="981" t="str">
        <f>IF(N$17=FALSE,"",GasData(GasAnalyser,'Horiba Data'!AE196,'Testo, JUM &amp; MRU Data'!I197,'Thermo Data'!J196,'Testo, JUM &amp; MRU Data'!S197,GDF))</f>
        <v/>
      </c>
      <c r="O203" s="981" t="str">
        <f>IF(N203="","",Conc2(N203,N$9,MolVol,N$21,N$20,O$21,O$20))</f>
        <v/>
      </c>
      <c r="P203" s="981" t="str">
        <f>IF(P$17=FALSE,"",GasData(GasAnalyser,'Horiba Data'!AI196,'Testo, JUM &amp; MRU Data'!J197,'Thermo Data'!K196,'Testo, JUM &amp; MRU Data'!R197,GDF))</f>
        <v/>
      </c>
      <c r="Q203" s="981" t="str">
        <f>IF(P203="","",Conc2(P203,P$9,MolVol,P$21,P$20,Q$21,Q$20))</f>
        <v/>
      </c>
      <c r="R203" s="981" t="str">
        <f>IF(R$17=FALSE,"",JUMData('Testo, JUM &amp; MRU Data'!M197,$R$7))</f>
        <v/>
      </c>
      <c r="S203" s="982" t="str">
        <f>IF(R203="","",Conc2(R203,R$9,MolVol,R$21,R$20,S$21,S$20)/(1-Bws))</f>
        <v/>
      </c>
      <c r="T203" s="740"/>
      <c r="AR203" s="334"/>
      <c r="AS203" s="334"/>
      <c r="AT203" s="48"/>
      <c r="AU203" s="48"/>
      <c r="AV203" s="153"/>
      <c r="AW203" s="153"/>
      <c r="AX203" s="153"/>
      <c r="AY203" s="153"/>
      <c r="AZ203" s="153"/>
      <c r="BA203" s="153"/>
      <c r="BB203" s="153"/>
      <c r="BC203" s="153"/>
      <c r="BD203" s="153"/>
      <c r="BE203" s="153"/>
      <c r="BF203" s="153"/>
      <c r="BG203" s="153"/>
      <c r="BH203" s="153"/>
      <c r="BI203" s="153"/>
      <c r="BJ203" s="153"/>
      <c r="BK203" s="153"/>
      <c r="BL203" s="153"/>
      <c r="BM203" s="153"/>
      <c r="BN203" s="153"/>
      <c r="BO203" s="153"/>
      <c r="BP203" s="153"/>
      <c r="BQ203" s="153"/>
      <c r="BR203" s="153"/>
      <c r="BS203" s="153"/>
      <c r="BT203" s="153"/>
      <c r="BU203" s="153"/>
      <c r="BV203" s="153"/>
      <c r="BW203" s="153"/>
      <c r="BX203" s="153"/>
      <c r="BY203" s="153"/>
      <c r="BZ203" s="153"/>
      <c r="CA203" s="153"/>
      <c r="CB203" s="153"/>
      <c r="CC203" s="153"/>
      <c r="CD203" s="153"/>
      <c r="CE203" s="153"/>
      <c r="CF203" s="153"/>
      <c r="CG203" s="153"/>
      <c r="CH203" s="153"/>
      <c r="CI203" s="153"/>
      <c r="CJ203" s="153"/>
      <c r="CK203" s="153"/>
      <c r="CL203" s="153"/>
      <c r="CM203" s="153"/>
      <c r="CN203" s="153"/>
      <c r="CO203" s="153"/>
      <c r="CP203" s="153"/>
      <c r="CQ203" s="153"/>
      <c r="CR203" s="153"/>
      <c r="CS203" s="153"/>
      <c r="CT203" s="153"/>
      <c r="CU203" s="153"/>
      <c r="CV203" s="153"/>
      <c r="CW203" s="153"/>
      <c r="CX203" s="153"/>
      <c r="CY203" s="153"/>
      <c r="CZ203" s="153"/>
      <c r="DA203" s="153"/>
      <c r="DB203" s="153"/>
      <c r="DC203" s="153"/>
      <c r="DD203" s="153"/>
      <c r="DE203" s="153"/>
      <c r="DF203" s="153"/>
      <c r="DG203" s="153"/>
      <c r="DH203" s="153"/>
      <c r="DI203" s="153"/>
      <c r="DJ203" s="153"/>
      <c r="DK203" s="153"/>
      <c r="DL203" s="153"/>
      <c r="DM203" s="153"/>
      <c r="DN203" s="153"/>
      <c r="DO203" s="153"/>
      <c r="DP203" s="153"/>
      <c r="DQ203" s="153"/>
      <c r="DR203" s="153"/>
      <c r="DS203" s="153"/>
      <c r="DT203" s="153"/>
      <c r="DU203" s="153"/>
      <c r="DV203" s="153"/>
      <c r="DW203" s="153"/>
      <c r="DX203" s="153"/>
      <c r="DY203" s="153"/>
      <c r="DZ203" s="153"/>
      <c r="EA203" s="153"/>
      <c r="EB203" s="153"/>
      <c r="EC203" s="153"/>
      <c r="ED203" s="153"/>
      <c r="EE203" s="153"/>
      <c r="EF203" s="153"/>
      <c r="EG203" s="153"/>
      <c r="EH203" s="153"/>
      <c r="EI203" s="153"/>
      <c r="EJ203" s="153"/>
      <c r="EK203" s="153"/>
      <c r="EL203" s="153"/>
      <c r="EM203" s="153"/>
    </row>
    <row r="204" spans="1:143" s="107" customFormat="1" ht="10.5" hidden="1" customHeight="1" outlineLevel="1">
      <c r="A204" s="1548">
        <v>179</v>
      </c>
      <c r="B204" s="1560" t="str">
        <f t="shared" si="4"/>
        <v/>
      </c>
      <c r="C204" s="161" t="str">
        <f>GasTime(GasAnalyser,'Horiba Data'!F197,'Horiba Data'!G197,'Testo, JUM &amp; MRU Data'!A198,'Thermo Data'!B197,HourOffset)</f>
        <v/>
      </c>
      <c r="D204" s="981" t="str">
        <f>IF(D$17=FALSE,"",GasData(GasAnalyser,'Horiba Data'!S197,'Testo, JUM &amp; MRU Data'!D198,'Thermo Data'!E197,'Testo, JUM &amp; MRU Data'!U198,GDF))</f>
        <v/>
      </c>
      <c r="E204" s="981" t="str">
        <f>IF(D204="","",Conc2(D204,D$9,MolVol,D$21,D$20,E$21,E$20))</f>
        <v/>
      </c>
      <c r="F204" s="981" t="str">
        <f>IF(F$17=FALSE,"",GasData(GasAnalyser,'Horiba Data'!AQ197,'Testo, JUM &amp; MRU Data'!E198,'Thermo Data'!F197,'Testo, JUM &amp; MRU Data'!V198,GDF))</f>
        <v/>
      </c>
      <c r="G204" s="981" t="str">
        <f>IF(F204="","",Conc2(F204,F$9,MolVol,F$21,F$20,G$21,G$20))</f>
        <v/>
      </c>
      <c r="H204" s="981" t="str">
        <f>IF(D$17=FALSE,"",IF(F$17=FALSE,"",GasData(GasAnalyser,'Horiba Data'!W197,'Testo, JUM &amp; MRU Data'!F198,'Thermo Data'!G197,'Testo, JUM &amp; MRU Data'!Y198,GDF)))</f>
        <v/>
      </c>
      <c r="I204" s="981" t="str">
        <f>IF(H204="","",Conc2(H204,H$9,MolVol,H$21,H$20,I$21,I$20))</f>
        <v/>
      </c>
      <c r="J204" s="981" t="str">
        <f>IF(J$17=FALSE,"",GasData(GasAnalyser,'Horiba Data'!AM197,'Testo, JUM &amp; MRU Data'!G198,'Thermo Data'!H197,'Testo, JUM &amp; MRU Data'!W198,GDF))</f>
        <v/>
      </c>
      <c r="K204" s="981" t="str">
        <f>IF(J204="","",Conc2(J204,J$9,MolVol,J$21,J$20,K$21,K$20))</f>
        <v/>
      </c>
      <c r="L204" s="981" t="str">
        <f>IF(L$17=FALSE,"",GasData(GasAnalyser,'Horiba Data'!AA197,'Testo, JUM &amp; MRU Data'!H198,'Thermo Data'!I197,'Testo, JUM &amp; MRU Data'!T198,GDF))</f>
        <v/>
      </c>
      <c r="M204" s="981" t="str">
        <f>IF(L204="","",Conc2(L204,L$9,MolVol,L$21,L$20,M$21,M$20))</f>
        <v/>
      </c>
      <c r="N204" s="981" t="str">
        <f>IF(N$17=FALSE,"",GasData(GasAnalyser,'Horiba Data'!AE197,'Testo, JUM &amp; MRU Data'!I198,'Thermo Data'!J197,'Testo, JUM &amp; MRU Data'!S198,GDF))</f>
        <v/>
      </c>
      <c r="O204" s="981" t="str">
        <f>IF(N204="","",Conc2(N204,N$9,MolVol,N$21,N$20,O$21,O$20))</f>
        <v/>
      </c>
      <c r="P204" s="981" t="str">
        <f>IF(P$17=FALSE,"",GasData(GasAnalyser,'Horiba Data'!AI197,'Testo, JUM &amp; MRU Data'!J198,'Thermo Data'!K197,'Testo, JUM &amp; MRU Data'!R198,GDF))</f>
        <v/>
      </c>
      <c r="Q204" s="981" t="str">
        <f>IF(P204="","",Conc2(P204,P$9,MolVol,P$21,P$20,Q$21,Q$20))</f>
        <v/>
      </c>
      <c r="R204" s="981" t="str">
        <f>IF(R$17=FALSE,"",JUMData('Testo, JUM &amp; MRU Data'!M198,$R$7))</f>
        <v/>
      </c>
      <c r="S204" s="982" t="str">
        <f>IF(R204="","",Conc2(R204,R$9,MolVol,R$21,R$20,S$21,S$20)/(1-Bws))</f>
        <v/>
      </c>
      <c r="T204" s="740"/>
      <c r="AR204" s="334"/>
      <c r="AS204" s="334"/>
      <c r="AT204" s="48"/>
      <c r="AU204" s="48"/>
      <c r="AV204" s="153"/>
      <c r="AW204" s="153"/>
      <c r="AX204" s="153"/>
      <c r="AY204" s="153"/>
      <c r="AZ204" s="153"/>
      <c r="BA204" s="153"/>
      <c r="BB204" s="153"/>
      <c r="BC204" s="153"/>
      <c r="BD204" s="153"/>
      <c r="BE204" s="153"/>
      <c r="BF204" s="153"/>
      <c r="BG204" s="153"/>
      <c r="BH204" s="153"/>
      <c r="BI204" s="153"/>
      <c r="BJ204" s="153"/>
      <c r="BK204" s="153"/>
      <c r="BL204" s="153"/>
      <c r="BM204" s="153"/>
      <c r="BN204" s="153"/>
      <c r="BO204" s="153"/>
      <c r="BP204" s="153"/>
      <c r="BQ204" s="153"/>
      <c r="BR204" s="153"/>
      <c r="BS204" s="153"/>
      <c r="BT204" s="153"/>
      <c r="BU204" s="153"/>
      <c r="BV204" s="153"/>
      <c r="BW204" s="153"/>
      <c r="BX204" s="153"/>
      <c r="BY204" s="153"/>
      <c r="BZ204" s="153"/>
      <c r="CA204" s="153"/>
      <c r="CB204" s="153"/>
      <c r="CC204" s="153"/>
      <c r="CD204" s="153"/>
      <c r="CE204" s="153"/>
      <c r="CF204" s="153"/>
      <c r="CG204" s="153"/>
      <c r="CH204" s="153"/>
      <c r="CI204" s="153"/>
      <c r="CJ204" s="153"/>
      <c r="CK204" s="153"/>
      <c r="CL204" s="153"/>
      <c r="CM204" s="153"/>
      <c r="CN204" s="153"/>
      <c r="CO204" s="153"/>
      <c r="CP204" s="153"/>
      <c r="CQ204" s="153"/>
      <c r="CR204" s="153"/>
      <c r="CS204" s="153"/>
      <c r="CT204" s="153"/>
      <c r="CU204" s="153"/>
      <c r="CV204" s="153"/>
      <c r="CW204" s="153"/>
      <c r="CX204" s="153"/>
      <c r="CY204" s="153"/>
      <c r="CZ204" s="153"/>
      <c r="DA204" s="153"/>
      <c r="DB204" s="153"/>
      <c r="DC204" s="153"/>
      <c r="DD204" s="153"/>
      <c r="DE204" s="153"/>
      <c r="DF204" s="153"/>
      <c r="DG204" s="153"/>
      <c r="DH204" s="153"/>
      <c r="DI204" s="153"/>
      <c r="DJ204" s="153"/>
      <c r="DK204" s="153"/>
      <c r="DL204" s="153"/>
      <c r="DM204" s="153"/>
      <c r="DN204" s="153"/>
      <c r="DO204" s="153"/>
      <c r="DP204" s="153"/>
      <c r="DQ204" s="153"/>
      <c r="DR204" s="153"/>
      <c r="DS204" s="153"/>
      <c r="DT204" s="153"/>
      <c r="DU204" s="153"/>
      <c r="DV204" s="153"/>
      <c r="DW204" s="153"/>
      <c r="DX204" s="153"/>
      <c r="DY204" s="153"/>
      <c r="DZ204" s="153"/>
      <c r="EA204" s="153"/>
      <c r="EB204" s="153"/>
      <c r="EC204" s="153"/>
      <c r="ED204" s="153"/>
      <c r="EE204" s="153"/>
      <c r="EF204" s="153"/>
      <c r="EG204" s="153"/>
      <c r="EH204" s="153"/>
      <c r="EI204" s="153"/>
      <c r="EJ204" s="153"/>
      <c r="EK204" s="153"/>
      <c r="EL204" s="153"/>
      <c r="EM204" s="153"/>
    </row>
    <row r="205" spans="1:143" s="107" customFormat="1" ht="10.5" hidden="1" customHeight="1" outlineLevel="1">
      <c r="A205" s="1548">
        <v>180</v>
      </c>
      <c r="B205" s="1560" t="str">
        <f t="shared" si="4"/>
        <v/>
      </c>
      <c r="C205" s="161" t="str">
        <f>GasTime(GasAnalyser,'Horiba Data'!F198,'Horiba Data'!G198,'Testo, JUM &amp; MRU Data'!A199,'Thermo Data'!B198,HourOffset)</f>
        <v/>
      </c>
      <c r="D205" s="981" t="str">
        <f>IF(D$17=FALSE,"",GasData(GasAnalyser,'Horiba Data'!S198,'Testo, JUM &amp; MRU Data'!D199,'Thermo Data'!E198,'Testo, JUM &amp; MRU Data'!U199,GDF))</f>
        <v/>
      </c>
      <c r="E205" s="981" t="str">
        <f>IF(D205="","",Conc2(D205,D$9,MolVol,D$21,D$20,E$21,E$20))</f>
        <v/>
      </c>
      <c r="F205" s="981" t="str">
        <f>IF(F$17=FALSE,"",GasData(GasAnalyser,'Horiba Data'!AQ198,'Testo, JUM &amp; MRU Data'!E199,'Thermo Data'!F198,'Testo, JUM &amp; MRU Data'!V199,GDF))</f>
        <v/>
      </c>
      <c r="G205" s="981" t="str">
        <f>IF(F205="","",Conc2(F205,F$9,MolVol,F$21,F$20,G$21,G$20))</f>
        <v/>
      </c>
      <c r="H205" s="981" t="str">
        <f>IF(D$17=FALSE,"",IF(F$17=FALSE,"",GasData(GasAnalyser,'Horiba Data'!W198,'Testo, JUM &amp; MRU Data'!F199,'Thermo Data'!G198,'Testo, JUM &amp; MRU Data'!Y199,GDF)))</f>
        <v/>
      </c>
      <c r="I205" s="981" t="str">
        <f>IF(H205="","",Conc2(H205,H$9,MolVol,H$21,H$20,I$21,I$20))</f>
        <v/>
      </c>
      <c r="J205" s="981" t="str">
        <f>IF(J$17=FALSE,"",GasData(GasAnalyser,'Horiba Data'!AM198,'Testo, JUM &amp; MRU Data'!G199,'Thermo Data'!H198,'Testo, JUM &amp; MRU Data'!W199,GDF))</f>
        <v/>
      </c>
      <c r="K205" s="981" t="str">
        <f>IF(J205="","",Conc2(J205,J$9,MolVol,J$21,J$20,K$21,K$20))</f>
        <v/>
      </c>
      <c r="L205" s="981" t="str">
        <f>IF(L$17=FALSE,"",GasData(GasAnalyser,'Horiba Data'!AA198,'Testo, JUM &amp; MRU Data'!H199,'Thermo Data'!I198,'Testo, JUM &amp; MRU Data'!T199,GDF))</f>
        <v/>
      </c>
      <c r="M205" s="981" t="str">
        <f>IF(L205="","",Conc2(L205,L$9,MolVol,L$21,L$20,M$21,M$20))</f>
        <v/>
      </c>
      <c r="N205" s="981" t="str">
        <f>IF(N$17=FALSE,"",GasData(GasAnalyser,'Horiba Data'!AE198,'Testo, JUM &amp; MRU Data'!I199,'Thermo Data'!J198,'Testo, JUM &amp; MRU Data'!S199,GDF))</f>
        <v/>
      </c>
      <c r="O205" s="981" t="str">
        <f>IF(N205="","",Conc2(N205,N$9,MolVol,N$21,N$20,O$21,O$20))</f>
        <v/>
      </c>
      <c r="P205" s="981" t="str">
        <f>IF(P$17=FALSE,"",GasData(GasAnalyser,'Horiba Data'!AI198,'Testo, JUM &amp; MRU Data'!J199,'Thermo Data'!K198,'Testo, JUM &amp; MRU Data'!R199,GDF))</f>
        <v/>
      </c>
      <c r="Q205" s="981" t="str">
        <f>IF(P205="","",Conc2(P205,P$9,MolVol,P$21,P$20,Q$21,Q$20))</f>
        <v/>
      </c>
      <c r="R205" s="981" t="str">
        <f>IF(R$17=FALSE,"",JUMData('Testo, JUM &amp; MRU Data'!M199,$R$7))</f>
        <v/>
      </c>
      <c r="S205" s="982" t="str">
        <f>IF(R205="","",Conc2(R205,R$9,MolVol,R$21,R$20,S$21,S$20)/(1-Bws))</f>
        <v/>
      </c>
      <c r="T205" s="740"/>
      <c r="AR205" s="334"/>
      <c r="AS205" s="334"/>
      <c r="AT205" s="48"/>
      <c r="AU205" s="48"/>
      <c r="AV205" s="153"/>
      <c r="AW205" s="153"/>
      <c r="AX205" s="153"/>
      <c r="AY205" s="153"/>
      <c r="AZ205" s="153"/>
      <c r="BA205" s="153"/>
      <c r="BB205" s="153"/>
      <c r="BC205" s="153"/>
      <c r="BD205" s="153"/>
      <c r="BE205" s="153"/>
      <c r="BF205" s="153"/>
      <c r="BG205" s="153"/>
      <c r="BH205" s="153"/>
      <c r="BI205" s="153"/>
      <c r="BJ205" s="153"/>
      <c r="BK205" s="153"/>
      <c r="BL205" s="153"/>
      <c r="BM205" s="153"/>
      <c r="BN205" s="153"/>
      <c r="BO205" s="153"/>
      <c r="BP205" s="153"/>
      <c r="BQ205" s="153"/>
      <c r="BR205" s="153"/>
      <c r="BS205" s="153"/>
      <c r="BT205" s="153"/>
      <c r="BU205" s="153"/>
      <c r="BV205" s="153"/>
      <c r="BW205" s="153"/>
      <c r="BX205" s="153"/>
      <c r="BY205" s="153"/>
      <c r="BZ205" s="153"/>
      <c r="CA205" s="153"/>
      <c r="CB205" s="153"/>
      <c r="CC205" s="153"/>
      <c r="CD205" s="153"/>
      <c r="CE205" s="153"/>
      <c r="CF205" s="153"/>
      <c r="CG205" s="153"/>
      <c r="CH205" s="153"/>
      <c r="CI205" s="153"/>
      <c r="CJ205" s="153"/>
      <c r="CK205" s="153"/>
      <c r="CL205" s="153"/>
      <c r="CM205" s="153"/>
      <c r="CN205" s="153"/>
      <c r="CO205" s="153"/>
      <c r="CP205" s="153"/>
      <c r="CQ205" s="153"/>
      <c r="CR205" s="153"/>
      <c r="CS205" s="153"/>
      <c r="CT205" s="153"/>
      <c r="CU205" s="153"/>
      <c r="CV205" s="153"/>
      <c r="CW205" s="153"/>
      <c r="CX205" s="153"/>
      <c r="CY205" s="153"/>
      <c r="CZ205" s="153"/>
      <c r="DA205" s="153"/>
      <c r="DB205" s="153"/>
      <c r="DC205" s="153"/>
      <c r="DD205" s="153"/>
      <c r="DE205" s="153"/>
      <c r="DF205" s="153"/>
      <c r="DG205" s="153"/>
      <c r="DH205" s="153"/>
      <c r="DI205" s="153"/>
      <c r="DJ205" s="153"/>
      <c r="DK205" s="153"/>
      <c r="DL205" s="153"/>
      <c r="DM205" s="153"/>
      <c r="DN205" s="153"/>
      <c r="DO205" s="153"/>
      <c r="DP205" s="153"/>
      <c r="DQ205" s="153"/>
      <c r="DR205" s="153"/>
      <c r="DS205" s="153"/>
      <c r="DT205" s="153"/>
      <c r="DU205" s="153"/>
      <c r="DV205" s="153"/>
      <c r="DW205" s="153"/>
      <c r="DX205" s="153"/>
      <c r="DY205" s="153"/>
      <c r="DZ205" s="153"/>
      <c r="EA205" s="153"/>
      <c r="EB205" s="153"/>
      <c r="EC205" s="153"/>
      <c r="ED205" s="153"/>
      <c r="EE205" s="153"/>
      <c r="EF205" s="153"/>
      <c r="EG205" s="153"/>
      <c r="EH205" s="153"/>
      <c r="EI205" s="153"/>
      <c r="EJ205" s="153"/>
      <c r="EK205" s="153"/>
      <c r="EL205" s="153"/>
      <c r="EM205" s="153"/>
    </row>
    <row r="206" spans="1:143" s="107" customFormat="1" ht="10.5" hidden="1" customHeight="1" outlineLevel="2">
      <c r="A206" s="1548">
        <v>181</v>
      </c>
      <c r="B206" s="1560" t="str">
        <f t="shared" si="4"/>
        <v/>
      </c>
      <c r="C206" s="161" t="str">
        <f>GasTime(GasAnalyser,'Horiba Data'!F199,'Horiba Data'!G199,'Testo, JUM &amp; MRU Data'!A200,'Thermo Data'!B199,HourOffset)</f>
        <v/>
      </c>
      <c r="D206" s="981" t="str">
        <f>IF(D$17=FALSE,"",GasData(GasAnalyser,'Horiba Data'!S199,'Testo, JUM &amp; MRU Data'!D200,'Thermo Data'!E199,'Testo, JUM &amp; MRU Data'!U200,GDF))</f>
        <v/>
      </c>
      <c r="E206" s="981" t="str">
        <f>IF(D206="","",Conc2(D206,D$9,MolVol,D$21,D$20,E$21,E$20))</f>
        <v/>
      </c>
      <c r="F206" s="981" t="str">
        <f>IF(F$17=FALSE,"",GasData(GasAnalyser,'Horiba Data'!AQ199,'Testo, JUM &amp; MRU Data'!E200,'Thermo Data'!F199,'Testo, JUM &amp; MRU Data'!V200,GDF))</f>
        <v/>
      </c>
      <c r="G206" s="981" t="str">
        <f>IF(F206="","",Conc2(F206,F$9,MolVol,F$21,F$20,G$21,G$20))</f>
        <v/>
      </c>
      <c r="H206" s="981" t="str">
        <f>IF(D$17=FALSE,"",IF(F$17=FALSE,"",GasData(GasAnalyser,'Horiba Data'!W199,'Testo, JUM &amp; MRU Data'!F200,'Thermo Data'!G199,'Testo, JUM &amp; MRU Data'!Y200,GDF)))</f>
        <v/>
      </c>
      <c r="I206" s="981" t="str">
        <f>IF(H206="","",Conc2(H206,H$9,MolVol,H$21,H$20,I$21,I$20))</f>
        <v/>
      </c>
      <c r="J206" s="981" t="str">
        <f>IF(J$17=FALSE,"",GasData(GasAnalyser,'Horiba Data'!AM199,'Testo, JUM &amp; MRU Data'!G200,'Thermo Data'!H199,'Testo, JUM &amp; MRU Data'!W200,GDF))</f>
        <v/>
      </c>
      <c r="K206" s="981" t="str">
        <f>IF(J206="","",Conc2(J206,J$9,MolVol,J$21,J$20,K$21,K$20))</f>
        <v/>
      </c>
      <c r="L206" s="981" t="str">
        <f>IF(L$17=FALSE,"",GasData(GasAnalyser,'Horiba Data'!AA199,'Testo, JUM &amp; MRU Data'!H200,'Thermo Data'!I199,'Testo, JUM &amp; MRU Data'!T200,GDF))</f>
        <v/>
      </c>
      <c r="M206" s="981" t="str">
        <f>IF(L206="","",Conc2(L206,L$9,MolVol,L$21,L$20,M$21,M$20))</f>
        <v/>
      </c>
      <c r="N206" s="981" t="str">
        <f>IF(N$17=FALSE,"",GasData(GasAnalyser,'Horiba Data'!AE199,'Testo, JUM &amp; MRU Data'!I200,'Thermo Data'!J199,'Testo, JUM &amp; MRU Data'!S200,GDF))</f>
        <v/>
      </c>
      <c r="O206" s="981" t="str">
        <f>IF(N206="","",Conc2(N206,N$9,MolVol,N$21,N$20,O$21,O$20))</f>
        <v/>
      </c>
      <c r="P206" s="981" t="str">
        <f>IF(P$17=FALSE,"",GasData(GasAnalyser,'Horiba Data'!AI199,'Testo, JUM &amp; MRU Data'!J200,'Thermo Data'!K199,'Testo, JUM &amp; MRU Data'!R200,GDF))</f>
        <v/>
      </c>
      <c r="Q206" s="981" t="str">
        <f>IF(P206="","",Conc2(P206,P$9,MolVol,P$21,P$20,Q$21,Q$20))</f>
        <v/>
      </c>
      <c r="R206" s="981" t="str">
        <f>IF(R$17=FALSE,"",JUMData('Testo, JUM &amp; MRU Data'!M200,$R$7))</f>
        <v/>
      </c>
      <c r="S206" s="982" t="str">
        <f>IF(R206="","",Conc2(R206,R$9,MolVol,R$21,R$20,S$21,S$20)/(1-Bws))</f>
        <v/>
      </c>
      <c r="T206" s="740"/>
      <c r="AR206" s="334"/>
      <c r="AS206" s="334"/>
      <c r="AT206" s="48"/>
      <c r="AU206" s="48"/>
      <c r="AV206" s="153"/>
      <c r="AW206" s="153"/>
      <c r="AX206" s="153"/>
      <c r="AY206" s="153"/>
      <c r="AZ206" s="153"/>
      <c r="BA206" s="153"/>
      <c r="BB206" s="153"/>
      <c r="BC206" s="153"/>
      <c r="BD206" s="153"/>
      <c r="BE206" s="153"/>
      <c r="BF206" s="153"/>
      <c r="BG206" s="153"/>
      <c r="BH206" s="153"/>
      <c r="BI206" s="153"/>
      <c r="BJ206" s="153"/>
      <c r="BK206" s="153"/>
      <c r="BL206" s="153"/>
      <c r="BM206" s="153"/>
      <c r="BN206" s="153"/>
      <c r="BO206" s="153"/>
      <c r="BP206" s="153"/>
      <c r="BQ206" s="153"/>
      <c r="BR206" s="153"/>
      <c r="BS206" s="153"/>
      <c r="BT206" s="153"/>
      <c r="BU206" s="153"/>
      <c r="BV206" s="153"/>
      <c r="BW206" s="153"/>
      <c r="BX206" s="153"/>
      <c r="BY206" s="153"/>
      <c r="BZ206" s="153"/>
      <c r="CA206" s="153"/>
      <c r="CB206" s="153"/>
      <c r="CC206" s="153"/>
      <c r="CD206" s="153"/>
      <c r="CE206" s="153"/>
      <c r="CF206" s="153"/>
      <c r="CG206" s="153"/>
      <c r="CH206" s="153"/>
      <c r="CI206" s="153"/>
      <c r="CJ206" s="153"/>
      <c r="CK206" s="153"/>
      <c r="CL206" s="153"/>
      <c r="CM206" s="153"/>
      <c r="CN206" s="153"/>
      <c r="CO206" s="153"/>
      <c r="CP206" s="153"/>
      <c r="CQ206" s="153"/>
      <c r="CR206" s="153"/>
      <c r="CS206" s="153"/>
      <c r="CT206" s="153"/>
      <c r="CU206" s="153"/>
      <c r="CV206" s="153"/>
      <c r="CW206" s="153"/>
      <c r="CX206" s="153"/>
      <c r="CY206" s="153"/>
      <c r="CZ206" s="153"/>
      <c r="DA206" s="153"/>
      <c r="DB206" s="153"/>
      <c r="DC206" s="153"/>
      <c r="DD206" s="153"/>
      <c r="DE206" s="153"/>
      <c r="DF206" s="153"/>
      <c r="DG206" s="153"/>
      <c r="DH206" s="153"/>
      <c r="DI206" s="153"/>
      <c r="DJ206" s="153"/>
      <c r="DK206" s="153"/>
      <c r="DL206" s="153"/>
      <c r="DM206" s="153"/>
      <c r="DN206" s="153"/>
      <c r="DO206" s="153"/>
      <c r="DP206" s="153"/>
      <c r="DQ206" s="153"/>
      <c r="DR206" s="153"/>
      <c r="DS206" s="153"/>
      <c r="DT206" s="153"/>
      <c r="DU206" s="153"/>
      <c r="DV206" s="153"/>
      <c r="DW206" s="153"/>
      <c r="DX206" s="153"/>
      <c r="DY206" s="153"/>
      <c r="DZ206" s="153"/>
      <c r="EA206" s="153"/>
      <c r="EB206" s="153"/>
      <c r="EC206" s="153"/>
      <c r="ED206" s="153"/>
      <c r="EE206" s="153"/>
      <c r="EF206" s="153"/>
      <c r="EG206" s="153"/>
      <c r="EH206" s="153"/>
      <c r="EI206" s="153"/>
      <c r="EJ206" s="153"/>
      <c r="EK206" s="153"/>
      <c r="EL206" s="153"/>
      <c r="EM206" s="153"/>
    </row>
    <row r="207" spans="1:143" s="107" customFormat="1" ht="10.5" hidden="1" customHeight="1" outlineLevel="2">
      <c r="A207" s="1548">
        <v>182</v>
      </c>
      <c r="B207" s="1560" t="str">
        <f t="shared" si="4"/>
        <v/>
      </c>
      <c r="C207" s="161" t="str">
        <f>GasTime(GasAnalyser,'Horiba Data'!F200,'Horiba Data'!G200,'Testo, JUM &amp; MRU Data'!A201,'Thermo Data'!B200,HourOffset)</f>
        <v/>
      </c>
      <c r="D207" s="981" t="str">
        <f>IF(D$17=FALSE,"",GasData(GasAnalyser,'Horiba Data'!S200,'Testo, JUM &amp; MRU Data'!D201,'Thermo Data'!E200,'Testo, JUM &amp; MRU Data'!U201,GDF))</f>
        <v/>
      </c>
      <c r="E207" s="981" t="str">
        <f>IF(D207="","",Conc2(D207,D$9,MolVol,D$21,D$20,E$21,E$20))</f>
        <v/>
      </c>
      <c r="F207" s="981" t="str">
        <f>IF(F$17=FALSE,"",GasData(GasAnalyser,'Horiba Data'!AQ200,'Testo, JUM &amp; MRU Data'!E201,'Thermo Data'!F200,'Testo, JUM &amp; MRU Data'!V201,GDF))</f>
        <v/>
      </c>
      <c r="G207" s="981" t="str">
        <f>IF(F207="","",Conc2(F207,F$9,MolVol,F$21,F$20,G$21,G$20))</f>
        <v/>
      </c>
      <c r="H207" s="981" t="str">
        <f>IF(D$17=FALSE,"",IF(F$17=FALSE,"",GasData(GasAnalyser,'Horiba Data'!W200,'Testo, JUM &amp; MRU Data'!F201,'Thermo Data'!G200,'Testo, JUM &amp; MRU Data'!Y201,GDF)))</f>
        <v/>
      </c>
      <c r="I207" s="981" t="str">
        <f>IF(H207="","",Conc2(H207,H$9,MolVol,H$21,H$20,I$21,I$20))</f>
        <v/>
      </c>
      <c r="J207" s="981" t="str">
        <f>IF(J$17=FALSE,"",GasData(GasAnalyser,'Horiba Data'!AM200,'Testo, JUM &amp; MRU Data'!G201,'Thermo Data'!H200,'Testo, JUM &amp; MRU Data'!W201,GDF))</f>
        <v/>
      </c>
      <c r="K207" s="981" t="str">
        <f>IF(J207="","",Conc2(J207,J$9,MolVol,J$21,J$20,K$21,K$20))</f>
        <v/>
      </c>
      <c r="L207" s="981" t="str">
        <f>IF(L$17=FALSE,"",GasData(GasAnalyser,'Horiba Data'!AA200,'Testo, JUM &amp; MRU Data'!H201,'Thermo Data'!I200,'Testo, JUM &amp; MRU Data'!T201,GDF))</f>
        <v/>
      </c>
      <c r="M207" s="981" t="str">
        <f>IF(L207="","",Conc2(L207,L$9,MolVol,L$21,L$20,M$21,M$20))</f>
        <v/>
      </c>
      <c r="N207" s="981" t="str">
        <f>IF(N$17=FALSE,"",GasData(GasAnalyser,'Horiba Data'!AE200,'Testo, JUM &amp; MRU Data'!I201,'Thermo Data'!J200,'Testo, JUM &amp; MRU Data'!S201,GDF))</f>
        <v/>
      </c>
      <c r="O207" s="981" t="str">
        <f>IF(N207="","",Conc2(N207,N$9,MolVol,N$21,N$20,O$21,O$20))</f>
        <v/>
      </c>
      <c r="P207" s="981" t="str">
        <f>IF(P$17=FALSE,"",GasData(GasAnalyser,'Horiba Data'!AI200,'Testo, JUM &amp; MRU Data'!J201,'Thermo Data'!K200,'Testo, JUM &amp; MRU Data'!R201,GDF))</f>
        <v/>
      </c>
      <c r="Q207" s="981" t="str">
        <f>IF(P207="","",Conc2(P207,P$9,MolVol,P$21,P$20,Q$21,Q$20))</f>
        <v/>
      </c>
      <c r="R207" s="981" t="str">
        <f>IF(R$17=FALSE,"",JUMData('Testo, JUM &amp; MRU Data'!M201,$R$7))</f>
        <v/>
      </c>
      <c r="S207" s="982" t="str">
        <f>IF(R207="","",Conc2(R207,R$9,MolVol,R$21,R$20,S$21,S$20)/(1-Bws))</f>
        <v/>
      </c>
      <c r="T207" s="740"/>
      <c r="AR207" s="334"/>
      <c r="AS207" s="334"/>
      <c r="AT207" s="48"/>
      <c r="AU207" s="48"/>
      <c r="AV207" s="153"/>
      <c r="AW207" s="153"/>
      <c r="AX207" s="153"/>
      <c r="AY207" s="153"/>
      <c r="AZ207" s="153"/>
      <c r="BA207" s="153"/>
      <c r="BB207" s="153"/>
      <c r="BC207" s="153"/>
      <c r="BD207" s="153"/>
      <c r="BE207" s="153"/>
      <c r="BF207" s="153"/>
      <c r="BG207" s="153"/>
      <c r="BH207" s="153"/>
      <c r="BI207" s="153"/>
      <c r="BJ207" s="153"/>
      <c r="BK207" s="153"/>
      <c r="BL207" s="153"/>
      <c r="BM207" s="153"/>
      <c r="BN207" s="153"/>
      <c r="BO207" s="153"/>
      <c r="BP207" s="153"/>
      <c r="BQ207" s="153"/>
      <c r="BR207" s="153"/>
      <c r="BS207" s="153"/>
      <c r="BT207" s="153"/>
      <c r="BU207" s="153"/>
      <c r="BV207" s="153"/>
      <c r="BW207" s="153"/>
      <c r="BX207" s="153"/>
      <c r="BY207" s="153"/>
      <c r="BZ207" s="153"/>
      <c r="CA207" s="153"/>
      <c r="CB207" s="153"/>
      <c r="CC207" s="153"/>
      <c r="CD207" s="153"/>
      <c r="CE207" s="153"/>
      <c r="CF207" s="153"/>
      <c r="CG207" s="153"/>
      <c r="CH207" s="153"/>
      <c r="CI207" s="153"/>
      <c r="CJ207" s="153"/>
      <c r="CK207" s="153"/>
      <c r="CL207" s="153"/>
      <c r="CM207" s="153"/>
      <c r="CN207" s="153"/>
      <c r="CO207" s="153"/>
      <c r="CP207" s="153"/>
      <c r="CQ207" s="153"/>
      <c r="CR207" s="153"/>
      <c r="CS207" s="153"/>
      <c r="CT207" s="153"/>
      <c r="CU207" s="153"/>
      <c r="CV207" s="153"/>
      <c r="CW207" s="153"/>
      <c r="CX207" s="153"/>
      <c r="CY207" s="153"/>
      <c r="CZ207" s="153"/>
      <c r="DA207" s="153"/>
      <c r="DB207" s="153"/>
      <c r="DC207" s="153"/>
      <c r="DD207" s="153"/>
      <c r="DE207" s="153"/>
      <c r="DF207" s="153"/>
      <c r="DG207" s="153"/>
      <c r="DH207" s="153"/>
      <c r="DI207" s="153"/>
      <c r="DJ207" s="153"/>
      <c r="DK207" s="153"/>
      <c r="DL207" s="153"/>
      <c r="DM207" s="153"/>
      <c r="DN207" s="153"/>
      <c r="DO207" s="153"/>
      <c r="DP207" s="153"/>
      <c r="DQ207" s="153"/>
      <c r="DR207" s="153"/>
      <c r="DS207" s="153"/>
      <c r="DT207" s="153"/>
      <c r="DU207" s="153"/>
      <c r="DV207" s="153"/>
      <c r="DW207" s="153"/>
      <c r="DX207" s="153"/>
      <c r="DY207" s="153"/>
      <c r="DZ207" s="153"/>
      <c r="EA207" s="153"/>
      <c r="EB207" s="153"/>
      <c r="EC207" s="153"/>
      <c r="ED207" s="153"/>
      <c r="EE207" s="153"/>
      <c r="EF207" s="153"/>
      <c r="EG207" s="153"/>
      <c r="EH207" s="153"/>
      <c r="EI207" s="153"/>
      <c r="EJ207" s="153"/>
      <c r="EK207" s="153"/>
      <c r="EL207" s="153"/>
      <c r="EM207" s="153"/>
    </row>
    <row r="208" spans="1:143" s="107" customFormat="1" ht="10.5" hidden="1" customHeight="1" outlineLevel="2">
      <c r="A208" s="1548">
        <v>183</v>
      </c>
      <c r="B208" s="1560" t="str">
        <f t="shared" si="4"/>
        <v/>
      </c>
      <c r="C208" s="161" t="str">
        <f>GasTime(GasAnalyser,'Horiba Data'!F201,'Horiba Data'!G201,'Testo, JUM &amp; MRU Data'!A202,'Thermo Data'!B201,HourOffset)</f>
        <v/>
      </c>
      <c r="D208" s="981" t="str">
        <f>IF(D$17=FALSE,"",GasData(GasAnalyser,'Horiba Data'!S201,'Testo, JUM &amp; MRU Data'!D202,'Thermo Data'!E201,'Testo, JUM &amp; MRU Data'!U202,GDF))</f>
        <v/>
      </c>
      <c r="E208" s="981" t="str">
        <f>IF(D208="","",Conc2(D208,D$9,MolVol,D$21,D$20,E$21,E$20))</f>
        <v/>
      </c>
      <c r="F208" s="981" t="str">
        <f>IF(F$17=FALSE,"",GasData(GasAnalyser,'Horiba Data'!AQ201,'Testo, JUM &amp; MRU Data'!E202,'Thermo Data'!F201,'Testo, JUM &amp; MRU Data'!V202,GDF))</f>
        <v/>
      </c>
      <c r="G208" s="981" t="str">
        <f>IF(F208="","",Conc2(F208,F$9,MolVol,F$21,F$20,G$21,G$20))</f>
        <v/>
      </c>
      <c r="H208" s="981" t="str">
        <f>IF(D$17=FALSE,"",IF(F$17=FALSE,"",GasData(GasAnalyser,'Horiba Data'!W201,'Testo, JUM &amp; MRU Data'!F202,'Thermo Data'!G201,'Testo, JUM &amp; MRU Data'!Y202,GDF)))</f>
        <v/>
      </c>
      <c r="I208" s="981" t="str">
        <f>IF(H208="","",Conc2(H208,H$9,MolVol,H$21,H$20,I$21,I$20))</f>
        <v/>
      </c>
      <c r="J208" s="981" t="str">
        <f>IF(J$17=FALSE,"",GasData(GasAnalyser,'Horiba Data'!AM201,'Testo, JUM &amp; MRU Data'!G202,'Thermo Data'!H201,'Testo, JUM &amp; MRU Data'!W202,GDF))</f>
        <v/>
      </c>
      <c r="K208" s="981" t="str">
        <f>IF(J208="","",Conc2(J208,J$9,MolVol,J$21,J$20,K$21,K$20))</f>
        <v/>
      </c>
      <c r="L208" s="981" t="str">
        <f>IF(L$17=FALSE,"",GasData(GasAnalyser,'Horiba Data'!AA201,'Testo, JUM &amp; MRU Data'!H202,'Thermo Data'!I201,'Testo, JUM &amp; MRU Data'!T202,GDF))</f>
        <v/>
      </c>
      <c r="M208" s="981" t="str">
        <f>IF(L208="","",Conc2(L208,L$9,MolVol,L$21,L$20,M$21,M$20))</f>
        <v/>
      </c>
      <c r="N208" s="981" t="str">
        <f>IF(N$17=FALSE,"",GasData(GasAnalyser,'Horiba Data'!AE201,'Testo, JUM &amp; MRU Data'!I202,'Thermo Data'!J201,'Testo, JUM &amp; MRU Data'!S202,GDF))</f>
        <v/>
      </c>
      <c r="O208" s="981" t="str">
        <f>IF(N208="","",Conc2(N208,N$9,MolVol,N$21,N$20,O$21,O$20))</f>
        <v/>
      </c>
      <c r="P208" s="981" t="str">
        <f>IF(P$17=FALSE,"",GasData(GasAnalyser,'Horiba Data'!AI201,'Testo, JUM &amp; MRU Data'!J202,'Thermo Data'!K201,'Testo, JUM &amp; MRU Data'!R202,GDF))</f>
        <v/>
      </c>
      <c r="Q208" s="981" t="str">
        <f>IF(P208="","",Conc2(P208,P$9,MolVol,P$21,P$20,Q$21,Q$20))</f>
        <v/>
      </c>
      <c r="R208" s="981" t="str">
        <f>IF(R$17=FALSE,"",JUMData('Testo, JUM &amp; MRU Data'!M202,$R$7))</f>
        <v/>
      </c>
      <c r="S208" s="982" t="str">
        <f>IF(R208="","",Conc2(R208,R$9,MolVol,R$21,R$20,S$21,S$20)/(1-Bws))</f>
        <v/>
      </c>
      <c r="T208" s="740"/>
      <c r="AR208" s="334"/>
      <c r="AS208" s="334"/>
      <c r="AT208" s="48"/>
      <c r="AU208" s="48"/>
      <c r="AV208" s="153"/>
      <c r="AW208" s="153"/>
      <c r="AX208" s="153"/>
      <c r="AY208" s="153"/>
      <c r="AZ208" s="153"/>
      <c r="BA208" s="153"/>
      <c r="BB208" s="153"/>
      <c r="BC208" s="153"/>
      <c r="BD208" s="153"/>
      <c r="BE208" s="153"/>
      <c r="BF208" s="153"/>
      <c r="BG208" s="153"/>
      <c r="BH208" s="153"/>
      <c r="BI208" s="153"/>
      <c r="BJ208" s="153"/>
      <c r="BK208" s="153"/>
      <c r="BL208" s="153"/>
      <c r="BM208" s="153"/>
      <c r="BN208" s="153"/>
      <c r="BO208" s="153"/>
      <c r="BP208" s="153"/>
      <c r="BQ208" s="153"/>
      <c r="BR208" s="153"/>
      <c r="BS208" s="153"/>
      <c r="BT208" s="153"/>
      <c r="BU208" s="153"/>
      <c r="BV208" s="153"/>
      <c r="BW208" s="153"/>
      <c r="BX208" s="153"/>
      <c r="BY208" s="153"/>
      <c r="BZ208" s="153"/>
      <c r="CA208" s="153"/>
      <c r="CB208" s="153"/>
      <c r="CC208" s="153"/>
      <c r="CD208" s="153"/>
      <c r="CE208" s="153"/>
      <c r="CF208" s="153"/>
      <c r="CG208" s="153"/>
      <c r="CH208" s="153"/>
      <c r="CI208" s="153"/>
      <c r="CJ208" s="153"/>
      <c r="CK208" s="153"/>
      <c r="CL208" s="153"/>
      <c r="CM208" s="153"/>
      <c r="CN208" s="153"/>
      <c r="CO208" s="153"/>
      <c r="CP208" s="153"/>
      <c r="CQ208" s="153"/>
      <c r="CR208" s="153"/>
      <c r="CS208" s="153"/>
      <c r="CT208" s="153"/>
      <c r="CU208" s="153"/>
      <c r="CV208" s="153"/>
      <c r="CW208" s="153"/>
      <c r="CX208" s="153"/>
      <c r="CY208" s="153"/>
      <c r="CZ208" s="153"/>
      <c r="DA208" s="153"/>
      <c r="DB208" s="153"/>
      <c r="DC208" s="153"/>
      <c r="DD208" s="153"/>
      <c r="DE208" s="153"/>
      <c r="DF208" s="153"/>
      <c r="DG208" s="153"/>
      <c r="DH208" s="153"/>
      <c r="DI208" s="153"/>
      <c r="DJ208" s="153"/>
      <c r="DK208" s="153"/>
      <c r="DL208" s="153"/>
      <c r="DM208" s="153"/>
      <c r="DN208" s="153"/>
      <c r="DO208" s="153"/>
      <c r="DP208" s="153"/>
      <c r="DQ208" s="153"/>
      <c r="DR208" s="153"/>
      <c r="DS208" s="153"/>
      <c r="DT208" s="153"/>
      <c r="DU208" s="153"/>
      <c r="DV208" s="153"/>
      <c r="DW208" s="153"/>
      <c r="DX208" s="153"/>
      <c r="DY208" s="153"/>
      <c r="DZ208" s="153"/>
      <c r="EA208" s="153"/>
      <c r="EB208" s="153"/>
      <c r="EC208" s="153"/>
      <c r="ED208" s="153"/>
      <c r="EE208" s="153"/>
      <c r="EF208" s="153"/>
      <c r="EG208" s="153"/>
      <c r="EH208" s="153"/>
      <c r="EI208" s="153"/>
      <c r="EJ208" s="153"/>
      <c r="EK208" s="153"/>
      <c r="EL208" s="153"/>
      <c r="EM208" s="153"/>
    </row>
    <row r="209" spans="1:143" s="107" customFormat="1" ht="10.5" hidden="1" customHeight="1" outlineLevel="2">
      <c r="A209" s="1548">
        <v>184</v>
      </c>
      <c r="B209" s="1560" t="str">
        <f t="shared" si="4"/>
        <v/>
      </c>
      <c r="C209" s="161" t="str">
        <f>GasTime(GasAnalyser,'Horiba Data'!F202,'Horiba Data'!G202,'Testo, JUM &amp; MRU Data'!A203,'Thermo Data'!B202,HourOffset)</f>
        <v/>
      </c>
      <c r="D209" s="981" t="str">
        <f>IF(D$17=FALSE,"",GasData(GasAnalyser,'Horiba Data'!S202,'Testo, JUM &amp; MRU Data'!D203,'Thermo Data'!E202,'Testo, JUM &amp; MRU Data'!U203,GDF))</f>
        <v/>
      </c>
      <c r="E209" s="981" t="str">
        <f>IF(D209="","",Conc2(D209,D$9,MolVol,D$21,D$20,E$21,E$20))</f>
        <v/>
      </c>
      <c r="F209" s="981" t="str">
        <f>IF(F$17=FALSE,"",GasData(GasAnalyser,'Horiba Data'!AQ202,'Testo, JUM &amp; MRU Data'!E203,'Thermo Data'!F202,'Testo, JUM &amp; MRU Data'!V203,GDF))</f>
        <v/>
      </c>
      <c r="G209" s="981" t="str">
        <f>IF(F209="","",Conc2(F209,F$9,MolVol,F$21,F$20,G$21,G$20))</f>
        <v/>
      </c>
      <c r="H209" s="981" t="str">
        <f>IF(D$17=FALSE,"",IF(F$17=FALSE,"",GasData(GasAnalyser,'Horiba Data'!W202,'Testo, JUM &amp; MRU Data'!F203,'Thermo Data'!G202,'Testo, JUM &amp; MRU Data'!Y203,GDF)))</f>
        <v/>
      </c>
      <c r="I209" s="981" t="str">
        <f>IF(H209="","",Conc2(H209,H$9,MolVol,H$21,H$20,I$21,I$20))</f>
        <v/>
      </c>
      <c r="J209" s="981" t="str">
        <f>IF(J$17=FALSE,"",GasData(GasAnalyser,'Horiba Data'!AM202,'Testo, JUM &amp; MRU Data'!G203,'Thermo Data'!H202,'Testo, JUM &amp; MRU Data'!W203,GDF))</f>
        <v/>
      </c>
      <c r="K209" s="981" t="str">
        <f>IF(J209="","",Conc2(J209,J$9,MolVol,J$21,J$20,K$21,K$20))</f>
        <v/>
      </c>
      <c r="L209" s="981" t="str">
        <f>IF(L$17=FALSE,"",GasData(GasAnalyser,'Horiba Data'!AA202,'Testo, JUM &amp; MRU Data'!H203,'Thermo Data'!I202,'Testo, JUM &amp; MRU Data'!T203,GDF))</f>
        <v/>
      </c>
      <c r="M209" s="981" t="str">
        <f>IF(L209="","",Conc2(L209,L$9,MolVol,L$21,L$20,M$21,M$20))</f>
        <v/>
      </c>
      <c r="N209" s="981" t="str">
        <f>IF(N$17=FALSE,"",GasData(GasAnalyser,'Horiba Data'!AE202,'Testo, JUM &amp; MRU Data'!I203,'Thermo Data'!J202,'Testo, JUM &amp; MRU Data'!S203,GDF))</f>
        <v/>
      </c>
      <c r="O209" s="981" t="str">
        <f>IF(N209="","",Conc2(N209,N$9,MolVol,N$21,N$20,O$21,O$20))</f>
        <v/>
      </c>
      <c r="P209" s="981" t="str">
        <f>IF(P$17=FALSE,"",GasData(GasAnalyser,'Horiba Data'!AI202,'Testo, JUM &amp; MRU Data'!J203,'Thermo Data'!K202,'Testo, JUM &amp; MRU Data'!R203,GDF))</f>
        <v/>
      </c>
      <c r="Q209" s="981" t="str">
        <f>IF(P209="","",Conc2(P209,P$9,MolVol,P$21,P$20,Q$21,Q$20))</f>
        <v/>
      </c>
      <c r="R209" s="981" t="str">
        <f>IF(R$17=FALSE,"",JUMData('Testo, JUM &amp; MRU Data'!M203,$R$7))</f>
        <v/>
      </c>
      <c r="S209" s="982" t="str">
        <f>IF(R209="","",Conc2(R209,R$9,MolVol,R$21,R$20,S$21,S$20)/(1-Bws))</f>
        <v/>
      </c>
      <c r="T209" s="740"/>
      <c r="AR209" s="334"/>
      <c r="AS209" s="334"/>
      <c r="AT209" s="48"/>
      <c r="AU209" s="48"/>
      <c r="AV209" s="153"/>
      <c r="AW209" s="153"/>
      <c r="AX209" s="153"/>
      <c r="AY209" s="153"/>
      <c r="AZ209" s="153"/>
      <c r="BA209" s="153"/>
      <c r="BB209" s="153"/>
      <c r="BC209" s="153"/>
      <c r="BD209" s="153"/>
      <c r="BE209" s="153"/>
      <c r="BF209" s="153"/>
      <c r="BG209" s="153"/>
      <c r="BH209" s="153"/>
      <c r="BI209" s="153"/>
      <c r="BJ209" s="153"/>
      <c r="BK209" s="153"/>
      <c r="BL209" s="153"/>
      <c r="BM209" s="153"/>
      <c r="BN209" s="153"/>
      <c r="BO209" s="153"/>
      <c r="BP209" s="153"/>
      <c r="BQ209" s="153"/>
      <c r="BR209" s="153"/>
      <c r="BS209" s="153"/>
      <c r="BT209" s="153"/>
      <c r="BU209" s="153"/>
      <c r="BV209" s="153"/>
      <c r="BW209" s="153"/>
      <c r="BX209" s="153"/>
      <c r="BY209" s="153"/>
      <c r="BZ209" s="153"/>
      <c r="CA209" s="153"/>
      <c r="CB209" s="153"/>
      <c r="CC209" s="153"/>
      <c r="CD209" s="153"/>
      <c r="CE209" s="153"/>
      <c r="CF209" s="153"/>
      <c r="CG209" s="153"/>
      <c r="CH209" s="153"/>
      <c r="CI209" s="153"/>
      <c r="CJ209" s="153"/>
      <c r="CK209" s="153"/>
      <c r="CL209" s="153"/>
      <c r="CM209" s="153"/>
      <c r="CN209" s="153"/>
      <c r="CO209" s="153"/>
      <c r="CP209" s="153"/>
      <c r="CQ209" s="153"/>
      <c r="CR209" s="153"/>
      <c r="CS209" s="153"/>
      <c r="CT209" s="153"/>
      <c r="CU209" s="153"/>
      <c r="CV209" s="153"/>
      <c r="CW209" s="153"/>
      <c r="CX209" s="153"/>
      <c r="CY209" s="153"/>
      <c r="CZ209" s="153"/>
      <c r="DA209" s="153"/>
      <c r="DB209" s="153"/>
      <c r="DC209" s="153"/>
      <c r="DD209" s="153"/>
      <c r="DE209" s="153"/>
      <c r="DF209" s="153"/>
      <c r="DG209" s="153"/>
      <c r="DH209" s="153"/>
      <c r="DI209" s="153"/>
      <c r="DJ209" s="153"/>
      <c r="DK209" s="153"/>
      <c r="DL209" s="153"/>
      <c r="DM209" s="153"/>
      <c r="DN209" s="153"/>
      <c r="DO209" s="153"/>
      <c r="DP209" s="153"/>
      <c r="DQ209" s="153"/>
      <c r="DR209" s="153"/>
      <c r="DS209" s="153"/>
      <c r="DT209" s="153"/>
      <c r="DU209" s="153"/>
      <c r="DV209" s="153"/>
      <c r="DW209" s="153"/>
      <c r="DX209" s="153"/>
      <c r="DY209" s="153"/>
      <c r="DZ209" s="153"/>
      <c r="EA209" s="153"/>
      <c r="EB209" s="153"/>
      <c r="EC209" s="153"/>
      <c r="ED209" s="153"/>
      <c r="EE209" s="153"/>
      <c r="EF209" s="153"/>
      <c r="EG209" s="153"/>
      <c r="EH209" s="153"/>
      <c r="EI209" s="153"/>
      <c r="EJ209" s="153"/>
      <c r="EK209" s="153"/>
      <c r="EL209" s="153"/>
      <c r="EM209" s="153"/>
    </row>
    <row r="210" spans="1:143" s="107" customFormat="1" ht="10.5" hidden="1" customHeight="1" outlineLevel="2">
      <c r="A210" s="1548">
        <v>185</v>
      </c>
      <c r="B210" s="1560" t="str">
        <f t="shared" si="4"/>
        <v/>
      </c>
      <c r="C210" s="161" t="str">
        <f>GasTime(GasAnalyser,'Horiba Data'!F203,'Horiba Data'!G203,'Testo, JUM &amp; MRU Data'!A204,'Thermo Data'!B203,HourOffset)</f>
        <v/>
      </c>
      <c r="D210" s="981" t="str">
        <f>IF(D$17=FALSE,"",GasData(GasAnalyser,'Horiba Data'!S203,'Testo, JUM &amp; MRU Data'!D204,'Thermo Data'!E203,'Testo, JUM &amp; MRU Data'!U204,GDF))</f>
        <v/>
      </c>
      <c r="E210" s="981" t="str">
        <f>IF(D210="","",Conc2(D210,D$9,MolVol,D$21,D$20,E$21,E$20))</f>
        <v/>
      </c>
      <c r="F210" s="981" t="str">
        <f>IF(F$17=FALSE,"",GasData(GasAnalyser,'Horiba Data'!AQ203,'Testo, JUM &amp; MRU Data'!E204,'Thermo Data'!F203,'Testo, JUM &amp; MRU Data'!V204,GDF))</f>
        <v/>
      </c>
      <c r="G210" s="981" t="str">
        <f>IF(F210="","",Conc2(F210,F$9,MolVol,F$21,F$20,G$21,G$20))</f>
        <v/>
      </c>
      <c r="H210" s="981" t="str">
        <f>IF(D$17=FALSE,"",IF(F$17=FALSE,"",GasData(GasAnalyser,'Horiba Data'!W203,'Testo, JUM &amp; MRU Data'!F204,'Thermo Data'!G203,'Testo, JUM &amp; MRU Data'!Y204,GDF)))</f>
        <v/>
      </c>
      <c r="I210" s="981" t="str">
        <f>IF(H210="","",Conc2(H210,H$9,MolVol,H$21,H$20,I$21,I$20))</f>
        <v/>
      </c>
      <c r="J210" s="981" t="str">
        <f>IF(J$17=FALSE,"",GasData(GasAnalyser,'Horiba Data'!AM203,'Testo, JUM &amp; MRU Data'!G204,'Thermo Data'!H203,'Testo, JUM &amp; MRU Data'!W204,GDF))</f>
        <v/>
      </c>
      <c r="K210" s="981" t="str">
        <f>IF(J210="","",Conc2(J210,J$9,MolVol,J$21,J$20,K$21,K$20))</f>
        <v/>
      </c>
      <c r="L210" s="981" t="str">
        <f>IF(L$17=FALSE,"",GasData(GasAnalyser,'Horiba Data'!AA203,'Testo, JUM &amp; MRU Data'!H204,'Thermo Data'!I203,'Testo, JUM &amp; MRU Data'!T204,GDF))</f>
        <v/>
      </c>
      <c r="M210" s="981" t="str">
        <f>IF(L210="","",Conc2(L210,L$9,MolVol,L$21,L$20,M$21,M$20))</f>
        <v/>
      </c>
      <c r="N210" s="981" t="str">
        <f>IF(N$17=FALSE,"",GasData(GasAnalyser,'Horiba Data'!AE203,'Testo, JUM &amp; MRU Data'!I204,'Thermo Data'!J203,'Testo, JUM &amp; MRU Data'!S204,GDF))</f>
        <v/>
      </c>
      <c r="O210" s="981" t="str">
        <f>IF(N210="","",Conc2(N210,N$9,MolVol,N$21,N$20,O$21,O$20))</f>
        <v/>
      </c>
      <c r="P210" s="981" t="str">
        <f>IF(P$17=FALSE,"",GasData(GasAnalyser,'Horiba Data'!AI203,'Testo, JUM &amp; MRU Data'!J204,'Thermo Data'!K203,'Testo, JUM &amp; MRU Data'!R204,GDF))</f>
        <v/>
      </c>
      <c r="Q210" s="981" t="str">
        <f>IF(P210="","",Conc2(P210,P$9,MolVol,P$21,P$20,Q$21,Q$20))</f>
        <v/>
      </c>
      <c r="R210" s="981" t="str">
        <f>IF(R$17=FALSE,"",JUMData('Testo, JUM &amp; MRU Data'!M204,$R$7))</f>
        <v/>
      </c>
      <c r="S210" s="982" t="str">
        <f>IF(R210="","",Conc2(R210,R$9,MolVol,R$21,R$20,S$21,S$20)/(1-Bws))</f>
        <v/>
      </c>
      <c r="T210" s="740"/>
      <c r="AR210" s="334"/>
      <c r="AS210" s="334"/>
      <c r="AT210" s="48"/>
      <c r="AU210" s="48"/>
      <c r="AV210" s="153"/>
      <c r="AW210" s="153"/>
      <c r="AX210" s="153"/>
      <c r="AY210" s="153"/>
      <c r="AZ210" s="153"/>
      <c r="BA210" s="153"/>
      <c r="BB210" s="153"/>
      <c r="BC210" s="153"/>
      <c r="BD210" s="153"/>
      <c r="BE210" s="153"/>
      <c r="BF210" s="153"/>
      <c r="BG210" s="153"/>
      <c r="BH210" s="153"/>
      <c r="BI210" s="153"/>
      <c r="BJ210" s="153"/>
      <c r="BK210" s="153"/>
      <c r="BL210" s="153"/>
      <c r="BM210" s="153"/>
      <c r="BN210" s="153"/>
      <c r="BO210" s="153"/>
      <c r="BP210" s="153"/>
      <c r="BQ210" s="153"/>
      <c r="BR210" s="153"/>
      <c r="BS210" s="153"/>
      <c r="BT210" s="153"/>
      <c r="BU210" s="153"/>
      <c r="BV210" s="153"/>
      <c r="BW210" s="153"/>
      <c r="BX210" s="153"/>
      <c r="BY210" s="153"/>
      <c r="BZ210" s="153"/>
      <c r="CA210" s="153"/>
      <c r="CB210" s="153"/>
      <c r="CC210" s="153"/>
      <c r="CD210" s="153"/>
      <c r="CE210" s="153"/>
      <c r="CF210" s="153"/>
      <c r="CG210" s="153"/>
      <c r="CH210" s="153"/>
      <c r="CI210" s="153"/>
      <c r="CJ210" s="153"/>
      <c r="CK210" s="153"/>
      <c r="CL210" s="153"/>
      <c r="CM210" s="153"/>
      <c r="CN210" s="153"/>
      <c r="CO210" s="153"/>
      <c r="CP210" s="153"/>
      <c r="CQ210" s="153"/>
      <c r="CR210" s="153"/>
      <c r="CS210" s="153"/>
      <c r="CT210" s="153"/>
      <c r="CU210" s="153"/>
      <c r="CV210" s="153"/>
      <c r="CW210" s="153"/>
      <c r="CX210" s="153"/>
      <c r="CY210" s="153"/>
      <c r="CZ210" s="153"/>
      <c r="DA210" s="153"/>
      <c r="DB210" s="153"/>
      <c r="DC210" s="153"/>
      <c r="DD210" s="153"/>
      <c r="DE210" s="153"/>
      <c r="DF210" s="153"/>
      <c r="DG210" s="153"/>
      <c r="DH210" s="153"/>
      <c r="DI210" s="153"/>
      <c r="DJ210" s="153"/>
      <c r="DK210" s="153"/>
      <c r="DL210" s="153"/>
      <c r="DM210" s="153"/>
      <c r="DN210" s="153"/>
      <c r="DO210" s="153"/>
      <c r="DP210" s="153"/>
      <c r="DQ210" s="153"/>
      <c r="DR210" s="153"/>
      <c r="DS210" s="153"/>
      <c r="DT210" s="153"/>
      <c r="DU210" s="153"/>
      <c r="DV210" s="153"/>
      <c r="DW210" s="153"/>
      <c r="DX210" s="153"/>
      <c r="DY210" s="153"/>
      <c r="DZ210" s="153"/>
      <c r="EA210" s="153"/>
      <c r="EB210" s="153"/>
      <c r="EC210" s="153"/>
      <c r="ED210" s="153"/>
      <c r="EE210" s="153"/>
      <c r="EF210" s="153"/>
      <c r="EG210" s="153"/>
      <c r="EH210" s="153"/>
      <c r="EI210" s="153"/>
      <c r="EJ210" s="153"/>
      <c r="EK210" s="153"/>
      <c r="EL210" s="153"/>
      <c r="EM210" s="153"/>
    </row>
    <row r="211" spans="1:143" s="107" customFormat="1" ht="10.5" hidden="1" customHeight="1" outlineLevel="2">
      <c r="A211" s="1548">
        <v>186</v>
      </c>
      <c r="B211" s="1560" t="str">
        <f t="shared" si="4"/>
        <v/>
      </c>
      <c r="C211" s="161" t="str">
        <f>GasTime(GasAnalyser,'Horiba Data'!F204,'Horiba Data'!G204,'Testo, JUM &amp; MRU Data'!A205,'Thermo Data'!B204,HourOffset)</f>
        <v/>
      </c>
      <c r="D211" s="981" t="str">
        <f>IF(D$17=FALSE,"",GasData(GasAnalyser,'Horiba Data'!S204,'Testo, JUM &amp; MRU Data'!D205,'Thermo Data'!E204,'Testo, JUM &amp; MRU Data'!U205,GDF))</f>
        <v/>
      </c>
      <c r="E211" s="981" t="str">
        <f>IF(D211="","",Conc2(D211,D$9,MolVol,D$21,D$20,E$21,E$20))</f>
        <v/>
      </c>
      <c r="F211" s="981" t="str">
        <f>IF(F$17=FALSE,"",GasData(GasAnalyser,'Horiba Data'!AQ204,'Testo, JUM &amp; MRU Data'!E205,'Thermo Data'!F204,'Testo, JUM &amp; MRU Data'!V205,GDF))</f>
        <v/>
      </c>
      <c r="G211" s="981" t="str">
        <f>IF(F211="","",Conc2(F211,F$9,MolVol,F$21,F$20,G$21,G$20))</f>
        <v/>
      </c>
      <c r="H211" s="981" t="str">
        <f>IF(D$17=FALSE,"",IF(F$17=FALSE,"",GasData(GasAnalyser,'Horiba Data'!W204,'Testo, JUM &amp; MRU Data'!F205,'Thermo Data'!G204,'Testo, JUM &amp; MRU Data'!Y205,GDF)))</f>
        <v/>
      </c>
      <c r="I211" s="981" t="str">
        <f>IF(H211="","",Conc2(H211,H$9,MolVol,H$21,H$20,I$21,I$20))</f>
        <v/>
      </c>
      <c r="J211" s="981" t="str">
        <f>IF(J$17=FALSE,"",GasData(GasAnalyser,'Horiba Data'!AM204,'Testo, JUM &amp; MRU Data'!G205,'Thermo Data'!H204,'Testo, JUM &amp; MRU Data'!W205,GDF))</f>
        <v/>
      </c>
      <c r="K211" s="981" t="str">
        <f>IF(J211="","",Conc2(J211,J$9,MolVol,J$21,J$20,K$21,K$20))</f>
        <v/>
      </c>
      <c r="L211" s="981" t="str">
        <f>IF(L$17=FALSE,"",GasData(GasAnalyser,'Horiba Data'!AA204,'Testo, JUM &amp; MRU Data'!H205,'Thermo Data'!I204,'Testo, JUM &amp; MRU Data'!T205,GDF))</f>
        <v/>
      </c>
      <c r="M211" s="981" t="str">
        <f>IF(L211="","",Conc2(L211,L$9,MolVol,L$21,L$20,M$21,M$20))</f>
        <v/>
      </c>
      <c r="N211" s="981" t="str">
        <f>IF(N$17=FALSE,"",GasData(GasAnalyser,'Horiba Data'!AE204,'Testo, JUM &amp; MRU Data'!I205,'Thermo Data'!J204,'Testo, JUM &amp; MRU Data'!S205,GDF))</f>
        <v/>
      </c>
      <c r="O211" s="981" t="str">
        <f>IF(N211="","",Conc2(N211,N$9,MolVol,N$21,N$20,O$21,O$20))</f>
        <v/>
      </c>
      <c r="P211" s="981" t="str">
        <f>IF(P$17=FALSE,"",GasData(GasAnalyser,'Horiba Data'!AI204,'Testo, JUM &amp; MRU Data'!J205,'Thermo Data'!K204,'Testo, JUM &amp; MRU Data'!R205,GDF))</f>
        <v/>
      </c>
      <c r="Q211" s="981" t="str">
        <f>IF(P211="","",Conc2(P211,P$9,MolVol,P$21,P$20,Q$21,Q$20))</f>
        <v/>
      </c>
      <c r="R211" s="981" t="str">
        <f>IF(R$17=FALSE,"",JUMData('Testo, JUM &amp; MRU Data'!M205,$R$7))</f>
        <v/>
      </c>
      <c r="S211" s="982" t="str">
        <f>IF(R211="","",Conc2(R211,R$9,MolVol,R$21,R$20,S$21,S$20)/(1-Bws))</f>
        <v/>
      </c>
      <c r="T211" s="740"/>
      <c r="AR211" s="334"/>
      <c r="AS211" s="334"/>
      <c r="AT211" s="48"/>
      <c r="AU211" s="48"/>
      <c r="AV211" s="153"/>
      <c r="AW211" s="153"/>
      <c r="AX211" s="153"/>
      <c r="AY211" s="153"/>
      <c r="AZ211" s="153"/>
      <c r="BA211" s="153"/>
      <c r="BB211" s="153"/>
      <c r="BC211" s="153"/>
      <c r="BD211" s="153"/>
      <c r="BE211" s="153"/>
      <c r="BF211" s="153"/>
      <c r="BG211" s="153"/>
      <c r="BH211" s="153"/>
      <c r="BI211" s="153"/>
      <c r="BJ211" s="153"/>
      <c r="BK211" s="153"/>
      <c r="BL211" s="153"/>
      <c r="BM211" s="153"/>
      <c r="BN211" s="153"/>
      <c r="BO211" s="153"/>
      <c r="BP211" s="153"/>
      <c r="BQ211" s="153"/>
      <c r="BR211" s="153"/>
      <c r="BS211" s="153"/>
      <c r="BT211" s="153"/>
      <c r="BU211" s="153"/>
      <c r="BV211" s="153"/>
      <c r="BW211" s="153"/>
      <c r="BX211" s="153"/>
      <c r="BY211" s="153"/>
      <c r="BZ211" s="153"/>
      <c r="CA211" s="153"/>
      <c r="CB211" s="153"/>
      <c r="CC211" s="153"/>
      <c r="CD211" s="153"/>
      <c r="CE211" s="153"/>
      <c r="CF211" s="153"/>
      <c r="CG211" s="153"/>
      <c r="CH211" s="153"/>
      <c r="CI211" s="153"/>
      <c r="CJ211" s="153"/>
      <c r="CK211" s="153"/>
      <c r="CL211" s="153"/>
      <c r="CM211" s="153"/>
      <c r="CN211" s="153"/>
      <c r="CO211" s="153"/>
      <c r="CP211" s="153"/>
      <c r="CQ211" s="153"/>
      <c r="CR211" s="153"/>
      <c r="CS211" s="153"/>
      <c r="CT211" s="153"/>
      <c r="CU211" s="153"/>
      <c r="CV211" s="153"/>
      <c r="CW211" s="153"/>
      <c r="CX211" s="153"/>
      <c r="CY211" s="153"/>
      <c r="CZ211" s="153"/>
      <c r="DA211" s="153"/>
      <c r="DB211" s="153"/>
      <c r="DC211" s="153"/>
      <c r="DD211" s="153"/>
      <c r="DE211" s="153"/>
      <c r="DF211" s="153"/>
      <c r="DG211" s="153"/>
      <c r="DH211" s="153"/>
      <c r="DI211" s="153"/>
      <c r="DJ211" s="153"/>
      <c r="DK211" s="153"/>
      <c r="DL211" s="153"/>
      <c r="DM211" s="153"/>
      <c r="DN211" s="153"/>
      <c r="DO211" s="153"/>
      <c r="DP211" s="153"/>
      <c r="DQ211" s="153"/>
      <c r="DR211" s="153"/>
      <c r="DS211" s="153"/>
      <c r="DT211" s="153"/>
      <c r="DU211" s="153"/>
      <c r="DV211" s="153"/>
      <c r="DW211" s="153"/>
      <c r="DX211" s="153"/>
      <c r="DY211" s="153"/>
      <c r="DZ211" s="153"/>
      <c r="EA211" s="153"/>
      <c r="EB211" s="153"/>
      <c r="EC211" s="153"/>
      <c r="ED211" s="153"/>
      <c r="EE211" s="153"/>
      <c r="EF211" s="153"/>
      <c r="EG211" s="153"/>
      <c r="EH211" s="153"/>
      <c r="EI211" s="153"/>
      <c r="EJ211" s="153"/>
      <c r="EK211" s="153"/>
      <c r="EL211" s="153"/>
      <c r="EM211" s="153"/>
    </row>
    <row r="212" spans="1:143" s="107" customFormat="1" ht="10.5" hidden="1" customHeight="1" outlineLevel="2">
      <c r="A212" s="1548">
        <v>187</v>
      </c>
      <c r="B212" s="1560" t="str">
        <f t="shared" si="4"/>
        <v/>
      </c>
      <c r="C212" s="161" t="str">
        <f>GasTime(GasAnalyser,'Horiba Data'!F205,'Horiba Data'!G205,'Testo, JUM &amp; MRU Data'!A206,'Thermo Data'!B205,HourOffset)</f>
        <v/>
      </c>
      <c r="D212" s="981" t="str">
        <f>IF(D$17=FALSE,"",GasData(GasAnalyser,'Horiba Data'!S205,'Testo, JUM &amp; MRU Data'!D206,'Thermo Data'!E205,'Testo, JUM &amp; MRU Data'!U206,GDF))</f>
        <v/>
      </c>
      <c r="E212" s="981" t="str">
        <f>IF(D212="","",Conc2(D212,D$9,MolVol,D$21,D$20,E$21,E$20))</f>
        <v/>
      </c>
      <c r="F212" s="981" t="str">
        <f>IF(F$17=FALSE,"",GasData(GasAnalyser,'Horiba Data'!AQ205,'Testo, JUM &amp; MRU Data'!E206,'Thermo Data'!F205,'Testo, JUM &amp; MRU Data'!V206,GDF))</f>
        <v/>
      </c>
      <c r="G212" s="981" t="str">
        <f>IF(F212="","",Conc2(F212,F$9,MolVol,F$21,F$20,G$21,G$20))</f>
        <v/>
      </c>
      <c r="H212" s="981" t="str">
        <f>IF(D$17=FALSE,"",IF(F$17=FALSE,"",GasData(GasAnalyser,'Horiba Data'!W205,'Testo, JUM &amp; MRU Data'!F206,'Thermo Data'!G205,'Testo, JUM &amp; MRU Data'!Y206,GDF)))</f>
        <v/>
      </c>
      <c r="I212" s="981" t="str">
        <f>IF(H212="","",Conc2(H212,H$9,MolVol,H$21,H$20,I$21,I$20))</f>
        <v/>
      </c>
      <c r="J212" s="981" t="str">
        <f>IF(J$17=FALSE,"",GasData(GasAnalyser,'Horiba Data'!AM205,'Testo, JUM &amp; MRU Data'!G206,'Thermo Data'!H205,'Testo, JUM &amp; MRU Data'!W206,GDF))</f>
        <v/>
      </c>
      <c r="K212" s="981" t="str">
        <f>IF(J212="","",Conc2(J212,J$9,MolVol,J$21,J$20,K$21,K$20))</f>
        <v/>
      </c>
      <c r="L212" s="981" t="str">
        <f>IF(L$17=FALSE,"",GasData(GasAnalyser,'Horiba Data'!AA205,'Testo, JUM &amp; MRU Data'!H206,'Thermo Data'!I205,'Testo, JUM &amp; MRU Data'!T206,GDF))</f>
        <v/>
      </c>
      <c r="M212" s="981" t="str">
        <f>IF(L212="","",Conc2(L212,L$9,MolVol,L$21,L$20,M$21,M$20))</f>
        <v/>
      </c>
      <c r="N212" s="981" t="str">
        <f>IF(N$17=FALSE,"",GasData(GasAnalyser,'Horiba Data'!AE205,'Testo, JUM &amp; MRU Data'!I206,'Thermo Data'!J205,'Testo, JUM &amp; MRU Data'!S206,GDF))</f>
        <v/>
      </c>
      <c r="O212" s="981" t="str">
        <f>IF(N212="","",Conc2(N212,N$9,MolVol,N$21,N$20,O$21,O$20))</f>
        <v/>
      </c>
      <c r="P212" s="981" t="str">
        <f>IF(P$17=FALSE,"",GasData(GasAnalyser,'Horiba Data'!AI205,'Testo, JUM &amp; MRU Data'!J206,'Thermo Data'!K205,'Testo, JUM &amp; MRU Data'!R206,GDF))</f>
        <v/>
      </c>
      <c r="Q212" s="981" t="str">
        <f>IF(P212="","",Conc2(P212,P$9,MolVol,P$21,P$20,Q$21,Q$20))</f>
        <v/>
      </c>
      <c r="R212" s="981" t="str">
        <f>IF(R$17=FALSE,"",JUMData('Testo, JUM &amp; MRU Data'!M206,$R$7))</f>
        <v/>
      </c>
      <c r="S212" s="982" t="str">
        <f>IF(R212="","",Conc2(R212,R$9,MolVol,R$21,R$20,S$21,S$20)/(1-Bws))</f>
        <v/>
      </c>
      <c r="T212" s="740"/>
      <c r="AR212" s="334"/>
      <c r="AS212" s="334"/>
      <c r="AT212" s="48"/>
      <c r="AU212" s="48"/>
      <c r="AV212" s="153"/>
      <c r="AW212" s="153"/>
      <c r="AX212" s="153"/>
      <c r="AY212" s="153"/>
      <c r="AZ212" s="153"/>
      <c r="BA212" s="153"/>
      <c r="BB212" s="153"/>
      <c r="BC212" s="153"/>
      <c r="BD212" s="153"/>
      <c r="BE212" s="153"/>
      <c r="BF212" s="153"/>
      <c r="BG212" s="153"/>
      <c r="BH212" s="153"/>
      <c r="BI212" s="153"/>
      <c r="BJ212" s="153"/>
      <c r="BK212" s="153"/>
      <c r="BL212" s="153"/>
      <c r="BM212" s="153"/>
      <c r="BN212" s="153"/>
      <c r="BO212" s="153"/>
      <c r="BP212" s="153"/>
      <c r="BQ212" s="153"/>
      <c r="BR212" s="153"/>
      <c r="BS212" s="153"/>
      <c r="BT212" s="153"/>
      <c r="BU212" s="153"/>
      <c r="BV212" s="153"/>
      <c r="BW212" s="153"/>
      <c r="BX212" s="153"/>
      <c r="BY212" s="153"/>
      <c r="BZ212" s="153"/>
      <c r="CA212" s="153"/>
      <c r="CB212" s="153"/>
      <c r="CC212" s="153"/>
      <c r="CD212" s="153"/>
      <c r="CE212" s="153"/>
      <c r="CF212" s="153"/>
      <c r="CG212" s="153"/>
      <c r="CH212" s="153"/>
      <c r="CI212" s="153"/>
      <c r="CJ212" s="153"/>
      <c r="CK212" s="153"/>
      <c r="CL212" s="153"/>
      <c r="CM212" s="153"/>
      <c r="CN212" s="153"/>
      <c r="CO212" s="153"/>
      <c r="CP212" s="153"/>
      <c r="CQ212" s="153"/>
      <c r="CR212" s="153"/>
      <c r="CS212" s="153"/>
      <c r="CT212" s="153"/>
      <c r="CU212" s="153"/>
      <c r="CV212" s="153"/>
      <c r="CW212" s="153"/>
      <c r="CX212" s="153"/>
      <c r="CY212" s="153"/>
      <c r="CZ212" s="153"/>
      <c r="DA212" s="153"/>
      <c r="DB212" s="153"/>
      <c r="DC212" s="153"/>
      <c r="DD212" s="153"/>
      <c r="DE212" s="153"/>
      <c r="DF212" s="153"/>
      <c r="DG212" s="153"/>
      <c r="DH212" s="153"/>
      <c r="DI212" s="153"/>
      <c r="DJ212" s="153"/>
      <c r="DK212" s="153"/>
      <c r="DL212" s="153"/>
      <c r="DM212" s="153"/>
      <c r="DN212" s="153"/>
      <c r="DO212" s="153"/>
      <c r="DP212" s="153"/>
      <c r="DQ212" s="153"/>
      <c r="DR212" s="153"/>
      <c r="DS212" s="153"/>
      <c r="DT212" s="153"/>
      <c r="DU212" s="153"/>
      <c r="DV212" s="153"/>
      <c r="DW212" s="153"/>
      <c r="DX212" s="153"/>
      <c r="DY212" s="153"/>
      <c r="DZ212" s="153"/>
      <c r="EA212" s="153"/>
      <c r="EB212" s="153"/>
      <c r="EC212" s="153"/>
      <c r="ED212" s="153"/>
      <c r="EE212" s="153"/>
      <c r="EF212" s="153"/>
      <c r="EG212" s="153"/>
      <c r="EH212" s="153"/>
      <c r="EI212" s="153"/>
      <c r="EJ212" s="153"/>
      <c r="EK212" s="153"/>
      <c r="EL212" s="153"/>
      <c r="EM212" s="153"/>
    </row>
    <row r="213" spans="1:143" s="107" customFormat="1" ht="10.5" hidden="1" customHeight="1" outlineLevel="2">
      <c r="A213" s="1548">
        <v>188</v>
      </c>
      <c r="B213" s="1560" t="str">
        <f t="shared" si="4"/>
        <v/>
      </c>
      <c r="C213" s="161" t="str">
        <f>GasTime(GasAnalyser,'Horiba Data'!F206,'Horiba Data'!G206,'Testo, JUM &amp; MRU Data'!A207,'Thermo Data'!B206,HourOffset)</f>
        <v/>
      </c>
      <c r="D213" s="981" t="str">
        <f>IF(D$17=FALSE,"",GasData(GasAnalyser,'Horiba Data'!S206,'Testo, JUM &amp; MRU Data'!D207,'Thermo Data'!E206,'Testo, JUM &amp; MRU Data'!U207,GDF))</f>
        <v/>
      </c>
      <c r="E213" s="981" t="str">
        <f>IF(D213="","",Conc2(D213,D$9,MolVol,D$21,D$20,E$21,E$20))</f>
        <v/>
      </c>
      <c r="F213" s="981" t="str">
        <f>IF(F$17=FALSE,"",GasData(GasAnalyser,'Horiba Data'!AQ206,'Testo, JUM &amp; MRU Data'!E207,'Thermo Data'!F206,'Testo, JUM &amp; MRU Data'!V207,GDF))</f>
        <v/>
      </c>
      <c r="G213" s="981" t="str">
        <f>IF(F213="","",Conc2(F213,F$9,MolVol,F$21,F$20,G$21,G$20))</f>
        <v/>
      </c>
      <c r="H213" s="981" t="str">
        <f>IF(D$17=FALSE,"",IF(F$17=FALSE,"",GasData(GasAnalyser,'Horiba Data'!W206,'Testo, JUM &amp; MRU Data'!F207,'Thermo Data'!G206,'Testo, JUM &amp; MRU Data'!Y207,GDF)))</f>
        <v/>
      </c>
      <c r="I213" s="981" t="str">
        <f>IF(H213="","",Conc2(H213,H$9,MolVol,H$21,H$20,I$21,I$20))</f>
        <v/>
      </c>
      <c r="J213" s="981" t="str">
        <f>IF(J$17=FALSE,"",GasData(GasAnalyser,'Horiba Data'!AM206,'Testo, JUM &amp; MRU Data'!G207,'Thermo Data'!H206,'Testo, JUM &amp; MRU Data'!W207,GDF))</f>
        <v/>
      </c>
      <c r="K213" s="981" t="str">
        <f>IF(J213="","",Conc2(J213,J$9,MolVol,J$21,J$20,K$21,K$20))</f>
        <v/>
      </c>
      <c r="L213" s="981" t="str">
        <f>IF(L$17=FALSE,"",GasData(GasAnalyser,'Horiba Data'!AA206,'Testo, JUM &amp; MRU Data'!H207,'Thermo Data'!I206,'Testo, JUM &amp; MRU Data'!T207,GDF))</f>
        <v/>
      </c>
      <c r="M213" s="981" t="str">
        <f>IF(L213="","",Conc2(L213,L$9,MolVol,L$21,L$20,M$21,M$20))</f>
        <v/>
      </c>
      <c r="N213" s="981" t="str">
        <f>IF(N$17=FALSE,"",GasData(GasAnalyser,'Horiba Data'!AE206,'Testo, JUM &amp; MRU Data'!I207,'Thermo Data'!J206,'Testo, JUM &amp; MRU Data'!S207,GDF))</f>
        <v/>
      </c>
      <c r="O213" s="981" t="str">
        <f>IF(N213="","",Conc2(N213,N$9,MolVol,N$21,N$20,O$21,O$20))</f>
        <v/>
      </c>
      <c r="P213" s="981" t="str">
        <f>IF(P$17=FALSE,"",GasData(GasAnalyser,'Horiba Data'!AI206,'Testo, JUM &amp; MRU Data'!J207,'Thermo Data'!K206,'Testo, JUM &amp; MRU Data'!R207,GDF))</f>
        <v/>
      </c>
      <c r="Q213" s="981" t="str">
        <f>IF(P213="","",Conc2(P213,P$9,MolVol,P$21,P$20,Q$21,Q$20))</f>
        <v/>
      </c>
      <c r="R213" s="981" t="str">
        <f>IF(R$17=FALSE,"",JUMData('Testo, JUM &amp; MRU Data'!M207,$R$7))</f>
        <v/>
      </c>
      <c r="S213" s="982" t="str">
        <f>IF(R213="","",Conc2(R213,R$9,MolVol,R$21,R$20,S$21,S$20)/(1-Bws))</f>
        <v/>
      </c>
      <c r="T213" s="740"/>
      <c r="AR213" s="334"/>
      <c r="AS213" s="334"/>
      <c r="AT213" s="48"/>
      <c r="AU213" s="48"/>
      <c r="AV213" s="153"/>
      <c r="AW213" s="153"/>
      <c r="AX213" s="153"/>
      <c r="AY213" s="153"/>
      <c r="AZ213" s="153"/>
      <c r="BA213" s="153"/>
      <c r="BB213" s="153"/>
      <c r="BC213" s="153"/>
      <c r="BD213" s="153"/>
      <c r="BE213" s="153"/>
      <c r="BF213" s="153"/>
      <c r="BG213" s="153"/>
      <c r="BH213" s="153"/>
      <c r="BI213" s="153"/>
      <c r="BJ213" s="153"/>
      <c r="BK213" s="153"/>
      <c r="BL213" s="153"/>
      <c r="BM213" s="153"/>
      <c r="BN213" s="153"/>
      <c r="BO213" s="153"/>
      <c r="BP213" s="153"/>
      <c r="BQ213" s="153"/>
      <c r="BR213" s="153"/>
      <c r="BS213" s="153"/>
      <c r="BT213" s="153"/>
      <c r="BU213" s="153"/>
      <c r="BV213" s="153"/>
      <c r="BW213" s="153"/>
      <c r="BX213" s="153"/>
      <c r="BY213" s="153"/>
      <c r="BZ213" s="153"/>
      <c r="CA213" s="153"/>
      <c r="CB213" s="153"/>
      <c r="CC213" s="153"/>
      <c r="CD213" s="153"/>
      <c r="CE213" s="153"/>
      <c r="CF213" s="153"/>
      <c r="CG213" s="153"/>
      <c r="CH213" s="153"/>
      <c r="CI213" s="153"/>
      <c r="CJ213" s="153"/>
      <c r="CK213" s="153"/>
      <c r="CL213" s="153"/>
      <c r="CM213" s="153"/>
      <c r="CN213" s="153"/>
      <c r="CO213" s="153"/>
      <c r="CP213" s="153"/>
      <c r="CQ213" s="153"/>
      <c r="CR213" s="153"/>
      <c r="CS213" s="153"/>
      <c r="CT213" s="153"/>
      <c r="CU213" s="153"/>
      <c r="CV213" s="153"/>
      <c r="CW213" s="153"/>
      <c r="CX213" s="153"/>
      <c r="CY213" s="153"/>
      <c r="CZ213" s="153"/>
      <c r="DA213" s="153"/>
      <c r="DB213" s="153"/>
      <c r="DC213" s="153"/>
      <c r="DD213" s="153"/>
      <c r="DE213" s="153"/>
      <c r="DF213" s="153"/>
      <c r="DG213" s="153"/>
      <c r="DH213" s="153"/>
      <c r="DI213" s="153"/>
      <c r="DJ213" s="153"/>
      <c r="DK213" s="153"/>
      <c r="DL213" s="153"/>
      <c r="DM213" s="153"/>
      <c r="DN213" s="153"/>
      <c r="DO213" s="153"/>
      <c r="DP213" s="153"/>
      <c r="DQ213" s="153"/>
      <c r="DR213" s="153"/>
      <c r="DS213" s="153"/>
      <c r="DT213" s="153"/>
      <c r="DU213" s="153"/>
      <c r="DV213" s="153"/>
      <c r="DW213" s="153"/>
      <c r="DX213" s="153"/>
      <c r="DY213" s="153"/>
      <c r="DZ213" s="153"/>
      <c r="EA213" s="153"/>
      <c r="EB213" s="153"/>
      <c r="EC213" s="153"/>
      <c r="ED213" s="153"/>
      <c r="EE213" s="153"/>
      <c r="EF213" s="153"/>
      <c r="EG213" s="153"/>
      <c r="EH213" s="153"/>
      <c r="EI213" s="153"/>
      <c r="EJ213" s="153"/>
      <c r="EK213" s="153"/>
      <c r="EL213" s="153"/>
      <c r="EM213" s="153"/>
    </row>
    <row r="214" spans="1:143" s="107" customFormat="1" ht="10.5" hidden="1" customHeight="1" outlineLevel="2">
      <c r="A214" s="1548">
        <v>189</v>
      </c>
      <c r="B214" s="1560" t="str">
        <f t="shared" si="4"/>
        <v/>
      </c>
      <c r="C214" s="161" t="str">
        <f>GasTime(GasAnalyser,'Horiba Data'!F207,'Horiba Data'!G207,'Testo, JUM &amp; MRU Data'!A208,'Thermo Data'!B207,HourOffset)</f>
        <v/>
      </c>
      <c r="D214" s="981" t="str">
        <f>IF(D$17=FALSE,"",GasData(GasAnalyser,'Horiba Data'!S207,'Testo, JUM &amp; MRU Data'!D208,'Thermo Data'!E207,'Testo, JUM &amp; MRU Data'!U208,GDF))</f>
        <v/>
      </c>
      <c r="E214" s="981" t="str">
        <f>IF(D214="","",Conc2(D214,D$9,MolVol,D$21,D$20,E$21,E$20))</f>
        <v/>
      </c>
      <c r="F214" s="981" t="str">
        <f>IF(F$17=FALSE,"",GasData(GasAnalyser,'Horiba Data'!AQ207,'Testo, JUM &amp; MRU Data'!E208,'Thermo Data'!F207,'Testo, JUM &amp; MRU Data'!V208,GDF))</f>
        <v/>
      </c>
      <c r="G214" s="981" t="str">
        <f>IF(F214="","",Conc2(F214,F$9,MolVol,F$21,F$20,G$21,G$20))</f>
        <v/>
      </c>
      <c r="H214" s="981" t="str">
        <f>IF(D$17=FALSE,"",IF(F$17=FALSE,"",GasData(GasAnalyser,'Horiba Data'!W207,'Testo, JUM &amp; MRU Data'!F208,'Thermo Data'!G207,'Testo, JUM &amp; MRU Data'!Y208,GDF)))</f>
        <v/>
      </c>
      <c r="I214" s="981" t="str">
        <f>IF(H214="","",Conc2(H214,H$9,MolVol,H$21,H$20,I$21,I$20))</f>
        <v/>
      </c>
      <c r="J214" s="981" t="str">
        <f>IF(J$17=FALSE,"",GasData(GasAnalyser,'Horiba Data'!AM207,'Testo, JUM &amp; MRU Data'!G208,'Thermo Data'!H207,'Testo, JUM &amp; MRU Data'!W208,GDF))</f>
        <v/>
      </c>
      <c r="K214" s="981" t="str">
        <f>IF(J214="","",Conc2(J214,J$9,MolVol,J$21,J$20,K$21,K$20))</f>
        <v/>
      </c>
      <c r="L214" s="981" t="str">
        <f>IF(L$17=FALSE,"",GasData(GasAnalyser,'Horiba Data'!AA207,'Testo, JUM &amp; MRU Data'!H208,'Thermo Data'!I207,'Testo, JUM &amp; MRU Data'!T208,GDF))</f>
        <v/>
      </c>
      <c r="M214" s="981" t="str">
        <f>IF(L214="","",Conc2(L214,L$9,MolVol,L$21,L$20,M$21,M$20))</f>
        <v/>
      </c>
      <c r="N214" s="981" t="str">
        <f>IF(N$17=FALSE,"",GasData(GasAnalyser,'Horiba Data'!AE207,'Testo, JUM &amp; MRU Data'!I208,'Thermo Data'!J207,'Testo, JUM &amp; MRU Data'!S208,GDF))</f>
        <v/>
      </c>
      <c r="O214" s="981" t="str">
        <f>IF(N214="","",Conc2(N214,N$9,MolVol,N$21,N$20,O$21,O$20))</f>
        <v/>
      </c>
      <c r="P214" s="981" t="str">
        <f>IF(P$17=FALSE,"",GasData(GasAnalyser,'Horiba Data'!AI207,'Testo, JUM &amp; MRU Data'!J208,'Thermo Data'!K207,'Testo, JUM &amp; MRU Data'!R208,GDF))</f>
        <v/>
      </c>
      <c r="Q214" s="981" t="str">
        <f>IF(P214="","",Conc2(P214,P$9,MolVol,P$21,P$20,Q$21,Q$20))</f>
        <v/>
      </c>
      <c r="R214" s="981" t="str">
        <f>IF(R$17=FALSE,"",JUMData('Testo, JUM &amp; MRU Data'!M208,$R$7))</f>
        <v/>
      </c>
      <c r="S214" s="982" t="str">
        <f>IF(R214="","",Conc2(R214,R$9,MolVol,R$21,R$20,S$21,S$20)/(1-Bws))</f>
        <v/>
      </c>
      <c r="T214" s="740"/>
      <c r="AR214" s="334"/>
      <c r="AS214" s="334"/>
      <c r="AT214" s="48"/>
      <c r="AU214" s="48"/>
      <c r="AV214" s="153"/>
      <c r="AW214" s="153"/>
      <c r="AX214" s="153"/>
      <c r="AY214" s="153"/>
      <c r="AZ214" s="153"/>
      <c r="BA214" s="153"/>
      <c r="BB214" s="153"/>
      <c r="BC214" s="153"/>
      <c r="BD214" s="153"/>
      <c r="BE214" s="153"/>
      <c r="BF214" s="153"/>
      <c r="BG214" s="153"/>
      <c r="BH214" s="153"/>
      <c r="BI214" s="153"/>
      <c r="BJ214" s="153"/>
      <c r="BK214" s="153"/>
      <c r="BL214" s="153"/>
      <c r="BM214" s="153"/>
      <c r="BN214" s="153"/>
      <c r="BO214" s="153"/>
      <c r="BP214" s="153"/>
      <c r="BQ214" s="153"/>
      <c r="BR214" s="153"/>
      <c r="BS214" s="153"/>
      <c r="BT214" s="153"/>
      <c r="BU214" s="153"/>
      <c r="BV214" s="153"/>
      <c r="BW214" s="153"/>
      <c r="BX214" s="153"/>
      <c r="BY214" s="153"/>
      <c r="BZ214" s="153"/>
      <c r="CA214" s="153"/>
      <c r="CB214" s="153"/>
      <c r="CC214" s="153"/>
      <c r="CD214" s="153"/>
      <c r="CE214" s="153"/>
      <c r="CF214" s="153"/>
      <c r="CG214" s="153"/>
      <c r="CH214" s="153"/>
      <c r="CI214" s="153"/>
      <c r="CJ214" s="153"/>
      <c r="CK214" s="153"/>
      <c r="CL214" s="153"/>
      <c r="CM214" s="153"/>
      <c r="CN214" s="153"/>
      <c r="CO214" s="153"/>
      <c r="CP214" s="153"/>
      <c r="CQ214" s="153"/>
      <c r="CR214" s="153"/>
      <c r="CS214" s="153"/>
      <c r="CT214" s="153"/>
      <c r="CU214" s="153"/>
      <c r="CV214" s="153"/>
      <c r="CW214" s="153"/>
      <c r="CX214" s="153"/>
      <c r="CY214" s="153"/>
      <c r="CZ214" s="153"/>
      <c r="DA214" s="153"/>
      <c r="DB214" s="153"/>
      <c r="DC214" s="153"/>
      <c r="DD214" s="153"/>
      <c r="DE214" s="153"/>
      <c r="DF214" s="153"/>
      <c r="DG214" s="153"/>
      <c r="DH214" s="153"/>
      <c r="DI214" s="153"/>
      <c r="DJ214" s="153"/>
      <c r="DK214" s="153"/>
      <c r="DL214" s="153"/>
      <c r="DM214" s="153"/>
      <c r="DN214" s="153"/>
      <c r="DO214" s="153"/>
      <c r="DP214" s="153"/>
      <c r="DQ214" s="153"/>
      <c r="DR214" s="153"/>
      <c r="DS214" s="153"/>
      <c r="DT214" s="153"/>
      <c r="DU214" s="153"/>
      <c r="DV214" s="153"/>
      <c r="DW214" s="153"/>
      <c r="DX214" s="153"/>
      <c r="DY214" s="153"/>
      <c r="DZ214" s="153"/>
      <c r="EA214" s="153"/>
      <c r="EB214" s="153"/>
      <c r="EC214" s="153"/>
      <c r="ED214" s="153"/>
      <c r="EE214" s="153"/>
      <c r="EF214" s="153"/>
      <c r="EG214" s="153"/>
      <c r="EH214" s="153"/>
      <c r="EI214" s="153"/>
      <c r="EJ214" s="153"/>
      <c r="EK214" s="153"/>
      <c r="EL214" s="153"/>
      <c r="EM214" s="153"/>
    </row>
    <row r="215" spans="1:143" s="107" customFormat="1" ht="10.5" hidden="1" customHeight="1" outlineLevel="2">
      <c r="A215" s="1548">
        <v>190</v>
      </c>
      <c r="B215" s="1560" t="str">
        <f t="shared" si="4"/>
        <v/>
      </c>
      <c r="C215" s="161" t="str">
        <f>GasTime(GasAnalyser,'Horiba Data'!F208,'Horiba Data'!G208,'Testo, JUM &amp; MRU Data'!A209,'Thermo Data'!B208,HourOffset)</f>
        <v/>
      </c>
      <c r="D215" s="981" t="str">
        <f>IF(D$17=FALSE,"",GasData(GasAnalyser,'Horiba Data'!S208,'Testo, JUM &amp; MRU Data'!D209,'Thermo Data'!E208,'Testo, JUM &amp; MRU Data'!U209,GDF))</f>
        <v/>
      </c>
      <c r="E215" s="981" t="str">
        <f>IF(D215="","",Conc2(D215,D$9,MolVol,D$21,D$20,E$21,E$20))</f>
        <v/>
      </c>
      <c r="F215" s="981" t="str">
        <f>IF(F$17=FALSE,"",GasData(GasAnalyser,'Horiba Data'!AQ208,'Testo, JUM &amp; MRU Data'!E209,'Thermo Data'!F208,'Testo, JUM &amp; MRU Data'!V209,GDF))</f>
        <v/>
      </c>
      <c r="G215" s="981" t="str">
        <f>IF(F215="","",Conc2(F215,F$9,MolVol,F$21,F$20,G$21,G$20))</f>
        <v/>
      </c>
      <c r="H215" s="981" t="str">
        <f>IF(D$17=FALSE,"",IF(F$17=FALSE,"",GasData(GasAnalyser,'Horiba Data'!W208,'Testo, JUM &amp; MRU Data'!F209,'Thermo Data'!G208,'Testo, JUM &amp; MRU Data'!Y209,GDF)))</f>
        <v/>
      </c>
      <c r="I215" s="981" t="str">
        <f>IF(H215="","",Conc2(H215,H$9,MolVol,H$21,H$20,I$21,I$20))</f>
        <v/>
      </c>
      <c r="J215" s="981" t="str">
        <f>IF(J$17=FALSE,"",GasData(GasAnalyser,'Horiba Data'!AM208,'Testo, JUM &amp; MRU Data'!G209,'Thermo Data'!H208,'Testo, JUM &amp; MRU Data'!W209,GDF))</f>
        <v/>
      </c>
      <c r="K215" s="981" t="str">
        <f>IF(J215="","",Conc2(J215,J$9,MolVol,J$21,J$20,K$21,K$20))</f>
        <v/>
      </c>
      <c r="L215" s="981" t="str">
        <f>IF(L$17=FALSE,"",GasData(GasAnalyser,'Horiba Data'!AA208,'Testo, JUM &amp; MRU Data'!H209,'Thermo Data'!I208,'Testo, JUM &amp; MRU Data'!T209,GDF))</f>
        <v/>
      </c>
      <c r="M215" s="981" t="str">
        <f>IF(L215="","",Conc2(L215,L$9,MolVol,L$21,L$20,M$21,M$20))</f>
        <v/>
      </c>
      <c r="N215" s="981" t="str">
        <f>IF(N$17=FALSE,"",GasData(GasAnalyser,'Horiba Data'!AE208,'Testo, JUM &amp; MRU Data'!I209,'Thermo Data'!J208,'Testo, JUM &amp; MRU Data'!S209,GDF))</f>
        <v/>
      </c>
      <c r="O215" s="981" t="str">
        <f>IF(N215="","",Conc2(N215,N$9,MolVol,N$21,N$20,O$21,O$20))</f>
        <v/>
      </c>
      <c r="P215" s="981" t="str">
        <f>IF(P$17=FALSE,"",GasData(GasAnalyser,'Horiba Data'!AI208,'Testo, JUM &amp; MRU Data'!J209,'Thermo Data'!K208,'Testo, JUM &amp; MRU Data'!R209,GDF))</f>
        <v/>
      </c>
      <c r="Q215" s="981" t="str">
        <f>IF(P215="","",Conc2(P215,P$9,MolVol,P$21,P$20,Q$21,Q$20))</f>
        <v/>
      </c>
      <c r="R215" s="981" t="str">
        <f>IF(R$17=FALSE,"",JUMData('Testo, JUM &amp; MRU Data'!M209,$R$7))</f>
        <v/>
      </c>
      <c r="S215" s="982" t="str">
        <f>IF(R215="","",Conc2(R215,R$9,MolVol,R$21,R$20,S$21,S$20)/(1-Bws))</f>
        <v/>
      </c>
      <c r="T215" s="740"/>
      <c r="AR215" s="334"/>
      <c r="AS215" s="334"/>
      <c r="AT215" s="48"/>
      <c r="AU215" s="48"/>
      <c r="AV215" s="153"/>
      <c r="AW215" s="153"/>
      <c r="AX215" s="153"/>
      <c r="AY215" s="153"/>
      <c r="AZ215" s="153"/>
      <c r="BA215" s="153"/>
      <c r="BB215" s="153"/>
      <c r="BC215" s="153"/>
      <c r="BD215" s="153"/>
      <c r="BE215" s="153"/>
      <c r="BF215" s="153"/>
      <c r="BG215" s="153"/>
      <c r="BH215" s="153"/>
      <c r="BI215" s="153"/>
      <c r="BJ215" s="153"/>
      <c r="BK215" s="153"/>
      <c r="BL215" s="153"/>
      <c r="BM215" s="153"/>
      <c r="BN215" s="153"/>
      <c r="BO215" s="153"/>
      <c r="BP215" s="153"/>
      <c r="BQ215" s="153"/>
      <c r="BR215" s="153"/>
      <c r="BS215" s="153"/>
      <c r="BT215" s="153"/>
      <c r="BU215" s="153"/>
      <c r="BV215" s="153"/>
      <c r="BW215" s="153"/>
      <c r="BX215" s="153"/>
      <c r="BY215" s="153"/>
      <c r="BZ215" s="153"/>
      <c r="CA215" s="153"/>
      <c r="CB215" s="153"/>
      <c r="CC215" s="153"/>
      <c r="CD215" s="153"/>
      <c r="CE215" s="153"/>
      <c r="CF215" s="153"/>
      <c r="CG215" s="153"/>
      <c r="CH215" s="153"/>
      <c r="CI215" s="153"/>
      <c r="CJ215" s="153"/>
      <c r="CK215" s="153"/>
      <c r="CL215" s="153"/>
      <c r="CM215" s="153"/>
      <c r="CN215" s="153"/>
      <c r="CO215" s="153"/>
      <c r="CP215" s="153"/>
      <c r="CQ215" s="153"/>
      <c r="CR215" s="153"/>
      <c r="CS215" s="153"/>
      <c r="CT215" s="153"/>
      <c r="CU215" s="153"/>
      <c r="CV215" s="153"/>
      <c r="CW215" s="153"/>
      <c r="CX215" s="153"/>
      <c r="CY215" s="153"/>
      <c r="CZ215" s="153"/>
      <c r="DA215" s="153"/>
      <c r="DB215" s="153"/>
      <c r="DC215" s="153"/>
      <c r="DD215" s="153"/>
      <c r="DE215" s="153"/>
      <c r="DF215" s="153"/>
      <c r="DG215" s="153"/>
      <c r="DH215" s="153"/>
      <c r="DI215" s="153"/>
      <c r="DJ215" s="153"/>
      <c r="DK215" s="153"/>
      <c r="DL215" s="153"/>
      <c r="DM215" s="153"/>
      <c r="DN215" s="153"/>
      <c r="DO215" s="153"/>
      <c r="DP215" s="153"/>
      <c r="DQ215" s="153"/>
      <c r="DR215" s="153"/>
      <c r="DS215" s="153"/>
      <c r="DT215" s="153"/>
      <c r="DU215" s="153"/>
      <c r="DV215" s="153"/>
      <c r="DW215" s="153"/>
      <c r="DX215" s="153"/>
      <c r="DY215" s="153"/>
      <c r="DZ215" s="153"/>
      <c r="EA215" s="153"/>
      <c r="EB215" s="153"/>
      <c r="EC215" s="153"/>
      <c r="ED215" s="153"/>
      <c r="EE215" s="153"/>
      <c r="EF215" s="153"/>
      <c r="EG215" s="153"/>
      <c r="EH215" s="153"/>
      <c r="EI215" s="153"/>
      <c r="EJ215" s="153"/>
      <c r="EK215" s="153"/>
      <c r="EL215" s="153"/>
      <c r="EM215" s="153"/>
    </row>
    <row r="216" spans="1:143" s="107" customFormat="1" ht="10.5" hidden="1" customHeight="1" outlineLevel="2">
      <c r="A216" s="1548">
        <v>191</v>
      </c>
      <c r="B216" s="1560" t="str">
        <f t="shared" si="4"/>
        <v/>
      </c>
      <c r="C216" s="161" t="str">
        <f>GasTime(GasAnalyser,'Horiba Data'!F209,'Horiba Data'!G209,'Testo, JUM &amp; MRU Data'!A210,'Thermo Data'!B209,HourOffset)</f>
        <v/>
      </c>
      <c r="D216" s="981" t="str">
        <f>IF(D$17=FALSE,"",GasData(GasAnalyser,'Horiba Data'!S209,'Testo, JUM &amp; MRU Data'!D210,'Thermo Data'!E209,'Testo, JUM &amp; MRU Data'!U210,GDF))</f>
        <v/>
      </c>
      <c r="E216" s="981" t="str">
        <f>IF(D216="","",Conc2(D216,D$9,MolVol,D$21,D$20,E$21,E$20))</f>
        <v/>
      </c>
      <c r="F216" s="981" t="str">
        <f>IF(F$17=FALSE,"",GasData(GasAnalyser,'Horiba Data'!AQ209,'Testo, JUM &amp; MRU Data'!E210,'Thermo Data'!F209,'Testo, JUM &amp; MRU Data'!V210,GDF))</f>
        <v/>
      </c>
      <c r="G216" s="981" t="str">
        <f>IF(F216="","",Conc2(F216,F$9,MolVol,F$21,F$20,G$21,G$20))</f>
        <v/>
      </c>
      <c r="H216" s="981" t="str">
        <f>IF(D$17=FALSE,"",IF(F$17=FALSE,"",GasData(GasAnalyser,'Horiba Data'!W209,'Testo, JUM &amp; MRU Data'!F210,'Thermo Data'!G209,'Testo, JUM &amp; MRU Data'!Y210,GDF)))</f>
        <v/>
      </c>
      <c r="I216" s="981" t="str">
        <f>IF(H216="","",Conc2(H216,H$9,MolVol,H$21,H$20,I$21,I$20))</f>
        <v/>
      </c>
      <c r="J216" s="981" t="str">
        <f>IF(J$17=FALSE,"",GasData(GasAnalyser,'Horiba Data'!AM209,'Testo, JUM &amp; MRU Data'!G210,'Thermo Data'!H209,'Testo, JUM &amp; MRU Data'!W210,GDF))</f>
        <v/>
      </c>
      <c r="K216" s="981" t="str">
        <f>IF(J216="","",Conc2(J216,J$9,MolVol,J$21,J$20,K$21,K$20))</f>
        <v/>
      </c>
      <c r="L216" s="981" t="str">
        <f>IF(L$17=FALSE,"",GasData(GasAnalyser,'Horiba Data'!AA209,'Testo, JUM &amp; MRU Data'!H210,'Thermo Data'!I209,'Testo, JUM &amp; MRU Data'!T210,GDF))</f>
        <v/>
      </c>
      <c r="M216" s="981" t="str">
        <f>IF(L216="","",Conc2(L216,L$9,MolVol,L$21,L$20,M$21,M$20))</f>
        <v/>
      </c>
      <c r="N216" s="981" t="str">
        <f>IF(N$17=FALSE,"",GasData(GasAnalyser,'Horiba Data'!AE209,'Testo, JUM &amp; MRU Data'!I210,'Thermo Data'!J209,'Testo, JUM &amp; MRU Data'!S210,GDF))</f>
        <v/>
      </c>
      <c r="O216" s="981" t="str">
        <f>IF(N216="","",Conc2(N216,N$9,MolVol,N$21,N$20,O$21,O$20))</f>
        <v/>
      </c>
      <c r="P216" s="981" t="str">
        <f>IF(P$17=FALSE,"",GasData(GasAnalyser,'Horiba Data'!AI209,'Testo, JUM &amp; MRU Data'!J210,'Thermo Data'!K209,'Testo, JUM &amp; MRU Data'!R210,GDF))</f>
        <v/>
      </c>
      <c r="Q216" s="981" t="str">
        <f>IF(P216="","",Conc2(P216,P$9,MolVol,P$21,P$20,Q$21,Q$20))</f>
        <v/>
      </c>
      <c r="R216" s="981" t="str">
        <f>IF(R$17=FALSE,"",JUMData('Testo, JUM &amp; MRU Data'!M210,$R$7))</f>
        <v/>
      </c>
      <c r="S216" s="982" t="str">
        <f>IF(R216="","",Conc2(R216,R$9,MolVol,R$21,R$20,S$21,S$20)/(1-Bws))</f>
        <v/>
      </c>
      <c r="T216" s="740"/>
      <c r="AR216" s="334"/>
      <c r="AS216" s="334"/>
      <c r="AT216" s="48"/>
      <c r="AU216" s="48"/>
      <c r="AV216" s="153"/>
      <c r="AW216" s="153"/>
      <c r="AX216" s="153"/>
      <c r="AY216" s="153"/>
      <c r="AZ216" s="153"/>
      <c r="BA216" s="153"/>
      <c r="BB216" s="153"/>
      <c r="BC216" s="153"/>
      <c r="BD216" s="153"/>
      <c r="BE216" s="153"/>
      <c r="BF216" s="153"/>
      <c r="BG216" s="153"/>
      <c r="BH216" s="153"/>
      <c r="BI216" s="153"/>
      <c r="BJ216" s="153"/>
      <c r="BK216" s="153"/>
      <c r="BL216" s="153"/>
      <c r="BM216" s="153"/>
      <c r="BN216" s="153"/>
      <c r="BO216" s="153"/>
      <c r="BP216" s="153"/>
      <c r="BQ216" s="153"/>
      <c r="BR216" s="153"/>
      <c r="BS216" s="153"/>
      <c r="BT216" s="153"/>
      <c r="BU216" s="153"/>
      <c r="BV216" s="153"/>
      <c r="BW216" s="153"/>
      <c r="BX216" s="153"/>
      <c r="BY216" s="153"/>
      <c r="BZ216" s="153"/>
      <c r="CA216" s="153"/>
      <c r="CB216" s="153"/>
      <c r="CC216" s="153"/>
      <c r="CD216" s="153"/>
      <c r="CE216" s="153"/>
      <c r="CF216" s="153"/>
      <c r="CG216" s="153"/>
      <c r="CH216" s="153"/>
      <c r="CI216" s="153"/>
      <c r="CJ216" s="153"/>
      <c r="CK216" s="153"/>
      <c r="CL216" s="153"/>
      <c r="CM216" s="153"/>
      <c r="CN216" s="153"/>
      <c r="CO216" s="153"/>
      <c r="CP216" s="153"/>
      <c r="CQ216" s="153"/>
      <c r="CR216" s="153"/>
      <c r="CS216" s="153"/>
      <c r="CT216" s="153"/>
      <c r="CU216" s="153"/>
      <c r="CV216" s="153"/>
      <c r="CW216" s="153"/>
      <c r="CX216" s="153"/>
      <c r="CY216" s="153"/>
      <c r="CZ216" s="153"/>
      <c r="DA216" s="153"/>
      <c r="DB216" s="153"/>
      <c r="DC216" s="153"/>
      <c r="DD216" s="153"/>
      <c r="DE216" s="153"/>
      <c r="DF216" s="153"/>
      <c r="DG216" s="153"/>
      <c r="DH216" s="153"/>
      <c r="DI216" s="153"/>
      <c r="DJ216" s="153"/>
      <c r="DK216" s="153"/>
      <c r="DL216" s="153"/>
      <c r="DM216" s="153"/>
      <c r="DN216" s="153"/>
      <c r="DO216" s="153"/>
      <c r="DP216" s="153"/>
      <c r="DQ216" s="153"/>
      <c r="DR216" s="153"/>
      <c r="DS216" s="153"/>
      <c r="DT216" s="153"/>
      <c r="DU216" s="153"/>
      <c r="DV216" s="153"/>
      <c r="DW216" s="153"/>
      <c r="DX216" s="153"/>
      <c r="DY216" s="153"/>
      <c r="DZ216" s="153"/>
      <c r="EA216" s="153"/>
      <c r="EB216" s="153"/>
      <c r="EC216" s="153"/>
      <c r="ED216" s="153"/>
      <c r="EE216" s="153"/>
      <c r="EF216" s="153"/>
      <c r="EG216" s="153"/>
      <c r="EH216" s="153"/>
      <c r="EI216" s="153"/>
      <c r="EJ216" s="153"/>
      <c r="EK216" s="153"/>
      <c r="EL216" s="153"/>
      <c r="EM216" s="153"/>
    </row>
    <row r="217" spans="1:143" s="107" customFormat="1" ht="10.5" hidden="1" customHeight="1" outlineLevel="2">
      <c r="A217" s="1548">
        <v>192</v>
      </c>
      <c r="B217" s="1560" t="str">
        <f t="shared" si="4"/>
        <v/>
      </c>
      <c r="C217" s="161" t="str">
        <f>GasTime(GasAnalyser,'Horiba Data'!F210,'Horiba Data'!G210,'Testo, JUM &amp; MRU Data'!A211,'Thermo Data'!B210,HourOffset)</f>
        <v/>
      </c>
      <c r="D217" s="981" t="str">
        <f>IF(D$17=FALSE,"",GasData(GasAnalyser,'Horiba Data'!S210,'Testo, JUM &amp; MRU Data'!D211,'Thermo Data'!E210,'Testo, JUM &amp; MRU Data'!U211,GDF))</f>
        <v/>
      </c>
      <c r="E217" s="981" t="str">
        <f>IF(D217="","",Conc2(D217,D$9,MolVol,D$21,D$20,E$21,E$20))</f>
        <v/>
      </c>
      <c r="F217" s="981" t="str">
        <f>IF(F$17=FALSE,"",GasData(GasAnalyser,'Horiba Data'!AQ210,'Testo, JUM &amp; MRU Data'!E211,'Thermo Data'!F210,'Testo, JUM &amp; MRU Data'!V211,GDF))</f>
        <v/>
      </c>
      <c r="G217" s="981" t="str">
        <f>IF(F217="","",Conc2(F217,F$9,MolVol,F$21,F$20,G$21,G$20))</f>
        <v/>
      </c>
      <c r="H217" s="981" t="str">
        <f>IF(D$17=FALSE,"",IF(F$17=FALSE,"",GasData(GasAnalyser,'Horiba Data'!W210,'Testo, JUM &amp; MRU Data'!F211,'Thermo Data'!G210,'Testo, JUM &amp; MRU Data'!Y211,GDF)))</f>
        <v/>
      </c>
      <c r="I217" s="981" t="str">
        <f>IF(H217="","",Conc2(H217,H$9,MolVol,H$21,H$20,I$21,I$20))</f>
        <v/>
      </c>
      <c r="J217" s="981" t="str">
        <f>IF(J$17=FALSE,"",GasData(GasAnalyser,'Horiba Data'!AM210,'Testo, JUM &amp; MRU Data'!G211,'Thermo Data'!H210,'Testo, JUM &amp; MRU Data'!W211,GDF))</f>
        <v/>
      </c>
      <c r="K217" s="981" t="str">
        <f>IF(J217="","",Conc2(J217,J$9,MolVol,J$21,J$20,K$21,K$20))</f>
        <v/>
      </c>
      <c r="L217" s="981" t="str">
        <f>IF(L$17=FALSE,"",GasData(GasAnalyser,'Horiba Data'!AA210,'Testo, JUM &amp; MRU Data'!H211,'Thermo Data'!I210,'Testo, JUM &amp; MRU Data'!T211,GDF))</f>
        <v/>
      </c>
      <c r="M217" s="981" t="str">
        <f>IF(L217="","",Conc2(L217,L$9,MolVol,L$21,L$20,M$21,M$20))</f>
        <v/>
      </c>
      <c r="N217" s="981" t="str">
        <f>IF(N$17=FALSE,"",GasData(GasAnalyser,'Horiba Data'!AE210,'Testo, JUM &amp; MRU Data'!I211,'Thermo Data'!J210,'Testo, JUM &amp; MRU Data'!S211,GDF))</f>
        <v/>
      </c>
      <c r="O217" s="981" t="str">
        <f>IF(N217="","",Conc2(N217,N$9,MolVol,N$21,N$20,O$21,O$20))</f>
        <v/>
      </c>
      <c r="P217" s="981" t="str">
        <f>IF(P$17=FALSE,"",GasData(GasAnalyser,'Horiba Data'!AI210,'Testo, JUM &amp; MRU Data'!J211,'Thermo Data'!K210,'Testo, JUM &amp; MRU Data'!R211,GDF))</f>
        <v/>
      </c>
      <c r="Q217" s="981" t="str">
        <f>IF(P217="","",Conc2(P217,P$9,MolVol,P$21,P$20,Q$21,Q$20))</f>
        <v/>
      </c>
      <c r="R217" s="981" t="str">
        <f>IF(R$17=FALSE,"",JUMData('Testo, JUM &amp; MRU Data'!M211,$R$7))</f>
        <v/>
      </c>
      <c r="S217" s="982" t="str">
        <f>IF(R217="","",Conc2(R217,R$9,MolVol,R$21,R$20,S$21,S$20)/(1-Bws))</f>
        <v/>
      </c>
      <c r="T217" s="740"/>
      <c r="AR217" s="334"/>
      <c r="AS217" s="334"/>
      <c r="AT217" s="48"/>
      <c r="AU217" s="48"/>
      <c r="AV217" s="153"/>
      <c r="AW217" s="153"/>
      <c r="AX217" s="153"/>
      <c r="AY217" s="153"/>
      <c r="AZ217" s="153"/>
      <c r="BA217" s="153"/>
      <c r="BB217" s="153"/>
      <c r="BC217" s="153"/>
      <c r="BD217" s="153"/>
      <c r="BE217" s="153"/>
      <c r="BF217" s="153"/>
      <c r="BG217" s="153"/>
      <c r="BH217" s="153"/>
      <c r="BI217" s="153"/>
      <c r="BJ217" s="153"/>
      <c r="BK217" s="153"/>
      <c r="BL217" s="153"/>
      <c r="BM217" s="153"/>
      <c r="BN217" s="153"/>
      <c r="BO217" s="153"/>
      <c r="BP217" s="153"/>
      <c r="BQ217" s="153"/>
      <c r="BR217" s="153"/>
      <c r="BS217" s="153"/>
      <c r="BT217" s="153"/>
      <c r="BU217" s="153"/>
      <c r="BV217" s="153"/>
      <c r="BW217" s="153"/>
      <c r="BX217" s="153"/>
      <c r="BY217" s="153"/>
      <c r="BZ217" s="153"/>
      <c r="CA217" s="153"/>
      <c r="CB217" s="153"/>
      <c r="CC217" s="153"/>
      <c r="CD217" s="153"/>
      <c r="CE217" s="153"/>
      <c r="CF217" s="153"/>
      <c r="CG217" s="153"/>
      <c r="CH217" s="153"/>
      <c r="CI217" s="153"/>
      <c r="CJ217" s="153"/>
      <c r="CK217" s="153"/>
      <c r="CL217" s="153"/>
      <c r="CM217" s="153"/>
      <c r="CN217" s="153"/>
      <c r="CO217" s="153"/>
      <c r="CP217" s="153"/>
      <c r="CQ217" s="153"/>
      <c r="CR217" s="153"/>
      <c r="CS217" s="153"/>
      <c r="CT217" s="153"/>
      <c r="CU217" s="153"/>
      <c r="CV217" s="153"/>
      <c r="CW217" s="153"/>
      <c r="CX217" s="153"/>
      <c r="CY217" s="153"/>
      <c r="CZ217" s="153"/>
      <c r="DA217" s="153"/>
      <c r="DB217" s="153"/>
      <c r="DC217" s="153"/>
      <c r="DD217" s="153"/>
      <c r="DE217" s="153"/>
      <c r="DF217" s="153"/>
      <c r="DG217" s="153"/>
      <c r="DH217" s="153"/>
      <c r="DI217" s="153"/>
      <c r="DJ217" s="153"/>
      <c r="DK217" s="153"/>
      <c r="DL217" s="153"/>
      <c r="DM217" s="153"/>
      <c r="DN217" s="153"/>
      <c r="DO217" s="153"/>
      <c r="DP217" s="153"/>
      <c r="DQ217" s="153"/>
      <c r="DR217" s="153"/>
      <c r="DS217" s="153"/>
      <c r="DT217" s="153"/>
      <c r="DU217" s="153"/>
      <c r="DV217" s="153"/>
      <c r="DW217" s="153"/>
      <c r="DX217" s="153"/>
      <c r="DY217" s="153"/>
      <c r="DZ217" s="153"/>
      <c r="EA217" s="153"/>
      <c r="EB217" s="153"/>
      <c r="EC217" s="153"/>
      <c r="ED217" s="153"/>
      <c r="EE217" s="153"/>
      <c r="EF217" s="153"/>
      <c r="EG217" s="153"/>
      <c r="EH217" s="153"/>
      <c r="EI217" s="153"/>
      <c r="EJ217" s="153"/>
      <c r="EK217" s="153"/>
      <c r="EL217" s="153"/>
      <c r="EM217" s="153"/>
    </row>
    <row r="218" spans="1:143" s="107" customFormat="1" ht="10.5" hidden="1" customHeight="1" outlineLevel="2">
      <c r="A218" s="1548">
        <v>193</v>
      </c>
      <c r="B218" s="1560" t="str">
        <f t="shared" si="4"/>
        <v/>
      </c>
      <c r="C218" s="161" t="str">
        <f>GasTime(GasAnalyser,'Horiba Data'!F211,'Horiba Data'!G211,'Testo, JUM &amp; MRU Data'!A212,'Thermo Data'!B211,HourOffset)</f>
        <v/>
      </c>
      <c r="D218" s="981" t="str">
        <f>IF(D$17=FALSE,"",GasData(GasAnalyser,'Horiba Data'!S211,'Testo, JUM &amp; MRU Data'!D212,'Thermo Data'!E211,'Testo, JUM &amp; MRU Data'!U212,GDF))</f>
        <v/>
      </c>
      <c r="E218" s="981" t="str">
        <f>IF(D218="","",Conc2(D218,D$9,MolVol,D$21,D$20,E$21,E$20))</f>
        <v/>
      </c>
      <c r="F218" s="981" t="str">
        <f>IF(F$17=FALSE,"",GasData(GasAnalyser,'Horiba Data'!AQ211,'Testo, JUM &amp; MRU Data'!E212,'Thermo Data'!F211,'Testo, JUM &amp; MRU Data'!V212,GDF))</f>
        <v/>
      </c>
      <c r="G218" s="981" t="str">
        <f>IF(F218="","",Conc2(F218,F$9,MolVol,F$21,F$20,G$21,G$20))</f>
        <v/>
      </c>
      <c r="H218" s="981" t="str">
        <f>IF(D$17=FALSE,"",IF(F$17=FALSE,"",GasData(GasAnalyser,'Horiba Data'!W211,'Testo, JUM &amp; MRU Data'!F212,'Thermo Data'!G211,'Testo, JUM &amp; MRU Data'!Y212,GDF)))</f>
        <v/>
      </c>
      <c r="I218" s="981" t="str">
        <f>IF(H218="","",Conc2(H218,H$9,MolVol,H$21,H$20,I$21,I$20))</f>
        <v/>
      </c>
      <c r="J218" s="981" t="str">
        <f>IF(J$17=FALSE,"",GasData(GasAnalyser,'Horiba Data'!AM211,'Testo, JUM &amp; MRU Data'!G212,'Thermo Data'!H211,'Testo, JUM &amp; MRU Data'!W212,GDF))</f>
        <v/>
      </c>
      <c r="K218" s="981" t="str">
        <f>IF(J218="","",Conc2(J218,J$9,MolVol,J$21,J$20,K$21,K$20))</f>
        <v/>
      </c>
      <c r="L218" s="981" t="str">
        <f>IF(L$17=FALSE,"",GasData(GasAnalyser,'Horiba Data'!AA211,'Testo, JUM &amp; MRU Data'!H212,'Thermo Data'!I211,'Testo, JUM &amp; MRU Data'!T212,GDF))</f>
        <v/>
      </c>
      <c r="M218" s="981" t="str">
        <f>IF(L218="","",Conc2(L218,L$9,MolVol,L$21,L$20,M$21,M$20))</f>
        <v/>
      </c>
      <c r="N218" s="981" t="str">
        <f>IF(N$17=FALSE,"",GasData(GasAnalyser,'Horiba Data'!AE211,'Testo, JUM &amp; MRU Data'!I212,'Thermo Data'!J211,'Testo, JUM &amp; MRU Data'!S212,GDF))</f>
        <v/>
      </c>
      <c r="O218" s="981" t="str">
        <f>IF(N218="","",Conc2(N218,N$9,MolVol,N$21,N$20,O$21,O$20))</f>
        <v/>
      </c>
      <c r="P218" s="981" t="str">
        <f>IF(P$17=FALSE,"",GasData(GasAnalyser,'Horiba Data'!AI211,'Testo, JUM &amp; MRU Data'!J212,'Thermo Data'!K211,'Testo, JUM &amp; MRU Data'!R212,GDF))</f>
        <v/>
      </c>
      <c r="Q218" s="981" t="str">
        <f>IF(P218="","",Conc2(P218,P$9,MolVol,P$21,P$20,Q$21,Q$20))</f>
        <v/>
      </c>
      <c r="R218" s="981" t="str">
        <f>IF(R$17=FALSE,"",JUMData('Testo, JUM &amp; MRU Data'!M212,$R$7))</f>
        <v/>
      </c>
      <c r="S218" s="982" t="str">
        <f>IF(R218="","",Conc2(R218,R$9,MolVol,R$21,R$20,S$21,S$20)/(1-Bws))</f>
        <v/>
      </c>
      <c r="T218" s="740"/>
      <c r="AR218" s="334"/>
      <c r="AS218" s="334"/>
      <c r="AT218" s="48"/>
      <c r="AU218" s="48"/>
      <c r="AV218" s="153"/>
      <c r="AW218" s="153"/>
      <c r="AX218" s="153"/>
      <c r="AY218" s="153"/>
      <c r="AZ218" s="153"/>
      <c r="BA218" s="153"/>
      <c r="BB218" s="153"/>
      <c r="BC218" s="153"/>
      <c r="BD218" s="153"/>
      <c r="BE218" s="153"/>
      <c r="BF218" s="153"/>
      <c r="BG218" s="153"/>
      <c r="BH218" s="153"/>
      <c r="BI218" s="153"/>
      <c r="BJ218" s="153"/>
      <c r="BK218" s="153"/>
      <c r="BL218" s="153"/>
      <c r="BM218" s="153"/>
      <c r="BN218" s="153"/>
      <c r="BO218" s="153"/>
      <c r="BP218" s="153"/>
      <c r="BQ218" s="153"/>
      <c r="BR218" s="153"/>
      <c r="BS218" s="153"/>
      <c r="BT218" s="153"/>
      <c r="BU218" s="153"/>
      <c r="BV218" s="153"/>
      <c r="BW218" s="153"/>
      <c r="BX218" s="153"/>
      <c r="BY218" s="153"/>
      <c r="BZ218" s="153"/>
      <c r="CA218" s="153"/>
      <c r="CB218" s="153"/>
      <c r="CC218" s="153"/>
      <c r="CD218" s="153"/>
      <c r="CE218" s="153"/>
      <c r="CF218" s="153"/>
      <c r="CG218" s="153"/>
      <c r="CH218" s="153"/>
      <c r="CI218" s="153"/>
      <c r="CJ218" s="153"/>
      <c r="CK218" s="153"/>
      <c r="CL218" s="153"/>
      <c r="CM218" s="153"/>
      <c r="CN218" s="153"/>
      <c r="CO218" s="153"/>
      <c r="CP218" s="153"/>
      <c r="CQ218" s="153"/>
      <c r="CR218" s="153"/>
      <c r="CS218" s="153"/>
      <c r="CT218" s="153"/>
      <c r="CU218" s="153"/>
      <c r="CV218" s="153"/>
      <c r="CW218" s="153"/>
      <c r="CX218" s="153"/>
      <c r="CY218" s="153"/>
      <c r="CZ218" s="153"/>
      <c r="DA218" s="153"/>
      <c r="DB218" s="153"/>
      <c r="DC218" s="153"/>
      <c r="DD218" s="153"/>
      <c r="DE218" s="153"/>
      <c r="DF218" s="153"/>
      <c r="DG218" s="153"/>
      <c r="DH218" s="153"/>
      <c r="DI218" s="153"/>
      <c r="DJ218" s="153"/>
      <c r="DK218" s="153"/>
      <c r="DL218" s="153"/>
      <c r="DM218" s="153"/>
      <c r="DN218" s="153"/>
      <c r="DO218" s="153"/>
      <c r="DP218" s="153"/>
      <c r="DQ218" s="153"/>
      <c r="DR218" s="153"/>
      <c r="DS218" s="153"/>
      <c r="DT218" s="153"/>
      <c r="DU218" s="153"/>
      <c r="DV218" s="153"/>
      <c r="DW218" s="153"/>
      <c r="DX218" s="153"/>
      <c r="DY218" s="153"/>
      <c r="DZ218" s="153"/>
      <c r="EA218" s="153"/>
      <c r="EB218" s="153"/>
      <c r="EC218" s="153"/>
      <c r="ED218" s="153"/>
      <c r="EE218" s="153"/>
      <c r="EF218" s="153"/>
      <c r="EG218" s="153"/>
      <c r="EH218" s="153"/>
      <c r="EI218" s="153"/>
      <c r="EJ218" s="153"/>
      <c r="EK218" s="153"/>
      <c r="EL218" s="153"/>
      <c r="EM218" s="153"/>
    </row>
    <row r="219" spans="1:143" s="107" customFormat="1" ht="10.5" hidden="1" customHeight="1" outlineLevel="2">
      <c r="A219" s="1548">
        <v>194</v>
      </c>
      <c r="B219" s="1560" t="str">
        <f t="shared" ref="B219:B282" si="5">IF(C219="","",VALUE(C219))</f>
        <v/>
      </c>
      <c r="C219" s="161" t="str">
        <f>GasTime(GasAnalyser,'Horiba Data'!F212,'Horiba Data'!G212,'Testo, JUM &amp; MRU Data'!A213,'Thermo Data'!B212,HourOffset)</f>
        <v/>
      </c>
      <c r="D219" s="981" t="str">
        <f>IF(D$17=FALSE,"",GasData(GasAnalyser,'Horiba Data'!S212,'Testo, JUM &amp; MRU Data'!D213,'Thermo Data'!E212,'Testo, JUM &amp; MRU Data'!U213,GDF))</f>
        <v/>
      </c>
      <c r="E219" s="981" t="str">
        <f>IF(D219="","",Conc2(D219,D$9,MolVol,D$21,D$20,E$21,E$20))</f>
        <v/>
      </c>
      <c r="F219" s="981" t="str">
        <f>IF(F$17=FALSE,"",GasData(GasAnalyser,'Horiba Data'!AQ212,'Testo, JUM &amp; MRU Data'!E213,'Thermo Data'!F212,'Testo, JUM &amp; MRU Data'!V213,GDF))</f>
        <v/>
      </c>
      <c r="G219" s="981" t="str">
        <f>IF(F219="","",Conc2(F219,F$9,MolVol,F$21,F$20,G$21,G$20))</f>
        <v/>
      </c>
      <c r="H219" s="981" t="str">
        <f>IF(D$17=FALSE,"",IF(F$17=FALSE,"",GasData(GasAnalyser,'Horiba Data'!W212,'Testo, JUM &amp; MRU Data'!F213,'Thermo Data'!G212,'Testo, JUM &amp; MRU Data'!Y213,GDF)))</f>
        <v/>
      </c>
      <c r="I219" s="981" t="str">
        <f>IF(H219="","",Conc2(H219,H$9,MolVol,H$21,H$20,I$21,I$20))</f>
        <v/>
      </c>
      <c r="J219" s="981" t="str">
        <f>IF(J$17=FALSE,"",GasData(GasAnalyser,'Horiba Data'!AM212,'Testo, JUM &amp; MRU Data'!G213,'Thermo Data'!H212,'Testo, JUM &amp; MRU Data'!W213,GDF))</f>
        <v/>
      </c>
      <c r="K219" s="981" t="str">
        <f>IF(J219="","",Conc2(J219,J$9,MolVol,J$21,J$20,K$21,K$20))</f>
        <v/>
      </c>
      <c r="L219" s="981" t="str">
        <f>IF(L$17=FALSE,"",GasData(GasAnalyser,'Horiba Data'!AA212,'Testo, JUM &amp; MRU Data'!H213,'Thermo Data'!I212,'Testo, JUM &amp; MRU Data'!T213,GDF))</f>
        <v/>
      </c>
      <c r="M219" s="981" t="str">
        <f>IF(L219="","",Conc2(L219,L$9,MolVol,L$21,L$20,M$21,M$20))</f>
        <v/>
      </c>
      <c r="N219" s="981" t="str">
        <f>IF(N$17=FALSE,"",GasData(GasAnalyser,'Horiba Data'!AE212,'Testo, JUM &amp; MRU Data'!I213,'Thermo Data'!J212,'Testo, JUM &amp; MRU Data'!S213,GDF))</f>
        <v/>
      </c>
      <c r="O219" s="981" t="str">
        <f>IF(N219="","",Conc2(N219,N$9,MolVol,N$21,N$20,O$21,O$20))</f>
        <v/>
      </c>
      <c r="P219" s="981" t="str">
        <f>IF(P$17=FALSE,"",GasData(GasAnalyser,'Horiba Data'!AI212,'Testo, JUM &amp; MRU Data'!J213,'Thermo Data'!K212,'Testo, JUM &amp; MRU Data'!R213,GDF))</f>
        <v/>
      </c>
      <c r="Q219" s="981" t="str">
        <f>IF(P219="","",Conc2(P219,P$9,MolVol,P$21,P$20,Q$21,Q$20))</f>
        <v/>
      </c>
      <c r="R219" s="981" t="str">
        <f>IF(R$17=FALSE,"",JUMData('Testo, JUM &amp; MRU Data'!M213,$R$7))</f>
        <v/>
      </c>
      <c r="S219" s="982" t="str">
        <f>IF(R219="","",Conc2(R219,R$9,MolVol,R$21,R$20,S$21,S$20)/(1-Bws))</f>
        <v/>
      </c>
      <c r="T219" s="740"/>
      <c r="AR219" s="334"/>
      <c r="AS219" s="334"/>
      <c r="AT219" s="48"/>
      <c r="AU219" s="48"/>
      <c r="AV219" s="153"/>
      <c r="AW219" s="153"/>
      <c r="AX219" s="153"/>
      <c r="AY219" s="153"/>
      <c r="AZ219" s="153"/>
      <c r="BA219" s="153"/>
      <c r="BB219" s="153"/>
      <c r="BC219" s="153"/>
      <c r="BD219" s="153"/>
      <c r="BE219" s="153"/>
      <c r="BF219" s="153"/>
      <c r="BG219" s="153"/>
      <c r="BH219" s="153"/>
      <c r="BI219" s="153"/>
      <c r="BJ219" s="153"/>
      <c r="BK219" s="153"/>
      <c r="BL219" s="153"/>
      <c r="BM219" s="153"/>
      <c r="BN219" s="153"/>
      <c r="BO219" s="153"/>
      <c r="BP219" s="153"/>
      <c r="BQ219" s="153"/>
      <c r="BR219" s="153"/>
      <c r="BS219" s="153"/>
      <c r="BT219" s="153"/>
      <c r="BU219" s="153"/>
      <c r="BV219" s="153"/>
      <c r="BW219" s="153"/>
      <c r="BX219" s="153"/>
      <c r="BY219" s="153"/>
      <c r="BZ219" s="153"/>
      <c r="CA219" s="153"/>
      <c r="CB219" s="153"/>
      <c r="CC219" s="153"/>
      <c r="CD219" s="153"/>
      <c r="CE219" s="153"/>
      <c r="CF219" s="153"/>
      <c r="CG219" s="153"/>
      <c r="CH219" s="153"/>
      <c r="CI219" s="153"/>
      <c r="CJ219" s="153"/>
      <c r="CK219" s="153"/>
      <c r="CL219" s="153"/>
      <c r="CM219" s="153"/>
      <c r="CN219" s="153"/>
      <c r="CO219" s="153"/>
      <c r="CP219" s="153"/>
      <c r="CQ219" s="153"/>
      <c r="CR219" s="153"/>
      <c r="CS219" s="153"/>
      <c r="CT219" s="153"/>
      <c r="CU219" s="153"/>
      <c r="CV219" s="153"/>
      <c r="CW219" s="153"/>
      <c r="CX219" s="153"/>
      <c r="CY219" s="153"/>
      <c r="CZ219" s="153"/>
      <c r="DA219" s="153"/>
      <c r="DB219" s="153"/>
      <c r="DC219" s="153"/>
      <c r="DD219" s="153"/>
      <c r="DE219" s="153"/>
      <c r="DF219" s="153"/>
      <c r="DG219" s="153"/>
      <c r="DH219" s="153"/>
      <c r="DI219" s="153"/>
      <c r="DJ219" s="153"/>
      <c r="DK219" s="153"/>
      <c r="DL219" s="153"/>
      <c r="DM219" s="153"/>
      <c r="DN219" s="153"/>
      <c r="DO219" s="153"/>
      <c r="DP219" s="153"/>
      <c r="DQ219" s="153"/>
      <c r="DR219" s="153"/>
      <c r="DS219" s="153"/>
      <c r="DT219" s="153"/>
      <c r="DU219" s="153"/>
      <c r="DV219" s="153"/>
      <c r="DW219" s="153"/>
      <c r="DX219" s="153"/>
      <c r="DY219" s="153"/>
      <c r="DZ219" s="153"/>
      <c r="EA219" s="153"/>
      <c r="EB219" s="153"/>
      <c r="EC219" s="153"/>
      <c r="ED219" s="153"/>
      <c r="EE219" s="153"/>
      <c r="EF219" s="153"/>
      <c r="EG219" s="153"/>
      <c r="EH219" s="153"/>
      <c r="EI219" s="153"/>
      <c r="EJ219" s="153"/>
      <c r="EK219" s="153"/>
      <c r="EL219" s="153"/>
      <c r="EM219" s="153"/>
    </row>
    <row r="220" spans="1:143" s="107" customFormat="1" ht="10.5" hidden="1" customHeight="1" outlineLevel="2">
      <c r="A220" s="1548">
        <v>195</v>
      </c>
      <c r="B220" s="1560" t="str">
        <f t="shared" si="5"/>
        <v/>
      </c>
      <c r="C220" s="161" t="str">
        <f>GasTime(GasAnalyser,'Horiba Data'!F213,'Horiba Data'!G213,'Testo, JUM &amp; MRU Data'!A214,'Thermo Data'!B213,HourOffset)</f>
        <v/>
      </c>
      <c r="D220" s="981" t="str">
        <f>IF(D$17=FALSE,"",GasData(GasAnalyser,'Horiba Data'!S213,'Testo, JUM &amp; MRU Data'!D214,'Thermo Data'!E213,'Testo, JUM &amp; MRU Data'!U214,GDF))</f>
        <v/>
      </c>
      <c r="E220" s="981" t="str">
        <f>IF(D220="","",Conc2(D220,D$9,MolVol,D$21,D$20,E$21,E$20))</f>
        <v/>
      </c>
      <c r="F220" s="981" t="str">
        <f>IF(F$17=FALSE,"",GasData(GasAnalyser,'Horiba Data'!AQ213,'Testo, JUM &amp; MRU Data'!E214,'Thermo Data'!F213,'Testo, JUM &amp; MRU Data'!V214,GDF))</f>
        <v/>
      </c>
      <c r="G220" s="981" t="str">
        <f>IF(F220="","",Conc2(F220,F$9,MolVol,F$21,F$20,G$21,G$20))</f>
        <v/>
      </c>
      <c r="H220" s="981" t="str">
        <f>IF(D$17=FALSE,"",IF(F$17=FALSE,"",GasData(GasAnalyser,'Horiba Data'!W213,'Testo, JUM &amp; MRU Data'!F214,'Thermo Data'!G213,'Testo, JUM &amp; MRU Data'!Y214,GDF)))</f>
        <v/>
      </c>
      <c r="I220" s="981" t="str">
        <f>IF(H220="","",Conc2(H220,H$9,MolVol,H$21,H$20,I$21,I$20))</f>
        <v/>
      </c>
      <c r="J220" s="981" t="str">
        <f>IF(J$17=FALSE,"",GasData(GasAnalyser,'Horiba Data'!AM213,'Testo, JUM &amp; MRU Data'!G214,'Thermo Data'!H213,'Testo, JUM &amp; MRU Data'!W214,GDF))</f>
        <v/>
      </c>
      <c r="K220" s="981" t="str">
        <f>IF(J220="","",Conc2(J220,J$9,MolVol,J$21,J$20,K$21,K$20))</f>
        <v/>
      </c>
      <c r="L220" s="981" t="str">
        <f>IF(L$17=FALSE,"",GasData(GasAnalyser,'Horiba Data'!AA213,'Testo, JUM &amp; MRU Data'!H214,'Thermo Data'!I213,'Testo, JUM &amp; MRU Data'!T214,GDF))</f>
        <v/>
      </c>
      <c r="M220" s="981" t="str">
        <f>IF(L220="","",Conc2(L220,L$9,MolVol,L$21,L$20,M$21,M$20))</f>
        <v/>
      </c>
      <c r="N220" s="981" t="str">
        <f>IF(N$17=FALSE,"",GasData(GasAnalyser,'Horiba Data'!AE213,'Testo, JUM &amp; MRU Data'!I214,'Thermo Data'!J213,'Testo, JUM &amp; MRU Data'!S214,GDF))</f>
        <v/>
      </c>
      <c r="O220" s="981" t="str">
        <f>IF(N220="","",Conc2(N220,N$9,MolVol,N$21,N$20,O$21,O$20))</f>
        <v/>
      </c>
      <c r="P220" s="981" t="str">
        <f>IF(P$17=FALSE,"",GasData(GasAnalyser,'Horiba Data'!AI213,'Testo, JUM &amp; MRU Data'!J214,'Thermo Data'!K213,'Testo, JUM &amp; MRU Data'!R214,GDF))</f>
        <v/>
      </c>
      <c r="Q220" s="981" t="str">
        <f>IF(P220="","",Conc2(P220,P$9,MolVol,P$21,P$20,Q$21,Q$20))</f>
        <v/>
      </c>
      <c r="R220" s="981" t="str">
        <f>IF(R$17=FALSE,"",JUMData('Testo, JUM &amp; MRU Data'!M214,$R$7))</f>
        <v/>
      </c>
      <c r="S220" s="982" t="str">
        <f>IF(R220="","",Conc2(R220,R$9,MolVol,R$21,R$20,S$21,S$20)/(1-Bws))</f>
        <v/>
      </c>
      <c r="T220" s="740"/>
      <c r="AR220" s="334"/>
      <c r="AS220" s="334"/>
      <c r="AT220" s="48"/>
      <c r="AU220" s="48"/>
      <c r="AV220" s="153"/>
      <c r="AW220" s="153"/>
      <c r="AX220" s="153"/>
      <c r="AY220" s="153"/>
      <c r="AZ220" s="153"/>
      <c r="BA220" s="153"/>
      <c r="BB220" s="153"/>
      <c r="BC220" s="153"/>
      <c r="BD220" s="153"/>
      <c r="BE220" s="153"/>
      <c r="BF220" s="153"/>
      <c r="BG220" s="153"/>
      <c r="BH220" s="153"/>
      <c r="BI220" s="153"/>
      <c r="BJ220" s="153"/>
      <c r="BK220" s="153"/>
      <c r="BL220" s="153"/>
      <c r="BM220" s="153"/>
      <c r="BN220" s="153"/>
      <c r="BO220" s="153"/>
      <c r="BP220" s="153"/>
      <c r="BQ220" s="153"/>
      <c r="BR220" s="153"/>
      <c r="BS220" s="153"/>
      <c r="BT220" s="153"/>
      <c r="BU220" s="153"/>
      <c r="BV220" s="153"/>
      <c r="BW220" s="153"/>
      <c r="BX220" s="153"/>
      <c r="BY220" s="153"/>
      <c r="BZ220" s="153"/>
      <c r="CA220" s="153"/>
      <c r="CB220" s="153"/>
      <c r="CC220" s="153"/>
      <c r="CD220" s="153"/>
      <c r="CE220" s="153"/>
      <c r="CF220" s="153"/>
      <c r="CG220" s="153"/>
      <c r="CH220" s="153"/>
      <c r="CI220" s="153"/>
      <c r="CJ220" s="153"/>
      <c r="CK220" s="153"/>
      <c r="CL220" s="153"/>
      <c r="CM220" s="153"/>
      <c r="CN220" s="153"/>
      <c r="CO220" s="153"/>
      <c r="CP220" s="153"/>
      <c r="CQ220" s="153"/>
      <c r="CR220" s="153"/>
      <c r="CS220" s="153"/>
      <c r="CT220" s="153"/>
      <c r="CU220" s="153"/>
      <c r="CV220" s="153"/>
      <c r="CW220" s="153"/>
      <c r="CX220" s="153"/>
      <c r="CY220" s="153"/>
      <c r="CZ220" s="153"/>
      <c r="DA220" s="153"/>
      <c r="DB220" s="153"/>
      <c r="DC220" s="153"/>
      <c r="DD220" s="153"/>
      <c r="DE220" s="153"/>
      <c r="DF220" s="153"/>
      <c r="DG220" s="153"/>
      <c r="DH220" s="153"/>
      <c r="DI220" s="153"/>
      <c r="DJ220" s="153"/>
      <c r="DK220" s="153"/>
      <c r="DL220" s="153"/>
      <c r="DM220" s="153"/>
      <c r="DN220" s="153"/>
      <c r="DO220" s="153"/>
      <c r="DP220" s="153"/>
      <c r="DQ220" s="153"/>
      <c r="DR220" s="153"/>
      <c r="DS220" s="153"/>
      <c r="DT220" s="153"/>
      <c r="DU220" s="153"/>
      <c r="DV220" s="153"/>
      <c r="DW220" s="153"/>
      <c r="DX220" s="153"/>
      <c r="DY220" s="153"/>
      <c r="DZ220" s="153"/>
      <c r="EA220" s="153"/>
      <c r="EB220" s="153"/>
      <c r="EC220" s="153"/>
      <c r="ED220" s="153"/>
      <c r="EE220" s="153"/>
      <c r="EF220" s="153"/>
      <c r="EG220" s="153"/>
      <c r="EH220" s="153"/>
      <c r="EI220" s="153"/>
      <c r="EJ220" s="153"/>
      <c r="EK220" s="153"/>
      <c r="EL220" s="153"/>
      <c r="EM220" s="153"/>
    </row>
    <row r="221" spans="1:143" s="107" customFormat="1" ht="10.5" hidden="1" customHeight="1" outlineLevel="2">
      <c r="A221" s="1548">
        <v>196</v>
      </c>
      <c r="B221" s="1560" t="str">
        <f t="shared" si="5"/>
        <v/>
      </c>
      <c r="C221" s="161" t="str">
        <f>GasTime(GasAnalyser,'Horiba Data'!F214,'Horiba Data'!G214,'Testo, JUM &amp; MRU Data'!A215,'Thermo Data'!B214,HourOffset)</f>
        <v/>
      </c>
      <c r="D221" s="981" t="str">
        <f>IF(D$17=FALSE,"",GasData(GasAnalyser,'Horiba Data'!S214,'Testo, JUM &amp; MRU Data'!D215,'Thermo Data'!E214,'Testo, JUM &amp; MRU Data'!U215,GDF))</f>
        <v/>
      </c>
      <c r="E221" s="981" t="str">
        <f>IF(D221="","",Conc2(D221,D$9,MolVol,D$21,D$20,E$21,E$20))</f>
        <v/>
      </c>
      <c r="F221" s="981" t="str">
        <f>IF(F$17=FALSE,"",GasData(GasAnalyser,'Horiba Data'!AQ214,'Testo, JUM &amp; MRU Data'!E215,'Thermo Data'!F214,'Testo, JUM &amp; MRU Data'!V215,GDF))</f>
        <v/>
      </c>
      <c r="G221" s="981" t="str">
        <f>IF(F221="","",Conc2(F221,F$9,MolVol,F$21,F$20,G$21,G$20))</f>
        <v/>
      </c>
      <c r="H221" s="981" t="str">
        <f>IF(D$17=FALSE,"",IF(F$17=FALSE,"",GasData(GasAnalyser,'Horiba Data'!W214,'Testo, JUM &amp; MRU Data'!F215,'Thermo Data'!G214,'Testo, JUM &amp; MRU Data'!Y215,GDF)))</f>
        <v/>
      </c>
      <c r="I221" s="981" t="str">
        <f>IF(H221="","",Conc2(H221,H$9,MolVol,H$21,H$20,I$21,I$20))</f>
        <v/>
      </c>
      <c r="J221" s="981" t="str">
        <f>IF(J$17=FALSE,"",GasData(GasAnalyser,'Horiba Data'!AM214,'Testo, JUM &amp; MRU Data'!G215,'Thermo Data'!H214,'Testo, JUM &amp; MRU Data'!W215,GDF))</f>
        <v/>
      </c>
      <c r="K221" s="981" t="str">
        <f>IF(J221="","",Conc2(J221,J$9,MolVol,J$21,J$20,K$21,K$20))</f>
        <v/>
      </c>
      <c r="L221" s="981" t="str">
        <f>IF(L$17=FALSE,"",GasData(GasAnalyser,'Horiba Data'!AA214,'Testo, JUM &amp; MRU Data'!H215,'Thermo Data'!I214,'Testo, JUM &amp; MRU Data'!T215,GDF))</f>
        <v/>
      </c>
      <c r="M221" s="981" t="str">
        <f>IF(L221="","",Conc2(L221,L$9,MolVol,L$21,L$20,M$21,M$20))</f>
        <v/>
      </c>
      <c r="N221" s="981" t="str">
        <f>IF(N$17=FALSE,"",GasData(GasAnalyser,'Horiba Data'!AE214,'Testo, JUM &amp; MRU Data'!I215,'Thermo Data'!J214,'Testo, JUM &amp; MRU Data'!S215,GDF))</f>
        <v/>
      </c>
      <c r="O221" s="981" t="str">
        <f>IF(N221="","",Conc2(N221,N$9,MolVol,N$21,N$20,O$21,O$20))</f>
        <v/>
      </c>
      <c r="P221" s="981" t="str">
        <f>IF(P$17=FALSE,"",GasData(GasAnalyser,'Horiba Data'!AI214,'Testo, JUM &amp; MRU Data'!J215,'Thermo Data'!K214,'Testo, JUM &amp; MRU Data'!R215,GDF))</f>
        <v/>
      </c>
      <c r="Q221" s="981" t="str">
        <f>IF(P221="","",Conc2(P221,P$9,MolVol,P$21,P$20,Q$21,Q$20))</f>
        <v/>
      </c>
      <c r="R221" s="981" t="str">
        <f>IF(R$17=FALSE,"",JUMData('Testo, JUM &amp; MRU Data'!M215,$R$7))</f>
        <v/>
      </c>
      <c r="S221" s="982" t="str">
        <f>IF(R221="","",Conc2(R221,R$9,MolVol,R$21,R$20,S$21,S$20)/(1-Bws))</f>
        <v/>
      </c>
      <c r="T221" s="740"/>
      <c r="AR221" s="334"/>
      <c r="AS221" s="334"/>
      <c r="AT221" s="48"/>
      <c r="AU221" s="48"/>
      <c r="AV221" s="153"/>
      <c r="AW221" s="153"/>
      <c r="AX221" s="153"/>
      <c r="AY221" s="153"/>
      <c r="AZ221" s="153"/>
      <c r="BA221" s="153"/>
      <c r="BB221" s="153"/>
      <c r="BC221" s="153"/>
      <c r="BD221" s="153"/>
      <c r="BE221" s="153"/>
      <c r="BF221" s="153"/>
      <c r="BG221" s="153"/>
      <c r="BH221" s="153"/>
      <c r="BI221" s="153"/>
      <c r="BJ221" s="153"/>
      <c r="BK221" s="153"/>
      <c r="BL221" s="153"/>
      <c r="BM221" s="153"/>
      <c r="BN221" s="153"/>
      <c r="BO221" s="153"/>
      <c r="BP221" s="153"/>
      <c r="BQ221" s="153"/>
      <c r="BR221" s="153"/>
      <c r="BS221" s="153"/>
      <c r="BT221" s="153"/>
      <c r="BU221" s="153"/>
      <c r="BV221" s="153"/>
      <c r="BW221" s="153"/>
      <c r="BX221" s="153"/>
      <c r="BY221" s="153"/>
      <c r="BZ221" s="153"/>
      <c r="CA221" s="153"/>
      <c r="CB221" s="153"/>
      <c r="CC221" s="153"/>
      <c r="CD221" s="153"/>
      <c r="CE221" s="153"/>
      <c r="CF221" s="153"/>
      <c r="CG221" s="153"/>
      <c r="CH221" s="153"/>
      <c r="CI221" s="153"/>
      <c r="CJ221" s="153"/>
      <c r="CK221" s="153"/>
      <c r="CL221" s="153"/>
      <c r="CM221" s="153"/>
      <c r="CN221" s="153"/>
      <c r="CO221" s="153"/>
      <c r="CP221" s="153"/>
      <c r="CQ221" s="153"/>
      <c r="CR221" s="153"/>
      <c r="CS221" s="153"/>
      <c r="CT221" s="153"/>
      <c r="CU221" s="153"/>
      <c r="CV221" s="153"/>
      <c r="CW221" s="153"/>
      <c r="CX221" s="153"/>
      <c r="CY221" s="153"/>
      <c r="CZ221" s="153"/>
      <c r="DA221" s="153"/>
      <c r="DB221" s="153"/>
      <c r="DC221" s="153"/>
      <c r="DD221" s="153"/>
      <c r="DE221" s="153"/>
      <c r="DF221" s="153"/>
      <c r="DG221" s="153"/>
      <c r="DH221" s="153"/>
      <c r="DI221" s="153"/>
      <c r="DJ221" s="153"/>
      <c r="DK221" s="153"/>
      <c r="DL221" s="153"/>
      <c r="DM221" s="153"/>
      <c r="DN221" s="153"/>
      <c r="DO221" s="153"/>
      <c r="DP221" s="153"/>
      <c r="DQ221" s="153"/>
      <c r="DR221" s="153"/>
      <c r="DS221" s="153"/>
      <c r="DT221" s="153"/>
      <c r="DU221" s="153"/>
      <c r="DV221" s="153"/>
      <c r="DW221" s="153"/>
      <c r="DX221" s="153"/>
      <c r="DY221" s="153"/>
      <c r="DZ221" s="153"/>
      <c r="EA221" s="153"/>
      <c r="EB221" s="153"/>
      <c r="EC221" s="153"/>
      <c r="ED221" s="153"/>
      <c r="EE221" s="153"/>
      <c r="EF221" s="153"/>
      <c r="EG221" s="153"/>
      <c r="EH221" s="153"/>
      <c r="EI221" s="153"/>
      <c r="EJ221" s="153"/>
      <c r="EK221" s="153"/>
      <c r="EL221" s="153"/>
      <c r="EM221" s="153"/>
    </row>
    <row r="222" spans="1:143" s="107" customFormat="1" ht="10.5" hidden="1" customHeight="1" outlineLevel="2">
      <c r="A222" s="1548">
        <v>197</v>
      </c>
      <c r="B222" s="1560" t="str">
        <f t="shared" si="5"/>
        <v/>
      </c>
      <c r="C222" s="161" t="str">
        <f>GasTime(GasAnalyser,'Horiba Data'!F215,'Horiba Data'!G215,'Testo, JUM &amp; MRU Data'!A216,'Thermo Data'!B215,HourOffset)</f>
        <v/>
      </c>
      <c r="D222" s="981" t="str">
        <f>IF(D$17=FALSE,"",GasData(GasAnalyser,'Horiba Data'!S215,'Testo, JUM &amp; MRU Data'!D216,'Thermo Data'!E215,'Testo, JUM &amp; MRU Data'!U216,GDF))</f>
        <v/>
      </c>
      <c r="E222" s="981" t="str">
        <f>IF(D222="","",Conc2(D222,D$9,MolVol,D$21,D$20,E$21,E$20))</f>
        <v/>
      </c>
      <c r="F222" s="981" t="str">
        <f>IF(F$17=FALSE,"",GasData(GasAnalyser,'Horiba Data'!AQ215,'Testo, JUM &amp; MRU Data'!E216,'Thermo Data'!F215,'Testo, JUM &amp; MRU Data'!V216,GDF))</f>
        <v/>
      </c>
      <c r="G222" s="981" t="str">
        <f>IF(F222="","",Conc2(F222,F$9,MolVol,F$21,F$20,G$21,G$20))</f>
        <v/>
      </c>
      <c r="H222" s="981" t="str">
        <f>IF(D$17=FALSE,"",IF(F$17=FALSE,"",GasData(GasAnalyser,'Horiba Data'!W215,'Testo, JUM &amp; MRU Data'!F216,'Thermo Data'!G215,'Testo, JUM &amp; MRU Data'!Y216,GDF)))</f>
        <v/>
      </c>
      <c r="I222" s="981" t="str">
        <f>IF(H222="","",Conc2(H222,H$9,MolVol,H$21,H$20,I$21,I$20))</f>
        <v/>
      </c>
      <c r="J222" s="981" t="str">
        <f>IF(J$17=FALSE,"",GasData(GasAnalyser,'Horiba Data'!AM215,'Testo, JUM &amp; MRU Data'!G216,'Thermo Data'!H215,'Testo, JUM &amp; MRU Data'!W216,GDF))</f>
        <v/>
      </c>
      <c r="K222" s="981" t="str">
        <f>IF(J222="","",Conc2(J222,J$9,MolVol,J$21,J$20,K$21,K$20))</f>
        <v/>
      </c>
      <c r="L222" s="981" t="str">
        <f>IF(L$17=FALSE,"",GasData(GasAnalyser,'Horiba Data'!AA215,'Testo, JUM &amp; MRU Data'!H216,'Thermo Data'!I215,'Testo, JUM &amp; MRU Data'!T216,GDF))</f>
        <v/>
      </c>
      <c r="M222" s="981" t="str">
        <f>IF(L222="","",Conc2(L222,L$9,MolVol,L$21,L$20,M$21,M$20))</f>
        <v/>
      </c>
      <c r="N222" s="981" t="str">
        <f>IF(N$17=FALSE,"",GasData(GasAnalyser,'Horiba Data'!AE215,'Testo, JUM &amp; MRU Data'!I216,'Thermo Data'!J215,'Testo, JUM &amp; MRU Data'!S216,GDF))</f>
        <v/>
      </c>
      <c r="O222" s="981" t="str">
        <f>IF(N222="","",Conc2(N222,N$9,MolVol,N$21,N$20,O$21,O$20))</f>
        <v/>
      </c>
      <c r="P222" s="981" t="str">
        <f>IF(P$17=FALSE,"",GasData(GasAnalyser,'Horiba Data'!AI215,'Testo, JUM &amp; MRU Data'!J216,'Thermo Data'!K215,'Testo, JUM &amp; MRU Data'!R216,GDF))</f>
        <v/>
      </c>
      <c r="Q222" s="981" t="str">
        <f>IF(P222="","",Conc2(P222,P$9,MolVol,P$21,P$20,Q$21,Q$20))</f>
        <v/>
      </c>
      <c r="R222" s="981" t="str">
        <f>IF(R$17=FALSE,"",JUMData('Testo, JUM &amp; MRU Data'!M216,$R$7))</f>
        <v/>
      </c>
      <c r="S222" s="982" t="str">
        <f>IF(R222="","",Conc2(R222,R$9,MolVol,R$21,R$20,S$21,S$20)/(1-Bws))</f>
        <v/>
      </c>
      <c r="T222" s="740"/>
      <c r="AR222" s="334"/>
      <c r="AS222" s="334"/>
      <c r="AT222" s="48"/>
      <c r="AU222" s="48"/>
      <c r="AV222" s="153"/>
      <c r="AW222" s="153"/>
      <c r="AX222" s="153"/>
      <c r="AY222" s="153"/>
      <c r="AZ222" s="153"/>
      <c r="BA222" s="153"/>
      <c r="BB222" s="153"/>
      <c r="BC222" s="153"/>
      <c r="BD222" s="153"/>
      <c r="BE222" s="153"/>
      <c r="BF222" s="153"/>
      <c r="BG222" s="153"/>
      <c r="BH222" s="153"/>
      <c r="BI222" s="153"/>
      <c r="BJ222" s="153"/>
      <c r="BK222" s="153"/>
      <c r="BL222" s="153"/>
      <c r="BM222" s="153"/>
      <c r="BN222" s="153"/>
      <c r="BO222" s="153"/>
      <c r="BP222" s="153"/>
      <c r="BQ222" s="153"/>
      <c r="BR222" s="153"/>
      <c r="BS222" s="153"/>
      <c r="BT222" s="153"/>
      <c r="BU222" s="153"/>
      <c r="BV222" s="153"/>
      <c r="BW222" s="153"/>
      <c r="BX222" s="153"/>
      <c r="BY222" s="153"/>
      <c r="BZ222" s="153"/>
      <c r="CA222" s="153"/>
      <c r="CB222" s="153"/>
      <c r="CC222" s="153"/>
      <c r="CD222" s="153"/>
      <c r="CE222" s="153"/>
      <c r="CF222" s="153"/>
      <c r="CG222" s="153"/>
      <c r="CH222" s="153"/>
      <c r="CI222" s="153"/>
      <c r="CJ222" s="153"/>
      <c r="CK222" s="153"/>
      <c r="CL222" s="153"/>
      <c r="CM222" s="153"/>
      <c r="CN222" s="153"/>
      <c r="CO222" s="153"/>
      <c r="CP222" s="153"/>
      <c r="CQ222" s="153"/>
      <c r="CR222" s="153"/>
      <c r="CS222" s="153"/>
      <c r="CT222" s="153"/>
      <c r="CU222" s="153"/>
      <c r="CV222" s="153"/>
      <c r="CW222" s="153"/>
      <c r="CX222" s="153"/>
      <c r="CY222" s="153"/>
      <c r="CZ222" s="153"/>
      <c r="DA222" s="153"/>
      <c r="DB222" s="153"/>
      <c r="DC222" s="153"/>
      <c r="DD222" s="153"/>
      <c r="DE222" s="153"/>
      <c r="DF222" s="153"/>
      <c r="DG222" s="153"/>
      <c r="DH222" s="153"/>
      <c r="DI222" s="153"/>
      <c r="DJ222" s="153"/>
      <c r="DK222" s="153"/>
      <c r="DL222" s="153"/>
      <c r="DM222" s="153"/>
      <c r="DN222" s="153"/>
      <c r="DO222" s="153"/>
      <c r="DP222" s="153"/>
      <c r="DQ222" s="153"/>
      <c r="DR222" s="153"/>
      <c r="DS222" s="153"/>
      <c r="DT222" s="153"/>
      <c r="DU222" s="153"/>
      <c r="DV222" s="153"/>
      <c r="DW222" s="153"/>
      <c r="DX222" s="153"/>
      <c r="DY222" s="153"/>
      <c r="DZ222" s="153"/>
      <c r="EA222" s="153"/>
      <c r="EB222" s="153"/>
      <c r="EC222" s="153"/>
      <c r="ED222" s="153"/>
      <c r="EE222" s="153"/>
      <c r="EF222" s="153"/>
      <c r="EG222" s="153"/>
      <c r="EH222" s="153"/>
      <c r="EI222" s="153"/>
      <c r="EJ222" s="153"/>
      <c r="EK222" s="153"/>
      <c r="EL222" s="153"/>
      <c r="EM222" s="153"/>
    </row>
    <row r="223" spans="1:143" s="107" customFormat="1" ht="10.5" hidden="1" customHeight="1" outlineLevel="2">
      <c r="A223" s="1548">
        <v>198</v>
      </c>
      <c r="B223" s="1560" t="str">
        <f t="shared" si="5"/>
        <v/>
      </c>
      <c r="C223" s="161" t="str">
        <f>GasTime(GasAnalyser,'Horiba Data'!F216,'Horiba Data'!G216,'Testo, JUM &amp; MRU Data'!A217,'Thermo Data'!B216,HourOffset)</f>
        <v/>
      </c>
      <c r="D223" s="981" t="str">
        <f>IF(D$17=FALSE,"",GasData(GasAnalyser,'Horiba Data'!S216,'Testo, JUM &amp; MRU Data'!D217,'Thermo Data'!E216,'Testo, JUM &amp; MRU Data'!U217,GDF))</f>
        <v/>
      </c>
      <c r="E223" s="981" t="str">
        <f>IF(D223="","",Conc2(D223,D$9,MolVol,D$21,D$20,E$21,E$20))</f>
        <v/>
      </c>
      <c r="F223" s="981" t="str">
        <f>IF(F$17=FALSE,"",GasData(GasAnalyser,'Horiba Data'!AQ216,'Testo, JUM &amp; MRU Data'!E217,'Thermo Data'!F216,'Testo, JUM &amp; MRU Data'!V217,GDF))</f>
        <v/>
      </c>
      <c r="G223" s="981" t="str">
        <f>IF(F223="","",Conc2(F223,F$9,MolVol,F$21,F$20,G$21,G$20))</f>
        <v/>
      </c>
      <c r="H223" s="981" t="str">
        <f>IF(D$17=FALSE,"",IF(F$17=FALSE,"",GasData(GasAnalyser,'Horiba Data'!W216,'Testo, JUM &amp; MRU Data'!F217,'Thermo Data'!G216,'Testo, JUM &amp; MRU Data'!Y217,GDF)))</f>
        <v/>
      </c>
      <c r="I223" s="981" t="str">
        <f>IF(H223="","",Conc2(H223,H$9,MolVol,H$21,H$20,I$21,I$20))</f>
        <v/>
      </c>
      <c r="J223" s="981" t="str">
        <f>IF(J$17=FALSE,"",GasData(GasAnalyser,'Horiba Data'!AM216,'Testo, JUM &amp; MRU Data'!G217,'Thermo Data'!H216,'Testo, JUM &amp; MRU Data'!W217,GDF))</f>
        <v/>
      </c>
      <c r="K223" s="981" t="str">
        <f>IF(J223="","",Conc2(J223,J$9,MolVol,J$21,J$20,K$21,K$20))</f>
        <v/>
      </c>
      <c r="L223" s="981" t="str">
        <f>IF(L$17=FALSE,"",GasData(GasAnalyser,'Horiba Data'!AA216,'Testo, JUM &amp; MRU Data'!H217,'Thermo Data'!I216,'Testo, JUM &amp; MRU Data'!T217,GDF))</f>
        <v/>
      </c>
      <c r="M223" s="981" t="str">
        <f>IF(L223="","",Conc2(L223,L$9,MolVol,L$21,L$20,M$21,M$20))</f>
        <v/>
      </c>
      <c r="N223" s="981" t="str">
        <f>IF(N$17=FALSE,"",GasData(GasAnalyser,'Horiba Data'!AE216,'Testo, JUM &amp; MRU Data'!I217,'Thermo Data'!J216,'Testo, JUM &amp; MRU Data'!S217,GDF))</f>
        <v/>
      </c>
      <c r="O223" s="981" t="str">
        <f>IF(N223="","",Conc2(N223,N$9,MolVol,N$21,N$20,O$21,O$20))</f>
        <v/>
      </c>
      <c r="P223" s="981" t="str">
        <f>IF(P$17=FALSE,"",GasData(GasAnalyser,'Horiba Data'!AI216,'Testo, JUM &amp; MRU Data'!J217,'Thermo Data'!K216,'Testo, JUM &amp; MRU Data'!R217,GDF))</f>
        <v/>
      </c>
      <c r="Q223" s="981" t="str">
        <f>IF(P223="","",Conc2(P223,P$9,MolVol,P$21,P$20,Q$21,Q$20))</f>
        <v/>
      </c>
      <c r="R223" s="981" t="str">
        <f>IF(R$17=FALSE,"",JUMData('Testo, JUM &amp; MRU Data'!M217,$R$7))</f>
        <v/>
      </c>
      <c r="S223" s="982" t="str">
        <f>IF(R223="","",Conc2(R223,R$9,MolVol,R$21,R$20,S$21,S$20)/(1-Bws))</f>
        <v/>
      </c>
      <c r="T223" s="740"/>
      <c r="AR223" s="334"/>
      <c r="AS223" s="334"/>
      <c r="AT223" s="48"/>
      <c r="AU223" s="48"/>
      <c r="AV223" s="153"/>
      <c r="AW223" s="153"/>
      <c r="AX223" s="153"/>
      <c r="AY223" s="153"/>
      <c r="AZ223" s="153"/>
      <c r="BA223" s="153"/>
      <c r="BB223" s="153"/>
      <c r="BC223" s="153"/>
      <c r="BD223" s="153"/>
      <c r="BE223" s="153"/>
      <c r="BF223" s="153"/>
      <c r="BG223" s="153"/>
      <c r="BH223" s="153"/>
      <c r="BI223" s="153"/>
      <c r="BJ223" s="153"/>
      <c r="BK223" s="153"/>
      <c r="BL223" s="153"/>
      <c r="BM223" s="153"/>
      <c r="BN223" s="153"/>
      <c r="BO223" s="153"/>
      <c r="BP223" s="153"/>
      <c r="BQ223" s="153"/>
      <c r="BR223" s="153"/>
      <c r="BS223" s="153"/>
      <c r="BT223" s="153"/>
      <c r="BU223" s="153"/>
      <c r="BV223" s="153"/>
      <c r="BW223" s="153"/>
      <c r="BX223" s="153"/>
      <c r="BY223" s="153"/>
      <c r="BZ223" s="153"/>
      <c r="CA223" s="153"/>
      <c r="CB223" s="153"/>
      <c r="CC223" s="153"/>
      <c r="CD223" s="153"/>
      <c r="CE223" s="153"/>
      <c r="CF223" s="153"/>
      <c r="CG223" s="153"/>
      <c r="CH223" s="153"/>
      <c r="CI223" s="153"/>
      <c r="CJ223" s="153"/>
      <c r="CK223" s="153"/>
      <c r="CL223" s="153"/>
      <c r="CM223" s="153"/>
      <c r="CN223" s="153"/>
      <c r="CO223" s="153"/>
      <c r="CP223" s="153"/>
      <c r="CQ223" s="153"/>
      <c r="CR223" s="153"/>
      <c r="CS223" s="153"/>
      <c r="CT223" s="153"/>
      <c r="CU223" s="153"/>
      <c r="CV223" s="153"/>
      <c r="CW223" s="153"/>
      <c r="CX223" s="153"/>
      <c r="CY223" s="153"/>
      <c r="CZ223" s="153"/>
      <c r="DA223" s="153"/>
      <c r="DB223" s="153"/>
      <c r="DC223" s="153"/>
      <c r="DD223" s="153"/>
      <c r="DE223" s="153"/>
      <c r="DF223" s="153"/>
      <c r="DG223" s="153"/>
      <c r="DH223" s="153"/>
      <c r="DI223" s="153"/>
      <c r="DJ223" s="153"/>
      <c r="DK223" s="153"/>
      <c r="DL223" s="153"/>
      <c r="DM223" s="153"/>
      <c r="DN223" s="153"/>
      <c r="DO223" s="153"/>
      <c r="DP223" s="153"/>
      <c r="DQ223" s="153"/>
      <c r="DR223" s="153"/>
      <c r="DS223" s="153"/>
      <c r="DT223" s="153"/>
      <c r="DU223" s="153"/>
      <c r="DV223" s="153"/>
      <c r="DW223" s="153"/>
      <c r="DX223" s="153"/>
      <c r="DY223" s="153"/>
      <c r="DZ223" s="153"/>
      <c r="EA223" s="153"/>
      <c r="EB223" s="153"/>
      <c r="EC223" s="153"/>
      <c r="ED223" s="153"/>
      <c r="EE223" s="153"/>
      <c r="EF223" s="153"/>
      <c r="EG223" s="153"/>
      <c r="EH223" s="153"/>
      <c r="EI223" s="153"/>
      <c r="EJ223" s="153"/>
      <c r="EK223" s="153"/>
      <c r="EL223" s="153"/>
      <c r="EM223" s="153"/>
    </row>
    <row r="224" spans="1:143" s="107" customFormat="1" ht="10.5" hidden="1" customHeight="1" outlineLevel="2">
      <c r="A224" s="1548">
        <v>199</v>
      </c>
      <c r="B224" s="1560" t="str">
        <f t="shared" si="5"/>
        <v/>
      </c>
      <c r="C224" s="161" t="str">
        <f>GasTime(GasAnalyser,'Horiba Data'!F217,'Horiba Data'!G217,'Testo, JUM &amp; MRU Data'!A218,'Thermo Data'!B217,HourOffset)</f>
        <v/>
      </c>
      <c r="D224" s="981" t="str">
        <f>IF(D$17=FALSE,"",GasData(GasAnalyser,'Horiba Data'!S217,'Testo, JUM &amp; MRU Data'!D218,'Thermo Data'!E217,'Testo, JUM &amp; MRU Data'!U218,GDF))</f>
        <v/>
      </c>
      <c r="E224" s="981" t="str">
        <f>IF(D224="","",Conc2(D224,D$9,MolVol,D$21,D$20,E$21,E$20))</f>
        <v/>
      </c>
      <c r="F224" s="981" t="str">
        <f>IF(F$17=FALSE,"",GasData(GasAnalyser,'Horiba Data'!AQ217,'Testo, JUM &amp; MRU Data'!E218,'Thermo Data'!F217,'Testo, JUM &amp; MRU Data'!V218,GDF))</f>
        <v/>
      </c>
      <c r="G224" s="981" t="str">
        <f>IF(F224="","",Conc2(F224,F$9,MolVol,F$21,F$20,G$21,G$20))</f>
        <v/>
      </c>
      <c r="H224" s="981" t="str">
        <f>IF(D$17=FALSE,"",IF(F$17=FALSE,"",GasData(GasAnalyser,'Horiba Data'!W217,'Testo, JUM &amp; MRU Data'!F218,'Thermo Data'!G217,'Testo, JUM &amp; MRU Data'!Y218,GDF)))</f>
        <v/>
      </c>
      <c r="I224" s="981" t="str">
        <f>IF(H224="","",Conc2(H224,H$9,MolVol,H$21,H$20,I$21,I$20))</f>
        <v/>
      </c>
      <c r="J224" s="981" t="str">
        <f>IF(J$17=FALSE,"",GasData(GasAnalyser,'Horiba Data'!AM217,'Testo, JUM &amp; MRU Data'!G218,'Thermo Data'!H217,'Testo, JUM &amp; MRU Data'!W218,GDF))</f>
        <v/>
      </c>
      <c r="K224" s="981" t="str">
        <f>IF(J224="","",Conc2(J224,J$9,MolVol,J$21,J$20,K$21,K$20))</f>
        <v/>
      </c>
      <c r="L224" s="981" t="str">
        <f>IF(L$17=FALSE,"",GasData(GasAnalyser,'Horiba Data'!AA217,'Testo, JUM &amp; MRU Data'!H218,'Thermo Data'!I217,'Testo, JUM &amp; MRU Data'!T218,GDF))</f>
        <v/>
      </c>
      <c r="M224" s="981" t="str">
        <f>IF(L224="","",Conc2(L224,L$9,MolVol,L$21,L$20,M$21,M$20))</f>
        <v/>
      </c>
      <c r="N224" s="981" t="str">
        <f>IF(N$17=FALSE,"",GasData(GasAnalyser,'Horiba Data'!AE217,'Testo, JUM &amp; MRU Data'!I218,'Thermo Data'!J217,'Testo, JUM &amp; MRU Data'!S218,GDF))</f>
        <v/>
      </c>
      <c r="O224" s="981" t="str">
        <f>IF(N224="","",Conc2(N224,N$9,MolVol,N$21,N$20,O$21,O$20))</f>
        <v/>
      </c>
      <c r="P224" s="981" t="str">
        <f>IF(P$17=FALSE,"",GasData(GasAnalyser,'Horiba Data'!AI217,'Testo, JUM &amp; MRU Data'!J218,'Thermo Data'!K217,'Testo, JUM &amp; MRU Data'!R218,GDF))</f>
        <v/>
      </c>
      <c r="Q224" s="981" t="str">
        <f>IF(P224="","",Conc2(P224,P$9,MolVol,P$21,P$20,Q$21,Q$20))</f>
        <v/>
      </c>
      <c r="R224" s="981" t="str">
        <f>IF(R$17=FALSE,"",JUMData('Testo, JUM &amp; MRU Data'!M218,$R$7))</f>
        <v/>
      </c>
      <c r="S224" s="982" t="str">
        <f>IF(R224="","",Conc2(R224,R$9,MolVol,R$21,R$20,S$21,S$20)/(1-Bws))</f>
        <v/>
      </c>
      <c r="T224" s="740"/>
      <c r="AR224" s="334"/>
      <c r="AS224" s="334"/>
      <c r="AT224" s="48"/>
      <c r="AU224" s="48"/>
      <c r="AV224" s="153"/>
      <c r="AW224" s="153"/>
      <c r="AX224" s="153"/>
      <c r="AY224" s="153"/>
      <c r="AZ224" s="153"/>
      <c r="BA224" s="153"/>
      <c r="BB224" s="153"/>
      <c r="BC224" s="153"/>
      <c r="BD224" s="153"/>
      <c r="BE224" s="153"/>
      <c r="BF224" s="153"/>
      <c r="BG224" s="153"/>
      <c r="BH224" s="153"/>
      <c r="BI224" s="153"/>
      <c r="BJ224" s="153"/>
      <c r="BK224" s="153"/>
      <c r="BL224" s="153"/>
      <c r="BM224" s="153"/>
      <c r="BN224" s="153"/>
      <c r="BO224" s="153"/>
      <c r="BP224" s="153"/>
      <c r="BQ224" s="153"/>
      <c r="BR224" s="153"/>
      <c r="BS224" s="153"/>
      <c r="BT224" s="153"/>
      <c r="BU224" s="153"/>
      <c r="BV224" s="153"/>
      <c r="BW224" s="153"/>
      <c r="BX224" s="153"/>
      <c r="BY224" s="153"/>
      <c r="BZ224" s="153"/>
      <c r="CA224" s="153"/>
      <c r="CB224" s="153"/>
      <c r="CC224" s="153"/>
      <c r="CD224" s="153"/>
      <c r="CE224" s="153"/>
      <c r="CF224" s="153"/>
      <c r="CG224" s="153"/>
      <c r="CH224" s="153"/>
      <c r="CI224" s="153"/>
      <c r="CJ224" s="153"/>
      <c r="CK224" s="153"/>
      <c r="CL224" s="153"/>
      <c r="CM224" s="153"/>
      <c r="CN224" s="153"/>
      <c r="CO224" s="153"/>
      <c r="CP224" s="153"/>
      <c r="CQ224" s="153"/>
      <c r="CR224" s="153"/>
      <c r="CS224" s="153"/>
      <c r="CT224" s="153"/>
      <c r="CU224" s="153"/>
      <c r="CV224" s="153"/>
      <c r="CW224" s="153"/>
      <c r="CX224" s="153"/>
      <c r="CY224" s="153"/>
      <c r="CZ224" s="153"/>
      <c r="DA224" s="153"/>
      <c r="DB224" s="153"/>
      <c r="DC224" s="153"/>
      <c r="DD224" s="153"/>
      <c r="DE224" s="153"/>
      <c r="DF224" s="153"/>
      <c r="DG224" s="153"/>
      <c r="DH224" s="153"/>
      <c r="DI224" s="153"/>
      <c r="DJ224" s="153"/>
      <c r="DK224" s="153"/>
      <c r="DL224" s="153"/>
      <c r="DM224" s="153"/>
      <c r="DN224" s="153"/>
      <c r="DO224" s="153"/>
      <c r="DP224" s="153"/>
      <c r="DQ224" s="153"/>
      <c r="DR224" s="153"/>
      <c r="DS224" s="153"/>
      <c r="DT224" s="153"/>
      <c r="DU224" s="153"/>
      <c r="DV224" s="153"/>
      <c r="DW224" s="153"/>
      <c r="DX224" s="153"/>
      <c r="DY224" s="153"/>
      <c r="DZ224" s="153"/>
      <c r="EA224" s="153"/>
      <c r="EB224" s="153"/>
      <c r="EC224" s="153"/>
      <c r="ED224" s="153"/>
      <c r="EE224" s="153"/>
      <c r="EF224" s="153"/>
      <c r="EG224" s="153"/>
      <c r="EH224" s="153"/>
      <c r="EI224" s="153"/>
      <c r="EJ224" s="153"/>
      <c r="EK224" s="153"/>
      <c r="EL224" s="153"/>
      <c r="EM224" s="153"/>
    </row>
    <row r="225" spans="1:143" s="107" customFormat="1" ht="10.5" hidden="1" customHeight="1" outlineLevel="2">
      <c r="A225" s="1548">
        <v>200</v>
      </c>
      <c r="B225" s="1560" t="str">
        <f t="shared" si="5"/>
        <v/>
      </c>
      <c r="C225" s="161" t="str">
        <f>GasTime(GasAnalyser,'Horiba Data'!F218,'Horiba Data'!G218,'Testo, JUM &amp; MRU Data'!A219,'Thermo Data'!B218,HourOffset)</f>
        <v/>
      </c>
      <c r="D225" s="981" t="str">
        <f>IF(D$17=FALSE,"",GasData(GasAnalyser,'Horiba Data'!S218,'Testo, JUM &amp; MRU Data'!D219,'Thermo Data'!E218,'Testo, JUM &amp; MRU Data'!U219,GDF))</f>
        <v/>
      </c>
      <c r="E225" s="981" t="str">
        <f>IF(D225="","",Conc2(D225,D$9,MolVol,D$21,D$20,E$21,E$20))</f>
        <v/>
      </c>
      <c r="F225" s="981" t="str">
        <f>IF(F$17=FALSE,"",GasData(GasAnalyser,'Horiba Data'!AQ218,'Testo, JUM &amp; MRU Data'!E219,'Thermo Data'!F218,'Testo, JUM &amp; MRU Data'!V219,GDF))</f>
        <v/>
      </c>
      <c r="G225" s="981" t="str">
        <f>IF(F225="","",Conc2(F225,F$9,MolVol,F$21,F$20,G$21,G$20))</f>
        <v/>
      </c>
      <c r="H225" s="981" t="str">
        <f>IF(D$17=FALSE,"",IF(F$17=FALSE,"",GasData(GasAnalyser,'Horiba Data'!W218,'Testo, JUM &amp; MRU Data'!F219,'Thermo Data'!G218,'Testo, JUM &amp; MRU Data'!Y219,GDF)))</f>
        <v/>
      </c>
      <c r="I225" s="981" t="str">
        <f>IF(H225="","",Conc2(H225,H$9,MolVol,H$21,H$20,I$21,I$20))</f>
        <v/>
      </c>
      <c r="J225" s="981" t="str">
        <f>IF(J$17=FALSE,"",GasData(GasAnalyser,'Horiba Data'!AM218,'Testo, JUM &amp; MRU Data'!G219,'Thermo Data'!H218,'Testo, JUM &amp; MRU Data'!W219,GDF))</f>
        <v/>
      </c>
      <c r="K225" s="981" t="str">
        <f>IF(J225="","",Conc2(J225,J$9,MolVol,J$21,J$20,K$21,K$20))</f>
        <v/>
      </c>
      <c r="L225" s="981" t="str">
        <f>IF(L$17=FALSE,"",GasData(GasAnalyser,'Horiba Data'!AA218,'Testo, JUM &amp; MRU Data'!H219,'Thermo Data'!I218,'Testo, JUM &amp; MRU Data'!T219,GDF))</f>
        <v/>
      </c>
      <c r="M225" s="981" t="str">
        <f>IF(L225="","",Conc2(L225,L$9,MolVol,L$21,L$20,M$21,M$20))</f>
        <v/>
      </c>
      <c r="N225" s="981" t="str">
        <f>IF(N$17=FALSE,"",GasData(GasAnalyser,'Horiba Data'!AE218,'Testo, JUM &amp; MRU Data'!I219,'Thermo Data'!J218,'Testo, JUM &amp; MRU Data'!S219,GDF))</f>
        <v/>
      </c>
      <c r="O225" s="981" t="str">
        <f>IF(N225="","",Conc2(N225,N$9,MolVol,N$21,N$20,O$21,O$20))</f>
        <v/>
      </c>
      <c r="P225" s="981" t="str">
        <f>IF(P$17=FALSE,"",GasData(GasAnalyser,'Horiba Data'!AI218,'Testo, JUM &amp; MRU Data'!J219,'Thermo Data'!K218,'Testo, JUM &amp; MRU Data'!R219,GDF))</f>
        <v/>
      </c>
      <c r="Q225" s="981" t="str">
        <f>IF(P225="","",Conc2(P225,P$9,MolVol,P$21,P$20,Q$21,Q$20))</f>
        <v/>
      </c>
      <c r="R225" s="981" t="str">
        <f>IF(R$17=FALSE,"",JUMData('Testo, JUM &amp; MRU Data'!M219,$R$7))</f>
        <v/>
      </c>
      <c r="S225" s="982" t="str">
        <f>IF(R225="","",Conc2(R225,R$9,MolVol,R$21,R$20,S$21,S$20)/(1-Bws))</f>
        <v/>
      </c>
      <c r="T225" s="740"/>
      <c r="AR225" s="334"/>
      <c r="AS225" s="334"/>
      <c r="AT225" s="48"/>
      <c r="AU225" s="48"/>
      <c r="AV225" s="153"/>
      <c r="AW225" s="153"/>
      <c r="AX225" s="153"/>
      <c r="AY225" s="153"/>
      <c r="AZ225" s="153"/>
      <c r="BA225" s="153"/>
      <c r="BB225" s="153"/>
      <c r="BC225" s="153"/>
      <c r="BD225" s="153"/>
      <c r="BE225" s="153"/>
      <c r="BF225" s="153"/>
      <c r="BG225" s="153"/>
      <c r="BH225" s="153"/>
      <c r="BI225" s="153"/>
      <c r="BJ225" s="153"/>
      <c r="BK225" s="153"/>
      <c r="BL225" s="153"/>
      <c r="BM225" s="153"/>
      <c r="BN225" s="153"/>
      <c r="BO225" s="153"/>
      <c r="BP225" s="153"/>
      <c r="BQ225" s="153"/>
      <c r="BR225" s="153"/>
      <c r="BS225" s="153"/>
      <c r="BT225" s="153"/>
      <c r="BU225" s="153"/>
      <c r="BV225" s="153"/>
      <c r="BW225" s="153"/>
      <c r="BX225" s="153"/>
      <c r="BY225" s="153"/>
      <c r="BZ225" s="153"/>
      <c r="CA225" s="153"/>
      <c r="CB225" s="153"/>
      <c r="CC225" s="153"/>
      <c r="CD225" s="153"/>
      <c r="CE225" s="153"/>
      <c r="CF225" s="153"/>
      <c r="CG225" s="153"/>
      <c r="CH225" s="153"/>
      <c r="CI225" s="153"/>
      <c r="CJ225" s="153"/>
      <c r="CK225" s="153"/>
      <c r="CL225" s="153"/>
      <c r="CM225" s="153"/>
      <c r="CN225" s="153"/>
      <c r="CO225" s="153"/>
      <c r="CP225" s="153"/>
      <c r="CQ225" s="153"/>
      <c r="CR225" s="153"/>
      <c r="CS225" s="153"/>
      <c r="CT225" s="153"/>
      <c r="CU225" s="153"/>
      <c r="CV225" s="153"/>
      <c r="CW225" s="153"/>
      <c r="CX225" s="153"/>
      <c r="CY225" s="153"/>
      <c r="CZ225" s="153"/>
      <c r="DA225" s="153"/>
      <c r="DB225" s="153"/>
      <c r="DC225" s="153"/>
      <c r="DD225" s="153"/>
      <c r="DE225" s="153"/>
      <c r="DF225" s="153"/>
      <c r="DG225" s="153"/>
      <c r="DH225" s="153"/>
      <c r="DI225" s="153"/>
      <c r="DJ225" s="153"/>
      <c r="DK225" s="153"/>
      <c r="DL225" s="153"/>
      <c r="DM225" s="153"/>
      <c r="DN225" s="153"/>
      <c r="DO225" s="153"/>
      <c r="DP225" s="153"/>
      <c r="DQ225" s="153"/>
      <c r="DR225" s="153"/>
      <c r="DS225" s="153"/>
      <c r="DT225" s="153"/>
      <c r="DU225" s="153"/>
      <c r="DV225" s="153"/>
      <c r="DW225" s="153"/>
      <c r="DX225" s="153"/>
      <c r="DY225" s="153"/>
      <c r="DZ225" s="153"/>
      <c r="EA225" s="153"/>
      <c r="EB225" s="153"/>
      <c r="EC225" s="153"/>
      <c r="ED225" s="153"/>
      <c r="EE225" s="153"/>
      <c r="EF225" s="153"/>
      <c r="EG225" s="153"/>
      <c r="EH225" s="153"/>
      <c r="EI225" s="153"/>
      <c r="EJ225" s="153"/>
      <c r="EK225" s="153"/>
      <c r="EL225" s="153"/>
      <c r="EM225" s="153"/>
    </row>
    <row r="226" spans="1:143" s="107" customFormat="1" ht="10.5" hidden="1" customHeight="1" outlineLevel="2">
      <c r="A226" s="1548">
        <v>201</v>
      </c>
      <c r="B226" s="1560" t="str">
        <f t="shared" si="5"/>
        <v/>
      </c>
      <c r="C226" s="161" t="str">
        <f>GasTime(GasAnalyser,'Horiba Data'!F219,'Horiba Data'!G219,'Testo, JUM &amp; MRU Data'!A220,'Thermo Data'!B219,HourOffset)</f>
        <v/>
      </c>
      <c r="D226" s="981" t="str">
        <f>IF(D$17=FALSE,"",GasData(GasAnalyser,'Horiba Data'!S219,'Testo, JUM &amp; MRU Data'!D220,'Thermo Data'!E219,'Testo, JUM &amp; MRU Data'!U220,GDF))</f>
        <v/>
      </c>
      <c r="E226" s="981" t="str">
        <f>IF(D226="","",Conc2(D226,D$9,MolVol,D$21,D$20,E$21,E$20))</f>
        <v/>
      </c>
      <c r="F226" s="981" t="str">
        <f>IF(F$17=FALSE,"",GasData(GasAnalyser,'Horiba Data'!AQ219,'Testo, JUM &amp; MRU Data'!E220,'Thermo Data'!F219,'Testo, JUM &amp; MRU Data'!V220,GDF))</f>
        <v/>
      </c>
      <c r="G226" s="981" t="str">
        <f>IF(F226="","",Conc2(F226,F$9,MolVol,F$21,F$20,G$21,G$20))</f>
        <v/>
      </c>
      <c r="H226" s="981" t="str">
        <f>IF(D$17=FALSE,"",IF(F$17=FALSE,"",GasData(GasAnalyser,'Horiba Data'!W219,'Testo, JUM &amp; MRU Data'!F220,'Thermo Data'!G219,'Testo, JUM &amp; MRU Data'!Y220,GDF)))</f>
        <v/>
      </c>
      <c r="I226" s="981" t="str">
        <f>IF(H226="","",Conc2(H226,H$9,MolVol,H$21,H$20,I$21,I$20))</f>
        <v/>
      </c>
      <c r="J226" s="981" t="str">
        <f>IF(J$17=FALSE,"",GasData(GasAnalyser,'Horiba Data'!AM219,'Testo, JUM &amp; MRU Data'!G220,'Thermo Data'!H219,'Testo, JUM &amp; MRU Data'!W220,GDF))</f>
        <v/>
      </c>
      <c r="K226" s="981" t="str">
        <f>IF(J226="","",Conc2(J226,J$9,MolVol,J$21,J$20,K$21,K$20))</f>
        <v/>
      </c>
      <c r="L226" s="981" t="str">
        <f>IF(L$17=FALSE,"",GasData(GasAnalyser,'Horiba Data'!AA219,'Testo, JUM &amp; MRU Data'!H220,'Thermo Data'!I219,'Testo, JUM &amp; MRU Data'!T220,GDF))</f>
        <v/>
      </c>
      <c r="M226" s="981" t="str">
        <f>IF(L226="","",Conc2(L226,L$9,MolVol,L$21,L$20,M$21,M$20))</f>
        <v/>
      </c>
      <c r="N226" s="981" t="str">
        <f>IF(N$17=FALSE,"",GasData(GasAnalyser,'Horiba Data'!AE219,'Testo, JUM &amp; MRU Data'!I220,'Thermo Data'!J219,'Testo, JUM &amp; MRU Data'!S220,GDF))</f>
        <v/>
      </c>
      <c r="O226" s="981" t="str">
        <f>IF(N226="","",Conc2(N226,N$9,MolVol,N$21,N$20,O$21,O$20))</f>
        <v/>
      </c>
      <c r="P226" s="981" t="str">
        <f>IF(P$17=FALSE,"",GasData(GasAnalyser,'Horiba Data'!AI219,'Testo, JUM &amp; MRU Data'!J220,'Thermo Data'!K219,'Testo, JUM &amp; MRU Data'!R220,GDF))</f>
        <v/>
      </c>
      <c r="Q226" s="981" t="str">
        <f>IF(P226="","",Conc2(P226,P$9,MolVol,P$21,P$20,Q$21,Q$20))</f>
        <v/>
      </c>
      <c r="R226" s="981" t="str">
        <f>IF(R$17=FALSE,"",JUMData('Testo, JUM &amp; MRU Data'!M220,$R$7))</f>
        <v/>
      </c>
      <c r="S226" s="982" t="str">
        <f>IF(R226="","",Conc2(R226,R$9,MolVol,R$21,R$20,S$21,S$20)/(1-Bws))</f>
        <v/>
      </c>
      <c r="T226" s="740"/>
      <c r="AR226" s="334"/>
      <c r="AS226" s="334"/>
      <c r="AT226" s="48"/>
      <c r="AU226" s="48"/>
      <c r="AV226" s="153"/>
      <c r="AW226" s="153"/>
      <c r="AX226" s="153"/>
      <c r="AY226" s="153"/>
      <c r="AZ226" s="153"/>
      <c r="BA226" s="153"/>
      <c r="BB226" s="153"/>
      <c r="BC226" s="153"/>
      <c r="BD226" s="153"/>
      <c r="BE226" s="153"/>
      <c r="BF226" s="153"/>
      <c r="BG226" s="153"/>
      <c r="BH226" s="153"/>
      <c r="BI226" s="153"/>
      <c r="BJ226" s="153"/>
      <c r="BK226" s="153"/>
      <c r="BL226" s="153"/>
      <c r="BM226" s="153"/>
      <c r="BN226" s="153"/>
      <c r="BO226" s="153"/>
      <c r="BP226" s="153"/>
      <c r="BQ226" s="153"/>
      <c r="BR226" s="153"/>
      <c r="BS226" s="153"/>
      <c r="BT226" s="153"/>
      <c r="BU226" s="153"/>
      <c r="BV226" s="153"/>
      <c r="BW226" s="153"/>
      <c r="BX226" s="153"/>
      <c r="BY226" s="153"/>
      <c r="BZ226" s="153"/>
      <c r="CA226" s="153"/>
      <c r="CB226" s="153"/>
      <c r="CC226" s="153"/>
      <c r="CD226" s="153"/>
      <c r="CE226" s="153"/>
      <c r="CF226" s="153"/>
      <c r="CG226" s="153"/>
      <c r="CH226" s="153"/>
      <c r="CI226" s="153"/>
      <c r="CJ226" s="153"/>
      <c r="CK226" s="153"/>
      <c r="CL226" s="153"/>
      <c r="CM226" s="153"/>
      <c r="CN226" s="153"/>
      <c r="CO226" s="153"/>
      <c r="CP226" s="153"/>
      <c r="CQ226" s="153"/>
      <c r="CR226" s="153"/>
      <c r="CS226" s="153"/>
      <c r="CT226" s="153"/>
      <c r="CU226" s="153"/>
      <c r="CV226" s="153"/>
      <c r="CW226" s="153"/>
      <c r="CX226" s="153"/>
      <c r="CY226" s="153"/>
      <c r="CZ226" s="153"/>
      <c r="DA226" s="153"/>
      <c r="DB226" s="153"/>
      <c r="DC226" s="153"/>
      <c r="DD226" s="153"/>
      <c r="DE226" s="153"/>
      <c r="DF226" s="153"/>
      <c r="DG226" s="153"/>
      <c r="DH226" s="153"/>
      <c r="DI226" s="153"/>
      <c r="DJ226" s="153"/>
      <c r="DK226" s="153"/>
      <c r="DL226" s="153"/>
      <c r="DM226" s="153"/>
      <c r="DN226" s="153"/>
      <c r="DO226" s="153"/>
      <c r="DP226" s="153"/>
      <c r="DQ226" s="153"/>
      <c r="DR226" s="153"/>
      <c r="DS226" s="153"/>
      <c r="DT226" s="153"/>
      <c r="DU226" s="153"/>
      <c r="DV226" s="153"/>
      <c r="DW226" s="153"/>
      <c r="DX226" s="153"/>
      <c r="DY226" s="153"/>
      <c r="DZ226" s="153"/>
      <c r="EA226" s="153"/>
      <c r="EB226" s="153"/>
      <c r="EC226" s="153"/>
      <c r="ED226" s="153"/>
      <c r="EE226" s="153"/>
      <c r="EF226" s="153"/>
      <c r="EG226" s="153"/>
      <c r="EH226" s="153"/>
      <c r="EI226" s="153"/>
      <c r="EJ226" s="153"/>
      <c r="EK226" s="153"/>
      <c r="EL226" s="153"/>
      <c r="EM226" s="153"/>
    </row>
    <row r="227" spans="1:143" s="107" customFormat="1" ht="10.5" hidden="1" customHeight="1" outlineLevel="2">
      <c r="A227" s="1548">
        <v>202</v>
      </c>
      <c r="B227" s="1560" t="str">
        <f t="shared" si="5"/>
        <v/>
      </c>
      <c r="C227" s="161" t="str">
        <f>GasTime(GasAnalyser,'Horiba Data'!F220,'Horiba Data'!G220,'Testo, JUM &amp; MRU Data'!A221,'Thermo Data'!B220,HourOffset)</f>
        <v/>
      </c>
      <c r="D227" s="981" t="str">
        <f>IF(D$17=FALSE,"",GasData(GasAnalyser,'Horiba Data'!S220,'Testo, JUM &amp; MRU Data'!D221,'Thermo Data'!E220,'Testo, JUM &amp; MRU Data'!U221,GDF))</f>
        <v/>
      </c>
      <c r="E227" s="981" t="str">
        <f>IF(D227="","",Conc2(D227,D$9,MolVol,D$21,D$20,E$21,E$20))</f>
        <v/>
      </c>
      <c r="F227" s="981" t="str">
        <f>IF(F$17=FALSE,"",GasData(GasAnalyser,'Horiba Data'!AQ220,'Testo, JUM &amp; MRU Data'!E221,'Thermo Data'!F220,'Testo, JUM &amp; MRU Data'!V221,GDF))</f>
        <v/>
      </c>
      <c r="G227" s="981" t="str">
        <f>IF(F227="","",Conc2(F227,F$9,MolVol,F$21,F$20,G$21,G$20))</f>
        <v/>
      </c>
      <c r="H227" s="981" t="str">
        <f>IF(D$17=FALSE,"",IF(F$17=FALSE,"",GasData(GasAnalyser,'Horiba Data'!W220,'Testo, JUM &amp; MRU Data'!F221,'Thermo Data'!G220,'Testo, JUM &amp; MRU Data'!Y221,GDF)))</f>
        <v/>
      </c>
      <c r="I227" s="981" t="str">
        <f>IF(H227="","",Conc2(H227,H$9,MolVol,H$21,H$20,I$21,I$20))</f>
        <v/>
      </c>
      <c r="J227" s="981" t="str">
        <f>IF(J$17=FALSE,"",GasData(GasAnalyser,'Horiba Data'!AM220,'Testo, JUM &amp; MRU Data'!G221,'Thermo Data'!H220,'Testo, JUM &amp; MRU Data'!W221,GDF))</f>
        <v/>
      </c>
      <c r="K227" s="981" t="str">
        <f>IF(J227="","",Conc2(J227,J$9,MolVol,J$21,J$20,K$21,K$20))</f>
        <v/>
      </c>
      <c r="L227" s="981" t="str">
        <f>IF(L$17=FALSE,"",GasData(GasAnalyser,'Horiba Data'!AA220,'Testo, JUM &amp; MRU Data'!H221,'Thermo Data'!I220,'Testo, JUM &amp; MRU Data'!T221,GDF))</f>
        <v/>
      </c>
      <c r="M227" s="981" t="str">
        <f>IF(L227="","",Conc2(L227,L$9,MolVol,L$21,L$20,M$21,M$20))</f>
        <v/>
      </c>
      <c r="N227" s="981" t="str">
        <f>IF(N$17=FALSE,"",GasData(GasAnalyser,'Horiba Data'!AE220,'Testo, JUM &amp; MRU Data'!I221,'Thermo Data'!J220,'Testo, JUM &amp; MRU Data'!S221,GDF))</f>
        <v/>
      </c>
      <c r="O227" s="981" t="str">
        <f>IF(N227="","",Conc2(N227,N$9,MolVol,N$21,N$20,O$21,O$20))</f>
        <v/>
      </c>
      <c r="P227" s="981" t="str">
        <f>IF(P$17=FALSE,"",GasData(GasAnalyser,'Horiba Data'!AI220,'Testo, JUM &amp; MRU Data'!J221,'Thermo Data'!K220,'Testo, JUM &amp; MRU Data'!R221,GDF))</f>
        <v/>
      </c>
      <c r="Q227" s="981" t="str">
        <f>IF(P227="","",Conc2(P227,P$9,MolVol,P$21,P$20,Q$21,Q$20))</f>
        <v/>
      </c>
      <c r="R227" s="981" t="str">
        <f>IF(R$17=FALSE,"",JUMData('Testo, JUM &amp; MRU Data'!M221,$R$7))</f>
        <v/>
      </c>
      <c r="S227" s="982" t="str">
        <f>IF(R227="","",Conc2(R227,R$9,MolVol,R$21,R$20,S$21,S$20)/(1-Bws))</f>
        <v/>
      </c>
      <c r="T227" s="740"/>
      <c r="AR227" s="334"/>
      <c r="AS227" s="334"/>
      <c r="AT227" s="48"/>
      <c r="AU227" s="48"/>
      <c r="AV227" s="153"/>
      <c r="AW227" s="153"/>
      <c r="AX227" s="153"/>
      <c r="AY227" s="153"/>
      <c r="AZ227" s="153"/>
      <c r="BA227" s="153"/>
      <c r="BB227" s="153"/>
      <c r="BC227" s="153"/>
      <c r="BD227" s="153"/>
      <c r="BE227" s="153"/>
      <c r="BF227" s="153"/>
      <c r="BG227" s="153"/>
      <c r="BH227" s="153"/>
      <c r="BI227" s="153"/>
      <c r="BJ227" s="153"/>
      <c r="BK227" s="153"/>
      <c r="BL227" s="153"/>
      <c r="BM227" s="153"/>
      <c r="BN227" s="153"/>
      <c r="BO227" s="153"/>
      <c r="BP227" s="153"/>
      <c r="BQ227" s="153"/>
      <c r="BR227" s="153"/>
      <c r="BS227" s="153"/>
      <c r="BT227" s="153"/>
      <c r="BU227" s="153"/>
      <c r="BV227" s="153"/>
      <c r="BW227" s="153"/>
      <c r="BX227" s="153"/>
      <c r="BY227" s="153"/>
      <c r="BZ227" s="153"/>
      <c r="CA227" s="153"/>
      <c r="CB227" s="153"/>
      <c r="CC227" s="153"/>
      <c r="CD227" s="153"/>
      <c r="CE227" s="153"/>
      <c r="CF227" s="153"/>
      <c r="CG227" s="153"/>
      <c r="CH227" s="153"/>
      <c r="CI227" s="153"/>
      <c r="CJ227" s="153"/>
      <c r="CK227" s="153"/>
      <c r="CL227" s="153"/>
      <c r="CM227" s="153"/>
      <c r="CN227" s="153"/>
      <c r="CO227" s="153"/>
      <c r="CP227" s="153"/>
      <c r="CQ227" s="153"/>
      <c r="CR227" s="153"/>
      <c r="CS227" s="153"/>
      <c r="CT227" s="153"/>
      <c r="CU227" s="153"/>
      <c r="CV227" s="153"/>
      <c r="CW227" s="153"/>
      <c r="CX227" s="153"/>
      <c r="CY227" s="153"/>
      <c r="CZ227" s="153"/>
      <c r="DA227" s="153"/>
      <c r="DB227" s="153"/>
      <c r="DC227" s="153"/>
      <c r="DD227" s="153"/>
      <c r="DE227" s="153"/>
      <c r="DF227" s="153"/>
      <c r="DG227" s="153"/>
      <c r="DH227" s="153"/>
      <c r="DI227" s="153"/>
      <c r="DJ227" s="153"/>
      <c r="DK227" s="153"/>
      <c r="DL227" s="153"/>
      <c r="DM227" s="153"/>
      <c r="DN227" s="153"/>
      <c r="DO227" s="153"/>
      <c r="DP227" s="153"/>
      <c r="DQ227" s="153"/>
      <c r="DR227" s="153"/>
      <c r="DS227" s="153"/>
      <c r="DT227" s="153"/>
      <c r="DU227" s="153"/>
      <c r="DV227" s="153"/>
      <c r="DW227" s="153"/>
      <c r="DX227" s="153"/>
      <c r="DY227" s="153"/>
      <c r="DZ227" s="153"/>
      <c r="EA227" s="153"/>
      <c r="EB227" s="153"/>
      <c r="EC227" s="153"/>
      <c r="ED227" s="153"/>
      <c r="EE227" s="153"/>
      <c r="EF227" s="153"/>
      <c r="EG227" s="153"/>
      <c r="EH227" s="153"/>
      <c r="EI227" s="153"/>
      <c r="EJ227" s="153"/>
      <c r="EK227" s="153"/>
      <c r="EL227" s="153"/>
      <c r="EM227" s="153"/>
    </row>
    <row r="228" spans="1:143" s="107" customFormat="1" ht="10.5" hidden="1" customHeight="1" outlineLevel="2">
      <c r="A228" s="1548">
        <v>203</v>
      </c>
      <c r="B228" s="1560" t="str">
        <f t="shared" si="5"/>
        <v/>
      </c>
      <c r="C228" s="161" t="str">
        <f>GasTime(GasAnalyser,'Horiba Data'!F221,'Horiba Data'!G221,'Testo, JUM &amp; MRU Data'!A222,'Thermo Data'!B221,HourOffset)</f>
        <v/>
      </c>
      <c r="D228" s="981" t="str">
        <f>IF(D$17=FALSE,"",GasData(GasAnalyser,'Horiba Data'!S221,'Testo, JUM &amp; MRU Data'!D222,'Thermo Data'!E221,'Testo, JUM &amp; MRU Data'!U222,GDF))</f>
        <v/>
      </c>
      <c r="E228" s="981" t="str">
        <f>IF(D228="","",Conc2(D228,D$9,MolVol,D$21,D$20,E$21,E$20))</f>
        <v/>
      </c>
      <c r="F228" s="981" t="str">
        <f>IF(F$17=FALSE,"",GasData(GasAnalyser,'Horiba Data'!AQ221,'Testo, JUM &amp; MRU Data'!E222,'Thermo Data'!F221,'Testo, JUM &amp; MRU Data'!V222,GDF))</f>
        <v/>
      </c>
      <c r="G228" s="981" t="str">
        <f>IF(F228="","",Conc2(F228,F$9,MolVol,F$21,F$20,G$21,G$20))</f>
        <v/>
      </c>
      <c r="H228" s="981" t="str">
        <f>IF(D$17=FALSE,"",IF(F$17=FALSE,"",GasData(GasAnalyser,'Horiba Data'!W221,'Testo, JUM &amp; MRU Data'!F222,'Thermo Data'!G221,'Testo, JUM &amp; MRU Data'!Y222,GDF)))</f>
        <v/>
      </c>
      <c r="I228" s="981" t="str">
        <f>IF(H228="","",Conc2(H228,H$9,MolVol,H$21,H$20,I$21,I$20))</f>
        <v/>
      </c>
      <c r="J228" s="981" t="str">
        <f>IF(J$17=FALSE,"",GasData(GasAnalyser,'Horiba Data'!AM221,'Testo, JUM &amp; MRU Data'!G222,'Thermo Data'!H221,'Testo, JUM &amp; MRU Data'!W222,GDF))</f>
        <v/>
      </c>
      <c r="K228" s="981" t="str">
        <f>IF(J228="","",Conc2(J228,J$9,MolVol,J$21,J$20,K$21,K$20))</f>
        <v/>
      </c>
      <c r="L228" s="981" t="str">
        <f>IF(L$17=FALSE,"",GasData(GasAnalyser,'Horiba Data'!AA221,'Testo, JUM &amp; MRU Data'!H222,'Thermo Data'!I221,'Testo, JUM &amp; MRU Data'!T222,GDF))</f>
        <v/>
      </c>
      <c r="M228" s="981" t="str">
        <f>IF(L228="","",Conc2(L228,L$9,MolVol,L$21,L$20,M$21,M$20))</f>
        <v/>
      </c>
      <c r="N228" s="981" t="str">
        <f>IF(N$17=FALSE,"",GasData(GasAnalyser,'Horiba Data'!AE221,'Testo, JUM &amp; MRU Data'!I222,'Thermo Data'!J221,'Testo, JUM &amp; MRU Data'!S222,GDF))</f>
        <v/>
      </c>
      <c r="O228" s="981" t="str">
        <f>IF(N228="","",Conc2(N228,N$9,MolVol,N$21,N$20,O$21,O$20))</f>
        <v/>
      </c>
      <c r="P228" s="981" t="str">
        <f>IF(P$17=FALSE,"",GasData(GasAnalyser,'Horiba Data'!AI221,'Testo, JUM &amp; MRU Data'!J222,'Thermo Data'!K221,'Testo, JUM &amp; MRU Data'!R222,GDF))</f>
        <v/>
      </c>
      <c r="Q228" s="981" t="str">
        <f>IF(P228="","",Conc2(P228,P$9,MolVol,P$21,P$20,Q$21,Q$20))</f>
        <v/>
      </c>
      <c r="R228" s="981" t="str">
        <f>IF(R$17=FALSE,"",JUMData('Testo, JUM &amp; MRU Data'!M222,$R$7))</f>
        <v/>
      </c>
      <c r="S228" s="982" t="str">
        <f>IF(R228="","",Conc2(R228,R$9,MolVol,R$21,R$20,S$21,S$20)/(1-Bws))</f>
        <v/>
      </c>
      <c r="T228" s="740"/>
      <c r="AR228" s="334"/>
      <c r="AS228" s="334"/>
      <c r="AT228" s="48"/>
      <c r="AU228" s="48"/>
      <c r="AV228" s="153"/>
      <c r="AW228" s="153"/>
      <c r="AX228" s="153"/>
      <c r="AY228" s="153"/>
      <c r="AZ228" s="153"/>
      <c r="BA228" s="153"/>
      <c r="BB228" s="153"/>
      <c r="BC228" s="153"/>
      <c r="BD228" s="153"/>
      <c r="BE228" s="153"/>
      <c r="BF228" s="153"/>
      <c r="BG228" s="153"/>
      <c r="BH228" s="153"/>
      <c r="BI228" s="153"/>
      <c r="BJ228" s="153"/>
      <c r="BK228" s="153"/>
      <c r="BL228" s="153"/>
      <c r="BM228" s="153"/>
      <c r="BN228" s="153"/>
      <c r="BO228" s="153"/>
      <c r="BP228" s="153"/>
      <c r="BQ228" s="153"/>
      <c r="BR228" s="153"/>
      <c r="BS228" s="153"/>
      <c r="BT228" s="153"/>
      <c r="BU228" s="153"/>
      <c r="BV228" s="153"/>
      <c r="BW228" s="153"/>
      <c r="BX228" s="153"/>
      <c r="BY228" s="153"/>
      <c r="BZ228" s="153"/>
      <c r="CA228" s="153"/>
      <c r="CB228" s="153"/>
      <c r="CC228" s="153"/>
      <c r="CD228" s="153"/>
      <c r="CE228" s="153"/>
      <c r="CF228" s="153"/>
      <c r="CG228" s="153"/>
      <c r="CH228" s="153"/>
      <c r="CI228" s="153"/>
      <c r="CJ228" s="153"/>
      <c r="CK228" s="153"/>
      <c r="CL228" s="153"/>
      <c r="CM228" s="153"/>
      <c r="CN228" s="153"/>
      <c r="CO228" s="153"/>
      <c r="CP228" s="153"/>
      <c r="CQ228" s="153"/>
      <c r="CR228" s="153"/>
      <c r="CS228" s="153"/>
      <c r="CT228" s="153"/>
      <c r="CU228" s="153"/>
      <c r="CV228" s="153"/>
      <c r="CW228" s="153"/>
      <c r="CX228" s="153"/>
      <c r="CY228" s="153"/>
      <c r="CZ228" s="153"/>
      <c r="DA228" s="153"/>
      <c r="DB228" s="153"/>
      <c r="DC228" s="153"/>
      <c r="DD228" s="153"/>
      <c r="DE228" s="153"/>
      <c r="DF228" s="153"/>
      <c r="DG228" s="153"/>
      <c r="DH228" s="153"/>
      <c r="DI228" s="153"/>
      <c r="DJ228" s="153"/>
      <c r="DK228" s="153"/>
      <c r="DL228" s="153"/>
      <c r="DM228" s="153"/>
      <c r="DN228" s="153"/>
      <c r="DO228" s="153"/>
      <c r="DP228" s="153"/>
      <c r="DQ228" s="153"/>
      <c r="DR228" s="153"/>
      <c r="DS228" s="153"/>
      <c r="DT228" s="153"/>
      <c r="DU228" s="153"/>
      <c r="DV228" s="153"/>
      <c r="DW228" s="153"/>
      <c r="DX228" s="153"/>
      <c r="DY228" s="153"/>
      <c r="DZ228" s="153"/>
      <c r="EA228" s="153"/>
      <c r="EB228" s="153"/>
      <c r="EC228" s="153"/>
      <c r="ED228" s="153"/>
      <c r="EE228" s="153"/>
      <c r="EF228" s="153"/>
      <c r="EG228" s="153"/>
      <c r="EH228" s="153"/>
      <c r="EI228" s="153"/>
      <c r="EJ228" s="153"/>
      <c r="EK228" s="153"/>
      <c r="EL228" s="153"/>
      <c r="EM228" s="153"/>
    </row>
    <row r="229" spans="1:143" s="107" customFormat="1" ht="10.5" hidden="1" customHeight="1" outlineLevel="2">
      <c r="A229" s="1548">
        <v>204</v>
      </c>
      <c r="B229" s="1560" t="str">
        <f t="shared" si="5"/>
        <v/>
      </c>
      <c r="C229" s="161" t="str">
        <f>GasTime(GasAnalyser,'Horiba Data'!F222,'Horiba Data'!G222,'Testo, JUM &amp; MRU Data'!A223,'Thermo Data'!B222,HourOffset)</f>
        <v/>
      </c>
      <c r="D229" s="981" t="str">
        <f>IF(D$17=FALSE,"",GasData(GasAnalyser,'Horiba Data'!S222,'Testo, JUM &amp; MRU Data'!D223,'Thermo Data'!E222,'Testo, JUM &amp; MRU Data'!U223,GDF))</f>
        <v/>
      </c>
      <c r="E229" s="981" t="str">
        <f>IF(D229="","",Conc2(D229,D$9,MolVol,D$21,D$20,E$21,E$20))</f>
        <v/>
      </c>
      <c r="F229" s="981" t="str">
        <f>IF(F$17=FALSE,"",GasData(GasAnalyser,'Horiba Data'!AQ222,'Testo, JUM &amp; MRU Data'!E223,'Thermo Data'!F222,'Testo, JUM &amp; MRU Data'!V223,GDF))</f>
        <v/>
      </c>
      <c r="G229" s="981" t="str">
        <f>IF(F229="","",Conc2(F229,F$9,MolVol,F$21,F$20,G$21,G$20))</f>
        <v/>
      </c>
      <c r="H229" s="981" t="str">
        <f>IF(D$17=FALSE,"",IF(F$17=FALSE,"",GasData(GasAnalyser,'Horiba Data'!W222,'Testo, JUM &amp; MRU Data'!F223,'Thermo Data'!G222,'Testo, JUM &amp; MRU Data'!Y223,GDF)))</f>
        <v/>
      </c>
      <c r="I229" s="981" t="str">
        <f>IF(H229="","",Conc2(H229,H$9,MolVol,H$21,H$20,I$21,I$20))</f>
        <v/>
      </c>
      <c r="J229" s="981" t="str">
        <f>IF(J$17=FALSE,"",GasData(GasAnalyser,'Horiba Data'!AM222,'Testo, JUM &amp; MRU Data'!G223,'Thermo Data'!H222,'Testo, JUM &amp; MRU Data'!W223,GDF))</f>
        <v/>
      </c>
      <c r="K229" s="981" t="str">
        <f>IF(J229="","",Conc2(J229,J$9,MolVol,J$21,J$20,K$21,K$20))</f>
        <v/>
      </c>
      <c r="L229" s="981" t="str">
        <f>IF(L$17=FALSE,"",GasData(GasAnalyser,'Horiba Data'!AA222,'Testo, JUM &amp; MRU Data'!H223,'Thermo Data'!I222,'Testo, JUM &amp; MRU Data'!T223,GDF))</f>
        <v/>
      </c>
      <c r="M229" s="981" t="str">
        <f>IF(L229="","",Conc2(L229,L$9,MolVol,L$21,L$20,M$21,M$20))</f>
        <v/>
      </c>
      <c r="N229" s="981" t="str">
        <f>IF(N$17=FALSE,"",GasData(GasAnalyser,'Horiba Data'!AE222,'Testo, JUM &amp; MRU Data'!I223,'Thermo Data'!J222,'Testo, JUM &amp; MRU Data'!S223,GDF))</f>
        <v/>
      </c>
      <c r="O229" s="981" t="str">
        <f>IF(N229="","",Conc2(N229,N$9,MolVol,N$21,N$20,O$21,O$20))</f>
        <v/>
      </c>
      <c r="P229" s="981" t="str">
        <f>IF(P$17=FALSE,"",GasData(GasAnalyser,'Horiba Data'!AI222,'Testo, JUM &amp; MRU Data'!J223,'Thermo Data'!K222,'Testo, JUM &amp; MRU Data'!R223,GDF))</f>
        <v/>
      </c>
      <c r="Q229" s="981" t="str">
        <f>IF(P229="","",Conc2(P229,P$9,MolVol,P$21,P$20,Q$21,Q$20))</f>
        <v/>
      </c>
      <c r="R229" s="981" t="str">
        <f>IF(R$17=FALSE,"",JUMData('Testo, JUM &amp; MRU Data'!M223,$R$7))</f>
        <v/>
      </c>
      <c r="S229" s="982" t="str">
        <f>IF(R229="","",Conc2(R229,R$9,MolVol,R$21,R$20,S$21,S$20)/(1-Bws))</f>
        <v/>
      </c>
      <c r="T229" s="740"/>
      <c r="AR229" s="334"/>
      <c r="AS229" s="334"/>
      <c r="AT229" s="48"/>
      <c r="AU229" s="48"/>
      <c r="AV229" s="153"/>
      <c r="AW229" s="153"/>
      <c r="AX229" s="153"/>
      <c r="AY229" s="153"/>
      <c r="AZ229" s="153"/>
      <c r="BA229" s="153"/>
      <c r="BB229" s="153"/>
      <c r="BC229" s="153"/>
      <c r="BD229" s="153"/>
      <c r="BE229" s="153"/>
      <c r="BF229" s="153"/>
      <c r="BG229" s="153"/>
      <c r="BH229" s="153"/>
      <c r="BI229" s="153"/>
      <c r="BJ229" s="153"/>
      <c r="BK229" s="153"/>
      <c r="BL229" s="153"/>
      <c r="BM229" s="153"/>
      <c r="BN229" s="153"/>
      <c r="BO229" s="153"/>
      <c r="BP229" s="153"/>
      <c r="BQ229" s="153"/>
      <c r="BR229" s="153"/>
      <c r="BS229" s="153"/>
      <c r="BT229" s="153"/>
      <c r="BU229" s="153"/>
      <c r="BV229" s="153"/>
      <c r="BW229" s="153"/>
      <c r="BX229" s="153"/>
      <c r="BY229" s="153"/>
      <c r="BZ229" s="153"/>
      <c r="CA229" s="153"/>
      <c r="CB229" s="153"/>
      <c r="CC229" s="153"/>
      <c r="CD229" s="153"/>
      <c r="CE229" s="153"/>
      <c r="CF229" s="153"/>
      <c r="CG229" s="153"/>
      <c r="CH229" s="153"/>
      <c r="CI229" s="153"/>
      <c r="CJ229" s="153"/>
      <c r="CK229" s="153"/>
      <c r="CL229" s="153"/>
      <c r="CM229" s="153"/>
      <c r="CN229" s="153"/>
      <c r="CO229" s="153"/>
      <c r="CP229" s="153"/>
      <c r="CQ229" s="153"/>
      <c r="CR229" s="153"/>
      <c r="CS229" s="153"/>
      <c r="CT229" s="153"/>
      <c r="CU229" s="153"/>
      <c r="CV229" s="153"/>
      <c r="CW229" s="153"/>
      <c r="CX229" s="153"/>
      <c r="CY229" s="153"/>
      <c r="CZ229" s="153"/>
      <c r="DA229" s="153"/>
      <c r="DB229" s="153"/>
      <c r="DC229" s="153"/>
      <c r="DD229" s="153"/>
      <c r="DE229" s="153"/>
      <c r="DF229" s="153"/>
      <c r="DG229" s="153"/>
      <c r="DH229" s="153"/>
      <c r="DI229" s="153"/>
      <c r="DJ229" s="153"/>
      <c r="DK229" s="153"/>
      <c r="DL229" s="153"/>
      <c r="DM229" s="153"/>
      <c r="DN229" s="153"/>
      <c r="DO229" s="153"/>
      <c r="DP229" s="153"/>
      <c r="DQ229" s="153"/>
      <c r="DR229" s="153"/>
      <c r="DS229" s="153"/>
      <c r="DT229" s="153"/>
      <c r="DU229" s="153"/>
      <c r="DV229" s="153"/>
      <c r="DW229" s="153"/>
      <c r="DX229" s="153"/>
      <c r="DY229" s="153"/>
      <c r="DZ229" s="153"/>
      <c r="EA229" s="153"/>
      <c r="EB229" s="153"/>
      <c r="EC229" s="153"/>
      <c r="ED229" s="153"/>
      <c r="EE229" s="153"/>
      <c r="EF229" s="153"/>
      <c r="EG229" s="153"/>
      <c r="EH229" s="153"/>
      <c r="EI229" s="153"/>
      <c r="EJ229" s="153"/>
      <c r="EK229" s="153"/>
      <c r="EL229" s="153"/>
      <c r="EM229" s="153"/>
    </row>
    <row r="230" spans="1:143" s="107" customFormat="1" ht="10.5" hidden="1" customHeight="1" outlineLevel="2">
      <c r="A230" s="1548">
        <v>205</v>
      </c>
      <c r="B230" s="1560" t="str">
        <f t="shared" si="5"/>
        <v/>
      </c>
      <c r="C230" s="161" t="str">
        <f>GasTime(GasAnalyser,'Horiba Data'!F223,'Horiba Data'!G223,'Testo, JUM &amp; MRU Data'!A224,'Thermo Data'!B223,HourOffset)</f>
        <v/>
      </c>
      <c r="D230" s="981" t="str">
        <f>IF(D$17=FALSE,"",GasData(GasAnalyser,'Horiba Data'!S223,'Testo, JUM &amp; MRU Data'!D224,'Thermo Data'!E223,'Testo, JUM &amp; MRU Data'!U224,GDF))</f>
        <v/>
      </c>
      <c r="E230" s="981" t="str">
        <f>IF(D230="","",Conc2(D230,D$9,MolVol,D$21,D$20,E$21,E$20))</f>
        <v/>
      </c>
      <c r="F230" s="981" t="str">
        <f>IF(F$17=FALSE,"",GasData(GasAnalyser,'Horiba Data'!AQ223,'Testo, JUM &amp; MRU Data'!E224,'Thermo Data'!F223,'Testo, JUM &amp; MRU Data'!V224,GDF))</f>
        <v/>
      </c>
      <c r="G230" s="981" t="str">
        <f>IF(F230="","",Conc2(F230,F$9,MolVol,F$21,F$20,G$21,G$20))</f>
        <v/>
      </c>
      <c r="H230" s="981" t="str">
        <f>IF(D$17=FALSE,"",IF(F$17=FALSE,"",GasData(GasAnalyser,'Horiba Data'!W223,'Testo, JUM &amp; MRU Data'!F224,'Thermo Data'!G223,'Testo, JUM &amp; MRU Data'!Y224,GDF)))</f>
        <v/>
      </c>
      <c r="I230" s="981" t="str">
        <f>IF(H230="","",Conc2(H230,H$9,MolVol,H$21,H$20,I$21,I$20))</f>
        <v/>
      </c>
      <c r="J230" s="981" t="str">
        <f>IF(J$17=FALSE,"",GasData(GasAnalyser,'Horiba Data'!AM223,'Testo, JUM &amp; MRU Data'!G224,'Thermo Data'!H223,'Testo, JUM &amp; MRU Data'!W224,GDF))</f>
        <v/>
      </c>
      <c r="K230" s="981" t="str">
        <f>IF(J230="","",Conc2(J230,J$9,MolVol,J$21,J$20,K$21,K$20))</f>
        <v/>
      </c>
      <c r="L230" s="981" t="str">
        <f>IF(L$17=FALSE,"",GasData(GasAnalyser,'Horiba Data'!AA223,'Testo, JUM &amp; MRU Data'!H224,'Thermo Data'!I223,'Testo, JUM &amp; MRU Data'!T224,GDF))</f>
        <v/>
      </c>
      <c r="M230" s="981" t="str">
        <f>IF(L230="","",Conc2(L230,L$9,MolVol,L$21,L$20,M$21,M$20))</f>
        <v/>
      </c>
      <c r="N230" s="981" t="str">
        <f>IF(N$17=FALSE,"",GasData(GasAnalyser,'Horiba Data'!AE223,'Testo, JUM &amp; MRU Data'!I224,'Thermo Data'!J223,'Testo, JUM &amp; MRU Data'!S224,GDF))</f>
        <v/>
      </c>
      <c r="O230" s="981" t="str">
        <f>IF(N230="","",Conc2(N230,N$9,MolVol,N$21,N$20,O$21,O$20))</f>
        <v/>
      </c>
      <c r="P230" s="981" t="str">
        <f>IF(P$17=FALSE,"",GasData(GasAnalyser,'Horiba Data'!AI223,'Testo, JUM &amp; MRU Data'!J224,'Thermo Data'!K223,'Testo, JUM &amp; MRU Data'!R224,GDF))</f>
        <v/>
      </c>
      <c r="Q230" s="981" t="str">
        <f>IF(P230="","",Conc2(P230,P$9,MolVol,P$21,P$20,Q$21,Q$20))</f>
        <v/>
      </c>
      <c r="R230" s="981" t="str">
        <f>IF(R$17=FALSE,"",JUMData('Testo, JUM &amp; MRU Data'!M224,$R$7))</f>
        <v/>
      </c>
      <c r="S230" s="982" t="str">
        <f>IF(R230="","",Conc2(R230,R$9,MolVol,R$21,R$20,S$21,S$20)/(1-Bws))</f>
        <v/>
      </c>
      <c r="T230" s="740"/>
      <c r="AR230" s="334"/>
      <c r="AS230" s="334"/>
      <c r="AT230" s="48"/>
      <c r="AU230" s="48"/>
      <c r="AV230" s="153"/>
      <c r="AW230" s="153"/>
      <c r="AX230" s="153"/>
      <c r="AY230" s="153"/>
      <c r="AZ230" s="153"/>
      <c r="BA230" s="153"/>
      <c r="BB230" s="153"/>
      <c r="BC230" s="153"/>
      <c r="BD230" s="153"/>
      <c r="BE230" s="153"/>
      <c r="BF230" s="153"/>
      <c r="BG230" s="153"/>
      <c r="BH230" s="153"/>
      <c r="BI230" s="153"/>
      <c r="BJ230" s="153"/>
      <c r="BK230" s="153"/>
      <c r="BL230" s="153"/>
      <c r="BM230" s="153"/>
      <c r="BN230" s="153"/>
      <c r="BO230" s="153"/>
      <c r="BP230" s="153"/>
      <c r="BQ230" s="153"/>
      <c r="BR230" s="153"/>
      <c r="BS230" s="153"/>
      <c r="BT230" s="153"/>
      <c r="BU230" s="153"/>
      <c r="BV230" s="153"/>
      <c r="BW230" s="153"/>
      <c r="BX230" s="153"/>
      <c r="BY230" s="153"/>
      <c r="BZ230" s="153"/>
      <c r="CA230" s="153"/>
      <c r="CB230" s="153"/>
      <c r="CC230" s="153"/>
      <c r="CD230" s="153"/>
      <c r="CE230" s="153"/>
      <c r="CF230" s="153"/>
      <c r="CG230" s="153"/>
      <c r="CH230" s="153"/>
      <c r="CI230" s="153"/>
      <c r="CJ230" s="153"/>
      <c r="CK230" s="153"/>
      <c r="CL230" s="153"/>
      <c r="CM230" s="153"/>
      <c r="CN230" s="153"/>
      <c r="CO230" s="153"/>
      <c r="CP230" s="153"/>
      <c r="CQ230" s="153"/>
      <c r="CR230" s="153"/>
      <c r="CS230" s="153"/>
      <c r="CT230" s="153"/>
      <c r="CU230" s="153"/>
      <c r="CV230" s="153"/>
      <c r="CW230" s="153"/>
      <c r="CX230" s="153"/>
      <c r="CY230" s="153"/>
      <c r="CZ230" s="153"/>
      <c r="DA230" s="153"/>
      <c r="DB230" s="153"/>
      <c r="DC230" s="153"/>
      <c r="DD230" s="153"/>
      <c r="DE230" s="153"/>
      <c r="DF230" s="153"/>
      <c r="DG230" s="153"/>
      <c r="DH230" s="153"/>
      <c r="DI230" s="153"/>
      <c r="DJ230" s="153"/>
      <c r="DK230" s="153"/>
      <c r="DL230" s="153"/>
      <c r="DM230" s="153"/>
      <c r="DN230" s="153"/>
      <c r="DO230" s="153"/>
      <c r="DP230" s="153"/>
      <c r="DQ230" s="153"/>
      <c r="DR230" s="153"/>
      <c r="DS230" s="153"/>
      <c r="DT230" s="153"/>
      <c r="DU230" s="153"/>
      <c r="DV230" s="153"/>
      <c r="DW230" s="153"/>
      <c r="DX230" s="153"/>
      <c r="DY230" s="153"/>
      <c r="DZ230" s="153"/>
      <c r="EA230" s="153"/>
      <c r="EB230" s="153"/>
      <c r="EC230" s="153"/>
      <c r="ED230" s="153"/>
      <c r="EE230" s="153"/>
      <c r="EF230" s="153"/>
      <c r="EG230" s="153"/>
      <c r="EH230" s="153"/>
      <c r="EI230" s="153"/>
      <c r="EJ230" s="153"/>
      <c r="EK230" s="153"/>
      <c r="EL230" s="153"/>
      <c r="EM230" s="153"/>
    </row>
    <row r="231" spans="1:143" s="107" customFormat="1" ht="10.5" hidden="1" customHeight="1" outlineLevel="2">
      <c r="A231" s="1548">
        <v>206</v>
      </c>
      <c r="B231" s="1560" t="str">
        <f t="shared" si="5"/>
        <v/>
      </c>
      <c r="C231" s="161" t="str">
        <f>GasTime(GasAnalyser,'Horiba Data'!F224,'Horiba Data'!G224,'Testo, JUM &amp; MRU Data'!A225,'Thermo Data'!B224,HourOffset)</f>
        <v/>
      </c>
      <c r="D231" s="981" t="str">
        <f>IF(D$17=FALSE,"",GasData(GasAnalyser,'Horiba Data'!S224,'Testo, JUM &amp; MRU Data'!D225,'Thermo Data'!E224,'Testo, JUM &amp; MRU Data'!U225,GDF))</f>
        <v/>
      </c>
      <c r="E231" s="981" t="str">
        <f>IF(D231="","",Conc2(D231,D$9,MolVol,D$21,D$20,E$21,E$20))</f>
        <v/>
      </c>
      <c r="F231" s="981" t="str">
        <f>IF(F$17=FALSE,"",GasData(GasAnalyser,'Horiba Data'!AQ224,'Testo, JUM &amp; MRU Data'!E225,'Thermo Data'!F224,'Testo, JUM &amp; MRU Data'!V225,GDF))</f>
        <v/>
      </c>
      <c r="G231" s="981" t="str">
        <f>IF(F231="","",Conc2(F231,F$9,MolVol,F$21,F$20,G$21,G$20))</f>
        <v/>
      </c>
      <c r="H231" s="981" t="str">
        <f>IF(D$17=FALSE,"",IF(F$17=FALSE,"",GasData(GasAnalyser,'Horiba Data'!W224,'Testo, JUM &amp; MRU Data'!F225,'Thermo Data'!G224,'Testo, JUM &amp; MRU Data'!Y225,GDF)))</f>
        <v/>
      </c>
      <c r="I231" s="981" t="str">
        <f>IF(H231="","",Conc2(H231,H$9,MolVol,H$21,H$20,I$21,I$20))</f>
        <v/>
      </c>
      <c r="J231" s="981" t="str">
        <f>IF(J$17=FALSE,"",GasData(GasAnalyser,'Horiba Data'!AM224,'Testo, JUM &amp; MRU Data'!G225,'Thermo Data'!H224,'Testo, JUM &amp; MRU Data'!W225,GDF))</f>
        <v/>
      </c>
      <c r="K231" s="981" t="str">
        <f>IF(J231="","",Conc2(J231,J$9,MolVol,J$21,J$20,K$21,K$20))</f>
        <v/>
      </c>
      <c r="L231" s="981" t="str">
        <f>IF(L$17=FALSE,"",GasData(GasAnalyser,'Horiba Data'!AA224,'Testo, JUM &amp; MRU Data'!H225,'Thermo Data'!I224,'Testo, JUM &amp; MRU Data'!T225,GDF))</f>
        <v/>
      </c>
      <c r="M231" s="981" t="str">
        <f>IF(L231="","",Conc2(L231,L$9,MolVol,L$21,L$20,M$21,M$20))</f>
        <v/>
      </c>
      <c r="N231" s="981" t="str">
        <f>IF(N$17=FALSE,"",GasData(GasAnalyser,'Horiba Data'!AE224,'Testo, JUM &amp; MRU Data'!I225,'Thermo Data'!J224,'Testo, JUM &amp; MRU Data'!S225,GDF))</f>
        <v/>
      </c>
      <c r="O231" s="981" t="str">
        <f>IF(N231="","",Conc2(N231,N$9,MolVol,N$21,N$20,O$21,O$20))</f>
        <v/>
      </c>
      <c r="P231" s="981" t="str">
        <f>IF(P$17=FALSE,"",GasData(GasAnalyser,'Horiba Data'!AI224,'Testo, JUM &amp; MRU Data'!J225,'Thermo Data'!K224,'Testo, JUM &amp; MRU Data'!R225,GDF))</f>
        <v/>
      </c>
      <c r="Q231" s="981" t="str">
        <f>IF(P231="","",Conc2(P231,P$9,MolVol,P$21,P$20,Q$21,Q$20))</f>
        <v/>
      </c>
      <c r="R231" s="981" t="str">
        <f>IF(R$17=FALSE,"",JUMData('Testo, JUM &amp; MRU Data'!M225,$R$7))</f>
        <v/>
      </c>
      <c r="S231" s="982" t="str">
        <f>IF(R231="","",Conc2(R231,R$9,MolVol,R$21,R$20,S$21,S$20)/(1-Bws))</f>
        <v/>
      </c>
      <c r="T231" s="740"/>
      <c r="AR231" s="334"/>
      <c r="AS231" s="334"/>
      <c r="AT231" s="48"/>
      <c r="AU231" s="48"/>
      <c r="AV231" s="153"/>
      <c r="AW231" s="153"/>
      <c r="AX231" s="153"/>
      <c r="AY231" s="153"/>
      <c r="AZ231" s="153"/>
      <c r="BA231" s="153"/>
      <c r="BB231" s="153"/>
      <c r="BC231" s="153"/>
      <c r="BD231" s="153"/>
      <c r="BE231" s="153"/>
      <c r="BF231" s="153"/>
      <c r="BG231" s="153"/>
      <c r="BH231" s="153"/>
      <c r="BI231" s="153"/>
      <c r="BJ231" s="153"/>
      <c r="BK231" s="153"/>
      <c r="BL231" s="153"/>
      <c r="BM231" s="153"/>
      <c r="BN231" s="153"/>
      <c r="BO231" s="153"/>
      <c r="BP231" s="153"/>
      <c r="BQ231" s="153"/>
      <c r="BR231" s="153"/>
      <c r="BS231" s="153"/>
      <c r="BT231" s="153"/>
      <c r="BU231" s="153"/>
      <c r="BV231" s="153"/>
      <c r="BW231" s="153"/>
      <c r="BX231" s="153"/>
      <c r="BY231" s="153"/>
      <c r="BZ231" s="153"/>
      <c r="CA231" s="153"/>
      <c r="CB231" s="153"/>
      <c r="CC231" s="153"/>
      <c r="CD231" s="153"/>
      <c r="CE231" s="153"/>
      <c r="CF231" s="153"/>
      <c r="CG231" s="153"/>
      <c r="CH231" s="153"/>
      <c r="CI231" s="153"/>
      <c r="CJ231" s="153"/>
      <c r="CK231" s="153"/>
      <c r="CL231" s="153"/>
      <c r="CM231" s="153"/>
      <c r="CN231" s="153"/>
      <c r="CO231" s="153"/>
      <c r="CP231" s="153"/>
      <c r="CQ231" s="153"/>
      <c r="CR231" s="153"/>
      <c r="CS231" s="153"/>
      <c r="CT231" s="153"/>
      <c r="CU231" s="153"/>
      <c r="CV231" s="153"/>
      <c r="CW231" s="153"/>
      <c r="CX231" s="153"/>
      <c r="CY231" s="153"/>
      <c r="CZ231" s="153"/>
      <c r="DA231" s="153"/>
      <c r="DB231" s="153"/>
      <c r="DC231" s="153"/>
      <c r="DD231" s="153"/>
      <c r="DE231" s="153"/>
      <c r="DF231" s="153"/>
      <c r="DG231" s="153"/>
      <c r="DH231" s="153"/>
      <c r="DI231" s="153"/>
      <c r="DJ231" s="153"/>
      <c r="DK231" s="153"/>
      <c r="DL231" s="153"/>
      <c r="DM231" s="153"/>
      <c r="DN231" s="153"/>
      <c r="DO231" s="153"/>
      <c r="DP231" s="153"/>
      <c r="DQ231" s="153"/>
      <c r="DR231" s="153"/>
      <c r="DS231" s="153"/>
      <c r="DT231" s="153"/>
      <c r="DU231" s="153"/>
      <c r="DV231" s="153"/>
      <c r="DW231" s="153"/>
      <c r="DX231" s="153"/>
      <c r="DY231" s="153"/>
      <c r="DZ231" s="153"/>
      <c r="EA231" s="153"/>
      <c r="EB231" s="153"/>
      <c r="EC231" s="153"/>
      <c r="ED231" s="153"/>
      <c r="EE231" s="153"/>
      <c r="EF231" s="153"/>
      <c r="EG231" s="153"/>
      <c r="EH231" s="153"/>
      <c r="EI231" s="153"/>
      <c r="EJ231" s="153"/>
      <c r="EK231" s="153"/>
      <c r="EL231" s="153"/>
      <c r="EM231" s="153"/>
    </row>
    <row r="232" spans="1:143" s="107" customFormat="1" ht="10.5" hidden="1" customHeight="1" outlineLevel="2">
      <c r="A232" s="1548">
        <v>207</v>
      </c>
      <c r="B232" s="1560" t="str">
        <f t="shared" si="5"/>
        <v/>
      </c>
      <c r="C232" s="161" t="str">
        <f>GasTime(GasAnalyser,'Horiba Data'!F225,'Horiba Data'!G225,'Testo, JUM &amp; MRU Data'!A226,'Thermo Data'!B225,HourOffset)</f>
        <v/>
      </c>
      <c r="D232" s="981" t="str">
        <f>IF(D$17=FALSE,"",GasData(GasAnalyser,'Horiba Data'!S225,'Testo, JUM &amp; MRU Data'!D226,'Thermo Data'!E225,'Testo, JUM &amp; MRU Data'!U226,GDF))</f>
        <v/>
      </c>
      <c r="E232" s="981" t="str">
        <f>IF(D232="","",Conc2(D232,D$9,MolVol,D$21,D$20,E$21,E$20))</f>
        <v/>
      </c>
      <c r="F232" s="981" t="str">
        <f>IF(F$17=FALSE,"",GasData(GasAnalyser,'Horiba Data'!AQ225,'Testo, JUM &amp; MRU Data'!E226,'Thermo Data'!F225,'Testo, JUM &amp; MRU Data'!V226,GDF))</f>
        <v/>
      </c>
      <c r="G232" s="981" t="str">
        <f>IF(F232="","",Conc2(F232,F$9,MolVol,F$21,F$20,G$21,G$20))</f>
        <v/>
      </c>
      <c r="H232" s="981" t="str">
        <f>IF(D$17=FALSE,"",IF(F$17=FALSE,"",GasData(GasAnalyser,'Horiba Data'!W225,'Testo, JUM &amp; MRU Data'!F226,'Thermo Data'!G225,'Testo, JUM &amp; MRU Data'!Y226,GDF)))</f>
        <v/>
      </c>
      <c r="I232" s="981" t="str">
        <f>IF(H232="","",Conc2(H232,H$9,MolVol,H$21,H$20,I$21,I$20))</f>
        <v/>
      </c>
      <c r="J232" s="981" t="str">
        <f>IF(J$17=FALSE,"",GasData(GasAnalyser,'Horiba Data'!AM225,'Testo, JUM &amp; MRU Data'!G226,'Thermo Data'!H225,'Testo, JUM &amp; MRU Data'!W226,GDF))</f>
        <v/>
      </c>
      <c r="K232" s="981" t="str">
        <f>IF(J232="","",Conc2(J232,J$9,MolVol,J$21,J$20,K$21,K$20))</f>
        <v/>
      </c>
      <c r="L232" s="981" t="str">
        <f>IF(L$17=FALSE,"",GasData(GasAnalyser,'Horiba Data'!AA225,'Testo, JUM &amp; MRU Data'!H226,'Thermo Data'!I225,'Testo, JUM &amp; MRU Data'!T226,GDF))</f>
        <v/>
      </c>
      <c r="M232" s="981" t="str">
        <f>IF(L232="","",Conc2(L232,L$9,MolVol,L$21,L$20,M$21,M$20))</f>
        <v/>
      </c>
      <c r="N232" s="981" t="str">
        <f>IF(N$17=FALSE,"",GasData(GasAnalyser,'Horiba Data'!AE225,'Testo, JUM &amp; MRU Data'!I226,'Thermo Data'!J225,'Testo, JUM &amp; MRU Data'!S226,GDF))</f>
        <v/>
      </c>
      <c r="O232" s="981" t="str">
        <f>IF(N232="","",Conc2(N232,N$9,MolVol,N$21,N$20,O$21,O$20))</f>
        <v/>
      </c>
      <c r="P232" s="981" t="str">
        <f>IF(P$17=FALSE,"",GasData(GasAnalyser,'Horiba Data'!AI225,'Testo, JUM &amp; MRU Data'!J226,'Thermo Data'!K225,'Testo, JUM &amp; MRU Data'!R226,GDF))</f>
        <v/>
      </c>
      <c r="Q232" s="981" t="str">
        <f>IF(P232="","",Conc2(P232,P$9,MolVol,P$21,P$20,Q$21,Q$20))</f>
        <v/>
      </c>
      <c r="R232" s="981" t="str">
        <f>IF(R$17=FALSE,"",JUMData('Testo, JUM &amp; MRU Data'!M226,$R$7))</f>
        <v/>
      </c>
      <c r="S232" s="982" t="str">
        <f>IF(R232="","",Conc2(R232,R$9,MolVol,R$21,R$20,S$21,S$20)/(1-Bws))</f>
        <v/>
      </c>
      <c r="T232" s="740"/>
      <c r="AR232" s="334"/>
      <c r="AS232" s="334"/>
      <c r="AT232" s="48"/>
      <c r="AU232" s="48"/>
      <c r="AV232" s="153"/>
      <c r="AW232" s="153"/>
      <c r="AX232" s="153"/>
      <c r="AY232" s="153"/>
      <c r="AZ232" s="153"/>
      <c r="BA232" s="153"/>
      <c r="BB232" s="153"/>
      <c r="BC232" s="153"/>
      <c r="BD232" s="153"/>
      <c r="BE232" s="153"/>
      <c r="BF232" s="153"/>
      <c r="BG232" s="153"/>
      <c r="BH232" s="153"/>
      <c r="BI232" s="153"/>
      <c r="BJ232" s="153"/>
      <c r="BK232" s="153"/>
      <c r="BL232" s="153"/>
      <c r="BM232" s="153"/>
      <c r="BN232" s="153"/>
      <c r="BO232" s="153"/>
      <c r="BP232" s="153"/>
      <c r="BQ232" s="153"/>
      <c r="BR232" s="153"/>
      <c r="BS232" s="153"/>
      <c r="BT232" s="153"/>
      <c r="BU232" s="153"/>
      <c r="BV232" s="153"/>
      <c r="BW232" s="153"/>
      <c r="BX232" s="153"/>
      <c r="BY232" s="153"/>
      <c r="BZ232" s="153"/>
      <c r="CA232" s="153"/>
      <c r="CB232" s="153"/>
      <c r="CC232" s="153"/>
      <c r="CD232" s="153"/>
      <c r="CE232" s="153"/>
      <c r="CF232" s="153"/>
      <c r="CG232" s="153"/>
      <c r="CH232" s="153"/>
      <c r="CI232" s="153"/>
      <c r="CJ232" s="153"/>
      <c r="CK232" s="153"/>
      <c r="CL232" s="153"/>
      <c r="CM232" s="153"/>
      <c r="CN232" s="153"/>
      <c r="CO232" s="153"/>
      <c r="CP232" s="153"/>
      <c r="CQ232" s="153"/>
      <c r="CR232" s="153"/>
      <c r="CS232" s="153"/>
      <c r="CT232" s="153"/>
      <c r="CU232" s="153"/>
      <c r="CV232" s="153"/>
      <c r="CW232" s="153"/>
      <c r="CX232" s="153"/>
      <c r="CY232" s="153"/>
      <c r="CZ232" s="153"/>
      <c r="DA232" s="153"/>
      <c r="DB232" s="153"/>
      <c r="DC232" s="153"/>
      <c r="DD232" s="153"/>
      <c r="DE232" s="153"/>
      <c r="DF232" s="153"/>
      <c r="DG232" s="153"/>
      <c r="DH232" s="153"/>
      <c r="DI232" s="153"/>
      <c r="DJ232" s="153"/>
      <c r="DK232" s="153"/>
      <c r="DL232" s="153"/>
      <c r="DM232" s="153"/>
      <c r="DN232" s="153"/>
      <c r="DO232" s="153"/>
      <c r="DP232" s="153"/>
      <c r="DQ232" s="153"/>
      <c r="DR232" s="153"/>
      <c r="DS232" s="153"/>
      <c r="DT232" s="153"/>
      <c r="DU232" s="153"/>
      <c r="DV232" s="153"/>
      <c r="DW232" s="153"/>
      <c r="DX232" s="153"/>
      <c r="DY232" s="153"/>
      <c r="DZ232" s="153"/>
      <c r="EA232" s="153"/>
      <c r="EB232" s="153"/>
      <c r="EC232" s="153"/>
      <c r="ED232" s="153"/>
      <c r="EE232" s="153"/>
      <c r="EF232" s="153"/>
      <c r="EG232" s="153"/>
      <c r="EH232" s="153"/>
      <c r="EI232" s="153"/>
      <c r="EJ232" s="153"/>
      <c r="EK232" s="153"/>
      <c r="EL232" s="153"/>
      <c r="EM232" s="153"/>
    </row>
    <row r="233" spans="1:143" s="107" customFormat="1" ht="10.5" hidden="1" customHeight="1" outlineLevel="2">
      <c r="A233" s="1548">
        <v>208</v>
      </c>
      <c r="B233" s="1560" t="str">
        <f t="shared" si="5"/>
        <v/>
      </c>
      <c r="C233" s="161" t="str">
        <f>GasTime(GasAnalyser,'Horiba Data'!F226,'Horiba Data'!G226,'Testo, JUM &amp; MRU Data'!A227,'Thermo Data'!B226,HourOffset)</f>
        <v/>
      </c>
      <c r="D233" s="981" t="str">
        <f>IF(D$17=FALSE,"",GasData(GasAnalyser,'Horiba Data'!S226,'Testo, JUM &amp; MRU Data'!D227,'Thermo Data'!E226,'Testo, JUM &amp; MRU Data'!U227,GDF))</f>
        <v/>
      </c>
      <c r="E233" s="981" t="str">
        <f>IF(D233="","",Conc2(D233,D$9,MolVol,D$21,D$20,E$21,E$20))</f>
        <v/>
      </c>
      <c r="F233" s="981" t="str">
        <f>IF(F$17=FALSE,"",GasData(GasAnalyser,'Horiba Data'!AQ226,'Testo, JUM &amp; MRU Data'!E227,'Thermo Data'!F226,'Testo, JUM &amp; MRU Data'!V227,GDF))</f>
        <v/>
      </c>
      <c r="G233" s="981" t="str">
        <f>IF(F233="","",Conc2(F233,F$9,MolVol,F$21,F$20,G$21,G$20))</f>
        <v/>
      </c>
      <c r="H233" s="981" t="str">
        <f>IF(D$17=FALSE,"",IF(F$17=FALSE,"",GasData(GasAnalyser,'Horiba Data'!W226,'Testo, JUM &amp; MRU Data'!F227,'Thermo Data'!G226,'Testo, JUM &amp; MRU Data'!Y227,GDF)))</f>
        <v/>
      </c>
      <c r="I233" s="981" t="str">
        <f>IF(H233="","",Conc2(H233,H$9,MolVol,H$21,H$20,I$21,I$20))</f>
        <v/>
      </c>
      <c r="J233" s="981" t="str">
        <f>IF(J$17=FALSE,"",GasData(GasAnalyser,'Horiba Data'!AM226,'Testo, JUM &amp; MRU Data'!G227,'Thermo Data'!H226,'Testo, JUM &amp; MRU Data'!W227,GDF))</f>
        <v/>
      </c>
      <c r="K233" s="981" t="str">
        <f>IF(J233="","",Conc2(J233,J$9,MolVol,J$21,J$20,K$21,K$20))</f>
        <v/>
      </c>
      <c r="L233" s="981" t="str">
        <f>IF(L$17=FALSE,"",GasData(GasAnalyser,'Horiba Data'!AA226,'Testo, JUM &amp; MRU Data'!H227,'Thermo Data'!I226,'Testo, JUM &amp; MRU Data'!T227,GDF))</f>
        <v/>
      </c>
      <c r="M233" s="981" t="str">
        <f>IF(L233="","",Conc2(L233,L$9,MolVol,L$21,L$20,M$21,M$20))</f>
        <v/>
      </c>
      <c r="N233" s="981" t="str">
        <f>IF(N$17=FALSE,"",GasData(GasAnalyser,'Horiba Data'!AE226,'Testo, JUM &amp; MRU Data'!I227,'Thermo Data'!J226,'Testo, JUM &amp; MRU Data'!S227,GDF))</f>
        <v/>
      </c>
      <c r="O233" s="981" t="str">
        <f>IF(N233="","",Conc2(N233,N$9,MolVol,N$21,N$20,O$21,O$20))</f>
        <v/>
      </c>
      <c r="P233" s="981" t="str">
        <f>IF(P$17=FALSE,"",GasData(GasAnalyser,'Horiba Data'!AI226,'Testo, JUM &amp; MRU Data'!J227,'Thermo Data'!K226,'Testo, JUM &amp; MRU Data'!R227,GDF))</f>
        <v/>
      </c>
      <c r="Q233" s="981" t="str">
        <f>IF(P233="","",Conc2(P233,P$9,MolVol,P$21,P$20,Q$21,Q$20))</f>
        <v/>
      </c>
      <c r="R233" s="981" t="str">
        <f>IF(R$17=FALSE,"",JUMData('Testo, JUM &amp; MRU Data'!M227,$R$7))</f>
        <v/>
      </c>
      <c r="S233" s="982" t="str">
        <f>IF(R233="","",Conc2(R233,R$9,MolVol,R$21,R$20,S$21,S$20)/(1-Bws))</f>
        <v/>
      </c>
      <c r="T233" s="740"/>
      <c r="AR233" s="334"/>
      <c r="AS233" s="334"/>
      <c r="AT233" s="48"/>
      <c r="AU233" s="48"/>
      <c r="AV233" s="153"/>
      <c r="AW233" s="153"/>
      <c r="AX233" s="153"/>
      <c r="AY233" s="153"/>
      <c r="AZ233" s="153"/>
      <c r="BA233" s="153"/>
      <c r="BB233" s="153"/>
      <c r="BC233" s="153"/>
      <c r="BD233" s="153"/>
      <c r="BE233" s="153"/>
      <c r="BF233" s="153"/>
      <c r="BG233" s="153"/>
      <c r="BH233" s="153"/>
      <c r="BI233" s="153"/>
      <c r="BJ233" s="153"/>
      <c r="BK233" s="153"/>
      <c r="BL233" s="153"/>
      <c r="BM233" s="153"/>
      <c r="BN233" s="153"/>
      <c r="BO233" s="153"/>
      <c r="BP233" s="153"/>
      <c r="BQ233" s="153"/>
      <c r="BR233" s="153"/>
      <c r="BS233" s="153"/>
      <c r="BT233" s="153"/>
      <c r="BU233" s="153"/>
      <c r="BV233" s="153"/>
      <c r="BW233" s="153"/>
      <c r="BX233" s="153"/>
      <c r="BY233" s="153"/>
      <c r="BZ233" s="153"/>
      <c r="CA233" s="153"/>
      <c r="CB233" s="153"/>
      <c r="CC233" s="153"/>
      <c r="CD233" s="153"/>
      <c r="CE233" s="153"/>
      <c r="CF233" s="153"/>
      <c r="CG233" s="153"/>
      <c r="CH233" s="153"/>
      <c r="CI233" s="153"/>
      <c r="CJ233" s="153"/>
      <c r="CK233" s="153"/>
      <c r="CL233" s="153"/>
      <c r="CM233" s="153"/>
      <c r="CN233" s="153"/>
      <c r="CO233" s="153"/>
      <c r="CP233" s="153"/>
      <c r="CQ233" s="153"/>
      <c r="CR233" s="153"/>
      <c r="CS233" s="153"/>
      <c r="CT233" s="153"/>
      <c r="CU233" s="153"/>
      <c r="CV233" s="153"/>
      <c r="CW233" s="153"/>
      <c r="CX233" s="153"/>
      <c r="CY233" s="153"/>
      <c r="CZ233" s="153"/>
      <c r="DA233" s="153"/>
      <c r="DB233" s="153"/>
      <c r="DC233" s="153"/>
      <c r="DD233" s="153"/>
      <c r="DE233" s="153"/>
      <c r="DF233" s="153"/>
      <c r="DG233" s="153"/>
      <c r="DH233" s="153"/>
      <c r="DI233" s="153"/>
      <c r="DJ233" s="153"/>
      <c r="DK233" s="153"/>
      <c r="DL233" s="153"/>
      <c r="DM233" s="153"/>
      <c r="DN233" s="153"/>
      <c r="DO233" s="153"/>
      <c r="DP233" s="153"/>
      <c r="DQ233" s="153"/>
      <c r="DR233" s="153"/>
      <c r="DS233" s="153"/>
      <c r="DT233" s="153"/>
      <c r="DU233" s="153"/>
      <c r="DV233" s="153"/>
      <c r="DW233" s="153"/>
      <c r="DX233" s="153"/>
      <c r="DY233" s="153"/>
      <c r="DZ233" s="153"/>
      <c r="EA233" s="153"/>
      <c r="EB233" s="153"/>
      <c r="EC233" s="153"/>
      <c r="ED233" s="153"/>
      <c r="EE233" s="153"/>
      <c r="EF233" s="153"/>
      <c r="EG233" s="153"/>
      <c r="EH233" s="153"/>
      <c r="EI233" s="153"/>
      <c r="EJ233" s="153"/>
      <c r="EK233" s="153"/>
      <c r="EL233" s="153"/>
      <c r="EM233" s="153"/>
    </row>
    <row r="234" spans="1:143" s="107" customFormat="1" ht="10.5" hidden="1" customHeight="1" outlineLevel="2">
      <c r="A234" s="1548">
        <v>209</v>
      </c>
      <c r="B234" s="1560" t="str">
        <f t="shared" si="5"/>
        <v/>
      </c>
      <c r="C234" s="161" t="str">
        <f>GasTime(GasAnalyser,'Horiba Data'!F227,'Horiba Data'!G227,'Testo, JUM &amp; MRU Data'!A228,'Thermo Data'!B227,HourOffset)</f>
        <v/>
      </c>
      <c r="D234" s="981" t="str">
        <f>IF(D$17=FALSE,"",GasData(GasAnalyser,'Horiba Data'!S227,'Testo, JUM &amp; MRU Data'!D228,'Thermo Data'!E227,'Testo, JUM &amp; MRU Data'!U228,GDF))</f>
        <v/>
      </c>
      <c r="E234" s="981" t="str">
        <f>IF(D234="","",Conc2(D234,D$9,MolVol,D$21,D$20,E$21,E$20))</f>
        <v/>
      </c>
      <c r="F234" s="981" t="str">
        <f>IF(F$17=FALSE,"",GasData(GasAnalyser,'Horiba Data'!AQ227,'Testo, JUM &amp; MRU Data'!E228,'Thermo Data'!F227,'Testo, JUM &amp; MRU Data'!V228,GDF))</f>
        <v/>
      </c>
      <c r="G234" s="981" t="str">
        <f>IF(F234="","",Conc2(F234,F$9,MolVol,F$21,F$20,G$21,G$20))</f>
        <v/>
      </c>
      <c r="H234" s="981" t="str">
        <f>IF(D$17=FALSE,"",IF(F$17=FALSE,"",GasData(GasAnalyser,'Horiba Data'!W227,'Testo, JUM &amp; MRU Data'!F228,'Thermo Data'!G227,'Testo, JUM &amp; MRU Data'!Y228,GDF)))</f>
        <v/>
      </c>
      <c r="I234" s="981" t="str">
        <f>IF(H234="","",Conc2(H234,H$9,MolVol,H$21,H$20,I$21,I$20))</f>
        <v/>
      </c>
      <c r="J234" s="981" t="str">
        <f>IF(J$17=FALSE,"",GasData(GasAnalyser,'Horiba Data'!AM227,'Testo, JUM &amp; MRU Data'!G228,'Thermo Data'!H227,'Testo, JUM &amp; MRU Data'!W228,GDF))</f>
        <v/>
      </c>
      <c r="K234" s="981" t="str">
        <f>IF(J234="","",Conc2(J234,J$9,MolVol,J$21,J$20,K$21,K$20))</f>
        <v/>
      </c>
      <c r="L234" s="981" t="str">
        <f>IF(L$17=FALSE,"",GasData(GasAnalyser,'Horiba Data'!AA227,'Testo, JUM &amp; MRU Data'!H228,'Thermo Data'!I227,'Testo, JUM &amp; MRU Data'!T228,GDF))</f>
        <v/>
      </c>
      <c r="M234" s="981" t="str">
        <f>IF(L234="","",Conc2(L234,L$9,MolVol,L$21,L$20,M$21,M$20))</f>
        <v/>
      </c>
      <c r="N234" s="981" t="str">
        <f>IF(N$17=FALSE,"",GasData(GasAnalyser,'Horiba Data'!AE227,'Testo, JUM &amp; MRU Data'!I228,'Thermo Data'!J227,'Testo, JUM &amp; MRU Data'!S228,GDF))</f>
        <v/>
      </c>
      <c r="O234" s="981" t="str">
        <f>IF(N234="","",Conc2(N234,N$9,MolVol,N$21,N$20,O$21,O$20))</f>
        <v/>
      </c>
      <c r="P234" s="981" t="str">
        <f>IF(P$17=FALSE,"",GasData(GasAnalyser,'Horiba Data'!AI227,'Testo, JUM &amp; MRU Data'!J228,'Thermo Data'!K227,'Testo, JUM &amp; MRU Data'!R228,GDF))</f>
        <v/>
      </c>
      <c r="Q234" s="981" t="str">
        <f>IF(P234="","",Conc2(P234,P$9,MolVol,P$21,P$20,Q$21,Q$20))</f>
        <v/>
      </c>
      <c r="R234" s="981" t="str">
        <f>IF(R$17=FALSE,"",JUMData('Testo, JUM &amp; MRU Data'!M228,$R$7))</f>
        <v/>
      </c>
      <c r="S234" s="982" t="str">
        <f>IF(R234="","",Conc2(R234,R$9,MolVol,R$21,R$20,S$21,S$20)/(1-Bws))</f>
        <v/>
      </c>
      <c r="T234" s="740"/>
      <c r="AR234" s="334"/>
      <c r="AS234" s="334"/>
      <c r="AT234" s="48"/>
      <c r="AU234" s="48"/>
      <c r="AV234" s="153"/>
      <c r="AW234" s="153"/>
      <c r="AX234" s="153"/>
      <c r="AY234" s="153"/>
      <c r="AZ234" s="153"/>
      <c r="BA234" s="153"/>
      <c r="BB234" s="153"/>
      <c r="BC234" s="153"/>
      <c r="BD234" s="153"/>
      <c r="BE234" s="153"/>
      <c r="BF234" s="153"/>
      <c r="BG234" s="153"/>
      <c r="BH234" s="153"/>
      <c r="BI234" s="153"/>
      <c r="BJ234" s="153"/>
      <c r="BK234" s="153"/>
      <c r="BL234" s="153"/>
      <c r="BM234" s="153"/>
      <c r="BN234" s="153"/>
      <c r="BO234" s="153"/>
      <c r="BP234" s="153"/>
      <c r="BQ234" s="153"/>
      <c r="BR234" s="153"/>
      <c r="BS234" s="153"/>
      <c r="BT234" s="153"/>
      <c r="BU234" s="153"/>
      <c r="BV234" s="153"/>
      <c r="BW234" s="153"/>
      <c r="BX234" s="153"/>
      <c r="BY234" s="153"/>
      <c r="BZ234" s="153"/>
      <c r="CA234" s="153"/>
      <c r="CB234" s="153"/>
      <c r="CC234" s="153"/>
      <c r="CD234" s="153"/>
      <c r="CE234" s="153"/>
      <c r="CF234" s="153"/>
      <c r="CG234" s="153"/>
      <c r="CH234" s="153"/>
      <c r="CI234" s="153"/>
      <c r="CJ234" s="153"/>
      <c r="CK234" s="153"/>
      <c r="CL234" s="153"/>
      <c r="CM234" s="153"/>
      <c r="CN234" s="153"/>
      <c r="CO234" s="153"/>
      <c r="CP234" s="153"/>
      <c r="CQ234" s="153"/>
      <c r="CR234" s="153"/>
      <c r="CS234" s="153"/>
      <c r="CT234" s="153"/>
      <c r="CU234" s="153"/>
      <c r="CV234" s="153"/>
      <c r="CW234" s="153"/>
      <c r="CX234" s="153"/>
      <c r="CY234" s="153"/>
      <c r="CZ234" s="153"/>
      <c r="DA234" s="153"/>
      <c r="DB234" s="153"/>
      <c r="DC234" s="153"/>
      <c r="DD234" s="153"/>
      <c r="DE234" s="153"/>
      <c r="DF234" s="153"/>
      <c r="DG234" s="153"/>
      <c r="DH234" s="153"/>
      <c r="DI234" s="153"/>
      <c r="DJ234" s="153"/>
      <c r="DK234" s="153"/>
      <c r="DL234" s="153"/>
      <c r="DM234" s="153"/>
      <c r="DN234" s="153"/>
      <c r="DO234" s="153"/>
      <c r="DP234" s="153"/>
      <c r="DQ234" s="153"/>
      <c r="DR234" s="153"/>
      <c r="DS234" s="153"/>
      <c r="DT234" s="153"/>
      <c r="DU234" s="153"/>
      <c r="DV234" s="153"/>
      <c r="DW234" s="153"/>
      <c r="DX234" s="153"/>
      <c r="DY234" s="153"/>
      <c r="DZ234" s="153"/>
      <c r="EA234" s="153"/>
      <c r="EB234" s="153"/>
      <c r="EC234" s="153"/>
      <c r="ED234" s="153"/>
      <c r="EE234" s="153"/>
      <c r="EF234" s="153"/>
      <c r="EG234" s="153"/>
      <c r="EH234" s="153"/>
      <c r="EI234" s="153"/>
      <c r="EJ234" s="153"/>
      <c r="EK234" s="153"/>
      <c r="EL234" s="153"/>
      <c r="EM234" s="153"/>
    </row>
    <row r="235" spans="1:143" s="107" customFormat="1" ht="10.5" hidden="1" customHeight="1" outlineLevel="2">
      <c r="A235" s="1548">
        <v>210</v>
      </c>
      <c r="B235" s="1560" t="str">
        <f t="shared" si="5"/>
        <v/>
      </c>
      <c r="C235" s="161" t="str">
        <f>GasTime(GasAnalyser,'Horiba Data'!F228,'Horiba Data'!G228,'Testo, JUM &amp; MRU Data'!A229,'Thermo Data'!B228,HourOffset)</f>
        <v/>
      </c>
      <c r="D235" s="981" t="str">
        <f>IF(D$17=FALSE,"",GasData(GasAnalyser,'Horiba Data'!S228,'Testo, JUM &amp; MRU Data'!D229,'Thermo Data'!E228,'Testo, JUM &amp; MRU Data'!U229,GDF))</f>
        <v/>
      </c>
      <c r="E235" s="981" t="str">
        <f>IF(D235="","",Conc2(D235,D$9,MolVol,D$21,D$20,E$21,E$20))</f>
        <v/>
      </c>
      <c r="F235" s="981" t="str">
        <f>IF(F$17=FALSE,"",GasData(GasAnalyser,'Horiba Data'!AQ228,'Testo, JUM &amp; MRU Data'!E229,'Thermo Data'!F228,'Testo, JUM &amp; MRU Data'!V229,GDF))</f>
        <v/>
      </c>
      <c r="G235" s="981" t="str">
        <f>IF(F235="","",Conc2(F235,F$9,MolVol,F$21,F$20,G$21,G$20))</f>
        <v/>
      </c>
      <c r="H235" s="981" t="str">
        <f>IF(D$17=FALSE,"",IF(F$17=FALSE,"",GasData(GasAnalyser,'Horiba Data'!W228,'Testo, JUM &amp; MRU Data'!F229,'Thermo Data'!G228,'Testo, JUM &amp; MRU Data'!Y229,GDF)))</f>
        <v/>
      </c>
      <c r="I235" s="981" t="str">
        <f>IF(H235="","",Conc2(H235,H$9,MolVol,H$21,H$20,I$21,I$20))</f>
        <v/>
      </c>
      <c r="J235" s="981" t="str">
        <f>IF(J$17=FALSE,"",GasData(GasAnalyser,'Horiba Data'!AM228,'Testo, JUM &amp; MRU Data'!G229,'Thermo Data'!H228,'Testo, JUM &amp; MRU Data'!W229,GDF))</f>
        <v/>
      </c>
      <c r="K235" s="981" t="str">
        <f>IF(J235="","",Conc2(J235,J$9,MolVol,J$21,J$20,K$21,K$20))</f>
        <v/>
      </c>
      <c r="L235" s="981" t="str">
        <f>IF(L$17=FALSE,"",GasData(GasAnalyser,'Horiba Data'!AA228,'Testo, JUM &amp; MRU Data'!H229,'Thermo Data'!I228,'Testo, JUM &amp; MRU Data'!T229,GDF))</f>
        <v/>
      </c>
      <c r="M235" s="981" t="str">
        <f>IF(L235="","",Conc2(L235,L$9,MolVol,L$21,L$20,M$21,M$20))</f>
        <v/>
      </c>
      <c r="N235" s="981" t="str">
        <f>IF(N$17=FALSE,"",GasData(GasAnalyser,'Horiba Data'!AE228,'Testo, JUM &amp; MRU Data'!I229,'Thermo Data'!J228,'Testo, JUM &amp; MRU Data'!S229,GDF))</f>
        <v/>
      </c>
      <c r="O235" s="981" t="str">
        <f>IF(N235="","",Conc2(N235,N$9,MolVol,N$21,N$20,O$21,O$20))</f>
        <v/>
      </c>
      <c r="P235" s="981" t="str">
        <f>IF(P$17=FALSE,"",GasData(GasAnalyser,'Horiba Data'!AI228,'Testo, JUM &amp; MRU Data'!J229,'Thermo Data'!K228,'Testo, JUM &amp; MRU Data'!R229,GDF))</f>
        <v/>
      </c>
      <c r="Q235" s="981" t="str">
        <f>IF(P235="","",Conc2(P235,P$9,MolVol,P$21,P$20,Q$21,Q$20))</f>
        <v/>
      </c>
      <c r="R235" s="981" t="str">
        <f>IF(R$17=FALSE,"",JUMData('Testo, JUM &amp; MRU Data'!M229,$R$7))</f>
        <v/>
      </c>
      <c r="S235" s="982" t="str">
        <f>IF(R235="","",Conc2(R235,R$9,MolVol,R$21,R$20,S$21,S$20)/(1-Bws))</f>
        <v/>
      </c>
      <c r="T235" s="740"/>
      <c r="AR235" s="334"/>
      <c r="AS235" s="334"/>
      <c r="AT235" s="48"/>
      <c r="AU235" s="48"/>
      <c r="AV235" s="153"/>
      <c r="AW235" s="153"/>
      <c r="AX235" s="153"/>
      <c r="AY235" s="153"/>
      <c r="AZ235" s="153"/>
      <c r="BA235" s="153"/>
      <c r="BB235" s="153"/>
      <c r="BC235" s="153"/>
      <c r="BD235" s="153"/>
      <c r="BE235" s="153"/>
      <c r="BF235" s="153"/>
      <c r="BG235" s="153"/>
      <c r="BH235" s="153"/>
      <c r="BI235" s="153"/>
      <c r="BJ235" s="153"/>
      <c r="BK235" s="153"/>
      <c r="BL235" s="153"/>
      <c r="BM235" s="153"/>
      <c r="BN235" s="153"/>
      <c r="BO235" s="153"/>
      <c r="BP235" s="153"/>
      <c r="BQ235" s="153"/>
      <c r="BR235" s="153"/>
      <c r="BS235" s="153"/>
      <c r="BT235" s="153"/>
      <c r="BU235" s="153"/>
      <c r="BV235" s="153"/>
      <c r="BW235" s="153"/>
      <c r="BX235" s="153"/>
      <c r="BY235" s="153"/>
      <c r="BZ235" s="153"/>
      <c r="CA235" s="153"/>
      <c r="CB235" s="153"/>
      <c r="CC235" s="153"/>
      <c r="CD235" s="153"/>
      <c r="CE235" s="153"/>
      <c r="CF235" s="153"/>
      <c r="CG235" s="153"/>
      <c r="CH235" s="153"/>
      <c r="CI235" s="153"/>
      <c r="CJ235" s="153"/>
      <c r="CK235" s="153"/>
      <c r="CL235" s="153"/>
      <c r="CM235" s="153"/>
      <c r="CN235" s="153"/>
      <c r="CO235" s="153"/>
      <c r="CP235" s="153"/>
      <c r="CQ235" s="153"/>
      <c r="CR235" s="153"/>
      <c r="CS235" s="153"/>
      <c r="CT235" s="153"/>
      <c r="CU235" s="153"/>
      <c r="CV235" s="153"/>
      <c r="CW235" s="153"/>
      <c r="CX235" s="153"/>
      <c r="CY235" s="153"/>
      <c r="CZ235" s="153"/>
      <c r="DA235" s="153"/>
      <c r="DB235" s="153"/>
      <c r="DC235" s="153"/>
      <c r="DD235" s="153"/>
      <c r="DE235" s="153"/>
      <c r="DF235" s="153"/>
      <c r="DG235" s="153"/>
      <c r="DH235" s="153"/>
      <c r="DI235" s="153"/>
      <c r="DJ235" s="153"/>
      <c r="DK235" s="153"/>
      <c r="DL235" s="153"/>
      <c r="DM235" s="153"/>
      <c r="DN235" s="153"/>
      <c r="DO235" s="153"/>
      <c r="DP235" s="153"/>
      <c r="DQ235" s="153"/>
      <c r="DR235" s="153"/>
      <c r="DS235" s="153"/>
      <c r="DT235" s="153"/>
      <c r="DU235" s="153"/>
      <c r="DV235" s="153"/>
      <c r="DW235" s="153"/>
      <c r="DX235" s="153"/>
      <c r="DY235" s="153"/>
      <c r="DZ235" s="153"/>
      <c r="EA235" s="153"/>
      <c r="EB235" s="153"/>
      <c r="EC235" s="153"/>
      <c r="ED235" s="153"/>
      <c r="EE235" s="153"/>
      <c r="EF235" s="153"/>
      <c r="EG235" s="153"/>
      <c r="EH235" s="153"/>
      <c r="EI235" s="153"/>
      <c r="EJ235" s="153"/>
      <c r="EK235" s="153"/>
      <c r="EL235" s="153"/>
      <c r="EM235" s="153"/>
    </row>
    <row r="236" spans="1:143" s="107" customFormat="1" ht="10.5" hidden="1" customHeight="1" outlineLevel="2">
      <c r="A236" s="1548">
        <v>211</v>
      </c>
      <c r="B236" s="1560" t="str">
        <f t="shared" si="5"/>
        <v/>
      </c>
      <c r="C236" s="161" t="str">
        <f>GasTime(GasAnalyser,'Horiba Data'!F229,'Horiba Data'!G229,'Testo, JUM &amp; MRU Data'!A230,'Thermo Data'!B229,HourOffset)</f>
        <v/>
      </c>
      <c r="D236" s="981" t="str">
        <f>IF(D$17=FALSE,"",GasData(GasAnalyser,'Horiba Data'!S229,'Testo, JUM &amp; MRU Data'!D230,'Thermo Data'!E229,'Testo, JUM &amp; MRU Data'!U230,GDF))</f>
        <v/>
      </c>
      <c r="E236" s="981" t="str">
        <f>IF(D236="","",Conc2(D236,D$9,MolVol,D$21,D$20,E$21,E$20))</f>
        <v/>
      </c>
      <c r="F236" s="981" t="str">
        <f>IF(F$17=FALSE,"",GasData(GasAnalyser,'Horiba Data'!AQ229,'Testo, JUM &amp; MRU Data'!E230,'Thermo Data'!F229,'Testo, JUM &amp; MRU Data'!V230,GDF))</f>
        <v/>
      </c>
      <c r="G236" s="981" t="str">
        <f>IF(F236="","",Conc2(F236,F$9,MolVol,F$21,F$20,G$21,G$20))</f>
        <v/>
      </c>
      <c r="H236" s="981" t="str">
        <f>IF(D$17=FALSE,"",IF(F$17=FALSE,"",GasData(GasAnalyser,'Horiba Data'!W229,'Testo, JUM &amp; MRU Data'!F230,'Thermo Data'!G229,'Testo, JUM &amp; MRU Data'!Y230,GDF)))</f>
        <v/>
      </c>
      <c r="I236" s="981" t="str">
        <f>IF(H236="","",Conc2(H236,H$9,MolVol,H$21,H$20,I$21,I$20))</f>
        <v/>
      </c>
      <c r="J236" s="981" t="str">
        <f>IF(J$17=FALSE,"",GasData(GasAnalyser,'Horiba Data'!AM229,'Testo, JUM &amp; MRU Data'!G230,'Thermo Data'!H229,'Testo, JUM &amp; MRU Data'!W230,GDF))</f>
        <v/>
      </c>
      <c r="K236" s="981" t="str">
        <f>IF(J236="","",Conc2(J236,J$9,MolVol,J$21,J$20,K$21,K$20))</f>
        <v/>
      </c>
      <c r="L236" s="981" t="str">
        <f>IF(L$17=FALSE,"",GasData(GasAnalyser,'Horiba Data'!AA229,'Testo, JUM &amp; MRU Data'!H230,'Thermo Data'!I229,'Testo, JUM &amp; MRU Data'!T230,GDF))</f>
        <v/>
      </c>
      <c r="M236" s="981" t="str">
        <f>IF(L236="","",Conc2(L236,L$9,MolVol,L$21,L$20,M$21,M$20))</f>
        <v/>
      </c>
      <c r="N236" s="981" t="str">
        <f>IF(N$17=FALSE,"",GasData(GasAnalyser,'Horiba Data'!AE229,'Testo, JUM &amp; MRU Data'!I230,'Thermo Data'!J229,'Testo, JUM &amp; MRU Data'!S230,GDF))</f>
        <v/>
      </c>
      <c r="O236" s="981" t="str">
        <f>IF(N236="","",Conc2(N236,N$9,MolVol,N$21,N$20,O$21,O$20))</f>
        <v/>
      </c>
      <c r="P236" s="981" t="str">
        <f>IF(P$17=FALSE,"",GasData(GasAnalyser,'Horiba Data'!AI229,'Testo, JUM &amp; MRU Data'!J230,'Thermo Data'!K229,'Testo, JUM &amp; MRU Data'!R230,GDF))</f>
        <v/>
      </c>
      <c r="Q236" s="981" t="str">
        <f>IF(P236="","",Conc2(P236,P$9,MolVol,P$21,P$20,Q$21,Q$20))</f>
        <v/>
      </c>
      <c r="R236" s="981" t="str">
        <f>IF(R$17=FALSE,"",JUMData('Testo, JUM &amp; MRU Data'!M230,$R$7))</f>
        <v/>
      </c>
      <c r="S236" s="982" t="str">
        <f>IF(R236="","",Conc2(R236,R$9,MolVol,R$21,R$20,S$21,S$20)/(1-Bws))</f>
        <v/>
      </c>
      <c r="T236" s="740"/>
      <c r="AR236" s="334"/>
      <c r="AS236" s="334"/>
      <c r="AT236" s="48"/>
      <c r="AU236" s="48"/>
      <c r="AV236" s="153"/>
      <c r="AW236" s="153"/>
      <c r="AX236" s="153"/>
      <c r="AY236" s="153"/>
      <c r="AZ236" s="153"/>
      <c r="BA236" s="153"/>
      <c r="BB236" s="153"/>
      <c r="BC236" s="153"/>
      <c r="BD236" s="153"/>
      <c r="BE236" s="153"/>
      <c r="BF236" s="153"/>
      <c r="BG236" s="153"/>
      <c r="BH236" s="153"/>
      <c r="BI236" s="153"/>
      <c r="BJ236" s="153"/>
      <c r="BK236" s="153"/>
      <c r="BL236" s="153"/>
      <c r="BM236" s="153"/>
      <c r="BN236" s="153"/>
      <c r="BO236" s="153"/>
      <c r="BP236" s="153"/>
      <c r="BQ236" s="153"/>
      <c r="BR236" s="153"/>
      <c r="BS236" s="153"/>
      <c r="BT236" s="153"/>
      <c r="BU236" s="153"/>
      <c r="BV236" s="153"/>
      <c r="BW236" s="153"/>
      <c r="BX236" s="153"/>
      <c r="BY236" s="153"/>
      <c r="BZ236" s="153"/>
      <c r="CA236" s="153"/>
      <c r="CB236" s="153"/>
      <c r="CC236" s="153"/>
      <c r="CD236" s="153"/>
      <c r="CE236" s="153"/>
      <c r="CF236" s="153"/>
      <c r="CG236" s="153"/>
      <c r="CH236" s="153"/>
      <c r="CI236" s="153"/>
      <c r="CJ236" s="153"/>
      <c r="CK236" s="153"/>
      <c r="CL236" s="153"/>
      <c r="CM236" s="153"/>
      <c r="CN236" s="153"/>
      <c r="CO236" s="153"/>
      <c r="CP236" s="153"/>
      <c r="CQ236" s="153"/>
      <c r="CR236" s="153"/>
      <c r="CS236" s="153"/>
      <c r="CT236" s="153"/>
      <c r="CU236" s="153"/>
      <c r="CV236" s="153"/>
      <c r="CW236" s="153"/>
      <c r="CX236" s="153"/>
      <c r="CY236" s="153"/>
      <c r="CZ236" s="153"/>
      <c r="DA236" s="153"/>
      <c r="DB236" s="153"/>
      <c r="DC236" s="153"/>
      <c r="DD236" s="153"/>
      <c r="DE236" s="153"/>
      <c r="DF236" s="153"/>
      <c r="DG236" s="153"/>
      <c r="DH236" s="153"/>
      <c r="DI236" s="153"/>
      <c r="DJ236" s="153"/>
      <c r="DK236" s="153"/>
      <c r="DL236" s="153"/>
      <c r="DM236" s="153"/>
      <c r="DN236" s="153"/>
      <c r="DO236" s="153"/>
      <c r="DP236" s="153"/>
      <c r="DQ236" s="153"/>
      <c r="DR236" s="153"/>
      <c r="DS236" s="153"/>
      <c r="DT236" s="153"/>
      <c r="DU236" s="153"/>
      <c r="DV236" s="153"/>
      <c r="DW236" s="153"/>
      <c r="DX236" s="153"/>
      <c r="DY236" s="153"/>
      <c r="DZ236" s="153"/>
      <c r="EA236" s="153"/>
      <c r="EB236" s="153"/>
      <c r="EC236" s="153"/>
      <c r="ED236" s="153"/>
      <c r="EE236" s="153"/>
      <c r="EF236" s="153"/>
      <c r="EG236" s="153"/>
      <c r="EH236" s="153"/>
      <c r="EI236" s="153"/>
      <c r="EJ236" s="153"/>
      <c r="EK236" s="153"/>
      <c r="EL236" s="153"/>
      <c r="EM236" s="153"/>
    </row>
    <row r="237" spans="1:143" s="107" customFormat="1" ht="10.5" hidden="1" customHeight="1" outlineLevel="2">
      <c r="A237" s="1548">
        <v>212</v>
      </c>
      <c r="B237" s="1560" t="str">
        <f t="shared" si="5"/>
        <v/>
      </c>
      <c r="C237" s="161" t="str">
        <f>GasTime(GasAnalyser,'Horiba Data'!F230,'Horiba Data'!G230,'Testo, JUM &amp; MRU Data'!A231,'Thermo Data'!B230,HourOffset)</f>
        <v/>
      </c>
      <c r="D237" s="981" t="str">
        <f>IF(D$17=FALSE,"",GasData(GasAnalyser,'Horiba Data'!S230,'Testo, JUM &amp; MRU Data'!D231,'Thermo Data'!E230,'Testo, JUM &amp; MRU Data'!U231,GDF))</f>
        <v/>
      </c>
      <c r="E237" s="981" t="str">
        <f>IF(D237="","",Conc2(D237,D$9,MolVol,D$21,D$20,E$21,E$20))</f>
        <v/>
      </c>
      <c r="F237" s="981" t="str">
        <f>IF(F$17=FALSE,"",GasData(GasAnalyser,'Horiba Data'!AQ230,'Testo, JUM &amp; MRU Data'!E231,'Thermo Data'!F230,'Testo, JUM &amp; MRU Data'!V231,GDF))</f>
        <v/>
      </c>
      <c r="G237" s="981" t="str">
        <f>IF(F237="","",Conc2(F237,F$9,MolVol,F$21,F$20,G$21,G$20))</f>
        <v/>
      </c>
      <c r="H237" s="981" t="str">
        <f>IF(D$17=FALSE,"",IF(F$17=FALSE,"",GasData(GasAnalyser,'Horiba Data'!W230,'Testo, JUM &amp; MRU Data'!F231,'Thermo Data'!G230,'Testo, JUM &amp; MRU Data'!Y231,GDF)))</f>
        <v/>
      </c>
      <c r="I237" s="981" t="str">
        <f>IF(H237="","",Conc2(H237,H$9,MolVol,H$21,H$20,I$21,I$20))</f>
        <v/>
      </c>
      <c r="J237" s="981" t="str">
        <f>IF(J$17=FALSE,"",GasData(GasAnalyser,'Horiba Data'!AM230,'Testo, JUM &amp; MRU Data'!G231,'Thermo Data'!H230,'Testo, JUM &amp; MRU Data'!W231,GDF))</f>
        <v/>
      </c>
      <c r="K237" s="981" t="str">
        <f>IF(J237="","",Conc2(J237,J$9,MolVol,J$21,J$20,K$21,K$20))</f>
        <v/>
      </c>
      <c r="L237" s="981" t="str">
        <f>IF(L$17=FALSE,"",GasData(GasAnalyser,'Horiba Data'!AA230,'Testo, JUM &amp; MRU Data'!H231,'Thermo Data'!I230,'Testo, JUM &amp; MRU Data'!T231,GDF))</f>
        <v/>
      </c>
      <c r="M237" s="981" t="str">
        <f>IF(L237="","",Conc2(L237,L$9,MolVol,L$21,L$20,M$21,M$20))</f>
        <v/>
      </c>
      <c r="N237" s="981" t="str">
        <f>IF(N$17=FALSE,"",GasData(GasAnalyser,'Horiba Data'!AE230,'Testo, JUM &amp; MRU Data'!I231,'Thermo Data'!J230,'Testo, JUM &amp; MRU Data'!S231,GDF))</f>
        <v/>
      </c>
      <c r="O237" s="981" t="str">
        <f>IF(N237="","",Conc2(N237,N$9,MolVol,N$21,N$20,O$21,O$20))</f>
        <v/>
      </c>
      <c r="P237" s="981" t="str">
        <f>IF(P$17=FALSE,"",GasData(GasAnalyser,'Horiba Data'!AI230,'Testo, JUM &amp; MRU Data'!J231,'Thermo Data'!K230,'Testo, JUM &amp; MRU Data'!R231,GDF))</f>
        <v/>
      </c>
      <c r="Q237" s="981" t="str">
        <f>IF(P237="","",Conc2(P237,P$9,MolVol,P$21,P$20,Q$21,Q$20))</f>
        <v/>
      </c>
      <c r="R237" s="981" t="str">
        <f>IF(R$17=FALSE,"",JUMData('Testo, JUM &amp; MRU Data'!M231,$R$7))</f>
        <v/>
      </c>
      <c r="S237" s="982" t="str">
        <f>IF(R237="","",Conc2(R237,R$9,MolVol,R$21,R$20,S$21,S$20)/(1-Bws))</f>
        <v/>
      </c>
      <c r="T237" s="740"/>
      <c r="AR237" s="334"/>
      <c r="AS237" s="334"/>
      <c r="AT237" s="48"/>
      <c r="AU237" s="48"/>
      <c r="AV237" s="153"/>
      <c r="AW237" s="153"/>
      <c r="AX237" s="153"/>
      <c r="AY237" s="153"/>
      <c r="AZ237" s="153"/>
      <c r="BA237" s="153"/>
      <c r="BB237" s="153"/>
      <c r="BC237" s="153"/>
      <c r="BD237" s="153"/>
      <c r="BE237" s="153"/>
      <c r="BF237" s="153"/>
      <c r="BG237" s="153"/>
      <c r="BH237" s="153"/>
      <c r="BI237" s="153"/>
      <c r="BJ237" s="153"/>
      <c r="BK237" s="153"/>
      <c r="BL237" s="153"/>
      <c r="BM237" s="153"/>
      <c r="BN237" s="153"/>
      <c r="BO237" s="153"/>
      <c r="BP237" s="153"/>
      <c r="BQ237" s="153"/>
      <c r="BR237" s="153"/>
      <c r="BS237" s="153"/>
      <c r="BT237" s="153"/>
      <c r="BU237" s="153"/>
      <c r="BV237" s="153"/>
      <c r="BW237" s="153"/>
      <c r="BX237" s="153"/>
      <c r="BY237" s="153"/>
      <c r="BZ237" s="153"/>
      <c r="CA237" s="153"/>
      <c r="CB237" s="153"/>
      <c r="CC237" s="153"/>
      <c r="CD237" s="153"/>
      <c r="CE237" s="153"/>
      <c r="CF237" s="153"/>
      <c r="CG237" s="153"/>
      <c r="CH237" s="153"/>
      <c r="CI237" s="153"/>
      <c r="CJ237" s="153"/>
      <c r="CK237" s="153"/>
      <c r="CL237" s="153"/>
      <c r="CM237" s="153"/>
      <c r="CN237" s="153"/>
      <c r="CO237" s="153"/>
      <c r="CP237" s="153"/>
      <c r="CQ237" s="153"/>
      <c r="CR237" s="153"/>
      <c r="CS237" s="153"/>
      <c r="CT237" s="153"/>
      <c r="CU237" s="153"/>
      <c r="CV237" s="153"/>
      <c r="CW237" s="153"/>
      <c r="CX237" s="153"/>
      <c r="CY237" s="153"/>
      <c r="CZ237" s="153"/>
      <c r="DA237" s="153"/>
      <c r="DB237" s="153"/>
      <c r="DC237" s="153"/>
      <c r="DD237" s="153"/>
      <c r="DE237" s="153"/>
      <c r="DF237" s="153"/>
      <c r="DG237" s="153"/>
      <c r="DH237" s="153"/>
      <c r="DI237" s="153"/>
      <c r="DJ237" s="153"/>
      <c r="DK237" s="153"/>
      <c r="DL237" s="153"/>
      <c r="DM237" s="153"/>
      <c r="DN237" s="153"/>
      <c r="DO237" s="153"/>
      <c r="DP237" s="153"/>
      <c r="DQ237" s="153"/>
      <c r="DR237" s="153"/>
      <c r="DS237" s="153"/>
      <c r="DT237" s="153"/>
      <c r="DU237" s="153"/>
      <c r="DV237" s="153"/>
      <c r="DW237" s="153"/>
      <c r="DX237" s="153"/>
      <c r="DY237" s="153"/>
      <c r="DZ237" s="153"/>
      <c r="EA237" s="153"/>
      <c r="EB237" s="153"/>
      <c r="EC237" s="153"/>
      <c r="ED237" s="153"/>
      <c r="EE237" s="153"/>
      <c r="EF237" s="153"/>
      <c r="EG237" s="153"/>
      <c r="EH237" s="153"/>
      <c r="EI237" s="153"/>
      <c r="EJ237" s="153"/>
      <c r="EK237" s="153"/>
      <c r="EL237" s="153"/>
      <c r="EM237" s="153"/>
    </row>
    <row r="238" spans="1:143" s="107" customFormat="1" ht="10.5" hidden="1" customHeight="1" outlineLevel="2">
      <c r="A238" s="1548">
        <v>213</v>
      </c>
      <c r="B238" s="1560" t="str">
        <f t="shared" si="5"/>
        <v/>
      </c>
      <c r="C238" s="161" t="str">
        <f>GasTime(GasAnalyser,'Horiba Data'!F231,'Horiba Data'!G231,'Testo, JUM &amp; MRU Data'!A232,'Thermo Data'!B231,HourOffset)</f>
        <v/>
      </c>
      <c r="D238" s="981" t="str">
        <f>IF(D$17=FALSE,"",GasData(GasAnalyser,'Horiba Data'!S231,'Testo, JUM &amp; MRU Data'!D232,'Thermo Data'!E231,'Testo, JUM &amp; MRU Data'!U232,GDF))</f>
        <v/>
      </c>
      <c r="E238" s="981" t="str">
        <f>IF(D238="","",Conc2(D238,D$9,MolVol,D$21,D$20,E$21,E$20))</f>
        <v/>
      </c>
      <c r="F238" s="981" t="str">
        <f>IF(F$17=FALSE,"",GasData(GasAnalyser,'Horiba Data'!AQ231,'Testo, JUM &amp; MRU Data'!E232,'Thermo Data'!F231,'Testo, JUM &amp; MRU Data'!V232,GDF))</f>
        <v/>
      </c>
      <c r="G238" s="981" t="str">
        <f>IF(F238="","",Conc2(F238,F$9,MolVol,F$21,F$20,G$21,G$20))</f>
        <v/>
      </c>
      <c r="H238" s="981" t="str">
        <f>IF(D$17=FALSE,"",IF(F$17=FALSE,"",GasData(GasAnalyser,'Horiba Data'!W231,'Testo, JUM &amp; MRU Data'!F232,'Thermo Data'!G231,'Testo, JUM &amp; MRU Data'!Y232,GDF)))</f>
        <v/>
      </c>
      <c r="I238" s="981" t="str">
        <f>IF(H238="","",Conc2(H238,H$9,MolVol,H$21,H$20,I$21,I$20))</f>
        <v/>
      </c>
      <c r="J238" s="981" t="str">
        <f>IF(J$17=FALSE,"",GasData(GasAnalyser,'Horiba Data'!AM231,'Testo, JUM &amp; MRU Data'!G232,'Thermo Data'!H231,'Testo, JUM &amp; MRU Data'!W232,GDF))</f>
        <v/>
      </c>
      <c r="K238" s="981" t="str">
        <f>IF(J238="","",Conc2(J238,J$9,MolVol,J$21,J$20,K$21,K$20))</f>
        <v/>
      </c>
      <c r="L238" s="981" t="str">
        <f>IF(L$17=FALSE,"",GasData(GasAnalyser,'Horiba Data'!AA231,'Testo, JUM &amp; MRU Data'!H232,'Thermo Data'!I231,'Testo, JUM &amp; MRU Data'!T232,GDF))</f>
        <v/>
      </c>
      <c r="M238" s="981" t="str">
        <f>IF(L238="","",Conc2(L238,L$9,MolVol,L$21,L$20,M$21,M$20))</f>
        <v/>
      </c>
      <c r="N238" s="981" t="str">
        <f>IF(N$17=FALSE,"",GasData(GasAnalyser,'Horiba Data'!AE231,'Testo, JUM &amp; MRU Data'!I232,'Thermo Data'!J231,'Testo, JUM &amp; MRU Data'!S232,GDF))</f>
        <v/>
      </c>
      <c r="O238" s="981" t="str">
        <f>IF(N238="","",Conc2(N238,N$9,MolVol,N$21,N$20,O$21,O$20))</f>
        <v/>
      </c>
      <c r="P238" s="981" t="str">
        <f>IF(P$17=FALSE,"",GasData(GasAnalyser,'Horiba Data'!AI231,'Testo, JUM &amp; MRU Data'!J232,'Thermo Data'!K231,'Testo, JUM &amp; MRU Data'!R232,GDF))</f>
        <v/>
      </c>
      <c r="Q238" s="981" t="str">
        <f>IF(P238="","",Conc2(P238,P$9,MolVol,P$21,P$20,Q$21,Q$20))</f>
        <v/>
      </c>
      <c r="R238" s="981" t="str">
        <f>IF(R$17=FALSE,"",JUMData('Testo, JUM &amp; MRU Data'!M232,$R$7))</f>
        <v/>
      </c>
      <c r="S238" s="982" t="str">
        <f>IF(R238="","",Conc2(R238,R$9,MolVol,R$21,R$20,S$21,S$20)/(1-Bws))</f>
        <v/>
      </c>
      <c r="T238" s="740"/>
      <c r="AR238" s="334"/>
      <c r="AS238" s="334"/>
      <c r="AT238" s="48"/>
      <c r="AU238" s="48"/>
      <c r="AV238" s="153"/>
      <c r="AW238" s="153"/>
      <c r="AX238" s="153"/>
      <c r="AY238" s="153"/>
      <c r="AZ238" s="153"/>
      <c r="BA238" s="153"/>
      <c r="BB238" s="153"/>
      <c r="BC238" s="153"/>
      <c r="BD238" s="153"/>
      <c r="BE238" s="153"/>
      <c r="BF238" s="153"/>
      <c r="BG238" s="153"/>
      <c r="BH238" s="153"/>
      <c r="BI238" s="153"/>
      <c r="BJ238" s="153"/>
      <c r="BK238" s="153"/>
      <c r="BL238" s="153"/>
      <c r="BM238" s="153"/>
      <c r="BN238" s="153"/>
      <c r="BO238" s="153"/>
      <c r="BP238" s="153"/>
      <c r="BQ238" s="153"/>
      <c r="BR238" s="153"/>
      <c r="BS238" s="153"/>
      <c r="BT238" s="153"/>
      <c r="BU238" s="153"/>
      <c r="BV238" s="153"/>
      <c r="BW238" s="153"/>
      <c r="BX238" s="153"/>
      <c r="BY238" s="153"/>
      <c r="BZ238" s="153"/>
      <c r="CA238" s="153"/>
      <c r="CB238" s="153"/>
      <c r="CC238" s="153"/>
      <c r="CD238" s="153"/>
      <c r="CE238" s="153"/>
      <c r="CF238" s="153"/>
      <c r="CG238" s="153"/>
      <c r="CH238" s="153"/>
      <c r="CI238" s="153"/>
      <c r="CJ238" s="153"/>
      <c r="CK238" s="153"/>
      <c r="CL238" s="153"/>
      <c r="CM238" s="153"/>
      <c r="CN238" s="153"/>
      <c r="CO238" s="153"/>
      <c r="CP238" s="153"/>
      <c r="CQ238" s="153"/>
      <c r="CR238" s="153"/>
      <c r="CS238" s="153"/>
      <c r="CT238" s="153"/>
      <c r="CU238" s="153"/>
      <c r="CV238" s="153"/>
      <c r="CW238" s="153"/>
      <c r="CX238" s="153"/>
      <c r="CY238" s="153"/>
      <c r="CZ238" s="153"/>
      <c r="DA238" s="153"/>
      <c r="DB238" s="153"/>
      <c r="DC238" s="153"/>
      <c r="DD238" s="153"/>
      <c r="DE238" s="153"/>
      <c r="DF238" s="153"/>
      <c r="DG238" s="153"/>
      <c r="DH238" s="153"/>
      <c r="DI238" s="153"/>
      <c r="DJ238" s="153"/>
      <c r="DK238" s="153"/>
      <c r="DL238" s="153"/>
      <c r="DM238" s="153"/>
      <c r="DN238" s="153"/>
      <c r="DO238" s="153"/>
      <c r="DP238" s="153"/>
      <c r="DQ238" s="153"/>
      <c r="DR238" s="153"/>
      <c r="DS238" s="153"/>
      <c r="DT238" s="153"/>
      <c r="DU238" s="153"/>
      <c r="DV238" s="153"/>
      <c r="DW238" s="153"/>
      <c r="DX238" s="153"/>
      <c r="DY238" s="153"/>
      <c r="DZ238" s="153"/>
      <c r="EA238" s="153"/>
      <c r="EB238" s="153"/>
      <c r="EC238" s="153"/>
      <c r="ED238" s="153"/>
      <c r="EE238" s="153"/>
      <c r="EF238" s="153"/>
      <c r="EG238" s="153"/>
      <c r="EH238" s="153"/>
      <c r="EI238" s="153"/>
      <c r="EJ238" s="153"/>
      <c r="EK238" s="153"/>
      <c r="EL238" s="153"/>
      <c r="EM238" s="153"/>
    </row>
    <row r="239" spans="1:143" s="107" customFormat="1" ht="10.5" hidden="1" customHeight="1" outlineLevel="2">
      <c r="A239" s="1548">
        <v>214</v>
      </c>
      <c r="B239" s="1560" t="str">
        <f t="shared" si="5"/>
        <v/>
      </c>
      <c r="C239" s="161" t="str">
        <f>GasTime(GasAnalyser,'Horiba Data'!F232,'Horiba Data'!G232,'Testo, JUM &amp; MRU Data'!A233,'Thermo Data'!B232,HourOffset)</f>
        <v/>
      </c>
      <c r="D239" s="981" t="str">
        <f>IF(D$17=FALSE,"",GasData(GasAnalyser,'Horiba Data'!S232,'Testo, JUM &amp; MRU Data'!D233,'Thermo Data'!E232,'Testo, JUM &amp; MRU Data'!U233,GDF))</f>
        <v/>
      </c>
      <c r="E239" s="981" t="str">
        <f>IF(D239="","",Conc2(D239,D$9,MolVol,D$21,D$20,E$21,E$20))</f>
        <v/>
      </c>
      <c r="F239" s="981" t="str">
        <f>IF(F$17=FALSE,"",GasData(GasAnalyser,'Horiba Data'!AQ232,'Testo, JUM &amp; MRU Data'!E233,'Thermo Data'!F232,'Testo, JUM &amp; MRU Data'!V233,GDF))</f>
        <v/>
      </c>
      <c r="G239" s="981" t="str">
        <f>IF(F239="","",Conc2(F239,F$9,MolVol,F$21,F$20,G$21,G$20))</f>
        <v/>
      </c>
      <c r="H239" s="981" t="str">
        <f>IF(D$17=FALSE,"",IF(F$17=FALSE,"",GasData(GasAnalyser,'Horiba Data'!W232,'Testo, JUM &amp; MRU Data'!F233,'Thermo Data'!G232,'Testo, JUM &amp; MRU Data'!Y233,GDF)))</f>
        <v/>
      </c>
      <c r="I239" s="981" t="str">
        <f>IF(H239="","",Conc2(H239,H$9,MolVol,H$21,H$20,I$21,I$20))</f>
        <v/>
      </c>
      <c r="J239" s="981" t="str">
        <f>IF(J$17=FALSE,"",GasData(GasAnalyser,'Horiba Data'!AM232,'Testo, JUM &amp; MRU Data'!G233,'Thermo Data'!H232,'Testo, JUM &amp; MRU Data'!W233,GDF))</f>
        <v/>
      </c>
      <c r="K239" s="981" t="str">
        <f>IF(J239="","",Conc2(J239,J$9,MolVol,J$21,J$20,K$21,K$20))</f>
        <v/>
      </c>
      <c r="L239" s="981" t="str">
        <f>IF(L$17=FALSE,"",GasData(GasAnalyser,'Horiba Data'!AA232,'Testo, JUM &amp; MRU Data'!H233,'Thermo Data'!I232,'Testo, JUM &amp; MRU Data'!T233,GDF))</f>
        <v/>
      </c>
      <c r="M239" s="981" t="str">
        <f>IF(L239="","",Conc2(L239,L$9,MolVol,L$21,L$20,M$21,M$20))</f>
        <v/>
      </c>
      <c r="N239" s="981" t="str">
        <f>IF(N$17=FALSE,"",GasData(GasAnalyser,'Horiba Data'!AE232,'Testo, JUM &amp; MRU Data'!I233,'Thermo Data'!J232,'Testo, JUM &amp; MRU Data'!S233,GDF))</f>
        <v/>
      </c>
      <c r="O239" s="981" t="str">
        <f>IF(N239="","",Conc2(N239,N$9,MolVol,N$21,N$20,O$21,O$20))</f>
        <v/>
      </c>
      <c r="P239" s="981" t="str">
        <f>IF(P$17=FALSE,"",GasData(GasAnalyser,'Horiba Data'!AI232,'Testo, JUM &amp; MRU Data'!J233,'Thermo Data'!K232,'Testo, JUM &amp; MRU Data'!R233,GDF))</f>
        <v/>
      </c>
      <c r="Q239" s="981" t="str">
        <f>IF(P239="","",Conc2(P239,P$9,MolVol,P$21,P$20,Q$21,Q$20))</f>
        <v/>
      </c>
      <c r="R239" s="981" t="str">
        <f>IF(R$17=FALSE,"",JUMData('Testo, JUM &amp; MRU Data'!M233,$R$7))</f>
        <v/>
      </c>
      <c r="S239" s="982" t="str">
        <f>IF(R239="","",Conc2(R239,R$9,MolVol,R$21,R$20,S$21,S$20)/(1-Bws))</f>
        <v/>
      </c>
      <c r="T239" s="740"/>
      <c r="AR239" s="334"/>
      <c r="AS239" s="334"/>
      <c r="AT239" s="48"/>
      <c r="AU239" s="48"/>
      <c r="AV239" s="153"/>
      <c r="AW239" s="153"/>
      <c r="AX239" s="153"/>
      <c r="AY239" s="153"/>
      <c r="AZ239" s="153"/>
      <c r="BA239" s="153"/>
      <c r="BB239" s="153"/>
      <c r="BC239" s="153"/>
      <c r="BD239" s="153"/>
      <c r="BE239" s="153"/>
      <c r="BF239" s="153"/>
      <c r="BG239" s="153"/>
      <c r="BH239" s="153"/>
      <c r="BI239" s="153"/>
      <c r="BJ239" s="153"/>
      <c r="BK239" s="153"/>
      <c r="BL239" s="153"/>
      <c r="BM239" s="153"/>
      <c r="BN239" s="153"/>
      <c r="BO239" s="153"/>
      <c r="BP239" s="153"/>
      <c r="BQ239" s="153"/>
      <c r="BR239" s="153"/>
      <c r="BS239" s="153"/>
      <c r="BT239" s="153"/>
      <c r="BU239" s="153"/>
      <c r="BV239" s="153"/>
      <c r="BW239" s="153"/>
      <c r="BX239" s="153"/>
      <c r="BY239" s="153"/>
      <c r="BZ239" s="153"/>
      <c r="CA239" s="153"/>
      <c r="CB239" s="153"/>
      <c r="CC239" s="153"/>
      <c r="CD239" s="153"/>
      <c r="CE239" s="153"/>
      <c r="CF239" s="153"/>
      <c r="CG239" s="153"/>
      <c r="CH239" s="153"/>
      <c r="CI239" s="153"/>
      <c r="CJ239" s="153"/>
      <c r="CK239" s="153"/>
      <c r="CL239" s="153"/>
      <c r="CM239" s="153"/>
      <c r="CN239" s="153"/>
      <c r="CO239" s="153"/>
      <c r="CP239" s="153"/>
      <c r="CQ239" s="153"/>
      <c r="CR239" s="153"/>
      <c r="CS239" s="153"/>
      <c r="CT239" s="153"/>
      <c r="CU239" s="153"/>
      <c r="CV239" s="153"/>
      <c r="CW239" s="153"/>
      <c r="CX239" s="153"/>
      <c r="CY239" s="153"/>
      <c r="CZ239" s="153"/>
      <c r="DA239" s="153"/>
      <c r="DB239" s="153"/>
      <c r="DC239" s="153"/>
      <c r="DD239" s="153"/>
      <c r="DE239" s="153"/>
      <c r="DF239" s="153"/>
      <c r="DG239" s="153"/>
      <c r="DH239" s="153"/>
      <c r="DI239" s="153"/>
      <c r="DJ239" s="153"/>
      <c r="DK239" s="153"/>
      <c r="DL239" s="153"/>
      <c r="DM239" s="153"/>
      <c r="DN239" s="153"/>
      <c r="DO239" s="153"/>
      <c r="DP239" s="153"/>
      <c r="DQ239" s="153"/>
      <c r="DR239" s="153"/>
      <c r="DS239" s="153"/>
      <c r="DT239" s="153"/>
      <c r="DU239" s="153"/>
      <c r="DV239" s="153"/>
      <c r="DW239" s="153"/>
      <c r="DX239" s="153"/>
      <c r="DY239" s="153"/>
      <c r="DZ239" s="153"/>
      <c r="EA239" s="153"/>
      <c r="EB239" s="153"/>
      <c r="EC239" s="153"/>
      <c r="ED239" s="153"/>
      <c r="EE239" s="153"/>
      <c r="EF239" s="153"/>
      <c r="EG239" s="153"/>
      <c r="EH239" s="153"/>
      <c r="EI239" s="153"/>
      <c r="EJ239" s="153"/>
      <c r="EK239" s="153"/>
      <c r="EL239" s="153"/>
      <c r="EM239" s="153"/>
    </row>
    <row r="240" spans="1:143" s="107" customFormat="1" ht="10.5" hidden="1" customHeight="1" outlineLevel="2">
      <c r="A240" s="1548">
        <v>215</v>
      </c>
      <c r="B240" s="1560" t="str">
        <f t="shared" si="5"/>
        <v/>
      </c>
      <c r="C240" s="161" t="str">
        <f>GasTime(GasAnalyser,'Horiba Data'!F233,'Horiba Data'!G233,'Testo, JUM &amp; MRU Data'!A234,'Thermo Data'!B233,HourOffset)</f>
        <v/>
      </c>
      <c r="D240" s="981" t="str">
        <f>IF(D$17=FALSE,"",GasData(GasAnalyser,'Horiba Data'!S233,'Testo, JUM &amp; MRU Data'!D234,'Thermo Data'!E233,'Testo, JUM &amp; MRU Data'!U234,GDF))</f>
        <v/>
      </c>
      <c r="E240" s="981" t="str">
        <f>IF(D240="","",Conc2(D240,D$9,MolVol,D$21,D$20,E$21,E$20))</f>
        <v/>
      </c>
      <c r="F240" s="981" t="str">
        <f>IF(F$17=FALSE,"",GasData(GasAnalyser,'Horiba Data'!AQ233,'Testo, JUM &amp; MRU Data'!E234,'Thermo Data'!F233,'Testo, JUM &amp; MRU Data'!V234,GDF))</f>
        <v/>
      </c>
      <c r="G240" s="981" t="str">
        <f>IF(F240="","",Conc2(F240,F$9,MolVol,F$21,F$20,G$21,G$20))</f>
        <v/>
      </c>
      <c r="H240" s="981" t="str">
        <f>IF(D$17=FALSE,"",IF(F$17=FALSE,"",GasData(GasAnalyser,'Horiba Data'!W233,'Testo, JUM &amp; MRU Data'!F234,'Thermo Data'!G233,'Testo, JUM &amp; MRU Data'!Y234,GDF)))</f>
        <v/>
      </c>
      <c r="I240" s="981" t="str">
        <f>IF(H240="","",Conc2(H240,H$9,MolVol,H$21,H$20,I$21,I$20))</f>
        <v/>
      </c>
      <c r="J240" s="981" t="str">
        <f>IF(J$17=FALSE,"",GasData(GasAnalyser,'Horiba Data'!AM233,'Testo, JUM &amp; MRU Data'!G234,'Thermo Data'!H233,'Testo, JUM &amp; MRU Data'!W234,GDF))</f>
        <v/>
      </c>
      <c r="K240" s="981" t="str">
        <f>IF(J240="","",Conc2(J240,J$9,MolVol,J$21,J$20,K$21,K$20))</f>
        <v/>
      </c>
      <c r="L240" s="981" t="str">
        <f>IF(L$17=FALSE,"",GasData(GasAnalyser,'Horiba Data'!AA233,'Testo, JUM &amp; MRU Data'!H234,'Thermo Data'!I233,'Testo, JUM &amp; MRU Data'!T234,GDF))</f>
        <v/>
      </c>
      <c r="M240" s="981" t="str">
        <f>IF(L240="","",Conc2(L240,L$9,MolVol,L$21,L$20,M$21,M$20))</f>
        <v/>
      </c>
      <c r="N240" s="981" t="str">
        <f>IF(N$17=FALSE,"",GasData(GasAnalyser,'Horiba Data'!AE233,'Testo, JUM &amp; MRU Data'!I234,'Thermo Data'!J233,'Testo, JUM &amp; MRU Data'!S234,GDF))</f>
        <v/>
      </c>
      <c r="O240" s="981" t="str">
        <f>IF(N240="","",Conc2(N240,N$9,MolVol,N$21,N$20,O$21,O$20))</f>
        <v/>
      </c>
      <c r="P240" s="981" t="str">
        <f>IF(P$17=FALSE,"",GasData(GasAnalyser,'Horiba Data'!AI233,'Testo, JUM &amp; MRU Data'!J234,'Thermo Data'!K233,'Testo, JUM &amp; MRU Data'!R234,GDF))</f>
        <v/>
      </c>
      <c r="Q240" s="981" t="str">
        <f>IF(P240="","",Conc2(P240,P$9,MolVol,P$21,P$20,Q$21,Q$20))</f>
        <v/>
      </c>
      <c r="R240" s="981" t="str">
        <f>IF(R$17=FALSE,"",JUMData('Testo, JUM &amp; MRU Data'!M234,$R$7))</f>
        <v/>
      </c>
      <c r="S240" s="982" t="str">
        <f>IF(R240="","",Conc2(R240,R$9,MolVol,R$21,R$20,S$21,S$20)/(1-Bws))</f>
        <v/>
      </c>
      <c r="T240" s="740"/>
      <c r="AR240" s="334"/>
      <c r="AS240" s="334"/>
      <c r="AT240" s="48"/>
      <c r="AU240" s="48"/>
      <c r="AV240" s="153"/>
      <c r="AW240" s="153"/>
      <c r="AX240" s="153"/>
      <c r="AY240" s="153"/>
      <c r="AZ240" s="153"/>
      <c r="BA240" s="153"/>
      <c r="BB240" s="153"/>
      <c r="BC240" s="153"/>
      <c r="BD240" s="153"/>
      <c r="BE240" s="153"/>
      <c r="BF240" s="153"/>
      <c r="BG240" s="153"/>
      <c r="BH240" s="153"/>
      <c r="BI240" s="153"/>
      <c r="BJ240" s="153"/>
      <c r="BK240" s="153"/>
      <c r="BL240" s="153"/>
      <c r="BM240" s="153"/>
      <c r="BN240" s="153"/>
      <c r="BO240" s="153"/>
      <c r="BP240" s="153"/>
      <c r="BQ240" s="153"/>
      <c r="BR240" s="153"/>
      <c r="BS240" s="153"/>
      <c r="BT240" s="153"/>
      <c r="BU240" s="153"/>
      <c r="BV240" s="153"/>
      <c r="BW240" s="153"/>
      <c r="BX240" s="153"/>
      <c r="BY240" s="153"/>
      <c r="BZ240" s="153"/>
      <c r="CA240" s="153"/>
      <c r="CB240" s="153"/>
      <c r="CC240" s="153"/>
      <c r="CD240" s="153"/>
      <c r="CE240" s="153"/>
      <c r="CF240" s="153"/>
      <c r="CG240" s="153"/>
      <c r="CH240" s="153"/>
      <c r="CI240" s="153"/>
      <c r="CJ240" s="153"/>
      <c r="CK240" s="153"/>
      <c r="CL240" s="153"/>
      <c r="CM240" s="153"/>
      <c r="CN240" s="153"/>
      <c r="CO240" s="153"/>
      <c r="CP240" s="153"/>
      <c r="CQ240" s="153"/>
      <c r="CR240" s="153"/>
      <c r="CS240" s="153"/>
      <c r="CT240" s="153"/>
      <c r="CU240" s="153"/>
      <c r="CV240" s="153"/>
      <c r="CW240" s="153"/>
      <c r="CX240" s="153"/>
      <c r="CY240" s="153"/>
      <c r="CZ240" s="153"/>
      <c r="DA240" s="153"/>
      <c r="DB240" s="153"/>
      <c r="DC240" s="153"/>
      <c r="DD240" s="153"/>
      <c r="DE240" s="153"/>
      <c r="DF240" s="153"/>
      <c r="DG240" s="153"/>
      <c r="DH240" s="153"/>
      <c r="DI240" s="153"/>
      <c r="DJ240" s="153"/>
      <c r="DK240" s="153"/>
      <c r="DL240" s="153"/>
      <c r="DM240" s="153"/>
      <c r="DN240" s="153"/>
      <c r="DO240" s="153"/>
      <c r="DP240" s="153"/>
      <c r="DQ240" s="153"/>
      <c r="DR240" s="153"/>
      <c r="DS240" s="153"/>
      <c r="DT240" s="153"/>
      <c r="DU240" s="153"/>
      <c r="DV240" s="153"/>
      <c r="DW240" s="153"/>
      <c r="DX240" s="153"/>
      <c r="DY240" s="153"/>
      <c r="DZ240" s="153"/>
      <c r="EA240" s="153"/>
      <c r="EB240" s="153"/>
      <c r="EC240" s="153"/>
      <c r="ED240" s="153"/>
      <c r="EE240" s="153"/>
      <c r="EF240" s="153"/>
      <c r="EG240" s="153"/>
      <c r="EH240" s="153"/>
      <c r="EI240" s="153"/>
      <c r="EJ240" s="153"/>
      <c r="EK240" s="153"/>
      <c r="EL240" s="153"/>
      <c r="EM240" s="153"/>
    </row>
    <row r="241" spans="1:143" s="107" customFormat="1" ht="10.5" hidden="1" customHeight="1" outlineLevel="2">
      <c r="A241" s="1548">
        <v>216</v>
      </c>
      <c r="B241" s="1560" t="str">
        <f t="shared" si="5"/>
        <v/>
      </c>
      <c r="C241" s="161" t="str">
        <f>GasTime(GasAnalyser,'Horiba Data'!F234,'Horiba Data'!G234,'Testo, JUM &amp; MRU Data'!A235,'Thermo Data'!B234,HourOffset)</f>
        <v/>
      </c>
      <c r="D241" s="981" t="str">
        <f>IF(D$17=FALSE,"",GasData(GasAnalyser,'Horiba Data'!S234,'Testo, JUM &amp; MRU Data'!D235,'Thermo Data'!E234,'Testo, JUM &amp; MRU Data'!U235,GDF))</f>
        <v/>
      </c>
      <c r="E241" s="981" t="str">
        <f>IF(D241="","",Conc2(D241,D$9,MolVol,D$21,D$20,E$21,E$20))</f>
        <v/>
      </c>
      <c r="F241" s="981" t="str">
        <f>IF(F$17=FALSE,"",GasData(GasAnalyser,'Horiba Data'!AQ234,'Testo, JUM &amp; MRU Data'!E235,'Thermo Data'!F234,'Testo, JUM &amp; MRU Data'!V235,GDF))</f>
        <v/>
      </c>
      <c r="G241" s="981" t="str">
        <f>IF(F241="","",Conc2(F241,F$9,MolVol,F$21,F$20,G$21,G$20))</f>
        <v/>
      </c>
      <c r="H241" s="981" t="str">
        <f>IF(D$17=FALSE,"",IF(F$17=FALSE,"",GasData(GasAnalyser,'Horiba Data'!W234,'Testo, JUM &amp; MRU Data'!F235,'Thermo Data'!G234,'Testo, JUM &amp; MRU Data'!Y235,GDF)))</f>
        <v/>
      </c>
      <c r="I241" s="981" t="str">
        <f>IF(H241="","",Conc2(H241,H$9,MolVol,H$21,H$20,I$21,I$20))</f>
        <v/>
      </c>
      <c r="J241" s="981" t="str">
        <f>IF(J$17=FALSE,"",GasData(GasAnalyser,'Horiba Data'!AM234,'Testo, JUM &amp; MRU Data'!G235,'Thermo Data'!H234,'Testo, JUM &amp; MRU Data'!W235,GDF))</f>
        <v/>
      </c>
      <c r="K241" s="981" t="str">
        <f>IF(J241="","",Conc2(J241,J$9,MolVol,J$21,J$20,K$21,K$20))</f>
        <v/>
      </c>
      <c r="L241" s="981" t="str">
        <f>IF(L$17=FALSE,"",GasData(GasAnalyser,'Horiba Data'!AA234,'Testo, JUM &amp; MRU Data'!H235,'Thermo Data'!I234,'Testo, JUM &amp; MRU Data'!T235,GDF))</f>
        <v/>
      </c>
      <c r="M241" s="981" t="str">
        <f>IF(L241="","",Conc2(L241,L$9,MolVol,L$21,L$20,M$21,M$20))</f>
        <v/>
      </c>
      <c r="N241" s="981" t="str">
        <f>IF(N$17=FALSE,"",GasData(GasAnalyser,'Horiba Data'!AE234,'Testo, JUM &amp; MRU Data'!I235,'Thermo Data'!J234,'Testo, JUM &amp; MRU Data'!S235,GDF))</f>
        <v/>
      </c>
      <c r="O241" s="981" t="str">
        <f>IF(N241="","",Conc2(N241,N$9,MolVol,N$21,N$20,O$21,O$20))</f>
        <v/>
      </c>
      <c r="P241" s="981" t="str">
        <f>IF(P$17=FALSE,"",GasData(GasAnalyser,'Horiba Data'!AI234,'Testo, JUM &amp; MRU Data'!J235,'Thermo Data'!K234,'Testo, JUM &amp; MRU Data'!R235,GDF))</f>
        <v/>
      </c>
      <c r="Q241" s="981" t="str">
        <f>IF(P241="","",Conc2(P241,P$9,MolVol,P$21,P$20,Q$21,Q$20))</f>
        <v/>
      </c>
      <c r="R241" s="981" t="str">
        <f>IF(R$17=FALSE,"",JUMData('Testo, JUM &amp; MRU Data'!M235,$R$7))</f>
        <v/>
      </c>
      <c r="S241" s="982" t="str">
        <f>IF(R241="","",Conc2(R241,R$9,MolVol,R$21,R$20,S$21,S$20)/(1-Bws))</f>
        <v/>
      </c>
      <c r="T241" s="740"/>
      <c r="AR241" s="334"/>
      <c r="AS241" s="334"/>
      <c r="AT241" s="48"/>
      <c r="AU241" s="48"/>
      <c r="AV241" s="153"/>
      <c r="AW241" s="153"/>
      <c r="AX241" s="153"/>
      <c r="AY241" s="153"/>
      <c r="AZ241" s="153"/>
      <c r="BA241" s="153"/>
      <c r="BB241" s="153"/>
      <c r="BC241" s="153"/>
      <c r="BD241" s="153"/>
      <c r="BE241" s="153"/>
      <c r="BF241" s="153"/>
      <c r="BG241" s="153"/>
      <c r="BH241" s="153"/>
      <c r="BI241" s="153"/>
      <c r="BJ241" s="153"/>
      <c r="BK241" s="153"/>
      <c r="BL241" s="153"/>
      <c r="BM241" s="153"/>
      <c r="BN241" s="153"/>
      <c r="BO241" s="153"/>
      <c r="BP241" s="153"/>
      <c r="BQ241" s="153"/>
      <c r="BR241" s="153"/>
      <c r="BS241" s="153"/>
      <c r="BT241" s="153"/>
      <c r="BU241" s="153"/>
      <c r="BV241" s="153"/>
      <c r="BW241" s="153"/>
      <c r="BX241" s="153"/>
      <c r="BY241" s="153"/>
      <c r="BZ241" s="153"/>
      <c r="CA241" s="153"/>
      <c r="CB241" s="153"/>
      <c r="CC241" s="153"/>
      <c r="CD241" s="153"/>
      <c r="CE241" s="153"/>
      <c r="CF241" s="153"/>
      <c r="CG241" s="153"/>
      <c r="CH241" s="153"/>
      <c r="CI241" s="153"/>
      <c r="CJ241" s="153"/>
      <c r="CK241" s="153"/>
      <c r="CL241" s="153"/>
      <c r="CM241" s="153"/>
      <c r="CN241" s="153"/>
      <c r="CO241" s="153"/>
      <c r="CP241" s="153"/>
      <c r="CQ241" s="153"/>
      <c r="CR241" s="153"/>
      <c r="CS241" s="153"/>
      <c r="CT241" s="153"/>
      <c r="CU241" s="153"/>
      <c r="CV241" s="153"/>
      <c r="CW241" s="153"/>
      <c r="CX241" s="153"/>
      <c r="CY241" s="153"/>
      <c r="CZ241" s="153"/>
      <c r="DA241" s="153"/>
      <c r="DB241" s="153"/>
      <c r="DC241" s="153"/>
      <c r="DD241" s="153"/>
      <c r="DE241" s="153"/>
      <c r="DF241" s="153"/>
      <c r="DG241" s="153"/>
      <c r="DH241" s="153"/>
      <c r="DI241" s="153"/>
      <c r="DJ241" s="153"/>
      <c r="DK241" s="153"/>
      <c r="DL241" s="153"/>
      <c r="DM241" s="153"/>
      <c r="DN241" s="153"/>
      <c r="DO241" s="153"/>
      <c r="DP241" s="153"/>
      <c r="DQ241" s="153"/>
      <c r="DR241" s="153"/>
      <c r="DS241" s="153"/>
      <c r="DT241" s="153"/>
      <c r="DU241" s="153"/>
      <c r="DV241" s="153"/>
      <c r="DW241" s="153"/>
      <c r="DX241" s="153"/>
      <c r="DY241" s="153"/>
      <c r="DZ241" s="153"/>
      <c r="EA241" s="153"/>
      <c r="EB241" s="153"/>
      <c r="EC241" s="153"/>
      <c r="ED241" s="153"/>
      <c r="EE241" s="153"/>
      <c r="EF241" s="153"/>
      <c r="EG241" s="153"/>
      <c r="EH241" s="153"/>
      <c r="EI241" s="153"/>
      <c r="EJ241" s="153"/>
      <c r="EK241" s="153"/>
      <c r="EL241" s="153"/>
      <c r="EM241" s="153"/>
    </row>
    <row r="242" spans="1:143" s="107" customFormat="1" ht="10.5" hidden="1" customHeight="1" outlineLevel="2">
      <c r="A242" s="1548">
        <v>217</v>
      </c>
      <c r="B242" s="1560" t="str">
        <f t="shared" si="5"/>
        <v/>
      </c>
      <c r="C242" s="161" t="str">
        <f>GasTime(GasAnalyser,'Horiba Data'!F235,'Horiba Data'!G235,'Testo, JUM &amp; MRU Data'!A236,'Thermo Data'!B235,HourOffset)</f>
        <v/>
      </c>
      <c r="D242" s="981" t="str">
        <f>IF(D$17=FALSE,"",GasData(GasAnalyser,'Horiba Data'!S235,'Testo, JUM &amp; MRU Data'!D236,'Thermo Data'!E235,'Testo, JUM &amp; MRU Data'!U236,GDF))</f>
        <v/>
      </c>
      <c r="E242" s="981" t="str">
        <f>IF(D242="","",Conc2(D242,D$9,MolVol,D$21,D$20,E$21,E$20))</f>
        <v/>
      </c>
      <c r="F242" s="981" t="str">
        <f>IF(F$17=FALSE,"",GasData(GasAnalyser,'Horiba Data'!AQ235,'Testo, JUM &amp; MRU Data'!E236,'Thermo Data'!F235,'Testo, JUM &amp; MRU Data'!V236,GDF))</f>
        <v/>
      </c>
      <c r="G242" s="981" t="str">
        <f>IF(F242="","",Conc2(F242,F$9,MolVol,F$21,F$20,G$21,G$20))</f>
        <v/>
      </c>
      <c r="H242" s="981" t="str">
        <f>IF(D$17=FALSE,"",IF(F$17=FALSE,"",GasData(GasAnalyser,'Horiba Data'!W235,'Testo, JUM &amp; MRU Data'!F236,'Thermo Data'!G235,'Testo, JUM &amp; MRU Data'!Y236,GDF)))</f>
        <v/>
      </c>
      <c r="I242" s="981" t="str">
        <f>IF(H242="","",Conc2(H242,H$9,MolVol,H$21,H$20,I$21,I$20))</f>
        <v/>
      </c>
      <c r="J242" s="981" t="str">
        <f>IF(J$17=FALSE,"",GasData(GasAnalyser,'Horiba Data'!AM235,'Testo, JUM &amp; MRU Data'!G236,'Thermo Data'!H235,'Testo, JUM &amp; MRU Data'!W236,GDF))</f>
        <v/>
      </c>
      <c r="K242" s="981" t="str">
        <f>IF(J242="","",Conc2(J242,J$9,MolVol,J$21,J$20,K$21,K$20))</f>
        <v/>
      </c>
      <c r="L242" s="981" t="str">
        <f>IF(L$17=FALSE,"",GasData(GasAnalyser,'Horiba Data'!AA235,'Testo, JUM &amp; MRU Data'!H236,'Thermo Data'!I235,'Testo, JUM &amp; MRU Data'!T236,GDF))</f>
        <v/>
      </c>
      <c r="M242" s="981" t="str">
        <f>IF(L242="","",Conc2(L242,L$9,MolVol,L$21,L$20,M$21,M$20))</f>
        <v/>
      </c>
      <c r="N242" s="981" t="str">
        <f>IF(N$17=FALSE,"",GasData(GasAnalyser,'Horiba Data'!AE235,'Testo, JUM &amp; MRU Data'!I236,'Thermo Data'!J235,'Testo, JUM &amp; MRU Data'!S236,GDF))</f>
        <v/>
      </c>
      <c r="O242" s="981" t="str">
        <f>IF(N242="","",Conc2(N242,N$9,MolVol,N$21,N$20,O$21,O$20))</f>
        <v/>
      </c>
      <c r="P242" s="981" t="str">
        <f>IF(P$17=FALSE,"",GasData(GasAnalyser,'Horiba Data'!AI235,'Testo, JUM &amp; MRU Data'!J236,'Thermo Data'!K235,'Testo, JUM &amp; MRU Data'!R236,GDF))</f>
        <v/>
      </c>
      <c r="Q242" s="981" t="str">
        <f>IF(P242="","",Conc2(P242,P$9,MolVol,P$21,P$20,Q$21,Q$20))</f>
        <v/>
      </c>
      <c r="R242" s="981" t="str">
        <f>IF(R$17=FALSE,"",JUMData('Testo, JUM &amp; MRU Data'!M236,$R$7))</f>
        <v/>
      </c>
      <c r="S242" s="982" t="str">
        <f>IF(R242="","",Conc2(R242,R$9,MolVol,R$21,R$20,S$21,S$20)/(1-Bws))</f>
        <v/>
      </c>
      <c r="T242" s="740"/>
      <c r="AR242" s="334"/>
      <c r="AS242" s="334"/>
      <c r="AT242" s="48"/>
      <c r="AU242" s="48"/>
      <c r="AV242" s="153"/>
      <c r="AW242" s="153"/>
      <c r="AX242" s="153"/>
      <c r="AY242" s="153"/>
      <c r="AZ242" s="153"/>
      <c r="BA242" s="153"/>
      <c r="BB242" s="153"/>
      <c r="BC242" s="153"/>
      <c r="BD242" s="153"/>
      <c r="BE242" s="153"/>
      <c r="BF242" s="153"/>
      <c r="BG242" s="153"/>
      <c r="BH242" s="153"/>
      <c r="BI242" s="153"/>
      <c r="BJ242" s="153"/>
      <c r="BK242" s="153"/>
      <c r="BL242" s="153"/>
      <c r="BM242" s="153"/>
      <c r="BN242" s="153"/>
      <c r="BO242" s="153"/>
      <c r="BP242" s="153"/>
      <c r="BQ242" s="153"/>
      <c r="BR242" s="153"/>
      <c r="BS242" s="153"/>
      <c r="BT242" s="153"/>
      <c r="BU242" s="153"/>
      <c r="BV242" s="153"/>
      <c r="BW242" s="153"/>
      <c r="BX242" s="153"/>
      <c r="BY242" s="153"/>
      <c r="BZ242" s="153"/>
      <c r="CA242" s="153"/>
      <c r="CB242" s="153"/>
      <c r="CC242" s="153"/>
      <c r="CD242" s="153"/>
      <c r="CE242" s="153"/>
      <c r="CF242" s="153"/>
      <c r="CG242" s="153"/>
      <c r="CH242" s="153"/>
      <c r="CI242" s="153"/>
      <c r="CJ242" s="153"/>
      <c r="CK242" s="153"/>
      <c r="CL242" s="153"/>
      <c r="CM242" s="153"/>
      <c r="CN242" s="153"/>
      <c r="CO242" s="153"/>
      <c r="CP242" s="153"/>
      <c r="CQ242" s="153"/>
      <c r="CR242" s="153"/>
      <c r="CS242" s="153"/>
      <c r="CT242" s="153"/>
      <c r="CU242" s="153"/>
      <c r="CV242" s="153"/>
      <c r="CW242" s="153"/>
      <c r="CX242" s="153"/>
      <c r="CY242" s="153"/>
      <c r="CZ242" s="153"/>
      <c r="DA242" s="153"/>
      <c r="DB242" s="153"/>
      <c r="DC242" s="153"/>
      <c r="DD242" s="153"/>
      <c r="DE242" s="153"/>
      <c r="DF242" s="153"/>
      <c r="DG242" s="153"/>
      <c r="DH242" s="153"/>
      <c r="DI242" s="153"/>
      <c r="DJ242" s="153"/>
      <c r="DK242" s="153"/>
      <c r="DL242" s="153"/>
      <c r="DM242" s="153"/>
      <c r="DN242" s="153"/>
      <c r="DO242" s="153"/>
      <c r="DP242" s="153"/>
      <c r="DQ242" s="153"/>
      <c r="DR242" s="153"/>
      <c r="DS242" s="153"/>
      <c r="DT242" s="153"/>
      <c r="DU242" s="153"/>
      <c r="DV242" s="153"/>
      <c r="DW242" s="153"/>
      <c r="DX242" s="153"/>
      <c r="DY242" s="153"/>
      <c r="DZ242" s="153"/>
      <c r="EA242" s="153"/>
      <c r="EB242" s="153"/>
      <c r="EC242" s="153"/>
      <c r="ED242" s="153"/>
      <c r="EE242" s="153"/>
      <c r="EF242" s="153"/>
      <c r="EG242" s="153"/>
      <c r="EH242" s="153"/>
      <c r="EI242" s="153"/>
      <c r="EJ242" s="153"/>
      <c r="EK242" s="153"/>
      <c r="EL242" s="153"/>
      <c r="EM242" s="153"/>
    </row>
    <row r="243" spans="1:143" s="107" customFormat="1" ht="10.5" hidden="1" customHeight="1" outlineLevel="2">
      <c r="A243" s="1548">
        <v>218</v>
      </c>
      <c r="B243" s="1560" t="str">
        <f t="shared" si="5"/>
        <v/>
      </c>
      <c r="C243" s="161" t="str">
        <f>GasTime(GasAnalyser,'Horiba Data'!F236,'Horiba Data'!G236,'Testo, JUM &amp; MRU Data'!A237,'Thermo Data'!B236,HourOffset)</f>
        <v/>
      </c>
      <c r="D243" s="981" t="str">
        <f>IF(D$17=FALSE,"",GasData(GasAnalyser,'Horiba Data'!S236,'Testo, JUM &amp; MRU Data'!D237,'Thermo Data'!E236,'Testo, JUM &amp; MRU Data'!U237,GDF))</f>
        <v/>
      </c>
      <c r="E243" s="981" t="str">
        <f>IF(D243="","",Conc2(D243,D$9,MolVol,D$21,D$20,E$21,E$20))</f>
        <v/>
      </c>
      <c r="F243" s="981" t="str">
        <f>IF(F$17=FALSE,"",GasData(GasAnalyser,'Horiba Data'!AQ236,'Testo, JUM &amp; MRU Data'!E237,'Thermo Data'!F236,'Testo, JUM &amp; MRU Data'!V237,GDF))</f>
        <v/>
      </c>
      <c r="G243" s="981" t="str">
        <f>IF(F243="","",Conc2(F243,F$9,MolVol,F$21,F$20,G$21,G$20))</f>
        <v/>
      </c>
      <c r="H243" s="981" t="str">
        <f>IF(D$17=FALSE,"",IF(F$17=FALSE,"",GasData(GasAnalyser,'Horiba Data'!W236,'Testo, JUM &amp; MRU Data'!F237,'Thermo Data'!G236,'Testo, JUM &amp; MRU Data'!Y237,GDF)))</f>
        <v/>
      </c>
      <c r="I243" s="981" t="str">
        <f>IF(H243="","",Conc2(H243,H$9,MolVol,H$21,H$20,I$21,I$20))</f>
        <v/>
      </c>
      <c r="J243" s="981" t="str">
        <f>IF(J$17=FALSE,"",GasData(GasAnalyser,'Horiba Data'!AM236,'Testo, JUM &amp; MRU Data'!G237,'Thermo Data'!H236,'Testo, JUM &amp; MRU Data'!W237,GDF))</f>
        <v/>
      </c>
      <c r="K243" s="981" t="str">
        <f>IF(J243="","",Conc2(J243,J$9,MolVol,J$21,J$20,K$21,K$20))</f>
        <v/>
      </c>
      <c r="L243" s="981" t="str">
        <f>IF(L$17=FALSE,"",GasData(GasAnalyser,'Horiba Data'!AA236,'Testo, JUM &amp; MRU Data'!H237,'Thermo Data'!I236,'Testo, JUM &amp; MRU Data'!T237,GDF))</f>
        <v/>
      </c>
      <c r="M243" s="981" t="str">
        <f>IF(L243="","",Conc2(L243,L$9,MolVol,L$21,L$20,M$21,M$20))</f>
        <v/>
      </c>
      <c r="N243" s="981" t="str">
        <f>IF(N$17=FALSE,"",GasData(GasAnalyser,'Horiba Data'!AE236,'Testo, JUM &amp; MRU Data'!I237,'Thermo Data'!J236,'Testo, JUM &amp; MRU Data'!S237,GDF))</f>
        <v/>
      </c>
      <c r="O243" s="981" t="str">
        <f>IF(N243="","",Conc2(N243,N$9,MolVol,N$21,N$20,O$21,O$20))</f>
        <v/>
      </c>
      <c r="P243" s="981" t="str">
        <f>IF(P$17=FALSE,"",GasData(GasAnalyser,'Horiba Data'!AI236,'Testo, JUM &amp; MRU Data'!J237,'Thermo Data'!K236,'Testo, JUM &amp; MRU Data'!R237,GDF))</f>
        <v/>
      </c>
      <c r="Q243" s="981" t="str">
        <f>IF(P243="","",Conc2(P243,P$9,MolVol,P$21,P$20,Q$21,Q$20))</f>
        <v/>
      </c>
      <c r="R243" s="981" t="str">
        <f>IF(R$17=FALSE,"",JUMData('Testo, JUM &amp; MRU Data'!M237,$R$7))</f>
        <v/>
      </c>
      <c r="S243" s="982" t="str">
        <f>IF(R243="","",Conc2(R243,R$9,MolVol,R$21,R$20,S$21,S$20)/(1-Bws))</f>
        <v/>
      </c>
      <c r="T243" s="740"/>
      <c r="AR243" s="334"/>
      <c r="AS243" s="334"/>
      <c r="AT243" s="48"/>
      <c r="AU243" s="48"/>
      <c r="AV243" s="153"/>
      <c r="AW243" s="153"/>
      <c r="AX243" s="153"/>
      <c r="AY243" s="153"/>
      <c r="AZ243" s="153"/>
      <c r="BA243" s="153"/>
      <c r="BB243" s="153"/>
      <c r="BC243" s="153"/>
      <c r="BD243" s="153"/>
      <c r="BE243" s="153"/>
      <c r="BF243" s="153"/>
      <c r="BG243" s="153"/>
      <c r="BH243" s="153"/>
      <c r="BI243" s="153"/>
      <c r="BJ243" s="153"/>
      <c r="BK243" s="153"/>
      <c r="BL243" s="153"/>
      <c r="BM243" s="153"/>
      <c r="BN243" s="153"/>
      <c r="BO243" s="153"/>
      <c r="BP243" s="153"/>
      <c r="BQ243" s="153"/>
      <c r="BR243" s="153"/>
      <c r="BS243" s="153"/>
      <c r="BT243" s="153"/>
      <c r="BU243" s="153"/>
      <c r="BV243" s="153"/>
      <c r="BW243" s="153"/>
      <c r="BX243" s="153"/>
      <c r="BY243" s="153"/>
      <c r="BZ243" s="153"/>
      <c r="CA243" s="153"/>
      <c r="CB243" s="153"/>
      <c r="CC243" s="153"/>
      <c r="CD243" s="153"/>
      <c r="CE243" s="153"/>
      <c r="CF243" s="153"/>
      <c r="CG243" s="153"/>
      <c r="CH243" s="153"/>
      <c r="CI243" s="153"/>
      <c r="CJ243" s="153"/>
      <c r="CK243" s="153"/>
      <c r="CL243" s="153"/>
      <c r="CM243" s="153"/>
      <c r="CN243" s="153"/>
      <c r="CO243" s="153"/>
      <c r="CP243" s="153"/>
      <c r="CQ243" s="153"/>
      <c r="CR243" s="153"/>
      <c r="CS243" s="153"/>
      <c r="CT243" s="153"/>
      <c r="CU243" s="153"/>
      <c r="CV243" s="153"/>
      <c r="CW243" s="153"/>
      <c r="CX243" s="153"/>
      <c r="CY243" s="153"/>
      <c r="CZ243" s="153"/>
      <c r="DA243" s="153"/>
      <c r="DB243" s="153"/>
      <c r="DC243" s="153"/>
      <c r="DD243" s="153"/>
      <c r="DE243" s="153"/>
      <c r="DF243" s="153"/>
      <c r="DG243" s="153"/>
      <c r="DH243" s="153"/>
      <c r="DI243" s="153"/>
      <c r="DJ243" s="153"/>
      <c r="DK243" s="153"/>
      <c r="DL243" s="153"/>
      <c r="DM243" s="153"/>
      <c r="DN243" s="153"/>
      <c r="DO243" s="153"/>
      <c r="DP243" s="153"/>
      <c r="DQ243" s="153"/>
      <c r="DR243" s="153"/>
      <c r="DS243" s="153"/>
      <c r="DT243" s="153"/>
      <c r="DU243" s="153"/>
      <c r="DV243" s="153"/>
      <c r="DW243" s="153"/>
      <c r="DX243" s="153"/>
      <c r="DY243" s="153"/>
      <c r="DZ243" s="153"/>
      <c r="EA243" s="153"/>
      <c r="EB243" s="153"/>
      <c r="EC243" s="153"/>
      <c r="ED243" s="153"/>
      <c r="EE243" s="153"/>
      <c r="EF243" s="153"/>
      <c r="EG243" s="153"/>
      <c r="EH243" s="153"/>
      <c r="EI243" s="153"/>
      <c r="EJ243" s="153"/>
      <c r="EK243" s="153"/>
      <c r="EL243" s="153"/>
      <c r="EM243" s="153"/>
    </row>
    <row r="244" spans="1:143" s="107" customFormat="1" ht="10.5" hidden="1" customHeight="1" outlineLevel="2">
      <c r="A244" s="1548">
        <v>219</v>
      </c>
      <c r="B244" s="1560" t="str">
        <f t="shared" si="5"/>
        <v/>
      </c>
      <c r="C244" s="161" t="str">
        <f>GasTime(GasAnalyser,'Horiba Data'!F237,'Horiba Data'!G237,'Testo, JUM &amp; MRU Data'!A238,'Thermo Data'!B237,HourOffset)</f>
        <v/>
      </c>
      <c r="D244" s="981" t="str">
        <f>IF(D$17=FALSE,"",GasData(GasAnalyser,'Horiba Data'!S237,'Testo, JUM &amp; MRU Data'!D238,'Thermo Data'!E237,'Testo, JUM &amp; MRU Data'!U238,GDF))</f>
        <v/>
      </c>
      <c r="E244" s="981" t="str">
        <f>IF(D244="","",Conc2(D244,D$9,MolVol,D$21,D$20,E$21,E$20))</f>
        <v/>
      </c>
      <c r="F244" s="981" t="str">
        <f>IF(F$17=FALSE,"",GasData(GasAnalyser,'Horiba Data'!AQ237,'Testo, JUM &amp; MRU Data'!E238,'Thermo Data'!F237,'Testo, JUM &amp; MRU Data'!V238,GDF))</f>
        <v/>
      </c>
      <c r="G244" s="981" t="str">
        <f>IF(F244="","",Conc2(F244,F$9,MolVol,F$21,F$20,G$21,G$20))</f>
        <v/>
      </c>
      <c r="H244" s="981" t="str">
        <f>IF(D$17=FALSE,"",IF(F$17=FALSE,"",GasData(GasAnalyser,'Horiba Data'!W237,'Testo, JUM &amp; MRU Data'!F238,'Thermo Data'!G237,'Testo, JUM &amp; MRU Data'!Y238,GDF)))</f>
        <v/>
      </c>
      <c r="I244" s="981" t="str">
        <f>IF(H244="","",Conc2(H244,H$9,MolVol,H$21,H$20,I$21,I$20))</f>
        <v/>
      </c>
      <c r="J244" s="981" t="str">
        <f>IF(J$17=FALSE,"",GasData(GasAnalyser,'Horiba Data'!AM237,'Testo, JUM &amp; MRU Data'!G238,'Thermo Data'!H237,'Testo, JUM &amp; MRU Data'!W238,GDF))</f>
        <v/>
      </c>
      <c r="K244" s="981" t="str">
        <f>IF(J244="","",Conc2(J244,J$9,MolVol,J$21,J$20,K$21,K$20))</f>
        <v/>
      </c>
      <c r="L244" s="981" t="str">
        <f>IF(L$17=FALSE,"",GasData(GasAnalyser,'Horiba Data'!AA237,'Testo, JUM &amp; MRU Data'!H238,'Thermo Data'!I237,'Testo, JUM &amp; MRU Data'!T238,GDF))</f>
        <v/>
      </c>
      <c r="M244" s="981" t="str">
        <f>IF(L244="","",Conc2(L244,L$9,MolVol,L$21,L$20,M$21,M$20))</f>
        <v/>
      </c>
      <c r="N244" s="981" t="str">
        <f>IF(N$17=FALSE,"",GasData(GasAnalyser,'Horiba Data'!AE237,'Testo, JUM &amp; MRU Data'!I238,'Thermo Data'!J237,'Testo, JUM &amp; MRU Data'!S238,GDF))</f>
        <v/>
      </c>
      <c r="O244" s="981" t="str">
        <f>IF(N244="","",Conc2(N244,N$9,MolVol,N$21,N$20,O$21,O$20))</f>
        <v/>
      </c>
      <c r="P244" s="981" t="str">
        <f>IF(P$17=FALSE,"",GasData(GasAnalyser,'Horiba Data'!AI237,'Testo, JUM &amp; MRU Data'!J238,'Thermo Data'!K237,'Testo, JUM &amp; MRU Data'!R238,GDF))</f>
        <v/>
      </c>
      <c r="Q244" s="981" t="str">
        <f>IF(P244="","",Conc2(P244,P$9,MolVol,P$21,P$20,Q$21,Q$20))</f>
        <v/>
      </c>
      <c r="R244" s="981" t="str">
        <f>IF(R$17=FALSE,"",JUMData('Testo, JUM &amp; MRU Data'!M238,$R$7))</f>
        <v/>
      </c>
      <c r="S244" s="982" t="str">
        <f>IF(R244="","",Conc2(R244,R$9,MolVol,R$21,R$20,S$21,S$20)/(1-Bws))</f>
        <v/>
      </c>
      <c r="T244" s="740"/>
      <c r="AR244" s="334"/>
      <c r="AS244" s="334"/>
      <c r="AT244" s="48"/>
      <c r="AU244" s="48"/>
      <c r="AV244" s="153"/>
      <c r="AW244" s="153"/>
      <c r="AX244" s="153"/>
      <c r="AY244" s="153"/>
      <c r="AZ244" s="153"/>
      <c r="BA244" s="153"/>
      <c r="BB244" s="153"/>
      <c r="BC244" s="153"/>
      <c r="BD244" s="153"/>
      <c r="BE244" s="153"/>
      <c r="BF244" s="153"/>
      <c r="BG244" s="153"/>
      <c r="BH244" s="153"/>
      <c r="BI244" s="153"/>
      <c r="BJ244" s="153"/>
      <c r="BK244" s="153"/>
      <c r="BL244" s="153"/>
      <c r="BM244" s="153"/>
      <c r="BN244" s="153"/>
      <c r="BO244" s="153"/>
      <c r="BP244" s="153"/>
      <c r="BQ244" s="153"/>
      <c r="BR244" s="153"/>
      <c r="BS244" s="153"/>
      <c r="BT244" s="153"/>
      <c r="BU244" s="153"/>
      <c r="BV244" s="153"/>
      <c r="BW244" s="153"/>
      <c r="BX244" s="153"/>
      <c r="BY244" s="153"/>
      <c r="BZ244" s="153"/>
      <c r="CA244" s="153"/>
      <c r="CB244" s="153"/>
      <c r="CC244" s="153"/>
      <c r="CD244" s="153"/>
      <c r="CE244" s="153"/>
      <c r="CF244" s="153"/>
      <c r="CG244" s="153"/>
      <c r="CH244" s="153"/>
      <c r="CI244" s="153"/>
      <c r="CJ244" s="153"/>
      <c r="CK244" s="153"/>
      <c r="CL244" s="153"/>
      <c r="CM244" s="153"/>
      <c r="CN244" s="153"/>
      <c r="CO244" s="153"/>
      <c r="CP244" s="153"/>
      <c r="CQ244" s="153"/>
      <c r="CR244" s="153"/>
      <c r="CS244" s="153"/>
      <c r="CT244" s="153"/>
      <c r="CU244" s="153"/>
      <c r="CV244" s="153"/>
      <c r="CW244" s="153"/>
      <c r="CX244" s="153"/>
      <c r="CY244" s="153"/>
      <c r="CZ244" s="153"/>
      <c r="DA244" s="153"/>
      <c r="DB244" s="153"/>
      <c r="DC244" s="153"/>
      <c r="DD244" s="153"/>
      <c r="DE244" s="153"/>
      <c r="DF244" s="153"/>
      <c r="DG244" s="153"/>
      <c r="DH244" s="153"/>
      <c r="DI244" s="153"/>
      <c r="DJ244" s="153"/>
      <c r="DK244" s="153"/>
      <c r="DL244" s="153"/>
      <c r="DM244" s="153"/>
      <c r="DN244" s="153"/>
      <c r="DO244" s="153"/>
      <c r="DP244" s="153"/>
      <c r="DQ244" s="153"/>
      <c r="DR244" s="153"/>
      <c r="DS244" s="153"/>
      <c r="DT244" s="153"/>
      <c r="DU244" s="153"/>
      <c r="DV244" s="153"/>
      <c r="DW244" s="153"/>
      <c r="DX244" s="153"/>
      <c r="DY244" s="153"/>
      <c r="DZ244" s="153"/>
      <c r="EA244" s="153"/>
      <c r="EB244" s="153"/>
      <c r="EC244" s="153"/>
      <c r="ED244" s="153"/>
      <c r="EE244" s="153"/>
      <c r="EF244" s="153"/>
      <c r="EG244" s="153"/>
      <c r="EH244" s="153"/>
      <c r="EI244" s="153"/>
      <c r="EJ244" s="153"/>
      <c r="EK244" s="153"/>
      <c r="EL244" s="153"/>
      <c r="EM244" s="153"/>
    </row>
    <row r="245" spans="1:143" s="107" customFormat="1" ht="10.5" hidden="1" customHeight="1" outlineLevel="2">
      <c r="A245" s="1548">
        <v>220</v>
      </c>
      <c r="B245" s="1560" t="str">
        <f t="shared" si="5"/>
        <v/>
      </c>
      <c r="C245" s="161" t="str">
        <f>GasTime(GasAnalyser,'Horiba Data'!F238,'Horiba Data'!G238,'Testo, JUM &amp; MRU Data'!A239,'Thermo Data'!B238,HourOffset)</f>
        <v/>
      </c>
      <c r="D245" s="981" t="str">
        <f>IF(D$17=FALSE,"",GasData(GasAnalyser,'Horiba Data'!S238,'Testo, JUM &amp; MRU Data'!D239,'Thermo Data'!E238,'Testo, JUM &amp; MRU Data'!U239,GDF))</f>
        <v/>
      </c>
      <c r="E245" s="981" t="str">
        <f>IF(D245="","",Conc2(D245,D$9,MolVol,D$21,D$20,E$21,E$20))</f>
        <v/>
      </c>
      <c r="F245" s="981" t="str">
        <f>IF(F$17=FALSE,"",GasData(GasAnalyser,'Horiba Data'!AQ238,'Testo, JUM &amp; MRU Data'!E239,'Thermo Data'!F238,'Testo, JUM &amp; MRU Data'!V239,GDF))</f>
        <v/>
      </c>
      <c r="G245" s="981" t="str">
        <f>IF(F245="","",Conc2(F245,F$9,MolVol,F$21,F$20,G$21,G$20))</f>
        <v/>
      </c>
      <c r="H245" s="981" t="str">
        <f>IF(D$17=FALSE,"",IF(F$17=FALSE,"",GasData(GasAnalyser,'Horiba Data'!W238,'Testo, JUM &amp; MRU Data'!F239,'Thermo Data'!G238,'Testo, JUM &amp; MRU Data'!Y239,GDF)))</f>
        <v/>
      </c>
      <c r="I245" s="981" t="str">
        <f>IF(H245="","",Conc2(H245,H$9,MolVol,H$21,H$20,I$21,I$20))</f>
        <v/>
      </c>
      <c r="J245" s="981" t="str">
        <f>IF(J$17=FALSE,"",GasData(GasAnalyser,'Horiba Data'!AM238,'Testo, JUM &amp; MRU Data'!G239,'Thermo Data'!H238,'Testo, JUM &amp; MRU Data'!W239,GDF))</f>
        <v/>
      </c>
      <c r="K245" s="981" t="str">
        <f>IF(J245="","",Conc2(J245,J$9,MolVol,J$21,J$20,K$21,K$20))</f>
        <v/>
      </c>
      <c r="L245" s="981" t="str">
        <f>IF(L$17=FALSE,"",GasData(GasAnalyser,'Horiba Data'!AA238,'Testo, JUM &amp; MRU Data'!H239,'Thermo Data'!I238,'Testo, JUM &amp; MRU Data'!T239,GDF))</f>
        <v/>
      </c>
      <c r="M245" s="981" t="str">
        <f>IF(L245="","",Conc2(L245,L$9,MolVol,L$21,L$20,M$21,M$20))</f>
        <v/>
      </c>
      <c r="N245" s="981" t="str">
        <f>IF(N$17=FALSE,"",GasData(GasAnalyser,'Horiba Data'!AE238,'Testo, JUM &amp; MRU Data'!I239,'Thermo Data'!J238,'Testo, JUM &amp; MRU Data'!S239,GDF))</f>
        <v/>
      </c>
      <c r="O245" s="981" t="str">
        <f>IF(N245="","",Conc2(N245,N$9,MolVol,N$21,N$20,O$21,O$20))</f>
        <v/>
      </c>
      <c r="P245" s="981" t="str">
        <f>IF(P$17=FALSE,"",GasData(GasAnalyser,'Horiba Data'!AI238,'Testo, JUM &amp; MRU Data'!J239,'Thermo Data'!K238,'Testo, JUM &amp; MRU Data'!R239,GDF))</f>
        <v/>
      </c>
      <c r="Q245" s="981" t="str">
        <f>IF(P245="","",Conc2(P245,P$9,MolVol,P$21,P$20,Q$21,Q$20))</f>
        <v/>
      </c>
      <c r="R245" s="981" t="str">
        <f>IF(R$17=FALSE,"",JUMData('Testo, JUM &amp; MRU Data'!M239,$R$7))</f>
        <v/>
      </c>
      <c r="S245" s="982" t="str">
        <f>IF(R245="","",Conc2(R245,R$9,MolVol,R$21,R$20,S$21,S$20)/(1-Bws))</f>
        <v/>
      </c>
      <c r="T245" s="740"/>
      <c r="AR245" s="334"/>
      <c r="AS245" s="334"/>
      <c r="AT245" s="48"/>
      <c r="AU245" s="48"/>
      <c r="AV245" s="153"/>
      <c r="AW245" s="153"/>
      <c r="AX245" s="153"/>
      <c r="AY245" s="153"/>
      <c r="AZ245" s="153"/>
      <c r="BA245" s="153"/>
      <c r="BB245" s="153"/>
      <c r="BC245" s="153"/>
      <c r="BD245" s="153"/>
      <c r="BE245" s="153"/>
      <c r="BF245" s="153"/>
      <c r="BG245" s="153"/>
      <c r="BH245" s="153"/>
      <c r="BI245" s="153"/>
      <c r="BJ245" s="153"/>
      <c r="BK245" s="153"/>
      <c r="BL245" s="153"/>
      <c r="BM245" s="153"/>
      <c r="BN245" s="153"/>
      <c r="BO245" s="153"/>
      <c r="BP245" s="153"/>
      <c r="BQ245" s="153"/>
      <c r="BR245" s="153"/>
      <c r="BS245" s="153"/>
      <c r="BT245" s="153"/>
      <c r="BU245" s="153"/>
      <c r="BV245" s="153"/>
      <c r="BW245" s="153"/>
      <c r="BX245" s="153"/>
      <c r="BY245" s="153"/>
      <c r="BZ245" s="153"/>
      <c r="CA245" s="153"/>
      <c r="CB245" s="153"/>
      <c r="CC245" s="153"/>
      <c r="CD245" s="153"/>
      <c r="CE245" s="153"/>
      <c r="CF245" s="153"/>
      <c r="CG245" s="153"/>
      <c r="CH245" s="153"/>
      <c r="CI245" s="153"/>
      <c r="CJ245" s="153"/>
      <c r="CK245" s="153"/>
      <c r="CL245" s="153"/>
      <c r="CM245" s="153"/>
      <c r="CN245" s="153"/>
      <c r="CO245" s="153"/>
      <c r="CP245" s="153"/>
      <c r="CQ245" s="153"/>
      <c r="CR245" s="153"/>
      <c r="CS245" s="153"/>
      <c r="CT245" s="153"/>
      <c r="CU245" s="153"/>
      <c r="CV245" s="153"/>
      <c r="CW245" s="153"/>
      <c r="CX245" s="153"/>
      <c r="CY245" s="153"/>
      <c r="CZ245" s="153"/>
      <c r="DA245" s="153"/>
      <c r="DB245" s="153"/>
      <c r="DC245" s="153"/>
      <c r="DD245" s="153"/>
      <c r="DE245" s="153"/>
      <c r="DF245" s="153"/>
      <c r="DG245" s="153"/>
      <c r="DH245" s="153"/>
      <c r="DI245" s="153"/>
      <c r="DJ245" s="153"/>
      <c r="DK245" s="153"/>
      <c r="DL245" s="153"/>
      <c r="DM245" s="153"/>
      <c r="DN245" s="153"/>
      <c r="DO245" s="153"/>
      <c r="DP245" s="153"/>
      <c r="DQ245" s="153"/>
      <c r="DR245" s="153"/>
      <c r="DS245" s="153"/>
      <c r="DT245" s="153"/>
      <c r="DU245" s="153"/>
      <c r="DV245" s="153"/>
      <c r="DW245" s="153"/>
      <c r="DX245" s="153"/>
      <c r="DY245" s="153"/>
      <c r="DZ245" s="153"/>
      <c r="EA245" s="153"/>
      <c r="EB245" s="153"/>
      <c r="EC245" s="153"/>
      <c r="ED245" s="153"/>
      <c r="EE245" s="153"/>
      <c r="EF245" s="153"/>
      <c r="EG245" s="153"/>
      <c r="EH245" s="153"/>
      <c r="EI245" s="153"/>
      <c r="EJ245" s="153"/>
      <c r="EK245" s="153"/>
      <c r="EL245" s="153"/>
      <c r="EM245" s="153"/>
    </row>
    <row r="246" spans="1:143" s="107" customFormat="1" ht="10.5" hidden="1" customHeight="1" outlineLevel="2">
      <c r="A246" s="1548">
        <v>221</v>
      </c>
      <c r="B246" s="1560" t="str">
        <f t="shared" si="5"/>
        <v/>
      </c>
      <c r="C246" s="161" t="str">
        <f>GasTime(GasAnalyser,'Horiba Data'!F239,'Horiba Data'!G239,'Testo, JUM &amp; MRU Data'!A240,'Thermo Data'!B239,HourOffset)</f>
        <v/>
      </c>
      <c r="D246" s="981" t="str">
        <f>IF(D$17=FALSE,"",GasData(GasAnalyser,'Horiba Data'!S239,'Testo, JUM &amp; MRU Data'!D240,'Thermo Data'!E239,'Testo, JUM &amp; MRU Data'!U240,GDF))</f>
        <v/>
      </c>
      <c r="E246" s="981" t="str">
        <f>IF(D246="","",Conc2(D246,D$9,MolVol,D$21,D$20,E$21,E$20))</f>
        <v/>
      </c>
      <c r="F246" s="981" t="str">
        <f>IF(F$17=FALSE,"",GasData(GasAnalyser,'Horiba Data'!AQ239,'Testo, JUM &amp; MRU Data'!E240,'Thermo Data'!F239,'Testo, JUM &amp; MRU Data'!V240,GDF))</f>
        <v/>
      </c>
      <c r="G246" s="981" t="str">
        <f>IF(F246="","",Conc2(F246,F$9,MolVol,F$21,F$20,G$21,G$20))</f>
        <v/>
      </c>
      <c r="H246" s="981" t="str">
        <f>IF(D$17=FALSE,"",IF(F$17=FALSE,"",GasData(GasAnalyser,'Horiba Data'!W239,'Testo, JUM &amp; MRU Data'!F240,'Thermo Data'!G239,'Testo, JUM &amp; MRU Data'!Y240,GDF)))</f>
        <v/>
      </c>
      <c r="I246" s="981" t="str">
        <f>IF(H246="","",Conc2(H246,H$9,MolVol,H$21,H$20,I$21,I$20))</f>
        <v/>
      </c>
      <c r="J246" s="981" t="str">
        <f>IF(J$17=FALSE,"",GasData(GasAnalyser,'Horiba Data'!AM239,'Testo, JUM &amp; MRU Data'!G240,'Thermo Data'!H239,'Testo, JUM &amp; MRU Data'!W240,GDF))</f>
        <v/>
      </c>
      <c r="K246" s="981" t="str">
        <f>IF(J246="","",Conc2(J246,J$9,MolVol,J$21,J$20,K$21,K$20))</f>
        <v/>
      </c>
      <c r="L246" s="981" t="str">
        <f>IF(L$17=FALSE,"",GasData(GasAnalyser,'Horiba Data'!AA239,'Testo, JUM &amp; MRU Data'!H240,'Thermo Data'!I239,'Testo, JUM &amp; MRU Data'!T240,GDF))</f>
        <v/>
      </c>
      <c r="M246" s="981" t="str">
        <f>IF(L246="","",Conc2(L246,L$9,MolVol,L$21,L$20,M$21,M$20))</f>
        <v/>
      </c>
      <c r="N246" s="981" t="str">
        <f>IF(N$17=FALSE,"",GasData(GasAnalyser,'Horiba Data'!AE239,'Testo, JUM &amp; MRU Data'!I240,'Thermo Data'!J239,'Testo, JUM &amp; MRU Data'!S240,GDF))</f>
        <v/>
      </c>
      <c r="O246" s="981" t="str">
        <f>IF(N246="","",Conc2(N246,N$9,MolVol,N$21,N$20,O$21,O$20))</f>
        <v/>
      </c>
      <c r="P246" s="981" t="str">
        <f>IF(P$17=FALSE,"",GasData(GasAnalyser,'Horiba Data'!AI239,'Testo, JUM &amp; MRU Data'!J240,'Thermo Data'!K239,'Testo, JUM &amp; MRU Data'!R240,GDF))</f>
        <v/>
      </c>
      <c r="Q246" s="981" t="str">
        <f>IF(P246="","",Conc2(P246,P$9,MolVol,P$21,P$20,Q$21,Q$20))</f>
        <v/>
      </c>
      <c r="R246" s="981" t="str">
        <f>IF(R$17=FALSE,"",JUMData('Testo, JUM &amp; MRU Data'!M240,$R$7))</f>
        <v/>
      </c>
      <c r="S246" s="982" t="str">
        <f>IF(R246="","",Conc2(R246,R$9,MolVol,R$21,R$20,S$21,S$20)/(1-Bws))</f>
        <v/>
      </c>
      <c r="T246" s="740"/>
      <c r="AR246" s="334"/>
      <c r="AS246" s="334"/>
      <c r="AT246" s="48"/>
      <c r="AU246" s="48"/>
      <c r="AV246" s="153"/>
      <c r="AW246" s="153"/>
      <c r="AX246" s="153"/>
      <c r="AY246" s="153"/>
      <c r="AZ246" s="153"/>
      <c r="BA246" s="153"/>
      <c r="BB246" s="153"/>
      <c r="BC246" s="153"/>
      <c r="BD246" s="153"/>
      <c r="BE246" s="153"/>
      <c r="BF246" s="153"/>
      <c r="BG246" s="153"/>
      <c r="BH246" s="153"/>
      <c r="BI246" s="153"/>
      <c r="BJ246" s="153"/>
      <c r="BK246" s="153"/>
      <c r="BL246" s="153"/>
      <c r="BM246" s="153"/>
      <c r="BN246" s="153"/>
      <c r="BO246" s="153"/>
      <c r="BP246" s="153"/>
      <c r="BQ246" s="153"/>
      <c r="BR246" s="153"/>
      <c r="BS246" s="153"/>
      <c r="BT246" s="153"/>
      <c r="BU246" s="153"/>
      <c r="BV246" s="153"/>
      <c r="BW246" s="153"/>
      <c r="BX246" s="153"/>
      <c r="BY246" s="153"/>
      <c r="BZ246" s="153"/>
      <c r="CA246" s="153"/>
      <c r="CB246" s="153"/>
      <c r="CC246" s="153"/>
      <c r="CD246" s="153"/>
      <c r="CE246" s="153"/>
      <c r="CF246" s="153"/>
      <c r="CG246" s="153"/>
      <c r="CH246" s="153"/>
      <c r="CI246" s="153"/>
      <c r="CJ246" s="153"/>
      <c r="CK246" s="153"/>
      <c r="CL246" s="153"/>
      <c r="CM246" s="153"/>
      <c r="CN246" s="153"/>
      <c r="CO246" s="153"/>
      <c r="CP246" s="153"/>
      <c r="CQ246" s="153"/>
      <c r="CR246" s="153"/>
      <c r="CS246" s="153"/>
      <c r="CT246" s="153"/>
      <c r="CU246" s="153"/>
      <c r="CV246" s="153"/>
      <c r="CW246" s="153"/>
      <c r="CX246" s="153"/>
      <c r="CY246" s="153"/>
      <c r="CZ246" s="153"/>
      <c r="DA246" s="153"/>
      <c r="DB246" s="153"/>
      <c r="DC246" s="153"/>
      <c r="DD246" s="153"/>
      <c r="DE246" s="153"/>
      <c r="DF246" s="153"/>
      <c r="DG246" s="153"/>
      <c r="DH246" s="153"/>
      <c r="DI246" s="153"/>
      <c r="DJ246" s="153"/>
      <c r="DK246" s="153"/>
      <c r="DL246" s="153"/>
      <c r="DM246" s="153"/>
      <c r="DN246" s="153"/>
      <c r="DO246" s="153"/>
      <c r="DP246" s="153"/>
      <c r="DQ246" s="153"/>
      <c r="DR246" s="153"/>
      <c r="DS246" s="153"/>
      <c r="DT246" s="153"/>
      <c r="DU246" s="153"/>
      <c r="DV246" s="153"/>
      <c r="DW246" s="153"/>
      <c r="DX246" s="153"/>
      <c r="DY246" s="153"/>
      <c r="DZ246" s="153"/>
      <c r="EA246" s="153"/>
      <c r="EB246" s="153"/>
      <c r="EC246" s="153"/>
      <c r="ED246" s="153"/>
      <c r="EE246" s="153"/>
      <c r="EF246" s="153"/>
      <c r="EG246" s="153"/>
      <c r="EH246" s="153"/>
      <c r="EI246" s="153"/>
      <c r="EJ246" s="153"/>
      <c r="EK246" s="153"/>
      <c r="EL246" s="153"/>
      <c r="EM246" s="153"/>
    </row>
    <row r="247" spans="1:143" s="107" customFormat="1" ht="10.5" hidden="1" customHeight="1" outlineLevel="2">
      <c r="A247" s="1548">
        <v>222</v>
      </c>
      <c r="B247" s="1560" t="str">
        <f t="shared" si="5"/>
        <v/>
      </c>
      <c r="C247" s="161" t="str">
        <f>GasTime(GasAnalyser,'Horiba Data'!F240,'Horiba Data'!G240,'Testo, JUM &amp; MRU Data'!A241,'Thermo Data'!B240,HourOffset)</f>
        <v/>
      </c>
      <c r="D247" s="981" t="str">
        <f>IF(D$17=FALSE,"",GasData(GasAnalyser,'Horiba Data'!S240,'Testo, JUM &amp; MRU Data'!D241,'Thermo Data'!E240,'Testo, JUM &amp; MRU Data'!U241,GDF))</f>
        <v/>
      </c>
      <c r="E247" s="981" t="str">
        <f>IF(D247="","",Conc2(D247,D$9,MolVol,D$21,D$20,E$21,E$20))</f>
        <v/>
      </c>
      <c r="F247" s="981" t="str">
        <f>IF(F$17=FALSE,"",GasData(GasAnalyser,'Horiba Data'!AQ240,'Testo, JUM &amp; MRU Data'!E241,'Thermo Data'!F240,'Testo, JUM &amp; MRU Data'!V241,GDF))</f>
        <v/>
      </c>
      <c r="G247" s="981" t="str">
        <f>IF(F247="","",Conc2(F247,F$9,MolVol,F$21,F$20,G$21,G$20))</f>
        <v/>
      </c>
      <c r="H247" s="981" t="str">
        <f>IF(D$17=FALSE,"",IF(F$17=FALSE,"",GasData(GasAnalyser,'Horiba Data'!W240,'Testo, JUM &amp; MRU Data'!F241,'Thermo Data'!G240,'Testo, JUM &amp; MRU Data'!Y241,GDF)))</f>
        <v/>
      </c>
      <c r="I247" s="981" t="str">
        <f>IF(H247="","",Conc2(H247,H$9,MolVol,H$21,H$20,I$21,I$20))</f>
        <v/>
      </c>
      <c r="J247" s="981" t="str">
        <f>IF(J$17=FALSE,"",GasData(GasAnalyser,'Horiba Data'!AM240,'Testo, JUM &amp; MRU Data'!G241,'Thermo Data'!H240,'Testo, JUM &amp; MRU Data'!W241,GDF))</f>
        <v/>
      </c>
      <c r="K247" s="981" t="str">
        <f>IF(J247="","",Conc2(J247,J$9,MolVol,J$21,J$20,K$21,K$20))</f>
        <v/>
      </c>
      <c r="L247" s="981" t="str">
        <f>IF(L$17=FALSE,"",GasData(GasAnalyser,'Horiba Data'!AA240,'Testo, JUM &amp; MRU Data'!H241,'Thermo Data'!I240,'Testo, JUM &amp; MRU Data'!T241,GDF))</f>
        <v/>
      </c>
      <c r="M247" s="981" t="str">
        <f>IF(L247="","",Conc2(L247,L$9,MolVol,L$21,L$20,M$21,M$20))</f>
        <v/>
      </c>
      <c r="N247" s="981" t="str">
        <f>IF(N$17=FALSE,"",GasData(GasAnalyser,'Horiba Data'!AE240,'Testo, JUM &amp; MRU Data'!I241,'Thermo Data'!J240,'Testo, JUM &amp; MRU Data'!S241,GDF))</f>
        <v/>
      </c>
      <c r="O247" s="981" t="str">
        <f>IF(N247="","",Conc2(N247,N$9,MolVol,N$21,N$20,O$21,O$20))</f>
        <v/>
      </c>
      <c r="P247" s="981" t="str">
        <f>IF(P$17=FALSE,"",GasData(GasAnalyser,'Horiba Data'!AI240,'Testo, JUM &amp; MRU Data'!J241,'Thermo Data'!K240,'Testo, JUM &amp; MRU Data'!R241,GDF))</f>
        <v/>
      </c>
      <c r="Q247" s="981" t="str">
        <f>IF(P247="","",Conc2(P247,P$9,MolVol,P$21,P$20,Q$21,Q$20))</f>
        <v/>
      </c>
      <c r="R247" s="981" t="str">
        <f>IF(R$17=FALSE,"",JUMData('Testo, JUM &amp; MRU Data'!M241,$R$7))</f>
        <v/>
      </c>
      <c r="S247" s="982" t="str">
        <f>IF(R247="","",Conc2(R247,R$9,MolVol,R$21,R$20,S$21,S$20)/(1-Bws))</f>
        <v/>
      </c>
      <c r="T247" s="740"/>
      <c r="AR247" s="334"/>
      <c r="AS247" s="334"/>
      <c r="AT247" s="48"/>
      <c r="AU247" s="48"/>
      <c r="AV247" s="153"/>
      <c r="AW247" s="153"/>
      <c r="AX247" s="153"/>
      <c r="AY247" s="153"/>
      <c r="AZ247" s="153"/>
      <c r="BA247" s="153"/>
      <c r="BB247" s="153"/>
      <c r="BC247" s="153"/>
      <c r="BD247" s="153"/>
      <c r="BE247" s="153"/>
      <c r="BF247" s="153"/>
      <c r="BG247" s="153"/>
      <c r="BH247" s="153"/>
      <c r="BI247" s="153"/>
      <c r="BJ247" s="153"/>
      <c r="BK247" s="153"/>
      <c r="BL247" s="153"/>
      <c r="BM247" s="153"/>
      <c r="BN247" s="153"/>
      <c r="BO247" s="153"/>
      <c r="BP247" s="153"/>
      <c r="BQ247" s="153"/>
      <c r="BR247" s="153"/>
      <c r="BS247" s="153"/>
      <c r="BT247" s="153"/>
      <c r="BU247" s="153"/>
      <c r="BV247" s="153"/>
      <c r="BW247" s="153"/>
      <c r="BX247" s="153"/>
      <c r="BY247" s="153"/>
      <c r="BZ247" s="153"/>
      <c r="CA247" s="153"/>
      <c r="CB247" s="153"/>
      <c r="CC247" s="153"/>
      <c r="CD247" s="153"/>
      <c r="CE247" s="153"/>
      <c r="CF247" s="153"/>
      <c r="CG247" s="153"/>
      <c r="CH247" s="153"/>
      <c r="CI247" s="153"/>
      <c r="CJ247" s="153"/>
      <c r="CK247" s="153"/>
      <c r="CL247" s="153"/>
      <c r="CM247" s="153"/>
      <c r="CN247" s="153"/>
      <c r="CO247" s="153"/>
      <c r="CP247" s="153"/>
      <c r="CQ247" s="153"/>
      <c r="CR247" s="153"/>
      <c r="CS247" s="153"/>
      <c r="CT247" s="153"/>
      <c r="CU247" s="153"/>
      <c r="CV247" s="153"/>
      <c r="CW247" s="153"/>
      <c r="CX247" s="153"/>
      <c r="CY247" s="153"/>
      <c r="CZ247" s="153"/>
      <c r="DA247" s="153"/>
      <c r="DB247" s="153"/>
      <c r="DC247" s="153"/>
      <c r="DD247" s="153"/>
      <c r="DE247" s="153"/>
      <c r="DF247" s="153"/>
      <c r="DG247" s="153"/>
      <c r="DH247" s="153"/>
      <c r="DI247" s="153"/>
      <c r="DJ247" s="153"/>
      <c r="DK247" s="153"/>
      <c r="DL247" s="153"/>
      <c r="DM247" s="153"/>
      <c r="DN247" s="153"/>
      <c r="DO247" s="153"/>
      <c r="DP247" s="153"/>
      <c r="DQ247" s="153"/>
      <c r="DR247" s="153"/>
      <c r="DS247" s="153"/>
      <c r="DT247" s="153"/>
      <c r="DU247" s="153"/>
      <c r="DV247" s="153"/>
      <c r="DW247" s="153"/>
      <c r="DX247" s="153"/>
      <c r="DY247" s="153"/>
      <c r="DZ247" s="153"/>
      <c r="EA247" s="153"/>
      <c r="EB247" s="153"/>
      <c r="EC247" s="153"/>
      <c r="ED247" s="153"/>
      <c r="EE247" s="153"/>
      <c r="EF247" s="153"/>
      <c r="EG247" s="153"/>
      <c r="EH247" s="153"/>
      <c r="EI247" s="153"/>
      <c r="EJ247" s="153"/>
      <c r="EK247" s="153"/>
      <c r="EL247" s="153"/>
      <c r="EM247" s="153"/>
    </row>
    <row r="248" spans="1:143" s="107" customFormat="1" ht="10.5" hidden="1" customHeight="1" outlineLevel="2">
      <c r="A248" s="1548">
        <v>223</v>
      </c>
      <c r="B248" s="1560" t="str">
        <f t="shared" si="5"/>
        <v/>
      </c>
      <c r="C248" s="161" t="str">
        <f>GasTime(GasAnalyser,'Horiba Data'!F241,'Horiba Data'!G241,'Testo, JUM &amp; MRU Data'!A242,'Thermo Data'!B241,HourOffset)</f>
        <v/>
      </c>
      <c r="D248" s="981" t="str">
        <f>IF(D$17=FALSE,"",GasData(GasAnalyser,'Horiba Data'!S241,'Testo, JUM &amp; MRU Data'!D242,'Thermo Data'!E241,'Testo, JUM &amp; MRU Data'!U242,GDF))</f>
        <v/>
      </c>
      <c r="E248" s="981" t="str">
        <f>IF(D248="","",Conc2(D248,D$9,MolVol,D$21,D$20,E$21,E$20))</f>
        <v/>
      </c>
      <c r="F248" s="981" t="str">
        <f>IF(F$17=FALSE,"",GasData(GasAnalyser,'Horiba Data'!AQ241,'Testo, JUM &amp; MRU Data'!E242,'Thermo Data'!F241,'Testo, JUM &amp; MRU Data'!V242,GDF))</f>
        <v/>
      </c>
      <c r="G248" s="981" t="str">
        <f>IF(F248="","",Conc2(F248,F$9,MolVol,F$21,F$20,G$21,G$20))</f>
        <v/>
      </c>
      <c r="H248" s="981" t="str">
        <f>IF(D$17=FALSE,"",IF(F$17=FALSE,"",GasData(GasAnalyser,'Horiba Data'!W241,'Testo, JUM &amp; MRU Data'!F242,'Thermo Data'!G241,'Testo, JUM &amp; MRU Data'!Y242,GDF)))</f>
        <v/>
      </c>
      <c r="I248" s="981" t="str">
        <f>IF(H248="","",Conc2(H248,H$9,MolVol,H$21,H$20,I$21,I$20))</f>
        <v/>
      </c>
      <c r="J248" s="981" t="str">
        <f>IF(J$17=FALSE,"",GasData(GasAnalyser,'Horiba Data'!AM241,'Testo, JUM &amp; MRU Data'!G242,'Thermo Data'!H241,'Testo, JUM &amp; MRU Data'!W242,GDF))</f>
        <v/>
      </c>
      <c r="K248" s="981" t="str">
        <f>IF(J248="","",Conc2(J248,J$9,MolVol,J$21,J$20,K$21,K$20))</f>
        <v/>
      </c>
      <c r="L248" s="981" t="str">
        <f>IF(L$17=FALSE,"",GasData(GasAnalyser,'Horiba Data'!AA241,'Testo, JUM &amp; MRU Data'!H242,'Thermo Data'!I241,'Testo, JUM &amp; MRU Data'!T242,GDF))</f>
        <v/>
      </c>
      <c r="M248" s="981" t="str">
        <f>IF(L248="","",Conc2(L248,L$9,MolVol,L$21,L$20,M$21,M$20))</f>
        <v/>
      </c>
      <c r="N248" s="981" t="str">
        <f>IF(N$17=FALSE,"",GasData(GasAnalyser,'Horiba Data'!AE241,'Testo, JUM &amp; MRU Data'!I242,'Thermo Data'!J241,'Testo, JUM &amp; MRU Data'!S242,GDF))</f>
        <v/>
      </c>
      <c r="O248" s="981" t="str">
        <f>IF(N248="","",Conc2(N248,N$9,MolVol,N$21,N$20,O$21,O$20))</f>
        <v/>
      </c>
      <c r="P248" s="981" t="str">
        <f>IF(P$17=FALSE,"",GasData(GasAnalyser,'Horiba Data'!AI241,'Testo, JUM &amp; MRU Data'!J242,'Thermo Data'!K241,'Testo, JUM &amp; MRU Data'!R242,GDF))</f>
        <v/>
      </c>
      <c r="Q248" s="981" t="str">
        <f>IF(P248="","",Conc2(P248,P$9,MolVol,P$21,P$20,Q$21,Q$20))</f>
        <v/>
      </c>
      <c r="R248" s="981" t="str">
        <f>IF(R$17=FALSE,"",JUMData('Testo, JUM &amp; MRU Data'!M242,$R$7))</f>
        <v/>
      </c>
      <c r="S248" s="982" t="str">
        <f>IF(R248="","",Conc2(R248,R$9,MolVol,R$21,R$20,S$21,S$20)/(1-Bws))</f>
        <v/>
      </c>
      <c r="T248" s="740"/>
      <c r="AR248" s="334"/>
      <c r="AS248" s="334"/>
      <c r="AT248" s="48"/>
      <c r="AU248" s="48"/>
      <c r="AV248" s="153"/>
      <c r="AW248" s="153"/>
      <c r="AX248" s="153"/>
      <c r="AY248" s="153"/>
      <c r="AZ248" s="153"/>
      <c r="BA248" s="153"/>
      <c r="BB248" s="153"/>
      <c r="BC248" s="153"/>
      <c r="BD248" s="153"/>
      <c r="BE248" s="153"/>
      <c r="BF248" s="153"/>
      <c r="BG248" s="153"/>
      <c r="BH248" s="153"/>
      <c r="BI248" s="153"/>
      <c r="BJ248" s="153"/>
      <c r="BK248" s="153"/>
      <c r="BL248" s="153"/>
      <c r="BM248" s="153"/>
      <c r="BN248" s="153"/>
      <c r="BO248" s="153"/>
      <c r="BP248" s="153"/>
      <c r="BQ248" s="153"/>
      <c r="BR248" s="153"/>
      <c r="BS248" s="153"/>
      <c r="BT248" s="153"/>
      <c r="BU248" s="153"/>
      <c r="BV248" s="153"/>
      <c r="BW248" s="153"/>
      <c r="BX248" s="153"/>
      <c r="BY248" s="153"/>
      <c r="BZ248" s="153"/>
      <c r="CA248" s="153"/>
      <c r="CB248" s="153"/>
      <c r="CC248" s="153"/>
      <c r="CD248" s="153"/>
      <c r="CE248" s="153"/>
      <c r="CF248" s="153"/>
      <c r="CG248" s="153"/>
      <c r="CH248" s="153"/>
      <c r="CI248" s="153"/>
      <c r="CJ248" s="153"/>
      <c r="CK248" s="153"/>
      <c r="CL248" s="153"/>
      <c r="CM248" s="153"/>
      <c r="CN248" s="153"/>
      <c r="CO248" s="153"/>
      <c r="CP248" s="153"/>
      <c r="CQ248" s="153"/>
      <c r="CR248" s="153"/>
      <c r="CS248" s="153"/>
      <c r="CT248" s="153"/>
      <c r="CU248" s="153"/>
      <c r="CV248" s="153"/>
      <c r="CW248" s="153"/>
      <c r="CX248" s="153"/>
      <c r="CY248" s="153"/>
      <c r="CZ248" s="153"/>
      <c r="DA248" s="153"/>
      <c r="DB248" s="153"/>
      <c r="DC248" s="153"/>
      <c r="DD248" s="153"/>
      <c r="DE248" s="153"/>
      <c r="DF248" s="153"/>
      <c r="DG248" s="153"/>
      <c r="DH248" s="153"/>
      <c r="DI248" s="153"/>
      <c r="DJ248" s="153"/>
      <c r="DK248" s="153"/>
      <c r="DL248" s="153"/>
      <c r="DM248" s="153"/>
      <c r="DN248" s="153"/>
      <c r="DO248" s="153"/>
      <c r="DP248" s="153"/>
      <c r="DQ248" s="153"/>
      <c r="DR248" s="153"/>
      <c r="DS248" s="153"/>
      <c r="DT248" s="153"/>
      <c r="DU248" s="153"/>
      <c r="DV248" s="153"/>
      <c r="DW248" s="153"/>
      <c r="DX248" s="153"/>
      <c r="DY248" s="153"/>
      <c r="DZ248" s="153"/>
      <c r="EA248" s="153"/>
      <c r="EB248" s="153"/>
      <c r="EC248" s="153"/>
      <c r="ED248" s="153"/>
      <c r="EE248" s="153"/>
      <c r="EF248" s="153"/>
      <c r="EG248" s="153"/>
      <c r="EH248" s="153"/>
      <c r="EI248" s="153"/>
      <c r="EJ248" s="153"/>
      <c r="EK248" s="153"/>
      <c r="EL248" s="153"/>
      <c r="EM248" s="153"/>
    </row>
    <row r="249" spans="1:143" s="107" customFormat="1" ht="10.5" hidden="1" customHeight="1" outlineLevel="2">
      <c r="A249" s="1548">
        <v>224</v>
      </c>
      <c r="B249" s="1560" t="str">
        <f t="shared" si="5"/>
        <v/>
      </c>
      <c r="C249" s="161" t="str">
        <f>GasTime(GasAnalyser,'Horiba Data'!F242,'Horiba Data'!G242,'Testo, JUM &amp; MRU Data'!A243,'Thermo Data'!B242,HourOffset)</f>
        <v/>
      </c>
      <c r="D249" s="981" t="str">
        <f>IF(D$17=FALSE,"",GasData(GasAnalyser,'Horiba Data'!S242,'Testo, JUM &amp; MRU Data'!D243,'Thermo Data'!E242,'Testo, JUM &amp; MRU Data'!U243,GDF))</f>
        <v/>
      </c>
      <c r="E249" s="981" t="str">
        <f>IF(D249="","",Conc2(D249,D$9,MolVol,D$21,D$20,E$21,E$20))</f>
        <v/>
      </c>
      <c r="F249" s="981" t="str">
        <f>IF(F$17=FALSE,"",GasData(GasAnalyser,'Horiba Data'!AQ242,'Testo, JUM &amp; MRU Data'!E243,'Thermo Data'!F242,'Testo, JUM &amp; MRU Data'!V243,GDF))</f>
        <v/>
      </c>
      <c r="G249" s="981" t="str">
        <f>IF(F249="","",Conc2(F249,F$9,MolVol,F$21,F$20,G$21,G$20))</f>
        <v/>
      </c>
      <c r="H249" s="981" t="str">
        <f>IF(D$17=FALSE,"",IF(F$17=FALSE,"",GasData(GasAnalyser,'Horiba Data'!W242,'Testo, JUM &amp; MRU Data'!F243,'Thermo Data'!G242,'Testo, JUM &amp; MRU Data'!Y243,GDF)))</f>
        <v/>
      </c>
      <c r="I249" s="981" t="str">
        <f>IF(H249="","",Conc2(H249,H$9,MolVol,H$21,H$20,I$21,I$20))</f>
        <v/>
      </c>
      <c r="J249" s="981" t="str">
        <f>IF(J$17=FALSE,"",GasData(GasAnalyser,'Horiba Data'!AM242,'Testo, JUM &amp; MRU Data'!G243,'Thermo Data'!H242,'Testo, JUM &amp; MRU Data'!W243,GDF))</f>
        <v/>
      </c>
      <c r="K249" s="981" t="str">
        <f>IF(J249="","",Conc2(J249,J$9,MolVol,J$21,J$20,K$21,K$20))</f>
        <v/>
      </c>
      <c r="L249" s="981" t="str">
        <f>IF(L$17=FALSE,"",GasData(GasAnalyser,'Horiba Data'!AA242,'Testo, JUM &amp; MRU Data'!H243,'Thermo Data'!I242,'Testo, JUM &amp; MRU Data'!T243,GDF))</f>
        <v/>
      </c>
      <c r="M249" s="981" t="str">
        <f>IF(L249="","",Conc2(L249,L$9,MolVol,L$21,L$20,M$21,M$20))</f>
        <v/>
      </c>
      <c r="N249" s="981" t="str">
        <f>IF(N$17=FALSE,"",GasData(GasAnalyser,'Horiba Data'!AE242,'Testo, JUM &amp; MRU Data'!I243,'Thermo Data'!J242,'Testo, JUM &amp; MRU Data'!S243,GDF))</f>
        <v/>
      </c>
      <c r="O249" s="981" t="str">
        <f>IF(N249="","",Conc2(N249,N$9,MolVol,N$21,N$20,O$21,O$20))</f>
        <v/>
      </c>
      <c r="P249" s="981" t="str">
        <f>IF(P$17=FALSE,"",GasData(GasAnalyser,'Horiba Data'!AI242,'Testo, JUM &amp; MRU Data'!J243,'Thermo Data'!K242,'Testo, JUM &amp; MRU Data'!R243,GDF))</f>
        <v/>
      </c>
      <c r="Q249" s="981" t="str">
        <f>IF(P249="","",Conc2(P249,P$9,MolVol,P$21,P$20,Q$21,Q$20))</f>
        <v/>
      </c>
      <c r="R249" s="981" t="str">
        <f>IF(R$17=FALSE,"",JUMData('Testo, JUM &amp; MRU Data'!M243,$R$7))</f>
        <v/>
      </c>
      <c r="S249" s="982" t="str">
        <f>IF(R249="","",Conc2(R249,R$9,MolVol,R$21,R$20,S$21,S$20)/(1-Bws))</f>
        <v/>
      </c>
      <c r="T249" s="740"/>
      <c r="AR249" s="334"/>
      <c r="AS249" s="334"/>
      <c r="AT249" s="48"/>
      <c r="AU249" s="48"/>
      <c r="AV249" s="153"/>
      <c r="AW249" s="153"/>
      <c r="AX249" s="153"/>
      <c r="AY249" s="153"/>
      <c r="AZ249" s="153"/>
      <c r="BA249" s="153"/>
      <c r="BB249" s="153"/>
      <c r="BC249" s="153"/>
      <c r="BD249" s="153"/>
      <c r="BE249" s="153"/>
      <c r="BF249" s="153"/>
      <c r="BG249" s="153"/>
      <c r="BH249" s="153"/>
      <c r="BI249" s="153"/>
      <c r="BJ249" s="153"/>
      <c r="BK249" s="153"/>
      <c r="BL249" s="153"/>
      <c r="BM249" s="153"/>
      <c r="BN249" s="153"/>
      <c r="BO249" s="153"/>
      <c r="BP249" s="153"/>
      <c r="BQ249" s="153"/>
      <c r="BR249" s="153"/>
      <c r="BS249" s="153"/>
      <c r="BT249" s="153"/>
      <c r="BU249" s="153"/>
      <c r="BV249" s="153"/>
      <c r="BW249" s="153"/>
      <c r="BX249" s="153"/>
      <c r="BY249" s="153"/>
      <c r="BZ249" s="153"/>
      <c r="CA249" s="153"/>
      <c r="CB249" s="153"/>
      <c r="CC249" s="153"/>
      <c r="CD249" s="153"/>
      <c r="CE249" s="153"/>
      <c r="CF249" s="153"/>
      <c r="CG249" s="153"/>
      <c r="CH249" s="153"/>
      <c r="CI249" s="153"/>
      <c r="CJ249" s="153"/>
      <c r="CK249" s="153"/>
      <c r="CL249" s="153"/>
      <c r="CM249" s="153"/>
      <c r="CN249" s="153"/>
      <c r="CO249" s="153"/>
      <c r="CP249" s="153"/>
      <c r="CQ249" s="153"/>
      <c r="CR249" s="153"/>
      <c r="CS249" s="153"/>
      <c r="CT249" s="153"/>
      <c r="CU249" s="153"/>
      <c r="CV249" s="153"/>
      <c r="CW249" s="153"/>
      <c r="CX249" s="153"/>
      <c r="CY249" s="153"/>
      <c r="CZ249" s="153"/>
      <c r="DA249" s="153"/>
      <c r="DB249" s="153"/>
      <c r="DC249" s="153"/>
      <c r="DD249" s="153"/>
      <c r="DE249" s="153"/>
      <c r="DF249" s="153"/>
      <c r="DG249" s="153"/>
      <c r="DH249" s="153"/>
      <c r="DI249" s="153"/>
      <c r="DJ249" s="153"/>
      <c r="DK249" s="153"/>
      <c r="DL249" s="153"/>
      <c r="DM249" s="153"/>
      <c r="DN249" s="153"/>
      <c r="DO249" s="153"/>
      <c r="DP249" s="153"/>
      <c r="DQ249" s="153"/>
      <c r="DR249" s="153"/>
      <c r="DS249" s="153"/>
      <c r="DT249" s="153"/>
      <c r="DU249" s="153"/>
      <c r="DV249" s="153"/>
      <c r="DW249" s="153"/>
      <c r="DX249" s="153"/>
      <c r="DY249" s="153"/>
      <c r="DZ249" s="153"/>
      <c r="EA249" s="153"/>
      <c r="EB249" s="153"/>
      <c r="EC249" s="153"/>
      <c r="ED249" s="153"/>
      <c r="EE249" s="153"/>
      <c r="EF249" s="153"/>
      <c r="EG249" s="153"/>
      <c r="EH249" s="153"/>
      <c r="EI249" s="153"/>
      <c r="EJ249" s="153"/>
      <c r="EK249" s="153"/>
      <c r="EL249" s="153"/>
      <c r="EM249" s="153"/>
    </row>
    <row r="250" spans="1:143" s="107" customFormat="1" ht="10.5" hidden="1" customHeight="1" outlineLevel="2">
      <c r="A250" s="1548">
        <v>225</v>
      </c>
      <c r="B250" s="1560" t="str">
        <f t="shared" si="5"/>
        <v/>
      </c>
      <c r="C250" s="161" t="str">
        <f>GasTime(GasAnalyser,'Horiba Data'!F243,'Horiba Data'!G243,'Testo, JUM &amp; MRU Data'!A244,'Thermo Data'!B243,HourOffset)</f>
        <v/>
      </c>
      <c r="D250" s="981" t="str">
        <f>IF(D$17=FALSE,"",GasData(GasAnalyser,'Horiba Data'!S243,'Testo, JUM &amp; MRU Data'!D244,'Thermo Data'!E243,'Testo, JUM &amp; MRU Data'!U244,GDF))</f>
        <v/>
      </c>
      <c r="E250" s="981" t="str">
        <f>IF(D250="","",Conc2(D250,D$9,MolVol,D$21,D$20,E$21,E$20))</f>
        <v/>
      </c>
      <c r="F250" s="981" t="str">
        <f>IF(F$17=FALSE,"",GasData(GasAnalyser,'Horiba Data'!AQ243,'Testo, JUM &amp; MRU Data'!E244,'Thermo Data'!F243,'Testo, JUM &amp; MRU Data'!V244,GDF))</f>
        <v/>
      </c>
      <c r="G250" s="981" t="str">
        <f>IF(F250="","",Conc2(F250,F$9,MolVol,F$21,F$20,G$21,G$20))</f>
        <v/>
      </c>
      <c r="H250" s="981" t="str">
        <f>IF(D$17=FALSE,"",IF(F$17=FALSE,"",GasData(GasAnalyser,'Horiba Data'!W243,'Testo, JUM &amp; MRU Data'!F244,'Thermo Data'!G243,'Testo, JUM &amp; MRU Data'!Y244,GDF)))</f>
        <v/>
      </c>
      <c r="I250" s="981" t="str">
        <f>IF(H250="","",Conc2(H250,H$9,MolVol,H$21,H$20,I$21,I$20))</f>
        <v/>
      </c>
      <c r="J250" s="981" t="str">
        <f>IF(J$17=FALSE,"",GasData(GasAnalyser,'Horiba Data'!AM243,'Testo, JUM &amp; MRU Data'!G244,'Thermo Data'!H243,'Testo, JUM &amp; MRU Data'!W244,GDF))</f>
        <v/>
      </c>
      <c r="K250" s="981" t="str">
        <f>IF(J250="","",Conc2(J250,J$9,MolVol,J$21,J$20,K$21,K$20))</f>
        <v/>
      </c>
      <c r="L250" s="981" t="str">
        <f>IF(L$17=FALSE,"",GasData(GasAnalyser,'Horiba Data'!AA243,'Testo, JUM &amp; MRU Data'!H244,'Thermo Data'!I243,'Testo, JUM &amp; MRU Data'!T244,GDF))</f>
        <v/>
      </c>
      <c r="M250" s="981" t="str">
        <f>IF(L250="","",Conc2(L250,L$9,MolVol,L$21,L$20,M$21,M$20))</f>
        <v/>
      </c>
      <c r="N250" s="981" t="str">
        <f>IF(N$17=FALSE,"",GasData(GasAnalyser,'Horiba Data'!AE243,'Testo, JUM &amp; MRU Data'!I244,'Thermo Data'!J243,'Testo, JUM &amp; MRU Data'!S244,GDF))</f>
        <v/>
      </c>
      <c r="O250" s="981" t="str">
        <f>IF(N250="","",Conc2(N250,N$9,MolVol,N$21,N$20,O$21,O$20))</f>
        <v/>
      </c>
      <c r="P250" s="981" t="str">
        <f>IF(P$17=FALSE,"",GasData(GasAnalyser,'Horiba Data'!AI243,'Testo, JUM &amp; MRU Data'!J244,'Thermo Data'!K243,'Testo, JUM &amp; MRU Data'!R244,GDF))</f>
        <v/>
      </c>
      <c r="Q250" s="981" t="str">
        <f>IF(P250="","",Conc2(P250,P$9,MolVol,P$21,P$20,Q$21,Q$20))</f>
        <v/>
      </c>
      <c r="R250" s="981" t="str">
        <f>IF(R$17=FALSE,"",JUMData('Testo, JUM &amp; MRU Data'!M244,$R$7))</f>
        <v/>
      </c>
      <c r="S250" s="982" t="str">
        <f>IF(R250="","",Conc2(R250,R$9,MolVol,R$21,R$20,S$21,S$20)/(1-Bws))</f>
        <v/>
      </c>
      <c r="T250" s="740"/>
      <c r="AR250" s="334"/>
      <c r="AS250" s="334"/>
      <c r="AT250" s="48"/>
      <c r="AU250" s="48"/>
      <c r="AV250" s="153"/>
      <c r="AW250" s="153"/>
      <c r="AX250" s="153"/>
      <c r="AY250" s="153"/>
      <c r="AZ250" s="153"/>
      <c r="BA250" s="153"/>
      <c r="BB250" s="153"/>
      <c r="BC250" s="153"/>
      <c r="BD250" s="153"/>
      <c r="BE250" s="153"/>
      <c r="BF250" s="153"/>
      <c r="BG250" s="153"/>
      <c r="BH250" s="153"/>
      <c r="BI250" s="153"/>
      <c r="BJ250" s="153"/>
      <c r="BK250" s="153"/>
      <c r="BL250" s="153"/>
      <c r="BM250" s="153"/>
      <c r="BN250" s="153"/>
      <c r="BO250" s="153"/>
      <c r="BP250" s="153"/>
      <c r="BQ250" s="153"/>
      <c r="BR250" s="153"/>
      <c r="BS250" s="153"/>
      <c r="BT250" s="153"/>
      <c r="BU250" s="153"/>
      <c r="BV250" s="153"/>
      <c r="BW250" s="153"/>
      <c r="BX250" s="153"/>
      <c r="BY250" s="153"/>
      <c r="BZ250" s="153"/>
      <c r="CA250" s="153"/>
      <c r="CB250" s="153"/>
      <c r="CC250" s="153"/>
      <c r="CD250" s="153"/>
      <c r="CE250" s="153"/>
      <c r="CF250" s="153"/>
      <c r="CG250" s="153"/>
      <c r="CH250" s="153"/>
      <c r="CI250" s="153"/>
      <c r="CJ250" s="153"/>
      <c r="CK250" s="153"/>
      <c r="CL250" s="153"/>
      <c r="CM250" s="153"/>
      <c r="CN250" s="153"/>
      <c r="CO250" s="153"/>
      <c r="CP250" s="153"/>
      <c r="CQ250" s="153"/>
      <c r="CR250" s="153"/>
      <c r="CS250" s="153"/>
      <c r="CT250" s="153"/>
      <c r="CU250" s="153"/>
      <c r="CV250" s="153"/>
      <c r="CW250" s="153"/>
      <c r="CX250" s="153"/>
      <c r="CY250" s="153"/>
      <c r="CZ250" s="153"/>
      <c r="DA250" s="153"/>
      <c r="DB250" s="153"/>
      <c r="DC250" s="153"/>
      <c r="DD250" s="153"/>
      <c r="DE250" s="153"/>
      <c r="DF250" s="153"/>
      <c r="DG250" s="153"/>
      <c r="DH250" s="153"/>
      <c r="DI250" s="153"/>
      <c r="DJ250" s="153"/>
      <c r="DK250" s="153"/>
      <c r="DL250" s="153"/>
      <c r="DM250" s="153"/>
      <c r="DN250" s="153"/>
      <c r="DO250" s="153"/>
      <c r="DP250" s="153"/>
      <c r="DQ250" s="153"/>
      <c r="DR250" s="153"/>
      <c r="DS250" s="153"/>
      <c r="DT250" s="153"/>
      <c r="DU250" s="153"/>
      <c r="DV250" s="153"/>
      <c r="DW250" s="153"/>
      <c r="DX250" s="153"/>
      <c r="DY250" s="153"/>
      <c r="DZ250" s="153"/>
      <c r="EA250" s="153"/>
      <c r="EB250" s="153"/>
      <c r="EC250" s="153"/>
      <c r="ED250" s="153"/>
      <c r="EE250" s="153"/>
      <c r="EF250" s="153"/>
      <c r="EG250" s="153"/>
      <c r="EH250" s="153"/>
      <c r="EI250" s="153"/>
      <c r="EJ250" s="153"/>
      <c r="EK250" s="153"/>
      <c r="EL250" s="153"/>
      <c r="EM250" s="153"/>
    </row>
    <row r="251" spans="1:143" s="107" customFormat="1" ht="10.5" hidden="1" customHeight="1" outlineLevel="2">
      <c r="A251" s="1548">
        <v>226</v>
      </c>
      <c r="B251" s="1560" t="str">
        <f t="shared" si="5"/>
        <v/>
      </c>
      <c r="C251" s="161" t="str">
        <f>GasTime(GasAnalyser,'Horiba Data'!F244,'Horiba Data'!G244,'Testo, JUM &amp; MRU Data'!A245,'Thermo Data'!B244,HourOffset)</f>
        <v/>
      </c>
      <c r="D251" s="981" t="str">
        <f>IF(D$17=FALSE,"",GasData(GasAnalyser,'Horiba Data'!S244,'Testo, JUM &amp; MRU Data'!D245,'Thermo Data'!E244,'Testo, JUM &amp; MRU Data'!U245,GDF))</f>
        <v/>
      </c>
      <c r="E251" s="981" t="str">
        <f>IF(D251="","",Conc2(D251,D$9,MolVol,D$21,D$20,E$21,E$20))</f>
        <v/>
      </c>
      <c r="F251" s="981" t="str">
        <f>IF(F$17=FALSE,"",GasData(GasAnalyser,'Horiba Data'!AQ244,'Testo, JUM &amp; MRU Data'!E245,'Thermo Data'!F244,'Testo, JUM &amp; MRU Data'!V245,GDF))</f>
        <v/>
      </c>
      <c r="G251" s="981" t="str">
        <f>IF(F251="","",Conc2(F251,F$9,MolVol,F$21,F$20,G$21,G$20))</f>
        <v/>
      </c>
      <c r="H251" s="981" t="str">
        <f>IF(D$17=FALSE,"",IF(F$17=FALSE,"",GasData(GasAnalyser,'Horiba Data'!W244,'Testo, JUM &amp; MRU Data'!F245,'Thermo Data'!G244,'Testo, JUM &amp; MRU Data'!Y245,GDF)))</f>
        <v/>
      </c>
      <c r="I251" s="981" t="str">
        <f>IF(H251="","",Conc2(H251,H$9,MolVol,H$21,H$20,I$21,I$20))</f>
        <v/>
      </c>
      <c r="J251" s="981" t="str">
        <f>IF(J$17=FALSE,"",GasData(GasAnalyser,'Horiba Data'!AM244,'Testo, JUM &amp; MRU Data'!G245,'Thermo Data'!H244,'Testo, JUM &amp; MRU Data'!W245,GDF))</f>
        <v/>
      </c>
      <c r="K251" s="981" t="str">
        <f>IF(J251="","",Conc2(J251,J$9,MolVol,J$21,J$20,K$21,K$20))</f>
        <v/>
      </c>
      <c r="L251" s="981" t="str">
        <f>IF(L$17=FALSE,"",GasData(GasAnalyser,'Horiba Data'!AA244,'Testo, JUM &amp; MRU Data'!H245,'Thermo Data'!I244,'Testo, JUM &amp; MRU Data'!T245,GDF))</f>
        <v/>
      </c>
      <c r="M251" s="981" t="str">
        <f>IF(L251="","",Conc2(L251,L$9,MolVol,L$21,L$20,M$21,M$20))</f>
        <v/>
      </c>
      <c r="N251" s="981" t="str">
        <f>IF(N$17=FALSE,"",GasData(GasAnalyser,'Horiba Data'!AE244,'Testo, JUM &amp; MRU Data'!I245,'Thermo Data'!J244,'Testo, JUM &amp; MRU Data'!S245,GDF))</f>
        <v/>
      </c>
      <c r="O251" s="981" t="str">
        <f>IF(N251="","",Conc2(N251,N$9,MolVol,N$21,N$20,O$21,O$20))</f>
        <v/>
      </c>
      <c r="P251" s="981" t="str">
        <f>IF(P$17=FALSE,"",GasData(GasAnalyser,'Horiba Data'!AI244,'Testo, JUM &amp; MRU Data'!J245,'Thermo Data'!K244,'Testo, JUM &amp; MRU Data'!R245,GDF))</f>
        <v/>
      </c>
      <c r="Q251" s="981" t="str">
        <f>IF(P251="","",Conc2(P251,P$9,MolVol,P$21,P$20,Q$21,Q$20))</f>
        <v/>
      </c>
      <c r="R251" s="981" t="str">
        <f>IF(R$17=FALSE,"",JUMData('Testo, JUM &amp; MRU Data'!M245,$R$7))</f>
        <v/>
      </c>
      <c r="S251" s="982" t="str">
        <f>IF(R251="","",Conc2(R251,R$9,MolVol,R$21,R$20,S$21,S$20)/(1-Bws))</f>
        <v/>
      </c>
      <c r="T251" s="740"/>
      <c r="AR251" s="334"/>
      <c r="AS251" s="334"/>
      <c r="AT251" s="48"/>
      <c r="AU251" s="48"/>
      <c r="AV251" s="153"/>
      <c r="AW251" s="153"/>
      <c r="AX251" s="153"/>
      <c r="AY251" s="153"/>
      <c r="AZ251" s="153"/>
      <c r="BA251" s="153"/>
      <c r="BB251" s="153"/>
      <c r="BC251" s="153"/>
      <c r="BD251" s="153"/>
      <c r="BE251" s="153"/>
      <c r="BF251" s="153"/>
      <c r="BG251" s="153"/>
      <c r="BH251" s="153"/>
      <c r="BI251" s="153"/>
      <c r="BJ251" s="153"/>
      <c r="BK251" s="153"/>
      <c r="BL251" s="153"/>
      <c r="BM251" s="153"/>
      <c r="BN251" s="153"/>
      <c r="BO251" s="153"/>
      <c r="BP251" s="153"/>
      <c r="BQ251" s="153"/>
      <c r="BR251" s="153"/>
      <c r="BS251" s="153"/>
      <c r="BT251" s="153"/>
      <c r="BU251" s="153"/>
      <c r="BV251" s="153"/>
      <c r="BW251" s="153"/>
      <c r="BX251" s="153"/>
      <c r="BY251" s="153"/>
      <c r="BZ251" s="153"/>
      <c r="CA251" s="153"/>
      <c r="CB251" s="153"/>
      <c r="CC251" s="153"/>
      <c r="CD251" s="153"/>
      <c r="CE251" s="153"/>
      <c r="CF251" s="153"/>
      <c r="CG251" s="153"/>
      <c r="CH251" s="153"/>
      <c r="CI251" s="153"/>
      <c r="CJ251" s="153"/>
      <c r="CK251" s="153"/>
      <c r="CL251" s="153"/>
      <c r="CM251" s="153"/>
      <c r="CN251" s="153"/>
      <c r="CO251" s="153"/>
      <c r="CP251" s="153"/>
      <c r="CQ251" s="153"/>
      <c r="CR251" s="153"/>
      <c r="CS251" s="153"/>
      <c r="CT251" s="153"/>
      <c r="CU251" s="153"/>
      <c r="CV251" s="153"/>
      <c r="CW251" s="153"/>
      <c r="CX251" s="153"/>
      <c r="CY251" s="153"/>
      <c r="CZ251" s="153"/>
      <c r="DA251" s="153"/>
      <c r="DB251" s="153"/>
      <c r="DC251" s="153"/>
      <c r="DD251" s="153"/>
      <c r="DE251" s="153"/>
      <c r="DF251" s="153"/>
      <c r="DG251" s="153"/>
      <c r="DH251" s="153"/>
      <c r="DI251" s="153"/>
      <c r="DJ251" s="153"/>
      <c r="DK251" s="153"/>
      <c r="DL251" s="153"/>
      <c r="DM251" s="153"/>
      <c r="DN251" s="153"/>
      <c r="DO251" s="153"/>
      <c r="DP251" s="153"/>
      <c r="DQ251" s="153"/>
      <c r="DR251" s="153"/>
      <c r="DS251" s="153"/>
      <c r="DT251" s="153"/>
      <c r="DU251" s="153"/>
      <c r="DV251" s="153"/>
      <c r="DW251" s="153"/>
      <c r="DX251" s="153"/>
      <c r="DY251" s="153"/>
      <c r="DZ251" s="153"/>
      <c r="EA251" s="153"/>
      <c r="EB251" s="153"/>
      <c r="EC251" s="153"/>
      <c r="ED251" s="153"/>
      <c r="EE251" s="153"/>
      <c r="EF251" s="153"/>
      <c r="EG251" s="153"/>
      <c r="EH251" s="153"/>
      <c r="EI251" s="153"/>
      <c r="EJ251" s="153"/>
      <c r="EK251" s="153"/>
      <c r="EL251" s="153"/>
      <c r="EM251" s="153"/>
    </row>
    <row r="252" spans="1:143" s="107" customFormat="1" ht="10.5" hidden="1" customHeight="1" outlineLevel="2">
      <c r="A252" s="1548">
        <v>227</v>
      </c>
      <c r="B252" s="1560" t="str">
        <f t="shared" si="5"/>
        <v/>
      </c>
      <c r="C252" s="161" t="str">
        <f>GasTime(GasAnalyser,'Horiba Data'!F245,'Horiba Data'!G245,'Testo, JUM &amp; MRU Data'!A246,'Thermo Data'!B245,HourOffset)</f>
        <v/>
      </c>
      <c r="D252" s="981" t="str">
        <f>IF(D$17=FALSE,"",GasData(GasAnalyser,'Horiba Data'!S245,'Testo, JUM &amp; MRU Data'!D246,'Thermo Data'!E245,'Testo, JUM &amp; MRU Data'!U246,GDF))</f>
        <v/>
      </c>
      <c r="E252" s="981" t="str">
        <f>IF(D252="","",Conc2(D252,D$9,MolVol,D$21,D$20,E$21,E$20))</f>
        <v/>
      </c>
      <c r="F252" s="981" t="str">
        <f>IF(F$17=FALSE,"",GasData(GasAnalyser,'Horiba Data'!AQ245,'Testo, JUM &amp; MRU Data'!E246,'Thermo Data'!F245,'Testo, JUM &amp; MRU Data'!V246,GDF))</f>
        <v/>
      </c>
      <c r="G252" s="981" t="str">
        <f>IF(F252="","",Conc2(F252,F$9,MolVol,F$21,F$20,G$21,G$20))</f>
        <v/>
      </c>
      <c r="H252" s="981" t="str">
        <f>IF(D$17=FALSE,"",IF(F$17=FALSE,"",GasData(GasAnalyser,'Horiba Data'!W245,'Testo, JUM &amp; MRU Data'!F246,'Thermo Data'!G245,'Testo, JUM &amp; MRU Data'!Y246,GDF)))</f>
        <v/>
      </c>
      <c r="I252" s="981" t="str">
        <f>IF(H252="","",Conc2(H252,H$9,MolVol,H$21,H$20,I$21,I$20))</f>
        <v/>
      </c>
      <c r="J252" s="981" t="str">
        <f>IF(J$17=FALSE,"",GasData(GasAnalyser,'Horiba Data'!AM245,'Testo, JUM &amp; MRU Data'!G246,'Thermo Data'!H245,'Testo, JUM &amp; MRU Data'!W246,GDF))</f>
        <v/>
      </c>
      <c r="K252" s="981" t="str">
        <f>IF(J252="","",Conc2(J252,J$9,MolVol,J$21,J$20,K$21,K$20))</f>
        <v/>
      </c>
      <c r="L252" s="981" t="str">
        <f>IF(L$17=FALSE,"",GasData(GasAnalyser,'Horiba Data'!AA245,'Testo, JUM &amp; MRU Data'!H246,'Thermo Data'!I245,'Testo, JUM &amp; MRU Data'!T246,GDF))</f>
        <v/>
      </c>
      <c r="M252" s="981" t="str">
        <f>IF(L252="","",Conc2(L252,L$9,MolVol,L$21,L$20,M$21,M$20))</f>
        <v/>
      </c>
      <c r="N252" s="981" t="str">
        <f>IF(N$17=FALSE,"",GasData(GasAnalyser,'Horiba Data'!AE245,'Testo, JUM &amp; MRU Data'!I246,'Thermo Data'!J245,'Testo, JUM &amp; MRU Data'!S246,GDF))</f>
        <v/>
      </c>
      <c r="O252" s="981" t="str">
        <f>IF(N252="","",Conc2(N252,N$9,MolVol,N$21,N$20,O$21,O$20))</f>
        <v/>
      </c>
      <c r="P252" s="981" t="str">
        <f>IF(P$17=FALSE,"",GasData(GasAnalyser,'Horiba Data'!AI245,'Testo, JUM &amp; MRU Data'!J246,'Thermo Data'!K245,'Testo, JUM &amp; MRU Data'!R246,GDF))</f>
        <v/>
      </c>
      <c r="Q252" s="981" t="str">
        <f>IF(P252="","",Conc2(P252,P$9,MolVol,P$21,P$20,Q$21,Q$20))</f>
        <v/>
      </c>
      <c r="R252" s="981" t="str">
        <f>IF(R$17=FALSE,"",JUMData('Testo, JUM &amp; MRU Data'!M246,$R$7))</f>
        <v/>
      </c>
      <c r="S252" s="982" t="str">
        <f>IF(R252="","",Conc2(R252,R$9,MolVol,R$21,R$20,S$21,S$20)/(1-Bws))</f>
        <v/>
      </c>
      <c r="T252" s="740"/>
      <c r="AR252" s="334"/>
      <c r="AS252" s="334"/>
      <c r="AT252" s="48"/>
      <c r="AU252" s="48"/>
      <c r="AV252" s="153"/>
      <c r="AW252" s="153"/>
      <c r="AX252" s="153"/>
      <c r="AY252" s="153"/>
      <c r="AZ252" s="153"/>
      <c r="BA252" s="153"/>
      <c r="BB252" s="153"/>
      <c r="BC252" s="153"/>
      <c r="BD252" s="153"/>
      <c r="BE252" s="153"/>
      <c r="BF252" s="153"/>
      <c r="BG252" s="153"/>
      <c r="BH252" s="153"/>
      <c r="BI252" s="153"/>
      <c r="BJ252" s="153"/>
      <c r="BK252" s="153"/>
      <c r="BL252" s="153"/>
      <c r="BM252" s="153"/>
      <c r="BN252" s="153"/>
      <c r="BO252" s="153"/>
      <c r="BP252" s="153"/>
      <c r="BQ252" s="153"/>
      <c r="BR252" s="153"/>
      <c r="BS252" s="153"/>
      <c r="BT252" s="153"/>
      <c r="BU252" s="153"/>
      <c r="BV252" s="153"/>
      <c r="BW252" s="153"/>
      <c r="BX252" s="153"/>
      <c r="BY252" s="153"/>
      <c r="BZ252" s="153"/>
      <c r="CA252" s="153"/>
      <c r="CB252" s="153"/>
      <c r="CC252" s="153"/>
      <c r="CD252" s="153"/>
      <c r="CE252" s="153"/>
      <c r="CF252" s="153"/>
      <c r="CG252" s="153"/>
      <c r="CH252" s="153"/>
      <c r="CI252" s="153"/>
      <c r="CJ252" s="153"/>
      <c r="CK252" s="153"/>
      <c r="CL252" s="153"/>
      <c r="CM252" s="153"/>
      <c r="CN252" s="153"/>
      <c r="CO252" s="153"/>
      <c r="CP252" s="153"/>
      <c r="CQ252" s="153"/>
      <c r="CR252" s="153"/>
      <c r="CS252" s="153"/>
      <c r="CT252" s="153"/>
      <c r="CU252" s="153"/>
      <c r="CV252" s="153"/>
      <c r="CW252" s="153"/>
      <c r="CX252" s="153"/>
      <c r="CY252" s="153"/>
      <c r="CZ252" s="153"/>
      <c r="DA252" s="153"/>
      <c r="DB252" s="153"/>
      <c r="DC252" s="153"/>
      <c r="DD252" s="153"/>
      <c r="DE252" s="153"/>
      <c r="DF252" s="153"/>
      <c r="DG252" s="153"/>
      <c r="DH252" s="153"/>
      <c r="DI252" s="153"/>
      <c r="DJ252" s="153"/>
      <c r="DK252" s="153"/>
      <c r="DL252" s="153"/>
      <c r="DM252" s="153"/>
      <c r="DN252" s="153"/>
      <c r="DO252" s="153"/>
      <c r="DP252" s="153"/>
      <c r="DQ252" s="153"/>
      <c r="DR252" s="153"/>
      <c r="DS252" s="153"/>
      <c r="DT252" s="153"/>
      <c r="DU252" s="153"/>
      <c r="DV252" s="153"/>
      <c r="DW252" s="153"/>
      <c r="DX252" s="153"/>
      <c r="DY252" s="153"/>
      <c r="DZ252" s="153"/>
      <c r="EA252" s="153"/>
      <c r="EB252" s="153"/>
      <c r="EC252" s="153"/>
      <c r="ED252" s="153"/>
      <c r="EE252" s="153"/>
      <c r="EF252" s="153"/>
      <c r="EG252" s="153"/>
      <c r="EH252" s="153"/>
      <c r="EI252" s="153"/>
      <c r="EJ252" s="153"/>
      <c r="EK252" s="153"/>
      <c r="EL252" s="153"/>
      <c r="EM252" s="153"/>
    </row>
    <row r="253" spans="1:143" s="107" customFormat="1" ht="10.5" hidden="1" customHeight="1" outlineLevel="2">
      <c r="A253" s="1548">
        <v>228</v>
      </c>
      <c r="B253" s="1560" t="str">
        <f t="shared" si="5"/>
        <v/>
      </c>
      <c r="C253" s="161" t="str">
        <f>GasTime(GasAnalyser,'Horiba Data'!F246,'Horiba Data'!G246,'Testo, JUM &amp; MRU Data'!A247,'Thermo Data'!B246,HourOffset)</f>
        <v/>
      </c>
      <c r="D253" s="981" t="str">
        <f>IF(D$17=FALSE,"",GasData(GasAnalyser,'Horiba Data'!S246,'Testo, JUM &amp; MRU Data'!D247,'Thermo Data'!E246,'Testo, JUM &amp; MRU Data'!U247,GDF))</f>
        <v/>
      </c>
      <c r="E253" s="981" t="str">
        <f>IF(D253="","",Conc2(D253,D$9,MolVol,D$21,D$20,E$21,E$20))</f>
        <v/>
      </c>
      <c r="F253" s="981" t="str">
        <f>IF(F$17=FALSE,"",GasData(GasAnalyser,'Horiba Data'!AQ246,'Testo, JUM &amp; MRU Data'!E247,'Thermo Data'!F246,'Testo, JUM &amp; MRU Data'!V247,GDF))</f>
        <v/>
      </c>
      <c r="G253" s="981" t="str">
        <f>IF(F253="","",Conc2(F253,F$9,MolVol,F$21,F$20,G$21,G$20))</f>
        <v/>
      </c>
      <c r="H253" s="981" t="str">
        <f>IF(D$17=FALSE,"",IF(F$17=FALSE,"",GasData(GasAnalyser,'Horiba Data'!W246,'Testo, JUM &amp; MRU Data'!F247,'Thermo Data'!G246,'Testo, JUM &amp; MRU Data'!Y247,GDF)))</f>
        <v/>
      </c>
      <c r="I253" s="981" t="str">
        <f>IF(H253="","",Conc2(H253,H$9,MolVol,H$21,H$20,I$21,I$20))</f>
        <v/>
      </c>
      <c r="J253" s="981" t="str">
        <f>IF(J$17=FALSE,"",GasData(GasAnalyser,'Horiba Data'!AM246,'Testo, JUM &amp; MRU Data'!G247,'Thermo Data'!H246,'Testo, JUM &amp; MRU Data'!W247,GDF))</f>
        <v/>
      </c>
      <c r="K253" s="981" t="str">
        <f>IF(J253="","",Conc2(J253,J$9,MolVol,J$21,J$20,K$21,K$20))</f>
        <v/>
      </c>
      <c r="L253" s="981" t="str">
        <f>IF(L$17=FALSE,"",GasData(GasAnalyser,'Horiba Data'!AA246,'Testo, JUM &amp; MRU Data'!H247,'Thermo Data'!I246,'Testo, JUM &amp; MRU Data'!T247,GDF))</f>
        <v/>
      </c>
      <c r="M253" s="981" t="str">
        <f>IF(L253="","",Conc2(L253,L$9,MolVol,L$21,L$20,M$21,M$20))</f>
        <v/>
      </c>
      <c r="N253" s="981" t="str">
        <f>IF(N$17=FALSE,"",GasData(GasAnalyser,'Horiba Data'!AE246,'Testo, JUM &amp; MRU Data'!I247,'Thermo Data'!J246,'Testo, JUM &amp; MRU Data'!S247,GDF))</f>
        <v/>
      </c>
      <c r="O253" s="981" t="str">
        <f>IF(N253="","",Conc2(N253,N$9,MolVol,N$21,N$20,O$21,O$20))</f>
        <v/>
      </c>
      <c r="P253" s="981" t="str">
        <f>IF(P$17=FALSE,"",GasData(GasAnalyser,'Horiba Data'!AI246,'Testo, JUM &amp; MRU Data'!J247,'Thermo Data'!K246,'Testo, JUM &amp; MRU Data'!R247,GDF))</f>
        <v/>
      </c>
      <c r="Q253" s="981" t="str">
        <f>IF(P253="","",Conc2(P253,P$9,MolVol,P$21,P$20,Q$21,Q$20))</f>
        <v/>
      </c>
      <c r="R253" s="981" t="str">
        <f>IF(R$17=FALSE,"",JUMData('Testo, JUM &amp; MRU Data'!M247,$R$7))</f>
        <v/>
      </c>
      <c r="S253" s="982" t="str">
        <f>IF(R253="","",Conc2(R253,R$9,MolVol,R$21,R$20,S$21,S$20)/(1-Bws))</f>
        <v/>
      </c>
      <c r="T253" s="740"/>
      <c r="AR253" s="334"/>
      <c r="AS253" s="334"/>
      <c r="AT253" s="48"/>
      <c r="AU253" s="48"/>
      <c r="AV253" s="153"/>
      <c r="AW253" s="153"/>
      <c r="AX253" s="153"/>
      <c r="AY253" s="153"/>
      <c r="AZ253" s="153"/>
      <c r="BA253" s="153"/>
      <c r="BB253" s="153"/>
      <c r="BC253" s="153"/>
      <c r="BD253" s="153"/>
      <c r="BE253" s="153"/>
      <c r="BF253" s="153"/>
      <c r="BG253" s="153"/>
      <c r="BH253" s="153"/>
      <c r="BI253" s="153"/>
      <c r="BJ253" s="153"/>
      <c r="BK253" s="153"/>
      <c r="BL253" s="153"/>
      <c r="BM253" s="153"/>
      <c r="BN253" s="153"/>
      <c r="BO253" s="153"/>
      <c r="BP253" s="153"/>
      <c r="BQ253" s="153"/>
      <c r="BR253" s="153"/>
      <c r="BS253" s="153"/>
      <c r="BT253" s="153"/>
      <c r="BU253" s="153"/>
      <c r="BV253" s="153"/>
      <c r="BW253" s="153"/>
      <c r="BX253" s="153"/>
      <c r="BY253" s="153"/>
      <c r="BZ253" s="153"/>
      <c r="CA253" s="153"/>
      <c r="CB253" s="153"/>
      <c r="CC253" s="153"/>
      <c r="CD253" s="153"/>
      <c r="CE253" s="153"/>
      <c r="CF253" s="153"/>
      <c r="CG253" s="153"/>
      <c r="CH253" s="153"/>
      <c r="CI253" s="153"/>
      <c r="CJ253" s="153"/>
      <c r="CK253" s="153"/>
      <c r="CL253" s="153"/>
      <c r="CM253" s="153"/>
      <c r="CN253" s="153"/>
      <c r="CO253" s="153"/>
      <c r="CP253" s="153"/>
      <c r="CQ253" s="153"/>
      <c r="CR253" s="153"/>
      <c r="CS253" s="153"/>
      <c r="CT253" s="153"/>
      <c r="CU253" s="153"/>
      <c r="CV253" s="153"/>
      <c r="CW253" s="153"/>
      <c r="CX253" s="153"/>
      <c r="CY253" s="153"/>
      <c r="CZ253" s="153"/>
      <c r="DA253" s="153"/>
      <c r="DB253" s="153"/>
      <c r="DC253" s="153"/>
      <c r="DD253" s="153"/>
      <c r="DE253" s="153"/>
      <c r="DF253" s="153"/>
      <c r="DG253" s="153"/>
      <c r="DH253" s="153"/>
      <c r="DI253" s="153"/>
      <c r="DJ253" s="153"/>
      <c r="DK253" s="153"/>
      <c r="DL253" s="153"/>
      <c r="DM253" s="153"/>
      <c r="DN253" s="153"/>
      <c r="DO253" s="153"/>
      <c r="DP253" s="153"/>
      <c r="DQ253" s="153"/>
      <c r="DR253" s="153"/>
      <c r="DS253" s="153"/>
      <c r="DT253" s="153"/>
      <c r="DU253" s="153"/>
      <c r="DV253" s="153"/>
      <c r="DW253" s="153"/>
      <c r="DX253" s="153"/>
      <c r="DY253" s="153"/>
      <c r="DZ253" s="153"/>
      <c r="EA253" s="153"/>
      <c r="EB253" s="153"/>
      <c r="EC253" s="153"/>
      <c r="ED253" s="153"/>
      <c r="EE253" s="153"/>
      <c r="EF253" s="153"/>
      <c r="EG253" s="153"/>
      <c r="EH253" s="153"/>
      <c r="EI253" s="153"/>
      <c r="EJ253" s="153"/>
      <c r="EK253" s="153"/>
      <c r="EL253" s="153"/>
      <c r="EM253" s="153"/>
    </row>
    <row r="254" spans="1:143" s="107" customFormat="1" ht="10.5" hidden="1" customHeight="1" outlineLevel="2">
      <c r="A254" s="1548">
        <v>229</v>
      </c>
      <c r="B254" s="1560" t="str">
        <f t="shared" si="5"/>
        <v/>
      </c>
      <c r="C254" s="161" t="str">
        <f>GasTime(GasAnalyser,'Horiba Data'!F247,'Horiba Data'!G247,'Testo, JUM &amp; MRU Data'!A248,'Thermo Data'!B247,HourOffset)</f>
        <v/>
      </c>
      <c r="D254" s="981" t="str">
        <f>IF(D$17=FALSE,"",GasData(GasAnalyser,'Horiba Data'!S247,'Testo, JUM &amp; MRU Data'!D248,'Thermo Data'!E247,'Testo, JUM &amp; MRU Data'!U248,GDF))</f>
        <v/>
      </c>
      <c r="E254" s="981" t="str">
        <f>IF(D254="","",Conc2(D254,D$9,MolVol,D$21,D$20,E$21,E$20))</f>
        <v/>
      </c>
      <c r="F254" s="981" t="str">
        <f>IF(F$17=FALSE,"",GasData(GasAnalyser,'Horiba Data'!AQ247,'Testo, JUM &amp; MRU Data'!E248,'Thermo Data'!F247,'Testo, JUM &amp; MRU Data'!V248,GDF))</f>
        <v/>
      </c>
      <c r="G254" s="981" t="str">
        <f>IF(F254="","",Conc2(F254,F$9,MolVol,F$21,F$20,G$21,G$20))</f>
        <v/>
      </c>
      <c r="H254" s="981" t="str">
        <f>IF(D$17=FALSE,"",IF(F$17=FALSE,"",GasData(GasAnalyser,'Horiba Data'!W247,'Testo, JUM &amp; MRU Data'!F248,'Thermo Data'!G247,'Testo, JUM &amp; MRU Data'!Y248,GDF)))</f>
        <v/>
      </c>
      <c r="I254" s="981" t="str">
        <f>IF(H254="","",Conc2(H254,H$9,MolVol,H$21,H$20,I$21,I$20))</f>
        <v/>
      </c>
      <c r="J254" s="981" t="str">
        <f>IF(J$17=FALSE,"",GasData(GasAnalyser,'Horiba Data'!AM247,'Testo, JUM &amp; MRU Data'!G248,'Thermo Data'!H247,'Testo, JUM &amp; MRU Data'!W248,GDF))</f>
        <v/>
      </c>
      <c r="K254" s="981" t="str">
        <f>IF(J254="","",Conc2(J254,J$9,MolVol,J$21,J$20,K$21,K$20))</f>
        <v/>
      </c>
      <c r="L254" s="981" t="str">
        <f>IF(L$17=FALSE,"",GasData(GasAnalyser,'Horiba Data'!AA247,'Testo, JUM &amp; MRU Data'!H248,'Thermo Data'!I247,'Testo, JUM &amp; MRU Data'!T248,GDF))</f>
        <v/>
      </c>
      <c r="M254" s="981" t="str">
        <f>IF(L254="","",Conc2(L254,L$9,MolVol,L$21,L$20,M$21,M$20))</f>
        <v/>
      </c>
      <c r="N254" s="981" t="str">
        <f>IF(N$17=FALSE,"",GasData(GasAnalyser,'Horiba Data'!AE247,'Testo, JUM &amp; MRU Data'!I248,'Thermo Data'!J247,'Testo, JUM &amp; MRU Data'!S248,GDF))</f>
        <v/>
      </c>
      <c r="O254" s="981" t="str">
        <f>IF(N254="","",Conc2(N254,N$9,MolVol,N$21,N$20,O$21,O$20))</f>
        <v/>
      </c>
      <c r="P254" s="981" t="str">
        <f>IF(P$17=FALSE,"",GasData(GasAnalyser,'Horiba Data'!AI247,'Testo, JUM &amp; MRU Data'!J248,'Thermo Data'!K247,'Testo, JUM &amp; MRU Data'!R248,GDF))</f>
        <v/>
      </c>
      <c r="Q254" s="981" t="str">
        <f>IF(P254="","",Conc2(P254,P$9,MolVol,P$21,P$20,Q$21,Q$20))</f>
        <v/>
      </c>
      <c r="R254" s="981" t="str">
        <f>IF(R$17=FALSE,"",JUMData('Testo, JUM &amp; MRU Data'!M248,$R$7))</f>
        <v/>
      </c>
      <c r="S254" s="982" t="str">
        <f>IF(R254="","",Conc2(R254,R$9,MolVol,R$21,R$20,S$21,S$20)/(1-Bws))</f>
        <v/>
      </c>
      <c r="T254" s="740"/>
      <c r="AR254" s="334"/>
      <c r="AS254" s="334"/>
      <c r="AT254" s="48"/>
      <c r="AU254" s="48"/>
      <c r="AV254" s="153"/>
      <c r="AW254" s="153"/>
      <c r="AX254" s="153"/>
      <c r="AY254" s="153"/>
      <c r="AZ254" s="153"/>
      <c r="BA254" s="153"/>
      <c r="BB254" s="153"/>
      <c r="BC254" s="153"/>
      <c r="BD254" s="153"/>
      <c r="BE254" s="153"/>
      <c r="BF254" s="153"/>
      <c r="BG254" s="153"/>
      <c r="BH254" s="153"/>
      <c r="BI254" s="153"/>
      <c r="BJ254" s="153"/>
      <c r="BK254" s="153"/>
      <c r="BL254" s="153"/>
      <c r="BM254" s="153"/>
      <c r="BN254" s="153"/>
      <c r="BO254" s="153"/>
      <c r="BP254" s="153"/>
      <c r="BQ254" s="153"/>
      <c r="BR254" s="153"/>
      <c r="BS254" s="153"/>
      <c r="BT254" s="153"/>
      <c r="BU254" s="153"/>
      <c r="BV254" s="153"/>
      <c r="BW254" s="153"/>
      <c r="BX254" s="153"/>
      <c r="BY254" s="153"/>
      <c r="BZ254" s="153"/>
      <c r="CA254" s="153"/>
      <c r="CB254" s="153"/>
      <c r="CC254" s="153"/>
      <c r="CD254" s="153"/>
      <c r="CE254" s="153"/>
      <c r="CF254" s="153"/>
      <c r="CG254" s="153"/>
      <c r="CH254" s="153"/>
      <c r="CI254" s="153"/>
      <c r="CJ254" s="153"/>
      <c r="CK254" s="153"/>
      <c r="CL254" s="153"/>
      <c r="CM254" s="153"/>
      <c r="CN254" s="153"/>
      <c r="CO254" s="153"/>
      <c r="CP254" s="153"/>
      <c r="CQ254" s="153"/>
      <c r="CR254" s="153"/>
      <c r="CS254" s="153"/>
      <c r="CT254" s="153"/>
      <c r="CU254" s="153"/>
      <c r="CV254" s="153"/>
      <c r="CW254" s="153"/>
      <c r="CX254" s="153"/>
      <c r="CY254" s="153"/>
      <c r="CZ254" s="153"/>
      <c r="DA254" s="153"/>
      <c r="DB254" s="153"/>
      <c r="DC254" s="153"/>
      <c r="DD254" s="153"/>
      <c r="DE254" s="153"/>
      <c r="DF254" s="153"/>
      <c r="DG254" s="153"/>
      <c r="DH254" s="153"/>
      <c r="DI254" s="153"/>
      <c r="DJ254" s="153"/>
      <c r="DK254" s="153"/>
      <c r="DL254" s="153"/>
      <c r="DM254" s="153"/>
      <c r="DN254" s="153"/>
      <c r="DO254" s="153"/>
      <c r="DP254" s="153"/>
      <c r="DQ254" s="153"/>
      <c r="DR254" s="153"/>
      <c r="DS254" s="153"/>
      <c r="DT254" s="153"/>
      <c r="DU254" s="153"/>
      <c r="DV254" s="153"/>
      <c r="DW254" s="153"/>
      <c r="DX254" s="153"/>
      <c r="DY254" s="153"/>
      <c r="DZ254" s="153"/>
      <c r="EA254" s="153"/>
      <c r="EB254" s="153"/>
      <c r="EC254" s="153"/>
      <c r="ED254" s="153"/>
      <c r="EE254" s="153"/>
      <c r="EF254" s="153"/>
      <c r="EG254" s="153"/>
      <c r="EH254" s="153"/>
      <c r="EI254" s="153"/>
      <c r="EJ254" s="153"/>
      <c r="EK254" s="153"/>
      <c r="EL254" s="153"/>
      <c r="EM254" s="153"/>
    </row>
    <row r="255" spans="1:143" s="107" customFormat="1" ht="10.5" hidden="1" customHeight="1" outlineLevel="2">
      <c r="A255" s="1548">
        <v>230</v>
      </c>
      <c r="B255" s="1560" t="str">
        <f t="shared" si="5"/>
        <v/>
      </c>
      <c r="C255" s="161" t="str">
        <f>GasTime(GasAnalyser,'Horiba Data'!F248,'Horiba Data'!G248,'Testo, JUM &amp; MRU Data'!A249,'Thermo Data'!B248,HourOffset)</f>
        <v/>
      </c>
      <c r="D255" s="981" t="str">
        <f>IF(D$17=FALSE,"",GasData(GasAnalyser,'Horiba Data'!S248,'Testo, JUM &amp; MRU Data'!D249,'Thermo Data'!E248,'Testo, JUM &amp; MRU Data'!U249,GDF))</f>
        <v/>
      </c>
      <c r="E255" s="981" t="str">
        <f>IF(D255="","",Conc2(D255,D$9,MolVol,D$21,D$20,E$21,E$20))</f>
        <v/>
      </c>
      <c r="F255" s="981" t="str">
        <f>IF(F$17=FALSE,"",GasData(GasAnalyser,'Horiba Data'!AQ248,'Testo, JUM &amp; MRU Data'!E249,'Thermo Data'!F248,'Testo, JUM &amp; MRU Data'!V249,GDF))</f>
        <v/>
      </c>
      <c r="G255" s="981" t="str">
        <f>IF(F255="","",Conc2(F255,F$9,MolVol,F$21,F$20,G$21,G$20))</f>
        <v/>
      </c>
      <c r="H255" s="981" t="str">
        <f>IF(D$17=FALSE,"",IF(F$17=FALSE,"",GasData(GasAnalyser,'Horiba Data'!W248,'Testo, JUM &amp; MRU Data'!F249,'Thermo Data'!G248,'Testo, JUM &amp; MRU Data'!Y249,GDF)))</f>
        <v/>
      </c>
      <c r="I255" s="981" t="str">
        <f>IF(H255="","",Conc2(H255,H$9,MolVol,H$21,H$20,I$21,I$20))</f>
        <v/>
      </c>
      <c r="J255" s="981" t="str">
        <f>IF(J$17=FALSE,"",GasData(GasAnalyser,'Horiba Data'!AM248,'Testo, JUM &amp; MRU Data'!G249,'Thermo Data'!H248,'Testo, JUM &amp; MRU Data'!W249,GDF))</f>
        <v/>
      </c>
      <c r="K255" s="981" t="str">
        <f>IF(J255="","",Conc2(J255,J$9,MolVol,J$21,J$20,K$21,K$20))</f>
        <v/>
      </c>
      <c r="L255" s="981" t="str">
        <f>IF(L$17=FALSE,"",GasData(GasAnalyser,'Horiba Data'!AA248,'Testo, JUM &amp; MRU Data'!H249,'Thermo Data'!I248,'Testo, JUM &amp; MRU Data'!T249,GDF))</f>
        <v/>
      </c>
      <c r="M255" s="981" t="str">
        <f>IF(L255="","",Conc2(L255,L$9,MolVol,L$21,L$20,M$21,M$20))</f>
        <v/>
      </c>
      <c r="N255" s="981" t="str">
        <f>IF(N$17=FALSE,"",GasData(GasAnalyser,'Horiba Data'!AE248,'Testo, JUM &amp; MRU Data'!I249,'Thermo Data'!J248,'Testo, JUM &amp; MRU Data'!S249,GDF))</f>
        <v/>
      </c>
      <c r="O255" s="981" t="str">
        <f>IF(N255="","",Conc2(N255,N$9,MolVol,N$21,N$20,O$21,O$20))</f>
        <v/>
      </c>
      <c r="P255" s="981" t="str">
        <f>IF(P$17=FALSE,"",GasData(GasAnalyser,'Horiba Data'!AI248,'Testo, JUM &amp; MRU Data'!J249,'Thermo Data'!K248,'Testo, JUM &amp; MRU Data'!R249,GDF))</f>
        <v/>
      </c>
      <c r="Q255" s="981" t="str">
        <f>IF(P255="","",Conc2(P255,P$9,MolVol,P$21,P$20,Q$21,Q$20))</f>
        <v/>
      </c>
      <c r="R255" s="981" t="str">
        <f>IF(R$17=FALSE,"",JUMData('Testo, JUM &amp; MRU Data'!M249,$R$7))</f>
        <v/>
      </c>
      <c r="S255" s="982" t="str">
        <f>IF(R255="","",Conc2(R255,R$9,MolVol,R$21,R$20,S$21,S$20)/(1-Bws))</f>
        <v/>
      </c>
      <c r="T255" s="740"/>
      <c r="AR255" s="334"/>
      <c r="AS255" s="334"/>
      <c r="AT255" s="48"/>
      <c r="AU255" s="48"/>
      <c r="AV255" s="153"/>
      <c r="AW255" s="153"/>
      <c r="AX255" s="153"/>
      <c r="AY255" s="153"/>
      <c r="AZ255" s="153"/>
      <c r="BA255" s="153"/>
      <c r="BB255" s="153"/>
      <c r="BC255" s="153"/>
      <c r="BD255" s="153"/>
      <c r="BE255" s="153"/>
      <c r="BF255" s="153"/>
      <c r="BG255" s="153"/>
      <c r="BH255" s="153"/>
      <c r="BI255" s="153"/>
      <c r="BJ255" s="153"/>
      <c r="BK255" s="153"/>
      <c r="BL255" s="153"/>
      <c r="BM255" s="153"/>
      <c r="BN255" s="153"/>
      <c r="BO255" s="153"/>
      <c r="BP255" s="153"/>
      <c r="BQ255" s="153"/>
      <c r="BR255" s="153"/>
      <c r="BS255" s="153"/>
      <c r="BT255" s="153"/>
      <c r="BU255" s="153"/>
      <c r="BV255" s="153"/>
      <c r="BW255" s="153"/>
      <c r="BX255" s="153"/>
      <c r="BY255" s="153"/>
      <c r="BZ255" s="153"/>
      <c r="CA255" s="153"/>
      <c r="CB255" s="153"/>
      <c r="CC255" s="153"/>
      <c r="CD255" s="153"/>
      <c r="CE255" s="153"/>
      <c r="CF255" s="153"/>
      <c r="CG255" s="153"/>
      <c r="CH255" s="153"/>
      <c r="CI255" s="153"/>
      <c r="CJ255" s="153"/>
      <c r="CK255" s="153"/>
      <c r="CL255" s="153"/>
      <c r="CM255" s="153"/>
      <c r="CN255" s="153"/>
      <c r="CO255" s="153"/>
      <c r="CP255" s="153"/>
      <c r="CQ255" s="153"/>
      <c r="CR255" s="153"/>
      <c r="CS255" s="153"/>
      <c r="CT255" s="153"/>
      <c r="CU255" s="153"/>
      <c r="CV255" s="153"/>
      <c r="CW255" s="153"/>
      <c r="CX255" s="153"/>
      <c r="CY255" s="153"/>
      <c r="CZ255" s="153"/>
      <c r="DA255" s="153"/>
      <c r="DB255" s="153"/>
      <c r="DC255" s="153"/>
      <c r="DD255" s="153"/>
      <c r="DE255" s="153"/>
      <c r="DF255" s="153"/>
      <c r="DG255" s="153"/>
      <c r="DH255" s="153"/>
      <c r="DI255" s="153"/>
      <c r="DJ255" s="153"/>
      <c r="DK255" s="153"/>
      <c r="DL255" s="153"/>
      <c r="DM255" s="153"/>
      <c r="DN255" s="153"/>
      <c r="DO255" s="153"/>
      <c r="DP255" s="153"/>
      <c r="DQ255" s="153"/>
      <c r="DR255" s="153"/>
      <c r="DS255" s="153"/>
      <c r="DT255" s="153"/>
      <c r="DU255" s="153"/>
      <c r="DV255" s="153"/>
      <c r="DW255" s="153"/>
      <c r="DX255" s="153"/>
      <c r="DY255" s="153"/>
      <c r="DZ255" s="153"/>
      <c r="EA255" s="153"/>
      <c r="EB255" s="153"/>
      <c r="EC255" s="153"/>
      <c r="ED255" s="153"/>
      <c r="EE255" s="153"/>
      <c r="EF255" s="153"/>
      <c r="EG255" s="153"/>
      <c r="EH255" s="153"/>
      <c r="EI255" s="153"/>
      <c r="EJ255" s="153"/>
      <c r="EK255" s="153"/>
      <c r="EL255" s="153"/>
      <c r="EM255" s="153"/>
    </row>
    <row r="256" spans="1:143" s="107" customFormat="1" ht="10.5" hidden="1" customHeight="1" outlineLevel="2">
      <c r="A256" s="1548">
        <v>231</v>
      </c>
      <c r="B256" s="1560" t="str">
        <f t="shared" si="5"/>
        <v/>
      </c>
      <c r="C256" s="161" t="str">
        <f>GasTime(GasAnalyser,'Horiba Data'!F249,'Horiba Data'!G249,'Testo, JUM &amp; MRU Data'!A250,'Thermo Data'!B249,HourOffset)</f>
        <v/>
      </c>
      <c r="D256" s="981" t="str">
        <f>IF(D$17=FALSE,"",GasData(GasAnalyser,'Horiba Data'!S249,'Testo, JUM &amp; MRU Data'!D250,'Thermo Data'!E249,'Testo, JUM &amp; MRU Data'!U250,GDF))</f>
        <v/>
      </c>
      <c r="E256" s="981" t="str">
        <f>IF(D256="","",Conc2(D256,D$9,MolVol,D$21,D$20,E$21,E$20))</f>
        <v/>
      </c>
      <c r="F256" s="981" t="str">
        <f>IF(F$17=FALSE,"",GasData(GasAnalyser,'Horiba Data'!AQ249,'Testo, JUM &amp; MRU Data'!E250,'Thermo Data'!F249,'Testo, JUM &amp; MRU Data'!V250,GDF))</f>
        <v/>
      </c>
      <c r="G256" s="981" t="str">
        <f>IF(F256="","",Conc2(F256,F$9,MolVol,F$21,F$20,G$21,G$20))</f>
        <v/>
      </c>
      <c r="H256" s="981" t="str">
        <f>IF(D$17=FALSE,"",IF(F$17=FALSE,"",GasData(GasAnalyser,'Horiba Data'!W249,'Testo, JUM &amp; MRU Data'!F250,'Thermo Data'!G249,'Testo, JUM &amp; MRU Data'!Y250,GDF)))</f>
        <v/>
      </c>
      <c r="I256" s="981" t="str">
        <f>IF(H256="","",Conc2(H256,H$9,MolVol,H$21,H$20,I$21,I$20))</f>
        <v/>
      </c>
      <c r="J256" s="981" t="str">
        <f>IF(J$17=FALSE,"",GasData(GasAnalyser,'Horiba Data'!AM249,'Testo, JUM &amp; MRU Data'!G250,'Thermo Data'!H249,'Testo, JUM &amp; MRU Data'!W250,GDF))</f>
        <v/>
      </c>
      <c r="K256" s="981" t="str">
        <f>IF(J256="","",Conc2(J256,J$9,MolVol,J$21,J$20,K$21,K$20))</f>
        <v/>
      </c>
      <c r="L256" s="981" t="str">
        <f>IF(L$17=FALSE,"",GasData(GasAnalyser,'Horiba Data'!AA249,'Testo, JUM &amp; MRU Data'!H250,'Thermo Data'!I249,'Testo, JUM &amp; MRU Data'!T250,GDF))</f>
        <v/>
      </c>
      <c r="M256" s="981" t="str">
        <f>IF(L256="","",Conc2(L256,L$9,MolVol,L$21,L$20,M$21,M$20))</f>
        <v/>
      </c>
      <c r="N256" s="981" t="str">
        <f>IF(N$17=FALSE,"",GasData(GasAnalyser,'Horiba Data'!AE249,'Testo, JUM &amp; MRU Data'!I250,'Thermo Data'!J249,'Testo, JUM &amp; MRU Data'!S250,GDF))</f>
        <v/>
      </c>
      <c r="O256" s="981" t="str">
        <f>IF(N256="","",Conc2(N256,N$9,MolVol,N$21,N$20,O$21,O$20))</f>
        <v/>
      </c>
      <c r="P256" s="981" t="str">
        <f>IF(P$17=FALSE,"",GasData(GasAnalyser,'Horiba Data'!AI249,'Testo, JUM &amp; MRU Data'!J250,'Thermo Data'!K249,'Testo, JUM &amp; MRU Data'!R250,GDF))</f>
        <v/>
      </c>
      <c r="Q256" s="981" t="str">
        <f>IF(P256="","",Conc2(P256,P$9,MolVol,P$21,P$20,Q$21,Q$20))</f>
        <v/>
      </c>
      <c r="R256" s="981" t="str">
        <f>IF(R$17=FALSE,"",JUMData('Testo, JUM &amp; MRU Data'!M250,$R$7))</f>
        <v/>
      </c>
      <c r="S256" s="982" t="str">
        <f>IF(R256="","",Conc2(R256,R$9,MolVol,R$21,R$20,S$21,S$20)/(1-Bws))</f>
        <v/>
      </c>
      <c r="T256" s="740"/>
      <c r="AR256" s="334"/>
      <c r="AS256" s="334"/>
      <c r="AT256" s="48"/>
      <c r="AU256" s="48"/>
      <c r="AV256" s="153"/>
      <c r="AW256" s="153"/>
      <c r="AX256" s="153"/>
      <c r="AY256" s="153"/>
      <c r="AZ256" s="153"/>
      <c r="BA256" s="153"/>
      <c r="BB256" s="153"/>
      <c r="BC256" s="153"/>
      <c r="BD256" s="153"/>
      <c r="BE256" s="153"/>
      <c r="BF256" s="153"/>
      <c r="BG256" s="153"/>
      <c r="BH256" s="153"/>
      <c r="BI256" s="153"/>
      <c r="BJ256" s="153"/>
      <c r="BK256" s="153"/>
      <c r="BL256" s="153"/>
      <c r="BM256" s="153"/>
      <c r="BN256" s="153"/>
      <c r="BO256" s="153"/>
      <c r="BP256" s="153"/>
      <c r="BQ256" s="153"/>
      <c r="BR256" s="153"/>
      <c r="BS256" s="153"/>
      <c r="BT256" s="153"/>
      <c r="BU256" s="153"/>
      <c r="BV256" s="153"/>
      <c r="BW256" s="153"/>
      <c r="BX256" s="153"/>
      <c r="BY256" s="153"/>
      <c r="BZ256" s="153"/>
      <c r="CA256" s="153"/>
      <c r="CB256" s="153"/>
      <c r="CC256" s="153"/>
      <c r="CD256" s="153"/>
      <c r="CE256" s="153"/>
      <c r="CF256" s="153"/>
      <c r="CG256" s="153"/>
      <c r="CH256" s="153"/>
      <c r="CI256" s="153"/>
      <c r="CJ256" s="153"/>
      <c r="CK256" s="153"/>
      <c r="CL256" s="153"/>
      <c r="CM256" s="153"/>
      <c r="CN256" s="153"/>
      <c r="CO256" s="153"/>
      <c r="CP256" s="153"/>
      <c r="CQ256" s="153"/>
      <c r="CR256" s="153"/>
      <c r="CS256" s="153"/>
      <c r="CT256" s="153"/>
      <c r="CU256" s="153"/>
      <c r="CV256" s="153"/>
      <c r="CW256" s="153"/>
      <c r="CX256" s="153"/>
      <c r="CY256" s="153"/>
      <c r="CZ256" s="153"/>
      <c r="DA256" s="153"/>
      <c r="DB256" s="153"/>
      <c r="DC256" s="153"/>
      <c r="DD256" s="153"/>
      <c r="DE256" s="153"/>
      <c r="DF256" s="153"/>
      <c r="DG256" s="153"/>
      <c r="DH256" s="153"/>
      <c r="DI256" s="153"/>
      <c r="DJ256" s="153"/>
      <c r="DK256" s="153"/>
      <c r="DL256" s="153"/>
      <c r="DM256" s="153"/>
      <c r="DN256" s="153"/>
      <c r="DO256" s="153"/>
      <c r="DP256" s="153"/>
      <c r="DQ256" s="153"/>
      <c r="DR256" s="153"/>
      <c r="DS256" s="153"/>
      <c r="DT256" s="153"/>
      <c r="DU256" s="153"/>
      <c r="DV256" s="153"/>
      <c r="DW256" s="153"/>
      <c r="DX256" s="153"/>
      <c r="DY256" s="153"/>
      <c r="DZ256" s="153"/>
      <c r="EA256" s="153"/>
      <c r="EB256" s="153"/>
      <c r="EC256" s="153"/>
      <c r="ED256" s="153"/>
      <c r="EE256" s="153"/>
      <c r="EF256" s="153"/>
      <c r="EG256" s="153"/>
      <c r="EH256" s="153"/>
      <c r="EI256" s="153"/>
      <c r="EJ256" s="153"/>
      <c r="EK256" s="153"/>
      <c r="EL256" s="153"/>
      <c r="EM256" s="153"/>
    </row>
    <row r="257" spans="1:143" s="107" customFormat="1" ht="10.5" hidden="1" customHeight="1" outlineLevel="2">
      <c r="A257" s="1548">
        <v>232</v>
      </c>
      <c r="B257" s="1560" t="str">
        <f t="shared" si="5"/>
        <v/>
      </c>
      <c r="C257" s="161" t="str">
        <f>GasTime(GasAnalyser,'Horiba Data'!F250,'Horiba Data'!G250,'Testo, JUM &amp; MRU Data'!A251,'Thermo Data'!B250,HourOffset)</f>
        <v/>
      </c>
      <c r="D257" s="981" t="str">
        <f>IF(D$17=FALSE,"",GasData(GasAnalyser,'Horiba Data'!S250,'Testo, JUM &amp; MRU Data'!D251,'Thermo Data'!E250,'Testo, JUM &amp; MRU Data'!U251,GDF))</f>
        <v/>
      </c>
      <c r="E257" s="981" t="str">
        <f>IF(D257="","",Conc2(D257,D$9,MolVol,D$21,D$20,E$21,E$20))</f>
        <v/>
      </c>
      <c r="F257" s="981" t="str">
        <f>IF(F$17=FALSE,"",GasData(GasAnalyser,'Horiba Data'!AQ250,'Testo, JUM &amp; MRU Data'!E251,'Thermo Data'!F250,'Testo, JUM &amp; MRU Data'!V251,GDF))</f>
        <v/>
      </c>
      <c r="G257" s="981" t="str">
        <f>IF(F257="","",Conc2(F257,F$9,MolVol,F$21,F$20,G$21,G$20))</f>
        <v/>
      </c>
      <c r="H257" s="981" t="str">
        <f>IF(D$17=FALSE,"",IF(F$17=FALSE,"",GasData(GasAnalyser,'Horiba Data'!W250,'Testo, JUM &amp; MRU Data'!F251,'Thermo Data'!G250,'Testo, JUM &amp; MRU Data'!Y251,GDF)))</f>
        <v/>
      </c>
      <c r="I257" s="981" t="str">
        <f>IF(H257="","",Conc2(H257,H$9,MolVol,H$21,H$20,I$21,I$20))</f>
        <v/>
      </c>
      <c r="J257" s="981" t="str">
        <f>IF(J$17=FALSE,"",GasData(GasAnalyser,'Horiba Data'!AM250,'Testo, JUM &amp; MRU Data'!G251,'Thermo Data'!H250,'Testo, JUM &amp; MRU Data'!W251,GDF))</f>
        <v/>
      </c>
      <c r="K257" s="981" t="str">
        <f>IF(J257="","",Conc2(J257,J$9,MolVol,J$21,J$20,K$21,K$20))</f>
        <v/>
      </c>
      <c r="L257" s="981" t="str">
        <f>IF(L$17=FALSE,"",GasData(GasAnalyser,'Horiba Data'!AA250,'Testo, JUM &amp; MRU Data'!H251,'Thermo Data'!I250,'Testo, JUM &amp; MRU Data'!T251,GDF))</f>
        <v/>
      </c>
      <c r="M257" s="981" t="str">
        <f>IF(L257="","",Conc2(L257,L$9,MolVol,L$21,L$20,M$21,M$20))</f>
        <v/>
      </c>
      <c r="N257" s="981" t="str">
        <f>IF(N$17=FALSE,"",GasData(GasAnalyser,'Horiba Data'!AE250,'Testo, JUM &amp; MRU Data'!I251,'Thermo Data'!J250,'Testo, JUM &amp; MRU Data'!S251,GDF))</f>
        <v/>
      </c>
      <c r="O257" s="981" t="str">
        <f>IF(N257="","",Conc2(N257,N$9,MolVol,N$21,N$20,O$21,O$20))</f>
        <v/>
      </c>
      <c r="P257" s="981" t="str">
        <f>IF(P$17=FALSE,"",GasData(GasAnalyser,'Horiba Data'!AI250,'Testo, JUM &amp; MRU Data'!J251,'Thermo Data'!K250,'Testo, JUM &amp; MRU Data'!R251,GDF))</f>
        <v/>
      </c>
      <c r="Q257" s="981" t="str">
        <f>IF(P257="","",Conc2(P257,P$9,MolVol,P$21,P$20,Q$21,Q$20))</f>
        <v/>
      </c>
      <c r="R257" s="981" t="str">
        <f>IF(R$17=FALSE,"",JUMData('Testo, JUM &amp; MRU Data'!M251,$R$7))</f>
        <v/>
      </c>
      <c r="S257" s="982" t="str">
        <f>IF(R257="","",Conc2(R257,R$9,MolVol,R$21,R$20,S$21,S$20)/(1-Bws))</f>
        <v/>
      </c>
      <c r="T257" s="740"/>
      <c r="AR257" s="334"/>
      <c r="AS257" s="334"/>
      <c r="AT257" s="48"/>
      <c r="AU257" s="48"/>
      <c r="AV257" s="153"/>
      <c r="AW257" s="153"/>
      <c r="AX257" s="153"/>
      <c r="AY257" s="153"/>
      <c r="AZ257" s="153"/>
      <c r="BA257" s="153"/>
      <c r="BB257" s="153"/>
      <c r="BC257" s="153"/>
      <c r="BD257" s="153"/>
      <c r="BE257" s="153"/>
      <c r="BF257" s="153"/>
      <c r="BG257" s="153"/>
      <c r="BH257" s="153"/>
      <c r="BI257" s="153"/>
      <c r="BJ257" s="153"/>
      <c r="BK257" s="153"/>
      <c r="BL257" s="153"/>
      <c r="BM257" s="153"/>
      <c r="BN257" s="153"/>
      <c r="BO257" s="153"/>
      <c r="BP257" s="153"/>
      <c r="BQ257" s="153"/>
      <c r="BR257" s="153"/>
      <c r="BS257" s="153"/>
      <c r="BT257" s="153"/>
      <c r="BU257" s="153"/>
      <c r="BV257" s="153"/>
      <c r="BW257" s="153"/>
      <c r="BX257" s="153"/>
      <c r="BY257" s="153"/>
      <c r="BZ257" s="153"/>
      <c r="CA257" s="153"/>
      <c r="CB257" s="153"/>
      <c r="CC257" s="153"/>
      <c r="CD257" s="153"/>
      <c r="CE257" s="153"/>
      <c r="CF257" s="153"/>
      <c r="CG257" s="153"/>
      <c r="CH257" s="153"/>
      <c r="CI257" s="153"/>
      <c r="CJ257" s="153"/>
      <c r="CK257" s="153"/>
      <c r="CL257" s="153"/>
      <c r="CM257" s="153"/>
      <c r="CN257" s="153"/>
      <c r="CO257" s="153"/>
      <c r="CP257" s="153"/>
      <c r="CQ257" s="153"/>
      <c r="CR257" s="153"/>
      <c r="CS257" s="153"/>
      <c r="CT257" s="153"/>
      <c r="CU257" s="153"/>
      <c r="CV257" s="153"/>
      <c r="CW257" s="153"/>
      <c r="CX257" s="153"/>
      <c r="CY257" s="153"/>
      <c r="CZ257" s="153"/>
      <c r="DA257" s="153"/>
      <c r="DB257" s="153"/>
      <c r="DC257" s="153"/>
      <c r="DD257" s="153"/>
      <c r="DE257" s="153"/>
      <c r="DF257" s="153"/>
      <c r="DG257" s="153"/>
      <c r="DH257" s="153"/>
      <c r="DI257" s="153"/>
      <c r="DJ257" s="153"/>
      <c r="DK257" s="153"/>
      <c r="DL257" s="153"/>
      <c r="DM257" s="153"/>
      <c r="DN257" s="153"/>
      <c r="DO257" s="153"/>
      <c r="DP257" s="153"/>
      <c r="DQ257" s="153"/>
      <c r="DR257" s="153"/>
      <c r="DS257" s="153"/>
      <c r="DT257" s="153"/>
      <c r="DU257" s="153"/>
      <c r="DV257" s="153"/>
      <c r="DW257" s="153"/>
      <c r="DX257" s="153"/>
      <c r="DY257" s="153"/>
      <c r="DZ257" s="153"/>
      <c r="EA257" s="153"/>
      <c r="EB257" s="153"/>
      <c r="EC257" s="153"/>
      <c r="ED257" s="153"/>
      <c r="EE257" s="153"/>
      <c r="EF257" s="153"/>
      <c r="EG257" s="153"/>
      <c r="EH257" s="153"/>
      <c r="EI257" s="153"/>
      <c r="EJ257" s="153"/>
      <c r="EK257" s="153"/>
      <c r="EL257" s="153"/>
      <c r="EM257" s="153"/>
    </row>
    <row r="258" spans="1:143" s="107" customFormat="1" ht="10.5" hidden="1" customHeight="1" outlineLevel="2">
      <c r="A258" s="1548">
        <v>233</v>
      </c>
      <c r="B258" s="1560" t="str">
        <f t="shared" si="5"/>
        <v/>
      </c>
      <c r="C258" s="161" t="str">
        <f>GasTime(GasAnalyser,'Horiba Data'!F251,'Horiba Data'!G251,'Testo, JUM &amp; MRU Data'!A252,'Thermo Data'!B251,HourOffset)</f>
        <v/>
      </c>
      <c r="D258" s="981" t="str">
        <f>IF(D$17=FALSE,"",GasData(GasAnalyser,'Horiba Data'!S251,'Testo, JUM &amp; MRU Data'!D252,'Thermo Data'!E251,'Testo, JUM &amp; MRU Data'!U252,GDF))</f>
        <v/>
      </c>
      <c r="E258" s="981" t="str">
        <f>IF(D258="","",Conc2(D258,D$9,MolVol,D$21,D$20,E$21,E$20))</f>
        <v/>
      </c>
      <c r="F258" s="981" t="str">
        <f>IF(F$17=FALSE,"",GasData(GasAnalyser,'Horiba Data'!AQ251,'Testo, JUM &amp; MRU Data'!E252,'Thermo Data'!F251,'Testo, JUM &amp; MRU Data'!V252,GDF))</f>
        <v/>
      </c>
      <c r="G258" s="981" t="str">
        <f>IF(F258="","",Conc2(F258,F$9,MolVol,F$21,F$20,G$21,G$20))</f>
        <v/>
      </c>
      <c r="H258" s="981" t="str">
        <f>IF(D$17=FALSE,"",IF(F$17=FALSE,"",GasData(GasAnalyser,'Horiba Data'!W251,'Testo, JUM &amp; MRU Data'!F252,'Thermo Data'!G251,'Testo, JUM &amp; MRU Data'!Y252,GDF)))</f>
        <v/>
      </c>
      <c r="I258" s="981" t="str">
        <f>IF(H258="","",Conc2(H258,H$9,MolVol,H$21,H$20,I$21,I$20))</f>
        <v/>
      </c>
      <c r="J258" s="981" t="str">
        <f>IF(J$17=FALSE,"",GasData(GasAnalyser,'Horiba Data'!AM251,'Testo, JUM &amp; MRU Data'!G252,'Thermo Data'!H251,'Testo, JUM &amp; MRU Data'!W252,GDF))</f>
        <v/>
      </c>
      <c r="K258" s="981" t="str">
        <f>IF(J258="","",Conc2(J258,J$9,MolVol,J$21,J$20,K$21,K$20))</f>
        <v/>
      </c>
      <c r="L258" s="981" t="str">
        <f>IF(L$17=FALSE,"",GasData(GasAnalyser,'Horiba Data'!AA251,'Testo, JUM &amp; MRU Data'!H252,'Thermo Data'!I251,'Testo, JUM &amp; MRU Data'!T252,GDF))</f>
        <v/>
      </c>
      <c r="M258" s="981" t="str">
        <f>IF(L258="","",Conc2(L258,L$9,MolVol,L$21,L$20,M$21,M$20))</f>
        <v/>
      </c>
      <c r="N258" s="981" t="str">
        <f>IF(N$17=FALSE,"",GasData(GasAnalyser,'Horiba Data'!AE251,'Testo, JUM &amp; MRU Data'!I252,'Thermo Data'!J251,'Testo, JUM &amp; MRU Data'!S252,GDF))</f>
        <v/>
      </c>
      <c r="O258" s="981" t="str">
        <f>IF(N258="","",Conc2(N258,N$9,MolVol,N$21,N$20,O$21,O$20))</f>
        <v/>
      </c>
      <c r="P258" s="981" t="str">
        <f>IF(P$17=FALSE,"",GasData(GasAnalyser,'Horiba Data'!AI251,'Testo, JUM &amp; MRU Data'!J252,'Thermo Data'!K251,'Testo, JUM &amp; MRU Data'!R252,GDF))</f>
        <v/>
      </c>
      <c r="Q258" s="981" t="str">
        <f>IF(P258="","",Conc2(P258,P$9,MolVol,P$21,P$20,Q$21,Q$20))</f>
        <v/>
      </c>
      <c r="R258" s="981" t="str">
        <f>IF(R$17=FALSE,"",JUMData('Testo, JUM &amp; MRU Data'!M252,$R$7))</f>
        <v/>
      </c>
      <c r="S258" s="982" t="str">
        <f>IF(R258="","",Conc2(R258,R$9,MolVol,R$21,R$20,S$21,S$20)/(1-Bws))</f>
        <v/>
      </c>
      <c r="T258" s="740"/>
      <c r="AR258" s="334"/>
      <c r="AS258" s="334"/>
      <c r="AT258" s="48"/>
      <c r="AU258" s="48"/>
      <c r="AV258" s="153"/>
      <c r="AW258" s="153"/>
      <c r="AX258" s="153"/>
      <c r="AY258" s="153"/>
      <c r="AZ258" s="153"/>
      <c r="BA258" s="153"/>
      <c r="BB258" s="153"/>
      <c r="BC258" s="153"/>
      <c r="BD258" s="153"/>
      <c r="BE258" s="153"/>
      <c r="BF258" s="153"/>
      <c r="BG258" s="153"/>
      <c r="BH258" s="153"/>
      <c r="BI258" s="153"/>
      <c r="BJ258" s="153"/>
      <c r="BK258" s="153"/>
      <c r="BL258" s="153"/>
      <c r="BM258" s="153"/>
      <c r="BN258" s="153"/>
      <c r="BO258" s="153"/>
      <c r="BP258" s="153"/>
      <c r="BQ258" s="153"/>
      <c r="BR258" s="153"/>
      <c r="BS258" s="153"/>
      <c r="BT258" s="153"/>
      <c r="BU258" s="153"/>
      <c r="BV258" s="153"/>
      <c r="BW258" s="153"/>
      <c r="BX258" s="153"/>
      <c r="BY258" s="153"/>
      <c r="BZ258" s="153"/>
      <c r="CA258" s="153"/>
      <c r="CB258" s="153"/>
      <c r="CC258" s="153"/>
      <c r="CD258" s="153"/>
      <c r="CE258" s="153"/>
      <c r="CF258" s="153"/>
      <c r="CG258" s="153"/>
      <c r="CH258" s="153"/>
      <c r="CI258" s="153"/>
      <c r="CJ258" s="153"/>
      <c r="CK258" s="153"/>
      <c r="CL258" s="153"/>
      <c r="CM258" s="153"/>
      <c r="CN258" s="153"/>
      <c r="CO258" s="153"/>
      <c r="CP258" s="153"/>
      <c r="CQ258" s="153"/>
      <c r="CR258" s="153"/>
      <c r="CS258" s="153"/>
      <c r="CT258" s="153"/>
      <c r="CU258" s="153"/>
      <c r="CV258" s="153"/>
      <c r="CW258" s="153"/>
      <c r="CX258" s="153"/>
      <c r="CY258" s="153"/>
      <c r="CZ258" s="153"/>
      <c r="DA258" s="153"/>
      <c r="DB258" s="153"/>
      <c r="DC258" s="153"/>
      <c r="DD258" s="153"/>
      <c r="DE258" s="153"/>
      <c r="DF258" s="153"/>
      <c r="DG258" s="153"/>
      <c r="DH258" s="153"/>
      <c r="DI258" s="153"/>
      <c r="DJ258" s="153"/>
      <c r="DK258" s="153"/>
      <c r="DL258" s="153"/>
      <c r="DM258" s="153"/>
      <c r="DN258" s="153"/>
      <c r="DO258" s="153"/>
      <c r="DP258" s="153"/>
      <c r="DQ258" s="153"/>
      <c r="DR258" s="153"/>
      <c r="DS258" s="153"/>
      <c r="DT258" s="153"/>
      <c r="DU258" s="153"/>
      <c r="DV258" s="153"/>
      <c r="DW258" s="153"/>
      <c r="DX258" s="153"/>
      <c r="DY258" s="153"/>
      <c r="DZ258" s="153"/>
      <c r="EA258" s="153"/>
      <c r="EB258" s="153"/>
      <c r="EC258" s="153"/>
      <c r="ED258" s="153"/>
      <c r="EE258" s="153"/>
      <c r="EF258" s="153"/>
      <c r="EG258" s="153"/>
      <c r="EH258" s="153"/>
      <c r="EI258" s="153"/>
      <c r="EJ258" s="153"/>
      <c r="EK258" s="153"/>
      <c r="EL258" s="153"/>
      <c r="EM258" s="153"/>
    </row>
    <row r="259" spans="1:143" s="107" customFormat="1" ht="10.5" hidden="1" customHeight="1" outlineLevel="2">
      <c r="A259" s="1548">
        <v>234</v>
      </c>
      <c r="B259" s="1560" t="str">
        <f t="shared" si="5"/>
        <v/>
      </c>
      <c r="C259" s="161" t="str">
        <f>GasTime(GasAnalyser,'Horiba Data'!F252,'Horiba Data'!G252,'Testo, JUM &amp; MRU Data'!A253,'Thermo Data'!B252,HourOffset)</f>
        <v/>
      </c>
      <c r="D259" s="981" t="str">
        <f>IF(D$17=FALSE,"",GasData(GasAnalyser,'Horiba Data'!S252,'Testo, JUM &amp; MRU Data'!D253,'Thermo Data'!E252,'Testo, JUM &amp; MRU Data'!U253,GDF))</f>
        <v/>
      </c>
      <c r="E259" s="981" t="str">
        <f>IF(D259="","",Conc2(D259,D$9,MolVol,D$21,D$20,E$21,E$20))</f>
        <v/>
      </c>
      <c r="F259" s="981" t="str">
        <f>IF(F$17=FALSE,"",GasData(GasAnalyser,'Horiba Data'!AQ252,'Testo, JUM &amp; MRU Data'!E253,'Thermo Data'!F252,'Testo, JUM &amp; MRU Data'!V253,GDF))</f>
        <v/>
      </c>
      <c r="G259" s="981" t="str">
        <f>IF(F259="","",Conc2(F259,F$9,MolVol,F$21,F$20,G$21,G$20))</f>
        <v/>
      </c>
      <c r="H259" s="981" t="str">
        <f>IF(D$17=FALSE,"",IF(F$17=FALSE,"",GasData(GasAnalyser,'Horiba Data'!W252,'Testo, JUM &amp; MRU Data'!F253,'Thermo Data'!G252,'Testo, JUM &amp; MRU Data'!Y253,GDF)))</f>
        <v/>
      </c>
      <c r="I259" s="981" t="str">
        <f>IF(H259="","",Conc2(H259,H$9,MolVol,H$21,H$20,I$21,I$20))</f>
        <v/>
      </c>
      <c r="J259" s="981" t="str">
        <f>IF(J$17=FALSE,"",GasData(GasAnalyser,'Horiba Data'!AM252,'Testo, JUM &amp; MRU Data'!G253,'Thermo Data'!H252,'Testo, JUM &amp; MRU Data'!W253,GDF))</f>
        <v/>
      </c>
      <c r="K259" s="981" t="str">
        <f>IF(J259="","",Conc2(J259,J$9,MolVol,J$21,J$20,K$21,K$20))</f>
        <v/>
      </c>
      <c r="L259" s="981" t="str">
        <f>IF(L$17=FALSE,"",GasData(GasAnalyser,'Horiba Data'!AA252,'Testo, JUM &amp; MRU Data'!H253,'Thermo Data'!I252,'Testo, JUM &amp; MRU Data'!T253,GDF))</f>
        <v/>
      </c>
      <c r="M259" s="981" t="str">
        <f>IF(L259="","",Conc2(L259,L$9,MolVol,L$21,L$20,M$21,M$20))</f>
        <v/>
      </c>
      <c r="N259" s="981" t="str">
        <f>IF(N$17=FALSE,"",GasData(GasAnalyser,'Horiba Data'!AE252,'Testo, JUM &amp; MRU Data'!I253,'Thermo Data'!J252,'Testo, JUM &amp; MRU Data'!S253,GDF))</f>
        <v/>
      </c>
      <c r="O259" s="981" t="str">
        <f>IF(N259="","",Conc2(N259,N$9,MolVol,N$21,N$20,O$21,O$20))</f>
        <v/>
      </c>
      <c r="P259" s="981" t="str">
        <f>IF(P$17=FALSE,"",GasData(GasAnalyser,'Horiba Data'!AI252,'Testo, JUM &amp; MRU Data'!J253,'Thermo Data'!K252,'Testo, JUM &amp; MRU Data'!R253,GDF))</f>
        <v/>
      </c>
      <c r="Q259" s="981" t="str">
        <f>IF(P259="","",Conc2(P259,P$9,MolVol,P$21,P$20,Q$21,Q$20))</f>
        <v/>
      </c>
      <c r="R259" s="981" t="str">
        <f>IF(R$17=FALSE,"",JUMData('Testo, JUM &amp; MRU Data'!M253,$R$7))</f>
        <v/>
      </c>
      <c r="S259" s="982" t="str">
        <f>IF(R259="","",Conc2(R259,R$9,MolVol,R$21,R$20,S$21,S$20)/(1-Bws))</f>
        <v/>
      </c>
      <c r="T259" s="740"/>
      <c r="AR259" s="334"/>
      <c r="AS259" s="334"/>
      <c r="AT259" s="48"/>
      <c r="AU259" s="48"/>
      <c r="AV259" s="153"/>
      <c r="AW259" s="153"/>
      <c r="AX259" s="153"/>
      <c r="AY259" s="153"/>
      <c r="AZ259" s="153"/>
      <c r="BA259" s="153"/>
      <c r="BB259" s="153"/>
      <c r="BC259" s="153"/>
      <c r="BD259" s="153"/>
      <c r="BE259" s="153"/>
      <c r="BF259" s="153"/>
      <c r="BG259" s="153"/>
      <c r="BH259" s="153"/>
      <c r="BI259" s="153"/>
      <c r="BJ259" s="153"/>
      <c r="BK259" s="153"/>
      <c r="BL259" s="153"/>
      <c r="BM259" s="153"/>
      <c r="BN259" s="153"/>
      <c r="BO259" s="153"/>
      <c r="BP259" s="153"/>
      <c r="BQ259" s="153"/>
      <c r="BR259" s="153"/>
      <c r="BS259" s="153"/>
      <c r="BT259" s="153"/>
      <c r="BU259" s="153"/>
      <c r="BV259" s="153"/>
      <c r="BW259" s="153"/>
      <c r="BX259" s="153"/>
      <c r="BY259" s="153"/>
      <c r="BZ259" s="153"/>
      <c r="CA259" s="153"/>
      <c r="CB259" s="153"/>
      <c r="CC259" s="153"/>
      <c r="CD259" s="153"/>
      <c r="CE259" s="153"/>
      <c r="CF259" s="153"/>
      <c r="CG259" s="153"/>
      <c r="CH259" s="153"/>
      <c r="CI259" s="153"/>
      <c r="CJ259" s="153"/>
      <c r="CK259" s="153"/>
      <c r="CL259" s="153"/>
      <c r="CM259" s="153"/>
      <c r="CN259" s="153"/>
      <c r="CO259" s="153"/>
      <c r="CP259" s="153"/>
      <c r="CQ259" s="153"/>
      <c r="CR259" s="153"/>
      <c r="CS259" s="153"/>
      <c r="CT259" s="153"/>
      <c r="CU259" s="153"/>
      <c r="CV259" s="153"/>
      <c r="CW259" s="153"/>
      <c r="CX259" s="153"/>
      <c r="CY259" s="153"/>
      <c r="CZ259" s="153"/>
      <c r="DA259" s="153"/>
      <c r="DB259" s="153"/>
      <c r="DC259" s="153"/>
      <c r="DD259" s="153"/>
      <c r="DE259" s="153"/>
      <c r="DF259" s="153"/>
      <c r="DG259" s="153"/>
      <c r="DH259" s="153"/>
      <c r="DI259" s="153"/>
      <c r="DJ259" s="153"/>
      <c r="DK259" s="153"/>
      <c r="DL259" s="153"/>
      <c r="DM259" s="153"/>
      <c r="DN259" s="153"/>
      <c r="DO259" s="153"/>
      <c r="DP259" s="153"/>
      <c r="DQ259" s="153"/>
      <c r="DR259" s="153"/>
      <c r="DS259" s="153"/>
      <c r="DT259" s="153"/>
      <c r="DU259" s="153"/>
      <c r="DV259" s="153"/>
      <c r="DW259" s="153"/>
      <c r="DX259" s="153"/>
      <c r="DY259" s="153"/>
      <c r="DZ259" s="153"/>
      <c r="EA259" s="153"/>
      <c r="EB259" s="153"/>
      <c r="EC259" s="153"/>
      <c r="ED259" s="153"/>
      <c r="EE259" s="153"/>
      <c r="EF259" s="153"/>
      <c r="EG259" s="153"/>
      <c r="EH259" s="153"/>
      <c r="EI259" s="153"/>
      <c r="EJ259" s="153"/>
      <c r="EK259" s="153"/>
      <c r="EL259" s="153"/>
      <c r="EM259" s="153"/>
    </row>
    <row r="260" spans="1:143" s="107" customFormat="1" ht="10.5" hidden="1" customHeight="1" outlineLevel="2">
      <c r="A260" s="1548">
        <v>235</v>
      </c>
      <c r="B260" s="1560" t="str">
        <f t="shared" si="5"/>
        <v/>
      </c>
      <c r="C260" s="161" t="str">
        <f>GasTime(GasAnalyser,'Horiba Data'!F253,'Horiba Data'!G253,'Testo, JUM &amp; MRU Data'!A254,'Thermo Data'!B253,HourOffset)</f>
        <v/>
      </c>
      <c r="D260" s="981" t="str">
        <f>IF(D$17=FALSE,"",GasData(GasAnalyser,'Horiba Data'!S253,'Testo, JUM &amp; MRU Data'!D254,'Thermo Data'!E253,'Testo, JUM &amp; MRU Data'!U254,GDF))</f>
        <v/>
      </c>
      <c r="E260" s="981" t="str">
        <f>IF(D260="","",Conc2(D260,D$9,MolVol,D$21,D$20,E$21,E$20))</f>
        <v/>
      </c>
      <c r="F260" s="981" t="str">
        <f>IF(F$17=FALSE,"",GasData(GasAnalyser,'Horiba Data'!AQ253,'Testo, JUM &amp; MRU Data'!E254,'Thermo Data'!F253,'Testo, JUM &amp; MRU Data'!V254,GDF))</f>
        <v/>
      </c>
      <c r="G260" s="981" t="str">
        <f>IF(F260="","",Conc2(F260,F$9,MolVol,F$21,F$20,G$21,G$20))</f>
        <v/>
      </c>
      <c r="H260" s="981" t="str">
        <f>IF(D$17=FALSE,"",IF(F$17=FALSE,"",GasData(GasAnalyser,'Horiba Data'!W253,'Testo, JUM &amp; MRU Data'!F254,'Thermo Data'!G253,'Testo, JUM &amp; MRU Data'!Y254,GDF)))</f>
        <v/>
      </c>
      <c r="I260" s="981" t="str">
        <f>IF(H260="","",Conc2(H260,H$9,MolVol,H$21,H$20,I$21,I$20))</f>
        <v/>
      </c>
      <c r="J260" s="981" t="str">
        <f>IF(J$17=FALSE,"",GasData(GasAnalyser,'Horiba Data'!AM253,'Testo, JUM &amp; MRU Data'!G254,'Thermo Data'!H253,'Testo, JUM &amp; MRU Data'!W254,GDF))</f>
        <v/>
      </c>
      <c r="K260" s="981" t="str">
        <f>IF(J260="","",Conc2(J260,J$9,MolVol,J$21,J$20,K$21,K$20))</f>
        <v/>
      </c>
      <c r="L260" s="981" t="str">
        <f>IF(L$17=FALSE,"",GasData(GasAnalyser,'Horiba Data'!AA253,'Testo, JUM &amp; MRU Data'!H254,'Thermo Data'!I253,'Testo, JUM &amp; MRU Data'!T254,GDF))</f>
        <v/>
      </c>
      <c r="M260" s="981" t="str">
        <f>IF(L260="","",Conc2(L260,L$9,MolVol,L$21,L$20,M$21,M$20))</f>
        <v/>
      </c>
      <c r="N260" s="981" t="str">
        <f>IF(N$17=FALSE,"",GasData(GasAnalyser,'Horiba Data'!AE253,'Testo, JUM &amp; MRU Data'!I254,'Thermo Data'!J253,'Testo, JUM &amp; MRU Data'!S254,GDF))</f>
        <v/>
      </c>
      <c r="O260" s="981" t="str">
        <f>IF(N260="","",Conc2(N260,N$9,MolVol,N$21,N$20,O$21,O$20))</f>
        <v/>
      </c>
      <c r="P260" s="981" t="str">
        <f>IF(P$17=FALSE,"",GasData(GasAnalyser,'Horiba Data'!AI253,'Testo, JUM &amp; MRU Data'!J254,'Thermo Data'!K253,'Testo, JUM &amp; MRU Data'!R254,GDF))</f>
        <v/>
      </c>
      <c r="Q260" s="981" t="str">
        <f>IF(P260="","",Conc2(P260,P$9,MolVol,P$21,P$20,Q$21,Q$20))</f>
        <v/>
      </c>
      <c r="R260" s="981" t="str">
        <f>IF(R$17=FALSE,"",JUMData('Testo, JUM &amp; MRU Data'!M254,$R$7))</f>
        <v/>
      </c>
      <c r="S260" s="982" t="str">
        <f>IF(R260="","",Conc2(R260,R$9,MolVol,R$21,R$20,S$21,S$20)/(1-Bws))</f>
        <v/>
      </c>
      <c r="T260" s="740"/>
      <c r="AR260" s="334"/>
      <c r="AS260" s="334"/>
      <c r="AT260" s="48"/>
      <c r="AU260" s="48"/>
      <c r="AV260" s="153"/>
      <c r="AW260" s="153"/>
      <c r="AX260" s="153"/>
      <c r="AY260" s="153"/>
      <c r="AZ260" s="153"/>
      <c r="BA260" s="153"/>
      <c r="BB260" s="153"/>
      <c r="BC260" s="153"/>
      <c r="BD260" s="153"/>
      <c r="BE260" s="153"/>
      <c r="BF260" s="153"/>
      <c r="BG260" s="153"/>
      <c r="BH260" s="153"/>
      <c r="BI260" s="153"/>
      <c r="BJ260" s="153"/>
      <c r="BK260" s="153"/>
      <c r="BL260" s="153"/>
      <c r="BM260" s="153"/>
      <c r="BN260" s="153"/>
      <c r="BO260" s="153"/>
      <c r="BP260" s="153"/>
      <c r="BQ260" s="153"/>
      <c r="BR260" s="153"/>
      <c r="BS260" s="153"/>
      <c r="BT260" s="153"/>
      <c r="BU260" s="153"/>
      <c r="BV260" s="153"/>
      <c r="BW260" s="153"/>
      <c r="BX260" s="153"/>
      <c r="BY260" s="153"/>
      <c r="BZ260" s="153"/>
      <c r="CA260" s="153"/>
      <c r="CB260" s="153"/>
      <c r="CC260" s="153"/>
      <c r="CD260" s="153"/>
      <c r="CE260" s="153"/>
      <c r="CF260" s="153"/>
      <c r="CG260" s="153"/>
      <c r="CH260" s="153"/>
      <c r="CI260" s="153"/>
      <c r="CJ260" s="153"/>
      <c r="CK260" s="153"/>
      <c r="CL260" s="153"/>
      <c r="CM260" s="153"/>
      <c r="CN260" s="153"/>
      <c r="CO260" s="153"/>
      <c r="CP260" s="153"/>
      <c r="CQ260" s="153"/>
      <c r="CR260" s="153"/>
      <c r="CS260" s="153"/>
      <c r="CT260" s="153"/>
      <c r="CU260" s="153"/>
      <c r="CV260" s="153"/>
      <c r="CW260" s="153"/>
      <c r="CX260" s="153"/>
      <c r="CY260" s="153"/>
      <c r="CZ260" s="153"/>
      <c r="DA260" s="153"/>
      <c r="DB260" s="153"/>
      <c r="DC260" s="153"/>
      <c r="DD260" s="153"/>
      <c r="DE260" s="153"/>
      <c r="DF260" s="153"/>
      <c r="DG260" s="153"/>
      <c r="DH260" s="153"/>
      <c r="DI260" s="153"/>
      <c r="DJ260" s="153"/>
      <c r="DK260" s="153"/>
      <c r="DL260" s="153"/>
      <c r="DM260" s="153"/>
      <c r="DN260" s="153"/>
      <c r="DO260" s="153"/>
      <c r="DP260" s="153"/>
      <c r="DQ260" s="153"/>
      <c r="DR260" s="153"/>
      <c r="DS260" s="153"/>
      <c r="DT260" s="153"/>
      <c r="DU260" s="153"/>
      <c r="DV260" s="153"/>
      <c r="DW260" s="153"/>
      <c r="DX260" s="153"/>
      <c r="DY260" s="153"/>
      <c r="DZ260" s="153"/>
      <c r="EA260" s="153"/>
      <c r="EB260" s="153"/>
      <c r="EC260" s="153"/>
      <c r="ED260" s="153"/>
      <c r="EE260" s="153"/>
      <c r="EF260" s="153"/>
      <c r="EG260" s="153"/>
      <c r="EH260" s="153"/>
      <c r="EI260" s="153"/>
      <c r="EJ260" s="153"/>
      <c r="EK260" s="153"/>
      <c r="EL260" s="153"/>
      <c r="EM260" s="153"/>
    </row>
    <row r="261" spans="1:143" s="107" customFormat="1" ht="10.5" hidden="1" customHeight="1" outlineLevel="2">
      <c r="A261" s="1548">
        <v>236</v>
      </c>
      <c r="B261" s="1560" t="str">
        <f t="shared" si="5"/>
        <v/>
      </c>
      <c r="C261" s="161" t="str">
        <f>GasTime(GasAnalyser,'Horiba Data'!F254,'Horiba Data'!G254,'Testo, JUM &amp; MRU Data'!A255,'Thermo Data'!B254,HourOffset)</f>
        <v/>
      </c>
      <c r="D261" s="981" t="str">
        <f>IF(D$17=FALSE,"",GasData(GasAnalyser,'Horiba Data'!S254,'Testo, JUM &amp; MRU Data'!D255,'Thermo Data'!E254,'Testo, JUM &amp; MRU Data'!U255,GDF))</f>
        <v/>
      </c>
      <c r="E261" s="981" t="str">
        <f>IF(D261="","",Conc2(D261,D$9,MolVol,D$21,D$20,E$21,E$20))</f>
        <v/>
      </c>
      <c r="F261" s="981" t="str">
        <f>IF(F$17=FALSE,"",GasData(GasAnalyser,'Horiba Data'!AQ254,'Testo, JUM &amp; MRU Data'!E255,'Thermo Data'!F254,'Testo, JUM &amp; MRU Data'!V255,GDF))</f>
        <v/>
      </c>
      <c r="G261" s="981" t="str">
        <f>IF(F261="","",Conc2(F261,F$9,MolVol,F$21,F$20,G$21,G$20))</f>
        <v/>
      </c>
      <c r="H261" s="981" t="str">
        <f>IF(D$17=FALSE,"",IF(F$17=FALSE,"",GasData(GasAnalyser,'Horiba Data'!W254,'Testo, JUM &amp; MRU Data'!F255,'Thermo Data'!G254,'Testo, JUM &amp; MRU Data'!Y255,GDF)))</f>
        <v/>
      </c>
      <c r="I261" s="981" t="str">
        <f>IF(H261="","",Conc2(H261,H$9,MolVol,H$21,H$20,I$21,I$20))</f>
        <v/>
      </c>
      <c r="J261" s="981" t="str">
        <f>IF(J$17=FALSE,"",GasData(GasAnalyser,'Horiba Data'!AM254,'Testo, JUM &amp; MRU Data'!G255,'Thermo Data'!H254,'Testo, JUM &amp; MRU Data'!W255,GDF))</f>
        <v/>
      </c>
      <c r="K261" s="981" t="str">
        <f>IF(J261="","",Conc2(J261,J$9,MolVol,J$21,J$20,K$21,K$20))</f>
        <v/>
      </c>
      <c r="L261" s="981" t="str">
        <f>IF(L$17=FALSE,"",GasData(GasAnalyser,'Horiba Data'!AA254,'Testo, JUM &amp; MRU Data'!H255,'Thermo Data'!I254,'Testo, JUM &amp; MRU Data'!T255,GDF))</f>
        <v/>
      </c>
      <c r="M261" s="981" t="str">
        <f>IF(L261="","",Conc2(L261,L$9,MolVol,L$21,L$20,M$21,M$20))</f>
        <v/>
      </c>
      <c r="N261" s="981" t="str">
        <f>IF(N$17=FALSE,"",GasData(GasAnalyser,'Horiba Data'!AE254,'Testo, JUM &amp; MRU Data'!I255,'Thermo Data'!J254,'Testo, JUM &amp; MRU Data'!S255,GDF))</f>
        <v/>
      </c>
      <c r="O261" s="981" t="str">
        <f>IF(N261="","",Conc2(N261,N$9,MolVol,N$21,N$20,O$21,O$20))</f>
        <v/>
      </c>
      <c r="P261" s="981" t="str">
        <f>IF(P$17=FALSE,"",GasData(GasAnalyser,'Horiba Data'!AI254,'Testo, JUM &amp; MRU Data'!J255,'Thermo Data'!K254,'Testo, JUM &amp; MRU Data'!R255,GDF))</f>
        <v/>
      </c>
      <c r="Q261" s="981" t="str">
        <f>IF(P261="","",Conc2(P261,P$9,MolVol,P$21,P$20,Q$21,Q$20))</f>
        <v/>
      </c>
      <c r="R261" s="981" t="str">
        <f>IF(R$17=FALSE,"",JUMData('Testo, JUM &amp; MRU Data'!M255,$R$7))</f>
        <v/>
      </c>
      <c r="S261" s="982" t="str">
        <f>IF(R261="","",Conc2(R261,R$9,MolVol,R$21,R$20,S$21,S$20)/(1-Bws))</f>
        <v/>
      </c>
      <c r="T261" s="740"/>
      <c r="AR261" s="334"/>
      <c r="AS261" s="334"/>
      <c r="AT261" s="48"/>
      <c r="AU261" s="48"/>
      <c r="AV261" s="153"/>
      <c r="AW261" s="153"/>
      <c r="AX261" s="153"/>
      <c r="AY261" s="153"/>
      <c r="AZ261" s="153"/>
      <c r="BA261" s="153"/>
      <c r="BB261" s="153"/>
      <c r="BC261" s="153"/>
      <c r="BD261" s="153"/>
      <c r="BE261" s="153"/>
      <c r="BF261" s="153"/>
      <c r="BG261" s="153"/>
      <c r="BH261" s="153"/>
      <c r="BI261" s="153"/>
      <c r="BJ261" s="153"/>
      <c r="BK261" s="153"/>
      <c r="BL261" s="153"/>
      <c r="BM261" s="153"/>
      <c r="BN261" s="153"/>
      <c r="BO261" s="153"/>
      <c r="BP261" s="153"/>
      <c r="BQ261" s="153"/>
      <c r="BR261" s="153"/>
      <c r="BS261" s="153"/>
      <c r="BT261" s="153"/>
      <c r="BU261" s="153"/>
      <c r="BV261" s="153"/>
      <c r="BW261" s="153"/>
      <c r="BX261" s="153"/>
      <c r="BY261" s="153"/>
      <c r="BZ261" s="153"/>
      <c r="CA261" s="153"/>
      <c r="CB261" s="153"/>
      <c r="CC261" s="153"/>
      <c r="CD261" s="153"/>
      <c r="CE261" s="153"/>
      <c r="CF261" s="153"/>
      <c r="CG261" s="153"/>
      <c r="CH261" s="153"/>
      <c r="CI261" s="153"/>
      <c r="CJ261" s="153"/>
      <c r="CK261" s="153"/>
      <c r="CL261" s="153"/>
      <c r="CM261" s="153"/>
      <c r="CN261" s="153"/>
      <c r="CO261" s="153"/>
      <c r="CP261" s="153"/>
      <c r="CQ261" s="153"/>
      <c r="CR261" s="153"/>
      <c r="CS261" s="153"/>
      <c r="CT261" s="153"/>
      <c r="CU261" s="153"/>
      <c r="CV261" s="153"/>
      <c r="CW261" s="153"/>
      <c r="CX261" s="153"/>
      <c r="CY261" s="153"/>
      <c r="CZ261" s="153"/>
      <c r="DA261" s="153"/>
      <c r="DB261" s="153"/>
      <c r="DC261" s="153"/>
      <c r="DD261" s="153"/>
      <c r="DE261" s="153"/>
      <c r="DF261" s="153"/>
      <c r="DG261" s="153"/>
      <c r="DH261" s="153"/>
      <c r="DI261" s="153"/>
      <c r="DJ261" s="153"/>
      <c r="DK261" s="153"/>
      <c r="DL261" s="153"/>
      <c r="DM261" s="153"/>
      <c r="DN261" s="153"/>
      <c r="DO261" s="153"/>
      <c r="DP261" s="153"/>
      <c r="DQ261" s="153"/>
      <c r="DR261" s="153"/>
      <c r="DS261" s="153"/>
      <c r="DT261" s="153"/>
      <c r="DU261" s="153"/>
      <c r="DV261" s="153"/>
      <c r="DW261" s="153"/>
      <c r="DX261" s="153"/>
      <c r="DY261" s="153"/>
      <c r="DZ261" s="153"/>
      <c r="EA261" s="153"/>
      <c r="EB261" s="153"/>
      <c r="EC261" s="153"/>
      <c r="ED261" s="153"/>
      <c r="EE261" s="153"/>
      <c r="EF261" s="153"/>
      <c r="EG261" s="153"/>
      <c r="EH261" s="153"/>
      <c r="EI261" s="153"/>
      <c r="EJ261" s="153"/>
      <c r="EK261" s="153"/>
      <c r="EL261" s="153"/>
      <c r="EM261" s="153"/>
    </row>
    <row r="262" spans="1:143" s="107" customFormat="1" ht="10.5" hidden="1" customHeight="1" outlineLevel="2">
      <c r="A262" s="1548">
        <v>237</v>
      </c>
      <c r="B262" s="1560" t="str">
        <f t="shared" si="5"/>
        <v/>
      </c>
      <c r="C262" s="161" t="str">
        <f>GasTime(GasAnalyser,'Horiba Data'!F255,'Horiba Data'!G255,'Testo, JUM &amp; MRU Data'!A256,'Thermo Data'!B255,HourOffset)</f>
        <v/>
      </c>
      <c r="D262" s="981" t="str">
        <f>IF(D$17=FALSE,"",GasData(GasAnalyser,'Horiba Data'!S255,'Testo, JUM &amp; MRU Data'!D256,'Thermo Data'!E255,'Testo, JUM &amp; MRU Data'!U256,GDF))</f>
        <v/>
      </c>
      <c r="E262" s="981" t="str">
        <f>IF(D262="","",Conc2(D262,D$9,MolVol,D$21,D$20,E$21,E$20))</f>
        <v/>
      </c>
      <c r="F262" s="981" t="str">
        <f>IF(F$17=FALSE,"",GasData(GasAnalyser,'Horiba Data'!AQ255,'Testo, JUM &amp; MRU Data'!E256,'Thermo Data'!F255,'Testo, JUM &amp; MRU Data'!V256,GDF))</f>
        <v/>
      </c>
      <c r="G262" s="981" t="str">
        <f>IF(F262="","",Conc2(F262,F$9,MolVol,F$21,F$20,G$21,G$20))</f>
        <v/>
      </c>
      <c r="H262" s="981" t="str">
        <f>IF(D$17=FALSE,"",IF(F$17=FALSE,"",GasData(GasAnalyser,'Horiba Data'!W255,'Testo, JUM &amp; MRU Data'!F256,'Thermo Data'!G255,'Testo, JUM &amp; MRU Data'!Y256,GDF)))</f>
        <v/>
      </c>
      <c r="I262" s="981" t="str">
        <f>IF(H262="","",Conc2(H262,H$9,MolVol,H$21,H$20,I$21,I$20))</f>
        <v/>
      </c>
      <c r="J262" s="981" t="str">
        <f>IF(J$17=FALSE,"",GasData(GasAnalyser,'Horiba Data'!AM255,'Testo, JUM &amp; MRU Data'!G256,'Thermo Data'!H255,'Testo, JUM &amp; MRU Data'!W256,GDF))</f>
        <v/>
      </c>
      <c r="K262" s="981" t="str">
        <f>IF(J262="","",Conc2(J262,J$9,MolVol,J$21,J$20,K$21,K$20))</f>
        <v/>
      </c>
      <c r="L262" s="981" t="str">
        <f>IF(L$17=FALSE,"",GasData(GasAnalyser,'Horiba Data'!AA255,'Testo, JUM &amp; MRU Data'!H256,'Thermo Data'!I255,'Testo, JUM &amp; MRU Data'!T256,GDF))</f>
        <v/>
      </c>
      <c r="M262" s="981" t="str">
        <f>IF(L262="","",Conc2(L262,L$9,MolVol,L$21,L$20,M$21,M$20))</f>
        <v/>
      </c>
      <c r="N262" s="981" t="str">
        <f>IF(N$17=FALSE,"",GasData(GasAnalyser,'Horiba Data'!AE255,'Testo, JUM &amp; MRU Data'!I256,'Thermo Data'!J255,'Testo, JUM &amp; MRU Data'!S256,GDF))</f>
        <v/>
      </c>
      <c r="O262" s="981" t="str">
        <f>IF(N262="","",Conc2(N262,N$9,MolVol,N$21,N$20,O$21,O$20))</f>
        <v/>
      </c>
      <c r="P262" s="981" t="str">
        <f>IF(P$17=FALSE,"",GasData(GasAnalyser,'Horiba Data'!AI255,'Testo, JUM &amp; MRU Data'!J256,'Thermo Data'!K255,'Testo, JUM &amp; MRU Data'!R256,GDF))</f>
        <v/>
      </c>
      <c r="Q262" s="981" t="str">
        <f>IF(P262="","",Conc2(P262,P$9,MolVol,P$21,P$20,Q$21,Q$20))</f>
        <v/>
      </c>
      <c r="R262" s="981" t="str">
        <f>IF(R$17=FALSE,"",JUMData('Testo, JUM &amp; MRU Data'!M256,$R$7))</f>
        <v/>
      </c>
      <c r="S262" s="982" t="str">
        <f>IF(R262="","",Conc2(R262,R$9,MolVol,R$21,R$20,S$21,S$20)/(1-Bws))</f>
        <v/>
      </c>
      <c r="T262" s="740"/>
      <c r="AR262" s="334"/>
      <c r="AS262" s="334"/>
      <c r="AT262" s="48"/>
      <c r="AU262" s="48"/>
      <c r="AV262" s="153"/>
      <c r="AW262" s="153"/>
      <c r="AX262" s="153"/>
      <c r="AY262" s="153"/>
      <c r="AZ262" s="153"/>
      <c r="BA262" s="153"/>
      <c r="BB262" s="153"/>
      <c r="BC262" s="153"/>
      <c r="BD262" s="153"/>
      <c r="BE262" s="153"/>
      <c r="BF262" s="153"/>
      <c r="BG262" s="153"/>
      <c r="BH262" s="153"/>
      <c r="BI262" s="153"/>
      <c r="BJ262" s="153"/>
      <c r="BK262" s="153"/>
      <c r="BL262" s="153"/>
      <c r="BM262" s="153"/>
      <c r="BN262" s="153"/>
      <c r="BO262" s="153"/>
      <c r="BP262" s="153"/>
      <c r="BQ262" s="153"/>
      <c r="BR262" s="153"/>
      <c r="BS262" s="153"/>
      <c r="BT262" s="153"/>
      <c r="BU262" s="153"/>
      <c r="BV262" s="153"/>
      <c r="BW262" s="153"/>
      <c r="BX262" s="153"/>
      <c r="BY262" s="153"/>
      <c r="BZ262" s="153"/>
      <c r="CA262" s="153"/>
      <c r="CB262" s="153"/>
      <c r="CC262" s="153"/>
      <c r="CD262" s="153"/>
      <c r="CE262" s="153"/>
      <c r="CF262" s="153"/>
      <c r="CG262" s="153"/>
      <c r="CH262" s="153"/>
      <c r="CI262" s="153"/>
      <c r="CJ262" s="153"/>
      <c r="CK262" s="153"/>
      <c r="CL262" s="153"/>
      <c r="CM262" s="153"/>
      <c r="CN262" s="153"/>
      <c r="CO262" s="153"/>
      <c r="CP262" s="153"/>
      <c r="CQ262" s="153"/>
      <c r="CR262" s="153"/>
      <c r="CS262" s="153"/>
      <c r="CT262" s="153"/>
      <c r="CU262" s="153"/>
      <c r="CV262" s="153"/>
      <c r="CW262" s="153"/>
      <c r="CX262" s="153"/>
      <c r="CY262" s="153"/>
      <c r="CZ262" s="153"/>
      <c r="DA262" s="153"/>
      <c r="DB262" s="153"/>
      <c r="DC262" s="153"/>
      <c r="DD262" s="153"/>
      <c r="DE262" s="153"/>
      <c r="DF262" s="153"/>
      <c r="DG262" s="153"/>
      <c r="DH262" s="153"/>
      <c r="DI262" s="153"/>
      <c r="DJ262" s="153"/>
      <c r="DK262" s="153"/>
      <c r="DL262" s="153"/>
      <c r="DM262" s="153"/>
      <c r="DN262" s="153"/>
      <c r="DO262" s="153"/>
      <c r="DP262" s="153"/>
      <c r="DQ262" s="153"/>
      <c r="DR262" s="153"/>
      <c r="DS262" s="153"/>
      <c r="DT262" s="153"/>
      <c r="DU262" s="153"/>
      <c r="DV262" s="153"/>
      <c r="DW262" s="153"/>
      <c r="DX262" s="153"/>
      <c r="DY262" s="153"/>
      <c r="DZ262" s="153"/>
      <c r="EA262" s="153"/>
      <c r="EB262" s="153"/>
      <c r="EC262" s="153"/>
      <c r="ED262" s="153"/>
      <c r="EE262" s="153"/>
      <c r="EF262" s="153"/>
      <c r="EG262" s="153"/>
      <c r="EH262" s="153"/>
      <c r="EI262" s="153"/>
      <c r="EJ262" s="153"/>
      <c r="EK262" s="153"/>
      <c r="EL262" s="153"/>
      <c r="EM262" s="153"/>
    </row>
    <row r="263" spans="1:143" s="107" customFormat="1" ht="10.5" hidden="1" customHeight="1" outlineLevel="2">
      <c r="A263" s="1548">
        <v>238</v>
      </c>
      <c r="B263" s="1560" t="str">
        <f t="shared" si="5"/>
        <v/>
      </c>
      <c r="C263" s="161" t="str">
        <f>GasTime(GasAnalyser,'Horiba Data'!F256,'Horiba Data'!G256,'Testo, JUM &amp; MRU Data'!A257,'Thermo Data'!B256,HourOffset)</f>
        <v/>
      </c>
      <c r="D263" s="981" t="str">
        <f>IF(D$17=FALSE,"",GasData(GasAnalyser,'Horiba Data'!S256,'Testo, JUM &amp; MRU Data'!D257,'Thermo Data'!E256,'Testo, JUM &amp; MRU Data'!U257,GDF))</f>
        <v/>
      </c>
      <c r="E263" s="981" t="str">
        <f>IF(D263="","",Conc2(D263,D$9,MolVol,D$21,D$20,E$21,E$20))</f>
        <v/>
      </c>
      <c r="F263" s="981" t="str">
        <f>IF(F$17=FALSE,"",GasData(GasAnalyser,'Horiba Data'!AQ256,'Testo, JUM &amp; MRU Data'!E257,'Thermo Data'!F256,'Testo, JUM &amp; MRU Data'!V257,GDF))</f>
        <v/>
      </c>
      <c r="G263" s="981" t="str">
        <f>IF(F263="","",Conc2(F263,F$9,MolVol,F$21,F$20,G$21,G$20))</f>
        <v/>
      </c>
      <c r="H263" s="981" t="str">
        <f>IF(D$17=FALSE,"",IF(F$17=FALSE,"",GasData(GasAnalyser,'Horiba Data'!W256,'Testo, JUM &amp; MRU Data'!F257,'Thermo Data'!G256,'Testo, JUM &amp; MRU Data'!Y257,GDF)))</f>
        <v/>
      </c>
      <c r="I263" s="981" t="str">
        <f>IF(H263="","",Conc2(H263,H$9,MolVol,H$21,H$20,I$21,I$20))</f>
        <v/>
      </c>
      <c r="J263" s="981" t="str">
        <f>IF(J$17=FALSE,"",GasData(GasAnalyser,'Horiba Data'!AM256,'Testo, JUM &amp; MRU Data'!G257,'Thermo Data'!H256,'Testo, JUM &amp; MRU Data'!W257,GDF))</f>
        <v/>
      </c>
      <c r="K263" s="981" t="str">
        <f>IF(J263="","",Conc2(J263,J$9,MolVol,J$21,J$20,K$21,K$20))</f>
        <v/>
      </c>
      <c r="L263" s="981" t="str">
        <f>IF(L$17=FALSE,"",GasData(GasAnalyser,'Horiba Data'!AA256,'Testo, JUM &amp; MRU Data'!H257,'Thermo Data'!I256,'Testo, JUM &amp; MRU Data'!T257,GDF))</f>
        <v/>
      </c>
      <c r="M263" s="981" t="str">
        <f>IF(L263="","",Conc2(L263,L$9,MolVol,L$21,L$20,M$21,M$20))</f>
        <v/>
      </c>
      <c r="N263" s="981" t="str">
        <f>IF(N$17=FALSE,"",GasData(GasAnalyser,'Horiba Data'!AE256,'Testo, JUM &amp; MRU Data'!I257,'Thermo Data'!J256,'Testo, JUM &amp; MRU Data'!S257,GDF))</f>
        <v/>
      </c>
      <c r="O263" s="981" t="str">
        <f>IF(N263="","",Conc2(N263,N$9,MolVol,N$21,N$20,O$21,O$20))</f>
        <v/>
      </c>
      <c r="P263" s="981" t="str">
        <f>IF(P$17=FALSE,"",GasData(GasAnalyser,'Horiba Data'!AI256,'Testo, JUM &amp; MRU Data'!J257,'Thermo Data'!K256,'Testo, JUM &amp; MRU Data'!R257,GDF))</f>
        <v/>
      </c>
      <c r="Q263" s="981" t="str">
        <f>IF(P263="","",Conc2(P263,P$9,MolVol,P$21,P$20,Q$21,Q$20))</f>
        <v/>
      </c>
      <c r="R263" s="981" t="str">
        <f>IF(R$17=FALSE,"",JUMData('Testo, JUM &amp; MRU Data'!M257,$R$7))</f>
        <v/>
      </c>
      <c r="S263" s="982" t="str">
        <f>IF(R263="","",Conc2(R263,R$9,MolVol,R$21,R$20,S$21,S$20)/(1-Bws))</f>
        <v/>
      </c>
      <c r="T263" s="740"/>
      <c r="AR263" s="334"/>
      <c r="AS263" s="334"/>
      <c r="AT263" s="48"/>
      <c r="AU263" s="48"/>
      <c r="AV263" s="153"/>
      <c r="AW263" s="153"/>
      <c r="AX263" s="153"/>
      <c r="AY263" s="153"/>
      <c r="AZ263" s="153"/>
      <c r="BA263" s="153"/>
      <c r="BB263" s="153"/>
      <c r="BC263" s="153"/>
      <c r="BD263" s="153"/>
      <c r="BE263" s="153"/>
      <c r="BF263" s="153"/>
      <c r="BG263" s="153"/>
      <c r="BH263" s="153"/>
      <c r="BI263" s="153"/>
      <c r="BJ263" s="153"/>
      <c r="BK263" s="153"/>
      <c r="BL263" s="153"/>
      <c r="BM263" s="153"/>
      <c r="BN263" s="153"/>
      <c r="BO263" s="153"/>
      <c r="BP263" s="153"/>
      <c r="BQ263" s="153"/>
      <c r="BR263" s="153"/>
      <c r="BS263" s="153"/>
      <c r="BT263" s="153"/>
      <c r="BU263" s="153"/>
      <c r="BV263" s="153"/>
      <c r="BW263" s="153"/>
      <c r="BX263" s="153"/>
      <c r="BY263" s="153"/>
      <c r="BZ263" s="153"/>
      <c r="CA263" s="153"/>
      <c r="CB263" s="153"/>
      <c r="CC263" s="153"/>
      <c r="CD263" s="153"/>
      <c r="CE263" s="153"/>
      <c r="CF263" s="153"/>
      <c r="CG263" s="153"/>
      <c r="CH263" s="153"/>
      <c r="CI263" s="153"/>
      <c r="CJ263" s="153"/>
      <c r="CK263" s="153"/>
      <c r="CL263" s="153"/>
      <c r="CM263" s="153"/>
      <c r="CN263" s="153"/>
      <c r="CO263" s="153"/>
      <c r="CP263" s="153"/>
      <c r="CQ263" s="153"/>
      <c r="CR263" s="153"/>
      <c r="CS263" s="153"/>
      <c r="CT263" s="153"/>
      <c r="CU263" s="153"/>
      <c r="CV263" s="153"/>
      <c r="CW263" s="153"/>
      <c r="CX263" s="153"/>
      <c r="CY263" s="153"/>
      <c r="CZ263" s="153"/>
      <c r="DA263" s="153"/>
      <c r="DB263" s="153"/>
      <c r="DC263" s="153"/>
      <c r="DD263" s="153"/>
      <c r="DE263" s="153"/>
      <c r="DF263" s="153"/>
      <c r="DG263" s="153"/>
      <c r="DH263" s="153"/>
      <c r="DI263" s="153"/>
      <c r="DJ263" s="153"/>
      <c r="DK263" s="153"/>
      <c r="DL263" s="153"/>
      <c r="DM263" s="153"/>
      <c r="DN263" s="153"/>
      <c r="DO263" s="153"/>
      <c r="DP263" s="153"/>
      <c r="DQ263" s="153"/>
      <c r="DR263" s="153"/>
      <c r="DS263" s="153"/>
      <c r="DT263" s="153"/>
      <c r="DU263" s="153"/>
      <c r="DV263" s="153"/>
      <c r="DW263" s="153"/>
      <c r="DX263" s="153"/>
      <c r="DY263" s="153"/>
      <c r="DZ263" s="153"/>
      <c r="EA263" s="153"/>
      <c r="EB263" s="153"/>
      <c r="EC263" s="153"/>
      <c r="ED263" s="153"/>
      <c r="EE263" s="153"/>
      <c r="EF263" s="153"/>
      <c r="EG263" s="153"/>
      <c r="EH263" s="153"/>
      <c r="EI263" s="153"/>
      <c r="EJ263" s="153"/>
      <c r="EK263" s="153"/>
      <c r="EL263" s="153"/>
      <c r="EM263" s="153"/>
    </row>
    <row r="264" spans="1:143" s="107" customFormat="1" ht="10.5" hidden="1" customHeight="1" outlineLevel="2">
      <c r="A264" s="1548">
        <v>239</v>
      </c>
      <c r="B264" s="1560" t="str">
        <f t="shared" si="5"/>
        <v/>
      </c>
      <c r="C264" s="161" t="str">
        <f>GasTime(GasAnalyser,'Horiba Data'!F257,'Horiba Data'!G257,'Testo, JUM &amp; MRU Data'!A258,'Thermo Data'!B257,HourOffset)</f>
        <v/>
      </c>
      <c r="D264" s="981" t="str">
        <f>IF(D$17=FALSE,"",GasData(GasAnalyser,'Horiba Data'!S257,'Testo, JUM &amp; MRU Data'!D258,'Thermo Data'!E257,'Testo, JUM &amp; MRU Data'!U258,GDF))</f>
        <v/>
      </c>
      <c r="E264" s="981" t="str">
        <f>IF(D264="","",Conc2(D264,D$9,MolVol,D$21,D$20,E$21,E$20))</f>
        <v/>
      </c>
      <c r="F264" s="981" t="str">
        <f>IF(F$17=FALSE,"",GasData(GasAnalyser,'Horiba Data'!AQ257,'Testo, JUM &amp; MRU Data'!E258,'Thermo Data'!F257,'Testo, JUM &amp; MRU Data'!V258,GDF))</f>
        <v/>
      </c>
      <c r="G264" s="981" t="str">
        <f>IF(F264="","",Conc2(F264,F$9,MolVol,F$21,F$20,G$21,G$20))</f>
        <v/>
      </c>
      <c r="H264" s="981" t="str">
        <f>IF(D$17=FALSE,"",IF(F$17=FALSE,"",GasData(GasAnalyser,'Horiba Data'!W257,'Testo, JUM &amp; MRU Data'!F258,'Thermo Data'!G257,'Testo, JUM &amp; MRU Data'!Y258,GDF)))</f>
        <v/>
      </c>
      <c r="I264" s="981" t="str">
        <f>IF(H264="","",Conc2(H264,H$9,MolVol,H$21,H$20,I$21,I$20))</f>
        <v/>
      </c>
      <c r="J264" s="981" t="str">
        <f>IF(J$17=FALSE,"",GasData(GasAnalyser,'Horiba Data'!AM257,'Testo, JUM &amp; MRU Data'!G258,'Thermo Data'!H257,'Testo, JUM &amp; MRU Data'!W258,GDF))</f>
        <v/>
      </c>
      <c r="K264" s="981" t="str">
        <f>IF(J264="","",Conc2(J264,J$9,MolVol,J$21,J$20,K$21,K$20))</f>
        <v/>
      </c>
      <c r="L264" s="981" t="str">
        <f>IF(L$17=FALSE,"",GasData(GasAnalyser,'Horiba Data'!AA257,'Testo, JUM &amp; MRU Data'!H258,'Thermo Data'!I257,'Testo, JUM &amp; MRU Data'!T258,GDF))</f>
        <v/>
      </c>
      <c r="M264" s="981" t="str">
        <f>IF(L264="","",Conc2(L264,L$9,MolVol,L$21,L$20,M$21,M$20))</f>
        <v/>
      </c>
      <c r="N264" s="981" t="str">
        <f>IF(N$17=FALSE,"",GasData(GasAnalyser,'Horiba Data'!AE257,'Testo, JUM &amp; MRU Data'!I258,'Thermo Data'!J257,'Testo, JUM &amp; MRU Data'!S258,GDF))</f>
        <v/>
      </c>
      <c r="O264" s="981" t="str">
        <f>IF(N264="","",Conc2(N264,N$9,MolVol,N$21,N$20,O$21,O$20))</f>
        <v/>
      </c>
      <c r="P264" s="981" t="str">
        <f>IF(P$17=FALSE,"",GasData(GasAnalyser,'Horiba Data'!AI257,'Testo, JUM &amp; MRU Data'!J258,'Thermo Data'!K257,'Testo, JUM &amp; MRU Data'!R258,GDF))</f>
        <v/>
      </c>
      <c r="Q264" s="981" t="str">
        <f>IF(P264="","",Conc2(P264,P$9,MolVol,P$21,P$20,Q$21,Q$20))</f>
        <v/>
      </c>
      <c r="R264" s="981" t="str">
        <f>IF(R$17=FALSE,"",JUMData('Testo, JUM &amp; MRU Data'!M258,$R$7))</f>
        <v/>
      </c>
      <c r="S264" s="982" t="str">
        <f>IF(R264="","",Conc2(R264,R$9,MolVol,R$21,R$20,S$21,S$20)/(1-Bws))</f>
        <v/>
      </c>
      <c r="T264" s="740"/>
      <c r="AR264" s="334"/>
      <c r="AS264" s="334"/>
      <c r="AT264" s="48"/>
      <c r="AU264" s="48"/>
      <c r="AV264" s="153"/>
      <c r="AW264" s="153"/>
      <c r="AX264" s="153"/>
      <c r="AY264" s="153"/>
      <c r="AZ264" s="153"/>
      <c r="BA264" s="153"/>
      <c r="BB264" s="153"/>
      <c r="BC264" s="153"/>
      <c r="BD264" s="153"/>
      <c r="BE264" s="153"/>
      <c r="BF264" s="153"/>
      <c r="BG264" s="153"/>
      <c r="BH264" s="153"/>
      <c r="BI264" s="153"/>
      <c r="BJ264" s="153"/>
      <c r="BK264" s="153"/>
      <c r="BL264" s="153"/>
      <c r="BM264" s="153"/>
      <c r="BN264" s="153"/>
      <c r="BO264" s="153"/>
      <c r="BP264" s="153"/>
      <c r="BQ264" s="153"/>
      <c r="BR264" s="153"/>
      <c r="BS264" s="153"/>
      <c r="BT264" s="153"/>
      <c r="BU264" s="153"/>
      <c r="BV264" s="153"/>
      <c r="BW264" s="153"/>
      <c r="BX264" s="153"/>
      <c r="BY264" s="153"/>
      <c r="BZ264" s="153"/>
      <c r="CA264" s="153"/>
      <c r="CB264" s="153"/>
      <c r="CC264" s="153"/>
      <c r="CD264" s="153"/>
      <c r="CE264" s="153"/>
      <c r="CF264" s="153"/>
      <c r="CG264" s="153"/>
      <c r="CH264" s="153"/>
      <c r="CI264" s="153"/>
      <c r="CJ264" s="153"/>
      <c r="CK264" s="153"/>
      <c r="CL264" s="153"/>
      <c r="CM264" s="153"/>
      <c r="CN264" s="153"/>
      <c r="CO264" s="153"/>
      <c r="CP264" s="153"/>
      <c r="CQ264" s="153"/>
      <c r="CR264" s="153"/>
      <c r="CS264" s="153"/>
      <c r="CT264" s="153"/>
      <c r="CU264" s="153"/>
      <c r="CV264" s="153"/>
      <c r="CW264" s="153"/>
      <c r="CX264" s="153"/>
      <c r="CY264" s="153"/>
      <c r="CZ264" s="153"/>
      <c r="DA264" s="153"/>
      <c r="DB264" s="153"/>
      <c r="DC264" s="153"/>
      <c r="DD264" s="153"/>
      <c r="DE264" s="153"/>
      <c r="DF264" s="153"/>
      <c r="DG264" s="153"/>
      <c r="DH264" s="153"/>
      <c r="DI264" s="153"/>
      <c r="DJ264" s="153"/>
      <c r="DK264" s="153"/>
      <c r="DL264" s="153"/>
      <c r="DM264" s="153"/>
      <c r="DN264" s="153"/>
      <c r="DO264" s="153"/>
      <c r="DP264" s="153"/>
      <c r="DQ264" s="153"/>
      <c r="DR264" s="153"/>
      <c r="DS264" s="153"/>
      <c r="DT264" s="153"/>
      <c r="DU264" s="153"/>
      <c r="DV264" s="153"/>
      <c r="DW264" s="153"/>
      <c r="DX264" s="153"/>
      <c r="DY264" s="153"/>
      <c r="DZ264" s="153"/>
      <c r="EA264" s="153"/>
      <c r="EB264" s="153"/>
      <c r="EC264" s="153"/>
      <c r="ED264" s="153"/>
      <c r="EE264" s="153"/>
      <c r="EF264" s="153"/>
      <c r="EG264" s="153"/>
      <c r="EH264" s="153"/>
      <c r="EI264" s="153"/>
      <c r="EJ264" s="153"/>
      <c r="EK264" s="153"/>
      <c r="EL264" s="153"/>
      <c r="EM264" s="153"/>
    </row>
    <row r="265" spans="1:143" s="107" customFormat="1" ht="10.5" hidden="1" customHeight="1" outlineLevel="2">
      <c r="A265" s="1548">
        <v>240</v>
      </c>
      <c r="B265" s="1560" t="str">
        <f t="shared" si="5"/>
        <v/>
      </c>
      <c r="C265" s="161" t="str">
        <f>GasTime(GasAnalyser,'Horiba Data'!F258,'Horiba Data'!G258,'Testo, JUM &amp; MRU Data'!A259,'Thermo Data'!B258,HourOffset)</f>
        <v/>
      </c>
      <c r="D265" s="981" t="str">
        <f>IF(D$17=FALSE,"",GasData(GasAnalyser,'Horiba Data'!S258,'Testo, JUM &amp; MRU Data'!D259,'Thermo Data'!E258,'Testo, JUM &amp; MRU Data'!U259,GDF))</f>
        <v/>
      </c>
      <c r="E265" s="981" t="str">
        <f>IF(D265="","",Conc2(D265,D$9,MolVol,D$21,D$20,E$21,E$20))</f>
        <v/>
      </c>
      <c r="F265" s="981" t="str">
        <f>IF(F$17=FALSE,"",GasData(GasAnalyser,'Horiba Data'!AQ258,'Testo, JUM &amp; MRU Data'!E259,'Thermo Data'!F258,'Testo, JUM &amp; MRU Data'!V259,GDF))</f>
        <v/>
      </c>
      <c r="G265" s="981" t="str">
        <f>IF(F265="","",Conc2(F265,F$9,MolVol,F$21,F$20,G$21,G$20))</f>
        <v/>
      </c>
      <c r="H265" s="981" t="str">
        <f>IF(D$17=FALSE,"",IF(F$17=FALSE,"",GasData(GasAnalyser,'Horiba Data'!W258,'Testo, JUM &amp; MRU Data'!F259,'Thermo Data'!G258,'Testo, JUM &amp; MRU Data'!Y259,GDF)))</f>
        <v/>
      </c>
      <c r="I265" s="981" t="str">
        <f>IF(H265="","",Conc2(H265,H$9,MolVol,H$21,H$20,I$21,I$20))</f>
        <v/>
      </c>
      <c r="J265" s="981" t="str">
        <f>IF(J$17=FALSE,"",GasData(GasAnalyser,'Horiba Data'!AM258,'Testo, JUM &amp; MRU Data'!G259,'Thermo Data'!H258,'Testo, JUM &amp; MRU Data'!W259,GDF))</f>
        <v/>
      </c>
      <c r="K265" s="981" t="str">
        <f>IF(J265="","",Conc2(J265,J$9,MolVol,J$21,J$20,K$21,K$20))</f>
        <v/>
      </c>
      <c r="L265" s="981" t="str">
        <f>IF(L$17=FALSE,"",GasData(GasAnalyser,'Horiba Data'!AA258,'Testo, JUM &amp; MRU Data'!H259,'Thermo Data'!I258,'Testo, JUM &amp; MRU Data'!T259,GDF))</f>
        <v/>
      </c>
      <c r="M265" s="981" t="str">
        <f>IF(L265="","",Conc2(L265,L$9,MolVol,L$21,L$20,M$21,M$20))</f>
        <v/>
      </c>
      <c r="N265" s="981" t="str">
        <f>IF(N$17=FALSE,"",GasData(GasAnalyser,'Horiba Data'!AE258,'Testo, JUM &amp; MRU Data'!I259,'Thermo Data'!J258,'Testo, JUM &amp; MRU Data'!S259,GDF))</f>
        <v/>
      </c>
      <c r="O265" s="981" t="str">
        <f>IF(N265="","",Conc2(N265,N$9,MolVol,N$21,N$20,O$21,O$20))</f>
        <v/>
      </c>
      <c r="P265" s="981" t="str">
        <f>IF(P$17=FALSE,"",GasData(GasAnalyser,'Horiba Data'!AI258,'Testo, JUM &amp; MRU Data'!J259,'Thermo Data'!K258,'Testo, JUM &amp; MRU Data'!R259,GDF))</f>
        <v/>
      </c>
      <c r="Q265" s="981" t="str">
        <f>IF(P265="","",Conc2(P265,P$9,MolVol,P$21,P$20,Q$21,Q$20))</f>
        <v/>
      </c>
      <c r="R265" s="981" t="str">
        <f>IF(R$17=FALSE,"",JUMData('Testo, JUM &amp; MRU Data'!M259,$R$7))</f>
        <v/>
      </c>
      <c r="S265" s="982" t="str">
        <f>IF(R265="","",Conc2(R265,R$9,MolVol,R$21,R$20,S$21,S$20)/(1-Bws))</f>
        <v/>
      </c>
      <c r="T265" s="740"/>
      <c r="AR265" s="334"/>
      <c r="AS265" s="334"/>
      <c r="AT265" s="48"/>
      <c r="AU265" s="48"/>
      <c r="AV265" s="153"/>
      <c r="AW265" s="153"/>
      <c r="AX265" s="153"/>
      <c r="AY265" s="153"/>
      <c r="AZ265" s="153"/>
      <c r="BA265" s="153"/>
      <c r="BB265" s="153"/>
      <c r="BC265" s="153"/>
      <c r="BD265" s="153"/>
      <c r="BE265" s="153"/>
      <c r="BF265" s="153"/>
      <c r="BG265" s="153"/>
      <c r="BH265" s="153"/>
      <c r="BI265" s="153"/>
      <c r="BJ265" s="153"/>
      <c r="BK265" s="153"/>
      <c r="BL265" s="153"/>
      <c r="BM265" s="153"/>
      <c r="BN265" s="153"/>
      <c r="BO265" s="153"/>
      <c r="BP265" s="153"/>
      <c r="BQ265" s="153"/>
      <c r="BR265" s="153"/>
      <c r="BS265" s="153"/>
      <c r="BT265" s="153"/>
      <c r="BU265" s="153"/>
      <c r="BV265" s="153"/>
      <c r="BW265" s="153"/>
      <c r="BX265" s="153"/>
      <c r="BY265" s="153"/>
      <c r="BZ265" s="153"/>
      <c r="CA265" s="153"/>
      <c r="CB265" s="153"/>
      <c r="CC265" s="153"/>
      <c r="CD265" s="153"/>
      <c r="CE265" s="153"/>
      <c r="CF265" s="153"/>
      <c r="CG265" s="153"/>
      <c r="CH265" s="153"/>
      <c r="CI265" s="153"/>
      <c r="CJ265" s="153"/>
      <c r="CK265" s="153"/>
      <c r="CL265" s="153"/>
      <c r="CM265" s="153"/>
      <c r="CN265" s="153"/>
      <c r="CO265" s="153"/>
      <c r="CP265" s="153"/>
      <c r="CQ265" s="153"/>
      <c r="CR265" s="153"/>
      <c r="CS265" s="153"/>
      <c r="CT265" s="153"/>
      <c r="CU265" s="153"/>
      <c r="CV265" s="153"/>
      <c r="CW265" s="153"/>
      <c r="CX265" s="153"/>
      <c r="CY265" s="153"/>
      <c r="CZ265" s="153"/>
      <c r="DA265" s="153"/>
      <c r="DB265" s="153"/>
      <c r="DC265" s="153"/>
      <c r="DD265" s="153"/>
      <c r="DE265" s="153"/>
      <c r="DF265" s="153"/>
      <c r="DG265" s="153"/>
      <c r="DH265" s="153"/>
      <c r="DI265" s="153"/>
      <c r="DJ265" s="153"/>
      <c r="DK265" s="153"/>
      <c r="DL265" s="153"/>
      <c r="DM265" s="153"/>
      <c r="DN265" s="153"/>
      <c r="DO265" s="153"/>
      <c r="DP265" s="153"/>
      <c r="DQ265" s="153"/>
      <c r="DR265" s="153"/>
      <c r="DS265" s="153"/>
      <c r="DT265" s="153"/>
      <c r="DU265" s="153"/>
      <c r="DV265" s="153"/>
      <c r="DW265" s="153"/>
      <c r="DX265" s="153"/>
      <c r="DY265" s="153"/>
      <c r="DZ265" s="153"/>
      <c r="EA265" s="153"/>
      <c r="EB265" s="153"/>
      <c r="EC265" s="153"/>
      <c r="ED265" s="153"/>
      <c r="EE265" s="153"/>
      <c r="EF265" s="153"/>
      <c r="EG265" s="153"/>
      <c r="EH265" s="153"/>
      <c r="EI265" s="153"/>
      <c r="EJ265" s="153"/>
      <c r="EK265" s="153"/>
      <c r="EL265" s="153"/>
      <c r="EM265" s="153"/>
    </row>
    <row r="266" spans="1:143" s="107" customFormat="1" ht="10.5" hidden="1" customHeight="1" outlineLevel="2">
      <c r="A266" s="1548">
        <v>241</v>
      </c>
      <c r="B266" s="1560" t="str">
        <f t="shared" si="5"/>
        <v/>
      </c>
      <c r="C266" s="161" t="str">
        <f>GasTime(GasAnalyser,'Horiba Data'!F259,'Horiba Data'!G259,'Testo, JUM &amp; MRU Data'!A260,'Thermo Data'!B259,HourOffset)</f>
        <v/>
      </c>
      <c r="D266" s="981" t="str">
        <f>IF(D$17=FALSE,"",GasData(GasAnalyser,'Horiba Data'!S259,'Testo, JUM &amp; MRU Data'!D260,'Thermo Data'!E259,'Testo, JUM &amp; MRU Data'!U260,GDF))</f>
        <v/>
      </c>
      <c r="E266" s="981" t="str">
        <f>IF(D266="","",Conc2(D266,D$9,MolVol,D$21,D$20,E$21,E$20))</f>
        <v/>
      </c>
      <c r="F266" s="981" t="str">
        <f>IF(F$17=FALSE,"",GasData(GasAnalyser,'Horiba Data'!AQ259,'Testo, JUM &amp; MRU Data'!E260,'Thermo Data'!F259,'Testo, JUM &amp; MRU Data'!V260,GDF))</f>
        <v/>
      </c>
      <c r="G266" s="981" t="str">
        <f>IF(F266="","",Conc2(F266,F$9,MolVol,F$21,F$20,G$21,G$20))</f>
        <v/>
      </c>
      <c r="H266" s="981" t="str">
        <f>IF(D$17=FALSE,"",IF(F$17=FALSE,"",GasData(GasAnalyser,'Horiba Data'!W259,'Testo, JUM &amp; MRU Data'!F260,'Thermo Data'!G259,'Testo, JUM &amp; MRU Data'!Y260,GDF)))</f>
        <v/>
      </c>
      <c r="I266" s="981" t="str">
        <f>IF(H266="","",Conc2(H266,H$9,MolVol,H$21,H$20,I$21,I$20))</f>
        <v/>
      </c>
      <c r="J266" s="981" t="str">
        <f>IF(J$17=FALSE,"",GasData(GasAnalyser,'Horiba Data'!AM259,'Testo, JUM &amp; MRU Data'!G260,'Thermo Data'!H259,'Testo, JUM &amp; MRU Data'!W260,GDF))</f>
        <v/>
      </c>
      <c r="K266" s="981" t="str">
        <f>IF(J266="","",Conc2(J266,J$9,MolVol,J$21,J$20,K$21,K$20))</f>
        <v/>
      </c>
      <c r="L266" s="981" t="str">
        <f>IF(L$17=FALSE,"",GasData(GasAnalyser,'Horiba Data'!AA259,'Testo, JUM &amp; MRU Data'!H260,'Thermo Data'!I259,'Testo, JUM &amp; MRU Data'!T260,GDF))</f>
        <v/>
      </c>
      <c r="M266" s="981" t="str">
        <f>IF(L266="","",Conc2(L266,L$9,MolVol,L$21,L$20,M$21,M$20))</f>
        <v/>
      </c>
      <c r="N266" s="981" t="str">
        <f>IF(N$17=FALSE,"",GasData(GasAnalyser,'Horiba Data'!AE259,'Testo, JUM &amp; MRU Data'!I260,'Thermo Data'!J259,'Testo, JUM &amp; MRU Data'!S260,GDF))</f>
        <v/>
      </c>
      <c r="O266" s="981" t="str">
        <f>IF(N266="","",Conc2(N266,N$9,MolVol,N$21,N$20,O$21,O$20))</f>
        <v/>
      </c>
      <c r="P266" s="981" t="str">
        <f>IF(P$17=FALSE,"",GasData(GasAnalyser,'Horiba Data'!AI259,'Testo, JUM &amp; MRU Data'!J260,'Thermo Data'!K259,'Testo, JUM &amp; MRU Data'!R260,GDF))</f>
        <v/>
      </c>
      <c r="Q266" s="981" t="str">
        <f>IF(P266="","",Conc2(P266,P$9,MolVol,P$21,P$20,Q$21,Q$20))</f>
        <v/>
      </c>
      <c r="R266" s="981" t="str">
        <f>IF(R$17=FALSE,"",JUMData('Testo, JUM &amp; MRU Data'!M260,$R$7))</f>
        <v/>
      </c>
      <c r="S266" s="982" t="str">
        <f>IF(R266="","",Conc2(R266,R$9,MolVol,R$21,R$20,S$21,S$20)/(1-Bws))</f>
        <v/>
      </c>
      <c r="T266" s="740"/>
      <c r="AR266" s="334"/>
      <c r="AS266" s="334"/>
      <c r="AT266" s="48"/>
      <c r="AU266" s="48"/>
      <c r="AV266" s="153"/>
      <c r="AW266" s="153"/>
      <c r="AX266" s="153"/>
      <c r="AY266" s="153"/>
      <c r="AZ266" s="153"/>
      <c r="BA266" s="153"/>
      <c r="BB266" s="153"/>
      <c r="BC266" s="153"/>
      <c r="BD266" s="153"/>
      <c r="BE266" s="153"/>
      <c r="BF266" s="153"/>
      <c r="BG266" s="153"/>
      <c r="BH266" s="153"/>
      <c r="BI266" s="153"/>
      <c r="BJ266" s="153"/>
      <c r="BK266" s="153"/>
      <c r="BL266" s="153"/>
      <c r="BM266" s="153"/>
      <c r="BN266" s="153"/>
      <c r="BO266" s="153"/>
      <c r="BP266" s="153"/>
      <c r="BQ266" s="153"/>
      <c r="BR266" s="153"/>
      <c r="BS266" s="153"/>
      <c r="BT266" s="153"/>
      <c r="BU266" s="153"/>
      <c r="BV266" s="153"/>
      <c r="BW266" s="153"/>
      <c r="BX266" s="153"/>
      <c r="BY266" s="153"/>
      <c r="BZ266" s="153"/>
      <c r="CA266" s="153"/>
      <c r="CB266" s="153"/>
      <c r="CC266" s="153"/>
      <c r="CD266" s="153"/>
      <c r="CE266" s="153"/>
      <c r="CF266" s="153"/>
      <c r="CG266" s="153"/>
      <c r="CH266" s="153"/>
      <c r="CI266" s="153"/>
      <c r="CJ266" s="153"/>
      <c r="CK266" s="153"/>
      <c r="CL266" s="153"/>
      <c r="CM266" s="153"/>
      <c r="CN266" s="153"/>
      <c r="CO266" s="153"/>
      <c r="CP266" s="153"/>
      <c r="CQ266" s="153"/>
      <c r="CR266" s="153"/>
      <c r="CS266" s="153"/>
      <c r="CT266" s="153"/>
      <c r="CU266" s="153"/>
      <c r="CV266" s="153"/>
      <c r="CW266" s="153"/>
      <c r="CX266" s="153"/>
      <c r="CY266" s="153"/>
      <c r="CZ266" s="153"/>
      <c r="DA266" s="153"/>
      <c r="DB266" s="153"/>
      <c r="DC266" s="153"/>
      <c r="DD266" s="153"/>
      <c r="DE266" s="153"/>
      <c r="DF266" s="153"/>
      <c r="DG266" s="153"/>
      <c r="DH266" s="153"/>
      <c r="DI266" s="153"/>
      <c r="DJ266" s="153"/>
      <c r="DK266" s="153"/>
      <c r="DL266" s="153"/>
      <c r="DM266" s="153"/>
      <c r="DN266" s="153"/>
      <c r="DO266" s="153"/>
      <c r="DP266" s="153"/>
      <c r="DQ266" s="153"/>
      <c r="DR266" s="153"/>
      <c r="DS266" s="153"/>
      <c r="DT266" s="153"/>
      <c r="DU266" s="153"/>
      <c r="DV266" s="153"/>
      <c r="DW266" s="153"/>
      <c r="DX266" s="153"/>
      <c r="DY266" s="153"/>
      <c r="DZ266" s="153"/>
      <c r="EA266" s="153"/>
      <c r="EB266" s="153"/>
      <c r="EC266" s="153"/>
      <c r="ED266" s="153"/>
      <c r="EE266" s="153"/>
      <c r="EF266" s="153"/>
      <c r="EG266" s="153"/>
      <c r="EH266" s="153"/>
      <c r="EI266" s="153"/>
      <c r="EJ266" s="153"/>
      <c r="EK266" s="153"/>
      <c r="EL266" s="153"/>
      <c r="EM266" s="153"/>
    </row>
    <row r="267" spans="1:143" s="107" customFormat="1" ht="10.5" hidden="1" customHeight="1" outlineLevel="2">
      <c r="A267" s="1548">
        <v>242</v>
      </c>
      <c r="B267" s="1560" t="str">
        <f t="shared" si="5"/>
        <v/>
      </c>
      <c r="C267" s="161" t="str">
        <f>GasTime(GasAnalyser,'Horiba Data'!F260,'Horiba Data'!G260,'Testo, JUM &amp; MRU Data'!A261,'Thermo Data'!B260,HourOffset)</f>
        <v/>
      </c>
      <c r="D267" s="981" t="str">
        <f>IF(D$17=FALSE,"",GasData(GasAnalyser,'Horiba Data'!S260,'Testo, JUM &amp; MRU Data'!D261,'Thermo Data'!E260,'Testo, JUM &amp; MRU Data'!U261,GDF))</f>
        <v/>
      </c>
      <c r="E267" s="981" t="str">
        <f>IF(D267="","",Conc2(D267,D$9,MolVol,D$21,D$20,E$21,E$20))</f>
        <v/>
      </c>
      <c r="F267" s="981" t="str">
        <f>IF(F$17=FALSE,"",GasData(GasAnalyser,'Horiba Data'!AQ260,'Testo, JUM &amp; MRU Data'!E261,'Thermo Data'!F260,'Testo, JUM &amp; MRU Data'!V261,GDF))</f>
        <v/>
      </c>
      <c r="G267" s="981" t="str">
        <f>IF(F267="","",Conc2(F267,F$9,MolVol,F$21,F$20,G$21,G$20))</f>
        <v/>
      </c>
      <c r="H267" s="981" t="str">
        <f>IF(D$17=FALSE,"",IF(F$17=FALSE,"",GasData(GasAnalyser,'Horiba Data'!W260,'Testo, JUM &amp; MRU Data'!F261,'Thermo Data'!G260,'Testo, JUM &amp; MRU Data'!Y261,GDF)))</f>
        <v/>
      </c>
      <c r="I267" s="981" t="str">
        <f>IF(H267="","",Conc2(H267,H$9,MolVol,H$21,H$20,I$21,I$20))</f>
        <v/>
      </c>
      <c r="J267" s="981" t="str">
        <f>IF(J$17=FALSE,"",GasData(GasAnalyser,'Horiba Data'!AM260,'Testo, JUM &amp; MRU Data'!G261,'Thermo Data'!H260,'Testo, JUM &amp; MRU Data'!W261,GDF))</f>
        <v/>
      </c>
      <c r="K267" s="981" t="str">
        <f>IF(J267="","",Conc2(J267,J$9,MolVol,J$21,J$20,K$21,K$20))</f>
        <v/>
      </c>
      <c r="L267" s="981" t="str">
        <f>IF(L$17=FALSE,"",GasData(GasAnalyser,'Horiba Data'!AA260,'Testo, JUM &amp; MRU Data'!H261,'Thermo Data'!I260,'Testo, JUM &amp; MRU Data'!T261,GDF))</f>
        <v/>
      </c>
      <c r="M267" s="981" t="str">
        <f>IF(L267="","",Conc2(L267,L$9,MolVol,L$21,L$20,M$21,M$20))</f>
        <v/>
      </c>
      <c r="N267" s="981" t="str">
        <f>IF(N$17=FALSE,"",GasData(GasAnalyser,'Horiba Data'!AE260,'Testo, JUM &amp; MRU Data'!I261,'Thermo Data'!J260,'Testo, JUM &amp; MRU Data'!S261,GDF))</f>
        <v/>
      </c>
      <c r="O267" s="981" t="str">
        <f>IF(N267="","",Conc2(N267,N$9,MolVol,N$21,N$20,O$21,O$20))</f>
        <v/>
      </c>
      <c r="P267" s="981" t="str">
        <f>IF(P$17=FALSE,"",GasData(GasAnalyser,'Horiba Data'!AI260,'Testo, JUM &amp; MRU Data'!J261,'Thermo Data'!K260,'Testo, JUM &amp; MRU Data'!R261,GDF))</f>
        <v/>
      </c>
      <c r="Q267" s="981" t="str">
        <f>IF(P267="","",Conc2(P267,P$9,MolVol,P$21,P$20,Q$21,Q$20))</f>
        <v/>
      </c>
      <c r="R267" s="981" t="str">
        <f>IF(R$17=FALSE,"",JUMData('Testo, JUM &amp; MRU Data'!M261,$R$7))</f>
        <v/>
      </c>
      <c r="S267" s="982" t="str">
        <f>IF(R267="","",Conc2(R267,R$9,MolVol,R$21,R$20,S$21,S$20)/(1-Bws))</f>
        <v/>
      </c>
      <c r="T267" s="740"/>
      <c r="AR267" s="334"/>
      <c r="AS267" s="334"/>
      <c r="AT267" s="48"/>
      <c r="AU267" s="48"/>
      <c r="AV267" s="153"/>
      <c r="AW267" s="153"/>
      <c r="AX267" s="153"/>
      <c r="AY267" s="153"/>
      <c r="AZ267" s="153"/>
      <c r="BA267" s="153"/>
      <c r="BB267" s="153"/>
      <c r="BC267" s="153"/>
      <c r="BD267" s="153"/>
      <c r="BE267" s="153"/>
      <c r="BF267" s="153"/>
      <c r="BG267" s="153"/>
      <c r="BH267" s="153"/>
      <c r="BI267" s="153"/>
      <c r="BJ267" s="153"/>
      <c r="BK267" s="153"/>
      <c r="BL267" s="153"/>
      <c r="BM267" s="153"/>
      <c r="BN267" s="153"/>
      <c r="BO267" s="153"/>
      <c r="BP267" s="153"/>
      <c r="BQ267" s="153"/>
      <c r="BR267" s="153"/>
      <c r="BS267" s="153"/>
      <c r="BT267" s="153"/>
      <c r="BU267" s="153"/>
      <c r="BV267" s="153"/>
      <c r="BW267" s="153"/>
      <c r="BX267" s="153"/>
      <c r="BY267" s="153"/>
      <c r="BZ267" s="153"/>
      <c r="CA267" s="153"/>
      <c r="CB267" s="153"/>
      <c r="CC267" s="153"/>
      <c r="CD267" s="153"/>
      <c r="CE267" s="153"/>
      <c r="CF267" s="153"/>
      <c r="CG267" s="153"/>
      <c r="CH267" s="153"/>
      <c r="CI267" s="153"/>
      <c r="CJ267" s="153"/>
      <c r="CK267" s="153"/>
      <c r="CL267" s="153"/>
      <c r="CM267" s="153"/>
      <c r="CN267" s="153"/>
      <c r="CO267" s="153"/>
      <c r="CP267" s="153"/>
      <c r="CQ267" s="153"/>
      <c r="CR267" s="153"/>
      <c r="CS267" s="153"/>
      <c r="CT267" s="153"/>
      <c r="CU267" s="153"/>
      <c r="CV267" s="153"/>
      <c r="CW267" s="153"/>
      <c r="CX267" s="153"/>
      <c r="CY267" s="153"/>
      <c r="CZ267" s="153"/>
      <c r="DA267" s="153"/>
      <c r="DB267" s="153"/>
      <c r="DC267" s="153"/>
      <c r="DD267" s="153"/>
      <c r="DE267" s="153"/>
      <c r="DF267" s="153"/>
      <c r="DG267" s="153"/>
      <c r="DH267" s="153"/>
      <c r="DI267" s="153"/>
      <c r="DJ267" s="153"/>
      <c r="DK267" s="153"/>
      <c r="DL267" s="153"/>
      <c r="DM267" s="153"/>
      <c r="DN267" s="153"/>
      <c r="DO267" s="153"/>
      <c r="DP267" s="153"/>
      <c r="DQ267" s="153"/>
      <c r="DR267" s="153"/>
      <c r="DS267" s="153"/>
      <c r="DT267" s="153"/>
      <c r="DU267" s="153"/>
      <c r="DV267" s="153"/>
      <c r="DW267" s="153"/>
      <c r="DX267" s="153"/>
      <c r="DY267" s="153"/>
      <c r="DZ267" s="153"/>
      <c r="EA267" s="153"/>
      <c r="EB267" s="153"/>
      <c r="EC267" s="153"/>
      <c r="ED267" s="153"/>
      <c r="EE267" s="153"/>
      <c r="EF267" s="153"/>
      <c r="EG267" s="153"/>
      <c r="EH267" s="153"/>
      <c r="EI267" s="153"/>
      <c r="EJ267" s="153"/>
      <c r="EK267" s="153"/>
      <c r="EL267" s="153"/>
      <c r="EM267" s="153"/>
    </row>
    <row r="268" spans="1:143" s="107" customFormat="1" ht="10.5" hidden="1" customHeight="1" outlineLevel="2">
      <c r="A268" s="1548">
        <v>243</v>
      </c>
      <c r="B268" s="1560" t="str">
        <f t="shared" si="5"/>
        <v/>
      </c>
      <c r="C268" s="161" t="str">
        <f>GasTime(GasAnalyser,'Horiba Data'!F261,'Horiba Data'!G261,'Testo, JUM &amp; MRU Data'!A262,'Thermo Data'!B261,HourOffset)</f>
        <v/>
      </c>
      <c r="D268" s="981" t="str">
        <f>IF(D$17=FALSE,"",GasData(GasAnalyser,'Horiba Data'!S261,'Testo, JUM &amp; MRU Data'!D262,'Thermo Data'!E261,'Testo, JUM &amp; MRU Data'!U262,GDF))</f>
        <v/>
      </c>
      <c r="E268" s="981" t="str">
        <f>IF(D268="","",Conc2(D268,D$9,MolVol,D$21,D$20,E$21,E$20))</f>
        <v/>
      </c>
      <c r="F268" s="981" t="str">
        <f>IF(F$17=FALSE,"",GasData(GasAnalyser,'Horiba Data'!AQ261,'Testo, JUM &amp; MRU Data'!E262,'Thermo Data'!F261,'Testo, JUM &amp; MRU Data'!V262,GDF))</f>
        <v/>
      </c>
      <c r="G268" s="981" t="str">
        <f>IF(F268="","",Conc2(F268,F$9,MolVol,F$21,F$20,G$21,G$20))</f>
        <v/>
      </c>
      <c r="H268" s="981" t="str">
        <f>IF(D$17=FALSE,"",IF(F$17=FALSE,"",GasData(GasAnalyser,'Horiba Data'!W261,'Testo, JUM &amp; MRU Data'!F262,'Thermo Data'!G261,'Testo, JUM &amp; MRU Data'!Y262,GDF)))</f>
        <v/>
      </c>
      <c r="I268" s="981" t="str">
        <f>IF(H268="","",Conc2(H268,H$9,MolVol,H$21,H$20,I$21,I$20))</f>
        <v/>
      </c>
      <c r="J268" s="981" t="str">
        <f>IF(J$17=FALSE,"",GasData(GasAnalyser,'Horiba Data'!AM261,'Testo, JUM &amp; MRU Data'!G262,'Thermo Data'!H261,'Testo, JUM &amp; MRU Data'!W262,GDF))</f>
        <v/>
      </c>
      <c r="K268" s="981" t="str">
        <f>IF(J268="","",Conc2(J268,J$9,MolVol,J$21,J$20,K$21,K$20))</f>
        <v/>
      </c>
      <c r="L268" s="981" t="str">
        <f>IF(L$17=FALSE,"",GasData(GasAnalyser,'Horiba Data'!AA261,'Testo, JUM &amp; MRU Data'!H262,'Thermo Data'!I261,'Testo, JUM &amp; MRU Data'!T262,GDF))</f>
        <v/>
      </c>
      <c r="M268" s="981" t="str">
        <f>IF(L268="","",Conc2(L268,L$9,MolVol,L$21,L$20,M$21,M$20))</f>
        <v/>
      </c>
      <c r="N268" s="981" t="str">
        <f>IF(N$17=FALSE,"",GasData(GasAnalyser,'Horiba Data'!AE261,'Testo, JUM &amp; MRU Data'!I262,'Thermo Data'!J261,'Testo, JUM &amp; MRU Data'!S262,GDF))</f>
        <v/>
      </c>
      <c r="O268" s="981" t="str">
        <f>IF(N268="","",Conc2(N268,N$9,MolVol,N$21,N$20,O$21,O$20))</f>
        <v/>
      </c>
      <c r="P268" s="981" t="str">
        <f>IF(P$17=FALSE,"",GasData(GasAnalyser,'Horiba Data'!AI261,'Testo, JUM &amp; MRU Data'!J262,'Thermo Data'!K261,'Testo, JUM &amp; MRU Data'!R262,GDF))</f>
        <v/>
      </c>
      <c r="Q268" s="981" t="str">
        <f>IF(P268="","",Conc2(P268,P$9,MolVol,P$21,P$20,Q$21,Q$20))</f>
        <v/>
      </c>
      <c r="R268" s="981" t="str">
        <f>IF(R$17=FALSE,"",JUMData('Testo, JUM &amp; MRU Data'!M262,$R$7))</f>
        <v/>
      </c>
      <c r="S268" s="982" t="str">
        <f>IF(R268="","",Conc2(R268,R$9,MolVol,R$21,R$20,S$21,S$20)/(1-Bws))</f>
        <v/>
      </c>
      <c r="T268" s="740"/>
      <c r="AR268" s="334"/>
      <c r="AS268" s="334"/>
      <c r="AT268" s="48"/>
      <c r="AU268" s="48"/>
      <c r="AV268" s="153"/>
      <c r="AW268" s="153"/>
      <c r="AX268" s="153"/>
      <c r="AY268" s="153"/>
      <c r="AZ268" s="153"/>
      <c r="BA268" s="153"/>
      <c r="BB268" s="153"/>
      <c r="BC268" s="153"/>
      <c r="BD268" s="153"/>
      <c r="BE268" s="153"/>
      <c r="BF268" s="153"/>
      <c r="BG268" s="153"/>
      <c r="BH268" s="153"/>
      <c r="BI268" s="153"/>
      <c r="BJ268" s="153"/>
      <c r="BK268" s="153"/>
      <c r="BL268" s="153"/>
      <c r="BM268" s="153"/>
      <c r="BN268" s="153"/>
      <c r="BO268" s="153"/>
      <c r="BP268" s="153"/>
      <c r="BQ268" s="153"/>
      <c r="BR268" s="153"/>
      <c r="BS268" s="153"/>
      <c r="BT268" s="153"/>
      <c r="BU268" s="153"/>
      <c r="BV268" s="153"/>
      <c r="BW268" s="153"/>
      <c r="BX268" s="153"/>
      <c r="BY268" s="153"/>
      <c r="BZ268" s="153"/>
      <c r="CA268" s="153"/>
      <c r="CB268" s="153"/>
      <c r="CC268" s="153"/>
      <c r="CD268" s="153"/>
      <c r="CE268" s="153"/>
      <c r="CF268" s="153"/>
      <c r="CG268" s="153"/>
      <c r="CH268" s="153"/>
      <c r="CI268" s="153"/>
      <c r="CJ268" s="153"/>
      <c r="CK268" s="153"/>
      <c r="CL268" s="153"/>
      <c r="CM268" s="153"/>
      <c r="CN268" s="153"/>
      <c r="CO268" s="153"/>
      <c r="CP268" s="153"/>
      <c r="CQ268" s="153"/>
      <c r="CR268" s="153"/>
      <c r="CS268" s="153"/>
      <c r="CT268" s="153"/>
      <c r="CU268" s="153"/>
      <c r="CV268" s="153"/>
      <c r="CW268" s="153"/>
      <c r="CX268" s="153"/>
      <c r="CY268" s="153"/>
      <c r="CZ268" s="153"/>
      <c r="DA268" s="153"/>
      <c r="DB268" s="153"/>
      <c r="DC268" s="153"/>
      <c r="DD268" s="153"/>
      <c r="DE268" s="153"/>
      <c r="DF268" s="153"/>
      <c r="DG268" s="153"/>
      <c r="DH268" s="153"/>
      <c r="DI268" s="153"/>
      <c r="DJ268" s="153"/>
      <c r="DK268" s="153"/>
      <c r="DL268" s="153"/>
      <c r="DM268" s="153"/>
      <c r="DN268" s="153"/>
      <c r="DO268" s="153"/>
      <c r="DP268" s="153"/>
      <c r="DQ268" s="153"/>
      <c r="DR268" s="153"/>
      <c r="DS268" s="153"/>
      <c r="DT268" s="153"/>
      <c r="DU268" s="153"/>
      <c r="DV268" s="153"/>
      <c r="DW268" s="153"/>
      <c r="DX268" s="153"/>
      <c r="DY268" s="153"/>
      <c r="DZ268" s="153"/>
      <c r="EA268" s="153"/>
      <c r="EB268" s="153"/>
      <c r="EC268" s="153"/>
      <c r="ED268" s="153"/>
      <c r="EE268" s="153"/>
      <c r="EF268" s="153"/>
      <c r="EG268" s="153"/>
      <c r="EH268" s="153"/>
      <c r="EI268" s="153"/>
      <c r="EJ268" s="153"/>
      <c r="EK268" s="153"/>
      <c r="EL268" s="153"/>
      <c r="EM268" s="153"/>
    </row>
    <row r="269" spans="1:143" s="107" customFormat="1" ht="10.5" hidden="1" customHeight="1" outlineLevel="2">
      <c r="A269" s="1548">
        <v>244</v>
      </c>
      <c r="B269" s="1560" t="str">
        <f t="shared" si="5"/>
        <v/>
      </c>
      <c r="C269" s="161" t="str">
        <f>GasTime(GasAnalyser,'Horiba Data'!F262,'Horiba Data'!G262,'Testo, JUM &amp; MRU Data'!A263,'Thermo Data'!B262,HourOffset)</f>
        <v/>
      </c>
      <c r="D269" s="981" t="str">
        <f>IF(D$17=FALSE,"",GasData(GasAnalyser,'Horiba Data'!S262,'Testo, JUM &amp; MRU Data'!D263,'Thermo Data'!E262,'Testo, JUM &amp; MRU Data'!U263,GDF))</f>
        <v/>
      </c>
      <c r="E269" s="981" t="str">
        <f>IF(D269="","",Conc2(D269,D$9,MolVol,D$21,D$20,E$21,E$20))</f>
        <v/>
      </c>
      <c r="F269" s="981" t="str">
        <f>IF(F$17=FALSE,"",GasData(GasAnalyser,'Horiba Data'!AQ262,'Testo, JUM &amp; MRU Data'!E263,'Thermo Data'!F262,'Testo, JUM &amp; MRU Data'!V263,GDF))</f>
        <v/>
      </c>
      <c r="G269" s="981" t="str">
        <f>IF(F269="","",Conc2(F269,F$9,MolVol,F$21,F$20,G$21,G$20))</f>
        <v/>
      </c>
      <c r="H269" s="981" t="str">
        <f>IF(D$17=FALSE,"",IF(F$17=FALSE,"",GasData(GasAnalyser,'Horiba Data'!W262,'Testo, JUM &amp; MRU Data'!F263,'Thermo Data'!G262,'Testo, JUM &amp; MRU Data'!Y263,GDF)))</f>
        <v/>
      </c>
      <c r="I269" s="981" t="str">
        <f>IF(H269="","",Conc2(H269,H$9,MolVol,H$21,H$20,I$21,I$20))</f>
        <v/>
      </c>
      <c r="J269" s="981" t="str">
        <f>IF(J$17=FALSE,"",GasData(GasAnalyser,'Horiba Data'!AM262,'Testo, JUM &amp; MRU Data'!G263,'Thermo Data'!H262,'Testo, JUM &amp; MRU Data'!W263,GDF))</f>
        <v/>
      </c>
      <c r="K269" s="981" t="str">
        <f>IF(J269="","",Conc2(J269,J$9,MolVol,J$21,J$20,K$21,K$20))</f>
        <v/>
      </c>
      <c r="L269" s="981" t="str">
        <f>IF(L$17=FALSE,"",GasData(GasAnalyser,'Horiba Data'!AA262,'Testo, JUM &amp; MRU Data'!H263,'Thermo Data'!I262,'Testo, JUM &amp; MRU Data'!T263,GDF))</f>
        <v/>
      </c>
      <c r="M269" s="981" t="str">
        <f>IF(L269="","",Conc2(L269,L$9,MolVol,L$21,L$20,M$21,M$20))</f>
        <v/>
      </c>
      <c r="N269" s="981" t="str">
        <f>IF(N$17=FALSE,"",GasData(GasAnalyser,'Horiba Data'!AE262,'Testo, JUM &amp; MRU Data'!I263,'Thermo Data'!J262,'Testo, JUM &amp; MRU Data'!S263,GDF))</f>
        <v/>
      </c>
      <c r="O269" s="981" t="str">
        <f>IF(N269="","",Conc2(N269,N$9,MolVol,N$21,N$20,O$21,O$20))</f>
        <v/>
      </c>
      <c r="P269" s="981" t="str">
        <f>IF(P$17=FALSE,"",GasData(GasAnalyser,'Horiba Data'!AI262,'Testo, JUM &amp; MRU Data'!J263,'Thermo Data'!K262,'Testo, JUM &amp; MRU Data'!R263,GDF))</f>
        <v/>
      </c>
      <c r="Q269" s="981" t="str">
        <f>IF(P269="","",Conc2(P269,P$9,MolVol,P$21,P$20,Q$21,Q$20))</f>
        <v/>
      </c>
      <c r="R269" s="981" t="str">
        <f>IF(R$17=FALSE,"",JUMData('Testo, JUM &amp; MRU Data'!M263,$R$7))</f>
        <v/>
      </c>
      <c r="S269" s="982" t="str">
        <f>IF(R269="","",Conc2(R269,R$9,MolVol,R$21,R$20,S$21,S$20)/(1-Bws))</f>
        <v/>
      </c>
      <c r="T269" s="740"/>
      <c r="AR269" s="334"/>
      <c r="AS269" s="334"/>
      <c r="AT269" s="48"/>
      <c r="AU269" s="48"/>
      <c r="AV269" s="153"/>
      <c r="AW269" s="153"/>
      <c r="AX269" s="153"/>
      <c r="AY269" s="153"/>
      <c r="AZ269" s="153"/>
      <c r="BA269" s="153"/>
      <c r="BB269" s="153"/>
      <c r="BC269" s="153"/>
      <c r="BD269" s="153"/>
      <c r="BE269" s="153"/>
      <c r="BF269" s="153"/>
      <c r="BG269" s="153"/>
      <c r="BH269" s="153"/>
      <c r="BI269" s="153"/>
      <c r="BJ269" s="153"/>
      <c r="BK269" s="153"/>
      <c r="BL269" s="153"/>
      <c r="BM269" s="153"/>
      <c r="BN269" s="153"/>
      <c r="BO269" s="153"/>
      <c r="BP269" s="153"/>
      <c r="BQ269" s="153"/>
      <c r="BR269" s="153"/>
      <c r="BS269" s="153"/>
      <c r="BT269" s="153"/>
      <c r="BU269" s="153"/>
      <c r="BV269" s="153"/>
      <c r="BW269" s="153"/>
      <c r="BX269" s="153"/>
      <c r="BY269" s="153"/>
      <c r="BZ269" s="153"/>
      <c r="CA269" s="153"/>
      <c r="CB269" s="153"/>
      <c r="CC269" s="153"/>
      <c r="CD269" s="153"/>
      <c r="CE269" s="153"/>
      <c r="CF269" s="153"/>
      <c r="CG269" s="153"/>
      <c r="CH269" s="153"/>
      <c r="CI269" s="153"/>
      <c r="CJ269" s="153"/>
      <c r="CK269" s="153"/>
      <c r="CL269" s="153"/>
      <c r="CM269" s="153"/>
      <c r="CN269" s="153"/>
      <c r="CO269" s="153"/>
      <c r="CP269" s="153"/>
      <c r="CQ269" s="153"/>
      <c r="CR269" s="153"/>
      <c r="CS269" s="153"/>
      <c r="CT269" s="153"/>
      <c r="CU269" s="153"/>
      <c r="CV269" s="153"/>
      <c r="CW269" s="153"/>
      <c r="CX269" s="153"/>
      <c r="CY269" s="153"/>
      <c r="CZ269" s="153"/>
      <c r="DA269" s="153"/>
      <c r="DB269" s="153"/>
      <c r="DC269" s="153"/>
      <c r="DD269" s="153"/>
      <c r="DE269" s="153"/>
      <c r="DF269" s="153"/>
      <c r="DG269" s="153"/>
      <c r="DH269" s="153"/>
      <c r="DI269" s="153"/>
      <c r="DJ269" s="153"/>
      <c r="DK269" s="153"/>
      <c r="DL269" s="153"/>
      <c r="DM269" s="153"/>
      <c r="DN269" s="153"/>
      <c r="DO269" s="153"/>
      <c r="DP269" s="153"/>
      <c r="DQ269" s="153"/>
      <c r="DR269" s="153"/>
      <c r="DS269" s="153"/>
      <c r="DT269" s="153"/>
      <c r="DU269" s="153"/>
      <c r="DV269" s="153"/>
      <c r="DW269" s="153"/>
      <c r="DX269" s="153"/>
      <c r="DY269" s="153"/>
      <c r="DZ269" s="153"/>
      <c r="EA269" s="153"/>
      <c r="EB269" s="153"/>
      <c r="EC269" s="153"/>
      <c r="ED269" s="153"/>
      <c r="EE269" s="153"/>
      <c r="EF269" s="153"/>
      <c r="EG269" s="153"/>
      <c r="EH269" s="153"/>
      <c r="EI269" s="153"/>
      <c r="EJ269" s="153"/>
      <c r="EK269" s="153"/>
      <c r="EL269" s="153"/>
      <c r="EM269" s="153"/>
    </row>
    <row r="270" spans="1:143" s="107" customFormat="1" ht="10.5" hidden="1" customHeight="1" outlineLevel="2">
      <c r="A270" s="1548">
        <v>245</v>
      </c>
      <c r="B270" s="1560" t="str">
        <f t="shared" si="5"/>
        <v/>
      </c>
      <c r="C270" s="161" t="str">
        <f>GasTime(GasAnalyser,'Horiba Data'!F263,'Horiba Data'!G263,'Testo, JUM &amp; MRU Data'!A264,'Thermo Data'!B263,HourOffset)</f>
        <v/>
      </c>
      <c r="D270" s="981" t="str">
        <f>IF(D$17=FALSE,"",GasData(GasAnalyser,'Horiba Data'!S263,'Testo, JUM &amp; MRU Data'!D264,'Thermo Data'!E263,'Testo, JUM &amp; MRU Data'!U264,GDF))</f>
        <v/>
      </c>
      <c r="E270" s="981" t="str">
        <f>IF(D270="","",Conc2(D270,D$9,MolVol,D$21,D$20,E$21,E$20))</f>
        <v/>
      </c>
      <c r="F270" s="981" t="str">
        <f>IF(F$17=FALSE,"",GasData(GasAnalyser,'Horiba Data'!AQ263,'Testo, JUM &amp; MRU Data'!E264,'Thermo Data'!F263,'Testo, JUM &amp; MRU Data'!V264,GDF))</f>
        <v/>
      </c>
      <c r="G270" s="981" t="str">
        <f>IF(F270="","",Conc2(F270,F$9,MolVol,F$21,F$20,G$21,G$20))</f>
        <v/>
      </c>
      <c r="H270" s="981" t="str">
        <f>IF(D$17=FALSE,"",IF(F$17=FALSE,"",GasData(GasAnalyser,'Horiba Data'!W263,'Testo, JUM &amp; MRU Data'!F264,'Thermo Data'!G263,'Testo, JUM &amp; MRU Data'!Y264,GDF)))</f>
        <v/>
      </c>
      <c r="I270" s="981" t="str">
        <f>IF(H270="","",Conc2(H270,H$9,MolVol,H$21,H$20,I$21,I$20))</f>
        <v/>
      </c>
      <c r="J270" s="981" t="str">
        <f>IF(J$17=FALSE,"",GasData(GasAnalyser,'Horiba Data'!AM263,'Testo, JUM &amp; MRU Data'!G264,'Thermo Data'!H263,'Testo, JUM &amp; MRU Data'!W264,GDF))</f>
        <v/>
      </c>
      <c r="K270" s="981" t="str">
        <f>IF(J270="","",Conc2(J270,J$9,MolVol,J$21,J$20,K$21,K$20))</f>
        <v/>
      </c>
      <c r="L270" s="981" t="str">
        <f>IF(L$17=FALSE,"",GasData(GasAnalyser,'Horiba Data'!AA263,'Testo, JUM &amp; MRU Data'!H264,'Thermo Data'!I263,'Testo, JUM &amp; MRU Data'!T264,GDF))</f>
        <v/>
      </c>
      <c r="M270" s="981" t="str">
        <f>IF(L270="","",Conc2(L270,L$9,MolVol,L$21,L$20,M$21,M$20))</f>
        <v/>
      </c>
      <c r="N270" s="981" t="str">
        <f>IF(N$17=FALSE,"",GasData(GasAnalyser,'Horiba Data'!AE263,'Testo, JUM &amp; MRU Data'!I264,'Thermo Data'!J263,'Testo, JUM &amp; MRU Data'!S264,GDF))</f>
        <v/>
      </c>
      <c r="O270" s="981" t="str">
        <f>IF(N270="","",Conc2(N270,N$9,MolVol,N$21,N$20,O$21,O$20))</f>
        <v/>
      </c>
      <c r="P270" s="981" t="str">
        <f>IF(P$17=FALSE,"",GasData(GasAnalyser,'Horiba Data'!AI263,'Testo, JUM &amp; MRU Data'!J264,'Thermo Data'!K263,'Testo, JUM &amp; MRU Data'!R264,GDF))</f>
        <v/>
      </c>
      <c r="Q270" s="981" t="str">
        <f>IF(P270="","",Conc2(P270,P$9,MolVol,P$21,P$20,Q$21,Q$20))</f>
        <v/>
      </c>
      <c r="R270" s="981" t="str">
        <f>IF(R$17=FALSE,"",JUMData('Testo, JUM &amp; MRU Data'!M264,$R$7))</f>
        <v/>
      </c>
      <c r="S270" s="982" t="str">
        <f>IF(R270="","",Conc2(R270,R$9,MolVol,R$21,R$20,S$21,S$20)/(1-Bws))</f>
        <v/>
      </c>
      <c r="T270" s="740"/>
      <c r="AR270" s="334"/>
      <c r="AS270" s="334"/>
      <c r="AT270" s="48"/>
      <c r="AU270" s="48"/>
      <c r="AV270" s="153"/>
      <c r="AW270" s="153"/>
      <c r="AX270" s="153"/>
      <c r="AY270" s="153"/>
      <c r="AZ270" s="153"/>
      <c r="BA270" s="153"/>
      <c r="BB270" s="153"/>
      <c r="BC270" s="153"/>
      <c r="BD270" s="153"/>
      <c r="BE270" s="153"/>
      <c r="BF270" s="153"/>
      <c r="BG270" s="153"/>
      <c r="BH270" s="153"/>
      <c r="BI270" s="153"/>
      <c r="BJ270" s="153"/>
      <c r="BK270" s="153"/>
      <c r="BL270" s="153"/>
      <c r="BM270" s="153"/>
      <c r="BN270" s="153"/>
      <c r="BO270" s="153"/>
      <c r="BP270" s="153"/>
      <c r="BQ270" s="153"/>
      <c r="BR270" s="153"/>
      <c r="BS270" s="153"/>
      <c r="BT270" s="153"/>
      <c r="BU270" s="153"/>
      <c r="BV270" s="153"/>
      <c r="BW270" s="153"/>
      <c r="BX270" s="153"/>
      <c r="BY270" s="153"/>
      <c r="BZ270" s="153"/>
      <c r="CA270" s="153"/>
      <c r="CB270" s="153"/>
      <c r="CC270" s="153"/>
      <c r="CD270" s="153"/>
      <c r="CE270" s="153"/>
      <c r="CF270" s="153"/>
      <c r="CG270" s="153"/>
      <c r="CH270" s="153"/>
      <c r="CI270" s="153"/>
      <c r="CJ270" s="153"/>
      <c r="CK270" s="153"/>
      <c r="CL270" s="153"/>
      <c r="CM270" s="153"/>
      <c r="CN270" s="153"/>
      <c r="CO270" s="153"/>
      <c r="CP270" s="153"/>
      <c r="CQ270" s="153"/>
      <c r="CR270" s="153"/>
      <c r="CS270" s="153"/>
      <c r="CT270" s="153"/>
      <c r="CU270" s="153"/>
      <c r="CV270" s="153"/>
      <c r="CW270" s="153"/>
      <c r="CX270" s="153"/>
      <c r="CY270" s="153"/>
      <c r="CZ270" s="153"/>
      <c r="DA270" s="153"/>
      <c r="DB270" s="153"/>
      <c r="DC270" s="153"/>
      <c r="DD270" s="153"/>
      <c r="DE270" s="153"/>
      <c r="DF270" s="153"/>
      <c r="DG270" s="153"/>
      <c r="DH270" s="153"/>
      <c r="DI270" s="153"/>
      <c r="DJ270" s="153"/>
      <c r="DK270" s="153"/>
      <c r="DL270" s="153"/>
      <c r="DM270" s="153"/>
      <c r="DN270" s="153"/>
      <c r="DO270" s="153"/>
      <c r="DP270" s="153"/>
      <c r="DQ270" s="153"/>
      <c r="DR270" s="153"/>
      <c r="DS270" s="153"/>
      <c r="DT270" s="153"/>
      <c r="DU270" s="153"/>
      <c r="DV270" s="153"/>
      <c r="DW270" s="153"/>
      <c r="DX270" s="153"/>
      <c r="DY270" s="153"/>
      <c r="DZ270" s="153"/>
      <c r="EA270" s="153"/>
      <c r="EB270" s="153"/>
      <c r="EC270" s="153"/>
      <c r="ED270" s="153"/>
      <c r="EE270" s="153"/>
      <c r="EF270" s="153"/>
      <c r="EG270" s="153"/>
      <c r="EH270" s="153"/>
      <c r="EI270" s="153"/>
      <c r="EJ270" s="153"/>
      <c r="EK270" s="153"/>
      <c r="EL270" s="153"/>
      <c r="EM270" s="153"/>
    </row>
    <row r="271" spans="1:143" s="107" customFormat="1" ht="10.5" hidden="1" customHeight="1" outlineLevel="2">
      <c r="A271" s="1548">
        <v>246</v>
      </c>
      <c r="B271" s="1560" t="str">
        <f t="shared" si="5"/>
        <v/>
      </c>
      <c r="C271" s="161" t="str">
        <f>GasTime(GasAnalyser,'Horiba Data'!F264,'Horiba Data'!G264,'Testo, JUM &amp; MRU Data'!A265,'Thermo Data'!B264,HourOffset)</f>
        <v/>
      </c>
      <c r="D271" s="981" t="str">
        <f>IF(D$17=FALSE,"",GasData(GasAnalyser,'Horiba Data'!S264,'Testo, JUM &amp; MRU Data'!D265,'Thermo Data'!E264,'Testo, JUM &amp; MRU Data'!U265,GDF))</f>
        <v/>
      </c>
      <c r="E271" s="981" t="str">
        <f>IF(D271="","",Conc2(D271,D$9,MolVol,D$21,D$20,E$21,E$20))</f>
        <v/>
      </c>
      <c r="F271" s="981" t="str">
        <f>IF(F$17=FALSE,"",GasData(GasAnalyser,'Horiba Data'!AQ264,'Testo, JUM &amp; MRU Data'!E265,'Thermo Data'!F264,'Testo, JUM &amp; MRU Data'!V265,GDF))</f>
        <v/>
      </c>
      <c r="G271" s="981" t="str">
        <f>IF(F271="","",Conc2(F271,F$9,MolVol,F$21,F$20,G$21,G$20))</f>
        <v/>
      </c>
      <c r="H271" s="981" t="str">
        <f>IF(D$17=FALSE,"",IF(F$17=FALSE,"",GasData(GasAnalyser,'Horiba Data'!W264,'Testo, JUM &amp; MRU Data'!F265,'Thermo Data'!G264,'Testo, JUM &amp; MRU Data'!Y265,GDF)))</f>
        <v/>
      </c>
      <c r="I271" s="981" t="str">
        <f>IF(H271="","",Conc2(H271,H$9,MolVol,H$21,H$20,I$21,I$20))</f>
        <v/>
      </c>
      <c r="J271" s="981" t="str">
        <f>IF(J$17=FALSE,"",GasData(GasAnalyser,'Horiba Data'!AM264,'Testo, JUM &amp; MRU Data'!G265,'Thermo Data'!H264,'Testo, JUM &amp; MRU Data'!W265,GDF))</f>
        <v/>
      </c>
      <c r="K271" s="981" t="str">
        <f>IF(J271="","",Conc2(J271,J$9,MolVol,J$21,J$20,K$21,K$20))</f>
        <v/>
      </c>
      <c r="L271" s="981" t="str">
        <f>IF(L$17=FALSE,"",GasData(GasAnalyser,'Horiba Data'!AA264,'Testo, JUM &amp; MRU Data'!H265,'Thermo Data'!I264,'Testo, JUM &amp; MRU Data'!T265,GDF))</f>
        <v/>
      </c>
      <c r="M271" s="981" t="str">
        <f>IF(L271="","",Conc2(L271,L$9,MolVol,L$21,L$20,M$21,M$20))</f>
        <v/>
      </c>
      <c r="N271" s="981" t="str">
        <f>IF(N$17=FALSE,"",GasData(GasAnalyser,'Horiba Data'!AE264,'Testo, JUM &amp; MRU Data'!I265,'Thermo Data'!J264,'Testo, JUM &amp; MRU Data'!S265,GDF))</f>
        <v/>
      </c>
      <c r="O271" s="981" t="str">
        <f>IF(N271="","",Conc2(N271,N$9,MolVol,N$21,N$20,O$21,O$20))</f>
        <v/>
      </c>
      <c r="P271" s="981" t="str">
        <f>IF(P$17=FALSE,"",GasData(GasAnalyser,'Horiba Data'!AI264,'Testo, JUM &amp; MRU Data'!J265,'Thermo Data'!K264,'Testo, JUM &amp; MRU Data'!R265,GDF))</f>
        <v/>
      </c>
      <c r="Q271" s="981" t="str">
        <f>IF(P271="","",Conc2(P271,P$9,MolVol,P$21,P$20,Q$21,Q$20))</f>
        <v/>
      </c>
      <c r="R271" s="981" t="str">
        <f>IF(R$17=FALSE,"",JUMData('Testo, JUM &amp; MRU Data'!M265,$R$7))</f>
        <v/>
      </c>
      <c r="S271" s="982" t="str">
        <f>IF(R271="","",Conc2(R271,R$9,MolVol,R$21,R$20,S$21,S$20)/(1-Bws))</f>
        <v/>
      </c>
      <c r="T271" s="740"/>
      <c r="AR271" s="334"/>
      <c r="AS271" s="334"/>
      <c r="AT271" s="48"/>
      <c r="AU271" s="48"/>
      <c r="AV271" s="153"/>
      <c r="AW271" s="153"/>
      <c r="AX271" s="153"/>
      <c r="AY271" s="153"/>
      <c r="AZ271" s="153"/>
      <c r="BA271" s="153"/>
      <c r="BB271" s="153"/>
      <c r="BC271" s="153"/>
      <c r="BD271" s="153"/>
      <c r="BE271" s="153"/>
      <c r="BF271" s="153"/>
      <c r="BG271" s="153"/>
      <c r="BH271" s="153"/>
      <c r="BI271" s="153"/>
      <c r="BJ271" s="153"/>
      <c r="BK271" s="153"/>
      <c r="BL271" s="153"/>
      <c r="BM271" s="153"/>
      <c r="BN271" s="153"/>
      <c r="BO271" s="153"/>
      <c r="BP271" s="153"/>
      <c r="BQ271" s="153"/>
      <c r="BR271" s="153"/>
      <c r="BS271" s="153"/>
      <c r="BT271" s="153"/>
      <c r="BU271" s="153"/>
      <c r="BV271" s="153"/>
      <c r="BW271" s="153"/>
      <c r="BX271" s="153"/>
      <c r="BY271" s="153"/>
      <c r="BZ271" s="153"/>
      <c r="CA271" s="153"/>
      <c r="CB271" s="153"/>
      <c r="CC271" s="153"/>
      <c r="CD271" s="153"/>
      <c r="CE271" s="153"/>
      <c r="CF271" s="153"/>
      <c r="CG271" s="153"/>
      <c r="CH271" s="153"/>
      <c r="CI271" s="153"/>
      <c r="CJ271" s="153"/>
      <c r="CK271" s="153"/>
      <c r="CL271" s="153"/>
      <c r="CM271" s="153"/>
      <c r="CN271" s="153"/>
      <c r="CO271" s="153"/>
      <c r="CP271" s="153"/>
      <c r="CQ271" s="153"/>
      <c r="CR271" s="153"/>
      <c r="CS271" s="153"/>
      <c r="CT271" s="153"/>
      <c r="CU271" s="153"/>
      <c r="CV271" s="153"/>
      <c r="CW271" s="153"/>
      <c r="CX271" s="153"/>
      <c r="CY271" s="153"/>
      <c r="CZ271" s="153"/>
      <c r="DA271" s="153"/>
      <c r="DB271" s="153"/>
      <c r="DC271" s="153"/>
      <c r="DD271" s="153"/>
      <c r="DE271" s="153"/>
      <c r="DF271" s="153"/>
      <c r="DG271" s="153"/>
      <c r="DH271" s="153"/>
      <c r="DI271" s="153"/>
      <c r="DJ271" s="153"/>
      <c r="DK271" s="153"/>
      <c r="DL271" s="153"/>
      <c r="DM271" s="153"/>
      <c r="DN271" s="153"/>
      <c r="DO271" s="153"/>
      <c r="DP271" s="153"/>
      <c r="DQ271" s="153"/>
      <c r="DR271" s="153"/>
      <c r="DS271" s="153"/>
      <c r="DT271" s="153"/>
      <c r="DU271" s="153"/>
      <c r="DV271" s="153"/>
      <c r="DW271" s="153"/>
      <c r="DX271" s="153"/>
      <c r="DY271" s="153"/>
      <c r="DZ271" s="153"/>
      <c r="EA271" s="153"/>
      <c r="EB271" s="153"/>
      <c r="EC271" s="153"/>
      <c r="ED271" s="153"/>
      <c r="EE271" s="153"/>
      <c r="EF271" s="153"/>
      <c r="EG271" s="153"/>
      <c r="EH271" s="153"/>
      <c r="EI271" s="153"/>
      <c r="EJ271" s="153"/>
      <c r="EK271" s="153"/>
      <c r="EL271" s="153"/>
      <c r="EM271" s="153"/>
    </row>
    <row r="272" spans="1:143" s="107" customFormat="1" ht="10.5" hidden="1" customHeight="1" outlineLevel="2">
      <c r="A272" s="1548">
        <v>247</v>
      </c>
      <c r="B272" s="1560" t="str">
        <f t="shared" si="5"/>
        <v/>
      </c>
      <c r="C272" s="161" t="str">
        <f>GasTime(GasAnalyser,'Horiba Data'!F265,'Horiba Data'!G265,'Testo, JUM &amp; MRU Data'!A266,'Thermo Data'!B265,HourOffset)</f>
        <v/>
      </c>
      <c r="D272" s="981" t="str">
        <f>IF(D$17=FALSE,"",GasData(GasAnalyser,'Horiba Data'!S265,'Testo, JUM &amp; MRU Data'!D266,'Thermo Data'!E265,'Testo, JUM &amp; MRU Data'!U266,GDF))</f>
        <v/>
      </c>
      <c r="E272" s="981" t="str">
        <f>IF(D272="","",Conc2(D272,D$9,MolVol,D$21,D$20,E$21,E$20))</f>
        <v/>
      </c>
      <c r="F272" s="981" t="str">
        <f>IF(F$17=FALSE,"",GasData(GasAnalyser,'Horiba Data'!AQ265,'Testo, JUM &amp; MRU Data'!E266,'Thermo Data'!F265,'Testo, JUM &amp; MRU Data'!V266,GDF))</f>
        <v/>
      </c>
      <c r="G272" s="981" t="str">
        <f>IF(F272="","",Conc2(F272,F$9,MolVol,F$21,F$20,G$21,G$20))</f>
        <v/>
      </c>
      <c r="H272" s="981" t="str">
        <f>IF(D$17=FALSE,"",IF(F$17=FALSE,"",GasData(GasAnalyser,'Horiba Data'!W265,'Testo, JUM &amp; MRU Data'!F266,'Thermo Data'!G265,'Testo, JUM &amp; MRU Data'!Y266,GDF)))</f>
        <v/>
      </c>
      <c r="I272" s="981" t="str">
        <f>IF(H272="","",Conc2(H272,H$9,MolVol,H$21,H$20,I$21,I$20))</f>
        <v/>
      </c>
      <c r="J272" s="981" t="str">
        <f>IF(J$17=FALSE,"",GasData(GasAnalyser,'Horiba Data'!AM265,'Testo, JUM &amp; MRU Data'!G266,'Thermo Data'!H265,'Testo, JUM &amp; MRU Data'!W266,GDF))</f>
        <v/>
      </c>
      <c r="K272" s="981" t="str">
        <f>IF(J272="","",Conc2(J272,J$9,MolVol,J$21,J$20,K$21,K$20))</f>
        <v/>
      </c>
      <c r="L272" s="981" t="str">
        <f>IF(L$17=FALSE,"",GasData(GasAnalyser,'Horiba Data'!AA265,'Testo, JUM &amp; MRU Data'!H266,'Thermo Data'!I265,'Testo, JUM &amp; MRU Data'!T266,GDF))</f>
        <v/>
      </c>
      <c r="M272" s="981" t="str">
        <f>IF(L272="","",Conc2(L272,L$9,MolVol,L$21,L$20,M$21,M$20))</f>
        <v/>
      </c>
      <c r="N272" s="981" t="str">
        <f>IF(N$17=FALSE,"",GasData(GasAnalyser,'Horiba Data'!AE265,'Testo, JUM &amp; MRU Data'!I266,'Thermo Data'!J265,'Testo, JUM &amp; MRU Data'!S266,GDF))</f>
        <v/>
      </c>
      <c r="O272" s="981" t="str">
        <f>IF(N272="","",Conc2(N272,N$9,MolVol,N$21,N$20,O$21,O$20))</f>
        <v/>
      </c>
      <c r="P272" s="981" t="str">
        <f>IF(P$17=FALSE,"",GasData(GasAnalyser,'Horiba Data'!AI265,'Testo, JUM &amp; MRU Data'!J266,'Thermo Data'!K265,'Testo, JUM &amp; MRU Data'!R266,GDF))</f>
        <v/>
      </c>
      <c r="Q272" s="981" t="str">
        <f>IF(P272="","",Conc2(P272,P$9,MolVol,P$21,P$20,Q$21,Q$20))</f>
        <v/>
      </c>
      <c r="R272" s="981" t="str">
        <f>IF(R$17=FALSE,"",JUMData('Testo, JUM &amp; MRU Data'!M266,$R$7))</f>
        <v/>
      </c>
      <c r="S272" s="982" t="str">
        <f>IF(R272="","",Conc2(R272,R$9,MolVol,R$21,R$20,S$21,S$20)/(1-Bws))</f>
        <v/>
      </c>
      <c r="T272" s="740"/>
      <c r="AR272" s="334"/>
      <c r="AS272" s="334"/>
      <c r="AT272" s="48"/>
      <c r="AU272" s="48"/>
      <c r="AV272" s="153"/>
      <c r="AW272" s="153"/>
      <c r="AX272" s="153"/>
      <c r="AY272" s="153"/>
      <c r="AZ272" s="153"/>
      <c r="BA272" s="153"/>
      <c r="BB272" s="153"/>
      <c r="BC272" s="153"/>
      <c r="BD272" s="153"/>
      <c r="BE272" s="153"/>
      <c r="BF272" s="153"/>
      <c r="BG272" s="153"/>
      <c r="BH272" s="153"/>
      <c r="BI272" s="153"/>
      <c r="BJ272" s="153"/>
      <c r="BK272" s="153"/>
      <c r="BL272" s="153"/>
      <c r="BM272" s="153"/>
      <c r="BN272" s="153"/>
      <c r="BO272" s="153"/>
      <c r="BP272" s="153"/>
      <c r="BQ272" s="153"/>
      <c r="BR272" s="153"/>
      <c r="BS272" s="153"/>
      <c r="BT272" s="153"/>
      <c r="BU272" s="153"/>
      <c r="BV272" s="153"/>
      <c r="BW272" s="153"/>
      <c r="BX272" s="153"/>
      <c r="BY272" s="153"/>
      <c r="BZ272" s="153"/>
      <c r="CA272" s="153"/>
      <c r="CB272" s="153"/>
      <c r="CC272" s="153"/>
      <c r="CD272" s="153"/>
      <c r="CE272" s="153"/>
      <c r="CF272" s="153"/>
      <c r="CG272" s="153"/>
      <c r="CH272" s="153"/>
      <c r="CI272" s="153"/>
      <c r="CJ272" s="153"/>
      <c r="CK272" s="153"/>
      <c r="CL272" s="153"/>
      <c r="CM272" s="153"/>
      <c r="CN272" s="153"/>
      <c r="CO272" s="153"/>
      <c r="CP272" s="153"/>
      <c r="CQ272" s="153"/>
      <c r="CR272" s="153"/>
      <c r="CS272" s="153"/>
      <c r="CT272" s="153"/>
      <c r="CU272" s="153"/>
      <c r="CV272" s="153"/>
      <c r="CW272" s="153"/>
      <c r="CX272" s="153"/>
      <c r="CY272" s="153"/>
      <c r="CZ272" s="153"/>
      <c r="DA272" s="153"/>
      <c r="DB272" s="153"/>
      <c r="DC272" s="153"/>
      <c r="DD272" s="153"/>
      <c r="DE272" s="153"/>
      <c r="DF272" s="153"/>
      <c r="DG272" s="153"/>
      <c r="DH272" s="153"/>
      <c r="DI272" s="153"/>
      <c r="DJ272" s="153"/>
      <c r="DK272" s="153"/>
      <c r="DL272" s="153"/>
      <c r="DM272" s="153"/>
      <c r="DN272" s="153"/>
      <c r="DO272" s="153"/>
      <c r="DP272" s="153"/>
      <c r="DQ272" s="153"/>
      <c r="DR272" s="153"/>
      <c r="DS272" s="153"/>
      <c r="DT272" s="153"/>
      <c r="DU272" s="153"/>
      <c r="DV272" s="153"/>
      <c r="DW272" s="153"/>
      <c r="DX272" s="153"/>
      <c r="DY272" s="153"/>
      <c r="DZ272" s="153"/>
      <c r="EA272" s="153"/>
      <c r="EB272" s="153"/>
      <c r="EC272" s="153"/>
      <c r="ED272" s="153"/>
      <c r="EE272" s="153"/>
      <c r="EF272" s="153"/>
      <c r="EG272" s="153"/>
      <c r="EH272" s="153"/>
      <c r="EI272" s="153"/>
      <c r="EJ272" s="153"/>
      <c r="EK272" s="153"/>
      <c r="EL272" s="153"/>
      <c r="EM272" s="153"/>
    </row>
    <row r="273" spans="1:143" s="107" customFormat="1" ht="10.5" hidden="1" customHeight="1" outlineLevel="2">
      <c r="A273" s="1548">
        <v>248</v>
      </c>
      <c r="B273" s="1560" t="str">
        <f t="shared" si="5"/>
        <v/>
      </c>
      <c r="C273" s="161" t="str">
        <f>GasTime(GasAnalyser,'Horiba Data'!F266,'Horiba Data'!G266,'Testo, JUM &amp; MRU Data'!A267,'Thermo Data'!B266,HourOffset)</f>
        <v/>
      </c>
      <c r="D273" s="981" t="str">
        <f>IF(D$17=FALSE,"",GasData(GasAnalyser,'Horiba Data'!S266,'Testo, JUM &amp; MRU Data'!D267,'Thermo Data'!E266,'Testo, JUM &amp; MRU Data'!U267,GDF))</f>
        <v/>
      </c>
      <c r="E273" s="981" t="str">
        <f>IF(D273="","",Conc2(D273,D$9,MolVol,D$21,D$20,E$21,E$20))</f>
        <v/>
      </c>
      <c r="F273" s="981" t="str">
        <f>IF(F$17=FALSE,"",GasData(GasAnalyser,'Horiba Data'!AQ266,'Testo, JUM &amp; MRU Data'!E267,'Thermo Data'!F266,'Testo, JUM &amp; MRU Data'!V267,GDF))</f>
        <v/>
      </c>
      <c r="G273" s="981" t="str">
        <f>IF(F273="","",Conc2(F273,F$9,MolVol,F$21,F$20,G$21,G$20))</f>
        <v/>
      </c>
      <c r="H273" s="981" t="str">
        <f>IF(D$17=FALSE,"",IF(F$17=FALSE,"",GasData(GasAnalyser,'Horiba Data'!W266,'Testo, JUM &amp; MRU Data'!F267,'Thermo Data'!G266,'Testo, JUM &amp; MRU Data'!Y267,GDF)))</f>
        <v/>
      </c>
      <c r="I273" s="981" t="str">
        <f>IF(H273="","",Conc2(H273,H$9,MolVol,H$21,H$20,I$21,I$20))</f>
        <v/>
      </c>
      <c r="J273" s="981" t="str">
        <f>IF(J$17=FALSE,"",GasData(GasAnalyser,'Horiba Data'!AM266,'Testo, JUM &amp; MRU Data'!G267,'Thermo Data'!H266,'Testo, JUM &amp; MRU Data'!W267,GDF))</f>
        <v/>
      </c>
      <c r="K273" s="981" t="str">
        <f>IF(J273="","",Conc2(J273,J$9,MolVol,J$21,J$20,K$21,K$20))</f>
        <v/>
      </c>
      <c r="L273" s="981" t="str">
        <f>IF(L$17=FALSE,"",GasData(GasAnalyser,'Horiba Data'!AA266,'Testo, JUM &amp; MRU Data'!H267,'Thermo Data'!I266,'Testo, JUM &amp; MRU Data'!T267,GDF))</f>
        <v/>
      </c>
      <c r="M273" s="981" t="str">
        <f>IF(L273="","",Conc2(L273,L$9,MolVol,L$21,L$20,M$21,M$20))</f>
        <v/>
      </c>
      <c r="N273" s="981" t="str">
        <f>IF(N$17=FALSE,"",GasData(GasAnalyser,'Horiba Data'!AE266,'Testo, JUM &amp; MRU Data'!I267,'Thermo Data'!J266,'Testo, JUM &amp; MRU Data'!S267,GDF))</f>
        <v/>
      </c>
      <c r="O273" s="981" t="str">
        <f>IF(N273="","",Conc2(N273,N$9,MolVol,N$21,N$20,O$21,O$20))</f>
        <v/>
      </c>
      <c r="P273" s="981" t="str">
        <f>IF(P$17=FALSE,"",GasData(GasAnalyser,'Horiba Data'!AI266,'Testo, JUM &amp; MRU Data'!J267,'Thermo Data'!K266,'Testo, JUM &amp; MRU Data'!R267,GDF))</f>
        <v/>
      </c>
      <c r="Q273" s="981" t="str">
        <f>IF(P273="","",Conc2(P273,P$9,MolVol,P$21,P$20,Q$21,Q$20))</f>
        <v/>
      </c>
      <c r="R273" s="981" t="str">
        <f>IF(R$17=FALSE,"",JUMData('Testo, JUM &amp; MRU Data'!M267,$R$7))</f>
        <v/>
      </c>
      <c r="S273" s="982" t="str">
        <f>IF(R273="","",Conc2(R273,R$9,MolVol,R$21,R$20,S$21,S$20)/(1-Bws))</f>
        <v/>
      </c>
      <c r="T273" s="740"/>
      <c r="AR273" s="334"/>
      <c r="AS273" s="334"/>
      <c r="AT273" s="48"/>
      <c r="AU273" s="48"/>
      <c r="AV273" s="153"/>
      <c r="AW273" s="153"/>
      <c r="AX273" s="153"/>
      <c r="AY273" s="153"/>
      <c r="AZ273" s="153"/>
      <c r="BA273" s="153"/>
      <c r="BB273" s="153"/>
      <c r="BC273" s="153"/>
      <c r="BD273" s="153"/>
      <c r="BE273" s="153"/>
      <c r="BF273" s="153"/>
      <c r="BG273" s="153"/>
      <c r="BH273" s="153"/>
      <c r="BI273" s="153"/>
      <c r="BJ273" s="153"/>
      <c r="BK273" s="153"/>
      <c r="BL273" s="153"/>
      <c r="BM273" s="153"/>
      <c r="BN273" s="153"/>
      <c r="BO273" s="153"/>
      <c r="BP273" s="153"/>
      <c r="BQ273" s="153"/>
      <c r="BR273" s="153"/>
      <c r="BS273" s="153"/>
      <c r="BT273" s="153"/>
      <c r="BU273" s="153"/>
      <c r="BV273" s="153"/>
      <c r="BW273" s="153"/>
      <c r="BX273" s="153"/>
      <c r="BY273" s="153"/>
      <c r="BZ273" s="153"/>
      <c r="CA273" s="153"/>
      <c r="CB273" s="153"/>
      <c r="CC273" s="153"/>
      <c r="CD273" s="153"/>
      <c r="CE273" s="153"/>
      <c r="CF273" s="153"/>
      <c r="CG273" s="153"/>
      <c r="CH273" s="153"/>
      <c r="CI273" s="153"/>
      <c r="CJ273" s="153"/>
      <c r="CK273" s="153"/>
      <c r="CL273" s="153"/>
      <c r="CM273" s="153"/>
      <c r="CN273" s="153"/>
      <c r="CO273" s="153"/>
      <c r="CP273" s="153"/>
      <c r="CQ273" s="153"/>
      <c r="CR273" s="153"/>
      <c r="CS273" s="153"/>
      <c r="CT273" s="153"/>
      <c r="CU273" s="153"/>
      <c r="CV273" s="153"/>
      <c r="CW273" s="153"/>
      <c r="CX273" s="153"/>
      <c r="CY273" s="153"/>
      <c r="CZ273" s="153"/>
      <c r="DA273" s="153"/>
      <c r="DB273" s="153"/>
      <c r="DC273" s="153"/>
      <c r="DD273" s="153"/>
      <c r="DE273" s="153"/>
      <c r="DF273" s="153"/>
      <c r="DG273" s="153"/>
      <c r="DH273" s="153"/>
      <c r="DI273" s="153"/>
      <c r="DJ273" s="153"/>
      <c r="DK273" s="153"/>
      <c r="DL273" s="153"/>
      <c r="DM273" s="153"/>
      <c r="DN273" s="153"/>
      <c r="DO273" s="153"/>
      <c r="DP273" s="153"/>
      <c r="DQ273" s="153"/>
      <c r="DR273" s="153"/>
      <c r="DS273" s="153"/>
      <c r="DT273" s="153"/>
      <c r="DU273" s="153"/>
      <c r="DV273" s="153"/>
      <c r="DW273" s="153"/>
      <c r="DX273" s="153"/>
      <c r="DY273" s="153"/>
      <c r="DZ273" s="153"/>
      <c r="EA273" s="153"/>
      <c r="EB273" s="153"/>
      <c r="EC273" s="153"/>
      <c r="ED273" s="153"/>
      <c r="EE273" s="153"/>
      <c r="EF273" s="153"/>
      <c r="EG273" s="153"/>
      <c r="EH273" s="153"/>
      <c r="EI273" s="153"/>
      <c r="EJ273" s="153"/>
      <c r="EK273" s="153"/>
      <c r="EL273" s="153"/>
      <c r="EM273" s="153"/>
    </row>
    <row r="274" spans="1:143" s="107" customFormat="1" ht="10.5" hidden="1" customHeight="1" outlineLevel="2">
      <c r="A274" s="1548">
        <v>249</v>
      </c>
      <c r="B274" s="1560" t="str">
        <f t="shared" si="5"/>
        <v/>
      </c>
      <c r="C274" s="161" t="str">
        <f>GasTime(GasAnalyser,'Horiba Data'!F267,'Horiba Data'!G267,'Testo, JUM &amp; MRU Data'!A268,'Thermo Data'!B267,HourOffset)</f>
        <v/>
      </c>
      <c r="D274" s="981" t="str">
        <f>IF(D$17=FALSE,"",GasData(GasAnalyser,'Horiba Data'!S267,'Testo, JUM &amp; MRU Data'!D268,'Thermo Data'!E267,'Testo, JUM &amp; MRU Data'!U268,GDF))</f>
        <v/>
      </c>
      <c r="E274" s="981" t="str">
        <f>IF(D274="","",Conc2(D274,D$9,MolVol,D$21,D$20,E$21,E$20))</f>
        <v/>
      </c>
      <c r="F274" s="981" t="str">
        <f>IF(F$17=FALSE,"",GasData(GasAnalyser,'Horiba Data'!AQ267,'Testo, JUM &amp; MRU Data'!E268,'Thermo Data'!F267,'Testo, JUM &amp; MRU Data'!V268,GDF))</f>
        <v/>
      </c>
      <c r="G274" s="981" t="str">
        <f>IF(F274="","",Conc2(F274,F$9,MolVol,F$21,F$20,G$21,G$20))</f>
        <v/>
      </c>
      <c r="H274" s="981" t="str">
        <f>IF(D$17=FALSE,"",IF(F$17=FALSE,"",GasData(GasAnalyser,'Horiba Data'!W267,'Testo, JUM &amp; MRU Data'!F268,'Thermo Data'!G267,'Testo, JUM &amp; MRU Data'!Y268,GDF)))</f>
        <v/>
      </c>
      <c r="I274" s="981" t="str">
        <f>IF(H274="","",Conc2(H274,H$9,MolVol,H$21,H$20,I$21,I$20))</f>
        <v/>
      </c>
      <c r="J274" s="981" t="str">
        <f>IF(J$17=FALSE,"",GasData(GasAnalyser,'Horiba Data'!AM267,'Testo, JUM &amp; MRU Data'!G268,'Thermo Data'!H267,'Testo, JUM &amp; MRU Data'!W268,GDF))</f>
        <v/>
      </c>
      <c r="K274" s="981" t="str">
        <f>IF(J274="","",Conc2(J274,J$9,MolVol,J$21,J$20,K$21,K$20))</f>
        <v/>
      </c>
      <c r="L274" s="981" t="str">
        <f>IF(L$17=FALSE,"",GasData(GasAnalyser,'Horiba Data'!AA267,'Testo, JUM &amp; MRU Data'!H268,'Thermo Data'!I267,'Testo, JUM &amp; MRU Data'!T268,GDF))</f>
        <v/>
      </c>
      <c r="M274" s="981" t="str">
        <f>IF(L274="","",Conc2(L274,L$9,MolVol,L$21,L$20,M$21,M$20))</f>
        <v/>
      </c>
      <c r="N274" s="981" t="str">
        <f>IF(N$17=FALSE,"",GasData(GasAnalyser,'Horiba Data'!AE267,'Testo, JUM &amp; MRU Data'!I268,'Thermo Data'!J267,'Testo, JUM &amp; MRU Data'!S268,GDF))</f>
        <v/>
      </c>
      <c r="O274" s="981" t="str">
        <f>IF(N274="","",Conc2(N274,N$9,MolVol,N$21,N$20,O$21,O$20))</f>
        <v/>
      </c>
      <c r="P274" s="981" t="str">
        <f>IF(P$17=FALSE,"",GasData(GasAnalyser,'Horiba Data'!AI267,'Testo, JUM &amp; MRU Data'!J268,'Thermo Data'!K267,'Testo, JUM &amp; MRU Data'!R268,GDF))</f>
        <v/>
      </c>
      <c r="Q274" s="981" t="str">
        <f>IF(P274="","",Conc2(P274,P$9,MolVol,P$21,P$20,Q$21,Q$20))</f>
        <v/>
      </c>
      <c r="R274" s="981" t="str">
        <f>IF(R$17=FALSE,"",JUMData('Testo, JUM &amp; MRU Data'!M268,$R$7))</f>
        <v/>
      </c>
      <c r="S274" s="982" t="str">
        <f>IF(R274="","",Conc2(R274,R$9,MolVol,R$21,R$20,S$21,S$20)/(1-Bws))</f>
        <v/>
      </c>
      <c r="T274" s="740"/>
      <c r="AR274" s="334"/>
      <c r="AS274" s="334"/>
      <c r="AT274" s="48"/>
      <c r="AU274" s="48"/>
      <c r="AV274" s="153"/>
      <c r="AW274" s="153"/>
      <c r="AX274" s="153"/>
      <c r="AY274" s="153"/>
      <c r="AZ274" s="153"/>
      <c r="BA274" s="153"/>
      <c r="BB274" s="153"/>
      <c r="BC274" s="153"/>
      <c r="BD274" s="153"/>
      <c r="BE274" s="153"/>
      <c r="BF274" s="153"/>
      <c r="BG274" s="153"/>
      <c r="BH274" s="153"/>
      <c r="BI274" s="153"/>
      <c r="BJ274" s="153"/>
      <c r="BK274" s="153"/>
      <c r="BL274" s="153"/>
      <c r="BM274" s="153"/>
      <c r="BN274" s="153"/>
      <c r="BO274" s="153"/>
      <c r="BP274" s="153"/>
      <c r="BQ274" s="153"/>
      <c r="BR274" s="153"/>
      <c r="BS274" s="153"/>
      <c r="BT274" s="153"/>
      <c r="BU274" s="153"/>
      <c r="BV274" s="153"/>
      <c r="BW274" s="153"/>
      <c r="BX274" s="153"/>
      <c r="BY274" s="153"/>
      <c r="BZ274" s="153"/>
      <c r="CA274" s="153"/>
      <c r="CB274" s="153"/>
      <c r="CC274" s="153"/>
      <c r="CD274" s="153"/>
      <c r="CE274" s="153"/>
      <c r="CF274" s="153"/>
      <c r="CG274" s="153"/>
      <c r="CH274" s="153"/>
      <c r="CI274" s="153"/>
      <c r="CJ274" s="153"/>
      <c r="CK274" s="153"/>
      <c r="CL274" s="153"/>
      <c r="CM274" s="153"/>
      <c r="CN274" s="153"/>
      <c r="CO274" s="153"/>
      <c r="CP274" s="153"/>
      <c r="CQ274" s="153"/>
      <c r="CR274" s="153"/>
      <c r="CS274" s="153"/>
      <c r="CT274" s="153"/>
      <c r="CU274" s="153"/>
      <c r="CV274" s="153"/>
      <c r="CW274" s="153"/>
      <c r="CX274" s="153"/>
      <c r="CY274" s="153"/>
      <c r="CZ274" s="153"/>
      <c r="DA274" s="153"/>
      <c r="DB274" s="153"/>
      <c r="DC274" s="153"/>
      <c r="DD274" s="153"/>
      <c r="DE274" s="153"/>
      <c r="DF274" s="153"/>
      <c r="DG274" s="153"/>
      <c r="DH274" s="153"/>
      <c r="DI274" s="153"/>
      <c r="DJ274" s="153"/>
      <c r="DK274" s="153"/>
      <c r="DL274" s="153"/>
      <c r="DM274" s="153"/>
      <c r="DN274" s="153"/>
      <c r="DO274" s="153"/>
      <c r="DP274" s="153"/>
      <c r="DQ274" s="153"/>
      <c r="DR274" s="153"/>
      <c r="DS274" s="153"/>
      <c r="DT274" s="153"/>
      <c r="DU274" s="153"/>
      <c r="DV274" s="153"/>
      <c r="DW274" s="153"/>
      <c r="DX274" s="153"/>
      <c r="DY274" s="153"/>
      <c r="DZ274" s="153"/>
      <c r="EA274" s="153"/>
      <c r="EB274" s="153"/>
      <c r="EC274" s="153"/>
      <c r="ED274" s="153"/>
      <c r="EE274" s="153"/>
      <c r="EF274" s="153"/>
      <c r="EG274" s="153"/>
      <c r="EH274" s="153"/>
      <c r="EI274" s="153"/>
      <c r="EJ274" s="153"/>
      <c r="EK274" s="153"/>
      <c r="EL274" s="153"/>
      <c r="EM274" s="153"/>
    </row>
    <row r="275" spans="1:143" s="107" customFormat="1" ht="10.5" hidden="1" customHeight="1" outlineLevel="2">
      <c r="A275" s="1548">
        <v>250</v>
      </c>
      <c r="B275" s="1560" t="str">
        <f t="shared" si="5"/>
        <v/>
      </c>
      <c r="C275" s="161" t="str">
        <f>GasTime(GasAnalyser,'Horiba Data'!F268,'Horiba Data'!G268,'Testo, JUM &amp; MRU Data'!A269,'Thermo Data'!B268,HourOffset)</f>
        <v/>
      </c>
      <c r="D275" s="981" t="str">
        <f>IF(D$17=FALSE,"",GasData(GasAnalyser,'Horiba Data'!S268,'Testo, JUM &amp; MRU Data'!D269,'Thermo Data'!E268,'Testo, JUM &amp; MRU Data'!U269,GDF))</f>
        <v/>
      </c>
      <c r="E275" s="981" t="str">
        <f>IF(D275="","",Conc2(D275,D$9,MolVol,D$21,D$20,E$21,E$20))</f>
        <v/>
      </c>
      <c r="F275" s="981" t="str">
        <f>IF(F$17=FALSE,"",GasData(GasAnalyser,'Horiba Data'!AQ268,'Testo, JUM &amp; MRU Data'!E269,'Thermo Data'!F268,'Testo, JUM &amp; MRU Data'!V269,GDF))</f>
        <v/>
      </c>
      <c r="G275" s="981" t="str">
        <f>IF(F275="","",Conc2(F275,F$9,MolVol,F$21,F$20,G$21,G$20))</f>
        <v/>
      </c>
      <c r="H275" s="981" t="str">
        <f>IF(D$17=FALSE,"",IF(F$17=FALSE,"",GasData(GasAnalyser,'Horiba Data'!W268,'Testo, JUM &amp; MRU Data'!F269,'Thermo Data'!G268,'Testo, JUM &amp; MRU Data'!Y269,GDF)))</f>
        <v/>
      </c>
      <c r="I275" s="981" t="str">
        <f>IF(H275="","",Conc2(H275,H$9,MolVol,H$21,H$20,I$21,I$20))</f>
        <v/>
      </c>
      <c r="J275" s="981" t="str">
        <f>IF(J$17=FALSE,"",GasData(GasAnalyser,'Horiba Data'!AM268,'Testo, JUM &amp; MRU Data'!G269,'Thermo Data'!H268,'Testo, JUM &amp; MRU Data'!W269,GDF))</f>
        <v/>
      </c>
      <c r="K275" s="981" t="str">
        <f>IF(J275="","",Conc2(J275,J$9,MolVol,J$21,J$20,K$21,K$20))</f>
        <v/>
      </c>
      <c r="L275" s="981" t="str">
        <f>IF(L$17=FALSE,"",GasData(GasAnalyser,'Horiba Data'!AA268,'Testo, JUM &amp; MRU Data'!H269,'Thermo Data'!I268,'Testo, JUM &amp; MRU Data'!T269,GDF))</f>
        <v/>
      </c>
      <c r="M275" s="981" t="str">
        <f>IF(L275="","",Conc2(L275,L$9,MolVol,L$21,L$20,M$21,M$20))</f>
        <v/>
      </c>
      <c r="N275" s="981" t="str">
        <f>IF(N$17=FALSE,"",GasData(GasAnalyser,'Horiba Data'!AE268,'Testo, JUM &amp; MRU Data'!I269,'Thermo Data'!J268,'Testo, JUM &amp; MRU Data'!S269,GDF))</f>
        <v/>
      </c>
      <c r="O275" s="981" t="str">
        <f>IF(N275="","",Conc2(N275,N$9,MolVol,N$21,N$20,O$21,O$20))</f>
        <v/>
      </c>
      <c r="P275" s="981" t="str">
        <f>IF(P$17=FALSE,"",GasData(GasAnalyser,'Horiba Data'!AI268,'Testo, JUM &amp; MRU Data'!J269,'Thermo Data'!K268,'Testo, JUM &amp; MRU Data'!R269,GDF))</f>
        <v/>
      </c>
      <c r="Q275" s="981" t="str">
        <f>IF(P275="","",Conc2(P275,P$9,MolVol,P$21,P$20,Q$21,Q$20))</f>
        <v/>
      </c>
      <c r="R275" s="981" t="str">
        <f>IF(R$17=FALSE,"",JUMData('Testo, JUM &amp; MRU Data'!M269,$R$7))</f>
        <v/>
      </c>
      <c r="S275" s="982" t="str">
        <f>IF(R275="","",Conc2(R275,R$9,MolVol,R$21,R$20,S$21,S$20)/(1-Bws))</f>
        <v/>
      </c>
      <c r="T275" s="740"/>
      <c r="AR275" s="334"/>
      <c r="AS275" s="334"/>
      <c r="AT275" s="48"/>
      <c r="AU275" s="48"/>
      <c r="AV275" s="153"/>
      <c r="AW275" s="153"/>
      <c r="AX275" s="153"/>
      <c r="AY275" s="153"/>
      <c r="AZ275" s="153"/>
      <c r="BA275" s="153"/>
      <c r="BB275" s="153"/>
      <c r="BC275" s="153"/>
      <c r="BD275" s="153"/>
      <c r="BE275" s="153"/>
      <c r="BF275" s="153"/>
      <c r="BG275" s="153"/>
      <c r="BH275" s="153"/>
      <c r="BI275" s="153"/>
      <c r="BJ275" s="153"/>
      <c r="BK275" s="153"/>
      <c r="BL275" s="153"/>
      <c r="BM275" s="153"/>
      <c r="BN275" s="153"/>
      <c r="BO275" s="153"/>
      <c r="BP275" s="153"/>
      <c r="BQ275" s="153"/>
      <c r="BR275" s="153"/>
      <c r="BS275" s="153"/>
      <c r="BT275" s="153"/>
      <c r="BU275" s="153"/>
      <c r="BV275" s="153"/>
      <c r="BW275" s="153"/>
      <c r="BX275" s="153"/>
      <c r="BY275" s="153"/>
      <c r="BZ275" s="153"/>
      <c r="CA275" s="153"/>
      <c r="CB275" s="153"/>
      <c r="CC275" s="153"/>
      <c r="CD275" s="153"/>
      <c r="CE275" s="153"/>
      <c r="CF275" s="153"/>
      <c r="CG275" s="153"/>
      <c r="CH275" s="153"/>
      <c r="CI275" s="153"/>
      <c r="CJ275" s="153"/>
      <c r="CK275" s="153"/>
      <c r="CL275" s="153"/>
      <c r="CM275" s="153"/>
      <c r="CN275" s="153"/>
      <c r="CO275" s="153"/>
      <c r="CP275" s="153"/>
      <c r="CQ275" s="153"/>
      <c r="CR275" s="153"/>
      <c r="CS275" s="153"/>
      <c r="CT275" s="153"/>
      <c r="CU275" s="153"/>
      <c r="CV275" s="153"/>
      <c r="CW275" s="153"/>
      <c r="CX275" s="153"/>
      <c r="CY275" s="153"/>
      <c r="CZ275" s="153"/>
      <c r="DA275" s="153"/>
      <c r="DB275" s="153"/>
      <c r="DC275" s="153"/>
      <c r="DD275" s="153"/>
      <c r="DE275" s="153"/>
      <c r="DF275" s="153"/>
      <c r="DG275" s="153"/>
      <c r="DH275" s="153"/>
      <c r="DI275" s="153"/>
      <c r="DJ275" s="153"/>
      <c r="DK275" s="153"/>
      <c r="DL275" s="153"/>
      <c r="DM275" s="153"/>
      <c r="DN275" s="153"/>
      <c r="DO275" s="153"/>
      <c r="DP275" s="153"/>
      <c r="DQ275" s="153"/>
      <c r="DR275" s="153"/>
      <c r="DS275" s="153"/>
      <c r="DT275" s="153"/>
      <c r="DU275" s="153"/>
      <c r="DV275" s="153"/>
      <c r="DW275" s="153"/>
      <c r="DX275" s="153"/>
      <c r="DY275" s="153"/>
      <c r="DZ275" s="153"/>
      <c r="EA275" s="153"/>
      <c r="EB275" s="153"/>
      <c r="EC275" s="153"/>
      <c r="ED275" s="153"/>
      <c r="EE275" s="153"/>
      <c r="EF275" s="153"/>
      <c r="EG275" s="153"/>
      <c r="EH275" s="153"/>
      <c r="EI275" s="153"/>
      <c r="EJ275" s="153"/>
      <c r="EK275" s="153"/>
      <c r="EL275" s="153"/>
      <c r="EM275" s="153"/>
    </row>
    <row r="276" spans="1:143" s="107" customFormat="1" ht="10.5" hidden="1" customHeight="1" outlineLevel="2">
      <c r="A276" s="1548">
        <v>251</v>
      </c>
      <c r="B276" s="1560" t="str">
        <f t="shared" si="5"/>
        <v/>
      </c>
      <c r="C276" s="161" t="str">
        <f>GasTime(GasAnalyser,'Horiba Data'!F269,'Horiba Data'!G269,'Testo, JUM &amp; MRU Data'!A270,'Thermo Data'!B269,HourOffset)</f>
        <v/>
      </c>
      <c r="D276" s="981" t="str">
        <f>IF(D$17=FALSE,"",GasData(GasAnalyser,'Horiba Data'!S269,'Testo, JUM &amp; MRU Data'!D270,'Thermo Data'!E269,'Testo, JUM &amp; MRU Data'!U270,GDF))</f>
        <v/>
      </c>
      <c r="E276" s="981" t="str">
        <f>IF(D276="","",Conc2(D276,D$9,MolVol,D$21,D$20,E$21,E$20))</f>
        <v/>
      </c>
      <c r="F276" s="981" t="str">
        <f>IF(F$17=FALSE,"",GasData(GasAnalyser,'Horiba Data'!AQ269,'Testo, JUM &amp; MRU Data'!E270,'Thermo Data'!F269,'Testo, JUM &amp; MRU Data'!V270,GDF))</f>
        <v/>
      </c>
      <c r="G276" s="981" t="str">
        <f>IF(F276="","",Conc2(F276,F$9,MolVol,F$21,F$20,G$21,G$20))</f>
        <v/>
      </c>
      <c r="H276" s="981" t="str">
        <f>IF(D$17=FALSE,"",IF(F$17=FALSE,"",GasData(GasAnalyser,'Horiba Data'!W269,'Testo, JUM &amp; MRU Data'!F270,'Thermo Data'!G269,'Testo, JUM &amp; MRU Data'!Y270,GDF)))</f>
        <v/>
      </c>
      <c r="I276" s="981" t="str">
        <f>IF(H276="","",Conc2(H276,H$9,MolVol,H$21,H$20,I$21,I$20))</f>
        <v/>
      </c>
      <c r="J276" s="981" t="str">
        <f>IF(J$17=FALSE,"",GasData(GasAnalyser,'Horiba Data'!AM269,'Testo, JUM &amp; MRU Data'!G270,'Thermo Data'!H269,'Testo, JUM &amp; MRU Data'!W270,GDF))</f>
        <v/>
      </c>
      <c r="K276" s="981" t="str">
        <f>IF(J276="","",Conc2(J276,J$9,MolVol,J$21,J$20,K$21,K$20))</f>
        <v/>
      </c>
      <c r="L276" s="981" t="str">
        <f>IF(L$17=FALSE,"",GasData(GasAnalyser,'Horiba Data'!AA269,'Testo, JUM &amp; MRU Data'!H270,'Thermo Data'!I269,'Testo, JUM &amp; MRU Data'!T270,GDF))</f>
        <v/>
      </c>
      <c r="M276" s="981" t="str">
        <f>IF(L276="","",Conc2(L276,L$9,MolVol,L$21,L$20,M$21,M$20))</f>
        <v/>
      </c>
      <c r="N276" s="981" t="str">
        <f>IF(N$17=FALSE,"",GasData(GasAnalyser,'Horiba Data'!AE269,'Testo, JUM &amp; MRU Data'!I270,'Thermo Data'!J269,'Testo, JUM &amp; MRU Data'!S270,GDF))</f>
        <v/>
      </c>
      <c r="O276" s="981" t="str">
        <f>IF(N276="","",Conc2(N276,N$9,MolVol,N$21,N$20,O$21,O$20))</f>
        <v/>
      </c>
      <c r="P276" s="981" t="str">
        <f>IF(P$17=FALSE,"",GasData(GasAnalyser,'Horiba Data'!AI269,'Testo, JUM &amp; MRU Data'!J270,'Thermo Data'!K269,'Testo, JUM &amp; MRU Data'!R270,GDF))</f>
        <v/>
      </c>
      <c r="Q276" s="981" t="str">
        <f>IF(P276="","",Conc2(P276,P$9,MolVol,P$21,P$20,Q$21,Q$20))</f>
        <v/>
      </c>
      <c r="R276" s="981" t="str">
        <f>IF(R$17=FALSE,"",JUMData('Testo, JUM &amp; MRU Data'!M270,$R$7))</f>
        <v/>
      </c>
      <c r="S276" s="982" t="str">
        <f>IF(R276="","",Conc2(R276,R$9,MolVol,R$21,R$20,S$21,S$20)/(1-Bws))</f>
        <v/>
      </c>
      <c r="T276" s="740"/>
      <c r="AR276" s="334"/>
      <c r="AS276" s="334"/>
      <c r="AT276" s="48"/>
      <c r="AU276" s="48"/>
      <c r="AV276" s="153"/>
      <c r="AW276" s="153"/>
      <c r="AX276" s="153"/>
      <c r="AY276" s="153"/>
      <c r="AZ276" s="153"/>
      <c r="BA276" s="153"/>
      <c r="BB276" s="153"/>
      <c r="BC276" s="153"/>
      <c r="BD276" s="153"/>
      <c r="BE276" s="153"/>
      <c r="BF276" s="153"/>
      <c r="BG276" s="153"/>
      <c r="BH276" s="153"/>
      <c r="BI276" s="153"/>
      <c r="BJ276" s="153"/>
      <c r="BK276" s="153"/>
      <c r="BL276" s="153"/>
      <c r="BM276" s="153"/>
      <c r="BN276" s="153"/>
      <c r="BO276" s="153"/>
      <c r="BP276" s="153"/>
      <c r="BQ276" s="153"/>
      <c r="BR276" s="153"/>
      <c r="BS276" s="153"/>
      <c r="BT276" s="153"/>
      <c r="BU276" s="153"/>
      <c r="BV276" s="153"/>
      <c r="BW276" s="153"/>
      <c r="BX276" s="153"/>
      <c r="BY276" s="153"/>
      <c r="BZ276" s="153"/>
      <c r="CA276" s="153"/>
      <c r="CB276" s="153"/>
      <c r="CC276" s="153"/>
      <c r="CD276" s="153"/>
      <c r="CE276" s="153"/>
      <c r="CF276" s="153"/>
      <c r="CG276" s="153"/>
      <c r="CH276" s="153"/>
      <c r="CI276" s="153"/>
      <c r="CJ276" s="153"/>
      <c r="CK276" s="153"/>
      <c r="CL276" s="153"/>
      <c r="CM276" s="153"/>
      <c r="CN276" s="153"/>
      <c r="CO276" s="153"/>
      <c r="CP276" s="153"/>
      <c r="CQ276" s="153"/>
      <c r="CR276" s="153"/>
      <c r="CS276" s="153"/>
      <c r="CT276" s="153"/>
      <c r="CU276" s="153"/>
      <c r="CV276" s="153"/>
      <c r="CW276" s="153"/>
      <c r="CX276" s="153"/>
      <c r="CY276" s="153"/>
      <c r="CZ276" s="153"/>
      <c r="DA276" s="153"/>
      <c r="DB276" s="153"/>
      <c r="DC276" s="153"/>
      <c r="DD276" s="153"/>
      <c r="DE276" s="153"/>
      <c r="DF276" s="153"/>
      <c r="DG276" s="153"/>
      <c r="DH276" s="153"/>
      <c r="DI276" s="153"/>
      <c r="DJ276" s="153"/>
      <c r="DK276" s="153"/>
      <c r="DL276" s="153"/>
      <c r="DM276" s="153"/>
      <c r="DN276" s="153"/>
      <c r="DO276" s="153"/>
      <c r="DP276" s="153"/>
      <c r="DQ276" s="153"/>
      <c r="DR276" s="153"/>
      <c r="DS276" s="153"/>
      <c r="DT276" s="153"/>
      <c r="DU276" s="153"/>
      <c r="DV276" s="153"/>
      <c r="DW276" s="153"/>
      <c r="DX276" s="153"/>
      <c r="DY276" s="153"/>
      <c r="DZ276" s="153"/>
      <c r="EA276" s="153"/>
      <c r="EB276" s="153"/>
      <c r="EC276" s="153"/>
      <c r="ED276" s="153"/>
      <c r="EE276" s="153"/>
      <c r="EF276" s="153"/>
      <c r="EG276" s="153"/>
      <c r="EH276" s="153"/>
      <c r="EI276" s="153"/>
      <c r="EJ276" s="153"/>
      <c r="EK276" s="153"/>
      <c r="EL276" s="153"/>
      <c r="EM276" s="153"/>
    </row>
    <row r="277" spans="1:143" s="107" customFormat="1" ht="10.5" hidden="1" customHeight="1" outlineLevel="2">
      <c r="A277" s="1548">
        <v>252</v>
      </c>
      <c r="B277" s="1560" t="str">
        <f t="shared" si="5"/>
        <v/>
      </c>
      <c r="C277" s="161" t="str">
        <f>GasTime(GasAnalyser,'Horiba Data'!F270,'Horiba Data'!G270,'Testo, JUM &amp; MRU Data'!A271,'Thermo Data'!B270,HourOffset)</f>
        <v/>
      </c>
      <c r="D277" s="981" t="str">
        <f>IF(D$17=FALSE,"",GasData(GasAnalyser,'Horiba Data'!S270,'Testo, JUM &amp; MRU Data'!D271,'Thermo Data'!E270,'Testo, JUM &amp; MRU Data'!U271,GDF))</f>
        <v/>
      </c>
      <c r="E277" s="981" t="str">
        <f>IF(D277="","",Conc2(D277,D$9,MolVol,D$21,D$20,E$21,E$20))</f>
        <v/>
      </c>
      <c r="F277" s="981" t="str">
        <f>IF(F$17=FALSE,"",GasData(GasAnalyser,'Horiba Data'!AQ270,'Testo, JUM &amp; MRU Data'!E271,'Thermo Data'!F270,'Testo, JUM &amp; MRU Data'!V271,GDF))</f>
        <v/>
      </c>
      <c r="G277" s="981" t="str">
        <f>IF(F277="","",Conc2(F277,F$9,MolVol,F$21,F$20,G$21,G$20))</f>
        <v/>
      </c>
      <c r="H277" s="981" t="str">
        <f>IF(D$17=FALSE,"",IF(F$17=FALSE,"",GasData(GasAnalyser,'Horiba Data'!W270,'Testo, JUM &amp; MRU Data'!F271,'Thermo Data'!G270,'Testo, JUM &amp; MRU Data'!Y271,GDF)))</f>
        <v/>
      </c>
      <c r="I277" s="981" t="str">
        <f>IF(H277="","",Conc2(H277,H$9,MolVol,H$21,H$20,I$21,I$20))</f>
        <v/>
      </c>
      <c r="J277" s="981" t="str">
        <f>IF(J$17=FALSE,"",GasData(GasAnalyser,'Horiba Data'!AM270,'Testo, JUM &amp; MRU Data'!G271,'Thermo Data'!H270,'Testo, JUM &amp; MRU Data'!W271,GDF))</f>
        <v/>
      </c>
      <c r="K277" s="981" t="str">
        <f>IF(J277="","",Conc2(J277,J$9,MolVol,J$21,J$20,K$21,K$20))</f>
        <v/>
      </c>
      <c r="L277" s="981" t="str">
        <f>IF(L$17=FALSE,"",GasData(GasAnalyser,'Horiba Data'!AA270,'Testo, JUM &amp; MRU Data'!H271,'Thermo Data'!I270,'Testo, JUM &amp; MRU Data'!T271,GDF))</f>
        <v/>
      </c>
      <c r="M277" s="981" t="str">
        <f>IF(L277="","",Conc2(L277,L$9,MolVol,L$21,L$20,M$21,M$20))</f>
        <v/>
      </c>
      <c r="N277" s="981" t="str">
        <f>IF(N$17=FALSE,"",GasData(GasAnalyser,'Horiba Data'!AE270,'Testo, JUM &amp; MRU Data'!I271,'Thermo Data'!J270,'Testo, JUM &amp; MRU Data'!S271,GDF))</f>
        <v/>
      </c>
      <c r="O277" s="981" t="str">
        <f>IF(N277="","",Conc2(N277,N$9,MolVol,N$21,N$20,O$21,O$20))</f>
        <v/>
      </c>
      <c r="P277" s="981" t="str">
        <f>IF(P$17=FALSE,"",GasData(GasAnalyser,'Horiba Data'!AI270,'Testo, JUM &amp; MRU Data'!J271,'Thermo Data'!K270,'Testo, JUM &amp; MRU Data'!R271,GDF))</f>
        <v/>
      </c>
      <c r="Q277" s="981" t="str">
        <f>IF(P277="","",Conc2(P277,P$9,MolVol,P$21,P$20,Q$21,Q$20))</f>
        <v/>
      </c>
      <c r="R277" s="981" t="str">
        <f>IF(R$17=FALSE,"",JUMData('Testo, JUM &amp; MRU Data'!M271,$R$7))</f>
        <v/>
      </c>
      <c r="S277" s="982" t="str">
        <f>IF(R277="","",Conc2(R277,R$9,MolVol,R$21,R$20,S$21,S$20)/(1-Bws))</f>
        <v/>
      </c>
      <c r="T277" s="740"/>
      <c r="AR277" s="334"/>
      <c r="AS277" s="334"/>
      <c r="AT277" s="48"/>
      <c r="AU277" s="48"/>
      <c r="AV277" s="153"/>
      <c r="AW277" s="153"/>
      <c r="AX277" s="153"/>
      <c r="AY277" s="153"/>
      <c r="AZ277" s="153"/>
      <c r="BA277" s="153"/>
      <c r="BB277" s="153"/>
      <c r="BC277" s="153"/>
      <c r="BD277" s="153"/>
      <c r="BE277" s="153"/>
      <c r="BF277" s="153"/>
      <c r="BG277" s="153"/>
      <c r="BH277" s="153"/>
      <c r="BI277" s="153"/>
      <c r="BJ277" s="153"/>
      <c r="BK277" s="153"/>
      <c r="BL277" s="153"/>
      <c r="BM277" s="153"/>
      <c r="BN277" s="153"/>
      <c r="BO277" s="153"/>
      <c r="BP277" s="153"/>
      <c r="BQ277" s="153"/>
      <c r="BR277" s="153"/>
      <c r="BS277" s="153"/>
      <c r="BT277" s="153"/>
      <c r="BU277" s="153"/>
      <c r="BV277" s="153"/>
      <c r="BW277" s="153"/>
      <c r="BX277" s="153"/>
      <c r="BY277" s="153"/>
      <c r="BZ277" s="153"/>
      <c r="CA277" s="153"/>
      <c r="CB277" s="153"/>
      <c r="CC277" s="153"/>
      <c r="CD277" s="153"/>
      <c r="CE277" s="153"/>
      <c r="CF277" s="153"/>
      <c r="CG277" s="153"/>
      <c r="CH277" s="153"/>
      <c r="CI277" s="153"/>
      <c r="CJ277" s="153"/>
      <c r="CK277" s="153"/>
      <c r="CL277" s="153"/>
      <c r="CM277" s="153"/>
      <c r="CN277" s="153"/>
      <c r="CO277" s="153"/>
      <c r="CP277" s="153"/>
      <c r="CQ277" s="153"/>
      <c r="CR277" s="153"/>
      <c r="CS277" s="153"/>
      <c r="CT277" s="153"/>
      <c r="CU277" s="153"/>
      <c r="CV277" s="153"/>
      <c r="CW277" s="153"/>
      <c r="CX277" s="153"/>
      <c r="CY277" s="153"/>
      <c r="CZ277" s="153"/>
      <c r="DA277" s="153"/>
      <c r="DB277" s="153"/>
      <c r="DC277" s="153"/>
      <c r="DD277" s="153"/>
      <c r="DE277" s="153"/>
      <c r="DF277" s="153"/>
      <c r="DG277" s="153"/>
      <c r="DH277" s="153"/>
      <c r="DI277" s="153"/>
      <c r="DJ277" s="153"/>
      <c r="DK277" s="153"/>
      <c r="DL277" s="153"/>
      <c r="DM277" s="153"/>
      <c r="DN277" s="153"/>
      <c r="DO277" s="153"/>
      <c r="DP277" s="153"/>
      <c r="DQ277" s="153"/>
      <c r="DR277" s="153"/>
      <c r="DS277" s="153"/>
      <c r="DT277" s="153"/>
      <c r="DU277" s="153"/>
      <c r="DV277" s="153"/>
      <c r="DW277" s="153"/>
      <c r="DX277" s="153"/>
      <c r="DY277" s="153"/>
      <c r="DZ277" s="153"/>
      <c r="EA277" s="153"/>
      <c r="EB277" s="153"/>
      <c r="EC277" s="153"/>
      <c r="ED277" s="153"/>
      <c r="EE277" s="153"/>
      <c r="EF277" s="153"/>
      <c r="EG277" s="153"/>
      <c r="EH277" s="153"/>
      <c r="EI277" s="153"/>
      <c r="EJ277" s="153"/>
      <c r="EK277" s="153"/>
      <c r="EL277" s="153"/>
      <c r="EM277" s="153"/>
    </row>
    <row r="278" spans="1:143" s="107" customFormat="1" ht="10.5" hidden="1" customHeight="1" outlineLevel="2">
      <c r="A278" s="1548">
        <v>253</v>
      </c>
      <c r="B278" s="1560" t="str">
        <f t="shared" si="5"/>
        <v/>
      </c>
      <c r="C278" s="161" t="str">
        <f>GasTime(GasAnalyser,'Horiba Data'!F271,'Horiba Data'!G271,'Testo, JUM &amp; MRU Data'!A272,'Thermo Data'!B271,HourOffset)</f>
        <v/>
      </c>
      <c r="D278" s="981" t="str">
        <f>IF(D$17=FALSE,"",GasData(GasAnalyser,'Horiba Data'!S271,'Testo, JUM &amp; MRU Data'!D272,'Thermo Data'!E271,'Testo, JUM &amp; MRU Data'!U272,GDF))</f>
        <v/>
      </c>
      <c r="E278" s="981" t="str">
        <f>IF(D278="","",Conc2(D278,D$9,MolVol,D$21,D$20,E$21,E$20))</f>
        <v/>
      </c>
      <c r="F278" s="981" t="str">
        <f>IF(F$17=FALSE,"",GasData(GasAnalyser,'Horiba Data'!AQ271,'Testo, JUM &amp; MRU Data'!E272,'Thermo Data'!F271,'Testo, JUM &amp; MRU Data'!V272,GDF))</f>
        <v/>
      </c>
      <c r="G278" s="981" t="str">
        <f>IF(F278="","",Conc2(F278,F$9,MolVol,F$21,F$20,G$21,G$20))</f>
        <v/>
      </c>
      <c r="H278" s="981" t="str">
        <f>IF(D$17=FALSE,"",IF(F$17=FALSE,"",GasData(GasAnalyser,'Horiba Data'!W271,'Testo, JUM &amp; MRU Data'!F272,'Thermo Data'!G271,'Testo, JUM &amp; MRU Data'!Y272,GDF)))</f>
        <v/>
      </c>
      <c r="I278" s="981" t="str">
        <f>IF(H278="","",Conc2(H278,H$9,MolVol,H$21,H$20,I$21,I$20))</f>
        <v/>
      </c>
      <c r="J278" s="981" t="str">
        <f>IF(J$17=FALSE,"",GasData(GasAnalyser,'Horiba Data'!AM271,'Testo, JUM &amp; MRU Data'!G272,'Thermo Data'!H271,'Testo, JUM &amp; MRU Data'!W272,GDF))</f>
        <v/>
      </c>
      <c r="K278" s="981" t="str">
        <f>IF(J278="","",Conc2(J278,J$9,MolVol,J$21,J$20,K$21,K$20))</f>
        <v/>
      </c>
      <c r="L278" s="981" t="str">
        <f>IF(L$17=FALSE,"",GasData(GasAnalyser,'Horiba Data'!AA271,'Testo, JUM &amp; MRU Data'!H272,'Thermo Data'!I271,'Testo, JUM &amp; MRU Data'!T272,GDF))</f>
        <v/>
      </c>
      <c r="M278" s="981" t="str">
        <f>IF(L278="","",Conc2(L278,L$9,MolVol,L$21,L$20,M$21,M$20))</f>
        <v/>
      </c>
      <c r="N278" s="981" t="str">
        <f>IF(N$17=FALSE,"",GasData(GasAnalyser,'Horiba Data'!AE271,'Testo, JUM &amp; MRU Data'!I272,'Thermo Data'!J271,'Testo, JUM &amp; MRU Data'!S272,GDF))</f>
        <v/>
      </c>
      <c r="O278" s="981" t="str">
        <f>IF(N278="","",Conc2(N278,N$9,MolVol,N$21,N$20,O$21,O$20))</f>
        <v/>
      </c>
      <c r="P278" s="981" t="str">
        <f>IF(P$17=FALSE,"",GasData(GasAnalyser,'Horiba Data'!AI271,'Testo, JUM &amp; MRU Data'!J272,'Thermo Data'!K271,'Testo, JUM &amp; MRU Data'!R272,GDF))</f>
        <v/>
      </c>
      <c r="Q278" s="981" t="str">
        <f>IF(P278="","",Conc2(P278,P$9,MolVol,P$21,P$20,Q$21,Q$20))</f>
        <v/>
      </c>
      <c r="R278" s="981" t="str">
        <f>IF(R$17=FALSE,"",JUMData('Testo, JUM &amp; MRU Data'!M272,$R$7))</f>
        <v/>
      </c>
      <c r="S278" s="982" t="str">
        <f>IF(R278="","",Conc2(R278,R$9,MolVol,R$21,R$20,S$21,S$20)/(1-Bws))</f>
        <v/>
      </c>
      <c r="T278" s="740"/>
      <c r="AR278" s="334"/>
      <c r="AS278" s="334"/>
      <c r="AT278" s="48"/>
      <c r="AU278" s="48"/>
      <c r="AV278" s="153"/>
      <c r="AW278" s="153"/>
      <c r="AX278" s="153"/>
      <c r="AY278" s="153"/>
      <c r="AZ278" s="153"/>
      <c r="BA278" s="153"/>
      <c r="BB278" s="153"/>
      <c r="BC278" s="153"/>
      <c r="BD278" s="153"/>
      <c r="BE278" s="153"/>
      <c r="BF278" s="153"/>
      <c r="BG278" s="153"/>
      <c r="BH278" s="153"/>
      <c r="BI278" s="153"/>
      <c r="BJ278" s="153"/>
      <c r="BK278" s="153"/>
      <c r="BL278" s="153"/>
      <c r="BM278" s="153"/>
      <c r="BN278" s="153"/>
      <c r="BO278" s="153"/>
      <c r="BP278" s="153"/>
      <c r="BQ278" s="153"/>
      <c r="BR278" s="153"/>
      <c r="BS278" s="153"/>
      <c r="BT278" s="153"/>
      <c r="BU278" s="153"/>
      <c r="BV278" s="153"/>
      <c r="BW278" s="153"/>
      <c r="BX278" s="153"/>
      <c r="BY278" s="153"/>
      <c r="BZ278" s="153"/>
      <c r="CA278" s="153"/>
      <c r="CB278" s="153"/>
      <c r="CC278" s="153"/>
      <c r="CD278" s="153"/>
      <c r="CE278" s="153"/>
      <c r="CF278" s="153"/>
      <c r="CG278" s="153"/>
      <c r="CH278" s="153"/>
      <c r="CI278" s="153"/>
      <c r="CJ278" s="153"/>
      <c r="CK278" s="153"/>
      <c r="CL278" s="153"/>
      <c r="CM278" s="153"/>
      <c r="CN278" s="153"/>
      <c r="CO278" s="153"/>
      <c r="CP278" s="153"/>
      <c r="CQ278" s="153"/>
      <c r="CR278" s="153"/>
      <c r="CS278" s="153"/>
      <c r="CT278" s="153"/>
      <c r="CU278" s="153"/>
      <c r="CV278" s="153"/>
      <c r="CW278" s="153"/>
      <c r="CX278" s="153"/>
      <c r="CY278" s="153"/>
      <c r="CZ278" s="153"/>
      <c r="DA278" s="153"/>
      <c r="DB278" s="153"/>
      <c r="DC278" s="153"/>
      <c r="DD278" s="153"/>
      <c r="DE278" s="153"/>
      <c r="DF278" s="153"/>
      <c r="DG278" s="153"/>
      <c r="DH278" s="153"/>
      <c r="DI278" s="153"/>
      <c r="DJ278" s="153"/>
      <c r="DK278" s="153"/>
      <c r="DL278" s="153"/>
      <c r="DM278" s="153"/>
      <c r="DN278" s="153"/>
      <c r="DO278" s="153"/>
      <c r="DP278" s="153"/>
      <c r="DQ278" s="153"/>
      <c r="DR278" s="153"/>
      <c r="DS278" s="153"/>
      <c r="DT278" s="153"/>
      <c r="DU278" s="153"/>
      <c r="DV278" s="153"/>
      <c r="DW278" s="153"/>
      <c r="DX278" s="153"/>
      <c r="DY278" s="153"/>
      <c r="DZ278" s="153"/>
      <c r="EA278" s="153"/>
      <c r="EB278" s="153"/>
      <c r="EC278" s="153"/>
      <c r="ED278" s="153"/>
      <c r="EE278" s="153"/>
      <c r="EF278" s="153"/>
      <c r="EG278" s="153"/>
      <c r="EH278" s="153"/>
      <c r="EI278" s="153"/>
      <c r="EJ278" s="153"/>
      <c r="EK278" s="153"/>
      <c r="EL278" s="153"/>
      <c r="EM278" s="153"/>
    </row>
    <row r="279" spans="1:143" s="107" customFormat="1" ht="10.5" hidden="1" customHeight="1" outlineLevel="2">
      <c r="A279" s="1548">
        <v>254</v>
      </c>
      <c r="B279" s="1560" t="str">
        <f t="shared" si="5"/>
        <v/>
      </c>
      <c r="C279" s="161" t="str">
        <f>GasTime(GasAnalyser,'Horiba Data'!F272,'Horiba Data'!G272,'Testo, JUM &amp; MRU Data'!A273,'Thermo Data'!B272,HourOffset)</f>
        <v/>
      </c>
      <c r="D279" s="981" t="str">
        <f>IF(D$17=FALSE,"",GasData(GasAnalyser,'Horiba Data'!S272,'Testo, JUM &amp; MRU Data'!D273,'Thermo Data'!E272,'Testo, JUM &amp; MRU Data'!U273,GDF))</f>
        <v/>
      </c>
      <c r="E279" s="981" t="str">
        <f>IF(D279="","",Conc2(D279,D$9,MolVol,D$21,D$20,E$21,E$20))</f>
        <v/>
      </c>
      <c r="F279" s="981" t="str">
        <f>IF(F$17=FALSE,"",GasData(GasAnalyser,'Horiba Data'!AQ272,'Testo, JUM &amp; MRU Data'!E273,'Thermo Data'!F272,'Testo, JUM &amp; MRU Data'!V273,GDF))</f>
        <v/>
      </c>
      <c r="G279" s="981" t="str">
        <f>IF(F279="","",Conc2(F279,F$9,MolVol,F$21,F$20,G$21,G$20))</f>
        <v/>
      </c>
      <c r="H279" s="981" t="str">
        <f>IF(D$17=FALSE,"",IF(F$17=FALSE,"",GasData(GasAnalyser,'Horiba Data'!W272,'Testo, JUM &amp; MRU Data'!F273,'Thermo Data'!G272,'Testo, JUM &amp; MRU Data'!Y273,GDF)))</f>
        <v/>
      </c>
      <c r="I279" s="981" t="str">
        <f>IF(H279="","",Conc2(H279,H$9,MolVol,H$21,H$20,I$21,I$20))</f>
        <v/>
      </c>
      <c r="J279" s="981" t="str">
        <f>IF(J$17=FALSE,"",GasData(GasAnalyser,'Horiba Data'!AM272,'Testo, JUM &amp; MRU Data'!G273,'Thermo Data'!H272,'Testo, JUM &amp; MRU Data'!W273,GDF))</f>
        <v/>
      </c>
      <c r="K279" s="981" t="str">
        <f>IF(J279="","",Conc2(J279,J$9,MolVol,J$21,J$20,K$21,K$20))</f>
        <v/>
      </c>
      <c r="L279" s="981" t="str">
        <f>IF(L$17=FALSE,"",GasData(GasAnalyser,'Horiba Data'!AA272,'Testo, JUM &amp; MRU Data'!H273,'Thermo Data'!I272,'Testo, JUM &amp; MRU Data'!T273,GDF))</f>
        <v/>
      </c>
      <c r="M279" s="981" t="str">
        <f>IF(L279="","",Conc2(L279,L$9,MolVol,L$21,L$20,M$21,M$20))</f>
        <v/>
      </c>
      <c r="N279" s="981" t="str">
        <f>IF(N$17=FALSE,"",GasData(GasAnalyser,'Horiba Data'!AE272,'Testo, JUM &amp; MRU Data'!I273,'Thermo Data'!J272,'Testo, JUM &amp; MRU Data'!S273,GDF))</f>
        <v/>
      </c>
      <c r="O279" s="981" t="str">
        <f>IF(N279="","",Conc2(N279,N$9,MolVol,N$21,N$20,O$21,O$20))</f>
        <v/>
      </c>
      <c r="P279" s="981" t="str">
        <f>IF(P$17=FALSE,"",GasData(GasAnalyser,'Horiba Data'!AI272,'Testo, JUM &amp; MRU Data'!J273,'Thermo Data'!K272,'Testo, JUM &amp; MRU Data'!R273,GDF))</f>
        <v/>
      </c>
      <c r="Q279" s="981" t="str">
        <f>IF(P279="","",Conc2(P279,P$9,MolVol,P$21,P$20,Q$21,Q$20))</f>
        <v/>
      </c>
      <c r="R279" s="981" t="str">
        <f>IF(R$17=FALSE,"",JUMData('Testo, JUM &amp; MRU Data'!M273,$R$7))</f>
        <v/>
      </c>
      <c r="S279" s="982" t="str">
        <f>IF(R279="","",Conc2(R279,R$9,MolVol,R$21,R$20,S$21,S$20)/(1-Bws))</f>
        <v/>
      </c>
      <c r="T279" s="740"/>
      <c r="AR279" s="334"/>
      <c r="AS279" s="334"/>
      <c r="AT279" s="48"/>
      <c r="AU279" s="48"/>
      <c r="AV279" s="153"/>
      <c r="AW279" s="153"/>
      <c r="AX279" s="153"/>
      <c r="AY279" s="153"/>
      <c r="AZ279" s="153"/>
      <c r="BA279" s="153"/>
      <c r="BB279" s="153"/>
      <c r="BC279" s="153"/>
      <c r="BD279" s="153"/>
      <c r="BE279" s="153"/>
      <c r="BF279" s="153"/>
      <c r="BG279" s="153"/>
      <c r="BH279" s="153"/>
      <c r="BI279" s="153"/>
      <c r="BJ279" s="153"/>
      <c r="BK279" s="153"/>
      <c r="BL279" s="153"/>
      <c r="BM279" s="153"/>
      <c r="BN279" s="153"/>
      <c r="BO279" s="153"/>
      <c r="BP279" s="153"/>
      <c r="BQ279" s="153"/>
      <c r="BR279" s="153"/>
      <c r="BS279" s="153"/>
      <c r="BT279" s="153"/>
      <c r="BU279" s="153"/>
      <c r="BV279" s="153"/>
      <c r="BW279" s="153"/>
      <c r="BX279" s="153"/>
      <c r="BY279" s="153"/>
      <c r="BZ279" s="153"/>
      <c r="CA279" s="153"/>
      <c r="CB279" s="153"/>
      <c r="CC279" s="153"/>
      <c r="CD279" s="153"/>
      <c r="CE279" s="153"/>
      <c r="CF279" s="153"/>
      <c r="CG279" s="153"/>
      <c r="CH279" s="153"/>
      <c r="CI279" s="153"/>
      <c r="CJ279" s="153"/>
      <c r="CK279" s="153"/>
      <c r="CL279" s="153"/>
      <c r="CM279" s="153"/>
      <c r="CN279" s="153"/>
      <c r="CO279" s="153"/>
      <c r="CP279" s="153"/>
      <c r="CQ279" s="153"/>
      <c r="CR279" s="153"/>
      <c r="CS279" s="153"/>
      <c r="CT279" s="153"/>
      <c r="CU279" s="153"/>
      <c r="CV279" s="153"/>
      <c r="CW279" s="153"/>
      <c r="CX279" s="153"/>
      <c r="CY279" s="153"/>
      <c r="CZ279" s="153"/>
      <c r="DA279" s="153"/>
      <c r="DB279" s="153"/>
      <c r="DC279" s="153"/>
      <c r="DD279" s="153"/>
      <c r="DE279" s="153"/>
      <c r="DF279" s="153"/>
      <c r="DG279" s="153"/>
      <c r="DH279" s="153"/>
      <c r="DI279" s="153"/>
      <c r="DJ279" s="153"/>
      <c r="DK279" s="153"/>
      <c r="DL279" s="153"/>
      <c r="DM279" s="153"/>
      <c r="DN279" s="153"/>
      <c r="DO279" s="153"/>
      <c r="DP279" s="153"/>
      <c r="DQ279" s="153"/>
      <c r="DR279" s="153"/>
      <c r="DS279" s="153"/>
      <c r="DT279" s="153"/>
      <c r="DU279" s="153"/>
      <c r="DV279" s="153"/>
      <c r="DW279" s="153"/>
      <c r="DX279" s="153"/>
      <c r="DY279" s="153"/>
      <c r="DZ279" s="153"/>
      <c r="EA279" s="153"/>
      <c r="EB279" s="153"/>
      <c r="EC279" s="153"/>
      <c r="ED279" s="153"/>
      <c r="EE279" s="153"/>
      <c r="EF279" s="153"/>
      <c r="EG279" s="153"/>
      <c r="EH279" s="153"/>
      <c r="EI279" s="153"/>
      <c r="EJ279" s="153"/>
      <c r="EK279" s="153"/>
      <c r="EL279" s="153"/>
      <c r="EM279" s="153"/>
    </row>
    <row r="280" spans="1:143" s="107" customFormat="1" ht="10.5" hidden="1" customHeight="1" outlineLevel="2">
      <c r="A280" s="1548">
        <v>255</v>
      </c>
      <c r="B280" s="1560" t="str">
        <f t="shared" si="5"/>
        <v/>
      </c>
      <c r="C280" s="161" t="str">
        <f>GasTime(GasAnalyser,'Horiba Data'!F273,'Horiba Data'!G273,'Testo, JUM &amp; MRU Data'!A274,'Thermo Data'!B273,HourOffset)</f>
        <v/>
      </c>
      <c r="D280" s="981" t="str">
        <f>IF(D$17=FALSE,"",GasData(GasAnalyser,'Horiba Data'!S273,'Testo, JUM &amp; MRU Data'!D274,'Thermo Data'!E273,'Testo, JUM &amp; MRU Data'!U274,GDF))</f>
        <v/>
      </c>
      <c r="E280" s="981" t="str">
        <f>IF(D280="","",Conc2(D280,D$9,MolVol,D$21,D$20,E$21,E$20))</f>
        <v/>
      </c>
      <c r="F280" s="981" t="str">
        <f>IF(F$17=FALSE,"",GasData(GasAnalyser,'Horiba Data'!AQ273,'Testo, JUM &amp; MRU Data'!E274,'Thermo Data'!F273,'Testo, JUM &amp; MRU Data'!V274,GDF))</f>
        <v/>
      </c>
      <c r="G280" s="981" t="str">
        <f>IF(F280="","",Conc2(F280,F$9,MolVol,F$21,F$20,G$21,G$20))</f>
        <v/>
      </c>
      <c r="H280" s="981" t="str">
        <f>IF(D$17=FALSE,"",IF(F$17=FALSE,"",GasData(GasAnalyser,'Horiba Data'!W273,'Testo, JUM &amp; MRU Data'!F274,'Thermo Data'!G273,'Testo, JUM &amp; MRU Data'!Y274,GDF)))</f>
        <v/>
      </c>
      <c r="I280" s="981" t="str">
        <f>IF(H280="","",Conc2(H280,H$9,MolVol,H$21,H$20,I$21,I$20))</f>
        <v/>
      </c>
      <c r="J280" s="981" t="str">
        <f>IF(J$17=FALSE,"",GasData(GasAnalyser,'Horiba Data'!AM273,'Testo, JUM &amp; MRU Data'!G274,'Thermo Data'!H273,'Testo, JUM &amp; MRU Data'!W274,GDF))</f>
        <v/>
      </c>
      <c r="K280" s="981" t="str">
        <f>IF(J280="","",Conc2(J280,J$9,MolVol,J$21,J$20,K$21,K$20))</f>
        <v/>
      </c>
      <c r="L280" s="981" t="str">
        <f>IF(L$17=FALSE,"",GasData(GasAnalyser,'Horiba Data'!AA273,'Testo, JUM &amp; MRU Data'!H274,'Thermo Data'!I273,'Testo, JUM &amp; MRU Data'!T274,GDF))</f>
        <v/>
      </c>
      <c r="M280" s="981" t="str">
        <f>IF(L280="","",Conc2(L280,L$9,MolVol,L$21,L$20,M$21,M$20))</f>
        <v/>
      </c>
      <c r="N280" s="981" t="str">
        <f>IF(N$17=FALSE,"",GasData(GasAnalyser,'Horiba Data'!AE273,'Testo, JUM &amp; MRU Data'!I274,'Thermo Data'!J273,'Testo, JUM &amp; MRU Data'!S274,GDF))</f>
        <v/>
      </c>
      <c r="O280" s="981" t="str">
        <f>IF(N280="","",Conc2(N280,N$9,MolVol,N$21,N$20,O$21,O$20))</f>
        <v/>
      </c>
      <c r="P280" s="981" t="str">
        <f>IF(P$17=FALSE,"",GasData(GasAnalyser,'Horiba Data'!AI273,'Testo, JUM &amp; MRU Data'!J274,'Thermo Data'!K273,'Testo, JUM &amp; MRU Data'!R274,GDF))</f>
        <v/>
      </c>
      <c r="Q280" s="981" t="str">
        <f>IF(P280="","",Conc2(P280,P$9,MolVol,P$21,P$20,Q$21,Q$20))</f>
        <v/>
      </c>
      <c r="R280" s="981" t="str">
        <f>IF(R$17=FALSE,"",JUMData('Testo, JUM &amp; MRU Data'!M274,$R$7))</f>
        <v/>
      </c>
      <c r="S280" s="982" t="str">
        <f>IF(R280="","",Conc2(R280,R$9,MolVol,R$21,R$20,S$21,S$20)/(1-Bws))</f>
        <v/>
      </c>
      <c r="T280" s="740"/>
      <c r="AR280" s="334"/>
      <c r="AS280" s="334"/>
      <c r="AT280" s="48"/>
      <c r="AU280" s="48"/>
      <c r="AV280" s="153"/>
      <c r="AW280" s="153"/>
      <c r="AX280" s="153"/>
      <c r="AY280" s="153"/>
      <c r="AZ280" s="153"/>
      <c r="BA280" s="153"/>
      <c r="BB280" s="153"/>
      <c r="BC280" s="153"/>
      <c r="BD280" s="153"/>
      <c r="BE280" s="153"/>
      <c r="BF280" s="153"/>
      <c r="BG280" s="153"/>
      <c r="BH280" s="153"/>
      <c r="BI280" s="153"/>
      <c r="BJ280" s="153"/>
      <c r="BK280" s="153"/>
      <c r="BL280" s="153"/>
      <c r="BM280" s="153"/>
      <c r="BN280" s="153"/>
      <c r="BO280" s="153"/>
      <c r="BP280" s="153"/>
      <c r="BQ280" s="153"/>
      <c r="BR280" s="153"/>
      <c r="BS280" s="153"/>
      <c r="BT280" s="153"/>
      <c r="BU280" s="153"/>
      <c r="BV280" s="153"/>
      <c r="BW280" s="153"/>
      <c r="BX280" s="153"/>
      <c r="BY280" s="153"/>
      <c r="BZ280" s="153"/>
      <c r="CA280" s="153"/>
      <c r="CB280" s="153"/>
      <c r="CC280" s="153"/>
      <c r="CD280" s="153"/>
      <c r="CE280" s="153"/>
      <c r="CF280" s="153"/>
      <c r="CG280" s="153"/>
      <c r="CH280" s="153"/>
      <c r="CI280" s="153"/>
      <c r="CJ280" s="153"/>
      <c r="CK280" s="153"/>
      <c r="CL280" s="153"/>
      <c r="CM280" s="153"/>
      <c r="CN280" s="153"/>
      <c r="CO280" s="153"/>
      <c r="CP280" s="153"/>
      <c r="CQ280" s="153"/>
      <c r="CR280" s="153"/>
      <c r="CS280" s="153"/>
      <c r="CT280" s="153"/>
      <c r="CU280" s="153"/>
      <c r="CV280" s="153"/>
      <c r="CW280" s="153"/>
      <c r="CX280" s="153"/>
      <c r="CY280" s="153"/>
      <c r="CZ280" s="153"/>
      <c r="DA280" s="153"/>
      <c r="DB280" s="153"/>
      <c r="DC280" s="153"/>
      <c r="DD280" s="153"/>
      <c r="DE280" s="153"/>
      <c r="DF280" s="153"/>
      <c r="DG280" s="153"/>
      <c r="DH280" s="153"/>
      <c r="DI280" s="153"/>
      <c r="DJ280" s="153"/>
      <c r="DK280" s="153"/>
      <c r="DL280" s="153"/>
      <c r="DM280" s="153"/>
      <c r="DN280" s="153"/>
      <c r="DO280" s="153"/>
      <c r="DP280" s="153"/>
      <c r="DQ280" s="153"/>
      <c r="DR280" s="153"/>
      <c r="DS280" s="153"/>
      <c r="DT280" s="153"/>
      <c r="DU280" s="153"/>
      <c r="DV280" s="153"/>
      <c r="DW280" s="153"/>
      <c r="DX280" s="153"/>
      <c r="DY280" s="153"/>
      <c r="DZ280" s="153"/>
      <c r="EA280" s="153"/>
      <c r="EB280" s="153"/>
      <c r="EC280" s="153"/>
      <c r="ED280" s="153"/>
      <c r="EE280" s="153"/>
      <c r="EF280" s="153"/>
      <c r="EG280" s="153"/>
      <c r="EH280" s="153"/>
      <c r="EI280" s="153"/>
      <c r="EJ280" s="153"/>
      <c r="EK280" s="153"/>
      <c r="EL280" s="153"/>
      <c r="EM280" s="153"/>
    </row>
    <row r="281" spans="1:143" s="107" customFormat="1" ht="10.5" hidden="1" customHeight="1" outlineLevel="2">
      <c r="A281" s="1548">
        <v>256</v>
      </c>
      <c r="B281" s="1560" t="str">
        <f t="shared" si="5"/>
        <v/>
      </c>
      <c r="C281" s="161" t="str">
        <f>GasTime(GasAnalyser,'Horiba Data'!F274,'Horiba Data'!G274,'Testo, JUM &amp; MRU Data'!A275,'Thermo Data'!B274,HourOffset)</f>
        <v/>
      </c>
      <c r="D281" s="981" t="str">
        <f>IF(D$17=FALSE,"",GasData(GasAnalyser,'Horiba Data'!S274,'Testo, JUM &amp; MRU Data'!D275,'Thermo Data'!E274,'Testo, JUM &amp; MRU Data'!U275,GDF))</f>
        <v/>
      </c>
      <c r="E281" s="981" t="str">
        <f>IF(D281="","",Conc2(D281,D$9,MolVol,D$21,D$20,E$21,E$20))</f>
        <v/>
      </c>
      <c r="F281" s="981" t="str">
        <f>IF(F$17=FALSE,"",GasData(GasAnalyser,'Horiba Data'!AQ274,'Testo, JUM &amp; MRU Data'!E275,'Thermo Data'!F274,'Testo, JUM &amp; MRU Data'!V275,GDF))</f>
        <v/>
      </c>
      <c r="G281" s="981" t="str">
        <f>IF(F281="","",Conc2(F281,F$9,MolVol,F$21,F$20,G$21,G$20))</f>
        <v/>
      </c>
      <c r="H281" s="981" t="str">
        <f>IF(D$17=FALSE,"",IF(F$17=FALSE,"",GasData(GasAnalyser,'Horiba Data'!W274,'Testo, JUM &amp; MRU Data'!F275,'Thermo Data'!G274,'Testo, JUM &amp; MRU Data'!Y275,GDF)))</f>
        <v/>
      </c>
      <c r="I281" s="981" t="str">
        <f>IF(H281="","",Conc2(H281,H$9,MolVol,H$21,H$20,I$21,I$20))</f>
        <v/>
      </c>
      <c r="J281" s="981" t="str">
        <f>IF(J$17=FALSE,"",GasData(GasAnalyser,'Horiba Data'!AM274,'Testo, JUM &amp; MRU Data'!G275,'Thermo Data'!H274,'Testo, JUM &amp; MRU Data'!W275,GDF))</f>
        <v/>
      </c>
      <c r="K281" s="981" t="str">
        <f>IF(J281="","",Conc2(J281,J$9,MolVol,J$21,J$20,K$21,K$20))</f>
        <v/>
      </c>
      <c r="L281" s="981" t="str">
        <f>IF(L$17=FALSE,"",GasData(GasAnalyser,'Horiba Data'!AA274,'Testo, JUM &amp; MRU Data'!H275,'Thermo Data'!I274,'Testo, JUM &amp; MRU Data'!T275,GDF))</f>
        <v/>
      </c>
      <c r="M281" s="981" t="str">
        <f>IF(L281="","",Conc2(L281,L$9,MolVol,L$21,L$20,M$21,M$20))</f>
        <v/>
      </c>
      <c r="N281" s="981" t="str">
        <f>IF(N$17=FALSE,"",GasData(GasAnalyser,'Horiba Data'!AE274,'Testo, JUM &amp; MRU Data'!I275,'Thermo Data'!J274,'Testo, JUM &amp; MRU Data'!S275,GDF))</f>
        <v/>
      </c>
      <c r="O281" s="981" t="str">
        <f>IF(N281="","",Conc2(N281,N$9,MolVol,N$21,N$20,O$21,O$20))</f>
        <v/>
      </c>
      <c r="P281" s="981" t="str">
        <f>IF(P$17=FALSE,"",GasData(GasAnalyser,'Horiba Data'!AI274,'Testo, JUM &amp; MRU Data'!J275,'Thermo Data'!K274,'Testo, JUM &amp; MRU Data'!R275,GDF))</f>
        <v/>
      </c>
      <c r="Q281" s="981" t="str">
        <f>IF(P281="","",Conc2(P281,P$9,MolVol,P$21,P$20,Q$21,Q$20))</f>
        <v/>
      </c>
      <c r="R281" s="981" t="str">
        <f>IF(R$17=FALSE,"",JUMData('Testo, JUM &amp; MRU Data'!M275,$R$7))</f>
        <v/>
      </c>
      <c r="S281" s="982" t="str">
        <f>IF(R281="","",Conc2(R281,R$9,MolVol,R$21,R$20,S$21,S$20)/(1-Bws))</f>
        <v/>
      </c>
      <c r="T281" s="740"/>
      <c r="AR281" s="334"/>
      <c r="AS281" s="334"/>
      <c r="AT281" s="48"/>
      <c r="AU281" s="48"/>
      <c r="AV281" s="153"/>
      <c r="AW281" s="153"/>
      <c r="AX281" s="153"/>
      <c r="AY281" s="153"/>
      <c r="AZ281" s="153"/>
      <c r="BA281" s="153"/>
      <c r="BB281" s="153"/>
      <c r="BC281" s="153"/>
      <c r="BD281" s="153"/>
      <c r="BE281" s="153"/>
      <c r="BF281" s="153"/>
      <c r="BG281" s="153"/>
      <c r="BH281" s="153"/>
      <c r="BI281" s="153"/>
      <c r="BJ281" s="153"/>
      <c r="BK281" s="153"/>
      <c r="BL281" s="153"/>
      <c r="BM281" s="153"/>
      <c r="BN281" s="153"/>
      <c r="BO281" s="153"/>
      <c r="BP281" s="153"/>
      <c r="BQ281" s="153"/>
      <c r="BR281" s="153"/>
      <c r="BS281" s="153"/>
      <c r="BT281" s="153"/>
      <c r="BU281" s="153"/>
      <c r="BV281" s="153"/>
      <c r="BW281" s="153"/>
      <c r="BX281" s="153"/>
      <c r="BY281" s="153"/>
      <c r="BZ281" s="153"/>
      <c r="CA281" s="153"/>
      <c r="CB281" s="153"/>
      <c r="CC281" s="153"/>
      <c r="CD281" s="153"/>
      <c r="CE281" s="153"/>
      <c r="CF281" s="153"/>
      <c r="CG281" s="153"/>
      <c r="CH281" s="153"/>
      <c r="CI281" s="153"/>
      <c r="CJ281" s="153"/>
      <c r="CK281" s="153"/>
      <c r="CL281" s="153"/>
      <c r="CM281" s="153"/>
      <c r="CN281" s="153"/>
      <c r="CO281" s="153"/>
      <c r="CP281" s="153"/>
      <c r="CQ281" s="153"/>
      <c r="CR281" s="153"/>
      <c r="CS281" s="153"/>
      <c r="CT281" s="153"/>
      <c r="CU281" s="153"/>
      <c r="CV281" s="153"/>
      <c r="CW281" s="153"/>
      <c r="CX281" s="153"/>
      <c r="CY281" s="153"/>
      <c r="CZ281" s="153"/>
      <c r="DA281" s="153"/>
      <c r="DB281" s="153"/>
      <c r="DC281" s="153"/>
      <c r="DD281" s="153"/>
      <c r="DE281" s="153"/>
      <c r="DF281" s="153"/>
      <c r="DG281" s="153"/>
      <c r="DH281" s="153"/>
      <c r="DI281" s="153"/>
      <c r="DJ281" s="153"/>
      <c r="DK281" s="153"/>
      <c r="DL281" s="153"/>
      <c r="DM281" s="153"/>
      <c r="DN281" s="153"/>
      <c r="DO281" s="153"/>
      <c r="DP281" s="153"/>
      <c r="DQ281" s="153"/>
      <c r="DR281" s="153"/>
      <c r="DS281" s="153"/>
      <c r="DT281" s="153"/>
      <c r="DU281" s="153"/>
      <c r="DV281" s="153"/>
      <c r="DW281" s="153"/>
      <c r="DX281" s="153"/>
      <c r="DY281" s="153"/>
      <c r="DZ281" s="153"/>
      <c r="EA281" s="153"/>
      <c r="EB281" s="153"/>
      <c r="EC281" s="153"/>
      <c r="ED281" s="153"/>
      <c r="EE281" s="153"/>
      <c r="EF281" s="153"/>
      <c r="EG281" s="153"/>
      <c r="EH281" s="153"/>
      <c r="EI281" s="153"/>
      <c r="EJ281" s="153"/>
      <c r="EK281" s="153"/>
      <c r="EL281" s="153"/>
      <c r="EM281" s="153"/>
    </row>
    <row r="282" spans="1:143" s="107" customFormat="1" ht="10.5" hidden="1" customHeight="1" outlineLevel="2">
      <c r="A282" s="1548">
        <v>257</v>
      </c>
      <c r="B282" s="1560" t="str">
        <f t="shared" si="5"/>
        <v/>
      </c>
      <c r="C282" s="161" t="str">
        <f>GasTime(GasAnalyser,'Horiba Data'!F275,'Horiba Data'!G275,'Testo, JUM &amp; MRU Data'!A276,'Thermo Data'!B275,HourOffset)</f>
        <v/>
      </c>
      <c r="D282" s="981" t="str">
        <f>IF(D$17=FALSE,"",GasData(GasAnalyser,'Horiba Data'!S275,'Testo, JUM &amp; MRU Data'!D276,'Thermo Data'!E275,'Testo, JUM &amp; MRU Data'!U276,GDF))</f>
        <v/>
      </c>
      <c r="E282" s="981" t="str">
        <f>IF(D282="","",Conc2(D282,D$9,MolVol,D$21,D$20,E$21,E$20))</f>
        <v/>
      </c>
      <c r="F282" s="981" t="str">
        <f>IF(F$17=FALSE,"",GasData(GasAnalyser,'Horiba Data'!AQ275,'Testo, JUM &amp; MRU Data'!E276,'Thermo Data'!F275,'Testo, JUM &amp; MRU Data'!V276,GDF))</f>
        <v/>
      </c>
      <c r="G282" s="981" t="str">
        <f>IF(F282="","",Conc2(F282,F$9,MolVol,F$21,F$20,G$21,G$20))</f>
        <v/>
      </c>
      <c r="H282" s="981" t="str">
        <f>IF(D$17=FALSE,"",IF(F$17=FALSE,"",GasData(GasAnalyser,'Horiba Data'!W275,'Testo, JUM &amp; MRU Data'!F276,'Thermo Data'!G275,'Testo, JUM &amp; MRU Data'!Y276,GDF)))</f>
        <v/>
      </c>
      <c r="I282" s="981" t="str">
        <f>IF(H282="","",Conc2(H282,H$9,MolVol,H$21,H$20,I$21,I$20))</f>
        <v/>
      </c>
      <c r="J282" s="981" t="str">
        <f>IF(J$17=FALSE,"",GasData(GasAnalyser,'Horiba Data'!AM275,'Testo, JUM &amp; MRU Data'!G276,'Thermo Data'!H275,'Testo, JUM &amp; MRU Data'!W276,GDF))</f>
        <v/>
      </c>
      <c r="K282" s="981" t="str">
        <f>IF(J282="","",Conc2(J282,J$9,MolVol,J$21,J$20,K$21,K$20))</f>
        <v/>
      </c>
      <c r="L282" s="981" t="str">
        <f>IF(L$17=FALSE,"",GasData(GasAnalyser,'Horiba Data'!AA275,'Testo, JUM &amp; MRU Data'!H276,'Thermo Data'!I275,'Testo, JUM &amp; MRU Data'!T276,GDF))</f>
        <v/>
      </c>
      <c r="M282" s="981" t="str">
        <f>IF(L282="","",Conc2(L282,L$9,MolVol,L$21,L$20,M$21,M$20))</f>
        <v/>
      </c>
      <c r="N282" s="981" t="str">
        <f>IF(N$17=FALSE,"",GasData(GasAnalyser,'Horiba Data'!AE275,'Testo, JUM &amp; MRU Data'!I276,'Thermo Data'!J275,'Testo, JUM &amp; MRU Data'!S276,GDF))</f>
        <v/>
      </c>
      <c r="O282" s="981" t="str">
        <f>IF(N282="","",Conc2(N282,N$9,MolVol,N$21,N$20,O$21,O$20))</f>
        <v/>
      </c>
      <c r="P282" s="981" t="str">
        <f>IF(P$17=FALSE,"",GasData(GasAnalyser,'Horiba Data'!AI275,'Testo, JUM &amp; MRU Data'!J276,'Thermo Data'!K275,'Testo, JUM &amp; MRU Data'!R276,GDF))</f>
        <v/>
      </c>
      <c r="Q282" s="981" t="str">
        <f>IF(P282="","",Conc2(P282,P$9,MolVol,P$21,P$20,Q$21,Q$20))</f>
        <v/>
      </c>
      <c r="R282" s="981" t="str">
        <f>IF(R$17=FALSE,"",JUMData('Testo, JUM &amp; MRU Data'!M276,$R$7))</f>
        <v/>
      </c>
      <c r="S282" s="982" t="str">
        <f>IF(R282="","",Conc2(R282,R$9,MolVol,R$21,R$20,S$21,S$20)/(1-Bws))</f>
        <v/>
      </c>
      <c r="T282" s="740"/>
      <c r="AR282" s="334"/>
      <c r="AS282" s="334"/>
      <c r="AT282" s="48"/>
      <c r="AU282" s="48"/>
      <c r="AV282" s="153"/>
      <c r="AW282" s="153"/>
      <c r="AX282" s="153"/>
      <c r="AY282" s="153"/>
      <c r="AZ282" s="153"/>
      <c r="BA282" s="153"/>
      <c r="BB282" s="153"/>
      <c r="BC282" s="153"/>
      <c r="BD282" s="153"/>
      <c r="BE282" s="153"/>
      <c r="BF282" s="153"/>
      <c r="BG282" s="153"/>
      <c r="BH282" s="153"/>
      <c r="BI282" s="153"/>
      <c r="BJ282" s="153"/>
      <c r="BK282" s="153"/>
      <c r="BL282" s="153"/>
      <c r="BM282" s="153"/>
      <c r="BN282" s="153"/>
      <c r="BO282" s="153"/>
      <c r="BP282" s="153"/>
      <c r="BQ282" s="153"/>
      <c r="BR282" s="153"/>
      <c r="BS282" s="153"/>
      <c r="BT282" s="153"/>
      <c r="BU282" s="153"/>
      <c r="BV282" s="153"/>
      <c r="BW282" s="153"/>
      <c r="BX282" s="153"/>
      <c r="BY282" s="153"/>
      <c r="BZ282" s="153"/>
      <c r="CA282" s="153"/>
      <c r="CB282" s="153"/>
      <c r="CC282" s="153"/>
      <c r="CD282" s="153"/>
      <c r="CE282" s="153"/>
      <c r="CF282" s="153"/>
      <c r="CG282" s="153"/>
      <c r="CH282" s="153"/>
      <c r="CI282" s="153"/>
      <c r="CJ282" s="153"/>
      <c r="CK282" s="153"/>
      <c r="CL282" s="153"/>
      <c r="CM282" s="153"/>
      <c r="CN282" s="153"/>
      <c r="CO282" s="153"/>
      <c r="CP282" s="153"/>
      <c r="CQ282" s="153"/>
      <c r="CR282" s="153"/>
      <c r="CS282" s="153"/>
      <c r="CT282" s="153"/>
      <c r="CU282" s="153"/>
      <c r="CV282" s="153"/>
      <c r="CW282" s="153"/>
      <c r="CX282" s="153"/>
      <c r="CY282" s="153"/>
      <c r="CZ282" s="153"/>
      <c r="DA282" s="153"/>
      <c r="DB282" s="153"/>
      <c r="DC282" s="153"/>
      <c r="DD282" s="153"/>
      <c r="DE282" s="153"/>
      <c r="DF282" s="153"/>
      <c r="DG282" s="153"/>
      <c r="DH282" s="153"/>
      <c r="DI282" s="153"/>
      <c r="DJ282" s="153"/>
      <c r="DK282" s="153"/>
      <c r="DL282" s="153"/>
      <c r="DM282" s="153"/>
      <c r="DN282" s="153"/>
      <c r="DO282" s="153"/>
      <c r="DP282" s="153"/>
      <c r="DQ282" s="153"/>
      <c r="DR282" s="153"/>
      <c r="DS282" s="153"/>
      <c r="DT282" s="153"/>
      <c r="DU282" s="153"/>
      <c r="DV282" s="153"/>
      <c r="DW282" s="153"/>
      <c r="DX282" s="153"/>
      <c r="DY282" s="153"/>
      <c r="DZ282" s="153"/>
      <c r="EA282" s="153"/>
      <c r="EB282" s="153"/>
      <c r="EC282" s="153"/>
      <c r="ED282" s="153"/>
      <c r="EE282" s="153"/>
      <c r="EF282" s="153"/>
      <c r="EG282" s="153"/>
      <c r="EH282" s="153"/>
      <c r="EI282" s="153"/>
      <c r="EJ282" s="153"/>
      <c r="EK282" s="153"/>
      <c r="EL282" s="153"/>
      <c r="EM282" s="153"/>
    </row>
    <row r="283" spans="1:143" s="107" customFormat="1" ht="10.5" hidden="1" customHeight="1" outlineLevel="2">
      <c r="A283" s="1548">
        <v>258</v>
      </c>
      <c r="B283" s="1560" t="str">
        <f t="shared" ref="B283:B346" si="6">IF(C283="","",VALUE(C283))</f>
        <v/>
      </c>
      <c r="C283" s="161" t="str">
        <f>GasTime(GasAnalyser,'Horiba Data'!F276,'Horiba Data'!G276,'Testo, JUM &amp; MRU Data'!A277,'Thermo Data'!B276,HourOffset)</f>
        <v/>
      </c>
      <c r="D283" s="981" t="str">
        <f>IF(D$17=FALSE,"",GasData(GasAnalyser,'Horiba Data'!S276,'Testo, JUM &amp; MRU Data'!D277,'Thermo Data'!E276,'Testo, JUM &amp; MRU Data'!U277,GDF))</f>
        <v/>
      </c>
      <c r="E283" s="981" t="str">
        <f>IF(D283="","",Conc2(D283,D$9,MolVol,D$21,D$20,E$21,E$20))</f>
        <v/>
      </c>
      <c r="F283" s="981" t="str">
        <f>IF(F$17=FALSE,"",GasData(GasAnalyser,'Horiba Data'!AQ276,'Testo, JUM &amp; MRU Data'!E277,'Thermo Data'!F276,'Testo, JUM &amp; MRU Data'!V277,GDF))</f>
        <v/>
      </c>
      <c r="G283" s="981" t="str">
        <f>IF(F283="","",Conc2(F283,F$9,MolVol,F$21,F$20,G$21,G$20))</f>
        <v/>
      </c>
      <c r="H283" s="981" t="str">
        <f>IF(D$17=FALSE,"",IF(F$17=FALSE,"",GasData(GasAnalyser,'Horiba Data'!W276,'Testo, JUM &amp; MRU Data'!F277,'Thermo Data'!G276,'Testo, JUM &amp; MRU Data'!Y277,GDF)))</f>
        <v/>
      </c>
      <c r="I283" s="981" t="str">
        <f>IF(H283="","",Conc2(H283,H$9,MolVol,H$21,H$20,I$21,I$20))</f>
        <v/>
      </c>
      <c r="J283" s="981" t="str">
        <f>IF(J$17=FALSE,"",GasData(GasAnalyser,'Horiba Data'!AM276,'Testo, JUM &amp; MRU Data'!G277,'Thermo Data'!H276,'Testo, JUM &amp; MRU Data'!W277,GDF))</f>
        <v/>
      </c>
      <c r="K283" s="981" t="str">
        <f>IF(J283="","",Conc2(J283,J$9,MolVol,J$21,J$20,K$21,K$20))</f>
        <v/>
      </c>
      <c r="L283" s="981" t="str">
        <f>IF(L$17=FALSE,"",GasData(GasAnalyser,'Horiba Data'!AA276,'Testo, JUM &amp; MRU Data'!H277,'Thermo Data'!I276,'Testo, JUM &amp; MRU Data'!T277,GDF))</f>
        <v/>
      </c>
      <c r="M283" s="981" t="str">
        <f>IF(L283="","",Conc2(L283,L$9,MolVol,L$21,L$20,M$21,M$20))</f>
        <v/>
      </c>
      <c r="N283" s="981" t="str">
        <f>IF(N$17=FALSE,"",GasData(GasAnalyser,'Horiba Data'!AE276,'Testo, JUM &amp; MRU Data'!I277,'Thermo Data'!J276,'Testo, JUM &amp; MRU Data'!S277,GDF))</f>
        <v/>
      </c>
      <c r="O283" s="981" t="str">
        <f>IF(N283="","",Conc2(N283,N$9,MolVol,N$21,N$20,O$21,O$20))</f>
        <v/>
      </c>
      <c r="P283" s="981" t="str">
        <f>IF(P$17=FALSE,"",GasData(GasAnalyser,'Horiba Data'!AI276,'Testo, JUM &amp; MRU Data'!J277,'Thermo Data'!K276,'Testo, JUM &amp; MRU Data'!R277,GDF))</f>
        <v/>
      </c>
      <c r="Q283" s="981" t="str">
        <f>IF(P283="","",Conc2(P283,P$9,MolVol,P$21,P$20,Q$21,Q$20))</f>
        <v/>
      </c>
      <c r="R283" s="981" t="str">
        <f>IF(R$17=FALSE,"",JUMData('Testo, JUM &amp; MRU Data'!M277,$R$7))</f>
        <v/>
      </c>
      <c r="S283" s="982" t="str">
        <f>IF(R283="","",Conc2(R283,R$9,MolVol,R$21,R$20,S$21,S$20)/(1-Bws))</f>
        <v/>
      </c>
      <c r="T283" s="740"/>
      <c r="AR283" s="334"/>
      <c r="AS283" s="334"/>
      <c r="AT283" s="48"/>
      <c r="AU283" s="48"/>
      <c r="AV283" s="153"/>
      <c r="AW283" s="153"/>
      <c r="AX283" s="153"/>
      <c r="AY283" s="153"/>
      <c r="AZ283" s="153"/>
      <c r="BA283" s="153"/>
      <c r="BB283" s="153"/>
      <c r="BC283" s="153"/>
      <c r="BD283" s="153"/>
      <c r="BE283" s="153"/>
      <c r="BF283" s="153"/>
      <c r="BG283" s="153"/>
      <c r="BH283" s="153"/>
      <c r="BI283" s="153"/>
      <c r="BJ283" s="153"/>
      <c r="BK283" s="153"/>
      <c r="BL283" s="153"/>
      <c r="BM283" s="153"/>
      <c r="BN283" s="153"/>
      <c r="BO283" s="153"/>
      <c r="BP283" s="153"/>
      <c r="BQ283" s="153"/>
      <c r="BR283" s="153"/>
      <c r="BS283" s="153"/>
      <c r="BT283" s="153"/>
      <c r="BU283" s="153"/>
      <c r="BV283" s="153"/>
      <c r="BW283" s="153"/>
      <c r="BX283" s="153"/>
      <c r="BY283" s="153"/>
      <c r="BZ283" s="153"/>
      <c r="CA283" s="153"/>
      <c r="CB283" s="153"/>
      <c r="CC283" s="153"/>
      <c r="CD283" s="153"/>
      <c r="CE283" s="153"/>
      <c r="CF283" s="153"/>
      <c r="CG283" s="153"/>
      <c r="CH283" s="153"/>
      <c r="CI283" s="153"/>
      <c r="CJ283" s="153"/>
      <c r="CK283" s="153"/>
      <c r="CL283" s="153"/>
      <c r="CM283" s="153"/>
      <c r="CN283" s="153"/>
      <c r="CO283" s="153"/>
      <c r="CP283" s="153"/>
      <c r="CQ283" s="153"/>
      <c r="CR283" s="153"/>
      <c r="CS283" s="153"/>
      <c r="CT283" s="153"/>
      <c r="CU283" s="153"/>
      <c r="CV283" s="153"/>
      <c r="CW283" s="153"/>
      <c r="CX283" s="153"/>
      <c r="CY283" s="153"/>
      <c r="CZ283" s="153"/>
      <c r="DA283" s="153"/>
      <c r="DB283" s="153"/>
      <c r="DC283" s="153"/>
      <c r="DD283" s="153"/>
      <c r="DE283" s="153"/>
      <c r="DF283" s="153"/>
      <c r="DG283" s="153"/>
      <c r="DH283" s="153"/>
      <c r="DI283" s="153"/>
      <c r="DJ283" s="153"/>
      <c r="DK283" s="153"/>
      <c r="DL283" s="153"/>
      <c r="DM283" s="153"/>
      <c r="DN283" s="153"/>
      <c r="DO283" s="153"/>
      <c r="DP283" s="153"/>
      <c r="DQ283" s="153"/>
      <c r="DR283" s="153"/>
      <c r="DS283" s="153"/>
      <c r="DT283" s="153"/>
      <c r="DU283" s="153"/>
      <c r="DV283" s="153"/>
      <c r="DW283" s="153"/>
      <c r="DX283" s="153"/>
      <c r="DY283" s="153"/>
      <c r="DZ283" s="153"/>
      <c r="EA283" s="153"/>
      <c r="EB283" s="153"/>
      <c r="EC283" s="153"/>
      <c r="ED283" s="153"/>
      <c r="EE283" s="153"/>
      <c r="EF283" s="153"/>
      <c r="EG283" s="153"/>
      <c r="EH283" s="153"/>
      <c r="EI283" s="153"/>
      <c r="EJ283" s="153"/>
      <c r="EK283" s="153"/>
      <c r="EL283" s="153"/>
      <c r="EM283" s="153"/>
    </row>
    <row r="284" spans="1:143" s="107" customFormat="1" ht="10.5" hidden="1" customHeight="1" outlineLevel="2">
      <c r="A284" s="1548">
        <v>259</v>
      </c>
      <c r="B284" s="1560" t="str">
        <f t="shared" si="6"/>
        <v/>
      </c>
      <c r="C284" s="161" t="str">
        <f>GasTime(GasAnalyser,'Horiba Data'!F277,'Horiba Data'!G277,'Testo, JUM &amp; MRU Data'!A278,'Thermo Data'!B277,HourOffset)</f>
        <v/>
      </c>
      <c r="D284" s="981" t="str">
        <f>IF(D$17=FALSE,"",GasData(GasAnalyser,'Horiba Data'!S277,'Testo, JUM &amp; MRU Data'!D278,'Thermo Data'!E277,'Testo, JUM &amp; MRU Data'!U278,GDF))</f>
        <v/>
      </c>
      <c r="E284" s="981" t="str">
        <f>IF(D284="","",Conc2(D284,D$9,MolVol,D$21,D$20,E$21,E$20))</f>
        <v/>
      </c>
      <c r="F284" s="981" t="str">
        <f>IF(F$17=FALSE,"",GasData(GasAnalyser,'Horiba Data'!AQ277,'Testo, JUM &amp; MRU Data'!E278,'Thermo Data'!F277,'Testo, JUM &amp; MRU Data'!V278,GDF))</f>
        <v/>
      </c>
      <c r="G284" s="981" t="str">
        <f>IF(F284="","",Conc2(F284,F$9,MolVol,F$21,F$20,G$21,G$20))</f>
        <v/>
      </c>
      <c r="H284" s="981" t="str">
        <f>IF(D$17=FALSE,"",IF(F$17=FALSE,"",GasData(GasAnalyser,'Horiba Data'!W277,'Testo, JUM &amp; MRU Data'!F278,'Thermo Data'!G277,'Testo, JUM &amp; MRU Data'!Y278,GDF)))</f>
        <v/>
      </c>
      <c r="I284" s="981" t="str">
        <f>IF(H284="","",Conc2(H284,H$9,MolVol,H$21,H$20,I$21,I$20))</f>
        <v/>
      </c>
      <c r="J284" s="981" t="str">
        <f>IF(J$17=FALSE,"",GasData(GasAnalyser,'Horiba Data'!AM277,'Testo, JUM &amp; MRU Data'!G278,'Thermo Data'!H277,'Testo, JUM &amp; MRU Data'!W278,GDF))</f>
        <v/>
      </c>
      <c r="K284" s="981" t="str">
        <f>IF(J284="","",Conc2(J284,J$9,MolVol,J$21,J$20,K$21,K$20))</f>
        <v/>
      </c>
      <c r="L284" s="981" t="str">
        <f>IF(L$17=FALSE,"",GasData(GasAnalyser,'Horiba Data'!AA277,'Testo, JUM &amp; MRU Data'!H278,'Thermo Data'!I277,'Testo, JUM &amp; MRU Data'!T278,GDF))</f>
        <v/>
      </c>
      <c r="M284" s="981" t="str">
        <f>IF(L284="","",Conc2(L284,L$9,MolVol,L$21,L$20,M$21,M$20))</f>
        <v/>
      </c>
      <c r="N284" s="981" t="str">
        <f>IF(N$17=FALSE,"",GasData(GasAnalyser,'Horiba Data'!AE277,'Testo, JUM &amp; MRU Data'!I278,'Thermo Data'!J277,'Testo, JUM &amp; MRU Data'!S278,GDF))</f>
        <v/>
      </c>
      <c r="O284" s="981" t="str">
        <f>IF(N284="","",Conc2(N284,N$9,MolVol,N$21,N$20,O$21,O$20))</f>
        <v/>
      </c>
      <c r="P284" s="981" t="str">
        <f>IF(P$17=FALSE,"",GasData(GasAnalyser,'Horiba Data'!AI277,'Testo, JUM &amp; MRU Data'!J278,'Thermo Data'!K277,'Testo, JUM &amp; MRU Data'!R278,GDF))</f>
        <v/>
      </c>
      <c r="Q284" s="981" t="str">
        <f>IF(P284="","",Conc2(P284,P$9,MolVol,P$21,P$20,Q$21,Q$20))</f>
        <v/>
      </c>
      <c r="R284" s="981" t="str">
        <f>IF(R$17=FALSE,"",JUMData('Testo, JUM &amp; MRU Data'!M278,$R$7))</f>
        <v/>
      </c>
      <c r="S284" s="982" t="str">
        <f>IF(R284="","",Conc2(R284,R$9,MolVol,R$21,R$20,S$21,S$20)/(1-Bws))</f>
        <v/>
      </c>
      <c r="T284" s="740"/>
      <c r="AR284" s="334"/>
      <c r="AS284" s="334"/>
      <c r="AT284" s="48"/>
      <c r="AU284" s="48"/>
      <c r="AV284" s="153"/>
      <c r="AW284" s="153"/>
      <c r="AX284" s="153"/>
      <c r="AY284" s="153"/>
      <c r="AZ284" s="153"/>
      <c r="BA284" s="153"/>
      <c r="BB284" s="153"/>
      <c r="BC284" s="153"/>
      <c r="BD284" s="153"/>
      <c r="BE284" s="153"/>
      <c r="BF284" s="153"/>
      <c r="BG284" s="153"/>
      <c r="BH284" s="153"/>
      <c r="BI284" s="153"/>
      <c r="BJ284" s="153"/>
      <c r="BK284" s="153"/>
      <c r="BL284" s="153"/>
      <c r="BM284" s="153"/>
      <c r="BN284" s="153"/>
      <c r="BO284" s="153"/>
      <c r="BP284" s="153"/>
      <c r="BQ284" s="153"/>
      <c r="BR284" s="153"/>
      <c r="BS284" s="153"/>
      <c r="BT284" s="153"/>
      <c r="BU284" s="153"/>
      <c r="BV284" s="153"/>
      <c r="BW284" s="153"/>
      <c r="BX284" s="153"/>
      <c r="BY284" s="153"/>
      <c r="BZ284" s="153"/>
      <c r="CA284" s="153"/>
      <c r="CB284" s="153"/>
      <c r="CC284" s="153"/>
      <c r="CD284" s="153"/>
      <c r="CE284" s="153"/>
      <c r="CF284" s="153"/>
      <c r="CG284" s="153"/>
      <c r="CH284" s="153"/>
      <c r="CI284" s="153"/>
      <c r="CJ284" s="153"/>
      <c r="CK284" s="153"/>
      <c r="CL284" s="153"/>
      <c r="CM284" s="153"/>
      <c r="CN284" s="153"/>
      <c r="CO284" s="153"/>
      <c r="CP284" s="153"/>
      <c r="CQ284" s="153"/>
      <c r="CR284" s="153"/>
      <c r="CS284" s="153"/>
      <c r="CT284" s="153"/>
      <c r="CU284" s="153"/>
      <c r="CV284" s="153"/>
      <c r="CW284" s="153"/>
      <c r="CX284" s="153"/>
      <c r="CY284" s="153"/>
      <c r="CZ284" s="153"/>
      <c r="DA284" s="153"/>
      <c r="DB284" s="153"/>
      <c r="DC284" s="153"/>
      <c r="DD284" s="153"/>
      <c r="DE284" s="153"/>
      <c r="DF284" s="153"/>
      <c r="DG284" s="153"/>
      <c r="DH284" s="153"/>
      <c r="DI284" s="153"/>
      <c r="DJ284" s="153"/>
      <c r="DK284" s="153"/>
      <c r="DL284" s="153"/>
      <c r="DM284" s="153"/>
      <c r="DN284" s="153"/>
      <c r="DO284" s="153"/>
      <c r="DP284" s="153"/>
      <c r="DQ284" s="153"/>
      <c r="DR284" s="153"/>
      <c r="DS284" s="153"/>
      <c r="DT284" s="153"/>
      <c r="DU284" s="153"/>
      <c r="DV284" s="153"/>
      <c r="DW284" s="153"/>
      <c r="DX284" s="153"/>
      <c r="DY284" s="153"/>
      <c r="DZ284" s="153"/>
      <c r="EA284" s="153"/>
      <c r="EB284" s="153"/>
      <c r="EC284" s="153"/>
      <c r="ED284" s="153"/>
      <c r="EE284" s="153"/>
      <c r="EF284" s="153"/>
      <c r="EG284" s="153"/>
      <c r="EH284" s="153"/>
      <c r="EI284" s="153"/>
      <c r="EJ284" s="153"/>
      <c r="EK284" s="153"/>
      <c r="EL284" s="153"/>
      <c r="EM284" s="153"/>
    </row>
    <row r="285" spans="1:143" s="107" customFormat="1" ht="10.5" hidden="1" customHeight="1" outlineLevel="2">
      <c r="A285" s="1548">
        <v>260</v>
      </c>
      <c r="B285" s="1560" t="str">
        <f t="shared" si="6"/>
        <v/>
      </c>
      <c r="C285" s="161" t="str">
        <f>GasTime(GasAnalyser,'Horiba Data'!F278,'Horiba Data'!G278,'Testo, JUM &amp; MRU Data'!A279,'Thermo Data'!B278,HourOffset)</f>
        <v/>
      </c>
      <c r="D285" s="981" t="str">
        <f>IF(D$17=FALSE,"",GasData(GasAnalyser,'Horiba Data'!S278,'Testo, JUM &amp; MRU Data'!D279,'Thermo Data'!E278,'Testo, JUM &amp; MRU Data'!U279,GDF))</f>
        <v/>
      </c>
      <c r="E285" s="981" t="str">
        <f>IF(D285="","",Conc2(D285,D$9,MolVol,D$21,D$20,E$21,E$20))</f>
        <v/>
      </c>
      <c r="F285" s="981" t="str">
        <f>IF(F$17=FALSE,"",GasData(GasAnalyser,'Horiba Data'!AQ278,'Testo, JUM &amp; MRU Data'!E279,'Thermo Data'!F278,'Testo, JUM &amp; MRU Data'!V279,GDF))</f>
        <v/>
      </c>
      <c r="G285" s="981" t="str">
        <f>IF(F285="","",Conc2(F285,F$9,MolVol,F$21,F$20,G$21,G$20))</f>
        <v/>
      </c>
      <c r="H285" s="981" t="str">
        <f>IF(D$17=FALSE,"",IF(F$17=FALSE,"",GasData(GasAnalyser,'Horiba Data'!W278,'Testo, JUM &amp; MRU Data'!F279,'Thermo Data'!G278,'Testo, JUM &amp; MRU Data'!Y279,GDF)))</f>
        <v/>
      </c>
      <c r="I285" s="981" t="str">
        <f>IF(H285="","",Conc2(H285,H$9,MolVol,H$21,H$20,I$21,I$20))</f>
        <v/>
      </c>
      <c r="J285" s="981" t="str">
        <f>IF(J$17=FALSE,"",GasData(GasAnalyser,'Horiba Data'!AM278,'Testo, JUM &amp; MRU Data'!G279,'Thermo Data'!H278,'Testo, JUM &amp; MRU Data'!W279,GDF))</f>
        <v/>
      </c>
      <c r="K285" s="981" t="str">
        <f>IF(J285="","",Conc2(J285,J$9,MolVol,J$21,J$20,K$21,K$20))</f>
        <v/>
      </c>
      <c r="L285" s="981" t="str">
        <f>IF(L$17=FALSE,"",GasData(GasAnalyser,'Horiba Data'!AA278,'Testo, JUM &amp; MRU Data'!H279,'Thermo Data'!I278,'Testo, JUM &amp; MRU Data'!T279,GDF))</f>
        <v/>
      </c>
      <c r="M285" s="981" t="str">
        <f>IF(L285="","",Conc2(L285,L$9,MolVol,L$21,L$20,M$21,M$20))</f>
        <v/>
      </c>
      <c r="N285" s="981" t="str">
        <f>IF(N$17=FALSE,"",GasData(GasAnalyser,'Horiba Data'!AE278,'Testo, JUM &amp; MRU Data'!I279,'Thermo Data'!J278,'Testo, JUM &amp; MRU Data'!S279,GDF))</f>
        <v/>
      </c>
      <c r="O285" s="981" t="str">
        <f>IF(N285="","",Conc2(N285,N$9,MolVol,N$21,N$20,O$21,O$20))</f>
        <v/>
      </c>
      <c r="P285" s="981" t="str">
        <f>IF(P$17=FALSE,"",GasData(GasAnalyser,'Horiba Data'!AI278,'Testo, JUM &amp; MRU Data'!J279,'Thermo Data'!K278,'Testo, JUM &amp; MRU Data'!R279,GDF))</f>
        <v/>
      </c>
      <c r="Q285" s="981" t="str">
        <f>IF(P285="","",Conc2(P285,P$9,MolVol,P$21,P$20,Q$21,Q$20))</f>
        <v/>
      </c>
      <c r="R285" s="981" t="str">
        <f>IF(R$17=FALSE,"",JUMData('Testo, JUM &amp; MRU Data'!M279,$R$7))</f>
        <v/>
      </c>
      <c r="S285" s="982" t="str">
        <f>IF(R285="","",Conc2(R285,R$9,MolVol,R$21,R$20,S$21,S$20)/(1-Bws))</f>
        <v/>
      </c>
      <c r="T285" s="740"/>
      <c r="AR285" s="334"/>
      <c r="AS285" s="334"/>
      <c r="AT285" s="48"/>
      <c r="AU285" s="48"/>
      <c r="AV285" s="153"/>
      <c r="AW285" s="153"/>
      <c r="AX285" s="153"/>
      <c r="AY285" s="153"/>
      <c r="AZ285" s="153"/>
      <c r="BA285" s="153"/>
      <c r="BB285" s="153"/>
      <c r="BC285" s="153"/>
      <c r="BD285" s="153"/>
      <c r="BE285" s="153"/>
      <c r="BF285" s="153"/>
      <c r="BG285" s="153"/>
      <c r="BH285" s="153"/>
      <c r="BI285" s="153"/>
      <c r="BJ285" s="153"/>
      <c r="BK285" s="153"/>
      <c r="BL285" s="153"/>
      <c r="BM285" s="153"/>
      <c r="BN285" s="153"/>
      <c r="BO285" s="153"/>
      <c r="BP285" s="153"/>
      <c r="BQ285" s="153"/>
      <c r="BR285" s="153"/>
      <c r="BS285" s="153"/>
      <c r="BT285" s="153"/>
      <c r="BU285" s="153"/>
      <c r="BV285" s="153"/>
      <c r="BW285" s="153"/>
      <c r="BX285" s="153"/>
      <c r="BY285" s="153"/>
      <c r="BZ285" s="153"/>
      <c r="CA285" s="153"/>
      <c r="CB285" s="153"/>
      <c r="CC285" s="153"/>
      <c r="CD285" s="153"/>
      <c r="CE285" s="153"/>
      <c r="CF285" s="153"/>
      <c r="CG285" s="153"/>
      <c r="CH285" s="153"/>
      <c r="CI285" s="153"/>
      <c r="CJ285" s="153"/>
      <c r="CK285" s="153"/>
      <c r="CL285" s="153"/>
      <c r="CM285" s="153"/>
      <c r="CN285" s="153"/>
      <c r="CO285" s="153"/>
      <c r="CP285" s="153"/>
      <c r="CQ285" s="153"/>
      <c r="CR285" s="153"/>
      <c r="CS285" s="153"/>
      <c r="CT285" s="153"/>
      <c r="CU285" s="153"/>
      <c r="CV285" s="153"/>
      <c r="CW285" s="153"/>
      <c r="CX285" s="153"/>
      <c r="CY285" s="153"/>
      <c r="CZ285" s="153"/>
      <c r="DA285" s="153"/>
      <c r="DB285" s="153"/>
      <c r="DC285" s="153"/>
      <c r="DD285" s="153"/>
      <c r="DE285" s="153"/>
      <c r="DF285" s="153"/>
      <c r="DG285" s="153"/>
      <c r="DH285" s="153"/>
      <c r="DI285" s="153"/>
      <c r="DJ285" s="153"/>
      <c r="DK285" s="153"/>
      <c r="DL285" s="153"/>
      <c r="DM285" s="153"/>
      <c r="DN285" s="153"/>
      <c r="DO285" s="153"/>
      <c r="DP285" s="153"/>
      <c r="DQ285" s="153"/>
      <c r="DR285" s="153"/>
      <c r="DS285" s="153"/>
      <c r="DT285" s="153"/>
      <c r="DU285" s="153"/>
      <c r="DV285" s="153"/>
      <c r="DW285" s="153"/>
      <c r="DX285" s="153"/>
      <c r="DY285" s="153"/>
      <c r="DZ285" s="153"/>
      <c r="EA285" s="153"/>
      <c r="EB285" s="153"/>
      <c r="EC285" s="153"/>
      <c r="ED285" s="153"/>
      <c r="EE285" s="153"/>
      <c r="EF285" s="153"/>
      <c r="EG285" s="153"/>
      <c r="EH285" s="153"/>
      <c r="EI285" s="153"/>
      <c r="EJ285" s="153"/>
      <c r="EK285" s="153"/>
      <c r="EL285" s="153"/>
      <c r="EM285" s="153"/>
    </row>
    <row r="286" spans="1:143" s="107" customFormat="1" ht="10.5" hidden="1" customHeight="1" outlineLevel="2">
      <c r="A286" s="1548">
        <v>261</v>
      </c>
      <c r="B286" s="1560" t="str">
        <f t="shared" si="6"/>
        <v/>
      </c>
      <c r="C286" s="161" t="str">
        <f>GasTime(GasAnalyser,'Horiba Data'!F279,'Horiba Data'!G279,'Testo, JUM &amp; MRU Data'!A280,'Thermo Data'!B279,HourOffset)</f>
        <v/>
      </c>
      <c r="D286" s="981" t="str">
        <f>IF(D$17=FALSE,"",GasData(GasAnalyser,'Horiba Data'!S279,'Testo, JUM &amp; MRU Data'!D280,'Thermo Data'!E279,'Testo, JUM &amp; MRU Data'!U280,GDF))</f>
        <v/>
      </c>
      <c r="E286" s="981" t="str">
        <f>IF(D286="","",Conc2(D286,D$9,MolVol,D$21,D$20,E$21,E$20))</f>
        <v/>
      </c>
      <c r="F286" s="981" t="str">
        <f>IF(F$17=FALSE,"",GasData(GasAnalyser,'Horiba Data'!AQ279,'Testo, JUM &amp; MRU Data'!E280,'Thermo Data'!F279,'Testo, JUM &amp; MRU Data'!V280,GDF))</f>
        <v/>
      </c>
      <c r="G286" s="981" t="str">
        <f>IF(F286="","",Conc2(F286,F$9,MolVol,F$21,F$20,G$21,G$20))</f>
        <v/>
      </c>
      <c r="H286" s="981" t="str">
        <f>IF(D$17=FALSE,"",IF(F$17=FALSE,"",GasData(GasAnalyser,'Horiba Data'!W279,'Testo, JUM &amp; MRU Data'!F280,'Thermo Data'!G279,'Testo, JUM &amp; MRU Data'!Y280,GDF)))</f>
        <v/>
      </c>
      <c r="I286" s="981" t="str">
        <f>IF(H286="","",Conc2(H286,H$9,MolVol,H$21,H$20,I$21,I$20))</f>
        <v/>
      </c>
      <c r="J286" s="981" t="str">
        <f>IF(J$17=FALSE,"",GasData(GasAnalyser,'Horiba Data'!AM279,'Testo, JUM &amp; MRU Data'!G280,'Thermo Data'!H279,'Testo, JUM &amp; MRU Data'!W280,GDF))</f>
        <v/>
      </c>
      <c r="K286" s="981" t="str">
        <f>IF(J286="","",Conc2(J286,J$9,MolVol,J$21,J$20,K$21,K$20))</f>
        <v/>
      </c>
      <c r="L286" s="981" t="str">
        <f>IF(L$17=FALSE,"",GasData(GasAnalyser,'Horiba Data'!AA279,'Testo, JUM &amp; MRU Data'!H280,'Thermo Data'!I279,'Testo, JUM &amp; MRU Data'!T280,GDF))</f>
        <v/>
      </c>
      <c r="M286" s="981" t="str">
        <f>IF(L286="","",Conc2(L286,L$9,MolVol,L$21,L$20,M$21,M$20))</f>
        <v/>
      </c>
      <c r="N286" s="981" t="str">
        <f>IF(N$17=FALSE,"",GasData(GasAnalyser,'Horiba Data'!AE279,'Testo, JUM &amp; MRU Data'!I280,'Thermo Data'!J279,'Testo, JUM &amp; MRU Data'!S280,GDF))</f>
        <v/>
      </c>
      <c r="O286" s="981" t="str">
        <f>IF(N286="","",Conc2(N286,N$9,MolVol,N$21,N$20,O$21,O$20))</f>
        <v/>
      </c>
      <c r="P286" s="981" t="str">
        <f>IF(P$17=FALSE,"",GasData(GasAnalyser,'Horiba Data'!AI279,'Testo, JUM &amp; MRU Data'!J280,'Thermo Data'!K279,'Testo, JUM &amp; MRU Data'!R280,GDF))</f>
        <v/>
      </c>
      <c r="Q286" s="981" t="str">
        <f>IF(P286="","",Conc2(P286,P$9,MolVol,P$21,P$20,Q$21,Q$20))</f>
        <v/>
      </c>
      <c r="R286" s="981" t="str">
        <f>IF(R$17=FALSE,"",JUMData('Testo, JUM &amp; MRU Data'!M280,$R$7))</f>
        <v/>
      </c>
      <c r="S286" s="982" t="str">
        <f>IF(R286="","",Conc2(R286,R$9,MolVol,R$21,R$20,S$21,S$20)/(1-Bws))</f>
        <v/>
      </c>
      <c r="T286" s="740"/>
      <c r="AR286" s="334"/>
      <c r="AS286" s="334"/>
      <c r="AT286" s="48"/>
      <c r="AU286" s="48"/>
      <c r="AV286" s="153"/>
      <c r="AW286" s="153"/>
      <c r="AX286" s="153"/>
      <c r="AY286" s="153"/>
      <c r="AZ286" s="153"/>
      <c r="BA286" s="153"/>
      <c r="BB286" s="153"/>
      <c r="BC286" s="153"/>
      <c r="BD286" s="153"/>
      <c r="BE286" s="153"/>
      <c r="BF286" s="153"/>
      <c r="BG286" s="153"/>
      <c r="BH286" s="153"/>
      <c r="BI286" s="153"/>
      <c r="BJ286" s="153"/>
      <c r="BK286" s="153"/>
      <c r="BL286" s="153"/>
      <c r="BM286" s="153"/>
      <c r="BN286" s="153"/>
      <c r="BO286" s="153"/>
      <c r="BP286" s="153"/>
      <c r="BQ286" s="153"/>
      <c r="BR286" s="153"/>
      <c r="BS286" s="153"/>
      <c r="BT286" s="153"/>
      <c r="BU286" s="153"/>
      <c r="BV286" s="153"/>
      <c r="BW286" s="153"/>
      <c r="BX286" s="153"/>
      <c r="BY286" s="153"/>
      <c r="BZ286" s="153"/>
      <c r="CA286" s="153"/>
      <c r="CB286" s="153"/>
      <c r="CC286" s="153"/>
      <c r="CD286" s="153"/>
      <c r="CE286" s="153"/>
      <c r="CF286" s="153"/>
      <c r="CG286" s="153"/>
      <c r="CH286" s="153"/>
      <c r="CI286" s="153"/>
      <c r="CJ286" s="153"/>
      <c r="CK286" s="153"/>
      <c r="CL286" s="153"/>
      <c r="CM286" s="153"/>
      <c r="CN286" s="153"/>
      <c r="CO286" s="153"/>
      <c r="CP286" s="153"/>
      <c r="CQ286" s="153"/>
      <c r="CR286" s="153"/>
      <c r="CS286" s="153"/>
      <c r="CT286" s="153"/>
      <c r="CU286" s="153"/>
      <c r="CV286" s="153"/>
      <c r="CW286" s="153"/>
      <c r="CX286" s="153"/>
      <c r="CY286" s="153"/>
      <c r="CZ286" s="153"/>
      <c r="DA286" s="153"/>
      <c r="DB286" s="153"/>
      <c r="DC286" s="153"/>
      <c r="DD286" s="153"/>
      <c r="DE286" s="153"/>
      <c r="DF286" s="153"/>
      <c r="DG286" s="153"/>
      <c r="DH286" s="153"/>
      <c r="DI286" s="153"/>
      <c r="DJ286" s="153"/>
      <c r="DK286" s="153"/>
      <c r="DL286" s="153"/>
      <c r="DM286" s="153"/>
      <c r="DN286" s="153"/>
      <c r="DO286" s="153"/>
      <c r="DP286" s="153"/>
      <c r="DQ286" s="153"/>
      <c r="DR286" s="153"/>
      <c r="DS286" s="153"/>
      <c r="DT286" s="153"/>
      <c r="DU286" s="153"/>
      <c r="DV286" s="153"/>
      <c r="DW286" s="153"/>
      <c r="DX286" s="153"/>
      <c r="DY286" s="153"/>
      <c r="DZ286" s="153"/>
      <c r="EA286" s="153"/>
      <c r="EB286" s="153"/>
      <c r="EC286" s="153"/>
      <c r="ED286" s="153"/>
      <c r="EE286" s="153"/>
      <c r="EF286" s="153"/>
      <c r="EG286" s="153"/>
      <c r="EH286" s="153"/>
      <c r="EI286" s="153"/>
      <c r="EJ286" s="153"/>
      <c r="EK286" s="153"/>
      <c r="EL286" s="153"/>
      <c r="EM286" s="153"/>
    </row>
    <row r="287" spans="1:143" s="107" customFormat="1" ht="10.5" hidden="1" customHeight="1" outlineLevel="2">
      <c r="A287" s="1548">
        <v>262</v>
      </c>
      <c r="B287" s="1560" t="str">
        <f t="shared" si="6"/>
        <v/>
      </c>
      <c r="C287" s="161" t="str">
        <f>GasTime(GasAnalyser,'Horiba Data'!F280,'Horiba Data'!G280,'Testo, JUM &amp; MRU Data'!A281,'Thermo Data'!B280,HourOffset)</f>
        <v/>
      </c>
      <c r="D287" s="981" t="str">
        <f>IF(D$17=FALSE,"",GasData(GasAnalyser,'Horiba Data'!S280,'Testo, JUM &amp; MRU Data'!D281,'Thermo Data'!E280,'Testo, JUM &amp; MRU Data'!U281,GDF))</f>
        <v/>
      </c>
      <c r="E287" s="981" t="str">
        <f>IF(D287="","",Conc2(D287,D$9,MolVol,D$21,D$20,E$21,E$20))</f>
        <v/>
      </c>
      <c r="F287" s="981" t="str">
        <f>IF(F$17=FALSE,"",GasData(GasAnalyser,'Horiba Data'!AQ280,'Testo, JUM &amp; MRU Data'!E281,'Thermo Data'!F280,'Testo, JUM &amp; MRU Data'!V281,GDF))</f>
        <v/>
      </c>
      <c r="G287" s="981" t="str">
        <f>IF(F287="","",Conc2(F287,F$9,MolVol,F$21,F$20,G$21,G$20))</f>
        <v/>
      </c>
      <c r="H287" s="981" t="str">
        <f>IF(D$17=FALSE,"",IF(F$17=FALSE,"",GasData(GasAnalyser,'Horiba Data'!W280,'Testo, JUM &amp; MRU Data'!F281,'Thermo Data'!G280,'Testo, JUM &amp; MRU Data'!Y281,GDF)))</f>
        <v/>
      </c>
      <c r="I287" s="981" t="str">
        <f>IF(H287="","",Conc2(H287,H$9,MolVol,H$21,H$20,I$21,I$20))</f>
        <v/>
      </c>
      <c r="J287" s="981" t="str">
        <f>IF(J$17=FALSE,"",GasData(GasAnalyser,'Horiba Data'!AM280,'Testo, JUM &amp; MRU Data'!G281,'Thermo Data'!H280,'Testo, JUM &amp; MRU Data'!W281,GDF))</f>
        <v/>
      </c>
      <c r="K287" s="981" t="str">
        <f>IF(J287="","",Conc2(J287,J$9,MolVol,J$21,J$20,K$21,K$20))</f>
        <v/>
      </c>
      <c r="L287" s="981" t="str">
        <f>IF(L$17=FALSE,"",GasData(GasAnalyser,'Horiba Data'!AA280,'Testo, JUM &amp; MRU Data'!H281,'Thermo Data'!I280,'Testo, JUM &amp; MRU Data'!T281,GDF))</f>
        <v/>
      </c>
      <c r="M287" s="981" t="str">
        <f>IF(L287="","",Conc2(L287,L$9,MolVol,L$21,L$20,M$21,M$20))</f>
        <v/>
      </c>
      <c r="N287" s="981" t="str">
        <f>IF(N$17=FALSE,"",GasData(GasAnalyser,'Horiba Data'!AE280,'Testo, JUM &amp; MRU Data'!I281,'Thermo Data'!J280,'Testo, JUM &amp; MRU Data'!S281,GDF))</f>
        <v/>
      </c>
      <c r="O287" s="981" t="str">
        <f>IF(N287="","",Conc2(N287,N$9,MolVol,N$21,N$20,O$21,O$20))</f>
        <v/>
      </c>
      <c r="P287" s="981" t="str">
        <f>IF(P$17=FALSE,"",GasData(GasAnalyser,'Horiba Data'!AI280,'Testo, JUM &amp; MRU Data'!J281,'Thermo Data'!K280,'Testo, JUM &amp; MRU Data'!R281,GDF))</f>
        <v/>
      </c>
      <c r="Q287" s="981" t="str">
        <f>IF(P287="","",Conc2(P287,P$9,MolVol,P$21,P$20,Q$21,Q$20))</f>
        <v/>
      </c>
      <c r="R287" s="981" t="str">
        <f>IF(R$17=FALSE,"",JUMData('Testo, JUM &amp; MRU Data'!M281,$R$7))</f>
        <v/>
      </c>
      <c r="S287" s="982" t="str">
        <f>IF(R287="","",Conc2(R287,R$9,MolVol,R$21,R$20,S$21,S$20)/(1-Bws))</f>
        <v/>
      </c>
      <c r="T287" s="740"/>
      <c r="AR287" s="334"/>
      <c r="AS287" s="334"/>
      <c r="AT287" s="48"/>
      <c r="AU287" s="48"/>
      <c r="AV287" s="153"/>
      <c r="AW287" s="153"/>
      <c r="AX287" s="153"/>
      <c r="AY287" s="153"/>
      <c r="AZ287" s="153"/>
      <c r="BA287" s="153"/>
      <c r="BB287" s="153"/>
      <c r="BC287" s="153"/>
      <c r="BD287" s="153"/>
      <c r="BE287" s="153"/>
      <c r="BF287" s="153"/>
      <c r="BG287" s="153"/>
      <c r="BH287" s="153"/>
      <c r="BI287" s="153"/>
      <c r="BJ287" s="153"/>
      <c r="BK287" s="153"/>
      <c r="BL287" s="153"/>
      <c r="BM287" s="153"/>
      <c r="BN287" s="153"/>
      <c r="BO287" s="153"/>
      <c r="BP287" s="153"/>
      <c r="BQ287" s="153"/>
      <c r="BR287" s="153"/>
      <c r="BS287" s="153"/>
      <c r="BT287" s="153"/>
      <c r="BU287" s="153"/>
      <c r="BV287" s="153"/>
      <c r="BW287" s="153"/>
      <c r="BX287" s="153"/>
      <c r="BY287" s="153"/>
      <c r="BZ287" s="153"/>
      <c r="CA287" s="153"/>
      <c r="CB287" s="153"/>
      <c r="CC287" s="153"/>
      <c r="CD287" s="153"/>
      <c r="CE287" s="153"/>
      <c r="CF287" s="153"/>
      <c r="CG287" s="153"/>
      <c r="CH287" s="153"/>
      <c r="CI287" s="153"/>
      <c r="CJ287" s="153"/>
      <c r="CK287" s="153"/>
      <c r="CL287" s="153"/>
      <c r="CM287" s="153"/>
      <c r="CN287" s="153"/>
      <c r="CO287" s="153"/>
      <c r="CP287" s="153"/>
      <c r="CQ287" s="153"/>
      <c r="CR287" s="153"/>
      <c r="CS287" s="153"/>
      <c r="CT287" s="153"/>
      <c r="CU287" s="153"/>
      <c r="CV287" s="153"/>
      <c r="CW287" s="153"/>
      <c r="CX287" s="153"/>
      <c r="CY287" s="153"/>
      <c r="CZ287" s="153"/>
      <c r="DA287" s="153"/>
      <c r="DB287" s="153"/>
      <c r="DC287" s="153"/>
      <c r="DD287" s="153"/>
      <c r="DE287" s="153"/>
      <c r="DF287" s="153"/>
      <c r="DG287" s="153"/>
      <c r="DH287" s="153"/>
      <c r="DI287" s="153"/>
      <c r="DJ287" s="153"/>
      <c r="DK287" s="153"/>
      <c r="DL287" s="153"/>
      <c r="DM287" s="153"/>
      <c r="DN287" s="153"/>
      <c r="DO287" s="153"/>
      <c r="DP287" s="153"/>
      <c r="DQ287" s="153"/>
      <c r="DR287" s="153"/>
      <c r="DS287" s="153"/>
      <c r="DT287" s="153"/>
      <c r="DU287" s="153"/>
      <c r="DV287" s="153"/>
      <c r="DW287" s="153"/>
      <c r="DX287" s="153"/>
      <c r="DY287" s="153"/>
      <c r="DZ287" s="153"/>
      <c r="EA287" s="153"/>
      <c r="EB287" s="153"/>
      <c r="EC287" s="153"/>
      <c r="ED287" s="153"/>
      <c r="EE287" s="153"/>
      <c r="EF287" s="153"/>
      <c r="EG287" s="153"/>
      <c r="EH287" s="153"/>
      <c r="EI287" s="153"/>
      <c r="EJ287" s="153"/>
      <c r="EK287" s="153"/>
      <c r="EL287" s="153"/>
      <c r="EM287" s="153"/>
    </row>
    <row r="288" spans="1:143" s="107" customFormat="1" ht="10.5" hidden="1" customHeight="1" outlineLevel="2">
      <c r="A288" s="1548">
        <v>263</v>
      </c>
      <c r="B288" s="1560" t="str">
        <f t="shared" si="6"/>
        <v/>
      </c>
      <c r="C288" s="161" t="str">
        <f>GasTime(GasAnalyser,'Horiba Data'!F281,'Horiba Data'!G281,'Testo, JUM &amp; MRU Data'!A282,'Thermo Data'!B281,HourOffset)</f>
        <v/>
      </c>
      <c r="D288" s="981" t="str">
        <f>IF(D$17=FALSE,"",GasData(GasAnalyser,'Horiba Data'!S281,'Testo, JUM &amp; MRU Data'!D282,'Thermo Data'!E281,'Testo, JUM &amp; MRU Data'!U282,GDF))</f>
        <v/>
      </c>
      <c r="E288" s="981" t="str">
        <f>IF(D288="","",Conc2(D288,D$9,MolVol,D$21,D$20,E$21,E$20))</f>
        <v/>
      </c>
      <c r="F288" s="981" t="str">
        <f>IF(F$17=FALSE,"",GasData(GasAnalyser,'Horiba Data'!AQ281,'Testo, JUM &amp; MRU Data'!E282,'Thermo Data'!F281,'Testo, JUM &amp; MRU Data'!V282,GDF))</f>
        <v/>
      </c>
      <c r="G288" s="981" t="str">
        <f>IF(F288="","",Conc2(F288,F$9,MolVol,F$21,F$20,G$21,G$20))</f>
        <v/>
      </c>
      <c r="H288" s="981" t="str">
        <f>IF(D$17=FALSE,"",IF(F$17=FALSE,"",GasData(GasAnalyser,'Horiba Data'!W281,'Testo, JUM &amp; MRU Data'!F282,'Thermo Data'!G281,'Testo, JUM &amp; MRU Data'!Y282,GDF)))</f>
        <v/>
      </c>
      <c r="I288" s="981" t="str">
        <f>IF(H288="","",Conc2(H288,H$9,MolVol,H$21,H$20,I$21,I$20))</f>
        <v/>
      </c>
      <c r="J288" s="981" t="str">
        <f>IF(J$17=FALSE,"",GasData(GasAnalyser,'Horiba Data'!AM281,'Testo, JUM &amp; MRU Data'!G282,'Thermo Data'!H281,'Testo, JUM &amp; MRU Data'!W282,GDF))</f>
        <v/>
      </c>
      <c r="K288" s="981" t="str">
        <f>IF(J288="","",Conc2(J288,J$9,MolVol,J$21,J$20,K$21,K$20))</f>
        <v/>
      </c>
      <c r="L288" s="981" t="str">
        <f>IF(L$17=FALSE,"",GasData(GasAnalyser,'Horiba Data'!AA281,'Testo, JUM &amp; MRU Data'!H282,'Thermo Data'!I281,'Testo, JUM &amp; MRU Data'!T282,GDF))</f>
        <v/>
      </c>
      <c r="M288" s="981" t="str">
        <f>IF(L288="","",Conc2(L288,L$9,MolVol,L$21,L$20,M$21,M$20))</f>
        <v/>
      </c>
      <c r="N288" s="981" t="str">
        <f>IF(N$17=FALSE,"",GasData(GasAnalyser,'Horiba Data'!AE281,'Testo, JUM &amp; MRU Data'!I282,'Thermo Data'!J281,'Testo, JUM &amp; MRU Data'!S282,GDF))</f>
        <v/>
      </c>
      <c r="O288" s="981" t="str">
        <f>IF(N288="","",Conc2(N288,N$9,MolVol,N$21,N$20,O$21,O$20))</f>
        <v/>
      </c>
      <c r="P288" s="981" t="str">
        <f>IF(P$17=FALSE,"",GasData(GasAnalyser,'Horiba Data'!AI281,'Testo, JUM &amp; MRU Data'!J282,'Thermo Data'!K281,'Testo, JUM &amp; MRU Data'!R282,GDF))</f>
        <v/>
      </c>
      <c r="Q288" s="981" t="str">
        <f>IF(P288="","",Conc2(P288,P$9,MolVol,P$21,P$20,Q$21,Q$20))</f>
        <v/>
      </c>
      <c r="R288" s="981" t="str">
        <f>IF(R$17=FALSE,"",JUMData('Testo, JUM &amp; MRU Data'!M282,$R$7))</f>
        <v/>
      </c>
      <c r="S288" s="982" t="str">
        <f>IF(R288="","",Conc2(R288,R$9,MolVol,R$21,R$20,S$21,S$20)/(1-Bws))</f>
        <v/>
      </c>
      <c r="T288" s="740"/>
      <c r="AR288" s="334"/>
      <c r="AS288" s="334"/>
      <c r="AT288" s="48"/>
      <c r="AU288" s="48"/>
      <c r="AV288" s="153"/>
      <c r="AW288" s="153"/>
      <c r="AX288" s="153"/>
      <c r="AY288" s="153"/>
      <c r="AZ288" s="153"/>
      <c r="BA288" s="153"/>
      <c r="BB288" s="153"/>
      <c r="BC288" s="153"/>
      <c r="BD288" s="153"/>
      <c r="BE288" s="153"/>
      <c r="BF288" s="153"/>
      <c r="BG288" s="153"/>
      <c r="BH288" s="153"/>
      <c r="BI288" s="153"/>
      <c r="BJ288" s="153"/>
      <c r="BK288" s="153"/>
      <c r="BL288" s="153"/>
      <c r="BM288" s="153"/>
      <c r="BN288" s="153"/>
      <c r="BO288" s="153"/>
      <c r="BP288" s="153"/>
      <c r="BQ288" s="153"/>
      <c r="BR288" s="153"/>
      <c r="BS288" s="153"/>
      <c r="BT288" s="153"/>
      <c r="BU288" s="153"/>
      <c r="BV288" s="153"/>
      <c r="BW288" s="153"/>
      <c r="BX288" s="153"/>
      <c r="BY288" s="153"/>
      <c r="BZ288" s="153"/>
      <c r="CA288" s="153"/>
      <c r="CB288" s="153"/>
      <c r="CC288" s="153"/>
      <c r="CD288" s="153"/>
      <c r="CE288" s="153"/>
      <c r="CF288" s="153"/>
      <c r="CG288" s="153"/>
      <c r="CH288" s="153"/>
      <c r="CI288" s="153"/>
      <c r="CJ288" s="153"/>
      <c r="CK288" s="153"/>
      <c r="CL288" s="153"/>
      <c r="CM288" s="153"/>
      <c r="CN288" s="153"/>
      <c r="CO288" s="153"/>
      <c r="CP288" s="153"/>
      <c r="CQ288" s="153"/>
      <c r="CR288" s="153"/>
      <c r="CS288" s="153"/>
      <c r="CT288" s="153"/>
      <c r="CU288" s="153"/>
      <c r="CV288" s="153"/>
      <c r="CW288" s="153"/>
      <c r="CX288" s="153"/>
      <c r="CY288" s="153"/>
      <c r="CZ288" s="153"/>
      <c r="DA288" s="153"/>
      <c r="DB288" s="153"/>
      <c r="DC288" s="153"/>
      <c r="DD288" s="153"/>
      <c r="DE288" s="153"/>
      <c r="DF288" s="153"/>
      <c r="DG288" s="153"/>
      <c r="DH288" s="153"/>
      <c r="DI288" s="153"/>
      <c r="DJ288" s="153"/>
      <c r="DK288" s="153"/>
      <c r="DL288" s="153"/>
      <c r="DM288" s="153"/>
      <c r="DN288" s="153"/>
      <c r="DO288" s="153"/>
      <c r="DP288" s="153"/>
      <c r="DQ288" s="153"/>
      <c r="DR288" s="153"/>
      <c r="DS288" s="153"/>
      <c r="DT288" s="153"/>
      <c r="DU288" s="153"/>
      <c r="DV288" s="153"/>
      <c r="DW288" s="153"/>
      <c r="DX288" s="153"/>
      <c r="DY288" s="153"/>
      <c r="DZ288" s="153"/>
      <c r="EA288" s="153"/>
      <c r="EB288" s="153"/>
      <c r="EC288" s="153"/>
      <c r="ED288" s="153"/>
      <c r="EE288" s="153"/>
      <c r="EF288" s="153"/>
      <c r="EG288" s="153"/>
      <c r="EH288" s="153"/>
      <c r="EI288" s="153"/>
      <c r="EJ288" s="153"/>
      <c r="EK288" s="153"/>
      <c r="EL288" s="153"/>
      <c r="EM288" s="153"/>
    </row>
    <row r="289" spans="1:143" s="107" customFormat="1" ht="10.5" hidden="1" customHeight="1" outlineLevel="2">
      <c r="A289" s="1548">
        <v>264</v>
      </c>
      <c r="B289" s="1560" t="str">
        <f t="shared" si="6"/>
        <v/>
      </c>
      <c r="C289" s="161" t="str">
        <f>GasTime(GasAnalyser,'Horiba Data'!F282,'Horiba Data'!G282,'Testo, JUM &amp; MRU Data'!A283,'Thermo Data'!B282,HourOffset)</f>
        <v/>
      </c>
      <c r="D289" s="981" t="str">
        <f>IF(D$17=FALSE,"",GasData(GasAnalyser,'Horiba Data'!S282,'Testo, JUM &amp; MRU Data'!D283,'Thermo Data'!E282,'Testo, JUM &amp; MRU Data'!U283,GDF))</f>
        <v/>
      </c>
      <c r="E289" s="981" t="str">
        <f>IF(D289="","",Conc2(D289,D$9,MolVol,D$21,D$20,E$21,E$20))</f>
        <v/>
      </c>
      <c r="F289" s="981" t="str">
        <f>IF(F$17=FALSE,"",GasData(GasAnalyser,'Horiba Data'!AQ282,'Testo, JUM &amp; MRU Data'!E283,'Thermo Data'!F282,'Testo, JUM &amp; MRU Data'!V283,GDF))</f>
        <v/>
      </c>
      <c r="G289" s="981" t="str">
        <f>IF(F289="","",Conc2(F289,F$9,MolVol,F$21,F$20,G$21,G$20))</f>
        <v/>
      </c>
      <c r="H289" s="981" t="str">
        <f>IF(D$17=FALSE,"",IF(F$17=FALSE,"",GasData(GasAnalyser,'Horiba Data'!W282,'Testo, JUM &amp; MRU Data'!F283,'Thermo Data'!G282,'Testo, JUM &amp; MRU Data'!Y283,GDF)))</f>
        <v/>
      </c>
      <c r="I289" s="981" t="str">
        <f>IF(H289="","",Conc2(H289,H$9,MolVol,H$21,H$20,I$21,I$20))</f>
        <v/>
      </c>
      <c r="J289" s="981" t="str">
        <f>IF(J$17=FALSE,"",GasData(GasAnalyser,'Horiba Data'!AM282,'Testo, JUM &amp; MRU Data'!G283,'Thermo Data'!H282,'Testo, JUM &amp; MRU Data'!W283,GDF))</f>
        <v/>
      </c>
      <c r="K289" s="981" t="str">
        <f>IF(J289="","",Conc2(J289,J$9,MolVol,J$21,J$20,K$21,K$20))</f>
        <v/>
      </c>
      <c r="L289" s="981" t="str">
        <f>IF(L$17=FALSE,"",GasData(GasAnalyser,'Horiba Data'!AA282,'Testo, JUM &amp; MRU Data'!H283,'Thermo Data'!I282,'Testo, JUM &amp; MRU Data'!T283,GDF))</f>
        <v/>
      </c>
      <c r="M289" s="981" t="str">
        <f>IF(L289="","",Conc2(L289,L$9,MolVol,L$21,L$20,M$21,M$20))</f>
        <v/>
      </c>
      <c r="N289" s="981" t="str">
        <f>IF(N$17=FALSE,"",GasData(GasAnalyser,'Horiba Data'!AE282,'Testo, JUM &amp; MRU Data'!I283,'Thermo Data'!J282,'Testo, JUM &amp; MRU Data'!S283,GDF))</f>
        <v/>
      </c>
      <c r="O289" s="981" t="str">
        <f>IF(N289="","",Conc2(N289,N$9,MolVol,N$21,N$20,O$21,O$20))</f>
        <v/>
      </c>
      <c r="P289" s="981" t="str">
        <f>IF(P$17=FALSE,"",GasData(GasAnalyser,'Horiba Data'!AI282,'Testo, JUM &amp; MRU Data'!J283,'Thermo Data'!K282,'Testo, JUM &amp; MRU Data'!R283,GDF))</f>
        <v/>
      </c>
      <c r="Q289" s="981" t="str">
        <f>IF(P289="","",Conc2(P289,P$9,MolVol,P$21,P$20,Q$21,Q$20))</f>
        <v/>
      </c>
      <c r="R289" s="981" t="str">
        <f>IF(R$17=FALSE,"",JUMData('Testo, JUM &amp; MRU Data'!M283,$R$7))</f>
        <v/>
      </c>
      <c r="S289" s="982" t="str">
        <f>IF(R289="","",Conc2(R289,R$9,MolVol,R$21,R$20,S$21,S$20)/(1-Bws))</f>
        <v/>
      </c>
      <c r="T289" s="740"/>
      <c r="AR289" s="334"/>
      <c r="AS289" s="334"/>
      <c r="AT289" s="48"/>
      <c r="AU289" s="48"/>
      <c r="AV289" s="153"/>
      <c r="AW289" s="153"/>
      <c r="AX289" s="153"/>
      <c r="AY289" s="153"/>
      <c r="AZ289" s="153"/>
      <c r="BA289" s="153"/>
      <c r="BB289" s="153"/>
      <c r="BC289" s="153"/>
      <c r="BD289" s="153"/>
      <c r="BE289" s="153"/>
      <c r="BF289" s="153"/>
      <c r="BG289" s="153"/>
      <c r="BH289" s="153"/>
      <c r="BI289" s="153"/>
      <c r="BJ289" s="153"/>
      <c r="BK289" s="153"/>
      <c r="BL289" s="153"/>
      <c r="BM289" s="153"/>
      <c r="BN289" s="153"/>
      <c r="BO289" s="153"/>
      <c r="BP289" s="153"/>
      <c r="BQ289" s="153"/>
      <c r="BR289" s="153"/>
      <c r="BS289" s="153"/>
      <c r="BT289" s="153"/>
      <c r="BU289" s="153"/>
      <c r="BV289" s="153"/>
      <c r="BW289" s="153"/>
      <c r="BX289" s="153"/>
      <c r="BY289" s="153"/>
      <c r="BZ289" s="153"/>
      <c r="CA289" s="153"/>
      <c r="CB289" s="153"/>
      <c r="CC289" s="153"/>
      <c r="CD289" s="153"/>
      <c r="CE289" s="153"/>
      <c r="CF289" s="153"/>
      <c r="CG289" s="153"/>
      <c r="CH289" s="153"/>
      <c r="CI289" s="153"/>
      <c r="CJ289" s="153"/>
      <c r="CK289" s="153"/>
      <c r="CL289" s="153"/>
      <c r="CM289" s="153"/>
      <c r="CN289" s="153"/>
      <c r="CO289" s="153"/>
      <c r="CP289" s="153"/>
      <c r="CQ289" s="153"/>
      <c r="CR289" s="153"/>
      <c r="CS289" s="153"/>
      <c r="CT289" s="153"/>
      <c r="CU289" s="153"/>
      <c r="CV289" s="153"/>
      <c r="CW289" s="153"/>
      <c r="CX289" s="153"/>
      <c r="CY289" s="153"/>
      <c r="CZ289" s="153"/>
      <c r="DA289" s="153"/>
      <c r="DB289" s="153"/>
      <c r="DC289" s="153"/>
      <c r="DD289" s="153"/>
      <c r="DE289" s="153"/>
      <c r="DF289" s="153"/>
      <c r="DG289" s="153"/>
      <c r="DH289" s="153"/>
      <c r="DI289" s="153"/>
      <c r="DJ289" s="153"/>
      <c r="DK289" s="153"/>
      <c r="DL289" s="153"/>
      <c r="DM289" s="153"/>
      <c r="DN289" s="153"/>
      <c r="DO289" s="153"/>
      <c r="DP289" s="153"/>
      <c r="DQ289" s="153"/>
      <c r="DR289" s="153"/>
      <c r="DS289" s="153"/>
      <c r="DT289" s="153"/>
      <c r="DU289" s="153"/>
      <c r="DV289" s="153"/>
      <c r="DW289" s="153"/>
      <c r="DX289" s="153"/>
      <c r="DY289" s="153"/>
      <c r="DZ289" s="153"/>
      <c r="EA289" s="153"/>
      <c r="EB289" s="153"/>
      <c r="EC289" s="153"/>
      <c r="ED289" s="153"/>
      <c r="EE289" s="153"/>
      <c r="EF289" s="153"/>
      <c r="EG289" s="153"/>
      <c r="EH289" s="153"/>
      <c r="EI289" s="153"/>
      <c r="EJ289" s="153"/>
      <c r="EK289" s="153"/>
      <c r="EL289" s="153"/>
      <c r="EM289" s="153"/>
    </row>
    <row r="290" spans="1:143" s="107" customFormat="1" ht="10.5" hidden="1" customHeight="1" outlineLevel="2">
      <c r="A290" s="1548">
        <v>265</v>
      </c>
      <c r="B290" s="1560" t="str">
        <f t="shared" si="6"/>
        <v/>
      </c>
      <c r="C290" s="161" t="str">
        <f>GasTime(GasAnalyser,'Horiba Data'!F283,'Horiba Data'!G283,'Testo, JUM &amp; MRU Data'!A284,'Thermo Data'!B283,HourOffset)</f>
        <v/>
      </c>
      <c r="D290" s="981" t="str">
        <f>IF(D$17=FALSE,"",GasData(GasAnalyser,'Horiba Data'!S283,'Testo, JUM &amp; MRU Data'!D284,'Thermo Data'!E283,'Testo, JUM &amp; MRU Data'!U284,GDF))</f>
        <v/>
      </c>
      <c r="E290" s="981" t="str">
        <f>IF(D290="","",Conc2(D290,D$9,MolVol,D$21,D$20,E$21,E$20))</f>
        <v/>
      </c>
      <c r="F290" s="981" t="str">
        <f>IF(F$17=FALSE,"",GasData(GasAnalyser,'Horiba Data'!AQ283,'Testo, JUM &amp; MRU Data'!E284,'Thermo Data'!F283,'Testo, JUM &amp; MRU Data'!V284,GDF))</f>
        <v/>
      </c>
      <c r="G290" s="981" t="str">
        <f>IF(F290="","",Conc2(F290,F$9,MolVol,F$21,F$20,G$21,G$20))</f>
        <v/>
      </c>
      <c r="H290" s="981" t="str">
        <f>IF(D$17=FALSE,"",IF(F$17=FALSE,"",GasData(GasAnalyser,'Horiba Data'!W283,'Testo, JUM &amp; MRU Data'!F284,'Thermo Data'!G283,'Testo, JUM &amp; MRU Data'!Y284,GDF)))</f>
        <v/>
      </c>
      <c r="I290" s="981" t="str">
        <f>IF(H290="","",Conc2(H290,H$9,MolVol,H$21,H$20,I$21,I$20))</f>
        <v/>
      </c>
      <c r="J290" s="981" t="str">
        <f>IF(J$17=FALSE,"",GasData(GasAnalyser,'Horiba Data'!AM283,'Testo, JUM &amp; MRU Data'!G284,'Thermo Data'!H283,'Testo, JUM &amp; MRU Data'!W284,GDF))</f>
        <v/>
      </c>
      <c r="K290" s="981" t="str">
        <f>IF(J290="","",Conc2(J290,J$9,MolVol,J$21,J$20,K$21,K$20))</f>
        <v/>
      </c>
      <c r="L290" s="981" t="str">
        <f>IF(L$17=FALSE,"",GasData(GasAnalyser,'Horiba Data'!AA283,'Testo, JUM &amp; MRU Data'!H284,'Thermo Data'!I283,'Testo, JUM &amp; MRU Data'!T284,GDF))</f>
        <v/>
      </c>
      <c r="M290" s="981" t="str">
        <f>IF(L290="","",Conc2(L290,L$9,MolVol,L$21,L$20,M$21,M$20))</f>
        <v/>
      </c>
      <c r="N290" s="981" t="str">
        <f>IF(N$17=FALSE,"",GasData(GasAnalyser,'Horiba Data'!AE283,'Testo, JUM &amp; MRU Data'!I284,'Thermo Data'!J283,'Testo, JUM &amp; MRU Data'!S284,GDF))</f>
        <v/>
      </c>
      <c r="O290" s="981" t="str">
        <f>IF(N290="","",Conc2(N290,N$9,MolVol,N$21,N$20,O$21,O$20))</f>
        <v/>
      </c>
      <c r="P290" s="981" t="str">
        <f>IF(P$17=FALSE,"",GasData(GasAnalyser,'Horiba Data'!AI283,'Testo, JUM &amp; MRU Data'!J284,'Thermo Data'!K283,'Testo, JUM &amp; MRU Data'!R284,GDF))</f>
        <v/>
      </c>
      <c r="Q290" s="981" t="str">
        <f>IF(P290="","",Conc2(P290,P$9,MolVol,P$21,P$20,Q$21,Q$20))</f>
        <v/>
      </c>
      <c r="R290" s="981" t="str">
        <f>IF(R$17=FALSE,"",JUMData('Testo, JUM &amp; MRU Data'!M284,$R$7))</f>
        <v/>
      </c>
      <c r="S290" s="982" t="str">
        <f>IF(R290="","",Conc2(R290,R$9,MolVol,R$21,R$20,S$21,S$20)/(1-Bws))</f>
        <v/>
      </c>
      <c r="T290" s="740"/>
      <c r="AR290" s="334"/>
      <c r="AS290" s="334"/>
      <c r="AT290" s="48"/>
      <c r="AU290" s="48"/>
      <c r="AV290" s="153"/>
      <c r="AW290" s="153"/>
      <c r="AX290" s="153"/>
      <c r="AY290" s="153"/>
      <c r="AZ290" s="153"/>
      <c r="BA290" s="153"/>
      <c r="BB290" s="153"/>
      <c r="BC290" s="153"/>
      <c r="BD290" s="153"/>
      <c r="BE290" s="153"/>
      <c r="BF290" s="153"/>
      <c r="BG290" s="153"/>
      <c r="BH290" s="153"/>
      <c r="BI290" s="153"/>
      <c r="BJ290" s="153"/>
      <c r="BK290" s="153"/>
      <c r="BL290" s="153"/>
      <c r="BM290" s="153"/>
      <c r="BN290" s="153"/>
      <c r="BO290" s="153"/>
      <c r="BP290" s="153"/>
      <c r="BQ290" s="153"/>
      <c r="BR290" s="153"/>
      <c r="BS290" s="153"/>
      <c r="BT290" s="153"/>
      <c r="BU290" s="153"/>
      <c r="BV290" s="153"/>
      <c r="BW290" s="153"/>
      <c r="BX290" s="153"/>
      <c r="BY290" s="153"/>
      <c r="BZ290" s="153"/>
      <c r="CA290" s="153"/>
      <c r="CB290" s="153"/>
      <c r="CC290" s="153"/>
      <c r="CD290" s="153"/>
      <c r="CE290" s="153"/>
      <c r="CF290" s="153"/>
      <c r="CG290" s="153"/>
      <c r="CH290" s="153"/>
      <c r="CI290" s="153"/>
      <c r="CJ290" s="153"/>
      <c r="CK290" s="153"/>
      <c r="CL290" s="153"/>
      <c r="CM290" s="153"/>
      <c r="CN290" s="153"/>
      <c r="CO290" s="153"/>
      <c r="CP290" s="153"/>
      <c r="CQ290" s="153"/>
      <c r="CR290" s="153"/>
      <c r="CS290" s="153"/>
      <c r="CT290" s="153"/>
      <c r="CU290" s="153"/>
      <c r="CV290" s="153"/>
      <c r="CW290" s="153"/>
      <c r="CX290" s="153"/>
      <c r="CY290" s="153"/>
      <c r="CZ290" s="153"/>
      <c r="DA290" s="153"/>
      <c r="DB290" s="153"/>
      <c r="DC290" s="153"/>
      <c r="DD290" s="153"/>
      <c r="DE290" s="153"/>
      <c r="DF290" s="153"/>
      <c r="DG290" s="153"/>
      <c r="DH290" s="153"/>
      <c r="DI290" s="153"/>
      <c r="DJ290" s="153"/>
      <c r="DK290" s="153"/>
      <c r="DL290" s="153"/>
      <c r="DM290" s="153"/>
      <c r="DN290" s="153"/>
      <c r="DO290" s="153"/>
      <c r="DP290" s="153"/>
      <c r="DQ290" s="153"/>
      <c r="DR290" s="153"/>
      <c r="DS290" s="153"/>
      <c r="DT290" s="153"/>
      <c r="DU290" s="153"/>
      <c r="DV290" s="153"/>
      <c r="DW290" s="153"/>
      <c r="DX290" s="153"/>
      <c r="DY290" s="153"/>
      <c r="DZ290" s="153"/>
      <c r="EA290" s="153"/>
      <c r="EB290" s="153"/>
      <c r="EC290" s="153"/>
      <c r="ED290" s="153"/>
      <c r="EE290" s="153"/>
      <c r="EF290" s="153"/>
      <c r="EG290" s="153"/>
      <c r="EH290" s="153"/>
      <c r="EI290" s="153"/>
      <c r="EJ290" s="153"/>
      <c r="EK290" s="153"/>
      <c r="EL290" s="153"/>
      <c r="EM290" s="153"/>
    </row>
    <row r="291" spans="1:143" s="107" customFormat="1" ht="10.5" hidden="1" customHeight="1" outlineLevel="2">
      <c r="A291" s="1548">
        <v>266</v>
      </c>
      <c r="B291" s="1560" t="str">
        <f t="shared" si="6"/>
        <v/>
      </c>
      <c r="C291" s="161" t="str">
        <f>GasTime(GasAnalyser,'Horiba Data'!F284,'Horiba Data'!G284,'Testo, JUM &amp; MRU Data'!A285,'Thermo Data'!B284,HourOffset)</f>
        <v/>
      </c>
      <c r="D291" s="981" t="str">
        <f>IF(D$17=FALSE,"",GasData(GasAnalyser,'Horiba Data'!S284,'Testo, JUM &amp; MRU Data'!D285,'Thermo Data'!E284,'Testo, JUM &amp; MRU Data'!U285,GDF))</f>
        <v/>
      </c>
      <c r="E291" s="981" t="str">
        <f>IF(D291="","",Conc2(D291,D$9,MolVol,D$21,D$20,E$21,E$20))</f>
        <v/>
      </c>
      <c r="F291" s="981" t="str">
        <f>IF(F$17=FALSE,"",GasData(GasAnalyser,'Horiba Data'!AQ284,'Testo, JUM &amp; MRU Data'!E285,'Thermo Data'!F284,'Testo, JUM &amp; MRU Data'!V285,GDF))</f>
        <v/>
      </c>
      <c r="G291" s="981" t="str">
        <f>IF(F291="","",Conc2(F291,F$9,MolVol,F$21,F$20,G$21,G$20))</f>
        <v/>
      </c>
      <c r="H291" s="981" t="str">
        <f>IF(D$17=FALSE,"",IF(F$17=FALSE,"",GasData(GasAnalyser,'Horiba Data'!W284,'Testo, JUM &amp; MRU Data'!F285,'Thermo Data'!G284,'Testo, JUM &amp; MRU Data'!Y285,GDF)))</f>
        <v/>
      </c>
      <c r="I291" s="981" t="str">
        <f>IF(H291="","",Conc2(H291,H$9,MolVol,H$21,H$20,I$21,I$20))</f>
        <v/>
      </c>
      <c r="J291" s="981" t="str">
        <f>IF(J$17=FALSE,"",GasData(GasAnalyser,'Horiba Data'!AM284,'Testo, JUM &amp; MRU Data'!G285,'Thermo Data'!H284,'Testo, JUM &amp; MRU Data'!W285,GDF))</f>
        <v/>
      </c>
      <c r="K291" s="981" t="str">
        <f>IF(J291="","",Conc2(J291,J$9,MolVol,J$21,J$20,K$21,K$20))</f>
        <v/>
      </c>
      <c r="L291" s="981" t="str">
        <f>IF(L$17=FALSE,"",GasData(GasAnalyser,'Horiba Data'!AA284,'Testo, JUM &amp; MRU Data'!H285,'Thermo Data'!I284,'Testo, JUM &amp; MRU Data'!T285,GDF))</f>
        <v/>
      </c>
      <c r="M291" s="981" t="str">
        <f>IF(L291="","",Conc2(L291,L$9,MolVol,L$21,L$20,M$21,M$20))</f>
        <v/>
      </c>
      <c r="N291" s="981" t="str">
        <f>IF(N$17=FALSE,"",GasData(GasAnalyser,'Horiba Data'!AE284,'Testo, JUM &amp; MRU Data'!I285,'Thermo Data'!J284,'Testo, JUM &amp; MRU Data'!S285,GDF))</f>
        <v/>
      </c>
      <c r="O291" s="981" t="str">
        <f>IF(N291="","",Conc2(N291,N$9,MolVol,N$21,N$20,O$21,O$20))</f>
        <v/>
      </c>
      <c r="P291" s="981" t="str">
        <f>IF(P$17=FALSE,"",GasData(GasAnalyser,'Horiba Data'!AI284,'Testo, JUM &amp; MRU Data'!J285,'Thermo Data'!K284,'Testo, JUM &amp; MRU Data'!R285,GDF))</f>
        <v/>
      </c>
      <c r="Q291" s="981" t="str">
        <f>IF(P291="","",Conc2(P291,P$9,MolVol,P$21,P$20,Q$21,Q$20))</f>
        <v/>
      </c>
      <c r="R291" s="981" t="str">
        <f>IF(R$17=FALSE,"",JUMData('Testo, JUM &amp; MRU Data'!M285,$R$7))</f>
        <v/>
      </c>
      <c r="S291" s="982" t="str">
        <f>IF(R291="","",Conc2(R291,R$9,MolVol,R$21,R$20,S$21,S$20)/(1-Bws))</f>
        <v/>
      </c>
      <c r="T291" s="740"/>
      <c r="AR291" s="334"/>
      <c r="AS291" s="334"/>
      <c r="AT291" s="48"/>
      <c r="AU291" s="48"/>
      <c r="AV291" s="153"/>
      <c r="AW291" s="153"/>
      <c r="AX291" s="153"/>
      <c r="AY291" s="153"/>
      <c r="AZ291" s="153"/>
      <c r="BA291" s="153"/>
      <c r="BB291" s="153"/>
      <c r="BC291" s="153"/>
      <c r="BD291" s="153"/>
      <c r="BE291" s="153"/>
      <c r="BF291" s="153"/>
      <c r="BG291" s="153"/>
      <c r="BH291" s="153"/>
      <c r="BI291" s="153"/>
      <c r="BJ291" s="153"/>
      <c r="BK291" s="153"/>
      <c r="BL291" s="153"/>
      <c r="BM291" s="153"/>
      <c r="BN291" s="153"/>
      <c r="BO291" s="153"/>
      <c r="BP291" s="153"/>
      <c r="BQ291" s="153"/>
      <c r="BR291" s="153"/>
      <c r="BS291" s="153"/>
      <c r="BT291" s="153"/>
      <c r="BU291" s="153"/>
      <c r="BV291" s="153"/>
      <c r="BW291" s="153"/>
      <c r="BX291" s="153"/>
      <c r="BY291" s="153"/>
      <c r="BZ291" s="153"/>
      <c r="CA291" s="153"/>
      <c r="CB291" s="153"/>
      <c r="CC291" s="153"/>
      <c r="CD291" s="153"/>
      <c r="CE291" s="153"/>
      <c r="CF291" s="153"/>
      <c r="CG291" s="153"/>
      <c r="CH291" s="153"/>
      <c r="CI291" s="153"/>
      <c r="CJ291" s="153"/>
      <c r="CK291" s="153"/>
      <c r="CL291" s="153"/>
      <c r="CM291" s="153"/>
      <c r="CN291" s="153"/>
      <c r="CO291" s="153"/>
      <c r="CP291" s="153"/>
      <c r="CQ291" s="153"/>
      <c r="CR291" s="153"/>
      <c r="CS291" s="153"/>
      <c r="CT291" s="153"/>
      <c r="CU291" s="153"/>
      <c r="CV291" s="153"/>
      <c r="CW291" s="153"/>
      <c r="CX291" s="153"/>
      <c r="CY291" s="153"/>
      <c r="CZ291" s="153"/>
      <c r="DA291" s="153"/>
      <c r="DB291" s="153"/>
      <c r="DC291" s="153"/>
      <c r="DD291" s="153"/>
      <c r="DE291" s="153"/>
      <c r="DF291" s="153"/>
      <c r="DG291" s="153"/>
      <c r="DH291" s="153"/>
      <c r="DI291" s="153"/>
      <c r="DJ291" s="153"/>
      <c r="DK291" s="153"/>
      <c r="DL291" s="153"/>
      <c r="DM291" s="153"/>
      <c r="DN291" s="153"/>
      <c r="DO291" s="153"/>
      <c r="DP291" s="153"/>
      <c r="DQ291" s="153"/>
      <c r="DR291" s="153"/>
      <c r="DS291" s="153"/>
      <c r="DT291" s="153"/>
      <c r="DU291" s="153"/>
      <c r="DV291" s="153"/>
      <c r="DW291" s="153"/>
      <c r="DX291" s="153"/>
      <c r="DY291" s="153"/>
      <c r="DZ291" s="153"/>
      <c r="EA291" s="153"/>
      <c r="EB291" s="153"/>
      <c r="EC291" s="153"/>
      <c r="ED291" s="153"/>
      <c r="EE291" s="153"/>
      <c r="EF291" s="153"/>
      <c r="EG291" s="153"/>
      <c r="EH291" s="153"/>
      <c r="EI291" s="153"/>
      <c r="EJ291" s="153"/>
      <c r="EK291" s="153"/>
      <c r="EL291" s="153"/>
      <c r="EM291" s="153"/>
    </row>
    <row r="292" spans="1:143" s="107" customFormat="1" ht="10.5" hidden="1" customHeight="1" outlineLevel="2">
      <c r="A292" s="1548">
        <v>267</v>
      </c>
      <c r="B292" s="1560" t="str">
        <f t="shared" si="6"/>
        <v/>
      </c>
      <c r="C292" s="161" t="str">
        <f>GasTime(GasAnalyser,'Horiba Data'!F285,'Horiba Data'!G285,'Testo, JUM &amp; MRU Data'!A286,'Thermo Data'!B285,HourOffset)</f>
        <v/>
      </c>
      <c r="D292" s="981" t="str">
        <f>IF(D$17=FALSE,"",GasData(GasAnalyser,'Horiba Data'!S285,'Testo, JUM &amp; MRU Data'!D286,'Thermo Data'!E285,'Testo, JUM &amp; MRU Data'!U286,GDF))</f>
        <v/>
      </c>
      <c r="E292" s="981" t="str">
        <f>IF(D292="","",Conc2(D292,D$9,MolVol,D$21,D$20,E$21,E$20))</f>
        <v/>
      </c>
      <c r="F292" s="981" t="str">
        <f>IF(F$17=FALSE,"",GasData(GasAnalyser,'Horiba Data'!AQ285,'Testo, JUM &amp; MRU Data'!E286,'Thermo Data'!F285,'Testo, JUM &amp; MRU Data'!V286,GDF))</f>
        <v/>
      </c>
      <c r="G292" s="981" t="str">
        <f>IF(F292="","",Conc2(F292,F$9,MolVol,F$21,F$20,G$21,G$20))</f>
        <v/>
      </c>
      <c r="H292" s="981" t="str">
        <f>IF(D$17=FALSE,"",IF(F$17=FALSE,"",GasData(GasAnalyser,'Horiba Data'!W285,'Testo, JUM &amp; MRU Data'!F286,'Thermo Data'!G285,'Testo, JUM &amp; MRU Data'!Y286,GDF)))</f>
        <v/>
      </c>
      <c r="I292" s="981" t="str">
        <f>IF(H292="","",Conc2(H292,H$9,MolVol,H$21,H$20,I$21,I$20))</f>
        <v/>
      </c>
      <c r="J292" s="981" t="str">
        <f>IF(J$17=FALSE,"",GasData(GasAnalyser,'Horiba Data'!AM285,'Testo, JUM &amp; MRU Data'!G286,'Thermo Data'!H285,'Testo, JUM &amp; MRU Data'!W286,GDF))</f>
        <v/>
      </c>
      <c r="K292" s="981" t="str">
        <f>IF(J292="","",Conc2(J292,J$9,MolVol,J$21,J$20,K$21,K$20))</f>
        <v/>
      </c>
      <c r="L292" s="981" t="str">
        <f>IF(L$17=FALSE,"",GasData(GasAnalyser,'Horiba Data'!AA285,'Testo, JUM &amp; MRU Data'!H286,'Thermo Data'!I285,'Testo, JUM &amp; MRU Data'!T286,GDF))</f>
        <v/>
      </c>
      <c r="M292" s="981" t="str">
        <f>IF(L292="","",Conc2(L292,L$9,MolVol,L$21,L$20,M$21,M$20))</f>
        <v/>
      </c>
      <c r="N292" s="981" t="str">
        <f>IF(N$17=FALSE,"",GasData(GasAnalyser,'Horiba Data'!AE285,'Testo, JUM &amp; MRU Data'!I286,'Thermo Data'!J285,'Testo, JUM &amp; MRU Data'!S286,GDF))</f>
        <v/>
      </c>
      <c r="O292" s="981" t="str">
        <f>IF(N292="","",Conc2(N292,N$9,MolVol,N$21,N$20,O$21,O$20))</f>
        <v/>
      </c>
      <c r="P292" s="981" t="str">
        <f>IF(P$17=FALSE,"",GasData(GasAnalyser,'Horiba Data'!AI285,'Testo, JUM &amp; MRU Data'!J286,'Thermo Data'!K285,'Testo, JUM &amp; MRU Data'!R286,GDF))</f>
        <v/>
      </c>
      <c r="Q292" s="981" t="str">
        <f>IF(P292="","",Conc2(P292,P$9,MolVol,P$21,P$20,Q$21,Q$20))</f>
        <v/>
      </c>
      <c r="R292" s="981" t="str">
        <f>IF(R$17=FALSE,"",JUMData('Testo, JUM &amp; MRU Data'!M286,$R$7))</f>
        <v/>
      </c>
      <c r="S292" s="982" t="str">
        <f>IF(R292="","",Conc2(R292,R$9,MolVol,R$21,R$20,S$21,S$20)/(1-Bws))</f>
        <v/>
      </c>
      <c r="T292" s="740"/>
      <c r="AR292" s="334"/>
      <c r="AS292" s="334"/>
      <c r="AT292" s="48"/>
      <c r="AU292" s="48"/>
      <c r="AV292" s="153"/>
      <c r="AW292" s="153"/>
      <c r="AX292" s="153"/>
      <c r="AY292" s="153"/>
      <c r="AZ292" s="153"/>
      <c r="BA292" s="153"/>
      <c r="BB292" s="153"/>
      <c r="BC292" s="153"/>
      <c r="BD292" s="153"/>
      <c r="BE292" s="153"/>
      <c r="BF292" s="153"/>
      <c r="BG292" s="153"/>
      <c r="BH292" s="153"/>
      <c r="BI292" s="153"/>
      <c r="BJ292" s="153"/>
      <c r="BK292" s="153"/>
      <c r="BL292" s="153"/>
      <c r="BM292" s="153"/>
      <c r="BN292" s="153"/>
      <c r="BO292" s="153"/>
      <c r="BP292" s="153"/>
      <c r="BQ292" s="153"/>
      <c r="BR292" s="153"/>
      <c r="BS292" s="153"/>
      <c r="BT292" s="153"/>
      <c r="BU292" s="153"/>
      <c r="BV292" s="153"/>
      <c r="BW292" s="153"/>
      <c r="BX292" s="153"/>
      <c r="BY292" s="153"/>
      <c r="BZ292" s="153"/>
      <c r="CA292" s="153"/>
      <c r="CB292" s="153"/>
      <c r="CC292" s="153"/>
      <c r="CD292" s="153"/>
      <c r="CE292" s="153"/>
      <c r="CF292" s="153"/>
      <c r="CG292" s="153"/>
      <c r="CH292" s="153"/>
      <c r="CI292" s="153"/>
      <c r="CJ292" s="153"/>
      <c r="CK292" s="153"/>
      <c r="CL292" s="153"/>
      <c r="CM292" s="153"/>
      <c r="CN292" s="153"/>
      <c r="CO292" s="153"/>
      <c r="CP292" s="153"/>
      <c r="CQ292" s="153"/>
      <c r="CR292" s="153"/>
      <c r="CS292" s="153"/>
      <c r="CT292" s="153"/>
      <c r="CU292" s="153"/>
      <c r="CV292" s="153"/>
      <c r="CW292" s="153"/>
      <c r="CX292" s="153"/>
      <c r="CY292" s="153"/>
      <c r="CZ292" s="153"/>
      <c r="DA292" s="153"/>
      <c r="DB292" s="153"/>
      <c r="DC292" s="153"/>
      <c r="DD292" s="153"/>
      <c r="DE292" s="153"/>
      <c r="DF292" s="153"/>
      <c r="DG292" s="153"/>
      <c r="DH292" s="153"/>
      <c r="DI292" s="153"/>
      <c r="DJ292" s="153"/>
      <c r="DK292" s="153"/>
      <c r="DL292" s="153"/>
      <c r="DM292" s="153"/>
      <c r="DN292" s="153"/>
      <c r="DO292" s="153"/>
      <c r="DP292" s="153"/>
      <c r="DQ292" s="153"/>
      <c r="DR292" s="153"/>
      <c r="DS292" s="153"/>
      <c r="DT292" s="153"/>
      <c r="DU292" s="153"/>
      <c r="DV292" s="153"/>
      <c r="DW292" s="153"/>
      <c r="DX292" s="153"/>
      <c r="DY292" s="153"/>
      <c r="DZ292" s="153"/>
      <c r="EA292" s="153"/>
      <c r="EB292" s="153"/>
      <c r="EC292" s="153"/>
      <c r="ED292" s="153"/>
      <c r="EE292" s="153"/>
      <c r="EF292" s="153"/>
      <c r="EG292" s="153"/>
      <c r="EH292" s="153"/>
      <c r="EI292" s="153"/>
      <c r="EJ292" s="153"/>
      <c r="EK292" s="153"/>
      <c r="EL292" s="153"/>
      <c r="EM292" s="153"/>
    </row>
    <row r="293" spans="1:143" s="107" customFormat="1" ht="10.5" hidden="1" customHeight="1" outlineLevel="2">
      <c r="A293" s="1548">
        <v>268</v>
      </c>
      <c r="B293" s="1560" t="str">
        <f t="shared" si="6"/>
        <v/>
      </c>
      <c r="C293" s="161" t="str">
        <f>GasTime(GasAnalyser,'Horiba Data'!F286,'Horiba Data'!G286,'Testo, JUM &amp; MRU Data'!A287,'Thermo Data'!B286,HourOffset)</f>
        <v/>
      </c>
      <c r="D293" s="981" t="str">
        <f>IF(D$17=FALSE,"",GasData(GasAnalyser,'Horiba Data'!S286,'Testo, JUM &amp; MRU Data'!D287,'Thermo Data'!E286,'Testo, JUM &amp; MRU Data'!U287,GDF))</f>
        <v/>
      </c>
      <c r="E293" s="981" t="str">
        <f>IF(D293="","",Conc2(D293,D$9,MolVol,D$21,D$20,E$21,E$20))</f>
        <v/>
      </c>
      <c r="F293" s="981" t="str">
        <f>IF(F$17=FALSE,"",GasData(GasAnalyser,'Horiba Data'!AQ286,'Testo, JUM &amp; MRU Data'!E287,'Thermo Data'!F286,'Testo, JUM &amp; MRU Data'!V287,GDF))</f>
        <v/>
      </c>
      <c r="G293" s="981" t="str">
        <f>IF(F293="","",Conc2(F293,F$9,MolVol,F$21,F$20,G$21,G$20))</f>
        <v/>
      </c>
      <c r="H293" s="981" t="str">
        <f>IF(D$17=FALSE,"",IF(F$17=FALSE,"",GasData(GasAnalyser,'Horiba Data'!W286,'Testo, JUM &amp; MRU Data'!F287,'Thermo Data'!G286,'Testo, JUM &amp; MRU Data'!Y287,GDF)))</f>
        <v/>
      </c>
      <c r="I293" s="981" t="str">
        <f>IF(H293="","",Conc2(H293,H$9,MolVol,H$21,H$20,I$21,I$20))</f>
        <v/>
      </c>
      <c r="J293" s="981" t="str">
        <f>IF(J$17=FALSE,"",GasData(GasAnalyser,'Horiba Data'!AM286,'Testo, JUM &amp; MRU Data'!G287,'Thermo Data'!H286,'Testo, JUM &amp; MRU Data'!W287,GDF))</f>
        <v/>
      </c>
      <c r="K293" s="981" t="str">
        <f>IF(J293="","",Conc2(J293,J$9,MolVol,J$21,J$20,K$21,K$20))</f>
        <v/>
      </c>
      <c r="L293" s="981" t="str">
        <f>IF(L$17=FALSE,"",GasData(GasAnalyser,'Horiba Data'!AA286,'Testo, JUM &amp; MRU Data'!H287,'Thermo Data'!I286,'Testo, JUM &amp; MRU Data'!T287,GDF))</f>
        <v/>
      </c>
      <c r="M293" s="981" t="str">
        <f>IF(L293="","",Conc2(L293,L$9,MolVol,L$21,L$20,M$21,M$20))</f>
        <v/>
      </c>
      <c r="N293" s="981" t="str">
        <f>IF(N$17=FALSE,"",GasData(GasAnalyser,'Horiba Data'!AE286,'Testo, JUM &amp; MRU Data'!I287,'Thermo Data'!J286,'Testo, JUM &amp; MRU Data'!S287,GDF))</f>
        <v/>
      </c>
      <c r="O293" s="981" t="str">
        <f>IF(N293="","",Conc2(N293,N$9,MolVol,N$21,N$20,O$21,O$20))</f>
        <v/>
      </c>
      <c r="P293" s="981" t="str">
        <f>IF(P$17=FALSE,"",GasData(GasAnalyser,'Horiba Data'!AI286,'Testo, JUM &amp; MRU Data'!J287,'Thermo Data'!K286,'Testo, JUM &amp; MRU Data'!R287,GDF))</f>
        <v/>
      </c>
      <c r="Q293" s="981" t="str">
        <f>IF(P293="","",Conc2(P293,P$9,MolVol,P$21,P$20,Q$21,Q$20))</f>
        <v/>
      </c>
      <c r="R293" s="981" t="str">
        <f>IF(R$17=FALSE,"",JUMData('Testo, JUM &amp; MRU Data'!M287,$R$7))</f>
        <v/>
      </c>
      <c r="S293" s="982" t="str">
        <f>IF(R293="","",Conc2(R293,R$9,MolVol,R$21,R$20,S$21,S$20)/(1-Bws))</f>
        <v/>
      </c>
      <c r="T293" s="740"/>
      <c r="AR293" s="334"/>
      <c r="AS293" s="334"/>
      <c r="AT293" s="48"/>
      <c r="AU293" s="48"/>
      <c r="AV293" s="153"/>
      <c r="AW293" s="153"/>
      <c r="AX293" s="153"/>
      <c r="AY293" s="153"/>
      <c r="AZ293" s="153"/>
      <c r="BA293" s="153"/>
      <c r="BB293" s="153"/>
      <c r="BC293" s="153"/>
      <c r="BD293" s="153"/>
      <c r="BE293" s="153"/>
      <c r="BF293" s="153"/>
      <c r="BG293" s="153"/>
      <c r="BH293" s="153"/>
      <c r="BI293" s="153"/>
      <c r="BJ293" s="153"/>
      <c r="BK293" s="153"/>
      <c r="BL293" s="153"/>
      <c r="BM293" s="153"/>
      <c r="BN293" s="153"/>
      <c r="BO293" s="153"/>
      <c r="BP293" s="153"/>
      <c r="BQ293" s="153"/>
      <c r="BR293" s="153"/>
      <c r="BS293" s="153"/>
      <c r="BT293" s="153"/>
      <c r="BU293" s="153"/>
      <c r="BV293" s="153"/>
      <c r="BW293" s="153"/>
      <c r="BX293" s="153"/>
      <c r="BY293" s="153"/>
      <c r="BZ293" s="153"/>
      <c r="CA293" s="153"/>
      <c r="CB293" s="153"/>
      <c r="CC293" s="153"/>
      <c r="CD293" s="153"/>
      <c r="CE293" s="153"/>
      <c r="CF293" s="153"/>
      <c r="CG293" s="153"/>
      <c r="CH293" s="153"/>
      <c r="CI293" s="153"/>
      <c r="CJ293" s="153"/>
      <c r="CK293" s="153"/>
      <c r="CL293" s="153"/>
      <c r="CM293" s="153"/>
      <c r="CN293" s="153"/>
      <c r="CO293" s="153"/>
      <c r="CP293" s="153"/>
      <c r="CQ293" s="153"/>
      <c r="CR293" s="153"/>
      <c r="CS293" s="153"/>
      <c r="CT293" s="153"/>
      <c r="CU293" s="153"/>
      <c r="CV293" s="153"/>
      <c r="CW293" s="153"/>
      <c r="CX293" s="153"/>
      <c r="CY293" s="153"/>
      <c r="CZ293" s="153"/>
      <c r="DA293" s="153"/>
      <c r="DB293" s="153"/>
      <c r="DC293" s="153"/>
      <c r="DD293" s="153"/>
      <c r="DE293" s="153"/>
      <c r="DF293" s="153"/>
      <c r="DG293" s="153"/>
      <c r="DH293" s="153"/>
      <c r="DI293" s="153"/>
      <c r="DJ293" s="153"/>
      <c r="DK293" s="153"/>
      <c r="DL293" s="153"/>
      <c r="DM293" s="153"/>
      <c r="DN293" s="153"/>
      <c r="DO293" s="153"/>
      <c r="DP293" s="153"/>
      <c r="DQ293" s="153"/>
      <c r="DR293" s="153"/>
      <c r="DS293" s="153"/>
      <c r="DT293" s="153"/>
      <c r="DU293" s="153"/>
      <c r="DV293" s="153"/>
      <c r="DW293" s="153"/>
      <c r="DX293" s="153"/>
      <c r="DY293" s="153"/>
      <c r="DZ293" s="153"/>
      <c r="EA293" s="153"/>
      <c r="EB293" s="153"/>
      <c r="EC293" s="153"/>
      <c r="ED293" s="153"/>
      <c r="EE293" s="153"/>
      <c r="EF293" s="153"/>
      <c r="EG293" s="153"/>
      <c r="EH293" s="153"/>
      <c r="EI293" s="153"/>
      <c r="EJ293" s="153"/>
      <c r="EK293" s="153"/>
      <c r="EL293" s="153"/>
      <c r="EM293" s="153"/>
    </row>
    <row r="294" spans="1:143" s="107" customFormat="1" ht="10.5" hidden="1" customHeight="1" outlineLevel="2">
      <c r="A294" s="1548">
        <v>269</v>
      </c>
      <c r="B294" s="1560" t="str">
        <f t="shared" si="6"/>
        <v/>
      </c>
      <c r="C294" s="161" t="str">
        <f>GasTime(GasAnalyser,'Horiba Data'!F287,'Horiba Data'!G287,'Testo, JUM &amp; MRU Data'!A288,'Thermo Data'!B287,HourOffset)</f>
        <v/>
      </c>
      <c r="D294" s="981" t="str">
        <f>IF(D$17=FALSE,"",GasData(GasAnalyser,'Horiba Data'!S287,'Testo, JUM &amp; MRU Data'!D288,'Thermo Data'!E287,'Testo, JUM &amp; MRU Data'!U288,GDF))</f>
        <v/>
      </c>
      <c r="E294" s="981" t="str">
        <f>IF(D294="","",Conc2(D294,D$9,MolVol,D$21,D$20,E$21,E$20))</f>
        <v/>
      </c>
      <c r="F294" s="981" t="str">
        <f>IF(F$17=FALSE,"",GasData(GasAnalyser,'Horiba Data'!AQ287,'Testo, JUM &amp; MRU Data'!E288,'Thermo Data'!F287,'Testo, JUM &amp; MRU Data'!V288,GDF))</f>
        <v/>
      </c>
      <c r="G294" s="981" t="str">
        <f>IF(F294="","",Conc2(F294,F$9,MolVol,F$21,F$20,G$21,G$20))</f>
        <v/>
      </c>
      <c r="H294" s="981" t="str">
        <f>IF(D$17=FALSE,"",IF(F$17=FALSE,"",GasData(GasAnalyser,'Horiba Data'!W287,'Testo, JUM &amp; MRU Data'!F288,'Thermo Data'!G287,'Testo, JUM &amp; MRU Data'!Y288,GDF)))</f>
        <v/>
      </c>
      <c r="I294" s="981" t="str">
        <f>IF(H294="","",Conc2(H294,H$9,MolVol,H$21,H$20,I$21,I$20))</f>
        <v/>
      </c>
      <c r="J294" s="981" t="str">
        <f>IF(J$17=FALSE,"",GasData(GasAnalyser,'Horiba Data'!AM287,'Testo, JUM &amp; MRU Data'!G288,'Thermo Data'!H287,'Testo, JUM &amp; MRU Data'!W288,GDF))</f>
        <v/>
      </c>
      <c r="K294" s="981" t="str">
        <f>IF(J294="","",Conc2(J294,J$9,MolVol,J$21,J$20,K$21,K$20))</f>
        <v/>
      </c>
      <c r="L294" s="981" t="str">
        <f>IF(L$17=FALSE,"",GasData(GasAnalyser,'Horiba Data'!AA287,'Testo, JUM &amp; MRU Data'!H288,'Thermo Data'!I287,'Testo, JUM &amp; MRU Data'!T288,GDF))</f>
        <v/>
      </c>
      <c r="M294" s="981" t="str">
        <f>IF(L294="","",Conc2(L294,L$9,MolVol,L$21,L$20,M$21,M$20))</f>
        <v/>
      </c>
      <c r="N294" s="981" t="str">
        <f>IF(N$17=FALSE,"",GasData(GasAnalyser,'Horiba Data'!AE287,'Testo, JUM &amp; MRU Data'!I288,'Thermo Data'!J287,'Testo, JUM &amp; MRU Data'!S288,GDF))</f>
        <v/>
      </c>
      <c r="O294" s="981" t="str">
        <f>IF(N294="","",Conc2(N294,N$9,MolVol,N$21,N$20,O$21,O$20))</f>
        <v/>
      </c>
      <c r="P294" s="981" t="str">
        <f>IF(P$17=FALSE,"",GasData(GasAnalyser,'Horiba Data'!AI287,'Testo, JUM &amp; MRU Data'!J288,'Thermo Data'!K287,'Testo, JUM &amp; MRU Data'!R288,GDF))</f>
        <v/>
      </c>
      <c r="Q294" s="981" t="str">
        <f>IF(P294="","",Conc2(P294,P$9,MolVol,P$21,P$20,Q$21,Q$20))</f>
        <v/>
      </c>
      <c r="R294" s="981" t="str">
        <f>IF(R$17=FALSE,"",JUMData('Testo, JUM &amp; MRU Data'!M288,$R$7))</f>
        <v/>
      </c>
      <c r="S294" s="982" t="str">
        <f>IF(R294="","",Conc2(R294,R$9,MolVol,R$21,R$20,S$21,S$20)/(1-Bws))</f>
        <v/>
      </c>
      <c r="T294" s="740"/>
      <c r="AR294" s="334"/>
      <c r="AS294" s="334"/>
      <c r="AT294" s="48"/>
      <c r="AU294" s="48"/>
      <c r="AV294" s="153"/>
      <c r="AW294" s="153"/>
      <c r="AX294" s="153"/>
      <c r="AY294" s="153"/>
      <c r="AZ294" s="153"/>
      <c r="BA294" s="153"/>
      <c r="BB294" s="153"/>
      <c r="BC294" s="153"/>
      <c r="BD294" s="153"/>
      <c r="BE294" s="153"/>
      <c r="BF294" s="153"/>
      <c r="BG294" s="153"/>
      <c r="BH294" s="153"/>
      <c r="BI294" s="153"/>
      <c r="BJ294" s="153"/>
      <c r="BK294" s="153"/>
      <c r="BL294" s="153"/>
      <c r="BM294" s="153"/>
      <c r="BN294" s="153"/>
      <c r="BO294" s="153"/>
      <c r="BP294" s="153"/>
      <c r="BQ294" s="153"/>
      <c r="BR294" s="153"/>
      <c r="BS294" s="153"/>
      <c r="BT294" s="153"/>
      <c r="BU294" s="153"/>
      <c r="BV294" s="153"/>
      <c r="BW294" s="153"/>
      <c r="BX294" s="153"/>
      <c r="BY294" s="153"/>
      <c r="BZ294" s="153"/>
      <c r="CA294" s="153"/>
      <c r="CB294" s="153"/>
      <c r="CC294" s="153"/>
      <c r="CD294" s="153"/>
      <c r="CE294" s="153"/>
      <c r="CF294" s="153"/>
      <c r="CG294" s="153"/>
      <c r="CH294" s="153"/>
      <c r="CI294" s="153"/>
      <c r="CJ294" s="153"/>
      <c r="CK294" s="153"/>
      <c r="CL294" s="153"/>
      <c r="CM294" s="153"/>
      <c r="CN294" s="153"/>
      <c r="CO294" s="153"/>
      <c r="CP294" s="153"/>
      <c r="CQ294" s="153"/>
      <c r="CR294" s="153"/>
      <c r="CS294" s="153"/>
      <c r="CT294" s="153"/>
      <c r="CU294" s="153"/>
      <c r="CV294" s="153"/>
      <c r="CW294" s="153"/>
      <c r="CX294" s="153"/>
      <c r="CY294" s="153"/>
      <c r="CZ294" s="153"/>
      <c r="DA294" s="153"/>
      <c r="DB294" s="153"/>
      <c r="DC294" s="153"/>
      <c r="DD294" s="153"/>
      <c r="DE294" s="153"/>
      <c r="DF294" s="153"/>
      <c r="DG294" s="153"/>
      <c r="DH294" s="153"/>
      <c r="DI294" s="153"/>
      <c r="DJ294" s="153"/>
      <c r="DK294" s="153"/>
      <c r="DL294" s="153"/>
      <c r="DM294" s="153"/>
      <c r="DN294" s="153"/>
      <c r="DO294" s="153"/>
      <c r="DP294" s="153"/>
      <c r="DQ294" s="153"/>
      <c r="DR294" s="153"/>
      <c r="DS294" s="153"/>
      <c r="DT294" s="153"/>
      <c r="DU294" s="153"/>
      <c r="DV294" s="153"/>
      <c r="DW294" s="153"/>
      <c r="DX294" s="153"/>
      <c r="DY294" s="153"/>
      <c r="DZ294" s="153"/>
      <c r="EA294" s="153"/>
      <c r="EB294" s="153"/>
      <c r="EC294" s="153"/>
      <c r="ED294" s="153"/>
      <c r="EE294" s="153"/>
      <c r="EF294" s="153"/>
      <c r="EG294" s="153"/>
      <c r="EH294" s="153"/>
      <c r="EI294" s="153"/>
      <c r="EJ294" s="153"/>
      <c r="EK294" s="153"/>
      <c r="EL294" s="153"/>
      <c r="EM294" s="153"/>
    </row>
    <row r="295" spans="1:143" s="107" customFormat="1" ht="10.5" hidden="1" customHeight="1" outlineLevel="2">
      <c r="A295" s="1548">
        <v>270</v>
      </c>
      <c r="B295" s="1560" t="str">
        <f t="shared" si="6"/>
        <v/>
      </c>
      <c r="C295" s="161" t="str">
        <f>GasTime(GasAnalyser,'Horiba Data'!F288,'Horiba Data'!G288,'Testo, JUM &amp; MRU Data'!A289,'Thermo Data'!B288,HourOffset)</f>
        <v/>
      </c>
      <c r="D295" s="981" t="str">
        <f>IF(D$17=FALSE,"",GasData(GasAnalyser,'Horiba Data'!S288,'Testo, JUM &amp; MRU Data'!D289,'Thermo Data'!E288,'Testo, JUM &amp; MRU Data'!U289,GDF))</f>
        <v/>
      </c>
      <c r="E295" s="981" t="str">
        <f>IF(D295="","",Conc2(D295,D$9,MolVol,D$21,D$20,E$21,E$20))</f>
        <v/>
      </c>
      <c r="F295" s="981" t="str">
        <f>IF(F$17=FALSE,"",GasData(GasAnalyser,'Horiba Data'!AQ288,'Testo, JUM &amp; MRU Data'!E289,'Thermo Data'!F288,'Testo, JUM &amp; MRU Data'!V289,GDF))</f>
        <v/>
      </c>
      <c r="G295" s="981" t="str">
        <f>IF(F295="","",Conc2(F295,F$9,MolVol,F$21,F$20,G$21,G$20))</f>
        <v/>
      </c>
      <c r="H295" s="981" t="str">
        <f>IF(D$17=FALSE,"",IF(F$17=FALSE,"",GasData(GasAnalyser,'Horiba Data'!W288,'Testo, JUM &amp; MRU Data'!F289,'Thermo Data'!G288,'Testo, JUM &amp; MRU Data'!Y289,GDF)))</f>
        <v/>
      </c>
      <c r="I295" s="981" t="str">
        <f>IF(H295="","",Conc2(H295,H$9,MolVol,H$21,H$20,I$21,I$20))</f>
        <v/>
      </c>
      <c r="J295" s="981" t="str">
        <f>IF(J$17=FALSE,"",GasData(GasAnalyser,'Horiba Data'!AM288,'Testo, JUM &amp; MRU Data'!G289,'Thermo Data'!H288,'Testo, JUM &amp; MRU Data'!W289,GDF))</f>
        <v/>
      </c>
      <c r="K295" s="981" t="str">
        <f>IF(J295="","",Conc2(J295,J$9,MolVol,J$21,J$20,K$21,K$20))</f>
        <v/>
      </c>
      <c r="L295" s="981" t="str">
        <f>IF(L$17=FALSE,"",GasData(GasAnalyser,'Horiba Data'!AA288,'Testo, JUM &amp; MRU Data'!H289,'Thermo Data'!I288,'Testo, JUM &amp; MRU Data'!T289,GDF))</f>
        <v/>
      </c>
      <c r="M295" s="981" t="str">
        <f>IF(L295="","",Conc2(L295,L$9,MolVol,L$21,L$20,M$21,M$20))</f>
        <v/>
      </c>
      <c r="N295" s="981" t="str">
        <f>IF(N$17=FALSE,"",GasData(GasAnalyser,'Horiba Data'!AE288,'Testo, JUM &amp; MRU Data'!I289,'Thermo Data'!J288,'Testo, JUM &amp; MRU Data'!S289,GDF))</f>
        <v/>
      </c>
      <c r="O295" s="981" t="str">
        <f>IF(N295="","",Conc2(N295,N$9,MolVol,N$21,N$20,O$21,O$20))</f>
        <v/>
      </c>
      <c r="P295" s="981" t="str">
        <f>IF(P$17=FALSE,"",GasData(GasAnalyser,'Horiba Data'!AI288,'Testo, JUM &amp; MRU Data'!J289,'Thermo Data'!K288,'Testo, JUM &amp; MRU Data'!R289,GDF))</f>
        <v/>
      </c>
      <c r="Q295" s="981" t="str">
        <f>IF(P295="","",Conc2(P295,P$9,MolVol,P$21,P$20,Q$21,Q$20))</f>
        <v/>
      </c>
      <c r="R295" s="981" t="str">
        <f>IF(R$17=FALSE,"",JUMData('Testo, JUM &amp; MRU Data'!M289,$R$7))</f>
        <v/>
      </c>
      <c r="S295" s="982" t="str">
        <f>IF(R295="","",Conc2(R295,R$9,MolVol,R$21,R$20,S$21,S$20)/(1-Bws))</f>
        <v/>
      </c>
      <c r="T295" s="740"/>
      <c r="AR295" s="334"/>
      <c r="AS295" s="334"/>
      <c r="AT295" s="48"/>
      <c r="AU295" s="48"/>
      <c r="AV295" s="153"/>
      <c r="AW295" s="153"/>
      <c r="AX295" s="153"/>
      <c r="AY295" s="153"/>
      <c r="AZ295" s="153"/>
      <c r="BA295" s="153"/>
      <c r="BB295" s="153"/>
      <c r="BC295" s="153"/>
      <c r="BD295" s="153"/>
      <c r="BE295" s="153"/>
      <c r="BF295" s="153"/>
      <c r="BG295" s="153"/>
      <c r="BH295" s="153"/>
      <c r="BI295" s="153"/>
      <c r="BJ295" s="153"/>
      <c r="BK295" s="153"/>
      <c r="BL295" s="153"/>
      <c r="BM295" s="153"/>
      <c r="BN295" s="153"/>
      <c r="BO295" s="153"/>
      <c r="BP295" s="153"/>
      <c r="BQ295" s="153"/>
      <c r="BR295" s="153"/>
      <c r="BS295" s="153"/>
      <c r="BT295" s="153"/>
      <c r="BU295" s="153"/>
      <c r="BV295" s="153"/>
      <c r="BW295" s="153"/>
      <c r="BX295" s="153"/>
      <c r="BY295" s="153"/>
      <c r="BZ295" s="153"/>
      <c r="CA295" s="153"/>
      <c r="CB295" s="153"/>
      <c r="CC295" s="153"/>
      <c r="CD295" s="153"/>
      <c r="CE295" s="153"/>
      <c r="CF295" s="153"/>
      <c r="CG295" s="153"/>
      <c r="CH295" s="153"/>
      <c r="CI295" s="153"/>
      <c r="CJ295" s="153"/>
      <c r="CK295" s="153"/>
      <c r="CL295" s="153"/>
      <c r="CM295" s="153"/>
      <c r="CN295" s="153"/>
      <c r="CO295" s="153"/>
      <c r="CP295" s="153"/>
      <c r="CQ295" s="153"/>
      <c r="CR295" s="153"/>
      <c r="CS295" s="153"/>
      <c r="CT295" s="153"/>
      <c r="CU295" s="153"/>
      <c r="CV295" s="153"/>
      <c r="CW295" s="153"/>
      <c r="CX295" s="153"/>
      <c r="CY295" s="153"/>
      <c r="CZ295" s="153"/>
      <c r="DA295" s="153"/>
      <c r="DB295" s="153"/>
      <c r="DC295" s="153"/>
      <c r="DD295" s="153"/>
      <c r="DE295" s="153"/>
      <c r="DF295" s="153"/>
      <c r="DG295" s="153"/>
      <c r="DH295" s="153"/>
      <c r="DI295" s="153"/>
      <c r="DJ295" s="153"/>
      <c r="DK295" s="153"/>
      <c r="DL295" s="153"/>
      <c r="DM295" s="153"/>
      <c r="DN295" s="153"/>
      <c r="DO295" s="153"/>
      <c r="DP295" s="153"/>
      <c r="DQ295" s="153"/>
      <c r="DR295" s="153"/>
      <c r="DS295" s="153"/>
      <c r="DT295" s="153"/>
      <c r="DU295" s="153"/>
      <c r="DV295" s="153"/>
      <c r="DW295" s="153"/>
      <c r="DX295" s="153"/>
      <c r="DY295" s="153"/>
      <c r="DZ295" s="153"/>
      <c r="EA295" s="153"/>
      <c r="EB295" s="153"/>
      <c r="EC295" s="153"/>
      <c r="ED295" s="153"/>
      <c r="EE295" s="153"/>
      <c r="EF295" s="153"/>
      <c r="EG295" s="153"/>
      <c r="EH295" s="153"/>
      <c r="EI295" s="153"/>
      <c r="EJ295" s="153"/>
      <c r="EK295" s="153"/>
      <c r="EL295" s="153"/>
      <c r="EM295" s="153"/>
    </row>
    <row r="296" spans="1:143" s="107" customFormat="1" ht="10.5" hidden="1" customHeight="1" outlineLevel="2">
      <c r="A296" s="1548">
        <v>271</v>
      </c>
      <c r="B296" s="1560" t="str">
        <f t="shared" si="6"/>
        <v/>
      </c>
      <c r="C296" s="161" t="str">
        <f>GasTime(GasAnalyser,'Horiba Data'!F289,'Horiba Data'!G289,'Testo, JUM &amp; MRU Data'!A290,'Thermo Data'!B289,HourOffset)</f>
        <v/>
      </c>
      <c r="D296" s="981" t="str">
        <f>IF(D$17=FALSE,"",GasData(GasAnalyser,'Horiba Data'!S289,'Testo, JUM &amp; MRU Data'!D290,'Thermo Data'!E289,'Testo, JUM &amp; MRU Data'!U290,GDF))</f>
        <v/>
      </c>
      <c r="E296" s="981" t="str">
        <f>IF(D296="","",Conc2(D296,D$9,MolVol,D$21,D$20,E$21,E$20))</f>
        <v/>
      </c>
      <c r="F296" s="981" t="str">
        <f>IF(F$17=FALSE,"",GasData(GasAnalyser,'Horiba Data'!AQ289,'Testo, JUM &amp; MRU Data'!E290,'Thermo Data'!F289,'Testo, JUM &amp; MRU Data'!V290,GDF))</f>
        <v/>
      </c>
      <c r="G296" s="981" t="str">
        <f>IF(F296="","",Conc2(F296,F$9,MolVol,F$21,F$20,G$21,G$20))</f>
        <v/>
      </c>
      <c r="H296" s="981" t="str">
        <f>IF(D$17=FALSE,"",IF(F$17=FALSE,"",GasData(GasAnalyser,'Horiba Data'!W289,'Testo, JUM &amp; MRU Data'!F290,'Thermo Data'!G289,'Testo, JUM &amp; MRU Data'!Y290,GDF)))</f>
        <v/>
      </c>
      <c r="I296" s="981" t="str">
        <f>IF(H296="","",Conc2(H296,H$9,MolVol,H$21,H$20,I$21,I$20))</f>
        <v/>
      </c>
      <c r="J296" s="981" t="str">
        <f>IF(J$17=FALSE,"",GasData(GasAnalyser,'Horiba Data'!AM289,'Testo, JUM &amp; MRU Data'!G290,'Thermo Data'!H289,'Testo, JUM &amp; MRU Data'!W290,GDF))</f>
        <v/>
      </c>
      <c r="K296" s="981" t="str">
        <f>IF(J296="","",Conc2(J296,J$9,MolVol,J$21,J$20,K$21,K$20))</f>
        <v/>
      </c>
      <c r="L296" s="981" t="str">
        <f>IF(L$17=FALSE,"",GasData(GasAnalyser,'Horiba Data'!AA289,'Testo, JUM &amp; MRU Data'!H290,'Thermo Data'!I289,'Testo, JUM &amp; MRU Data'!T290,GDF))</f>
        <v/>
      </c>
      <c r="M296" s="981" t="str">
        <f>IF(L296="","",Conc2(L296,L$9,MolVol,L$21,L$20,M$21,M$20))</f>
        <v/>
      </c>
      <c r="N296" s="981" t="str">
        <f>IF(N$17=FALSE,"",GasData(GasAnalyser,'Horiba Data'!AE289,'Testo, JUM &amp; MRU Data'!I290,'Thermo Data'!J289,'Testo, JUM &amp; MRU Data'!S290,GDF))</f>
        <v/>
      </c>
      <c r="O296" s="981" t="str">
        <f>IF(N296="","",Conc2(N296,N$9,MolVol,N$21,N$20,O$21,O$20))</f>
        <v/>
      </c>
      <c r="P296" s="981" t="str">
        <f>IF(P$17=FALSE,"",GasData(GasAnalyser,'Horiba Data'!AI289,'Testo, JUM &amp; MRU Data'!J290,'Thermo Data'!K289,'Testo, JUM &amp; MRU Data'!R290,GDF))</f>
        <v/>
      </c>
      <c r="Q296" s="981" t="str">
        <f>IF(P296="","",Conc2(P296,P$9,MolVol,P$21,P$20,Q$21,Q$20))</f>
        <v/>
      </c>
      <c r="R296" s="981" t="str">
        <f>IF(R$17=FALSE,"",JUMData('Testo, JUM &amp; MRU Data'!M290,$R$7))</f>
        <v/>
      </c>
      <c r="S296" s="982" t="str">
        <f>IF(R296="","",Conc2(R296,R$9,MolVol,R$21,R$20,S$21,S$20)/(1-Bws))</f>
        <v/>
      </c>
      <c r="T296" s="740"/>
      <c r="AR296" s="334"/>
      <c r="AS296" s="334"/>
      <c r="AT296" s="48"/>
      <c r="AU296" s="48"/>
      <c r="AV296" s="153"/>
      <c r="AW296" s="153"/>
      <c r="AX296" s="153"/>
      <c r="AY296" s="153"/>
      <c r="AZ296" s="153"/>
      <c r="BA296" s="153"/>
      <c r="BB296" s="153"/>
      <c r="BC296" s="153"/>
      <c r="BD296" s="153"/>
      <c r="BE296" s="153"/>
      <c r="BF296" s="153"/>
      <c r="BG296" s="153"/>
      <c r="BH296" s="153"/>
      <c r="BI296" s="153"/>
      <c r="BJ296" s="153"/>
      <c r="BK296" s="153"/>
      <c r="BL296" s="153"/>
      <c r="BM296" s="153"/>
      <c r="BN296" s="153"/>
      <c r="BO296" s="153"/>
      <c r="BP296" s="153"/>
      <c r="BQ296" s="153"/>
      <c r="BR296" s="153"/>
      <c r="BS296" s="153"/>
      <c r="BT296" s="153"/>
      <c r="BU296" s="153"/>
      <c r="BV296" s="153"/>
      <c r="BW296" s="153"/>
      <c r="BX296" s="153"/>
      <c r="BY296" s="153"/>
      <c r="BZ296" s="153"/>
      <c r="CA296" s="153"/>
      <c r="CB296" s="153"/>
      <c r="CC296" s="153"/>
      <c r="CD296" s="153"/>
      <c r="CE296" s="153"/>
      <c r="CF296" s="153"/>
      <c r="CG296" s="153"/>
      <c r="CH296" s="153"/>
      <c r="CI296" s="153"/>
      <c r="CJ296" s="153"/>
      <c r="CK296" s="153"/>
      <c r="CL296" s="153"/>
      <c r="CM296" s="153"/>
      <c r="CN296" s="153"/>
      <c r="CO296" s="153"/>
      <c r="CP296" s="153"/>
      <c r="CQ296" s="153"/>
      <c r="CR296" s="153"/>
      <c r="CS296" s="153"/>
      <c r="CT296" s="153"/>
      <c r="CU296" s="153"/>
      <c r="CV296" s="153"/>
      <c r="CW296" s="153"/>
      <c r="CX296" s="153"/>
      <c r="CY296" s="153"/>
      <c r="CZ296" s="153"/>
      <c r="DA296" s="153"/>
      <c r="DB296" s="153"/>
      <c r="DC296" s="153"/>
      <c r="DD296" s="153"/>
      <c r="DE296" s="153"/>
      <c r="DF296" s="153"/>
      <c r="DG296" s="153"/>
      <c r="DH296" s="153"/>
      <c r="DI296" s="153"/>
      <c r="DJ296" s="153"/>
      <c r="DK296" s="153"/>
      <c r="DL296" s="153"/>
      <c r="DM296" s="153"/>
      <c r="DN296" s="153"/>
      <c r="DO296" s="153"/>
      <c r="DP296" s="153"/>
      <c r="DQ296" s="153"/>
      <c r="DR296" s="153"/>
      <c r="DS296" s="153"/>
      <c r="DT296" s="153"/>
      <c r="DU296" s="153"/>
      <c r="DV296" s="153"/>
      <c r="DW296" s="153"/>
      <c r="DX296" s="153"/>
      <c r="DY296" s="153"/>
      <c r="DZ296" s="153"/>
      <c r="EA296" s="153"/>
      <c r="EB296" s="153"/>
      <c r="EC296" s="153"/>
      <c r="ED296" s="153"/>
      <c r="EE296" s="153"/>
      <c r="EF296" s="153"/>
      <c r="EG296" s="153"/>
      <c r="EH296" s="153"/>
      <c r="EI296" s="153"/>
      <c r="EJ296" s="153"/>
      <c r="EK296" s="153"/>
      <c r="EL296" s="153"/>
      <c r="EM296" s="153"/>
    </row>
    <row r="297" spans="1:143" s="107" customFormat="1" ht="10.5" hidden="1" customHeight="1" outlineLevel="2">
      <c r="A297" s="1548">
        <v>272</v>
      </c>
      <c r="B297" s="1560" t="str">
        <f t="shared" si="6"/>
        <v/>
      </c>
      <c r="C297" s="161" t="str">
        <f>GasTime(GasAnalyser,'Horiba Data'!F290,'Horiba Data'!G290,'Testo, JUM &amp; MRU Data'!A291,'Thermo Data'!B290,HourOffset)</f>
        <v/>
      </c>
      <c r="D297" s="981" t="str">
        <f>IF(D$17=FALSE,"",GasData(GasAnalyser,'Horiba Data'!S290,'Testo, JUM &amp; MRU Data'!D291,'Thermo Data'!E290,'Testo, JUM &amp; MRU Data'!U291,GDF))</f>
        <v/>
      </c>
      <c r="E297" s="981" t="str">
        <f>IF(D297="","",Conc2(D297,D$9,MolVol,D$21,D$20,E$21,E$20))</f>
        <v/>
      </c>
      <c r="F297" s="981" t="str">
        <f>IF(F$17=FALSE,"",GasData(GasAnalyser,'Horiba Data'!AQ290,'Testo, JUM &amp; MRU Data'!E291,'Thermo Data'!F290,'Testo, JUM &amp; MRU Data'!V291,GDF))</f>
        <v/>
      </c>
      <c r="G297" s="981" t="str">
        <f>IF(F297="","",Conc2(F297,F$9,MolVol,F$21,F$20,G$21,G$20))</f>
        <v/>
      </c>
      <c r="H297" s="981" t="str">
        <f>IF(D$17=FALSE,"",IF(F$17=FALSE,"",GasData(GasAnalyser,'Horiba Data'!W290,'Testo, JUM &amp; MRU Data'!F291,'Thermo Data'!G290,'Testo, JUM &amp; MRU Data'!Y291,GDF)))</f>
        <v/>
      </c>
      <c r="I297" s="981" t="str">
        <f>IF(H297="","",Conc2(H297,H$9,MolVol,H$21,H$20,I$21,I$20))</f>
        <v/>
      </c>
      <c r="J297" s="981" t="str">
        <f>IF(J$17=FALSE,"",GasData(GasAnalyser,'Horiba Data'!AM290,'Testo, JUM &amp; MRU Data'!G291,'Thermo Data'!H290,'Testo, JUM &amp; MRU Data'!W291,GDF))</f>
        <v/>
      </c>
      <c r="K297" s="981" t="str">
        <f>IF(J297="","",Conc2(J297,J$9,MolVol,J$21,J$20,K$21,K$20))</f>
        <v/>
      </c>
      <c r="L297" s="981" t="str">
        <f>IF(L$17=FALSE,"",GasData(GasAnalyser,'Horiba Data'!AA290,'Testo, JUM &amp; MRU Data'!H291,'Thermo Data'!I290,'Testo, JUM &amp; MRU Data'!T291,GDF))</f>
        <v/>
      </c>
      <c r="M297" s="981" t="str">
        <f>IF(L297="","",Conc2(L297,L$9,MolVol,L$21,L$20,M$21,M$20))</f>
        <v/>
      </c>
      <c r="N297" s="981" t="str">
        <f>IF(N$17=FALSE,"",GasData(GasAnalyser,'Horiba Data'!AE290,'Testo, JUM &amp; MRU Data'!I291,'Thermo Data'!J290,'Testo, JUM &amp; MRU Data'!S291,GDF))</f>
        <v/>
      </c>
      <c r="O297" s="981" t="str">
        <f>IF(N297="","",Conc2(N297,N$9,MolVol,N$21,N$20,O$21,O$20))</f>
        <v/>
      </c>
      <c r="P297" s="981" t="str">
        <f>IF(P$17=FALSE,"",GasData(GasAnalyser,'Horiba Data'!AI290,'Testo, JUM &amp; MRU Data'!J291,'Thermo Data'!K290,'Testo, JUM &amp; MRU Data'!R291,GDF))</f>
        <v/>
      </c>
      <c r="Q297" s="981" t="str">
        <f>IF(P297="","",Conc2(P297,P$9,MolVol,P$21,P$20,Q$21,Q$20))</f>
        <v/>
      </c>
      <c r="R297" s="981" t="str">
        <f>IF(R$17=FALSE,"",JUMData('Testo, JUM &amp; MRU Data'!M291,$R$7))</f>
        <v/>
      </c>
      <c r="S297" s="982" t="str">
        <f>IF(R297="","",Conc2(R297,R$9,MolVol,R$21,R$20,S$21,S$20)/(1-Bws))</f>
        <v/>
      </c>
      <c r="T297" s="740"/>
      <c r="AR297" s="334"/>
      <c r="AS297" s="334"/>
      <c r="AT297" s="48"/>
      <c r="AU297" s="48"/>
      <c r="AV297" s="153"/>
      <c r="AW297" s="153"/>
      <c r="AX297" s="153"/>
      <c r="AY297" s="153"/>
      <c r="AZ297" s="153"/>
      <c r="BA297" s="153"/>
      <c r="BB297" s="153"/>
      <c r="BC297" s="153"/>
      <c r="BD297" s="153"/>
      <c r="BE297" s="153"/>
      <c r="BF297" s="153"/>
      <c r="BG297" s="153"/>
      <c r="BH297" s="153"/>
      <c r="BI297" s="153"/>
      <c r="BJ297" s="153"/>
      <c r="BK297" s="153"/>
      <c r="BL297" s="153"/>
      <c r="BM297" s="153"/>
      <c r="BN297" s="153"/>
      <c r="BO297" s="153"/>
      <c r="BP297" s="153"/>
      <c r="BQ297" s="153"/>
      <c r="BR297" s="153"/>
      <c r="BS297" s="153"/>
      <c r="BT297" s="153"/>
      <c r="BU297" s="153"/>
      <c r="BV297" s="153"/>
      <c r="BW297" s="153"/>
      <c r="BX297" s="153"/>
      <c r="BY297" s="153"/>
      <c r="BZ297" s="153"/>
      <c r="CA297" s="153"/>
      <c r="CB297" s="153"/>
      <c r="CC297" s="153"/>
      <c r="CD297" s="153"/>
      <c r="CE297" s="153"/>
      <c r="CF297" s="153"/>
      <c r="CG297" s="153"/>
      <c r="CH297" s="153"/>
      <c r="CI297" s="153"/>
      <c r="CJ297" s="153"/>
      <c r="CK297" s="153"/>
      <c r="CL297" s="153"/>
      <c r="CM297" s="153"/>
      <c r="CN297" s="153"/>
      <c r="CO297" s="153"/>
      <c r="CP297" s="153"/>
      <c r="CQ297" s="153"/>
      <c r="CR297" s="153"/>
      <c r="CS297" s="153"/>
      <c r="CT297" s="153"/>
      <c r="CU297" s="153"/>
      <c r="CV297" s="153"/>
      <c r="CW297" s="153"/>
      <c r="CX297" s="153"/>
      <c r="CY297" s="153"/>
      <c r="CZ297" s="153"/>
      <c r="DA297" s="153"/>
      <c r="DB297" s="153"/>
      <c r="DC297" s="153"/>
      <c r="DD297" s="153"/>
      <c r="DE297" s="153"/>
      <c r="DF297" s="153"/>
      <c r="DG297" s="153"/>
      <c r="DH297" s="153"/>
      <c r="DI297" s="153"/>
      <c r="DJ297" s="153"/>
      <c r="DK297" s="153"/>
      <c r="DL297" s="153"/>
      <c r="DM297" s="153"/>
      <c r="DN297" s="153"/>
      <c r="DO297" s="153"/>
      <c r="DP297" s="153"/>
      <c r="DQ297" s="153"/>
      <c r="DR297" s="153"/>
      <c r="DS297" s="153"/>
      <c r="DT297" s="153"/>
      <c r="DU297" s="153"/>
      <c r="DV297" s="153"/>
      <c r="DW297" s="153"/>
      <c r="DX297" s="153"/>
      <c r="DY297" s="153"/>
      <c r="DZ297" s="153"/>
      <c r="EA297" s="153"/>
      <c r="EB297" s="153"/>
      <c r="EC297" s="153"/>
      <c r="ED297" s="153"/>
      <c r="EE297" s="153"/>
      <c r="EF297" s="153"/>
      <c r="EG297" s="153"/>
      <c r="EH297" s="153"/>
      <c r="EI297" s="153"/>
      <c r="EJ297" s="153"/>
      <c r="EK297" s="153"/>
      <c r="EL297" s="153"/>
      <c r="EM297" s="153"/>
    </row>
    <row r="298" spans="1:143" s="107" customFormat="1" ht="10.5" hidden="1" customHeight="1" outlineLevel="2">
      <c r="A298" s="1548">
        <v>273</v>
      </c>
      <c r="B298" s="1560" t="str">
        <f t="shared" si="6"/>
        <v/>
      </c>
      <c r="C298" s="161" t="str">
        <f>GasTime(GasAnalyser,'Horiba Data'!F291,'Horiba Data'!G291,'Testo, JUM &amp; MRU Data'!A292,'Thermo Data'!B291,HourOffset)</f>
        <v/>
      </c>
      <c r="D298" s="981" t="str">
        <f>IF(D$17=FALSE,"",GasData(GasAnalyser,'Horiba Data'!S291,'Testo, JUM &amp; MRU Data'!D292,'Thermo Data'!E291,'Testo, JUM &amp; MRU Data'!U292,GDF))</f>
        <v/>
      </c>
      <c r="E298" s="981" t="str">
        <f>IF(D298="","",Conc2(D298,D$9,MolVol,D$21,D$20,E$21,E$20))</f>
        <v/>
      </c>
      <c r="F298" s="981" t="str">
        <f>IF(F$17=FALSE,"",GasData(GasAnalyser,'Horiba Data'!AQ291,'Testo, JUM &amp; MRU Data'!E292,'Thermo Data'!F291,'Testo, JUM &amp; MRU Data'!V292,GDF))</f>
        <v/>
      </c>
      <c r="G298" s="981" t="str">
        <f>IF(F298="","",Conc2(F298,F$9,MolVol,F$21,F$20,G$21,G$20))</f>
        <v/>
      </c>
      <c r="H298" s="981" t="str">
        <f>IF(D$17=FALSE,"",IF(F$17=FALSE,"",GasData(GasAnalyser,'Horiba Data'!W291,'Testo, JUM &amp; MRU Data'!F292,'Thermo Data'!G291,'Testo, JUM &amp; MRU Data'!Y292,GDF)))</f>
        <v/>
      </c>
      <c r="I298" s="981" t="str">
        <f>IF(H298="","",Conc2(H298,H$9,MolVol,H$21,H$20,I$21,I$20))</f>
        <v/>
      </c>
      <c r="J298" s="981" t="str">
        <f>IF(J$17=FALSE,"",GasData(GasAnalyser,'Horiba Data'!AM291,'Testo, JUM &amp; MRU Data'!G292,'Thermo Data'!H291,'Testo, JUM &amp; MRU Data'!W292,GDF))</f>
        <v/>
      </c>
      <c r="K298" s="981" t="str">
        <f>IF(J298="","",Conc2(J298,J$9,MolVol,J$21,J$20,K$21,K$20))</f>
        <v/>
      </c>
      <c r="L298" s="981" t="str">
        <f>IF(L$17=FALSE,"",GasData(GasAnalyser,'Horiba Data'!AA291,'Testo, JUM &amp; MRU Data'!H292,'Thermo Data'!I291,'Testo, JUM &amp; MRU Data'!T292,GDF))</f>
        <v/>
      </c>
      <c r="M298" s="981" t="str">
        <f>IF(L298="","",Conc2(L298,L$9,MolVol,L$21,L$20,M$21,M$20))</f>
        <v/>
      </c>
      <c r="N298" s="981" t="str">
        <f>IF(N$17=FALSE,"",GasData(GasAnalyser,'Horiba Data'!AE291,'Testo, JUM &amp; MRU Data'!I292,'Thermo Data'!J291,'Testo, JUM &amp; MRU Data'!S292,GDF))</f>
        <v/>
      </c>
      <c r="O298" s="981" t="str">
        <f>IF(N298="","",Conc2(N298,N$9,MolVol,N$21,N$20,O$21,O$20))</f>
        <v/>
      </c>
      <c r="P298" s="981" t="str">
        <f>IF(P$17=FALSE,"",GasData(GasAnalyser,'Horiba Data'!AI291,'Testo, JUM &amp; MRU Data'!J292,'Thermo Data'!K291,'Testo, JUM &amp; MRU Data'!R292,GDF))</f>
        <v/>
      </c>
      <c r="Q298" s="981" t="str">
        <f>IF(P298="","",Conc2(P298,P$9,MolVol,P$21,P$20,Q$21,Q$20))</f>
        <v/>
      </c>
      <c r="R298" s="981" t="str">
        <f>IF(R$17=FALSE,"",JUMData('Testo, JUM &amp; MRU Data'!M292,$R$7))</f>
        <v/>
      </c>
      <c r="S298" s="982" t="str">
        <f>IF(R298="","",Conc2(R298,R$9,MolVol,R$21,R$20,S$21,S$20)/(1-Bws))</f>
        <v/>
      </c>
      <c r="T298" s="740"/>
      <c r="AR298" s="334"/>
      <c r="AS298" s="334"/>
      <c r="AT298" s="48"/>
      <c r="AU298" s="48"/>
      <c r="AV298" s="153"/>
      <c r="AW298" s="153"/>
      <c r="AX298" s="153"/>
      <c r="AY298" s="153"/>
      <c r="AZ298" s="153"/>
      <c r="BA298" s="153"/>
      <c r="BB298" s="153"/>
      <c r="BC298" s="153"/>
      <c r="BD298" s="153"/>
      <c r="BE298" s="153"/>
      <c r="BF298" s="153"/>
      <c r="BG298" s="153"/>
      <c r="BH298" s="153"/>
      <c r="BI298" s="153"/>
      <c r="BJ298" s="153"/>
      <c r="BK298" s="153"/>
      <c r="BL298" s="153"/>
      <c r="BM298" s="153"/>
      <c r="BN298" s="153"/>
      <c r="BO298" s="153"/>
      <c r="BP298" s="153"/>
      <c r="BQ298" s="153"/>
      <c r="BR298" s="153"/>
      <c r="BS298" s="153"/>
      <c r="BT298" s="153"/>
      <c r="BU298" s="153"/>
      <c r="BV298" s="153"/>
      <c r="BW298" s="153"/>
      <c r="BX298" s="153"/>
      <c r="BY298" s="153"/>
      <c r="BZ298" s="153"/>
      <c r="CA298" s="153"/>
      <c r="CB298" s="153"/>
      <c r="CC298" s="153"/>
      <c r="CD298" s="153"/>
      <c r="CE298" s="153"/>
      <c r="CF298" s="153"/>
      <c r="CG298" s="153"/>
      <c r="CH298" s="153"/>
      <c r="CI298" s="153"/>
      <c r="CJ298" s="153"/>
      <c r="CK298" s="153"/>
      <c r="CL298" s="153"/>
      <c r="CM298" s="153"/>
      <c r="CN298" s="153"/>
      <c r="CO298" s="153"/>
      <c r="CP298" s="153"/>
      <c r="CQ298" s="153"/>
      <c r="CR298" s="153"/>
      <c r="CS298" s="153"/>
      <c r="CT298" s="153"/>
      <c r="CU298" s="153"/>
      <c r="CV298" s="153"/>
      <c r="CW298" s="153"/>
      <c r="CX298" s="153"/>
      <c r="CY298" s="153"/>
      <c r="CZ298" s="153"/>
      <c r="DA298" s="153"/>
      <c r="DB298" s="153"/>
      <c r="DC298" s="153"/>
      <c r="DD298" s="153"/>
      <c r="DE298" s="153"/>
      <c r="DF298" s="153"/>
      <c r="DG298" s="153"/>
      <c r="DH298" s="153"/>
      <c r="DI298" s="153"/>
      <c r="DJ298" s="153"/>
      <c r="DK298" s="153"/>
      <c r="DL298" s="153"/>
      <c r="DM298" s="153"/>
      <c r="DN298" s="153"/>
      <c r="DO298" s="153"/>
      <c r="DP298" s="153"/>
      <c r="DQ298" s="153"/>
      <c r="DR298" s="153"/>
      <c r="DS298" s="153"/>
      <c r="DT298" s="153"/>
      <c r="DU298" s="153"/>
      <c r="DV298" s="153"/>
      <c r="DW298" s="153"/>
      <c r="DX298" s="153"/>
      <c r="DY298" s="153"/>
      <c r="DZ298" s="153"/>
      <c r="EA298" s="153"/>
      <c r="EB298" s="153"/>
      <c r="EC298" s="153"/>
      <c r="ED298" s="153"/>
      <c r="EE298" s="153"/>
      <c r="EF298" s="153"/>
      <c r="EG298" s="153"/>
      <c r="EH298" s="153"/>
      <c r="EI298" s="153"/>
      <c r="EJ298" s="153"/>
      <c r="EK298" s="153"/>
      <c r="EL298" s="153"/>
      <c r="EM298" s="153"/>
    </row>
    <row r="299" spans="1:143" s="107" customFormat="1" ht="10.5" hidden="1" customHeight="1" outlineLevel="2">
      <c r="A299" s="1548">
        <v>274</v>
      </c>
      <c r="B299" s="1560" t="str">
        <f t="shared" si="6"/>
        <v/>
      </c>
      <c r="C299" s="161" t="str">
        <f>GasTime(GasAnalyser,'Horiba Data'!F292,'Horiba Data'!G292,'Testo, JUM &amp; MRU Data'!A293,'Thermo Data'!B292,HourOffset)</f>
        <v/>
      </c>
      <c r="D299" s="981" t="str">
        <f>IF(D$17=FALSE,"",GasData(GasAnalyser,'Horiba Data'!S292,'Testo, JUM &amp; MRU Data'!D293,'Thermo Data'!E292,'Testo, JUM &amp; MRU Data'!U293,GDF))</f>
        <v/>
      </c>
      <c r="E299" s="981" t="str">
        <f>IF(D299="","",Conc2(D299,D$9,MolVol,D$21,D$20,E$21,E$20))</f>
        <v/>
      </c>
      <c r="F299" s="981" t="str">
        <f>IF(F$17=FALSE,"",GasData(GasAnalyser,'Horiba Data'!AQ292,'Testo, JUM &amp; MRU Data'!E293,'Thermo Data'!F292,'Testo, JUM &amp; MRU Data'!V293,GDF))</f>
        <v/>
      </c>
      <c r="G299" s="981" t="str">
        <f>IF(F299="","",Conc2(F299,F$9,MolVol,F$21,F$20,G$21,G$20))</f>
        <v/>
      </c>
      <c r="H299" s="981" t="str">
        <f>IF(D$17=FALSE,"",IF(F$17=FALSE,"",GasData(GasAnalyser,'Horiba Data'!W292,'Testo, JUM &amp; MRU Data'!F293,'Thermo Data'!G292,'Testo, JUM &amp; MRU Data'!Y293,GDF)))</f>
        <v/>
      </c>
      <c r="I299" s="981" t="str">
        <f>IF(H299="","",Conc2(H299,H$9,MolVol,H$21,H$20,I$21,I$20))</f>
        <v/>
      </c>
      <c r="J299" s="981" t="str">
        <f>IF(J$17=FALSE,"",GasData(GasAnalyser,'Horiba Data'!AM292,'Testo, JUM &amp; MRU Data'!G293,'Thermo Data'!H292,'Testo, JUM &amp; MRU Data'!W293,GDF))</f>
        <v/>
      </c>
      <c r="K299" s="981" t="str">
        <f>IF(J299="","",Conc2(J299,J$9,MolVol,J$21,J$20,K$21,K$20))</f>
        <v/>
      </c>
      <c r="L299" s="981" t="str">
        <f>IF(L$17=FALSE,"",GasData(GasAnalyser,'Horiba Data'!AA292,'Testo, JUM &amp; MRU Data'!H293,'Thermo Data'!I292,'Testo, JUM &amp; MRU Data'!T293,GDF))</f>
        <v/>
      </c>
      <c r="M299" s="981" t="str">
        <f>IF(L299="","",Conc2(L299,L$9,MolVol,L$21,L$20,M$21,M$20))</f>
        <v/>
      </c>
      <c r="N299" s="981" t="str">
        <f>IF(N$17=FALSE,"",GasData(GasAnalyser,'Horiba Data'!AE292,'Testo, JUM &amp; MRU Data'!I293,'Thermo Data'!J292,'Testo, JUM &amp; MRU Data'!S293,GDF))</f>
        <v/>
      </c>
      <c r="O299" s="981" t="str">
        <f>IF(N299="","",Conc2(N299,N$9,MolVol,N$21,N$20,O$21,O$20))</f>
        <v/>
      </c>
      <c r="P299" s="981" t="str">
        <f>IF(P$17=FALSE,"",GasData(GasAnalyser,'Horiba Data'!AI292,'Testo, JUM &amp; MRU Data'!J293,'Thermo Data'!K292,'Testo, JUM &amp; MRU Data'!R293,GDF))</f>
        <v/>
      </c>
      <c r="Q299" s="981" t="str">
        <f>IF(P299="","",Conc2(P299,P$9,MolVol,P$21,P$20,Q$21,Q$20))</f>
        <v/>
      </c>
      <c r="R299" s="981" t="str">
        <f>IF(R$17=FALSE,"",JUMData('Testo, JUM &amp; MRU Data'!M293,$R$7))</f>
        <v/>
      </c>
      <c r="S299" s="982" t="str">
        <f>IF(R299="","",Conc2(R299,R$9,MolVol,R$21,R$20,S$21,S$20)/(1-Bws))</f>
        <v/>
      </c>
      <c r="T299" s="740"/>
      <c r="AR299" s="334"/>
      <c r="AS299" s="334"/>
      <c r="AT299" s="48"/>
      <c r="AU299" s="48"/>
      <c r="AV299" s="153"/>
      <c r="AW299" s="153"/>
      <c r="AX299" s="153"/>
      <c r="AY299" s="153"/>
      <c r="AZ299" s="153"/>
      <c r="BA299" s="153"/>
      <c r="BB299" s="153"/>
      <c r="BC299" s="153"/>
      <c r="BD299" s="153"/>
      <c r="BE299" s="153"/>
      <c r="BF299" s="153"/>
      <c r="BG299" s="153"/>
      <c r="BH299" s="153"/>
      <c r="BI299" s="153"/>
      <c r="BJ299" s="153"/>
      <c r="BK299" s="153"/>
      <c r="BL299" s="153"/>
      <c r="BM299" s="153"/>
      <c r="BN299" s="153"/>
      <c r="BO299" s="153"/>
      <c r="BP299" s="153"/>
      <c r="BQ299" s="153"/>
      <c r="BR299" s="153"/>
      <c r="BS299" s="153"/>
      <c r="BT299" s="153"/>
      <c r="BU299" s="153"/>
      <c r="BV299" s="153"/>
      <c r="BW299" s="153"/>
      <c r="BX299" s="153"/>
      <c r="BY299" s="153"/>
      <c r="BZ299" s="153"/>
      <c r="CA299" s="153"/>
      <c r="CB299" s="153"/>
      <c r="CC299" s="153"/>
      <c r="CD299" s="153"/>
      <c r="CE299" s="153"/>
      <c r="CF299" s="153"/>
      <c r="CG299" s="153"/>
      <c r="CH299" s="153"/>
      <c r="CI299" s="153"/>
      <c r="CJ299" s="153"/>
      <c r="CK299" s="153"/>
      <c r="CL299" s="153"/>
      <c r="CM299" s="153"/>
      <c r="CN299" s="153"/>
      <c r="CO299" s="153"/>
      <c r="CP299" s="153"/>
      <c r="CQ299" s="153"/>
      <c r="CR299" s="153"/>
      <c r="CS299" s="153"/>
      <c r="CT299" s="153"/>
      <c r="CU299" s="153"/>
      <c r="CV299" s="153"/>
      <c r="CW299" s="153"/>
      <c r="CX299" s="153"/>
      <c r="CY299" s="153"/>
      <c r="CZ299" s="153"/>
      <c r="DA299" s="153"/>
      <c r="DB299" s="153"/>
      <c r="DC299" s="153"/>
      <c r="DD299" s="153"/>
      <c r="DE299" s="153"/>
      <c r="DF299" s="153"/>
      <c r="DG299" s="153"/>
      <c r="DH299" s="153"/>
      <c r="DI299" s="153"/>
      <c r="DJ299" s="153"/>
      <c r="DK299" s="153"/>
      <c r="DL299" s="153"/>
      <c r="DM299" s="153"/>
      <c r="DN299" s="153"/>
      <c r="DO299" s="153"/>
      <c r="DP299" s="153"/>
      <c r="DQ299" s="153"/>
      <c r="DR299" s="153"/>
      <c r="DS299" s="153"/>
      <c r="DT299" s="153"/>
      <c r="DU299" s="153"/>
      <c r="DV299" s="153"/>
      <c r="DW299" s="153"/>
      <c r="DX299" s="153"/>
      <c r="DY299" s="153"/>
      <c r="DZ299" s="153"/>
      <c r="EA299" s="153"/>
      <c r="EB299" s="153"/>
      <c r="EC299" s="153"/>
      <c r="ED299" s="153"/>
      <c r="EE299" s="153"/>
      <c r="EF299" s="153"/>
      <c r="EG299" s="153"/>
      <c r="EH299" s="153"/>
      <c r="EI299" s="153"/>
      <c r="EJ299" s="153"/>
      <c r="EK299" s="153"/>
      <c r="EL299" s="153"/>
      <c r="EM299" s="153"/>
    </row>
    <row r="300" spans="1:143" s="107" customFormat="1" ht="10.5" hidden="1" customHeight="1" outlineLevel="2">
      <c r="A300" s="1548">
        <v>275</v>
      </c>
      <c r="B300" s="1560" t="str">
        <f t="shared" si="6"/>
        <v/>
      </c>
      <c r="C300" s="161" t="str">
        <f>GasTime(GasAnalyser,'Horiba Data'!F293,'Horiba Data'!G293,'Testo, JUM &amp; MRU Data'!A294,'Thermo Data'!B293,HourOffset)</f>
        <v/>
      </c>
      <c r="D300" s="981" t="str">
        <f>IF(D$17=FALSE,"",GasData(GasAnalyser,'Horiba Data'!S293,'Testo, JUM &amp; MRU Data'!D294,'Thermo Data'!E293,'Testo, JUM &amp; MRU Data'!U294,GDF))</f>
        <v/>
      </c>
      <c r="E300" s="981" t="str">
        <f>IF(D300="","",Conc2(D300,D$9,MolVol,D$21,D$20,E$21,E$20))</f>
        <v/>
      </c>
      <c r="F300" s="981" t="str">
        <f>IF(F$17=FALSE,"",GasData(GasAnalyser,'Horiba Data'!AQ293,'Testo, JUM &amp; MRU Data'!E294,'Thermo Data'!F293,'Testo, JUM &amp; MRU Data'!V294,GDF))</f>
        <v/>
      </c>
      <c r="G300" s="981" t="str">
        <f>IF(F300="","",Conc2(F300,F$9,MolVol,F$21,F$20,G$21,G$20))</f>
        <v/>
      </c>
      <c r="H300" s="981" t="str">
        <f>IF(D$17=FALSE,"",IF(F$17=FALSE,"",GasData(GasAnalyser,'Horiba Data'!W293,'Testo, JUM &amp; MRU Data'!F294,'Thermo Data'!G293,'Testo, JUM &amp; MRU Data'!Y294,GDF)))</f>
        <v/>
      </c>
      <c r="I300" s="981" t="str">
        <f>IF(H300="","",Conc2(H300,H$9,MolVol,H$21,H$20,I$21,I$20))</f>
        <v/>
      </c>
      <c r="J300" s="981" t="str">
        <f>IF(J$17=FALSE,"",GasData(GasAnalyser,'Horiba Data'!AM293,'Testo, JUM &amp; MRU Data'!G294,'Thermo Data'!H293,'Testo, JUM &amp; MRU Data'!W294,GDF))</f>
        <v/>
      </c>
      <c r="K300" s="981" t="str">
        <f>IF(J300="","",Conc2(J300,J$9,MolVol,J$21,J$20,K$21,K$20))</f>
        <v/>
      </c>
      <c r="L300" s="981" t="str">
        <f>IF(L$17=FALSE,"",GasData(GasAnalyser,'Horiba Data'!AA293,'Testo, JUM &amp; MRU Data'!H294,'Thermo Data'!I293,'Testo, JUM &amp; MRU Data'!T294,GDF))</f>
        <v/>
      </c>
      <c r="M300" s="981" t="str">
        <f>IF(L300="","",Conc2(L300,L$9,MolVol,L$21,L$20,M$21,M$20))</f>
        <v/>
      </c>
      <c r="N300" s="981" t="str">
        <f>IF(N$17=FALSE,"",GasData(GasAnalyser,'Horiba Data'!AE293,'Testo, JUM &amp; MRU Data'!I294,'Thermo Data'!J293,'Testo, JUM &amp; MRU Data'!S294,GDF))</f>
        <v/>
      </c>
      <c r="O300" s="981" t="str">
        <f>IF(N300="","",Conc2(N300,N$9,MolVol,N$21,N$20,O$21,O$20))</f>
        <v/>
      </c>
      <c r="P300" s="981" t="str">
        <f>IF(P$17=FALSE,"",GasData(GasAnalyser,'Horiba Data'!AI293,'Testo, JUM &amp; MRU Data'!J294,'Thermo Data'!K293,'Testo, JUM &amp; MRU Data'!R294,GDF))</f>
        <v/>
      </c>
      <c r="Q300" s="981" t="str">
        <f>IF(P300="","",Conc2(P300,P$9,MolVol,P$21,P$20,Q$21,Q$20))</f>
        <v/>
      </c>
      <c r="R300" s="981" t="str">
        <f>IF(R$17=FALSE,"",JUMData('Testo, JUM &amp; MRU Data'!M294,$R$7))</f>
        <v/>
      </c>
      <c r="S300" s="982" t="str">
        <f>IF(R300="","",Conc2(R300,R$9,MolVol,R$21,R$20,S$21,S$20)/(1-Bws))</f>
        <v/>
      </c>
      <c r="T300" s="740"/>
      <c r="AR300" s="334"/>
      <c r="AS300" s="334"/>
      <c r="AT300" s="48"/>
      <c r="AU300" s="48"/>
      <c r="AV300" s="153"/>
      <c r="AW300" s="153"/>
      <c r="AX300" s="153"/>
      <c r="AY300" s="153"/>
      <c r="AZ300" s="153"/>
      <c r="BA300" s="153"/>
      <c r="BB300" s="153"/>
      <c r="BC300" s="153"/>
      <c r="BD300" s="153"/>
      <c r="BE300" s="153"/>
      <c r="BF300" s="153"/>
      <c r="BG300" s="153"/>
      <c r="BH300" s="153"/>
      <c r="BI300" s="153"/>
      <c r="BJ300" s="153"/>
      <c r="BK300" s="153"/>
      <c r="BL300" s="153"/>
      <c r="BM300" s="153"/>
      <c r="BN300" s="153"/>
      <c r="BO300" s="153"/>
      <c r="BP300" s="153"/>
      <c r="BQ300" s="153"/>
      <c r="BR300" s="153"/>
      <c r="BS300" s="153"/>
      <c r="BT300" s="153"/>
      <c r="BU300" s="153"/>
      <c r="BV300" s="153"/>
      <c r="BW300" s="153"/>
      <c r="BX300" s="153"/>
      <c r="BY300" s="153"/>
      <c r="BZ300" s="153"/>
      <c r="CA300" s="153"/>
      <c r="CB300" s="153"/>
      <c r="CC300" s="153"/>
      <c r="CD300" s="153"/>
      <c r="CE300" s="153"/>
      <c r="CF300" s="153"/>
      <c r="CG300" s="153"/>
      <c r="CH300" s="153"/>
      <c r="CI300" s="153"/>
      <c r="CJ300" s="153"/>
      <c r="CK300" s="153"/>
      <c r="CL300" s="153"/>
      <c r="CM300" s="153"/>
      <c r="CN300" s="153"/>
      <c r="CO300" s="153"/>
      <c r="CP300" s="153"/>
      <c r="CQ300" s="153"/>
      <c r="CR300" s="153"/>
      <c r="CS300" s="153"/>
      <c r="CT300" s="153"/>
      <c r="CU300" s="153"/>
      <c r="CV300" s="153"/>
      <c r="CW300" s="153"/>
      <c r="CX300" s="153"/>
      <c r="CY300" s="153"/>
      <c r="CZ300" s="153"/>
      <c r="DA300" s="153"/>
      <c r="DB300" s="153"/>
      <c r="DC300" s="153"/>
      <c r="DD300" s="153"/>
      <c r="DE300" s="153"/>
      <c r="DF300" s="153"/>
      <c r="DG300" s="153"/>
      <c r="DH300" s="153"/>
      <c r="DI300" s="153"/>
      <c r="DJ300" s="153"/>
      <c r="DK300" s="153"/>
      <c r="DL300" s="153"/>
      <c r="DM300" s="153"/>
      <c r="DN300" s="153"/>
      <c r="DO300" s="153"/>
      <c r="DP300" s="153"/>
      <c r="DQ300" s="153"/>
      <c r="DR300" s="153"/>
      <c r="DS300" s="153"/>
      <c r="DT300" s="153"/>
      <c r="DU300" s="153"/>
      <c r="DV300" s="153"/>
      <c r="DW300" s="153"/>
      <c r="DX300" s="153"/>
      <c r="DY300" s="153"/>
      <c r="DZ300" s="153"/>
      <c r="EA300" s="153"/>
      <c r="EB300" s="153"/>
      <c r="EC300" s="153"/>
      <c r="ED300" s="153"/>
      <c r="EE300" s="153"/>
      <c r="EF300" s="153"/>
      <c r="EG300" s="153"/>
      <c r="EH300" s="153"/>
      <c r="EI300" s="153"/>
      <c r="EJ300" s="153"/>
      <c r="EK300" s="153"/>
      <c r="EL300" s="153"/>
      <c r="EM300" s="153"/>
    </row>
    <row r="301" spans="1:143" s="107" customFormat="1" ht="10.5" hidden="1" customHeight="1" outlineLevel="2">
      <c r="A301" s="1548">
        <v>276</v>
      </c>
      <c r="B301" s="1560" t="str">
        <f t="shared" si="6"/>
        <v/>
      </c>
      <c r="C301" s="161" t="str">
        <f>GasTime(GasAnalyser,'Horiba Data'!F294,'Horiba Data'!G294,'Testo, JUM &amp; MRU Data'!A295,'Thermo Data'!B294,HourOffset)</f>
        <v/>
      </c>
      <c r="D301" s="981" t="str">
        <f>IF(D$17=FALSE,"",GasData(GasAnalyser,'Horiba Data'!S294,'Testo, JUM &amp; MRU Data'!D295,'Thermo Data'!E294,'Testo, JUM &amp; MRU Data'!U295,GDF))</f>
        <v/>
      </c>
      <c r="E301" s="981" t="str">
        <f>IF(D301="","",Conc2(D301,D$9,MolVol,D$21,D$20,E$21,E$20))</f>
        <v/>
      </c>
      <c r="F301" s="981" t="str">
        <f>IF(F$17=FALSE,"",GasData(GasAnalyser,'Horiba Data'!AQ294,'Testo, JUM &amp; MRU Data'!E295,'Thermo Data'!F294,'Testo, JUM &amp; MRU Data'!V295,GDF))</f>
        <v/>
      </c>
      <c r="G301" s="981" t="str">
        <f>IF(F301="","",Conc2(F301,F$9,MolVol,F$21,F$20,G$21,G$20))</f>
        <v/>
      </c>
      <c r="H301" s="981" t="str">
        <f>IF(D$17=FALSE,"",IF(F$17=FALSE,"",GasData(GasAnalyser,'Horiba Data'!W294,'Testo, JUM &amp; MRU Data'!F295,'Thermo Data'!G294,'Testo, JUM &amp; MRU Data'!Y295,GDF)))</f>
        <v/>
      </c>
      <c r="I301" s="981" t="str">
        <f>IF(H301="","",Conc2(H301,H$9,MolVol,H$21,H$20,I$21,I$20))</f>
        <v/>
      </c>
      <c r="J301" s="981" t="str">
        <f>IF(J$17=FALSE,"",GasData(GasAnalyser,'Horiba Data'!AM294,'Testo, JUM &amp; MRU Data'!G295,'Thermo Data'!H294,'Testo, JUM &amp; MRU Data'!W295,GDF))</f>
        <v/>
      </c>
      <c r="K301" s="981" t="str">
        <f>IF(J301="","",Conc2(J301,J$9,MolVol,J$21,J$20,K$21,K$20))</f>
        <v/>
      </c>
      <c r="L301" s="981" t="str">
        <f>IF(L$17=FALSE,"",GasData(GasAnalyser,'Horiba Data'!AA294,'Testo, JUM &amp; MRU Data'!H295,'Thermo Data'!I294,'Testo, JUM &amp; MRU Data'!T295,GDF))</f>
        <v/>
      </c>
      <c r="M301" s="981" t="str">
        <f>IF(L301="","",Conc2(L301,L$9,MolVol,L$21,L$20,M$21,M$20))</f>
        <v/>
      </c>
      <c r="N301" s="981" t="str">
        <f>IF(N$17=FALSE,"",GasData(GasAnalyser,'Horiba Data'!AE294,'Testo, JUM &amp; MRU Data'!I295,'Thermo Data'!J294,'Testo, JUM &amp; MRU Data'!S295,GDF))</f>
        <v/>
      </c>
      <c r="O301" s="981" t="str">
        <f>IF(N301="","",Conc2(N301,N$9,MolVol,N$21,N$20,O$21,O$20))</f>
        <v/>
      </c>
      <c r="P301" s="981" t="str">
        <f>IF(P$17=FALSE,"",GasData(GasAnalyser,'Horiba Data'!AI294,'Testo, JUM &amp; MRU Data'!J295,'Thermo Data'!K294,'Testo, JUM &amp; MRU Data'!R295,GDF))</f>
        <v/>
      </c>
      <c r="Q301" s="981" t="str">
        <f>IF(P301="","",Conc2(P301,P$9,MolVol,P$21,P$20,Q$21,Q$20))</f>
        <v/>
      </c>
      <c r="R301" s="981" t="str">
        <f>IF(R$17=FALSE,"",JUMData('Testo, JUM &amp; MRU Data'!M295,$R$7))</f>
        <v/>
      </c>
      <c r="S301" s="982" t="str">
        <f>IF(R301="","",Conc2(R301,R$9,MolVol,R$21,R$20,S$21,S$20)/(1-Bws))</f>
        <v/>
      </c>
      <c r="T301" s="740"/>
      <c r="AR301" s="334"/>
      <c r="AS301" s="334"/>
      <c r="AT301" s="48"/>
      <c r="AU301" s="48"/>
      <c r="AV301" s="153"/>
      <c r="AW301" s="153"/>
      <c r="AX301" s="153"/>
      <c r="AY301" s="153"/>
      <c r="AZ301" s="153"/>
      <c r="BA301" s="153"/>
      <c r="BB301" s="153"/>
      <c r="BC301" s="153"/>
      <c r="BD301" s="153"/>
      <c r="BE301" s="153"/>
      <c r="BF301" s="153"/>
      <c r="BG301" s="153"/>
      <c r="BH301" s="153"/>
      <c r="BI301" s="153"/>
      <c r="BJ301" s="153"/>
      <c r="BK301" s="153"/>
      <c r="BL301" s="153"/>
      <c r="BM301" s="153"/>
      <c r="BN301" s="153"/>
      <c r="BO301" s="153"/>
      <c r="BP301" s="153"/>
      <c r="BQ301" s="153"/>
      <c r="BR301" s="153"/>
      <c r="BS301" s="153"/>
      <c r="BT301" s="153"/>
      <c r="BU301" s="153"/>
      <c r="BV301" s="153"/>
      <c r="BW301" s="153"/>
      <c r="BX301" s="153"/>
      <c r="BY301" s="153"/>
      <c r="BZ301" s="153"/>
      <c r="CA301" s="153"/>
      <c r="CB301" s="153"/>
      <c r="CC301" s="153"/>
      <c r="CD301" s="153"/>
      <c r="CE301" s="153"/>
      <c r="CF301" s="153"/>
      <c r="CG301" s="153"/>
      <c r="CH301" s="153"/>
      <c r="CI301" s="153"/>
      <c r="CJ301" s="153"/>
      <c r="CK301" s="153"/>
      <c r="CL301" s="153"/>
      <c r="CM301" s="153"/>
      <c r="CN301" s="153"/>
      <c r="CO301" s="153"/>
      <c r="CP301" s="153"/>
      <c r="CQ301" s="153"/>
      <c r="CR301" s="153"/>
      <c r="CS301" s="153"/>
      <c r="CT301" s="153"/>
      <c r="CU301" s="153"/>
      <c r="CV301" s="153"/>
      <c r="CW301" s="153"/>
      <c r="CX301" s="153"/>
      <c r="CY301" s="153"/>
      <c r="CZ301" s="153"/>
      <c r="DA301" s="153"/>
      <c r="DB301" s="153"/>
      <c r="DC301" s="153"/>
      <c r="DD301" s="153"/>
      <c r="DE301" s="153"/>
      <c r="DF301" s="153"/>
      <c r="DG301" s="153"/>
      <c r="DH301" s="153"/>
      <c r="DI301" s="153"/>
      <c r="DJ301" s="153"/>
      <c r="DK301" s="153"/>
      <c r="DL301" s="153"/>
      <c r="DM301" s="153"/>
      <c r="DN301" s="153"/>
      <c r="DO301" s="153"/>
      <c r="DP301" s="153"/>
      <c r="DQ301" s="153"/>
      <c r="DR301" s="153"/>
      <c r="DS301" s="153"/>
      <c r="DT301" s="153"/>
      <c r="DU301" s="153"/>
      <c r="DV301" s="153"/>
      <c r="DW301" s="153"/>
      <c r="DX301" s="153"/>
      <c r="DY301" s="153"/>
      <c r="DZ301" s="153"/>
      <c r="EA301" s="153"/>
      <c r="EB301" s="153"/>
      <c r="EC301" s="153"/>
      <c r="ED301" s="153"/>
      <c r="EE301" s="153"/>
      <c r="EF301" s="153"/>
      <c r="EG301" s="153"/>
      <c r="EH301" s="153"/>
      <c r="EI301" s="153"/>
      <c r="EJ301" s="153"/>
      <c r="EK301" s="153"/>
      <c r="EL301" s="153"/>
      <c r="EM301" s="153"/>
    </row>
    <row r="302" spans="1:143" s="107" customFormat="1" ht="10.5" hidden="1" customHeight="1" outlineLevel="2">
      <c r="A302" s="1548">
        <v>277</v>
      </c>
      <c r="B302" s="1560" t="str">
        <f t="shared" si="6"/>
        <v/>
      </c>
      <c r="C302" s="161" t="str">
        <f>GasTime(GasAnalyser,'Horiba Data'!F295,'Horiba Data'!G295,'Testo, JUM &amp; MRU Data'!A296,'Thermo Data'!B295,HourOffset)</f>
        <v/>
      </c>
      <c r="D302" s="981" t="str">
        <f>IF(D$17=FALSE,"",GasData(GasAnalyser,'Horiba Data'!S295,'Testo, JUM &amp; MRU Data'!D296,'Thermo Data'!E295,'Testo, JUM &amp; MRU Data'!U296,GDF))</f>
        <v/>
      </c>
      <c r="E302" s="981" t="str">
        <f>IF(D302="","",Conc2(D302,D$9,MolVol,D$21,D$20,E$21,E$20))</f>
        <v/>
      </c>
      <c r="F302" s="981" t="str">
        <f>IF(F$17=FALSE,"",GasData(GasAnalyser,'Horiba Data'!AQ295,'Testo, JUM &amp; MRU Data'!E296,'Thermo Data'!F295,'Testo, JUM &amp; MRU Data'!V296,GDF))</f>
        <v/>
      </c>
      <c r="G302" s="981" t="str">
        <f>IF(F302="","",Conc2(F302,F$9,MolVol,F$21,F$20,G$21,G$20))</f>
        <v/>
      </c>
      <c r="H302" s="981" t="str">
        <f>IF(D$17=FALSE,"",IF(F$17=FALSE,"",GasData(GasAnalyser,'Horiba Data'!W295,'Testo, JUM &amp; MRU Data'!F296,'Thermo Data'!G295,'Testo, JUM &amp; MRU Data'!Y296,GDF)))</f>
        <v/>
      </c>
      <c r="I302" s="981" t="str">
        <f>IF(H302="","",Conc2(H302,H$9,MolVol,H$21,H$20,I$21,I$20))</f>
        <v/>
      </c>
      <c r="J302" s="981" t="str">
        <f>IF(J$17=FALSE,"",GasData(GasAnalyser,'Horiba Data'!AM295,'Testo, JUM &amp; MRU Data'!G296,'Thermo Data'!H295,'Testo, JUM &amp; MRU Data'!W296,GDF))</f>
        <v/>
      </c>
      <c r="K302" s="981" t="str">
        <f>IF(J302="","",Conc2(J302,J$9,MolVol,J$21,J$20,K$21,K$20))</f>
        <v/>
      </c>
      <c r="L302" s="981" t="str">
        <f>IF(L$17=FALSE,"",GasData(GasAnalyser,'Horiba Data'!AA295,'Testo, JUM &amp; MRU Data'!H296,'Thermo Data'!I295,'Testo, JUM &amp; MRU Data'!T296,GDF))</f>
        <v/>
      </c>
      <c r="M302" s="981" t="str">
        <f>IF(L302="","",Conc2(L302,L$9,MolVol,L$21,L$20,M$21,M$20))</f>
        <v/>
      </c>
      <c r="N302" s="981" t="str">
        <f>IF(N$17=FALSE,"",GasData(GasAnalyser,'Horiba Data'!AE295,'Testo, JUM &amp; MRU Data'!I296,'Thermo Data'!J295,'Testo, JUM &amp; MRU Data'!S296,GDF))</f>
        <v/>
      </c>
      <c r="O302" s="981" t="str">
        <f>IF(N302="","",Conc2(N302,N$9,MolVol,N$21,N$20,O$21,O$20))</f>
        <v/>
      </c>
      <c r="P302" s="981" t="str">
        <f>IF(P$17=FALSE,"",GasData(GasAnalyser,'Horiba Data'!AI295,'Testo, JUM &amp; MRU Data'!J296,'Thermo Data'!K295,'Testo, JUM &amp; MRU Data'!R296,GDF))</f>
        <v/>
      </c>
      <c r="Q302" s="981" t="str">
        <f>IF(P302="","",Conc2(P302,P$9,MolVol,P$21,P$20,Q$21,Q$20))</f>
        <v/>
      </c>
      <c r="R302" s="981" t="str">
        <f>IF(R$17=FALSE,"",JUMData('Testo, JUM &amp; MRU Data'!M296,$R$7))</f>
        <v/>
      </c>
      <c r="S302" s="982" t="str">
        <f>IF(R302="","",Conc2(R302,R$9,MolVol,R$21,R$20,S$21,S$20)/(1-Bws))</f>
        <v/>
      </c>
      <c r="T302" s="740"/>
      <c r="AR302" s="334"/>
      <c r="AS302" s="334"/>
      <c r="AT302" s="48"/>
      <c r="AU302" s="48"/>
      <c r="AV302" s="153"/>
      <c r="AW302" s="153"/>
      <c r="AX302" s="153"/>
      <c r="AY302" s="153"/>
      <c r="AZ302" s="153"/>
      <c r="BA302" s="153"/>
      <c r="BB302" s="153"/>
      <c r="BC302" s="153"/>
      <c r="BD302" s="153"/>
      <c r="BE302" s="153"/>
      <c r="BF302" s="153"/>
      <c r="BG302" s="153"/>
      <c r="BH302" s="153"/>
      <c r="BI302" s="153"/>
      <c r="BJ302" s="153"/>
      <c r="BK302" s="153"/>
      <c r="BL302" s="153"/>
      <c r="BM302" s="153"/>
      <c r="BN302" s="153"/>
      <c r="BO302" s="153"/>
      <c r="BP302" s="153"/>
      <c r="BQ302" s="153"/>
      <c r="BR302" s="153"/>
      <c r="BS302" s="153"/>
      <c r="BT302" s="153"/>
      <c r="BU302" s="153"/>
      <c r="BV302" s="153"/>
      <c r="BW302" s="153"/>
      <c r="BX302" s="153"/>
      <c r="BY302" s="153"/>
      <c r="BZ302" s="153"/>
      <c r="CA302" s="153"/>
      <c r="CB302" s="153"/>
      <c r="CC302" s="153"/>
      <c r="CD302" s="153"/>
      <c r="CE302" s="153"/>
      <c r="CF302" s="153"/>
      <c r="CG302" s="153"/>
      <c r="CH302" s="153"/>
      <c r="CI302" s="153"/>
      <c r="CJ302" s="153"/>
      <c r="CK302" s="153"/>
      <c r="CL302" s="153"/>
      <c r="CM302" s="153"/>
      <c r="CN302" s="153"/>
      <c r="CO302" s="153"/>
      <c r="CP302" s="153"/>
      <c r="CQ302" s="153"/>
      <c r="CR302" s="153"/>
      <c r="CS302" s="153"/>
      <c r="CT302" s="153"/>
      <c r="CU302" s="153"/>
      <c r="CV302" s="153"/>
      <c r="CW302" s="153"/>
      <c r="CX302" s="153"/>
      <c r="CY302" s="153"/>
      <c r="CZ302" s="153"/>
      <c r="DA302" s="153"/>
      <c r="DB302" s="153"/>
      <c r="DC302" s="153"/>
      <c r="DD302" s="153"/>
      <c r="DE302" s="153"/>
      <c r="DF302" s="153"/>
      <c r="DG302" s="153"/>
      <c r="DH302" s="153"/>
      <c r="DI302" s="153"/>
      <c r="DJ302" s="153"/>
      <c r="DK302" s="153"/>
      <c r="DL302" s="153"/>
      <c r="DM302" s="153"/>
      <c r="DN302" s="153"/>
      <c r="DO302" s="153"/>
      <c r="DP302" s="153"/>
      <c r="DQ302" s="153"/>
      <c r="DR302" s="153"/>
      <c r="DS302" s="153"/>
      <c r="DT302" s="153"/>
      <c r="DU302" s="153"/>
      <c r="DV302" s="153"/>
      <c r="DW302" s="153"/>
      <c r="DX302" s="153"/>
      <c r="DY302" s="153"/>
      <c r="DZ302" s="153"/>
      <c r="EA302" s="153"/>
      <c r="EB302" s="153"/>
      <c r="EC302" s="153"/>
      <c r="ED302" s="153"/>
      <c r="EE302" s="153"/>
      <c r="EF302" s="153"/>
      <c r="EG302" s="153"/>
      <c r="EH302" s="153"/>
      <c r="EI302" s="153"/>
      <c r="EJ302" s="153"/>
      <c r="EK302" s="153"/>
      <c r="EL302" s="153"/>
      <c r="EM302" s="153"/>
    </row>
    <row r="303" spans="1:143" s="107" customFormat="1" ht="10.5" hidden="1" customHeight="1" outlineLevel="2">
      <c r="A303" s="1548">
        <v>278</v>
      </c>
      <c r="B303" s="1560" t="str">
        <f t="shared" si="6"/>
        <v/>
      </c>
      <c r="C303" s="161" t="str">
        <f>GasTime(GasAnalyser,'Horiba Data'!F296,'Horiba Data'!G296,'Testo, JUM &amp; MRU Data'!A297,'Thermo Data'!B296,HourOffset)</f>
        <v/>
      </c>
      <c r="D303" s="981" t="str">
        <f>IF(D$17=FALSE,"",GasData(GasAnalyser,'Horiba Data'!S296,'Testo, JUM &amp; MRU Data'!D297,'Thermo Data'!E296,'Testo, JUM &amp; MRU Data'!U297,GDF))</f>
        <v/>
      </c>
      <c r="E303" s="981" t="str">
        <f>IF(D303="","",Conc2(D303,D$9,MolVol,D$21,D$20,E$21,E$20))</f>
        <v/>
      </c>
      <c r="F303" s="981" t="str">
        <f>IF(F$17=FALSE,"",GasData(GasAnalyser,'Horiba Data'!AQ296,'Testo, JUM &amp; MRU Data'!E297,'Thermo Data'!F296,'Testo, JUM &amp; MRU Data'!V297,GDF))</f>
        <v/>
      </c>
      <c r="G303" s="981" t="str">
        <f>IF(F303="","",Conc2(F303,F$9,MolVol,F$21,F$20,G$21,G$20))</f>
        <v/>
      </c>
      <c r="H303" s="981" t="str">
        <f>IF(D$17=FALSE,"",IF(F$17=FALSE,"",GasData(GasAnalyser,'Horiba Data'!W296,'Testo, JUM &amp; MRU Data'!F297,'Thermo Data'!G296,'Testo, JUM &amp; MRU Data'!Y297,GDF)))</f>
        <v/>
      </c>
      <c r="I303" s="981" t="str">
        <f>IF(H303="","",Conc2(H303,H$9,MolVol,H$21,H$20,I$21,I$20))</f>
        <v/>
      </c>
      <c r="J303" s="981" t="str">
        <f>IF(J$17=FALSE,"",GasData(GasAnalyser,'Horiba Data'!AM296,'Testo, JUM &amp; MRU Data'!G297,'Thermo Data'!H296,'Testo, JUM &amp; MRU Data'!W297,GDF))</f>
        <v/>
      </c>
      <c r="K303" s="981" t="str">
        <f>IF(J303="","",Conc2(J303,J$9,MolVol,J$21,J$20,K$21,K$20))</f>
        <v/>
      </c>
      <c r="L303" s="981" t="str">
        <f>IF(L$17=FALSE,"",GasData(GasAnalyser,'Horiba Data'!AA296,'Testo, JUM &amp; MRU Data'!H297,'Thermo Data'!I296,'Testo, JUM &amp; MRU Data'!T297,GDF))</f>
        <v/>
      </c>
      <c r="M303" s="981" t="str">
        <f>IF(L303="","",Conc2(L303,L$9,MolVol,L$21,L$20,M$21,M$20))</f>
        <v/>
      </c>
      <c r="N303" s="981" t="str">
        <f>IF(N$17=FALSE,"",GasData(GasAnalyser,'Horiba Data'!AE296,'Testo, JUM &amp; MRU Data'!I297,'Thermo Data'!J296,'Testo, JUM &amp; MRU Data'!S297,GDF))</f>
        <v/>
      </c>
      <c r="O303" s="981" t="str">
        <f>IF(N303="","",Conc2(N303,N$9,MolVol,N$21,N$20,O$21,O$20))</f>
        <v/>
      </c>
      <c r="P303" s="981" t="str">
        <f>IF(P$17=FALSE,"",GasData(GasAnalyser,'Horiba Data'!AI296,'Testo, JUM &amp; MRU Data'!J297,'Thermo Data'!K296,'Testo, JUM &amp; MRU Data'!R297,GDF))</f>
        <v/>
      </c>
      <c r="Q303" s="981" t="str">
        <f>IF(P303="","",Conc2(P303,P$9,MolVol,P$21,P$20,Q$21,Q$20))</f>
        <v/>
      </c>
      <c r="R303" s="981" t="str">
        <f>IF(R$17=FALSE,"",JUMData('Testo, JUM &amp; MRU Data'!M297,$R$7))</f>
        <v/>
      </c>
      <c r="S303" s="982" t="str">
        <f>IF(R303="","",Conc2(R303,R$9,MolVol,R$21,R$20,S$21,S$20)/(1-Bws))</f>
        <v/>
      </c>
      <c r="T303" s="740"/>
      <c r="AR303" s="334"/>
      <c r="AS303" s="334"/>
      <c r="AT303" s="48"/>
      <c r="AU303" s="48"/>
      <c r="AV303" s="153"/>
      <c r="AW303" s="153"/>
      <c r="AX303" s="153"/>
      <c r="AY303" s="153"/>
      <c r="AZ303" s="153"/>
      <c r="BA303" s="153"/>
      <c r="BB303" s="153"/>
      <c r="BC303" s="153"/>
      <c r="BD303" s="153"/>
      <c r="BE303" s="153"/>
      <c r="BF303" s="153"/>
      <c r="BG303" s="153"/>
      <c r="BH303" s="153"/>
      <c r="BI303" s="153"/>
      <c r="BJ303" s="153"/>
      <c r="BK303" s="153"/>
      <c r="BL303" s="153"/>
      <c r="BM303" s="153"/>
      <c r="BN303" s="153"/>
      <c r="BO303" s="153"/>
      <c r="BP303" s="153"/>
      <c r="BQ303" s="153"/>
      <c r="BR303" s="153"/>
      <c r="BS303" s="153"/>
      <c r="BT303" s="153"/>
      <c r="BU303" s="153"/>
      <c r="BV303" s="153"/>
      <c r="BW303" s="153"/>
      <c r="BX303" s="153"/>
      <c r="BY303" s="153"/>
      <c r="BZ303" s="153"/>
      <c r="CA303" s="153"/>
      <c r="CB303" s="153"/>
      <c r="CC303" s="153"/>
      <c r="CD303" s="153"/>
      <c r="CE303" s="153"/>
      <c r="CF303" s="153"/>
      <c r="CG303" s="153"/>
      <c r="CH303" s="153"/>
      <c r="CI303" s="153"/>
      <c r="CJ303" s="153"/>
      <c r="CK303" s="153"/>
      <c r="CL303" s="153"/>
      <c r="CM303" s="153"/>
      <c r="CN303" s="153"/>
      <c r="CO303" s="153"/>
      <c r="CP303" s="153"/>
      <c r="CQ303" s="153"/>
      <c r="CR303" s="153"/>
      <c r="CS303" s="153"/>
      <c r="CT303" s="153"/>
      <c r="CU303" s="153"/>
      <c r="CV303" s="153"/>
      <c r="CW303" s="153"/>
      <c r="CX303" s="153"/>
      <c r="CY303" s="153"/>
      <c r="CZ303" s="153"/>
      <c r="DA303" s="153"/>
      <c r="DB303" s="153"/>
      <c r="DC303" s="153"/>
      <c r="DD303" s="153"/>
      <c r="DE303" s="153"/>
      <c r="DF303" s="153"/>
      <c r="DG303" s="153"/>
      <c r="DH303" s="153"/>
      <c r="DI303" s="153"/>
      <c r="DJ303" s="153"/>
      <c r="DK303" s="153"/>
      <c r="DL303" s="153"/>
      <c r="DM303" s="153"/>
      <c r="DN303" s="153"/>
      <c r="DO303" s="153"/>
      <c r="DP303" s="153"/>
      <c r="DQ303" s="153"/>
      <c r="DR303" s="153"/>
      <c r="DS303" s="153"/>
      <c r="DT303" s="153"/>
      <c r="DU303" s="153"/>
      <c r="DV303" s="153"/>
      <c r="DW303" s="153"/>
      <c r="DX303" s="153"/>
      <c r="DY303" s="153"/>
      <c r="DZ303" s="153"/>
      <c r="EA303" s="153"/>
      <c r="EB303" s="153"/>
      <c r="EC303" s="153"/>
      <c r="ED303" s="153"/>
      <c r="EE303" s="153"/>
      <c r="EF303" s="153"/>
      <c r="EG303" s="153"/>
      <c r="EH303" s="153"/>
      <c r="EI303" s="153"/>
      <c r="EJ303" s="153"/>
      <c r="EK303" s="153"/>
      <c r="EL303" s="153"/>
      <c r="EM303" s="153"/>
    </row>
    <row r="304" spans="1:143" s="107" customFormat="1" ht="10.5" hidden="1" customHeight="1" outlineLevel="2">
      <c r="A304" s="1548">
        <v>279</v>
      </c>
      <c r="B304" s="1560" t="str">
        <f t="shared" si="6"/>
        <v/>
      </c>
      <c r="C304" s="161" t="str">
        <f>GasTime(GasAnalyser,'Horiba Data'!F297,'Horiba Data'!G297,'Testo, JUM &amp; MRU Data'!A298,'Thermo Data'!B297,HourOffset)</f>
        <v/>
      </c>
      <c r="D304" s="981" t="str">
        <f>IF(D$17=FALSE,"",GasData(GasAnalyser,'Horiba Data'!S297,'Testo, JUM &amp; MRU Data'!D298,'Thermo Data'!E297,'Testo, JUM &amp; MRU Data'!U298,GDF))</f>
        <v/>
      </c>
      <c r="E304" s="981" t="str">
        <f>IF(D304="","",Conc2(D304,D$9,MolVol,D$21,D$20,E$21,E$20))</f>
        <v/>
      </c>
      <c r="F304" s="981" t="str">
        <f>IF(F$17=FALSE,"",GasData(GasAnalyser,'Horiba Data'!AQ297,'Testo, JUM &amp; MRU Data'!E298,'Thermo Data'!F297,'Testo, JUM &amp; MRU Data'!V298,GDF))</f>
        <v/>
      </c>
      <c r="G304" s="981" t="str">
        <f>IF(F304="","",Conc2(F304,F$9,MolVol,F$21,F$20,G$21,G$20))</f>
        <v/>
      </c>
      <c r="H304" s="981" t="str">
        <f>IF(D$17=FALSE,"",IF(F$17=FALSE,"",GasData(GasAnalyser,'Horiba Data'!W297,'Testo, JUM &amp; MRU Data'!F298,'Thermo Data'!G297,'Testo, JUM &amp; MRU Data'!Y298,GDF)))</f>
        <v/>
      </c>
      <c r="I304" s="981" t="str">
        <f>IF(H304="","",Conc2(H304,H$9,MolVol,H$21,H$20,I$21,I$20))</f>
        <v/>
      </c>
      <c r="J304" s="981" t="str">
        <f>IF(J$17=FALSE,"",GasData(GasAnalyser,'Horiba Data'!AM297,'Testo, JUM &amp; MRU Data'!G298,'Thermo Data'!H297,'Testo, JUM &amp; MRU Data'!W298,GDF))</f>
        <v/>
      </c>
      <c r="K304" s="981" t="str">
        <f>IF(J304="","",Conc2(J304,J$9,MolVol,J$21,J$20,K$21,K$20))</f>
        <v/>
      </c>
      <c r="L304" s="981" t="str">
        <f>IF(L$17=FALSE,"",GasData(GasAnalyser,'Horiba Data'!AA297,'Testo, JUM &amp; MRU Data'!H298,'Thermo Data'!I297,'Testo, JUM &amp; MRU Data'!T298,GDF))</f>
        <v/>
      </c>
      <c r="M304" s="981" t="str">
        <f>IF(L304="","",Conc2(L304,L$9,MolVol,L$21,L$20,M$21,M$20))</f>
        <v/>
      </c>
      <c r="N304" s="981" t="str">
        <f>IF(N$17=FALSE,"",GasData(GasAnalyser,'Horiba Data'!AE297,'Testo, JUM &amp; MRU Data'!I298,'Thermo Data'!J297,'Testo, JUM &amp; MRU Data'!S298,GDF))</f>
        <v/>
      </c>
      <c r="O304" s="981" t="str">
        <f>IF(N304="","",Conc2(N304,N$9,MolVol,N$21,N$20,O$21,O$20))</f>
        <v/>
      </c>
      <c r="P304" s="981" t="str">
        <f>IF(P$17=FALSE,"",GasData(GasAnalyser,'Horiba Data'!AI297,'Testo, JUM &amp; MRU Data'!J298,'Thermo Data'!K297,'Testo, JUM &amp; MRU Data'!R298,GDF))</f>
        <v/>
      </c>
      <c r="Q304" s="981" t="str">
        <f>IF(P304="","",Conc2(P304,P$9,MolVol,P$21,P$20,Q$21,Q$20))</f>
        <v/>
      </c>
      <c r="R304" s="981" t="str">
        <f>IF(R$17=FALSE,"",JUMData('Testo, JUM &amp; MRU Data'!M298,$R$7))</f>
        <v/>
      </c>
      <c r="S304" s="982" t="str">
        <f>IF(R304="","",Conc2(R304,R$9,MolVol,R$21,R$20,S$21,S$20)/(1-Bws))</f>
        <v/>
      </c>
      <c r="T304" s="740"/>
      <c r="AR304" s="334"/>
      <c r="AS304" s="334"/>
      <c r="AT304" s="48"/>
      <c r="AU304" s="48"/>
      <c r="AV304" s="153"/>
      <c r="AW304" s="153"/>
      <c r="AX304" s="153"/>
      <c r="AY304" s="153"/>
      <c r="AZ304" s="153"/>
      <c r="BA304" s="153"/>
      <c r="BB304" s="153"/>
      <c r="BC304" s="153"/>
      <c r="BD304" s="153"/>
      <c r="BE304" s="153"/>
      <c r="BF304" s="153"/>
      <c r="BG304" s="153"/>
      <c r="BH304" s="153"/>
      <c r="BI304" s="153"/>
      <c r="BJ304" s="153"/>
      <c r="BK304" s="153"/>
      <c r="BL304" s="153"/>
      <c r="BM304" s="153"/>
      <c r="BN304" s="153"/>
      <c r="BO304" s="153"/>
      <c r="BP304" s="153"/>
      <c r="BQ304" s="153"/>
      <c r="BR304" s="153"/>
      <c r="BS304" s="153"/>
      <c r="BT304" s="153"/>
      <c r="BU304" s="153"/>
      <c r="BV304" s="153"/>
      <c r="BW304" s="153"/>
      <c r="BX304" s="153"/>
      <c r="BY304" s="153"/>
      <c r="BZ304" s="153"/>
      <c r="CA304" s="153"/>
      <c r="CB304" s="153"/>
      <c r="CC304" s="153"/>
      <c r="CD304" s="153"/>
      <c r="CE304" s="153"/>
      <c r="CF304" s="153"/>
      <c r="CG304" s="153"/>
      <c r="CH304" s="153"/>
      <c r="CI304" s="153"/>
      <c r="CJ304" s="153"/>
      <c r="CK304" s="153"/>
      <c r="CL304" s="153"/>
      <c r="CM304" s="153"/>
      <c r="CN304" s="153"/>
      <c r="CO304" s="153"/>
      <c r="CP304" s="153"/>
      <c r="CQ304" s="153"/>
      <c r="CR304" s="153"/>
      <c r="CS304" s="153"/>
      <c r="CT304" s="153"/>
      <c r="CU304" s="153"/>
      <c r="CV304" s="153"/>
      <c r="CW304" s="153"/>
      <c r="CX304" s="153"/>
      <c r="CY304" s="153"/>
      <c r="CZ304" s="153"/>
      <c r="DA304" s="153"/>
      <c r="DB304" s="153"/>
      <c r="DC304" s="153"/>
      <c r="DD304" s="153"/>
      <c r="DE304" s="153"/>
      <c r="DF304" s="153"/>
      <c r="DG304" s="153"/>
      <c r="DH304" s="153"/>
      <c r="DI304" s="153"/>
      <c r="DJ304" s="153"/>
      <c r="DK304" s="153"/>
      <c r="DL304" s="153"/>
      <c r="DM304" s="153"/>
      <c r="DN304" s="153"/>
      <c r="DO304" s="153"/>
      <c r="DP304" s="153"/>
      <c r="DQ304" s="153"/>
      <c r="DR304" s="153"/>
      <c r="DS304" s="153"/>
      <c r="DT304" s="153"/>
      <c r="DU304" s="153"/>
      <c r="DV304" s="153"/>
      <c r="DW304" s="153"/>
      <c r="DX304" s="153"/>
      <c r="DY304" s="153"/>
      <c r="DZ304" s="153"/>
      <c r="EA304" s="153"/>
      <c r="EB304" s="153"/>
      <c r="EC304" s="153"/>
      <c r="ED304" s="153"/>
      <c r="EE304" s="153"/>
      <c r="EF304" s="153"/>
      <c r="EG304" s="153"/>
      <c r="EH304" s="153"/>
      <c r="EI304" s="153"/>
      <c r="EJ304" s="153"/>
      <c r="EK304" s="153"/>
      <c r="EL304" s="153"/>
      <c r="EM304" s="153"/>
    </row>
    <row r="305" spans="1:143" s="107" customFormat="1" ht="10.5" hidden="1" customHeight="1" outlineLevel="2">
      <c r="A305" s="1548">
        <v>280</v>
      </c>
      <c r="B305" s="1560" t="str">
        <f t="shared" si="6"/>
        <v/>
      </c>
      <c r="C305" s="161" t="str">
        <f>GasTime(GasAnalyser,'Horiba Data'!F298,'Horiba Data'!G298,'Testo, JUM &amp; MRU Data'!A299,'Thermo Data'!B298,HourOffset)</f>
        <v/>
      </c>
      <c r="D305" s="981" t="str">
        <f>IF(D$17=FALSE,"",GasData(GasAnalyser,'Horiba Data'!S298,'Testo, JUM &amp; MRU Data'!D299,'Thermo Data'!E298,'Testo, JUM &amp; MRU Data'!U299,GDF))</f>
        <v/>
      </c>
      <c r="E305" s="981" t="str">
        <f>IF(D305="","",Conc2(D305,D$9,MolVol,D$21,D$20,E$21,E$20))</f>
        <v/>
      </c>
      <c r="F305" s="981" t="str">
        <f>IF(F$17=FALSE,"",GasData(GasAnalyser,'Horiba Data'!AQ298,'Testo, JUM &amp; MRU Data'!E299,'Thermo Data'!F298,'Testo, JUM &amp; MRU Data'!V299,GDF))</f>
        <v/>
      </c>
      <c r="G305" s="981" t="str">
        <f>IF(F305="","",Conc2(F305,F$9,MolVol,F$21,F$20,G$21,G$20))</f>
        <v/>
      </c>
      <c r="H305" s="981" t="str">
        <f>IF(D$17=FALSE,"",IF(F$17=FALSE,"",GasData(GasAnalyser,'Horiba Data'!W298,'Testo, JUM &amp; MRU Data'!F299,'Thermo Data'!G298,'Testo, JUM &amp; MRU Data'!Y299,GDF)))</f>
        <v/>
      </c>
      <c r="I305" s="981" t="str">
        <f>IF(H305="","",Conc2(H305,H$9,MolVol,H$21,H$20,I$21,I$20))</f>
        <v/>
      </c>
      <c r="J305" s="981" t="str">
        <f>IF(J$17=FALSE,"",GasData(GasAnalyser,'Horiba Data'!AM298,'Testo, JUM &amp; MRU Data'!G299,'Thermo Data'!H298,'Testo, JUM &amp; MRU Data'!W299,GDF))</f>
        <v/>
      </c>
      <c r="K305" s="981" t="str">
        <f>IF(J305="","",Conc2(J305,J$9,MolVol,J$21,J$20,K$21,K$20))</f>
        <v/>
      </c>
      <c r="L305" s="981" t="str">
        <f>IF(L$17=FALSE,"",GasData(GasAnalyser,'Horiba Data'!AA298,'Testo, JUM &amp; MRU Data'!H299,'Thermo Data'!I298,'Testo, JUM &amp; MRU Data'!T299,GDF))</f>
        <v/>
      </c>
      <c r="M305" s="981" t="str">
        <f>IF(L305="","",Conc2(L305,L$9,MolVol,L$21,L$20,M$21,M$20))</f>
        <v/>
      </c>
      <c r="N305" s="981" t="str">
        <f>IF(N$17=FALSE,"",GasData(GasAnalyser,'Horiba Data'!AE298,'Testo, JUM &amp; MRU Data'!I299,'Thermo Data'!J298,'Testo, JUM &amp; MRU Data'!S299,GDF))</f>
        <v/>
      </c>
      <c r="O305" s="981" t="str">
        <f>IF(N305="","",Conc2(N305,N$9,MolVol,N$21,N$20,O$21,O$20))</f>
        <v/>
      </c>
      <c r="P305" s="981" t="str">
        <f>IF(P$17=FALSE,"",GasData(GasAnalyser,'Horiba Data'!AI298,'Testo, JUM &amp; MRU Data'!J299,'Thermo Data'!K298,'Testo, JUM &amp; MRU Data'!R299,GDF))</f>
        <v/>
      </c>
      <c r="Q305" s="981" t="str">
        <f>IF(P305="","",Conc2(P305,P$9,MolVol,P$21,P$20,Q$21,Q$20))</f>
        <v/>
      </c>
      <c r="R305" s="981" t="str">
        <f>IF(R$17=FALSE,"",JUMData('Testo, JUM &amp; MRU Data'!M299,$R$7))</f>
        <v/>
      </c>
      <c r="S305" s="982" t="str">
        <f>IF(R305="","",Conc2(R305,R$9,MolVol,R$21,R$20,S$21,S$20)/(1-Bws))</f>
        <v/>
      </c>
      <c r="T305" s="740"/>
      <c r="AR305" s="334"/>
      <c r="AS305" s="334"/>
      <c r="AT305" s="48"/>
      <c r="AU305" s="48"/>
      <c r="AV305" s="153"/>
      <c r="AW305" s="153"/>
      <c r="AX305" s="153"/>
      <c r="AY305" s="153"/>
      <c r="AZ305" s="153"/>
      <c r="BA305" s="153"/>
      <c r="BB305" s="153"/>
      <c r="BC305" s="153"/>
      <c r="BD305" s="153"/>
      <c r="BE305" s="153"/>
      <c r="BF305" s="153"/>
      <c r="BG305" s="153"/>
      <c r="BH305" s="153"/>
      <c r="BI305" s="153"/>
      <c r="BJ305" s="153"/>
      <c r="BK305" s="153"/>
      <c r="BL305" s="153"/>
      <c r="BM305" s="153"/>
      <c r="BN305" s="153"/>
      <c r="BO305" s="153"/>
      <c r="BP305" s="153"/>
      <c r="BQ305" s="153"/>
      <c r="BR305" s="153"/>
      <c r="BS305" s="153"/>
      <c r="BT305" s="153"/>
      <c r="BU305" s="153"/>
      <c r="BV305" s="153"/>
      <c r="BW305" s="153"/>
      <c r="BX305" s="153"/>
      <c r="BY305" s="153"/>
      <c r="BZ305" s="153"/>
      <c r="CA305" s="153"/>
      <c r="CB305" s="153"/>
      <c r="CC305" s="153"/>
      <c r="CD305" s="153"/>
      <c r="CE305" s="153"/>
      <c r="CF305" s="153"/>
      <c r="CG305" s="153"/>
      <c r="CH305" s="153"/>
      <c r="CI305" s="153"/>
      <c r="CJ305" s="153"/>
      <c r="CK305" s="153"/>
      <c r="CL305" s="153"/>
      <c r="CM305" s="153"/>
      <c r="CN305" s="153"/>
      <c r="CO305" s="153"/>
      <c r="CP305" s="153"/>
      <c r="CQ305" s="153"/>
      <c r="CR305" s="153"/>
      <c r="CS305" s="153"/>
      <c r="CT305" s="153"/>
      <c r="CU305" s="153"/>
      <c r="CV305" s="153"/>
      <c r="CW305" s="153"/>
      <c r="CX305" s="153"/>
      <c r="CY305" s="153"/>
      <c r="CZ305" s="153"/>
      <c r="DA305" s="153"/>
      <c r="DB305" s="153"/>
      <c r="DC305" s="153"/>
      <c r="DD305" s="153"/>
      <c r="DE305" s="153"/>
      <c r="DF305" s="153"/>
      <c r="DG305" s="153"/>
      <c r="DH305" s="153"/>
      <c r="DI305" s="153"/>
      <c r="DJ305" s="153"/>
      <c r="DK305" s="153"/>
      <c r="DL305" s="153"/>
      <c r="DM305" s="153"/>
      <c r="DN305" s="153"/>
      <c r="DO305" s="153"/>
      <c r="DP305" s="153"/>
      <c r="DQ305" s="153"/>
      <c r="DR305" s="153"/>
      <c r="DS305" s="153"/>
      <c r="DT305" s="153"/>
      <c r="DU305" s="153"/>
      <c r="DV305" s="153"/>
      <c r="DW305" s="153"/>
      <c r="DX305" s="153"/>
      <c r="DY305" s="153"/>
      <c r="DZ305" s="153"/>
      <c r="EA305" s="153"/>
      <c r="EB305" s="153"/>
      <c r="EC305" s="153"/>
      <c r="ED305" s="153"/>
      <c r="EE305" s="153"/>
      <c r="EF305" s="153"/>
      <c r="EG305" s="153"/>
      <c r="EH305" s="153"/>
      <c r="EI305" s="153"/>
      <c r="EJ305" s="153"/>
      <c r="EK305" s="153"/>
      <c r="EL305" s="153"/>
      <c r="EM305" s="153"/>
    </row>
    <row r="306" spans="1:143" s="107" customFormat="1" ht="10.5" hidden="1" customHeight="1" outlineLevel="2">
      <c r="A306" s="1548">
        <v>281</v>
      </c>
      <c r="B306" s="1560" t="str">
        <f t="shared" si="6"/>
        <v/>
      </c>
      <c r="C306" s="161" t="str">
        <f>GasTime(GasAnalyser,'Horiba Data'!F299,'Horiba Data'!G299,'Testo, JUM &amp; MRU Data'!A300,'Thermo Data'!B299,HourOffset)</f>
        <v/>
      </c>
      <c r="D306" s="981" t="str">
        <f>IF(D$17=FALSE,"",GasData(GasAnalyser,'Horiba Data'!S299,'Testo, JUM &amp; MRU Data'!D300,'Thermo Data'!E299,'Testo, JUM &amp; MRU Data'!U300,GDF))</f>
        <v/>
      </c>
      <c r="E306" s="981" t="str">
        <f>IF(D306="","",Conc2(D306,D$9,MolVol,D$21,D$20,E$21,E$20))</f>
        <v/>
      </c>
      <c r="F306" s="981" t="str">
        <f>IF(F$17=FALSE,"",GasData(GasAnalyser,'Horiba Data'!AQ299,'Testo, JUM &amp; MRU Data'!E300,'Thermo Data'!F299,'Testo, JUM &amp; MRU Data'!V300,GDF))</f>
        <v/>
      </c>
      <c r="G306" s="981" t="str">
        <f>IF(F306="","",Conc2(F306,F$9,MolVol,F$21,F$20,G$21,G$20))</f>
        <v/>
      </c>
      <c r="H306" s="981" t="str">
        <f>IF(D$17=FALSE,"",IF(F$17=FALSE,"",GasData(GasAnalyser,'Horiba Data'!W299,'Testo, JUM &amp; MRU Data'!F300,'Thermo Data'!G299,'Testo, JUM &amp; MRU Data'!Y300,GDF)))</f>
        <v/>
      </c>
      <c r="I306" s="981" t="str">
        <f>IF(H306="","",Conc2(H306,H$9,MolVol,H$21,H$20,I$21,I$20))</f>
        <v/>
      </c>
      <c r="J306" s="981" t="str">
        <f>IF(J$17=FALSE,"",GasData(GasAnalyser,'Horiba Data'!AM299,'Testo, JUM &amp; MRU Data'!G300,'Thermo Data'!H299,'Testo, JUM &amp; MRU Data'!W300,GDF))</f>
        <v/>
      </c>
      <c r="K306" s="981" t="str">
        <f>IF(J306="","",Conc2(J306,J$9,MolVol,J$21,J$20,K$21,K$20))</f>
        <v/>
      </c>
      <c r="L306" s="981" t="str">
        <f>IF(L$17=FALSE,"",GasData(GasAnalyser,'Horiba Data'!AA299,'Testo, JUM &amp; MRU Data'!H300,'Thermo Data'!I299,'Testo, JUM &amp; MRU Data'!T300,GDF))</f>
        <v/>
      </c>
      <c r="M306" s="981" t="str">
        <f>IF(L306="","",Conc2(L306,L$9,MolVol,L$21,L$20,M$21,M$20))</f>
        <v/>
      </c>
      <c r="N306" s="981" t="str">
        <f>IF(N$17=FALSE,"",GasData(GasAnalyser,'Horiba Data'!AE299,'Testo, JUM &amp; MRU Data'!I300,'Thermo Data'!J299,'Testo, JUM &amp; MRU Data'!S300,GDF))</f>
        <v/>
      </c>
      <c r="O306" s="981" t="str">
        <f>IF(N306="","",Conc2(N306,N$9,MolVol,N$21,N$20,O$21,O$20))</f>
        <v/>
      </c>
      <c r="P306" s="981" t="str">
        <f>IF(P$17=FALSE,"",GasData(GasAnalyser,'Horiba Data'!AI299,'Testo, JUM &amp; MRU Data'!J300,'Thermo Data'!K299,'Testo, JUM &amp; MRU Data'!R300,GDF))</f>
        <v/>
      </c>
      <c r="Q306" s="981" t="str">
        <f>IF(P306="","",Conc2(P306,P$9,MolVol,P$21,P$20,Q$21,Q$20))</f>
        <v/>
      </c>
      <c r="R306" s="981" t="str">
        <f>IF(R$17=FALSE,"",JUMData('Testo, JUM &amp; MRU Data'!M300,$R$7))</f>
        <v/>
      </c>
      <c r="S306" s="982" t="str">
        <f>IF(R306="","",Conc2(R306,R$9,MolVol,R$21,R$20,S$21,S$20)/(1-Bws))</f>
        <v/>
      </c>
      <c r="T306" s="740"/>
      <c r="AR306" s="334"/>
      <c r="AS306" s="334"/>
      <c r="AT306" s="48"/>
      <c r="AU306" s="48"/>
      <c r="AV306" s="153"/>
      <c r="AW306" s="153"/>
      <c r="AX306" s="153"/>
      <c r="AY306" s="153"/>
      <c r="AZ306" s="153"/>
      <c r="BA306" s="153"/>
      <c r="BB306" s="153"/>
      <c r="BC306" s="153"/>
      <c r="BD306" s="153"/>
      <c r="BE306" s="153"/>
      <c r="BF306" s="153"/>
      <c r="BG306" s="153"/>
      <c r="BH306" s="153"/>
      <c r="BI306" s="153"/>
      <c r="BJ306" s="153"/>
      <c r="BK306" s="153"/>
      <c r="BL306" s="153"/>
      <c r="BM306" s="153"/>
      <c r="BN306" s="153"/>
      <c r="BO306" s="153"/>
      <c r="BP306" s="153"/>
      <c r="BQ306" s="153"/>
      <c r="BR306" s="153"/>
      <c r="BS306" s="153"/>
      <c r="BT306" s="153"/>
      <c r="BU306" s="153"/>
      <c r="BV306" s="153"/>
      <c r="BW306" s="153"/>
      <c r="BX306" s="153"/>
      <c r="BY306" s="153"/>
      <c r="BZ306" s="153"/>
      <c r="CA306" s="153"/>
      <c r="CB306" s="153"/>
      <c r="CC306" s="153"/>
      <c r="CD306" s="153"/>
      <c r="CE306" s="153"/>
      <c r="CF306" s="153"/>
      <c r="CG306" s="153"/>
      <c r="CH306" s="153"/>
      <c r="CI306" s="153"/>
      <c r="CJ306" s="153"/>
      <c r="CK306" s="153"/>
      <c r="CL306" s="153"/>
      <c r="CM306" s="153"/>
      <c r="CN306" s="153"/>
      <c r="CO306" s="153"/>
      <c r="CP306" s="153"/>
      <c r="CQ306" s="153"/>
      <c r="CR306" s="153"/>
      <c r="CS306" s="153"/>
      <c r="CT306" s="153"/>
      <c r="CU306" s="153"/>
      <c r="CV306" s="153"/>
      <c r="CW306" s="153"/>
      <c r="CX306" s="153"/>
      <c r="CY306" s="153"/>
      <c r="CZ306" s="153"/>
      <c r="DA306" s="153"/>
      <c r="DB306" s="153"/>
      <c r="DC306" s="153"/>
      <c r="DD306" s="153"/>
      <c r="DE306" s="153"/>
      <c r="DF306" s="153"/>
      <c r="DG306" s="153"/>
      <c r="DH306" s="153"/>
      <c r="DI306" s="153"/>
      <c r="DJ306" s="153"/>
      <c r="DK306" s="153"/>
      <c r="DL306" s="153"/>
      <c r="DM306" s="153"/>
      <c r="DN306" s="153"/>
      <c r="DO306" s="153"/>
      <c r="DP306" s="153"/>
      <c r="DQ306" s="153"/>
      <c r="DR306" s="153"/>
      <c r="DS306" s="153"/>
      <c r="DT306" s="153"/>
      <c r="DU306" s="153"/>
      <c r="DV306" s="153"/>
      <c r="DW306" s="153"/>
      <c r="DX306" s="153"/>
      <c r="DY306" s="153"/>
      <c r="DZ306" s="153"/>
      <c r="EA306" s="153"/>
      <c r="EB306" s="153"/>
      <c r="EC306" s="153"/>
      <c r="ED306" s="153"/>
      <c r="EE306" s="153"/>
      <c r="EF306" s="153"/>
      <c r="EG306" s="153"/>
      <c r="EH306" s="153"/>
      <c r="EI306" s="153"/>
      <c r="EJ306" s="153"/>
      <c r="EK306" s="153"/>
      <c r="EL306" s="153"/>
      <c r="EM306" s="153"/>
    </row>
    <row r="307" spans="1:143" s="107" customFormat="1" ht="10.5" hidden="1" customHeight="1" outlineLevel="2">
      <c r="A307" s="1548">
        <v>282</v>
      </c>
      <c r="B307" s="1560" t="str">
        <f t="shared" si="6"/>
        <v/>
      </c>
      <c r="C307" s="161" t="str">
        <f>GasTime(GasAnalyser,'Horiba Data'!F300,'Horiba Data'!G300,'Testo, JUM &amp; MRU Data'!A301,'Thermo Data'!B300,HourOffset)</f>
        <v/>
      </c>
      <c r="D307" s="981" t="str">
        <f>IF(D$17=FALSE,"",GasData(GasAnalyser,'Horiba Data'!S300,'Testo, JUM &amp; MRU Data'!D301,'Thermo Data'!E300,'Testo, JUM &amp; MRU Data'!U301,GDF))</f>
        <v/>
      </c>
      <c r="E307" s="981" t="str">
        <f>IF(D307="","",Conc2(D307,D$9,MolVol,D$21,D$20,E$21,E$20))</f>
        <v/>
      </c>
      <c r="F307" s="981" t="str">
        <f>IF(F$17=FALSE,"",GasData(GasAnalyser,'Horiba Data'!AQ300,'Testo, JUM &amp; MRU Data'!E301,'Thermo Data'!F300,'Testo, JUM &amp; MRU Data'!V301,GDF))</f>
        <v/>
      </c>
      <c r="G307" s="981" t="str">
        <f>IF(F307="","",Conc2(F307,F$9,MolVol,F$21,F$20,G$21,G$20))</f>
        <v/>
      </c>
      <c r="H307" s="981" t="str">
        <f>IF(D$17=FALSE,"",IF(F$17=FALSE,"",GasData(GasAnalyser,'Horiba Data'!W300,'Testo, JUM &amp; MRU Data'!F301,'Thermo Data'!G300,'Testo, JUM &amp; MRU Data'!Y301,GDF)))</f>
        <v/>
      </c>
      <c r="I307" s="981" t="str">
        <f>IF(H307="","",Conc2(H307,H$9,MolVol,H$21,H$20,I$21,I$20))</f>
        <v/>
      </c>
      <c r="J307" s="981" t="str">
        <f>IF(J$17=FALSE,"",GasData(GasAnalyser,'Horiba Data'!AM300,'Testo, JUM &amp; MRU Data'!G301,'Thermo Data'!H300,'Testo, JUM &amp; MRU Data'!W301,GDF))</f>
        <v/>
      </c>
      <c r="K307" s="981" t="str">
        <f>IF(J307="","",Conc2(J307,J$9,MolVol,J$21,J$20,K$21,K$20))</f>
        <v/>
      </c>
      <c r="L307" s="981" t="str">
        <f>IF(L$17=FALSE,"",GasData(GasAnalyser,'Horiba Data'!AA300,'Testo, JUM &amp; MRU Data'!H301,'Thermo Data'!I300,'Testo, JUM &amp; MRU Data'!T301,GDF))</f>
        <v/>
      </c>
      <c r="M307" s="981" t="str">
        <f>IF(L307="","",Conc2(L307,L$9,MolVol,L$21,L$20,M$21,M$20))</f>
        <v/>
      </c>
      <c r="N307" s="981" t="str">
        <f>IF(N$17=FALSE,"",GasData(GasAnalyser,'Horiba Data'!AE300,'Testo, JUM &amp; MRU Data'!I301,'Thermo Data'!J300,'Testo, JUM &amp; MRU Data'!S301,GDF))</f>
        <v/>
      </c>
      <c r="O307" s="981" t="str">
        <f>IF(N307="","",Conc2(N307,N$9,MolVol,N$21,N$20,O$21,O$20))</f>
        <v/>
      </c>
      <c r="P307" s="981" t="str">
        <f>IF(P$17=FALSE,"",GasData(GasAnalyser,'Horiba Data'!AI300,'Testo, JUM &amp; MRU Data'!J301,'Thermo Data'!K300,'Testo, JUM &amp; MRU Data'!R301,GDF))</f>
        <v/>
      </c>
      <c r="Q307" s="981" t="str">
        <f>IF(P307="","",Conc2(P307,P$9,MolVol,P$21,P$20,Q$21,Q$20))</f>
        <v/>
      </c>
      <c r="R307" s="981" t="str">
        <f>IF(R$17=FALSE,"",JUMData('Testo, JUM &amp; MRU Data'!M301,$R$7))</f>
        <v/>
      </c>
      <c r="S307" s="982" t="str">
        <f>IF(R307="","",Conc2(R307,R$9,MolVol,R$21,R$20,S$21,S$20)/(1-Bws))</f>
        <v/>
      </c>
      <c r="T307" s="740"/>
      <c r="AR307" s="334"/>
      <c r="AS307" s="334"/>
      <c r="AT307" s="48"/>
      <c r="AU307" s="48"/>
      <c r="AV307" s="153"/>
      <c r="AW307" s="153"/>
      <c r="AX307" s="153"/>
      <c r="AY307" s="153"/>
      <c r="AZ307" s="153"/>
      <c r="BA307" s="153"/>
      <c r="BB307" s="153"/>
      <c r="BC307" s="153"/>
      <c r="BD307" s="153"/>
      <c r="BE307" s="153"/>
      <c r="BF307" s="153"/>
      <c r="BG307" s="153"/>
      <c r="BH307" s="153"/>
      <c r="BI307" s="153"/>
      <c r="BJ307" s="153"/>
      <c r="BK307" s="153"/>
      <c r="BL307" s="153"/>
      <c r="BM307" s="153"/>
      <c r="BN307" s="153"/>
      <c r="BO307" s="153"/>
      <c r="BP307" s="153"/>
      <c r="BQ307" s="153"/>
      <c r="BR307" s="153"/>
      <c r="BS307" s="153"/>
      <c r="BT307" s="153"/>
      <c r="BU307" s="153"/>
      <c r="BV307" s="153"/>
      <c r="BW307" s="153"/>
      <c r="BX307" s="153"/>
      <c r="BY307" s="153"/>
      <c r="BZ307" s="153"/>
      <c r="CA307" s="153"/>
      <c r="CB307" s="153"/>
      <c r="CC307" s="153"/>
      <c r="CD307" s="153"/>
      <c r="CE307" s="153"/>
      <c r="CF307" s="153"/>
      <c r="CG307" s="153"/>
      <c r="CH307" s="153"/>
      <c r="CI307" s="153"/>
      <c r="CJ307" s="153"/>
      <c r="CK307" s="153"/>
      <c r="CL307" s="153"/>
      <c r="CM307" s="153"/>
      <c r="CN307" s="153"/>
      <c r="CO307" s="153"/>
      <c r="CP307" s="153"/>
      <c r="CQ307" s="153"/>
      <c r="CR307" s="153"/>
      <c r="CS307" s="153"/>
      <c r="CT307" s="153"/>
      <c r="CU307" s="153"/>
      <c r="CV307" s="153"/>
      <c r="CW307" s="153"/>
      <c r="CX307" s="153"/>
      <c r="CY307" s="153"/>
      <c r="CZ307" s="153"/>
      <c r="DA307" s="153"/>
      <c r="DB307" s="153"/>
      <c r="DC307" s="153"/>
      <c r="DD307" s="153"/>
      <c r="DE307" s="153"/>
      <c r="DF307" s="153"/>
      <c r="DG307" s="153"/>
      <c r="DH307" s="153"/>
      <c r="DI307" s="153"/>
      <c r="DJ307" s="153"/>
      <c r="DK307" s="153"/>
      <c r="DL307" s="153"/>
      <c r="DM307" s="153"/>
      <c r="DN307" s="153"/>
      <c r="DO307" s="153"/>
      <c r="DP307" s="153"/>
      <c r="DQ307" s="153"/>
      <c r="DR307" s="153"/>
      <c r="DS307" s="153"/>
      <c r="DT307" s="153"/>
      <c r="DU307" s="153"/>
      <c r="DV307" s="153"/>
      <c r="DW307" s="153"/>
      <c r="DX307" s="153"/>
      <c r="DY307" s="153"/>
      <c r="DZ307" s="153"/>
      <c r="EA307" s="153"/>
      <c r="EB307" s="153"/>
      <c r="EC307" s="153"/>
      <c r="ED307" s="153"/>
      <c r="EE307" s="153"/>
      <c r="EF307" s="153"/>
      <c r="EG307" s="153"/>
      <c r="EH307" s="153"/>
      <c r="EI307" s="153"/>
      <c r="EJ307" s="153"/>
      <c r="EK307" s="153"/>
      <c r="EL307" s="153"/>
      <c r="EM307" s="153"/>
    </row>
    <row r="308" spans="1:143" s="107" customFormat="1" ht="10.5" hidden="1" customHeight="1" outlineLevel="2">
      <c r="A308" s="1548">
        <v>283</v>
      </c>
      <c r="B308" s="1560" t="str">
        <f t="shared" si="6"/>
        <v/>
      </c>
      <c r="C308" s="161" t="str">
        <f>GasTime(GasAnalyser,'Horiba Data'!F301,'Horiba Data'!G301,'Testo, JUM &amp; MRU Data'!A302,'Thermo Data'!B301,HourOffset)</f>
        <v/>
      </c>
      <c r="D308" s="981" t="str">
        <f>IF(D$17=FALSE,"",GasData(GasAnalyser,'Horiba Data'!S301,'Testo, JUM &amp; MRU Data'!D302,'Thermo Data'!E301,'Testo, JUM &amp; MRU Data'!U302,GDF))</f>
        <v/>
      </c>
      <c r="E308" s="981" t="str">
        <f>IF(D308="","",Conc2(D308,D$9,MolVol,D$21,D$20,E$21,E$20))</f>
        <v/>
      </c>
      <c r="F308" s="981" t="str">
        <f>IF(F$17=FALSE,"",GasData(GasAnalyser,'Horiba Data'!AQ301,'Testo, JUM &amp; MRU Data'!E302,'Thermo Data'!F301,'Testo, JUM &amp; MRU Data'!V302,GDF))</f>
        <v/>
      </c>
      <c r="G308" s="981" t="str">
        <f>IF(F308="","",Conc2(F308,F$9,MolVol,F$21,F$20,G$21,G$20))</f>
        <v/>
      </c>
      <c r="H308" s="981" t="str">
        <f>IF(D$17=FALSE,"",IF(F$17=FALSE,"",GasData(GasAnalyser,'Horiba Data'!W301,'Testo, JUM &amp; MRU Data'!F302,'Thermo Data'!G301,'Testo, JUM &amp; MRU Data'!Y302,GDF)))</f>
        <v/>
      </c>
      <c r="I308" s="981" t="str">
        <f>IF(H308="","",Conc2(H308,H$9,MolVol,H$21,H$20,I$21,I$20))</f>
        <v/>
      </c>
      <c r="J308" s="981" t="str">
        <f>IF(J$17=FALSE,"",GasData(GasAnalyser,'Horiba Data'!AM301,'Testo, JUM &amp; MRU Data'!G302,'Thermo Data'!H301,'Testo, JUM &amp; MRU Data'!W302,GDF))</f>
        <v/>
      </c>
      <c r="K308" s="981" t="str">
        <f>IF(J308="","",Conc2(J308,J$9,MolVol,J$21,J$20,K$21,K$20))</f>
        <v/>
      </c>
      <c r="L308" s="981" t="str">
        <f>IF(L$17=FALSE,"",GasData(GasAnalyser,'Horiba Data'!AA301,'Testo, JUM &amp; MRU Data'!H302,'Thermo Data'!I301,'Testo, JUM &amp; MRU Data'!T302,GDF))</f>
        <v/>
      </c>
      <c r="M308" s="981" t="str">
        <f>IF(L308="","",Conc2(L308,L$9,MolVol,L$21,L$20,M$21,M$20))</f>
        <v/>
      </c>
      <c r="N308" s="981" t="str">
        <f>IF(N$17=FALSE,"",GasData(GasAnalyser,'Horiba Data'!AE301,'Testo, JUM &amp; MRU Data'!I302,'Thermo Data'!J301,'Testo, JUM &amp; MRU Data'!S302,GDF))</f>
        <v/>
      </c>
      <c r="O308" s="981" t="str">
        <f>IF(N308="","",Conc2(N308,N$9,MolVol,N$21,N$20,O$21,O$20))</f>
        <v/>
      </c>
      <c r="P308" s="981" t="str">
        <f>IF(P$17=FALSE,"",GasData(GasAnalyser,'Horiba Data'!AI301,'Testo, JUM &amp; MRU Data'!J302,'Thermo Data'!K301,'Testo, JUM &amp; MRU Data'!R302,GDF))</f>
        <v/>
      </c>
      <c r="Q308" s="981" t="str">
        <f>IF(P308="","",Conc2(P308,P$9,MolVol,P$21,P$20,Q$21,Q$20))</f>
        <v/>
      </c>
      <c r="R308" s="981" t="str">
        <f>IF(R$17=FALSE,"",JUMData('Testo, JUM &amp; MRU Data'!M302,$R$7))</f>
        <v/>
      </c>
      <c r="S308" s="982" t="str">
        <f>IF(R308="","",Conc2(R308,R$9,MolVol,R$21,R$20,S$21,S$20)/(1-Bws))</f>
        <v/>
      </c>
      <c r="T308" s="740"/>
      <c r="AR308" s="334"/>
      <c r="AS308" s="334"/>
      <c r="AT308" s="48"/>
      <c r="AU308" s="48"/>
      <c r="AV308" s="153"/>
      <c r="AW308" s="153"/>
      <c r="AX308" s="153"/>
      <c r="AY308" s="153"/>
      <c r="AZ308" s="153"/>
      <c r="BA308" s="153"/>
      <c r="BB308" s="153"/>
      <c r="BC308" s="153"/>
      <c r="BD308" s="153"/>
      <c r="BE308" s="153"/>
      <c r="BF308" s="153"/>
      <c r="BG308" s="153"/>
      <c r="BH308" s="153"/>
      <c r="BI308" s="153"/>
      <c r="BJ308" s="153"/>
      <c r="BK308" s="153"/>
      <c r="BL308" s="153"/>
      <c r="BM308" s="153"/>
      <c r="BN308" s="153"/>
      <c r="BO308" s="153"/>
      <c r="BP308" s="153"/>
      <c r="BQ308" s="153"/>
      <c r="BR308" s="153"/>
      <c r="BS308" s="153"/>
      <c r="BT308" s="153"/>
      <c r="BU308" s="153"/>
      <c r="BV308" s="153"/>
      <c r="BW308" s="153"/>
      <c r="BX308" s="153"/>
      <c r="BY308" s="153"/>
      <c r="BZ308" s="153"/>
      <c r="CA308" s="153"/>
      <c r="CB308" s="153"/>
      <c r="CC308" s="153"/>
      <c r="CD308" s="153"/>
      <c r="CE308" s="153"/>
      <c r="CF308" s="153"/>
      <c r="CG308" s="153"/>
      <c r="CH308" s="153"/>
      <c r="CI308" s="153"/>
      <c r="CJ308" s="153"/>
      <c r="CK308" s="153"/>
      <c r="CL308" s="153"/>
      <c r="CM308" s="153"/>
      <c r="CN308" s="153"/>
      <c r="CO308" s="153"/>
      <c r="CP308" s="153"/>
      <c r="CQ308" s="153"/>
      <c r="CR308" s="153"/>
      <c r="CS308" s="153"/>
      <c r="CT308" s="153"/>
      <c r="CU308" s="153"/>
      <c r="CV308" s="153"/>
      <c r="CW308" s="153"/>
      <c r="CX308" s="153"/>
      <c r="CY308" s="153"/>
      <c r="CZ308" s="153"/>
      <c r="DA308" s="153"/>
      <c r="DB308" s="153"/>
      <c r="DC308" s="153"/>
      <c r="DD308" s="153"/>
      <c r="DE308" s="153"/>
      <c r="DF308" s="153"/>
      <c r="DG308" s="153"/>
      <c r="DH308" s="153"/>
      <c r="DI308" s="153"/>
      <c r="DJ308" s="153"/>
      <c r="DK308" s="153"/>
      <c r="DL308" s="153"/>
      <c r="DM308" s="153"/>
      <c r="DN308" s="153"/>
      <c r="DO308" s="153"/>
      <c r="DP308" s="153"/>
      <c r="DQ308" s="153"/>
      <c r="DR308" s="153"/>
      <c r="DS308" s="153"/>
      <c r="DT308" s="153"/>
      <c r="DU308" s="153"/>
      <c r="DV308" s="153"/>
      <c r="DW308" s="153"/>
      <c r="DX308" s="153"/>
      <c r="DY308" s="153"/>
      <c r="DZ308" s="153"/>
      <c r="EA308" s="153"/>
      <c r="EB308" s="153"/>
      <c r="EC308" s="153"/>
      <c r="ED308" s="153"/>
      <c r="EE308" s="153"/>
      <c r="EF308" s="153"/>
      <c r="EG308" s="153"/>
      <c r="EH308" s="153"/>
      <c r="EI308" s="153"/>
      <c r="EJ308" s="153"/>
      <c r="EK308" s="153"/>
      <c r="EL308" s="153"/>
      <c r="EM308" s="153"/>
    </row>
    <row r="309" spans="1:143" s="107" customFormat="1" ht="10.5" hidden="1" customHeight="1" outlineLevel="2">
      <c r="A309" s="1548">
        <v>284</v>
      </c>
      <c r="B309" s="1560" t="str">
        <f t="shared" si="6"/>
        <v/>
      </c>
      <c r="C309" s="161" t="str">
        <f>GasTime(GasAnalyser,'Horiba Data'!F302,'Horiba Data'!G302,'Testo, JUM &amp; MRU Data'!A303,'Thermo Data'!B302,HourOffset)</f>
        <v/>
      </c>
      <c r="D309" s="981" t="str">
        <f>IF(D$17=FALSE,"",GasData(GasAnalyser,'Horiba Data'!S302,'Testo, JUM &amp; MRU Data'!D303,'Thermo Data'!E302,'Testo, JUM &amp; MRU Data'!U303,GDF))</f>
        <v/>
      </c>
      <c r="E309" s="981" t="str">
        <f>IF(D309="","",Conc2(D309,D$9,MolVol,D$21,D$20,E$21,E$20))</f>
        <v/>
      </c>
      <c r="F309" s="981" t="str">
        <f>IF(F$17=FALSE,"",GasData(GasAnalyser,'Horiba Data'!AQ302,'Testo, JUM &amp; MRU Data'!E303,'Thermo Data'!F302,'Testo, JUM &amp; MRU Data'!V303,GDF))</f>
        <v/>
      </c>
      <c r="G309" s="981" t="str">
        <f>IF(F309="","",Conc2(F309,F$9,MolVol,F$21,F$20,G$21,G$20))</f>
        <v/>
      </c>
      <c r="H309" s="981" t="str">
        <f>IF(D$17=FALSE,"",IF(F$17=FALSE,"",GasData(GasAnalyser,'Horiba Data'!W302,'Testo, JUM &amp; MRU Data'!F303,'Thermo Data'!G302,'Testo, JUM &amp; MRU Data'!Y303,GDF)))</f>
        <v/>
      </c>
      <c r="I309" s="981" t="str">
        <f>IF(H309="","",Conc2(H309,H$9,MolVol,H$21,H$20,I$21,I$20))</f>
        <v/>
      </c>
      <c r="J309" s="981" t="str">
        <f>IF(J$17=FALSE,"",GasData(GasAnalyser,'Horiba Data'!AM302,'Testo, JUM &amp; MRU Data'!G303,'Thermo Data'!H302,'Testo, JUM &amp; MRU Data'!W303,GDF))</f>
        <v/>
      </c>
      <c r="K309" s="981" t="str">
        <f>IF(J309="","",Conc2(J309,J$9,MolVol,J$21,J$20,K$21,K$20))</f>
        <v/>
      </c>
      <c r="L309" s="981" t="str">
        <f>IF(L$17=FALSE,"",GasData(GasAnalyser,'Horiba Data'!AA302,'Testo, JUM &amp; MRU Data'!H303,'Thermo Data'!I302,'Testo, JUM &amp; MRU Data'!T303,GDF))</f>
        <v/>
      </c>
      <c r="M309" s="981" t="str">
        <f>IF(L309="","",Conc2(L309,L$9,MolVol,L$21,L$20,M$21,M$20))</f>
        <v/>
      </c>
      <c r="N309" s="981" t="str">
        <f>IF(N$17=FALSE,"",GasData(GasAnalyser,'Horiba Data'!AE302,'Testo, JUM &amp; MRU Data'!I303,'Thermo Data'!J302,'Testo, JUM &amp; MRU Data'!S303,GDF))</f>
        <v/>
      </c>
      <c r="O309" s="981" t="str">
        <f>IF(N309="","",Conc2(N309,N$9,MolVol,N$21,N$20,O$21,O$20))</f>
        <v/>
      </c>
      <c r="P309" s="981" t="str">
        <f>IF(P$17=FALSE,"",GasData(GasAnalyser,'Horiba Data'!AI302,'Testo, JUM &amp; MRU Data'!J303,'Thermo Data'!K302,'Testo, JUM &amp; MRU Data'!R303,GDF))</f>
        <v/>
      </c>
      <c r="Q309" s="981" t="str">
        <f>IF(P309="","",Conc2(P309,P$9,MolVol,P$21,P$20,Q$21,Q$20))</f>
        <v/>
      </c>
      <c r="R309" s="981" t="str">
        <f>IF(R$17=FALSE,"",JUMData('Testo, JUM &amp; MRU Data'!M303,$R$7))</f>
        <v/>
      </c>
      <c r="S309" s="982" t="str">
        <f>IF(R309="","",Conc2(R309,R$9,MolVol,R$21,R$20,S$21,S$20)/(1-Bws))</f>
        <v/>
      </c>
      <c r="T309" s="740"/>
      <c r="AR309" s="334"/>
      <c r="AS309" s="334"/>
      <c r="AT309" s="48"/>
      <c r="AU309" s="48"/>
      <c r="AV309" s="153"/>
      <c r="AW309" s="153"/>
      <c r="AX309" s="153"/>
      <c r="AY309" s="153"/>
      <c r="AZ309" s="153"/>
      <c r="BA309" s="153"/>
      <c r="BB309" s="153"/>
      <c r="BC309" s="153"/>
      <c r="BD309" s="153"/>
      <c r="BE309" s="153"/>
      <c r="BF309" s="153"/>
      <c r="BG309" s="153"/>
      <c r="BH309" s="153"/>
      <c r="BI309" s="153"/>
      <c r="BJ309" s="153"/>
      <c r="BK309" s="153"/>
      <c r="BL309" s="153"/>
      <c r="BM309" s="153"/>
      <c r="BN309" s="153"/>
      <c r="BO309" s="153"/>
      <c r="BP309" s="153"/>
      <c r="BQ309" s="153"/>
      <c r="BR309" s="153"/>
      <c r="BS309" s="153"/>
      <c r="BT309" s="153"/>
      <c r="BU309" s="153"/>
      <c r="BV309" s="153"/>
      <c r="BW309" s="153"/>
      <c r="BX309" s="153"/>
      <c r="BY309" s="153"/>
      <c r="BZ309" s="153"/>
      <c r="CA309" s="153"/>
      <c r="CB309" s="153"/>
      <c r="CC309" s="153"/>
      <c r="CD309" s="153"/>
      <c r="CE309" s="153"/>
      <c r="CF309" s="153"/>
      <c r="CG309" s="153"/>
      <c r="CH309" s="153"/>
      <c r="CI309" s="153"/>
      <c r="CJ309" s="153"/>
      <c r="CK309" s="153"/>
      <c r="CL309" s="153"/>
      <c r="CM309" s="153"/>
      <c r="CN309" s="153"/>
      <c r="CO309" s="153"/>
      <c r="CP309" s="153"/>
      <c r="CQ309" s="153"/>
      <c r="CR309" s="153"/>
      <c r="CS309" s="153"/>
      <c r="CT309" s="153"/>
      <c r="CU309" s="153"/>
      <c r="CV309" s="153"/>
      <c r="CW309" s="153"/>
      <c r="CX309" s="153"/>
      <c r="CY309" s="153"/>
      <c r="CZ309" s="153"/>
      <c r="DA309" s="153"/>
      <c r="DB309" s="153"/>
      <c r="DC309" s="153"/>
      <c r="DD309" s="153"/>
      <c r="DE309" s="153"/>
      <c r="DF309" s="153"/>
      <c r="DG309" s="153"/>
      <c r="DH309" s="153"/>
      <c r="DI309" s="153"/>
      <c r="DJ309" s="153"/>
      <c r="DK309" s="153"/>
      <c r="DL309" s="153"/>
      <c r="DM309" s="153"/>
      <c r="DN309" s="153"/>
      <c r="DO309" s="153"/>
      <c r="DP309" s="153"/>
      <c r="DQ309" s="153"/>
      <c r="DR309" s="153"/>
      <c r="DS309" s="153"/>
      <c r="DT309" s="153"/>
      <c r="DU309" s="153"/>
      <c r="DV309" s="153"/>
      <c r="DW309" s="153"/>
      <c r="DX309" s="153"/>
      <c r="DY309" s="153"/>
      <c r="DZ309" s="153"/>
      <c r="EA309" s="153"/>
      <c r="EB309" s="153"/>
      <c r="EC309" s="153"/>
      <c r="ED309" s="153"/>
      <c r="EE309" s="153"/>
      <c r="EF309" s="153"/>
      <c r="EG309" s="153"/>
      <c r="EH309" s="153"/>
      <c r="EI309" s="153"/>
      <c r="EJ309" s="153"/>
      <c r="EK309" s="153"/>
      <c r="EL309" s="153"/>
      <c r="EM309" s="153"/>
    </row>
    <row r="310" spans="1:143" s="107" customFormat="1" ht="10.5" hidden="1" customHeight="1" outlineLevel="2">
      <c r="A310" s="1548">
        <v>285</v>
      </c>
      <c r="B310" s="1560" t="str">
        <f t="shared" si="6"/>
        <v/>
      </c>
      <c r="C310" s="161" t="str">
        <f>GasTime(GasAnalyser,'Horiba Data'!F303,'Horiba Data'!G303,'Testo, JUM &amp; MRU Data'!A304,'Thermo Data'!B303,HourOffset)</f>
        <v/>
      </c>
      <c r="D310" s="981" t="str">
        <f>IF(D$17=FALSE,"",GasData(GasAnalyser,'Horiba Data'!S303,'Testo, JUM &amp; MRU Data'!D304,'Thermo Data'!E303,'Testo, JUM &amp; MRU Data'!U304,GDF))</f>
        <v/>
      </c>
      <c r="E310" s="981" t="str">
        <f>IF(D310="","",Conc2(D310,D$9,MolVol,D$21,D$20,E$21,E$20))</f>
        <v/>
      </c>
      <c r="F310" s="981" t="str">
        <f>IF(F$17=FALSE,"",GasData(GasAnalyser,'Horiba Data'!AQ303,'Testo, JUM &amp; MRU Data'!E304,'Thermo Data'!F303,'Testo, JUM &amp; MRU Data'!V304,GDF))</f>
        <v/>
      </c>
      <c r="G310" s="981" t="str">
        <f>IF(F310="","",Conc2(F310,F$9,MolVol,F$21,F$20,G$21,G$20))</f>
        <v/>
      </c>
      <c r="H310" s="981" t="str">
        <f>IF(D$17=FALSE,"",IF(F$17=FALSE,"",GasData(GasAnalyser,'Horiba Data'!W303,'Testo, JUM &amp; MRU Data'!F304,'Thermo Data'!G303,'Testo, JUM &amp; MRU Data'!Y304,GDF)))</f>
        <v/>
      </c>
      <c r="I310" s="981" t="str">
        <f>IF(H310="","",Conc2(H310,H$9,MolVol,H$21,H$20,I$21,I$20))</f>
        <v/>
      </c>
      <c r="J310" s="981" t="str">
        <f>IF(J$17=FALSE,"",GasData(GasAnalyser,'Horiba Data'!AM303,'Testo, JUM &amp; MRU Data'!G304,'Thermo Data'!H303,'Testo, JUM &amp; MRU Data'!W304,GDF))</f>
        <v/>
      </c>
      <c r="K310" s="981" t="str">
        <f>IF(J310="","",Conc2(J310,J$9,MolVol,J$21,J$20,K$21,K$20))</f>
        <v/>
      </c>
      <c r="L310" s="981" t="str">
        <f>IF(L$17=FALSE,"",GasData(GasAnalyser,'Horiba Data'!AA303,'Testo, JUM &amp; MRU Data'!H304,'Thermo Data'!I303,'Testo, JUM &amp; MRU Data'!T304,GDF))</f>
        <v/>
      </c>
      <c r="M310" s="981" t="str">
        <f>IF(L310="","",Conc2(L310,L$9,MolVol,L$21,L$20,M$21,M$20))</f>
        <v/>
      </c>
      <c r="N310" s="981" t="str">
        <f>IF(N$17=FALSE,"",GasData(GasAnalyser,'Horiba Data'!AE303,'Testo, JUM &amp; MRU Data'!I304,'Thermo Data'!J303,'Testo, JUM &amp; MRU Data'!S304,GDF))</f>
        <v/>
      </c>
      <c r="O310" s="981" t="str">
        <f>IF(N310="","",Conc2(N310,N$9,MolVol,N$21,N$20,O$21,O$20))</f>
        <v/>
      </c>
      <c r="P310" s="981" t="str">
        <f>IF(P$17=FALSE,"",GasData(GasAnalyser,'Horiba Data'!AI303,'Testo, JUM &amp; MRU Data'!J304,'Thermo Data'!K303,'Testo, JUM &amp; MRU Data'!R304,GDF))</f>
        <v/>
      </c>
      <c r="Q310" s="981" t="str">
        <f>IF(P310="","",Conc2(P310,P$9,MolVol,P$21,P$20,Q$21,Q$20))</f>
        <v/>
      </c>
      <c r="R310" s="981" t="str">
        <f>IF(R$17=FALSE,"",JUMData('Testo, JUM &amp; MRU Data'!M304,$R$7))</f>
        <v/>
      </c>
      <c r="S310" s="982" t="str">
        <f>IF(R310="","",Conc2(R310,R$9,MolVol,R$21,R$20,S$21,S$20)/(1-Bws))</f>
        <v/>
      </c>
      <c r="T310" s="740"/>
      <c r="AR310" s="334"/>
      <c r="AS310" s="334"/>
      <c r="AT310" s="48"/>
      <c r="AU310" s="48"/>
      <c r="AV310" s="153"/>
      <c r="AW310" s="153"/>
      <c r="AX310" s="153"/>
      <c r="AY310" s="153"/>
      <c r="AZ310" s="153"/>
      <c r="BA310" s="153"/>
      <c r="BB310" s="153"/>
      <c r="BC310" s="153"/>
      <c r="BD310" s="153"/>
      <c r="BE310" s="153"/>
      <c r="BF310" s="153"/>
      <c r="BG310" s="153"/>
      <c r="BH310" s="153"/>
      <c r="BI310" s="153"/>
      <c r="BJ310" s="153"/>
      <c r="BK310" s="153"/>
      <c r="BL310" s="153"/>
      <c r="BM310" s="153"/>
      <c r="BN310" s="153"/>
      <c r="BO310" s="153"/>
      <c r="BP310" s="153"/>
      <c r="BQ310" s="153"/>
      <c r="BR310" s="153"/>
      <c r="BS310" s="153"/>
      <c r="BT310" s="153"/>
      <c r="BU310" s="153"/>
      <c r="BV310" s="153"/>
      <c r="BW310" s="153"/>
      <c r="BX310" s="153"/>
      <c r="BY310" s="153"/>
      <c r="BZ310" s="153"/>
      <c r="CA310" s="153"/>
      <c r="CB310" s="153"/>
      <c r="CC310" s="153"/>
      <c r="CD310" s="153"/>
      <c r="CE310" s="153"/>
      <c r="CF310" s="153"/>
      <c r="CG310" s="153"/>
      <c r="CH310" s="153"/>
      <c r="CI310" s="153"/>
      <c r="CJ310" s="153"/>
      <c r="CK310" s="153"/>
      <c r="CL310" s="153"/>
      <c r="CM310" s="153"/>
      <c r="CN310" s="153"/>
      <c r="CO310" s="153"/>
      <c r="CP310" s="153"/>
      <c r="CQ310" s="153"/>
      <c r="CR310" s="153"/>
      <c r="CS310" s="153"/>
      <c r="CT310" s="153"/>
      <c r="CU310" s="153"/>
      <c r="CV310" s="153"/>
      <c r="CW310" s="153"/>
      <c r="CX310" s="153"/>
      <c r="CY310" s="153"/>
      <c r="CZ310" s="153"/>
      <c r="DA310" s="153"/>
      <c r="DB310" s="153"/>
      <c r="DC310" s="153"/>
      <c r="DD310" s="153"/>
      <c r="DE310" s="153"/>
      <c r="DF310" s="153"/>
      <c r="DG310" s="153"/>
      <c r="DH310" s="153"/>
      <c r="DI310" s="153"/>
      <c r="DJ310" s="153"/>
      <c r="DK310" s="153"/>
      <c r="DL310" s="153"/>
      <c r="DM310" s="153"/>
      <c r="DN310" s="153"/>
      <c r="DO310" s="153"/>
      <c r="DP310" s="153"/>
      <c r="DQ310" s="153"/>
      <c r="DR310" s="153"/>
      <c r="DS310" s="153"/>
      <c r="DT310" s="153"/>
      <c r="DU310" s="153"/>
      <c r="DV310" s="153"/>
      <c r="DW310" s="153"/>
      <c r="DX310" s="153"/>
      <c r="DY310" s="153"/>
      <c r="DZ310" s="153"/>
      <c r="EA310" s="153"/>
      <c r="EB310" s="153"/>
      <c r="EC310" s="153"/>
      <c r="ED310" s="153"/>
      <c r="EE310" s="153"/>
      <c r="EF310" s="153"/>
      <c r="EG310" s="153"/>
      <c r="EH310" s="153"/>
      <c r="EI310" s="153"/>
      <c r="EJ310" s="153"/>
      <c r="EK310" s="153"/>
      <c r="EL310" s="153"/>
      <c r="EM310" s="153"/>
    </row>
    <row r="311" spans="1:143" s="107" customFormat="1" ht="10.5" hidden="1" customHeight="1" outlineLevel="2">
      <c r="A311" s="1548">
        <v>286</v>
      </c>
      <c r="B311" s="1560" t="str">
        <f t="shared" si="6"/>
        <v/>
      </c>
      <c r="C311" s="161" t="str">
        <f>GasTime(GasAnalyser,'Horiba Data'!F304,'Horiba Data'!G304,'Testo, JUM &amp; MRU Data'!A305,'Thermo Data'!B304,HourOffset)</f>
        <v/>
      </c>
      <c r="D311" s="981" t="str">
        <f>IF(D$17=FALSE,"",GasData(GasAnalyser,'Horiba Data'!S304,'Testo, JUM &amp; MRU Data'!D305,'Thermo Data'!E304,'Testo, JUM &amp; MRU Data'!U305,GDF))</f>
        <v/>
      </c>
      <c r="E311" s="981" t="str">
        <f>IF(D311="","",Conc2(D311,D$9,MolVol,D$21,D$20,E$21,E$20))</f>
        <v/>
      </c>
      <c r="F311" s="981" t="str">
        <f>IF(F$17=FALSE,"",GasData(GasAnalyser,'Horiba Data'!AQ304,'Testo, JUM &amp; MRU Data'!E305,'Thermo Data'!F304,'Testo, JUM &amp; MRU Data'!V305,GDF))</f>
        <v/>
      </c>
      <c r="G311" s="981" t="str">
        <f>IF(F311="","",Conc2(F311,F$9,MolVol,F$21,F$20,G$21,G$20))</f>
        <v/>
      </c>
      <c r="H311" s="981" t="str">
        <f>IF(D$17=FALSE,"",IF(F$17=FALSE,"",GasData(GasAnalyser,'Horiba Data'!W304,'Testo, JUM &amp; MRU Data'!F305,'Thermo Data'!G304,'Testo, JUM &amp; MRU Data'!Y305,GDF)))</f>
        <v/>
      </c>
      <c r="I311" s="981" t="str">
        <f>IF(H311="","",Conc2(H311,H$9,MolVol,H$21,H$20,I$21,I$20))</f>
        <v/>
      </c>
      <c r="J311" s="981" t="str">
        <f>IF(J$17=FALSE,"",GasData(GasAnalyser,'Horiba Data'!AM304,'Testo, JUM &amp; MRU Data'!G305,'Thermo Data'!H304,'Testo, JUM &amp; MRU Data'!W305,GDF))</f>
        <v/>
      </c>
      <c r="K311" s="981" t="str">
        <f>IF(J311="","",Conc2(J311,J$9,MolVol,J$21,J$20,K$21,K$20))</f>
        <v/>
      </c>
      <c r="L311" s="981" t="str">
        <f>IF(L$17=FALSE,"",GasData(GasAnalyser,'Horiba Data'!AA304,'Testo, JUM &amp; MRU Data'!H305,'Thermo Data'!I304,'Testo, JUM &amp; MRU Data'!T305,GDF))</f>
        <v/>
      </c>
      <c r="M311" s="981" t="str">
        <f>IF(L311="","",Conc2(L311,L$9,MolVol,L$21,L$20,M$21,M$20))</f>
        <v/>
      </c>
      <c r="N311" s="981" t="str">
        <f>IF(N$17=FALSE,"",GasData(GasAnalyser,'Horiba Data'!AE304,'Testo, JUM &amp; MRU Data'!I305,'Thermo Data'!J304,'Testo, JUM &amp; MRU Data'!S305,GDF))</f>
        <v/>
      </c>
      <c r="O311" s="981" t="str">
        <f>IF(N311="","",Conc2(N311,N$9,MolVol,N$21,N$20,O$21,O$20))</f>
        <v/>
      </c>
      <c r="P311" s="981" t="str">
        <f>IF(P$17=FALSE,"",GasData(GasAnalyser,'Horiba Data'!AI304,'Testo, JUM &amp; MRU Data'!J305,'Thermo Data'!K304,'Testo, JUM &amp; MRU Data'!R305,GDF))</f>
        <v/>
      </c>
      <c r="Q311" s="981" t="str">
        <f>IF(P311="","",Conc2(P311,P$9,MolVol,P$21,P$20,Q$21,Q$20))</f>
        <v/>
      </c>
      <c r="R311" s="981" t="str">
        <f>IF(R$17=FALSE,"",JUMData('Testo, JUM &amp; MRU Data'!M305,$R$7))</f>
        <v/>
      </c>
      <c r="S311" s="982" t="str">
        <f>IF(R311="","",Conc2(R311,R$9,MolVol,R$21,R$20,S$21,S$20)/(1-Bws))</f>
        <v/>
      </c>
      <c r="T311" s="740"/>
      <c r="AR311" s="334"/>
      <c r="AS311" s="334"/>
      <c r="AT311" s="48"/>
      <c r="AU311" s="48"/>
      <c r="AV311" s="153"/>
      <c r="AW311" s="153"/>
      <c r="AX311" s="153"/>
      <c r="AY311" s="153"/>
      <c r="AZ311" s="153"/>
      <c r="BA311" s="153"/>
      <c r="BB311" s="153"/>
      <c r="BC311" s="153"/>
      <c r="BD311" s="153"/>
      <c r="BE311" s="153"/>
      <c r="BF311" s="153"/>
      <c r="BG311" s="153"/>
      <c r="BH311" s="153"/>
      <c r="BI311" s="153"/>
      <c r="BJ311" s="153"/>
      <c r="BK311" s="153"/>
      <c r="BL311" s="153"/>
      <c r="BM311" s="153"/>
      <c r="BN311" s="153"/>
      <c r="BO311" s="153"/>
      <c r="BP311" s="153"/>
      <c r="BQ311" s="153"/>
      <c r="BR311" s="153"/>
      <c r="BS311" s="153"/>
      <c r="BT311" s="153"/>
      <c r="BU311" s="153"/>
      <c r="BV311" s="153"/>
      <c r="BW311" s="153"/>
      <c r="BX311" s="153"/>
      <c r="BY311" s="153"/>
      <c r="BZ311" s="153"/>
      <c r="CA311" s="153"/>
      <c r="CB311" s="153"/>
      <c r="CC311" s="153"/>
      <c r="CD311" s="153"/>
      <c r="CE311" s="153"/>
      <c r="CF311" s="153"/>
      <c r="CG311" s="153"/>
      <c r="CH311" s="153"/>
      <c r="CI311" s="153"/>
      <c r="CJ311" s="153"/>
      <c r="CK311" s="153"/>
      <c r="CL311" s="153"/>
      <c r="CM311" s="153"/>
      <c r="CN311" s="153"/>
      <c r="CO311" s="153"/>
      <c r="CP311" s="153"/>
      <c r="CQ311" s="153"/>
      <c r="CR311" s="153"/>
      <c r="CS311" s="153"/>
      <c r="CT311" s="153"/>
      <c r="CU311" s="153"/>
      <c r="CV311" s="153"/>
      <c r="CW311" s="153"/>
      <c r="CX311" s="153"/>
      <c r="CY311" s="153"/>
      <c r="CZ311" s="153"/>
      <c r="DA311" s="153"/>
      <c r="DB311" s="153"/>
      <c r="DC311" s="153"/>
      <c r="DD311" s="153"/>
      <c r="DE311" s="153"/>
      <c r="DF311" s="153"/>
      <c r="DG311" s="153"/>
      <c r="DH311" s="153"/>
      <c r="DI311" s="153"/>
      <c r="DJ311" s="153"/>
      <c r="DK311" s="153"/>
      <c r="DL311" s="153"/>
      <c r="DM311" s="153"/>
      <c r="DN311" s="153"/>
      <c r="DO311" s="153"/>
      <c r="DP311" s="153"/>
      <c r="DQ311" s="153"/>
      <c r="DR311" s="153"/>
      <c r="DS311" s="153"/>
      <c r="DT311" s="153"/>
      <c r="DU311" s="153"/>
      <c r="DV311" s="153"/>
      <c r="DW311" s="153"/>
      <c r="DX311" s="153"/>
      <c r="DY311" s="153"/>
      <c r="DZ311" s="153"/>
      <c r="EA311" s="153"/>
      <c r="EB311" s="153"/>
      <c r="EC311" s="153"/>
      <c r="ED311" s="153"/>
      <c r="EE311" s="153"/>
      <c r="EF311" s="153"/>
      <c r="EG311" s="153"/>
      <c r="EH311" s="153"/>
      <c r="EI311" s="153"/>
      <c r="EJ311" s="153"/>
      <c r="EK311" s="153"/>
      <c r="EL311" s="153"/>
      <c r="EM311" s="153"/>
    </row>
    <row r="312" spans="1:143" s="107" customFormat="1" ht="10.5" hidden="1" customHeight="1" outlineLevel="2">
      <c r="A312" s="1548">
        <v>287</v>
      </c>
      <c r="B312" s="1560" t="str">
        <f t="shared" si="6"/>
        <v/>
      </c>
      <c r="C312" s="161" t="str">
        <f>GasTime(GasAnalyser,'Horiba Data'!F305,'Horiba Data'!G305,'Testo, JUM &amp; MRU Data'!A306,'Thermo Data'!B305,HourOffset)</f>
        <v/>
      </c>
      <c r="D312" s="981" t="str">
        <f>IF(D$17=FALSE,"",GasData(GasAnalyser,'Horiba Data'!S305,'Testo, JUM &amp; MRU Data'!D306,'Thermo Data'!E305,'Testo, JUM &amp; MRU Data'!U306,GDF))</f>
        <v/>
      </c>
      <c r="E312" s="981" t="str">
        <f>IF(D312="","",Conc2(D312,D$9,MolVol,D$21,D$20,E$21,E$20))</f>
        <v/>
      </c>
      <c r="F312" s="981" t="str">
        <f>IF(F$17=FALSE,"",GasData(GasAnalyser,'Horiba Data'!AQ305,'Testo, JUM &amp; MRU Data'!E306,'Thermo Data'!F305,'Testo, JUM &amp; MRU Data'!V306,GDF))</f>
        <v/>
      </c>
      <c r="G312" s="981" t="str">
        <f>IF(F312="","",Conc2(F312,F$9,MolVol,F$21,F$20,G$21,G$20))</f>
        <v/>
      </c>
      <c r="H312" s="981" t="str">
        <f>IF(D$17=FALSE,"",IF(F$17=FALSE,"",GasData(GasAnalyser,'Horiba Data'!W305,'Testo, JUM &amp; MRU Data'!F306,'Thermo Data'!G305,'Testo, JUM &amp; MRU Data'!Y306,GDF)))</f>
        <v/>
      </c>
      <c r="I312" s="981" t="str">
        <f>IF(H312="","",Conc2(H312,H$9,MolVol,H$21,H$20,I$21,I$20))</f>
        <v/>
      </c>
      <c r="J312" s="981" t="str">
        <f>IF(J$17=FALSE,"",GasData(GasAnalyser,'Horiba Data'!AM305,'Testo, JUM &amp; MRU Data'!G306,'Thermo Data'!H305,'Testo, JUM &amp; MRU Data'!W306,GDF))</f>
        <v/>
      </c>
      <c r="K312" s="981" t="str">
        <f>IF(J312="","",Conc2(J312,J$9,MolVol,J$21,J$20,K$21,K$20))</f>
        <v/>
      </c>
      <c r="L312" s="981" t="str">
        <f>IF(L$17=FALSE,"",GasData(GasAnalyser,'Horiba Data'!AA305,'Testo, JUM &amp; MRU Data'!H306,'Thermo Data'!I305,'Testo, JUM &amp; MRU Data'!T306,GDF))</f>
        <v/>
      </c>
      <c r="M312" s="981" t="str">
        <f>IF(L312="","",Conc2(L312,L$9,MolVol,L$21,L$20,M$21,M$20))</f>
        <v/>
      </c>
      <c r="N312" s="981" t="str">
        <f>IF(N$17=FALSE,"",GasData(GasAnalyser,'Horiba Data'!AE305,'Testo, JUM &amp; MRU Data'!I306,'Thermo Data'!J305,'Testo, JUM &amp; MRU Data'!S306,GDF))</f>
        <v/>
      </c>
      <c r="O312" s="981" t="str">
        <f>IF(N312="","",Conc2(N312,N$9,MolVol,N$21,N$20,O$21,O$20))</f>
        <v/>
      </c>
      <c r="P312" s="981" t="str">
        <f>IF(P$17=FALSE,"",GasData(GasAnalyser,'Horiba Data'!AI305,'Testo, JUM &amp; MRU Data'!J306,'Thermo Data'!K305,'Testo, JUM &amp; MRU Data'!R306,GDF))</f>
        <v/>
      </c>
      <c r="Q312" s="981" t="str">
        <f>IF(P312="","",Conc2(P312,P$9,MolVol,P$21,P$20,Q$21,Q$20))</f>
        <v/>
      </c>
      <c r="R312" s="981" t="str">
        <f>IF(R$17=FALSE,"",JUMData('Testo, JUM &amp; MRU Data'!M306,$R$7))</f>
        <v/>
      </c>
      <c r="S312" s="982" t="str">
        <f>IF(R312="","",Conc2(R312,R$9,MolVol,R$21,R$20,S$21,S$20)/(1-Bws))</f>
        <v/>
      </c>
      <c r="T312" s="740"/>
      <c r="AR312" s="334"/>
      <c r="AS312" s="334"/>
      <c r="AT312" s="48"/>
      <c r="AU312" s="48"/>
      <c r="AV312" s="153"/>
      <c r="AW312" s="153"/>
      <c r="AX312" s="153"/>
      <c r="AY312" s="153"/>
      <c r="AZ312" s="153"/>
      <c r="BA312" s="153"/>
      <c r="BB312" s="153"/>
      <c r="BC312" s="153"/>
      <c r="BD312" s="153"/>
      <c r="BE312" s="153"/>
      <c r="BF312" s="153"/>
      <c r="BG312" s="153"/>
      <c r="BH312" s="153"/>
      <c r="BI312" s="153"/>
      <c r="BJ312" s="153"/>
      <c r="BK312" s="153"/>
      <c r="BL312" s="153"/>
      <c r="BM312" s="153"/>
      <c r="BN312" s="153"/>
      <c r="BO312" s="153"/>
      <c r="BP312" s="153"/>
      <c r="BQ312" s="153"/>
      <c r="BR312" s="153"/>
      <c r="BS312" s="153"/>
      <c r="BT312" s="153"/>
      <c r="BU312" s="153"/>
      <c r="BV312" s="153"/>
      <c r="BW312" s="153"/>
      <c r="BX312" s="153"/>
      <c r="BY312" s="153"/>
      <c r="BZ312" s="153"/>
      <c r="CA312" s="153"/>
      <c r="CB312" s="153"/>
      <c r="CC312" s="153"/>
      <c r="CD312" s="153"/>
      <c r="CE312" s="153"/>
      <c r="CF312" s="153"/>
      <c r="CG312" s="153"/>
      <c r="CH312" s="153"/>
      <c r="CI312" s="153"/>
      <c r="CJ312" s="153"/>
      <c r="CK312" s="153"/>
      <c r="CL312" s="153"/>
      <c r="CM312" s="153"/>
      <c r="CN312" s="153"/>
      <c r="CO312" s="153"/>
      <c r="CP312" s="153"/>
      <c r="CQ312" s="153"/>
      <c r="CR312" s="153"/>
      <c r="CS312" s="153"/>
      <c r="CT312" s="153"/>
      <c r="CU312" s="153"/>
      <c r="CV312" s="153"/>
      <c r="CW312" s="153"/>
      <c r="CX312" s="153"/>
      <c r="CY312" s="153"/>
      <c r="CZ312" s="153"/>
      <c r="DA312" s="153"/>
      <c r="DB312" s="153"/>
      <c r="DC312" s="153"/>
      <c r="DD312" s="153"/>
      <c r="DE312" s="153"/>
      <c r="DF312" s="153"/>
      <c r="DG312" s="153"/>
      <c r="DH312" s="153"/>
      <c r="DI312" s="153"/>
      <c r="DJ312" s="153"/>
      <c r="DK312" s="153"/>
      <c r="DL312" s="153"/>
      <c r="DM312" s="153"/>
      <c r="DN312" s="153"/>
      <c r="DO312" s="153"/>
      <c r="DP312" s="153"/>
      <c r="DQ312" s="153"/>
      <c r="DR312" s="153"/>
      <c r="DS312" s="153"/>
      <c r="DT312" s="153"/>
      <c r="DU312" s="153"/>
      <c r="DV312" s="153"/>
      <c r="DW312" s="153"/>
      <c r="DX312" s="153"/>
      <c r="DY312" s="153"/>
      <c r="DZ312" s="153"/>
      <c r="EA312" s="153"/>
      <c r="EB312" s="153"/>
      <c r="EC312" s="153"/>
      <c r="ED312" s="153"/>
      <c r="EE312" s="153"/>
      <c r="EF312" s="153"/>
      <c r="EG312" s="153"/>
      <c r="EH312" s="153"/>
      <c r="EI312" s="153"/>
      <c r="EJ312" s="153"/>
      <c r="EK312" s="153"/>
      <c r="EL312" s="153"/>
      <c r="EM312" s="153"/>
    </row>
    <row r="313" spans="1:143" s="107" customFormat="1" ht="10.5" hidden="1" customHeight="1" outlineLevel="2">
      <c r="A313" s="1548">
        <v>288</v>
      </c>
      <c r="B313" s="1560" t="str">
        <f t="shared" si="6"/>
        <v/>
      </c>
      <c r="C313" s="161" t="str">
        <f>GasTime(GasAnalyser,'Horiba Data'!F306,'Horiba Data'!G306,'Testo, JUM &amp; MRU Data'!A307,'Thermo Data'!B306,HourOffset)</f>
        <v/>
      </c>
      <c r="D313" s="981" t="str">
        <f>IF(D$17=FALSE,"",GasData(GasAnalyser,'Horiba Data'!S306,'Testo, JUM &amp; MRU Data'!D307,'Thermo Data'!E306,'Testo, JUM &amp; MRU Data'!U307,GDF))</f>
        <v/>
      </c>
      <c r="E313" s="981" t="str">
        <f>IF(D313="","",Conc2(D313,D$9,MolVol,D$21,D$20,E$21,E$20))</f>
        <v/>
      </c>
      <c r="F313" s="981" t="str">
        <f>IF(F$17=FALSE,"",GasData(GasAnalyser,'Horiba Data'!AQ306,'Testo, JUM &amp; MRU Data'!E307,'Thermo Data'!F306,'Testo, JUM &amp; MRU Data'!V307,GDF))</f>
        <v/>
      </c>
      <c r="G313" s="981" t="str">
        <f>IF(F313="","",Conc2(F313,F$9,MolVol,F$21,F$20,G$21,G$20))</f>
        <v/>
      </c>
      <c r="H313" s="981" t="str">
        <f>IF(D$17=FALSE,"",IF(F$17=FALSE,"",GasData(GasAnalyser,'Horiba Data'!W306,'Testo, JUM &amp; MRU Data'!F307,'Thermo Data'!G306,'Testo, JUM &amp; MRU Data'!Y307,GDF)))</f>
        <v/>
      </c>
      <c r="I313" s="981" t="str">
        <f>IF(H313="","",Conc2(H313,H$9,MolVol,H$21,H$20,I$21,I$20))</f>
        <v/>
      </c>
      <c r="J313" s="981" t="str">
        <f>IF(J$17=FALSE,"",GasData(GasAnalyser,'Horiba Data'!AM306,'Testo, JUM &amp; MRU Data'!G307,'Thermo Data'!H306,'Testo, JUM &amp; MRU Data'!W307,GDF))</f>
        <v/>
      </c>
      <c r="K313" s="981" t="str">
        <f>IF(J313="","",Conc2(J313,J$9,MolVol,J$21,J$20,K$21,K$20))</f>
        <v/>
      </c>
      <c r="L313" s="981" t="str">
        <f>IF(L$17=FALSE,"",GasData(GasAnalyser,'Horiba Data'!AA306,'Testo, JUM &amp; MRU Data'!H307,'Thermo Data'!I306,'Testo, JUM &amp; MRU Data'!T307,GDF))</f>
        <v/>
      </c>
      <c r="M313" s="981" t="str">
        <f>IF(L313="","",Conc2(L313,L$9,MolVol,L$21,L$20,M$21,M$20))</f>
        <v/>
      </c>
      <c r="N313" s="981" t="str">
        <f>IF(N$17=FALSE,"",GasData(GasAnalyser,'Horiba Data'!AE306,'Testo, JUM &amp; MRU Data'!I307,'Thermo Data'!J306,'Testo, JUM &amp; MRU Data'!S307,GDF))</f>
        <v/>
      </c>
      <c r="O313" s="981" t="str">
        <f>IF(N313="","",Conc2(N313,N$9,MolVol,N$21,N$20,O$21,O$20))</f>
        <v/>
      </c>
      <c r="P313" s="981" t="str">
        <f>IF(P$17=FALSE,"",GasData(GasAnalyser,'Horiba Data'!AI306,'Testo, JUM &amp; MRU Data'!J307,'Thermo Data'!K306,'Testo, JUM &amp; MRU Data'!R307,GDF))</f>
        <v/>
      </c>
      <c r="Q313" s="981" t="str">
        <f>IF(P313="","",Conc2(P313,P$9,MolVol,P$21,P$20,Q$21,Q$20))</f>
        <v/>
      </c>
      <c r="R313" s="981" t="str">
        <f>IF(R$17=FALSE,"",JUMData('Testo, JUM &amp; MRU Data'!M307,$R$7))</f>
        <v/>
      </c>
      <c r="S313" s="982" t="str">
        <f>IF(R313="","",Conc2(R313,R$9,MolVol,R$21,R$20,S$21,S$20)/(1-Bws))</f>
        <v/>
      </c>
      <c r="T313" s="740"/>
      <c r="AR313" s="334"/>
      <c r="AS313" s="334"/>
      <c r="AT313" s="48"/>
      <c r="AU313" s="48"/>
      <c r="AV313" s="153"/>
      <c r="AW313" s="153"/>
      <c r="AX313" s="153"/>
      <c r="AY313" s="153"/>
      <c r="AZ313" s="153"/>
      <c r="BA313" s="153"/>
      <c r="BB313" s="153"/>
      <c r="BC313" s="153"/>
      <c r="BD313" s="153"/>
      <c r="BE313" s="153"/>
      <c r="BF313" s="153"/>
      <c r="BG313" s="153"/>
      <c r="BH313" s="153"/>
      <c r="BI313" s="153"/>
      <c r="BJ313" s="153"/>
      <c r="BK313" s="153"/>
      <c r="BL313" s="153"/>
      <c r="BM313" s="153"/>
      <c r="BN313" s="153"/>
      <c r="BO313" s="153"/>
      <c r="BP313" s="153"/>
      <c r="BQ313" s="153"/>
      <c r="BR313" s="153"/>
      <c r="BS313" s="153"/>
      <c r="BT313" s="153"/>
      <c r="BU313" s="153"/>
      <c r="BV313" s="153"/>
      <c r="BW313" s="153"/>
      <c r="BX313" s="153"/>
      <c r="BY313" s="153"/>
      <c r="BZ313" s="153"/>
      <c r="CA313" s="153"/>
      <c r="CB313" s="153"/>
      <c r="CC313" s="153"/>
      <c r="CD313" s="153"/>
      <c r="CE313" s="153"/>
      <c r="CF313" s="153"/>
      <c r="CG313" s="153"/>
      <c r="CH313" s="153"/>
      <c r="CI313" s="153"/>
      <c r="CJ313" s="153"/>
      <c r="CK313" s="153"/>
      <c r="CL313" s="153"/>
      <c r="CM313" s="153"/>
      <c r="CN313" s="153"/>
      <c r="CO313" s="153"/>
      <c r="CP313" s="153"/>
      <c r="CQ313" s="153"/>
      <c r="CR313" s="153"/>
      <c r="CS313" s="153"/>
      <c r="CT313" s="153"/>
      <c r="CU313" s="153"/>
      <c r="CV313" s="153"/>
      <c r="CW313" s="153"/>
      <c r="CX313" s="153"/>
      <c r="CY313" s="153"/>
      <c r="CZ313" s="153"/>
      <c r="DA313" s="153"/>
      <c r="DB313" s="153"/>
      <c r="DC313" s="153"/>
      <c r="DD313" s="153"/>
      <c r="DE313" s="153"/>
      <c r="DF313" s="153"/>
      <c r="DG313" s="153"/>
      <c r="DH313" s="153"/>
      <c r="DI313" s="153"/>
      <c r="DJ313" s="153"/>
      <c r="DK313" s="153"/>
      <c r="DL313" s="153"/>
      <c r="DM313" s="153"/>
      <c r="DN313" s="153"/>
      <c r="DO313" s="153"/>
      <c r="DP313" s="153"/>
      <c r="DQ313" s="153"/>
      <c r="DR313" s="153"/>
      <c r="DS313" s="153"/>
      <c r="DT313" s="153"/>
      <c r="DU313" s="153"/>
      <c r="DV313" s="153"/>
      <c r="DW313" s="153"/>
      <c r="DX313" s="153"/>
      <c r="DY313" s="153"/>
      <c r="DZ313" s="153"/>
      <c r="EA313" s="153"/>
      <c r="EB313" s="153"/>
      <c r="EC313" s="153"/>
      <c r="ED313" s="153"/>
      <c r="EE313" s="153"/>
      <c r="EF313" s="153"/>
      <c r="EG313" s="153"/>
      <c r="EH313" s="153"/>
      <c r="EI313" s="153"/>
      <c r="EJ313" s="153"/>
      <c r="EK313" s="153"/>
      <c r="EL313" s="153"/>
      <c r="EM313" s="153"/>
    </row>
    <row r="314" spans="1:143" s="107" customFormat="1" ht="10.5" hidden="1" customHeight="1" outlineLevel="2">
      <c r="A314" s="1548">
        <v>289</v>
      </c>
      <c r="B314" s="1560" t="str">
        <f t="shared" si="6"/>
        <v/>
      </c>
      <c r="C314" s="161" t="str">
        <f>GasTime(GasAnalyser,'Horiba Data'!F307,'Horiba Data'!G307,'Testo, JUM &amp; MRU Data'!A308,'Thermo Data'!B307,HourOffset)</f>
        <v/>
      </c>
      <c r="D314" s="981" t="str">
        <f>IF(D$17=FALSE,"",GasData(GasAnalyser,'Horiba Data'!S307,'Testo, JUM &amp; MRU Data'!D308,'Thermo Data'!E307,'Testo, JUM &amp; MRU Data'!U308,GDF))</f>
        <v/>
      </c>
      <c r="E314" s="981" t="str">
        <f>IF(D314="","",Conc2(D314,D$9,MolVol,D$21,D$20,E$21,E$20))</f>
        <v/>
      </c>
      <c r="F314" s="981" t="str">
        <f>IF(F$17=FALSE,"",GasData(GasAnalyser,'Horiba Data'!AQ307,'Testo, JUM &amp; MRU Data'!E308,'Thermo Data'!F307,'Testo, JUM &amp; MRU Data'!V308,GDF))</f>
        <v/>
      </c>
      <c r="G314" s="981" t="str">
        <f>IF(F314="","",Conc2(F314,F$9,MolVol,F$21,F$20,G$21,G$20))</f>
        <v/>
      </c>
      <c r="H314" s="981" t="str">
        <f>IF(D$17=FALSE,"",IF(F$17=FALSE,"",GasData(GasAnalyser,'Horiba Data'!W307,'Testo, JUM &amp; MRU Data'!F308,'Thermo Data'!G307,'Testo, JUM &amp; MRU Data'!Y308,GDF)))</f>
        <v/>
      </c>
      <c r="I314" s="981" t="str">
        <f>IF(H314="","",Conc2(H314,H$9,MolVol,H$21,H$20,I$21,I$20))</f>
        <v/>
      </c>
      <c r="J314" s="981" t="str">
        <f>IF(J$17=FALSE,"",GasData(GasAnalyser,'Horiba Data'!AM307,'Testo, JUM &amp; MRU Data'!G308,'Thermo Data'!H307,'Testo, JUM &amp; MRU Data'!W308,GDF))</f>
        <v/>
      </c>
      <c r="K314" s="981" t="str">
        <f>IF(J314="","",Conc2(J314,J$9,MolVol,J$21,J$20,K$21,K$20))</f>
        <v/>
      </c>
      <c r="L314" s="981" t="str">
        <f>IF(L$17=FALSE,"",GasData(GasAnalyser,'Horiba Data'!AA307,'Testo, JUM &amp; MRU Data'!H308,'Thermo Data'!I307,'Testo, JUM &amp; MRU Data'!T308,GDF))</f>
        <v/>
      </c>
      <c r="M314" s="981" t="str">
        <f>IF(L314="","",Conc2(L314,L$9,MolVol,L$21,L$20,M$21,M$20))</f>
        <v/>
      </c>
      <c r="N314" s="981" t="str">
        <f>IF(N$17=FALSE,"",GasData(GasAnalyser,'Horiba Data'!AE307,'Testo, JUM &amp; MRU Data'!I308,'Thermo Data'!J307,'Testo, JUM &amp; MRU Data'!S308,GDF))</f>
        <v/>
      </c>
      <c r="O314" s="981" t="str">
        <f>IF(N314="","",Conc2(N314,N$9,MolVol,N$21,N$20,O$21,O$20))</f>
        <v/>
      </c>
      <c r="P314" s="981" t="str">
        <f>IF(P$17=FALSE,"",GasData(GasAnalyser,'Horiba Data'!AI307,'Testo, JUM &amp; MRU Data'!J308,'Thermo Data'!K307,'Testo, JUM &amp; MRU Data'!R308,GDF))</f>
        <v/>
      </c>
      <c r="Q314" s="981" t="str">
        <f>IF(P314="","",Conc2(P314,P$9,MolVol,P$21,P$20,Q$21,Q$20))</f>
        <v/>
      </c>
      <c r="R314" s="981" t="str">
        <f>IF(R$17=FALSE,"",JUMData('Testo, JUM &amp; MRU Data'!M308,$R$7))</f>
        <v/>
      </c>
      <c r="S314" s="982" t="str">
        <f>IF(R314="","",Conc2(R314,R$9,MolVol,R$21,R$20,S$21,S$20)/(1-Bws))</f>
        <v/>
      </c>
      <c r="T314" s="740"/>
      <c r="AR314" s="334"/>
      <c r="AS314" s="334"/>
      <c r="AT314" s="48"/>
      <c r="AU314" s="48"/>
      <c r="AV314" s="153"/>
      <c r="AW314" s="153"/>
      <c r="AX314" s="153"/>
      <c r="AY314" s="153"/>
      <c r="AZ314" s="153"/>
      <c r="BA314" s="153"/>
      <c r="BB314" s="153"/>
      <c r="BC314" s="153"/>
      <c r="BD314" s="153"/>
      <c r="BE314" s="153"/>
      <c r="BF314" s="153"/>
      <c r="BG314" s="153"/>
      <c r="BH314" s="153"/>
      <c r="BI314" s="153"/>
      <c r="BJ314" s="153"/>
      <c r="BK314" s="153"/>
      <c r="BL314" s="153"/>
      <c r="BM314" s="153"/>
      <c r="BN314" s="153"/>
      <c r="BO314" s="153"/>
      <c r="BP314" s="153"/>
      <c r="BQ314" s="153"/>
      <c r="BR314" s="153"/>
      <c r="BS314" s="153"/>
      <c r="BT314" s="153"/>
      <c r="BU314" s="153"/>
      <c r="BV314" s="153"/>
      <c r="BW314" s="153"/>
      <c r="BX314" s="153"/>
      <c r="BY314" s="153"/>
      <c r="BZ314" s="153"/>
      <c r="CA314" s="153"/>
      <c r="CB314" s="153"/>
      <c r="CC314" s="153"/>
      <c r="CD314" s="153"/>
      <c r="CE314" s="153"/>
      <c r="CF314" s="153"/>
      <c r="CG314" s="153"/>
      <c r="CH314" s="153"/>
      <c r="CI314" s="153"/>
      <c r="CJ314" s="153"/>
      <c r="CK314" s="153"/>
      <c r="CL314" s="153"/>
      <c r="CM314" s="153"/>
      <c r="CN314" s="153"/>
      <c r="CO314" s="153"/>
      <c r="CP314" s="153"/>
      <c r="CQ314" s="153"/>
      <c r="CR314" s="153"/>
      <c r="CS314" s="153"/>
      <c r="CT314" s="153"/>
      <c r="CU314" s="153"/>
      <c r="CV314" s="153"/>
      <c r="CW314" s="153"/>
      <c r="CX314" s="153"/>
      <c r="CY314" s="153"/>
      <c r="CZ314" s="153"/>
      <c r="DA314" s="153"/>
      <c r="DB314" s="153"/>
      <c r="DC314" s="153"/>
      <c r="DD314" s="153"/>
      <c r="DE314" s="153"/>
      <c r="DF314" s="153"/>
      <c r="DG314" s="153"/>
      <c r="DH314" s="153"/>
      <c r="DI314" s="153"/>
      <c r="DJ314" s="153"/>
      <c r="DK314" s="153"/>
      <c r="DL314" s="153"/>
      <c r="DM314" s="153"/>
      <c r="DN314" s="153"/>
      <c r="DO314" s="153"/>
      <c r="DP314" s="153"/>
      <c r="DQ314" s="153"/>
      <c r="DR314" s="153"/>
      <c r="DS314" s="153"/>
      <c r="DT314" s="153"/>
      <c r="DU314" s="153"/>
      <c r="DV314" s="153"/>
      <c r="DW314" s="153"/>
      <c r="DX314" s="153"/>
      <c r="DY314" s="153"/>
      <c r="DZ314" s="153"/>
      <c r="EA314" s="153"/>
      <c r="EB314" s="153"/>
      <c r="EC314" s="153"/>
      <c r="ED314" s="153"/>
      <c r="EE314" s="153"/>
      <c r="EF314" s="153"/>
      <c r="EG314" s="153"/>
      <c r="EH314" s="153"/>
      <c r="EI314" s="153"/>
      <c r="EJ314" s="153"/>
      <c r="EK314" s="153"/>
      <c r="EL314" s="153"/>
      <c r="EM314" s="153"/>
    </row>
    <row r="315" spans="1:143" s="107" customFormat="1" ht="10.5" hidden="1" customHeight="1" outlineLevel="2">
      <c r="A315" s="1548">
        <v>290</v>
      </c>
      <c r="B315" s="1560" t="str">
        <f t="shared" si="6"/>
        <v/>
      </c>
      <c r="C315" s="161" t="str">
        <f>GasTime(GasAnalyser,'Horiba Data'!F308,'Horiba Data'!G308,'Testo, JUM &amp; MRU Data'!A309,'Thermo Data'!B308,HourOffset)</f>
        <v/>
      </c>
      <c r="D315" s="981" t="str">
        <f>IF(D$17=FALSE,"",GasData(GasAnalyser,'Horiba Data'!S308,'Testo, JUM &amp; MRU Data'!D309,'Thermo Data'!E308,'Testo, JUM &amp; MRU Data'!U309,GDF))</f>
        <v/>
      </c>
      <c r="E315" s="981" t="str">
        <f>IF(D315="","",Conc2(D315,D$9,MolVol,D$21,D$20,E$21,E$20))</f>
        <v/>
      </c>
      <c r="F315" s="981" t="str">
        <f>IF(F$17=FALSE,"",GasData(GasAnalyser,'Horiba Data'!AQ308,'Testo, JUM &amp; MRU Data'!E309,'Thermo Data'!F308,'Testo, JUM &amp; MRU Data'!V309,GDF))</f>
        <v/>
      </c>
      <c r="G315" s="981" t="str">
        <f>IF(F315="","",Conc2(F315,F$9,MolVol,F$21,F$20,G$21,G$20))</f>
        <v/>
      </c>
      <c r="H315" s="981" t="str">
        <f>IF(D$17=FALSE,"",IF(F$17=FALSE,"",GasData(GasAnalyser,'Horiba Data'!W308,'Testo, JUM &amp; MRU Data'!F309,'Thermo Data'!G308,'Testo, JUM &amp; MRU Data'!Y309,GDF)))</f>
        <v/>
      </c>
      <c r="I315" s="981" t="str">
        <f>IF(H315="","",Conc2(H315,H$9,MolVol,H$21,H$20,I$21,I$20))</f>
        <v/>
      </c>
      <c r="J315" s="981" t="str">
        <f>IF(J$17=FALSE,"",GasData(GasAnalyser,'Horiba Data'!AM308,'Testo, JUM &amp; MRU Data'!G309,'Thermo Data'!H308,'Testo, JUM &amp; MRU Data'!W309,GDF))</f>
        <v/>
      </c>
      <c r="K315" s="981" t="str">
        <f>IF(J315="","",Conc2(J315,J$9,MolVol,J$21,J$20,K$21,K$20))</f>
        <v/>
      </c>
      <c r="L315" s="981" t="str">
        <f>IF(L$17=FALSE,"",GasData(GasAnalyser,'Horiba Data'!AA308,'Testo, JUM &amp; MRU Data'!H309,'Thermo Data'!I308,'Testo, JUM &amp; MRU Data'!T309,GDF))</f>
        <v/>
      </c>
      <c r="M315" s="981" t="str">
        <f>IF(L315="","",Conc2(L315,L$9,MolVol,L$21,L$20,M$21,M$20))</f>
        <v/>
      </c>
      <c r="N315" s="981" t="str">
        <f>IF(N$17=FALSE,"",GasData(GasAnalyser,'Horiba Data'!AE308,'Testo, JUM &amp; MRU Data'!I309,'Thermo Data'!J308,'Testo, JUM &amp; MRU Data'!S309,GDF))</f>
        <v/>
      </c>
      <c r="O315" s="981" t="str">
        <f>IF(N315="","",Conc2(N315,N$9,MolVol,N$21,N$20,O$21,O$20))</f>
        <v/>
      </c>
      <c r="P315" s="981" t="str">
        <f>IF(P$17=FALSE,"",GasData(GasAnalyser,'Horiba Data'!AI308,'Testo, JUM &amp; MRU Data'!J309,'Thermo Data'!K308,'Testo, JUM &amp; MRU Data'!R309,GDF))</f>
        <v/>
      </c>
      <c r="Q315" s="981" t="str">
        <f>IF(P315="","",Conc2(P315,P$9,MolVol,P$21,P$20,Q$21,Q$20))</f>
        <v/>
      </c>
      <c r="R315" s="981" t="str">
        <f>IF(R$17=FALSE,"",JUMData('Testo, JUM &amp; MRU Data'!M309,$R$7))</f>
        <v/>
      </c>
      <c r="S315" s="982" t="str">
        <f>IF(R315="","",Conc2(R315,R$9,MolVol,R$21,R$20,S$21,S$20)/(1-Bws))</f>
        <v/>
      </c>
      <c r="T315" s="740"/>
      <c r="AR315" s="334"/>
      <c r="AS315" s="334"/>
      <c r="AT315" s="48"/>
      <c r="AU315" s="48"/>
      <c r="AV315" s="153"/>
      <c r="AW315" s="153"/>
      <c r="AX315" s="153"/>
      <c r="AY315" s="153"/>
      <c r="AZ315" s="153"/>
      <c r="BA315" s="153"/>
      <c r="BB315" s="153"/>
      <c r="BC315" s="153"/>
      <c r="BD315" s="153"/>
      <c r="BE315" s="153"/>
      <c r="BF315" s="153"/>
      <c r="BG315" s="153"/>
      <c r="BH315" s="153"/>
      <c r="BI315" s="153"/>
      <c r="BJ315" s="153"/>
      <c r="BK315" s="153"/>
      <c r="BL315" s="153"/>
      <c r="BM315" s="153"/>
      <c r="BN315" s="153"/>
      <c r="BO315" s="153"/>
      <c r="BP315" s="153"/>
      <c r="BQ315" s="153"/>
      <c r="BR315" s="153"/>
      <c r="BS315" s="153"/>
      <c r="BT315" s="153"/>
      <c r="BU315" s="153"/>
      <c r="BV315" s="153"/>
      <c r="BW315" s="153"/>
      <c r="BX315" s="153"/>
      <c r="BY315" s="153"/>
      <c r="BZ315" s="153"/>
      <c r="CA315" s="153"/>
      <c r="CB315" s="153"/>
      <c r="CC315" s="153"/>
      <c r="CD315" s="153"/>
      <c r="CE315" s="153"/>
      <c r="CF315" s="153"/>
      <c r="CG315" s="153"/>
      <c r="CH315" s="153"/>
      <c r="CI315" s="153"/>
      <c r="CJ315" s="153"/>
      <c r="CK315" s="153"/>
      <c r="CL315" s="153"/>
      <c r="CM315" s="153"/>
      <c r="CN315" s="153"/>
      <c r="CO315" s="153"/>
      <c r="CP315" s="153"/>
      <c r="CQ315" s="153"/>
      <c r="CR315" s="153"/>
      <c r="CS315" s="153"/>
      <c r="CT315" s="153"/>
      <c r="CU315" s="153"/>
      <c r="CV315" s="153"/>
      <c r="CW315" s="153"/>
      <c r="CX315" s="153"/>
      <c r="CY315" s="153"/>
      <c r="CZ315" s="153"/>
      <c r="DA315" s="153"/>
      <c r="DB315" s="153"/>
      <c r="DC315" s="153"/>
      <c r="DD315" s="153"/>
      <c r="DE315" s="153"/>
      <c r="DF315" s="153"/>
      <c r="DG315" s="153"/>
      <c r="DH315" s="153"/>
      <c r="DI315" s="153"/>
      <c r="DJ315" s="153"/>
      <c r="DK315" s="153"/>
      <c r="DL315" s="153"/>
      <c r="DM315" s="153"/>
      <c r="DN315" s="153"/>
      <c r="DO315" s="153"/>
      <c r="DP315" s="153"/>
      <c r="DQ315" s="153"/>
      <c r="DR315" s="153"/>
      <c r="DS315" s="153"/>
      <c r="DT315" s="153"/>
      <c r="DU315" s="153"/>
      <c r="DV315" s="153"/>
      <c r="DW315" s="153"/>
      <c r="DX315" s="153"/>
      <c r="DY315" s="153"/>
      <c r="DZ315" s="153"/>
      <c r="EA315" s="153"/>
      <c r="EB315" s="153"/>
      <c r="EC315" s="153"/>
      <c r="ED315" s="153"/>
      <c r="EE315" s="153"/>
      <c r="EF315" s="153"/>
      <c r="EG315" s="153"/>
      <c r="EH315" s="153"/>
      <c r="EI315" s="153"/>
      <c r="EJ315" s="153"/>
      <c r="EK315" s="153"/>
      <c r="EL315" s="153"/>
      <c r="EM315" s="153"/>
    </row>
    <row r="316" spans="1:143" s="107" customFormat="1" ht="10.5" hidden="1" customHeight="1" outlineLevel="2">
      <c r="A316" s="1548">
        <v>291</v>
      </c>
      <c r="B316" s="1560" t="str">
        <f t="shared" si="6"/>
        <v/>
      </c>
      <c r="C316" s="161" t="str">
        <f>GasTime(GasAnalyser,'Horiba Data'!F309,'Horiba Data'!G309,'Testo, JUM &amp; MRU Data'!A310,'Thermo Data'!B309,HourOffset)</f>
        <v/>
      </c>
      <c r="D316" s="981" t="str">
        <f>IF(D$17=FALSE,"",GasData(GasAnalyser,'Horiba Data'!S309,'Testo, JUM &amp; MRU Data'!D310,'Thermo Data'!E309,'Testo, JUM &amp; MRU Data'!U310,GDF))</f>
        <v/>
      </c>
      <c r="E316" s="981" t="str">
        <f>IF(D316="","",Conc2(D316,D$9,MolVol,D$21,D$20,E$21,E$20))</f>
        <v/>
      </c>
      <c r="F316" s="981" t="str">
        <f>IF(F$17=FALSE,"",GasData(GasAnalyser,'Horiba Data'!AQ309,'Testo, JUM &amp; MRU Data'!E310,'Thermo Data'!F309,'Testo, JUM &amp; MRU Data'!V310,GDF))</f>
        <v/>
      </c>
      <c r="G316" s="981" t="str">
        <f>IF(F316="","",Conc2(F316,F$9,MolVol,F$21,F$20,G$21,G$20))</f>
        <v/>
      </c>
      <c r="H316" s="981" t="str">
        <f>IF(D$17=FALSE,"",IF(F$17=FALSE,"",GasData(GasAnalyser,'Horiba Data'!W309,'Testo, JUM &amp; MRU Data'!F310,'Thermo Data'!G309,'Testo, JUM &amp; MRU Data'!Y310,GDF)))</f>
        <v/>
      </c>
      <c r="I316" s="981" t="str">
        <f>IF(H316="","",Conc2(H316,H$9,MolVol,H$21,H$20,I$21,I$20))</f>
        <v/>
      </c>
      <c r="J316" s="981" t="str">
        <f>IF(J$17=FALSE,"",GasData(GasAnalyser,'Horiba Data'!AM309,'Testo, JUM &amp; MRU Data'!G310,'Thermo Data'!H309,'Testo, JUM &amp; MRU Data'!W310,GDF))</f>
        <v/>
      </c>
      <c r="K316" s="981" t="str">
        <f>IF(J316="","",Conc2(J316,J$9,MolVol,J$21,J$20,K$21,K$20))</f>
        <v/>
      </c>
      <c r="L316" s="981" t="str">
        <f>IF(L$17=FALSE,"",GasData(GasAnalyser,'Horiba Data'!AA309,'Testo, JUM &amp; MRU Data'!H310,'Thermo Data'!I309,'Testo, JUM &amp; MRU Data'!T310,GDF))</f>
        <v/>
      </c>
      <c r="M316" s="981" t="str">
        <f>IF(L316="","",Conc2(L316,L$9,MolVol,L$21,L$20,M$21,M$20))</f>
        <v/>
      </c>
      <c r="N316" s="981" t="str">
        <f>IF(N$17=FALSE,"",GasData(GasAnalyser,'Horiba Data'!AE309,'Testo, JUM &amp; MRU Data'!I310,'Thermo Data'!J309,'Testo, JUM &amp; MRU Data'!S310,GDF))</f>
        <v/>
      </c>
      <c r="O316" s="981" t="str">
        <f>IF(N316="","",Conc2(N316,N$9,MolVol,N$21,N$20,O$21,O$20))</f>
        <v/>
      </c>
      <c r="P316" s="981" t="str">
        <f>IF(P$17=FALSE,"",GasData(GasAnalyser,'Horiba Data'!AI309,'Testo, JUM &amp; MRU Data'!J310,'Thermo Data'!K309,'Testo, JUM &amp; MRU Data'!R310,GDF))</f>
        <v/>
      </c>
      <c r="Q316" s="981" t="str">
        <f>IF(P316="","",Conc2(P316,P$9,MolVol,P$21,P$20,Q$21,Q$20))</f>
        <v/>
      </c>
      <c r="R316" s="981" t="str">
        <f>IF(R$17=FALSE,"",JUMData('Testo, JUM &amp; MRU Data'!M310,$R$7))</f>
        <v/>
      </c>
      <c r="S316" s="982" t="str">
        <f>IF(R316="","",Conc2(R316,R$9,MolVol,R$21,R$20,S$21,S$20)/(1-Bws))</f>
        <v/>
      </c>
      <c r="T316" s="740"/>
      <c r="AR316" s="334"/>
      <c r="AS316" s="334"/>
      <c r="AT316" s="48"/>
      <c r="AU316" s="48"/>
      <c r="AV316" s="153"/>
      <c r="AW316" s="153"/>
      <c r="AX316" s="153"/>
      <c r="AY316" s="153"/>
      <c r="AZ316" s="153"/>
      <c r="BA316" s="153"/>
      <c r="BB316" s="153"/>
      <c r="BC316" s="153"/>
      <c r="BD316" s="153"/>
      <c r="BE316" s="153"/>
      <c r="BF316" s="153"/>
      <c r="BG316" s="153"/>
      <c r="BH316" s="153"/>
      <c r="BI316" s="153"/>
      <c r="BJ316" s="153"/>
      <c r="BK316" s="153"/>
      <c r="BL316" s="153"/>
      <c r="BM316" s="153"/>
      <c r="BN316" s="153"/>
      <c r="BO316" s="153"/>
      <c r="BP316" s="153"/>
      <c r="BQ316" s="153"/>
      <c r="BR316" s="153"/>
      <c r="BS316" s="153"/>
      <c r="BT316" s="153"/>
      <c r="BU316" s="153"/>
      <c r="BV316" s="153"/>
      <c r="BW316" s="153"/>
      <c r="BX316" s="153"/>
      <c r="BY316" s="153"/>
      <c r="BZ316" s="153"/>
      <c r="CA316" s="153"/>
      <c r="CB316" s="153"/>
      <c r="CC316" s="153"/>
      <c r="CD316" s="153"/>
      <c r="CE316" s="153"/>
      <c r="CF316" s="153"/>
      <c r="CG316" s="153"/>
      <c r="CH316" s="153"/>
      <c r="CI316" s="153"/>
      <c r="CJ316" s="153"/>
      <c r="CK316" s="153"/>
      <c r="CL316" s="153"/>
      <c r="CM316" s="153"/>
      <c r="CN316" s="153"/>
      <c r="CO316" s="153"/>
      <c r="CP316" s="153"/>
      <c r="CQ316" s="153"/>
      <c r="CR316" s="153"/>
      <c r="CS316" s="153"/>
      <c r="CT316" s="153"/>
      <c r="CU316" s="153"/>
      <c r="CV316" s="153"/>
      <c r="CW316" s="153"/>
      <c r="CX316" s="153"/>
      <c r="CY316" s="153"/>
      <c r="CZ316" s="153"/>
      <c r="DA316" s="153"/>
      <c r="DB316" s="153"/>
      <c r="DC316" s="153"/>
      <c r="DD316" s="153"/>
      <c r="DE316" s="153"/>
      <c r="DF316" s="153"/>
      <c r="DG316" s="153"/>
      <c r="DH316" s="153"/>
      <c r="DI316" s="153"/>
      <c r="DJ316" s="153"/>
      <c r="DK316" s="153"/>
      <c r="DL316" s="153"/>
      <c r="DM316" s="153"/>
      <c r="DN316" s="153"/>
      <c r="DO316" s="153"/>
      <c r="DP316" s="153"/>
      <c r="DQ316" s="153"/>
      <c r="DR316" s="153"/>
      <c r="DS316" s="153"/>
      <c r="DT316" s="153"/>
      <c r="DU316" s="153"/>
      <c r="DV316" s="153"/>
      <c r="DW316" s="153"/>
      <c r="DX316" s="153"/>
      <c r="DY316" s="153"/>
      <c r="DZ316" s="153"/>
      <c r="EA316" s="153"/>
      <c r="EB316" s="153"/>
      <c r="EC316" s="153"/>
      <c r="ED316" s="153"/>
      <c r="EE316" s="153"/>
      <c r="EF316" s="153"/>
      <c r="EG316" s="153"/>
      <c r="EH316" s="153"/>
      <c r="EI316" s="153"/>
      <c r="EJ316" s="153"/>
      <c r="EK316" s="153"/>
      <c r="EL316" s="153"/>
      <c r="EM316" s="153"/>
    </row>
    <row r="317" spans="1:143" s="107" customFormat="1" ht="10.5" hidden="1" customHeight="1" outlineLevel="2">
      <c r="A317" s="1548">
        <v>292</v>
      </c>
      <c r="B317" s="1560" t="str">
        <f t="shared" si="6"/>
        <v/>
      </c>
      <c r="C317" s="161" t="str">
        <f>GasTime(GasAnalyser,'Horiba Data'!F310,'Horiba Data'!G310,'Testo, JUM &amp; MRU Data'!A311,'Thermo Data'!B310,HourOffset)</f>
        <v/>
      </c>
      <c r="D317" s="981" t="str">
        <f>IF(D$17=FALSE,"",GasData(GasAnalyser,'Horiba Data'!S310,'Testo, JUM &amp; MRU Data'!D311,'Thermo Data'!E310,'Testo, JUM &amp; MRU Data'!U311,GDF))</f>
        <v/>
      </c>
      <c r="E317" s="981" t="str">
        <f>IF(D317="","",Conc2(D317,D$9,MolVol,D$21,D$20,E$21,E$20))</f>
        <v/>
      </c>
      <c r="F317" s="981" t="str">
        <f>IF(F$17=FALSE,"",GasData(GasAnalyser,'Horiba Data'!AQ310,'Testo, JUM &amp; MRU Data'!E311,'Thermo Data'!F310,'Testo, JUM &amp; MRU Data'!V311,GDF))</f>
        <v/>
      </c>
      <c r="G317" s="981" t="str">
        <f>IF(F317="","",Conc2(F317,F$9,MolVol,F$21,F$20,G$21,G$20))</f>
        <v/>
      </c>
      <c r="H317" s="981" t="str">
        <f>IF(D$17=FALSE,"",IF(F$17=FALSE,"",GasData(GasAnalyser,'Horiba Data'!W310,'Testo, JUM &amp; MRU Data'!F311,'Thermo Data'!G310,'Testo, JUM &amp; MRU Data'!Y311,GDF)))</f>
        <v/>
      </c>
      <c r="I317" s="981" t="str">
        <f>IF(H317="","",Conc2(H317,H$9,MolVol,H$21,H$20,I$21,I$20))</f>
        <v/>
      </c>
      <c r="J317" s="981" t="str">
        <f>IF(J$17=FALSE,"",GasData(GasAnalyser,'Horiba Data'!AM310,'Testo, JUM &amp; MRU Data'!G311,'Thermo Data'!H310,'Testo, JUM &amp; MRU Data'!W311,GDF))</f>
        <v/>
      </c>
      <c r="K317" s="981" t="str">
        <f>IF(J317="","",Conc2(J317,J$9,MolVol,J$21,J$20,K$21,K$20))</f>
        <v/>
      </c>
      <c r="L317" s="981" t="str">
        <f>IF(L$17=FALSE,"",GasData(GasAnalyser,'Horiba Data'!AA310,'Testo, JUM &amp; MRU Data'!H311,'Thermo Data'!I310,'Testo, JUM &amp; MRU Data'!T311,GDF))</f>
        <v/>
      </c>
      <c r="M317" s="981" t="str">
        <f>IF(L317="","",Conc2(L317,L$9,MolVol,L$21,L$20,M$21,M$20))</f>
        <v/>
      </c>
      <c r="N317" s="981" t="str">
        <f>IF(N$17=FALSE,"",GasData(GasAnalyser,'Horiba Data'!AE310,'Testo, JUM &amp; MRU Data'!I311,'Thermo Data'!J310,'Testo, JUM &amp; MRU Data'!S311,GDF))</f>
        <v/>
      </c>
      <c r="O317" s="981" t="str">
        <f>IF(N317="","",Conc2(N317,N$9,MolVol,N$21,N$20,O$21,O$20))</f>
        <v/>
      </c>
      <c r="P317" s="981" t="str">
        <f>IF(P$17=FALSE,"",GasData(GasAnalyser,'Horiba Data'!AI310,'Testo, JUM &amp; MRU Data'!J311,'Thermo Data'!K310,'Testo, JUM &amp; MRU Data'!R311,GDF))</f>
        <v/>
      </c>
      <c r="Q317" s="981" t="str">
        <f>IF(P317="","",Conc2(P317,P$9,MolVol,P$21,P$20,Q$21,Q$20))</f>
        <v/>
      </c>
      <c r="R317" s="981" t="str">
        <f>IF(R$17=FALSE,"",JUMData('Testo, JUM &amp; MRU Data'!M311,$R$7))</f>
        <v/>
      </c>
      <c r="S317" s="982" t="str">
        <f>IF(R317="","",Conc2(R317,R$9,MolVol,R$21,R$20,S$21,S$20)/(1-Bws))</f>
        <v/>
      </c>
      <c r="T317" s="740"/>
      <c r="AR317" s="334"/>
      <c r="AS317" s="334"/>
      <c r="AT317" s="48"/>
      <c r="AU317" s="48"/>
      <c r="AV317" s="153"/>
      <c r="AW317" s="153"/>
      <c r="AX317" s="153"/>
      <c r="AY317" s="153"/>
      <c r="AZ317" s="153"/>
      <c r="BA317" s="153"/>
      <c r="BB317" s="153"/>
      <c r="BC317" s="153"/>
      <c r="BD317" s="153"/>
      <c r="BE317" s="153"/>
      <c r="BF317" s="153"/>
      <c r="BG317" s="153"/>
      <c r="BH317" s="153"/>
      <c r="BI317" s="153"/>
      <c r="BJ317" s="153"/>
      <c r="BK317" s="153"/>
      <c r="BL317" s="153"/>
      <c r="BM317" s="153"/>
      <c r="BN317" s="153"/>
      <c r="BO317" s="153"/>
      <c r="BP317" s="153"/>
      <c r="BQ317" s="153"/>
      <c r="BR317" s="153"/>
      <c r="BS317" s="153"/>
      <c r="BT317" s="153"/>
      <c r="BU317" s="153"/>
      <c r="BV317" s="153"/>
      <c r="BW317" s="153"/>
      <c r="BX317" s="153"/>
      <c r="BY317" s="153"/>
      <c r="BZ317" s="153"/>
      <c r="CA317" s="153"/>
      <c r="CB317" s="153"/>
      <c r="CC317" s="153"/>
      <c r="CD317" s="153"/>
      <c r="CE317" s="153"/>
      <c r="CF317" s="153"/>
      <c r="CG317" s="153"/>
      <c r="CH317" s="153"/>
      <c r="CI317" s="153"/>
      <c r="CJ317" s="153"/>
      <c r="CK317" s="153"/>
      <c r="CL317" s="153"/>
      <c r="CM317" s="153"/>
      <c r="CN317" s="153"/>
      <c r="CO317" s="153"/>
      <c r="CP317" s="153"/>
      <c r="CQ317" s="153"/>
      <c r="CR317" s="153"/>
      <c r="CS317" s="153"/>
      <c r="CT317" s="153"/>
      <c r="CU317" s="153"/>
      <c r="CV317" s="153"/>
      <c r="CW317" s="153"/>
      <c r="CX317" s="153"/>
      <c r="CY317" s="153"/>
      <c r="CZ317" s="153"/>
      <c r="DA317" s="153"/>
      <c r="DB317" s="153"/>
      <c r="DC317" s="153"/>
      <c r="DD317" s="153"/>
      <c r="DE317" s="153"/>
      <c r="DF317" s="153"/>
      <c r="DG317" s="153"/>
      <c r="DH317" s="153"/>
      <c r="DI317" s="153"/>
      <c r="DJ317" s="153"/>
      <c r="DK317" s="153"/>
      <c r="DL317" s="153"/>
      <c r="DM317" s="153"/>
      <c r="DN317" s="153"/>
      <c r="DO317" s="153"/>
      <c r="DP317" s="153"/>
      <c r="DQ317" s="153"/>
      <c r="DR317" s="153"/>
      <c r="DS317" s="153"/>
      <c r="DT317" s="153"/>
      <c r="DU317" s="153"/>
      <c r="DV317" s="153"/>
      <c r="DW317" s="153"/>
      <c r="DX317" s="153"/>
      <c r="DY317" s="153"/>
      <c r="DZ317" s="153"/>
      <c r="EA317" s="153"/>
      <c r="EB317" s="153"/>
      <c r="EC317" s="153"/>
      <c r="ED317" s="153"/>
      <c r="EE317" s="153"/>
      <c r="EF317" s="153"/>
      <c r="EG317" s="153"/>
      <c r="EH317" s="153"/>
      <c r="EI317" s="153"/>
      <c r="EJ317" s="153"/>
      <c r="EK317" s="153"/>
      <c r="EL317" s="153"/>
      <c r="EM317" s="153"/>
    </row>
    <row r="318" spans="1:143" s="107" customFormat="1" ht="10.5" hidden="1" customHeight="1" outlineLevel="2">
      <c r="A318" s="1548">
        <v>293</v>
      </c>
      <c r="B318" s="1560" t="str">
        <f t="shared" si="6"/>
        <v/>
      </c>
      <c r="C318" s="161" t="str">
        <f>GasTime(GasAnalyser,'Horiba Data'!F311,'Horiba Data'!G311,'Testo, JUM &amp; MRU Data'!A312,'Thermo Data'!B311,HourOffset)</f>
        <v/>
      </c>
      <c r="D318" s="981" t="str">
        <f>IF(D$17=FALSE,"",GasData(GasAnalyser,'Horiba Data'!S311,'Testo, JUM &amp; MRU Data'!D312,'Thermo Data'!E311,'Testo, JUM &amp; MRU Data'!U312,GDF))</f>
        <v/>
      </c>
      <c r="E318" s="981" t="str">
        <f>IF(D318="","",Conc2(D318,D$9,MolVol,D$21,D$20,E$21,E$20))</f>
        <v/>
      </c>
      <c r="F318" s="981" t="str">
        <f>IF(F$17=FALSE,"",GasData(GasAnalyser,'Horiba Data'!AQ311,'Testo, JUM &amp; MRU Data'!E312,'Thermo Data'!F311,'Testo, JUM &amp; MRU Data'!V312,GDF))</f>
        <v/>
      </c>
      <c r="G318" s="981" t="str">
        <f>IF(F318="","",Conc2(F318,F$9,MolVol,F$21,F$20,G$21,G$20))</f>
        <v/>
      </c>
      <c r="H318" s="981" t="str">
        <f>IF(D$17=FALSE,"",IF(F$17=FALSE,"",GasData(GasAnalyser,'Horiba Data'!W311,'Testo, JUM &amp; MRU Data'!F312,'Thermo Data'!G311,'Testo, JUM &amp; MRU Data'!Y312,GDF)))</f>
        <v/>
      </c>
      <c r="I318" s="981" t="str">
        <f>IF(H318="","",Conc2(H318,H$9,MolVol,H$21,H$20,I$21,I$20))</f>
        <v/>
      </c>
      <c r="J318" s="981" t="str">
        <f>IF(J$17=FALSE,"",GasData(GasAnalyser,'Horiba Data'!AM311,'Testo, JUM &amp; MRU Data'!G312,'Thermo Data'!H311,'Testo, JUM &amp; MRU Data'!W312,GDF))</f>
        <v/>
      </c>
      <c r="K318" s="981" t="str">
        <f>IF(J318="","",Conc2(J318,J$9,MolVol,J$21,J$20,K$21,K$20))</f>
        <v/>
      </c>
      <c r="L318" s="981" t="str">
        <f>IF(L$17=FALSE,"",GasData(GasAnalyser,'Horiba Data'!AA311,'Testo, JUM &amp; MRU Data'!H312,'Thermo Data'!I311,'Testo, JUM &amp; MRU Data'!T312,GDF))</f>
        <v/>
      </c>
      <c r="M318" s="981" t="str">
        <f>IF(L318="","",Conc2(L318,L$9,MolVol,L$21,L$20,M$21,M$20))</f>
        <v/>
      </c>
      <c r="N318" s="981" t="str">
        <f>IF(N$17=FALSE,"",GasData(GasAnalyser,'Horiba Data'!AE311,'Testo, JUM &amp; MRU Data'!I312,'Thermo Data'!J311,'Testo, JUM &amp; MRU Data'!S312,GDF))</f>
        <v/>
      </c>
      <c r="O318" s="981" t="str">
        <f>IF(N318="","",Conc2(N318,N$9,MolVol,N$21,N$20,O$21,O$20))</f>
        <v/>
      </c>
      <c r="P318" s="981" t="str">
        <f>IF(P$17=FALSE,"",GasData(GasAnalyser,'Horiba Data'!AI311,'Testo, JUM &amp; MRU Data'!J312,'Thermo Data'!K311,'Testo, JUM &amp; MRU Data'!R312,GDF))</f>
        <v/>
      </c>
      <c r="Q318" s="981" t="str">
        <f>IF(P318="","",Conc2(P318,P$9,MolVol,P$21,P$20,Q$21,Q$20))</f>
        <v/>
      </c>
      <c r="R318" s="981" t="str">
        <f>IF(R$17=FALSE,"",JUMData('Testo, JUM &amp; MRU Data'!M312,$R$7))</f>
        <v/>
      </c>
      <c r="S318" s="982" t="str">
        <f>IF(R318="","",Conc2(R318,R$9,MolVol,R$21,R$20,S$21,S$20)/(1-Bws))</f>
        <v/>
      </c>
      <c r="T318" s="740"/>
      <c r="AR318" s="334"/>
      <c r="AS318" s="334"/>
      <c r="AT318" s="48"/>
      <c r="AU318" s="48"/>
      <c r="AV318" s="153"/>
      <c r="AW318" s="153"/>
      <c r="AX318" s="153"/>
      <c r="AY318" s="153"/>
      <c r="AZ318" s="153"/>
      <c r="BA318" s="153"/>
      <c r="BB318" s="153"/>
      <c r="BC318" s="153"/>
      <c r="BD318" s="153"/>
      <c r="BE318" s="153"/>
      <c r="BF318" s="153"/>
      <c r="BG318" s="153"/>
      <c r="BH318" s="153"/>
      <c r="BI318" s="153"/>
      <c r="BJ318" s="153"/>
      <c r="BK318" s="153"/>
      <c r="BL318" s="153"/>
      <c r="BM318" s="153"/>
      <c r="BN318" s="153"/>
      <c r="BO318" s="153"/>
      <c r="BP318" s="153"/>
      <c r="BQ318" s="153"/>
      <c r="BR318" s="153"/>
      <c r="BS318" s="153"/>
      <c r="BT318" s="153"/>
      <c r="BU318" s="153"/>
      <c r="BV318" s="153"/>
      <c r="BW318" s="153"/>
      <c r="BX318" s="153"/>
      <c r="BY318" s="153"/>
      <c r="BZ318" s="153"/>
      <c r="CA318" s="153"/>
      <c r="CB318" s="153"/>
      <c r="CC318" s="153"/>
      <c r="CD318" s="153"/>
      <c r="CE318" s="153"/>
      <c r="CF318" s="153"/>
      <c r="CG318" s="153"/>
      <c r="CH318" s="153"/>
      <c r="CI318" s="153"/>
      <c r="CJ318" s="153"/>
      <c r="CK318" s="153"/>
      <c r="CL318" s="153"/>
      <c r="CM318" s="153"/>
      <c r="CN318" s="153"/>
      <c r="CO318" s="153"/>
      <c r="CP318" s="153"/>
      <c r="CQ318" s="153"/>
      <c r="CR318" s="153"/>
      <c r="CS318" s="153"/>
      <c r="CT318" s="153"/>
      <c r="CU318" s="153"/>
      <c r="CV318" s="153"/>
      <c r="CW318" s="153"/>
      <c r="CX318" s="153"/>
      <c r="CY318" s="153"/>
      <c r="CZ318" s="153"/>
      <c r="DA318" s="153"/>
      <c r="DB318" s="153"/>
      <c r="DC318" s="153"/>
      <c r="DD318" s="153"/>
      <c r="DE318" s="153"/>
      <c r="DF318" s="153"/>
      <c r="DG318" s="153"/>
      <c r="DH318" s="153"/>
      <c r="DI318" s="153"/>
      <c r="DJ318" s="153"/>
      <c r="DK318" s="153"/>
      <c r="DL318" s="153"/>
      <c r="DM318" s="153"/>
      <c r="DN318" s="153"/>
      <c r="DO318" s="153"/>
      <c r="DP318" s="153"/>
      <c r="DQ318" s="153"/>
      <c r="DR318" s="153"/>
      <c r="DS318" s="153"/>
      <c r="DT318" s="153"/>
      <c r="DU318" s="153"/>
      <c r="DV318" s="153"/>
      <c r="DW318" s="153"/>
      <c r="DX318" s="153"/>
      <c r="DY318" s="153"/>
      <c r="DZ318" s="153"/>
      <c r="EA318" s="153"/>
      <c r="EB318" s="153"/>
      <c r="EC318" s="153"/>
      <c r="ED318" s="153"/>
      <c r="EE318" s="153"/>
      <c r="EF318" s="153"/>
      <c r="EG318" s="153"/>
      <c r="EH318" s="153"/>
      <c r="EI318" s="153"/>
      <c r="EJ318" s="153"/>
      <c r="EK318" s="153"/>
      <c r="EL318" s="153"/>
      <c r="EM318" s="153"/>
    </row>
    <row r="319" spans="1:143" s="107" customFormat="1" ht="10.5" hidden="1" customHeight="1" outlineLevel="2">
      <c r="A319" s="1548">
        <v>294</v>
      </c>
      <c r="B319" s="1560" t="str">
        <f t="shared" si="6"/>
        <v/>
      </c>
      <c r="C319" s="161" t="str">
        <f>GasTime(GasAnalyser,'Horiba Data'!F312,'Horiba Data'!G312,'Testo, JUM &amp; MRU Data'!A313,'Thermo Data'!B312,HourOffset)</f>
        <v/>
      </c>
      <c r="D319" s="981" t="str">
        <f>IF(D$17=FALSE,"",GasData(GasAnalyser,'Horiba Data'!S312,'Testo, JUM &amp; MRU Data'!D313,'Thermo Data'!E312,'Testo, JUM &amp; MRU Data'!U313,GDF))</f>
        <v/>
      </c>
      <c r="E319" s="981" t="str">
        <f>IF(D319="","",Conc2(D319,D$9,MolVol,D$21,D$20,E$21,E$20))</f>
        <v/>
      </c>
      <c r="F319" s="981" t="str">
        <f>IF(F$17=FALSE,"",GasData(GasAnalyser,'Horiba Data'!AQ312,'Testo, JUM &amp; MRU Data'!E313,'Thermo Data'!F312,'Testo, JUM &amp; MRU Data'!V313,GDF))</f>
        <v/>
      </c>
      <c r="G319" s="981" t="str">
        <f>IF(F319="","",Conc2(F319,F$9,MolVol,F$21,F$20,G$21,G$20))</f>
        <v/>
      </c>
      <c r="H319" s="981" t="str">
        <f>IF(D$17=FALSE,"",IF(F$17=FALSE,"",GasData(GasAnalyser,'Horiba Data'!W312,'Testo, JUM &amp; MRU Data'!F313,'Thermo Data'!G312,'Testo, JUM &amp; MRU Data'!Y313,GDF)))</f>
        <v/>
      </c>
      <c r="I319" s="981" t="str">
        <f>IF(H319="","",Conc2(H319,H$9,MolVol,H$21,H$20,I$21,I$20))</f>
        <v/>
      </c>
      <c r="J319" s="981" t="str">
        <f>IF(J$17=FALSE,"",GasData(GasAnalyser,'Horiba Data'!AM312,'Testo, JUM &amp; MRU Data'!G313,'Thermo Data'!H312,'Testo, JUM &amp; MRU Data'!W313,GDF))</f>
        <v/>
      </c>
      <c r="K319" s="981" t="str">
        <f>IF(J319="","",Conc2(J319,J$9,MolVol,J$21,J$20,K$21,K$20))</f>
        <v/>
      </c>
      <c r="L319" s="981" t="str">
        <f>IF(L$17=FALSE,"",GasData(GasAnalyser,'Horiba Data'!AA312,'Testo, JUM &amp; MRU Data'!H313,'Thermo Data'!I312,'Testo, JUM &amp; MRU Data'!T313,GDF))</f>
        <v/>
      </c>
      <c r="M319" s="981" t="str">
        <f>IF(L319="","",Conc2(L319,L$9,MolVol,L$21,L$20,M$21,M$20))</f>
        <v/>
      </c>
      <c r="N319" s="981" t="str">
        <f>IF(N$17=FALSE,"",GasData(GasAnalyser,'Horiba Data'!AE312,'Testo, JUM &amp; MRU Data'!I313,'Thermo Data'!J312,'Testo, JUM &amp; MRU Data'!S313,GDF))</f>
        <v/>
      </c>
      <c r="O319" s="981" t="str">
        <f>IF(N319="","",Conc2(N319,N$9,MolVol,N$21,N$20,O$21,O$20))</f>
        <v/>
      </c>
      <c r="P319" s="981" t="str">
        <f>IF(P$17=FALSE,"",GasData(GasAnalyser,'Horiba Data'!AI312,'Testo, JUM &amp; MRU Data'!J313,'Thermo Data'!K312,'Testo, JUM &amp; MRU Data'!R313,GDF))</f>
        <v/>
      </c>
      <c r="Q319" s="981" t="str">
        <f>IF(P319="","",Conc2(P319,P$9,MolVol,P$21,P$20,Q$21,Q$20))</f>
        <v/>
      </c>
      <c r="R319" s="981" t="str">
        <f>IF(R$17=FALSE,"",JUMData('Testo, JUM &amp; MRU Data'!M313,$R$7))</f>
        <v/>
      </c>
      <c r="S319" s="982" t="str">
        <f>IF(R319="","",Conc2(R319,R$9,MolVol,R$21,R$20,S$21,S$20)/(1-Bws))</f>
        <v/>
      </c>
      <c r="T319" s="740"/>
      <c r="AR319" s="334"/>
      <c r="AS319" s="334"/>
      <c r="AT319" s="48"/>
      <c r="AU319" s="48"/>
      <c r="AV319" s="153"/>
      <c r="AW319" s="153"/>
      <c r="AX319" s="153"/>
      <c r="AY319" s="153"/>
      <c r="AZ319" s="153"/>
      <c r="BA319" s="153"/>
      <c r="BB319" s="153"/>
      <c r="BC319" s="153"/>
      <c r="BD319" s="153"/>
      <c r="BE319" s="153"/>
      <c r="BF319" s="153"/>
      <c r="BG319" s="153"/>
      <c r="BH319" s="153"/>
      <c r="BI319" s="153"/>
      <c r="BJ319" s="153"/>
      <c r="BK319" s="153"/>
      <c r="BL319" s="153"/>
      <c r="BM319" s="153"/>
      <c r="BN319" s="153"/>
      <c r="BO319" s="153"/>
      <c r="BP319" s="153"/>
      <c r="BQ319" s="153"/>
      <c r="BR319" s="153"/>
      <c r="BS319" s="153"/>
      <c r="BT319" s="153"/>
      <c r="BU319" s="153"/>
      <c r="BV319" s="153"/>
      <c r="BW319" s="153"/>
      <c r="BX319" s="153"/>
      <c r="BY319" s="153"/>
      <c r="BZ319" s="153"/>
      <c r="CA319" s="153"/>
      <c r="CB319" s="153"/>
      <c r="CC319" s="153"/>
      <c r="CD319" s="153"/>
      <c r="CE319" s="153"/>
      <c r="CF319" s="153"/>
      <c r="CG319" s="153"/>
      <c r="CH319" s="153"/>
      <c r="CI319" s="153"/>
      <c r="CJ319" s="153"/>
      <c r="CK319" s="153"/>
      <c r="CL319" s="153"/>
      <c r="CM319" s="153"/>
      <c r="CN319" s="153"/>
      <c r="CO319" s="153"/>
      <c r="CP319" s="153"/>
      <c r="CQ319" s="153"/>
      <c r="CR319" s="153"/>
      <c r="CS319" s="153"/>
      <c r="CT319" s="153"/>
      <c r="CU319" s="153"/>
      <c r="CV319" s="153"/>
      <c r="CW319" s="153"/>
      <c r="CX319" s="153"/>
      <c r="CY319" s="153"/>
      <c r="CZ319" s="153"/>
      <c r="DA319" s="153"/>
      <c r="DB319" s="153"/>
      <c r="DC319" s="153"/>
      <c r="DD319" s="153"/>
      <c r="DE319" s="153"/>
      <c r="DF319" s="153"/>
      <c r="DG319" s="153"/>
      <c r="DH319" s="153"/>
      <c r="DI319" s="153"/>
      <c r="DJ319" s="153"/>
      <c r="DK319" s="153"/>
      <c r="DL319" s="153"/>
      <c r="DM319" s="153"/>
      <c r="DN319" s="153"/>
      <c r="DO319" s="153"/>
      <c r="DP319" s="153"/>
      <c r="DQ319" s="153"/>
      <c r="DR319" s="153"/>
      <c r="DS319" s="153"/>
      <c r="DT319" s="153"/>
      <c r="DU319" s="153"/>
      <c r="DV319" s="153"/>
      <c r="DW319" s="153"/>
      <c r="DX319" s="153"/>
      <c r="DY319" s="153"/>
      <c r="DZ319" s="153"/>
      <c r="EA319" s="153"/>
      <c r="EB319" s="153"/>
      <c r="EC319" s="153"/>
      <c r="ED319" s="153"/>
      <c r="EE319" s="153"/>
      <c r="EF319" s="153"/>
      <c r="EG319" s="153"/>
      <c r="EH319" s="153"/>
      <c r="EI319" s="153"/>
      <c r="EJ319" s="153"/>
      <c r="EK319" s="153"/>
      <c r="EL319" s="153"/>
      <c r="EM319" s="153"/>
    </row>
    <row r="320" spans="1:143" s="107" customFormat="1" ht="10.5" hidden="1" customHeight="1" outlineLevel="2">
      <c r="A320" s="1548">
        <v>295</v>
      </c>
      <c r="B320" s="1560" t="str">
        <f t="shared" si="6"/>
        <v/>
      </c>
      <c r="C320" s="161" t="str">
        <f>GasTime(GasAnalyser,'Horiba Data'!F313,'Horiba Data'!G313,'Testo, JUM &amp; MRU Data'!A314,'Thermo Data'!B313,HourOffset)</f>
        <v/>
      </c>
      <c r="D320" s="981" t="str">
        <f>IF(D$17=FALSE,"",GasData(GasAnalyser,'Horiba Data'!S313,'Testo, JUM &amp; MRU Data'!D314,'Thermo Data'!E313,'Testo, JUM &amp; MRU Data'!U314,GDF))</f>
        <v/>
      </c>
      <c r="E320" s="981" t="str">
        <f>IF(D320="","",Conc2(D320,D$9,MolVol,D$21,D$20,E$21,E$20))</f>
        <v/>
      </c>
      <c r="F320" s="981" t="str">
        <f>IF(F$17=FALSE,"",GasData(GasAnalyser,'Horiba Data'!AQ313,'Testo, JUM &amp; MRU Data'!E314,'Thermo Data'!F313,'Testo, JUM &amp; MRU Data'!V314,GDF))</f>
        <v/>
      </c>
      <c r="G320" s="981" t="str">
        <f>IF(F320="","",Conc2(F320,F$9,MolVol,F$21,F$20,G$21,G$20))</f>
        <v/>
      </c>
      <c r="H320" s="981" t="str">
        <f>IF(D$17=FALSE,"",IF(F$17=FALSE,"",GasData(GasAnalyser,'Horiba Data'!W313,'Testo, JUM &amp; MRU Data'!F314,'Thermo Data'!G313,'Testo, JUM &amp; MRU Data'!Y314,GDF)))</f>
        <v/>
      </c>
      <c r="I320" s="981" t="str">
        <f>IF(H320="","",Conc2(H320,H$9,MolVol,H$21,H$20,I$21,I$20))</f>
        <v/>
      </c>
      <c r="J320" s="981" t="str">
        <f>IF(J$17=FALSE,"",GasData(GasAnalyser,'Horiba Data'!AM313,'Testo, JUM &amp; MRU Data'!G314,'Thermo Data'!H313,'Testo, JUM &amp; MRU Data'!W314,GDF))</f>
        <v/>
      </c>
      <c r="K320" s="981" t="str">
        <f>IF(J320="","",Conc2(J320,J$9,MolVol,J$21,J$20,K$21,K$20))</f>
        <v/>
      </c>
      <c r="L320" s="981" t="str">
        <f>IF(L$17=FALSE,"",GasData(GasAnalyser,'Horiba Data'!AA313,'Testo, JUM &amp; MRU Data'!H314,'Thermo Data'!I313,'Testo, JUM &amp; MRU Data'!T314,GDF))</f>
        <v/>
      </c>
      <c r="M320" s="981" t="str">
        <f>IF(L320="","",Conc2(L320,L$9,MolVol,L$21,L$20,M$21,M$20))</f>
        <v/>
      </c>
      <c r="N320" s="981" t="str">
        <f>IF(N$17=FALSE,"",GasData(GasAnalyser,'Horiba Data'!AE313,'Testo, JUM &amp; MRU Data'!I314,'Thermo Data'!J313,'Testo, JUM &amp; MRU Data'!S314,GDF))</f>
        <v/>
      </c>
      <c r="O320" s="981" t="str">
        <f>IF(N320="","",Conc2(N320,N$9,MolVol,N$21,N$20,O$21,O$20))</f>
        <v/>
      </c>
      <c r="P320" s="981" t="str">
        <f>IF(P$17=FALSE,"",GasData(GasAnalyser,'Horiba Data'!AI313,'Testo, JUM &amp; MRU Data'!J314,'Thermo Data'!K313,'Testo, JUM &amp; MRU Data'!R314,GDF))</f>
        <v/>
      </c>
      <c r="Q320" s="981" t="str">
        <f>IF(P320="","",Conc2(P320,P$9,MolVol,P$21,P$20,Q$21,Q$20))</f>
        <v/>
      </c>
      <c r="R320" s="981" t="str">
        <f>IF(R$17=FALSE,"",JUMData('Testo, JUM &amp; MRU Data'!M314,$R$7))</f>
        <v/>
      </c>
      <c r="S320" s="982" t="str">
        <f>IF(R320="","",Conc2(R320,R$9,MolVol,R$21,R$20,S$21,S$20)/(1-Bws))</f>
        <v/>
      </c>
      <c r="T320" s="740"/>
      <c r="AR320" s="334"/>
      <c r="AS320" s="334"/>
      <c r="AT320" s="48"/>
      <c r="AU320" s="48"/>
      <c r="AV320" s="153"/>
      <c r="AW320" s="153"/>
      <c r="AX320" s="153"/>
      <c r="AY320" s="153"/>
      <c r="AZ320" s="153"/>
      <c r="BA320" s="153"/>
      <c r="BB320" s="153"/>
      <c r="BC320" s="153"/>
      <c r="BD320" s="153"/>
      <c r="BE320" s="153"/>
      <c r="BF320" s="153"/>
      <c r="BG320" s="153"/>
      <c r="BH320" s="153"/>
      <c r="BI320" s="153"/>
      <c r="BJ320" s="153"/>
      <c r="BK320" s="153"/>
      <c r="BL320" s="153"/>
      <c r="BM320" s="153"/>
      <c r="BN320" s="153"/>
      <c r="BO320" s="153"/>
      <c r="BP320" s="153"/>
      <c r="BQ320" s="153"/>
      <c r="BR320" s="153"/>
      <c r="BS320" s="153"/>
      <c r="BT320" s="153"/>
      <c r="BU320" s="153"/>
      <c r="BV320" s="153"/>
      <c r="BW320" s="153"/>
      <c r="BX320" s="153"/>
      <c r="BY320" s="153"/>
      <c r="BZ320" s="153"/>
      <c r="CA320" s="153"/>
      <c r="CB320" s="153"/>
      <c r="CC320" s="153"/>
      <c r="CD320" s="153"/>
      <c r="CE320" s="153"/>
      <c r="CF320" s="153"/>
      <c r="CG320" s="153"/>
      <c r="CH320" s="153"/>
      <c r="CI320" s="153"/>
      <c r="CJ320" s="153"/>
      <c r="CK320" s="153"/>
      <c r="CL320" s="153"/>
      <c r="CM320" s="153"/>
      <c r="CN320" s="153"/>
      <c r="CO320" s="153"/>
      <c r="CP320" s="153"/>
      <c r="CQ320" s="153"/>
      <c r="CR320" s="153"/>
      <c r="CS320" s="153"/>
      <c r="CT320" s="153"/>
      <c r="CU320" s="153"/>
      <c r="CV320" s="153"/>
      <c r="CW320" s="153"/>
      <c r="CX320" s="153"/>
      <c r="CY320" s="153"/>
      <c r="CZ320" s="153"/>
      <c r="DA320" s="153"/>
      <c r="DB320" s="153"/>
      <c r="DC320" s="153"/>
      <c r="DD320" s="153"/>
      <c r="DE320" s="153"/>
      <c r="DF320" s="153"/>
      <c r="DG320" s="153"/>
      <c r="DH320" s="153"/>
      <c r="DI320" s="153"/>
      <c r="DJ320" s="153"/>
      <c r="DK320" s="153"/>
      <c r="DL320" s="153"/>
      <c r="DM320" s="153"/>
      <c r="DN320" s="153"/>
      <c r="DO320" s="153"/>
      <c r="DP320" s="153"/>
      <c r="DQ320" s="153"/>
      <c r="DR320" s="153"/>
      <c r="DS320" s="153"/>
      <c r="DT320" s="153"/>
      <c r="DU320" s="153"/>
      <c r="DV320" s="153"/>
      <c r="DW320" s="153"/>
      <c r="DX320" s="153"/>
      <c r="DY320" s="153"/>
      <c r="DZ320" s="153"/>
      <c r="EA320" s="153"/>
      <c r="EB320" s="153"/>
      <c r="EC320" s="153"/>
      <c r="ED320" s="153"/>
      <c r="EE320" s="153"/>
      <c r="EF320" s="153"/>
      <c r="EG320" s="153"/>
      <c r="EH320" s="153"/>
      <c r="EI320" s="153"/>
      <c r="EJ320" s="153"/>
      <c r="EK320" s="153"/>
      <c r="EL320" s="153"/>
      <c r="EM320" s="153"/>
    </row>
    <row r="321" spans="1:143" s="107" customFormat="1" ht="10.5" hidden="1" customHeight="1" outlineLevel="2">
      <c r="A321" s="1548">
        <v>296</v>
      </c>
      <c r="B321" s="1560" t="str">
        <f t="shared" si="6"/>
        <v/>
      </c>
      <c r="C321" s="161" t="str">
        <f>GasTime(GasAnalyser,'Horiba Data'!F314,'Horiba Data'!G314,'Testo, JUM &amp; MRU Data'!A315,'Thermo Data'!B314,HourOffset)</f>
        <v/>
      </c>
      <c r="D321" s="981" t="str">
        <f>IF(D$17=FALSE,"",GasData(GasAnalyser,'Horiba Data'!S314,'Testo, JUM &amp; MRU Data'!D315,'Thermo Data'!E314,'Testo, JUM &amp; MRU Data'!U315,GDF))</f>
        <v/>
      </c>
      <c r="E321" s="981" t="str">
        <f>IF(D321="","",Conc2(D321,D$9,MolVol,D$21,D$20,E$21,E$20))</f>
        <v/>
      </c>
      <c r="F321" s="981" t="str">
        <f>IF(F$17=FALSE,"",GasData(GasAnalyser,'Horiba Data'!AQ314,'Testo, JUM &amp; MRU Data'!E315,'Thermo Data'!F314,'Testo, JUM &amp; MRU Data'!V315,GDF))</f>
        <v/>
      </c>
      <c r="G321" s="981" t="str">
        <f>IF(F321="","",Conc2(F321,F$9,MolVol,F$21,F$20,G$21,G$20))</f>
        <v/>
      </c>
      <c r="H321" s="981" t="str">
        <f>IF(D$17=FALSE,"",IF(F$17=FALSE,"",GasData(GasAnalyser,'Horiba Data'!W314,'Testo, JUM &amp; MRU Data'!F315,'Thermo Data'!G314,'Testo, JUM &amp; MRU Data'!Y315,GDF)))</f>
        <v/>
      </c>
      <c r="I321" s="981" t="str">
        <f>IF(H321="","",Conc2(H321,H$9,MolVol,H$21,H$20,I$21,I$20))</f>
        <v/>
      </c>
      <c r="J321" s="981" t="str">
        <f>IF(J$17=FALSE,"",GasData(GasAnalyser,'Horiba Data'!AM314,'Testo, JUM &amp; MRU Data'!G315,'Thermo Data'!H314,'Testo, JUM &amp; MRU Data'!W315,GDF))</f>
        <v/>
      </c>
      <c r="K321" s="981" t="str">
        <f>IF(J321="","",Conc2(J321,J$9,MolVol,J$21,J$20,K$21,K$20))</f>
        <v/>
      </c>
      <c r="L321" s="981" t="str">
        <f>IF(L$17=FALSE,"",GasData(GasAnalyser,'Horiba Data'!AA314,'Testo, JUM &amp; MRU Data'!H315,'Thermo Data'!I314,'Testo, JUM &amp; MRU Data'!T315,GDF))</f>
        <v/>
      </c>
      <c r="M321" s="981" t="str">
        <f>IF(L321="","",Conc2(L321,L$9,MolVol,L$21,L$20,M$21,M$20))</f>
        <v/>
      </c>
      <c r="N321" s="981" t="str">
        <f>IF(N$17=FALSE,"",GasData(GasAnalyser,'Horiba Data'!AE314,'Testo, JUM &amp; MRU Data'!I315,'Thermo Data'!J314,'Testo, JUM &amp; MRU Data'!S315,GDF))</f>
        <v/>
      </c>
      <c r="O321" s="981" t="str">
        <f>IF(N321="","",Conc2(N321,N$9,MolVol,N$21,N$20,O$21,O$20))</f>
        <v/>
      </c>
      <c r="P321" s="981" t="str">
        <f>IF(P$17=FALSE,"",GasData(GasAnalyser,'Horiba Data'!AI314,'Testo, JUM &amp; MRU Data'!J315,'Thermo Data'!K314,'Testo, JUM &amp; MRU Data'!R315,GDF))</f>
        <v/>
      </c>
      <c r="Q321" s="981" t="str">
        <f>IF(P321="","",Conc2(P321,P$9,MolVol,P$21,P$20,Q$21,Q$20))</f>
        <v/>
      </c>
      <c r="R321" s="981" t="str">
        <f>IF(R$17=FALSE,"",JUMData('Testo, JUM &amp; MRU Data'!M315,$R$7))</f>
        <v/>
      </c>
      <c r="S321" s="982" t="str">
        <f>IF(R321="","",Conc2(R321,R$9,MolVol,R$21,R$20,S$21,S$20)/(1-Bws))</f>
        <v/>
      </c>
      <c r="T321" s="740"/>
      <c r="AR321" s="334"/>
      <c r="AS321" s="334"/>
      <c r="AT321" s="48"/>
      <c r="AU321" s="48"/>
      <c r="AV321" s="153"/>
      <c r="AW321" s="153"/>
      <c r="AX321" s="153"/>
      <c r="AY321" s="153"/>
      <c r="AZ321" s="153"/>
      <c r="BA321" s="153"/>
      <c r="BB321" s="153"/>
      <c r="BC321" s="153"/>
      <c r="BD321" s="153"/>
      <c r="BE321" s="153"/>
      <c r="BF321" s="153"/>
      <c r="BG321" s="153"/>
      <c r="BH321" s="153"/>
      <c r="BI321" s="153"/>
      <c r="BJ321" s="153"/>
      <c r="BK321" s="153"/>
      <c r="BL321" s="153"/>
      <c r="BM321" s="153"/>
      <c r="BN321" s="153"/>
      <c r="BO321" s="153"/>
      <c r="BP321" s="153"/>
      <c r="BQ321" s="153"/>
      <c r="BR321" s="153"/>
      <c r="BS321" s="153"/>
      <c r="BT321" s="153"/>
      <c r="BU321" s="153"/>
      <c r="BV321" s="153"/>
      <c r="BW321" s="153"/>
      <c r="BX321" s="153"/>
      <c r="BY321" s="153"/>
      <c r="BZ321" s="153"/>
      <c r="CA321" s="153"/>
      <c r="CB321" s="153"/>
      <c r="CC321" s="153"/>
      <c r="CD321" s="153"/>
      <c r="CE321" s="153"/>
      <c r="CF321" s="153"/>
      <c r="CG321" s="153"/>
      <c r="CH321" s="153"/>
      <c r="CI321" s="153"/>
      <c r="CJ321" s="153"/>
      <c r="CK321" s="153"/>
      <c r="CL321" s="153"/>
      <c r="CM321" s="153"/>
      <c r="CN321" s="153"/>
      <c r="CO321" s="153"/>
      <c r="CP321" s="153"/>
      <c r="CQ321" s="153"/>
      <c r="CR321" s="153"/>
      <c r="CS321" s="153"/>
      <c r="CT321" s="153"/>
      <c r="CU321" s="153"/>
      <c r="CV321" s="153"/>
      <c r="CW321" s="153"/>
      <c r="CX321" s="153"/>
      <c r="CY321" s="153"/>
      <c r="CZ321" s="153"/>
      <c r="DA321" s="153"/>
      <c r="DB321" s="153"/>
      <c r="DC321" s="153"/>
      <c r="DD321" s="153"/>
      <c r="DE321" s="153"/>
      <c r="DF321" s="153"/>
      <c r="DG321" s="153"/>
      <c r="DH321" s="153"/>
      <c r="DI321" s="153"/>
      <c r="DJ321" s="153"/>
      <c r="DK321" s="153"/>
      <c r="DL321" s="153"/>
      <c r="DM321" s="153"/>
      <c r="DN321" s="153"/>
      <c r="DO321" s="153"/>
      <c r="DP321" s="153"/>
      <c r="DQ321" s="153"/>
      <c r="DR321" s="153"/>
      <c r="DS321" s="153"/>
      <c r="DT321" s="153"/>
      <c r="DU321" s="153"/>
      <c r="DV321" s="153"/>
      <c r="DW321" s="153"/>
      <c r="DX321" s="153"/>
      <c r="DY321" s="153"/>
      <c r="DZ321" s="153"/>
      <c r="EA321" s="153"/>
      <c r="EB321" s="153"/>
      <c r="EC321" s="153"/>
      <c r="ED321" s="153"/>
      <c r="EE321" s="153"/>
      <c r="EF321" s="153"/>
      <c r="EG321" s="153"/>
      <c r="EH321" s="153"/>
      <c r="EI321" s="153"/>
      <c r="EJ321" s="153"/>
      <c r="EK321" s="153"/>
      <c r="EL321" s="153"/>
      <c r="EM321" s="153"/>
    </row>
    <row r="322" spans="1:143" s="107" customFormat="1" ht="10.5" hidden="1" customHeight="1" outlineLevel="2">
      <c r="A322" s="1548">
        <v>297</v>
      </c>
      <c r="B322" s="1560" t="str">
        <f t="shared" si="6"/>
        <v/>
      </c>
      <c r="C322" s="161" t="str">
        <f>GasTime(GasAnalyser,'Horiba Data'!F315,'Horiba Data'!G315,'Testo, JUM &amp; MRU Data'!A316,'Thermo Data'!B315,HourOffset)</f>
        <v/>
      </c>
      <c r="D322" s="981" t="str">
        <f>IF(D$17=FALSE,"",GasData(GasAnalyser,'Horiba Data'!S315,'Testo, JUM &amp; MRU Data'!D316,'Thermo Data'!E315,'Testo, JUM &amp; MRU Data'!U316,GDF))</f>
        <v/>
      </c>
      <c r="E322" s="981" t="str">
        <f>IF(D322="","",Conc2(D322,D$9,MolVol,D$21,D$20,E$21,E$20))</f>
        <v/>
      </c>
      <c r="F322" s="981" t="str">
        <f>IF(F$17=FALSE,"",GasData(GasAnalyser,'Horiba Data'!AQ315,'Testo, JUM &amp; MRU Data'!E316,'Thermo Data'!F315,'Testo, JUM &amp; MRU Data'!V316,GDF))</f>
        <v/>
      </c>
      <c r="G322" s="981" t="str">
        <f>IF(F322="","",Conc2(F322,F$9,MolVol,F$21,F$20,G$21,G$20))</f>
        <v/>
      </c>
      <c r="H322" s="981" t="str">
        <f>IF(D$17=FALSE,"",IF(F$17=FALSE,"",GasData(GasAnalyser,'Horiba Data'!W315,'Testo, JUM &amp; MRU Data'!F316,'Thermo Data'!G315,'Testo, JUM &amp; MRU Data'!Y316,GDF)))</f>
        <v/>
      </c>
      <c r="I322" s="981" t="str">
        <f>IF(H322="","",Conc2(H322,H$9,MolVol,H$21,H$20,I$21,I$20))</f>
        <v/>
      </c>
      <c r="J322" s="981" t="str">
        <f>IF(J$17=FALSE,"",GasData(GasAnalyser,'Horiba Data'!AM315,'Testo, JUM &amp; MRU Data'!G316,'Thermo Data'!H315,'Testo, JUM &amp; MRU Data'!W316,GDF))</f>
        <v/>
      </c>
      <c r="K322" s="981" t="str">
        <f>IF(J322="","",Conc2(J322,J$9,MolVol,J$21,J$20,K$21,K$20))</f>
        <v/>
      </c>
      <c r="L322" s="981" t="str">
        <f>IF(L$17=FALSE,"",GasData(GasAnalyser,'Horiba Data'!AA315,'Testo, JUM &amp; MRU Data'!H316,'Thermo Data'!I315,'Testo, JUM &amp; MRU Data'!T316,GDF))</f>
        <v/>
      </c>
      <c r="M322" s="981" t="str">
        <f>IF(L322="","",Conc2(L322,L$9,MolVol,L$21,L$20,M$21,M$20))</f>
        <v/>
      </c>
      <c r="N322" s="981" t="str">
        <f>IF(N$17=FALSE,"",GasData(GasAnalyser,'Horiba Data'!AE315,'Testo, JUM &amp; MRU Data'!I316,'Thermo Data'!J315,'Testo, JUM &amp; MRU Data'!S316,GDF))</f>
        <v/>
      </c>
      <c r="O322" s="981" t="str">
        <f>IF(N322="","",Conc2(N322,N$9,MolVol,N$21,N$20,O$21,O$20))</f>
        <v/>
      </c>
      <c r="P322" s="981" t="str">
        <f>IF(P$17=FALSE,"",GasData(GasAnalyser,'Horiba Data'!AI315,'Testo, JUM &amp; MRU Data'!J316,'Thermo Data'!K315,'Testo, JUM &amp; MRU Data'!R316,GDF))</f>
        <v/>
      </c>
      <c r="Q322" s="981" t="str">
        <f>IF(P322="","",Conc2(P322,P$9,MolVol,P$21,P$20,Q$21,Q$20))</f>
        <v/>
      </c>
      <c r="R322" s="981" t="str">
        <f>IF(R$17=FALSE,"",JUMData('Testo, JUM &amp; MRU Data'!M316,$R$7))</f>
        <v/>
      </c>
      <c r="S322" s="982" t="str">
        <f>IF(R322="","",Conc2(R322,R$9,MolVol,R$21,R$20,S$21,S$20)/(1-Bws))</f>
        <v/>
      </c>
      <c r="T322" s="740"/>
      <c r="AR322" s="334"/>
      <c r="AS322" s="334"/>
      <c r="AT322" s="48"/>
      <c r="AU322" s="48"/>
      <c r="AV322" s="153"/>
      <c r="AW322" s="153"/>
      <c r="AX322" s="153"/>
      <c r="AY322" s="153"/>
      <c r="AZ322" s="153"/>
      <c r="BA322" s="153"/>
      <c r="BB322" s="153"/>
      <c r="BC322" s="153"/>
      <c r="BD322" s="153"/>
      <c r="BE322" s="153"/>
      <c r="BF322" s="153"/>
      <c r="BG322" s="153"/>
      <c r="BH322" s="153"/>
      <c r="BI322" s="153"/>
      <c r="BJ322" s="153"/>
      <c r="BK322" s="153"/>
      <c r="BL322" s="153"/>
      <c r="BM322" s="153"/>
      <c r="BN322" s="153"/>
      <c r="BO322" s="153"/>
      <c r="BP322" s="153"/>
      <c r="BQ322" s="153"/>
      <c r="BR322" s="153"/>
      <c r="BS322" s="153"/>
      <c r="BT322" s="153"/>
      <c r="BU322" s="153"/>
      <c r="BV322" s="153"/>
      <c r="BW322" s="153"/>
      <c r="BX322" s="153"/>
      <c r="BY322" s="153"/>
      <c r="BZ322" s="153"/>
      <c r="CA322" s="153"/>
      <c r="CB322" s="153"/>
      <c r="CC322" s="153"/>
      <c r="CD322" s="153"/>
      <c r="CE322" s="153"/>
      <c r="CF322" s="153"/>
      <c r="CG322" s="153"/>
      <c r="CH322" s="153"/>
      <c r="CI322" s="153"/>
      <c r="CJ322" s="153"/>
      <c r="CK322" s="153"/>
      <c r="CL322" s="153"/>
      <c r="CM322" s="153"/>
      <c r="CN322" s="153"/>
      <c r="CO322" s="153"/>
      <c r="CP322" s="153"/>
      <c r="CQ322" s="153"/>
      <c r="CR322" s="153"/>
      <c r="CS322" s="153"/>
      <c r="CT322" s="153"/>
      <c r="CU322" s="153"/>
      <c r="CV322" s="153"/>
      <c r="CW322" s="153"/>
      <c r="CX322" s="153"/>
      <c r="CY322" s="153"/>
      <c r="CZ322" s="153"/>
      <c r="DA322" s="153"/>
      <c r="DB322" s="153"/>
      <c r="DC322" s="153"/>
      <c r="DD322" s="153"/>
      <c r="DE322" s="153"/>
      <c r="DF322" s="153"/>
      <c r="DG322" s="153"/>
      <c r="DH322" s="153"/>
      <c r="DI322" s="153"/>
      <c r="DJ322" s="153"/>
      <c r="DK322" s="153"/>
      <c r="DL322" s="153"/>
      <c r="DM322" s="153"/>
      <c r="DN322" s="153"/>
      <c r="DO322" s="153"/>
      <c r="DP322" s="153"/>
      <c r="DQ322" s="153"/>
      <c r="DR322" s="153"/>
      <c r="DS322" s="153"/>
      <c r="DT322" s="153"/>
      <c r="DU322" s="153"/>
      <c r="DV322" s="153"/>
      <c r="DW322" s="153"/>
      <c r="DX322" s="153"/>
      <c r="DY322" s="153"/>
      <c r="DZ322" s="153"/>
      <c r="EA322" s="153"/>
      <c r="EB322" s="153"/>
      <c r="EC322" s="153"/>
      <c r="ED322" s="153"/>
      <c r="EE322" s="153"/>
      <c r="EF322" s="153"/>
      <c r="EG322" s="153"/>
      <c r="EH322" s="153"/>
      <c r="EI322" s="153"/>
      <c r="EJ322" s="153"/>
      <c r="EK322" s="153"/>
      <c r="EL322" s="153"/>
      <c r="EM322" s="153"/>
    </row>
    <row r="323" spans="1:143" s="107" customFormat="1" ht="10.5" hidden="1" customHeight="1" outlineLevel="2">
      <c r="A323" s="1548">
        <v>298</v>
      </c>
      <c r="B323" s="1560" t="str">
        <f t="shared" si="6"/>
        <v/>
      </c>
      <c r="C323" s="161" t="str">
        <f>GasTime(GasAnalyser,'Horiba Data'!F316,'Horiba Data'!G316,'Testo, JUM &amp; MRU Data'!A317,'Thermo Data'!B316,HourOffset)</f>
        <v/>
      </c>
      <c r="D323" s="981" t="str">
        <f>IF(D$17=FALSE,"",GasData(GasAnalyser,'Horiba Data'!S316,'Testo, JUM &amp; MRU Data'!D317,'Thermo Data'!E316,'Testo, JUM &amp; MRU Data'!U317,GDF))</f>
        <v/>
      </c>
      <c r="E323" s="981" t="str">
        <f>IF(D323="","",Conc2(D323,D$9,MolVol,D$21,D$20,E$21,E$20))</f>
        <v/>
      </c>
      <c r="F323" s="981" t="str">
        <f>IF(F$17=FALSE,"",GasData(GasAnalyser,'Horiba Data'!AQ316,'Testo, JUM &amp; MRU Data'!E317,'Thermo Data'!F316,'Testo, JUM &amp; MRU Data'!V317,GDF))</f>
        <v/>
      </c>
      <c r="G323" s="981" t="str">
        <f>IF(F323="","",Conc2(F323,F$9,MolVol,F$21,F$20,G$21,G$20))</f>
        <v/>
      </c>
      <c r="H323" s="981" t="str">
        <f>IF(D$17=FALSE,"",IF(F$17=FALSE,"",GasData(GasAnalyser,'Horiba Data'!W316,'Testo, JUM &amp; MRU Data'!F317,'Thermo Data'!G316,'Testo, JUM &amp; MRU Data'!Y317,GDF)))</f>
        <v/>
      </c>
      <c r="I323" s="981" t="str">
        <f>IF(H323="","",Conc2(H323,H$9,MolVol,H$21,H$20,I$21,I$20))</f>
        <v/>
      </c>
      <c r="J323" s="981" t="str">
        <f>IF(J$17=FALSE,"",GasData(GasAnalyser,'Horiba Data'!AM316,'Testo, JUM &amp; MRU Data'!G317,'Thermo Data'!H316,'Testo, JUM &amp; MRU Data'!W317,GDF))</f>
        <v/>
      </c>
      <c r="K323" s="981" t="str">
        <f>IF(J323="","",Conc2(J323,J$9,MolVol,J$21,J$20,K$21,K$20))</f>
        <v/>
      </c>
      <c r="L323" s="981" t="str">
        <f>IF(L$17=FALSE,"",GasData(GasAnalyser,'Horiba Data'!AA316,'Testo, JUM &amp; MRU Data'!H317,'Thermo Data'!I316,'Testo, JUM &amp; MRU Data'!T317,GDF))</f>
        <v/>
      </c>
      <c r="M323" s="981" t="str">
        <f>IF(L323="","",Conc2(L323,L$9,MolVol,L$21,L$20,M$21,M$20))</f>
        <v/>
      </c>
      <c r="N323" s="981" t="str">
        <f>IF(N$17=FALSE,"",GasData(GasAnalyser,'Horiba Data'!AE316,'Testo, JUM &amp; MRU Data'!I317,'Thermo Data'!J316,'Testo, JUM &amp; MRU Data'!S317,GDF))</f>
        <v/>
      </c>
      <c r="O323" s="981" t="str">
        <f>IF(N323="","",Conc2(N323,N$9,MolVol,N$21,N$20,O$21,O$20))</f>
        <v/>
      </c>
      <c r="P323" s="981" t="str">
        <f>IF(P$17=FALSE,"",GasData(GasAnalyser,'Horiba Data'!AI316,'Testo, JUM &amp; MRU Data'!J317,'Thermo Data'!K316,'Testo, JUM &amp; MRU Data'!R317,GDF))</f>
        <v/>
      </c>
      <c r="Q323" s="981" t="str">
        <f>IF(P323="","",Conc2(P323,P$9,MolVol,P$21,P$20,Q$21,Q$20))</f>
        <v/>
      </c>
      <c r="R323" s="981" t="str">
        <f>IF(R$17=FALSE,"",JUMData('Testo, JUM &amp; MRU Data'!M317,$R$7))</f>
        <v/>
      </c>
      <c r="S323" s="982" t="str">
        <f>IF(R323="","",Conc2(R323,R$9,MolVol,R$21,R$20,S$21,S$20)/(1-Bws))</f>
        <v/>
      </c>
      <c r="T323" s="740"/>
      <c r="AR323" s="334"/>
      <c r="AS323" s="334"/>
      <c r="AT323" s="48"/>
      <c r="AU323" s="48"/>
      <c r="AV323" s="153"/>
      <c r="AW323" s="153"/>
      <c r="AX323" s="153"/>
      <c r="AY323" s="153"/>
      <c r="AZ323" s="153"/>
      <c r="BA323" s="153"/>
      <c r="BB323" s="153"/>
      <c r="BC323" s="153"/>
      <c r="BD323" s="153"/>
      <c r="BE323" s="153"/>
      <c r="BF323" s="153"/>
      <c r="BG323" s="153"/>
      <c r="BH323" s="153"/>
      <c r="BI323" s="153"/>
      <c r="BJ323" s="153"/>
      <c r="BK323" s="153"/>
      <c r="BL323" s="153"/>
      <c r="BM323" s="153"/>
      <c r="BN323" s="153"/>
      <c r="BO323" s="153"/>
      <c r="BP323" s="153"/>
      <c r="BQ323" s="153"/>
      <c r="BR323" s="153"/>
      <c r="BS323" s="153"/>
      <c r="BT323" s="153"/>
      <c r="BU323" s="153"/>
      <c r="BV323" s="153"/>
      <c r="BW323" s="153"/>
      <c r="BX323" s="153"/>
      <c r="BY323" s="153"/>
      <c r="BZ323" s="153"/>
      <c r="CA323" s="153"/>
      <c r="CB323" s="153"/>
      <c r="CC323" s="153"/>
      <c r="CD323" s="153"/>
      <c r="CE323" s="153"/>
      <c r="CF323" s="153"/>
      <c r="CG323" s="153"/>
      <c r="CH323" s="153"/>
      <c r="CI323" s="153"/>
      <c r="CJ323" s="153"/>
      <c r="CK323" s="153"/>
      <c r="CL323" s="153"/>
      <c r="CM323" s="153"/>
      <c r="CN323" s="153"/>
      <c r="CO323" s="153"/>
      <c r="CP323" s="153"/>
      <c r="CQ323" s="153"/>
      <c r="CR323" s="153"/>
      <c r="CS323" s="153"/>
      <c r="CT323" s="153"/>
      <c r="CU323" s="153"/>
      <c r="CV323" s="153"/>
      <c r="CW323" s="153"/>
      <c r="CX323" s="153"/>
      <c r="CY323" s="153"/>
      <c r="CZ323" s="153"/>
      <c r="DA323" s="153"/>
      <c r="DB323" s="153"/>
      <c r="DC323" s="153"/>
      <c r="DD323" s="153"/>
      <c r="DE323" s="153"/>
      <c r="DF323" s="153"/>
      <c r="DG323" s="153"/>
      <c r="DH323" s="153"/>
      <c r="DI323" s="153"/>
      <c r="DJ323" s="153"/>
      <c r="DK323" s="153"/>
      <c r="DL323" s="153"/>
      <c r="DM323" s="153"/>
      <c r="DN323" s="153"/>
      <c r="DO323" s="153"/>
      <c r="DP323" s="153"/>
      <c r="DQ323" s="153"/>
      <c r="DR323" s="153"/>
      <c r="DS323" s="153"/>
      <c r="DT323" s="153"/>
      <c r="DU323" s="153"/>
      <c r="DV323" s="153"/>
      <c r="DW323" s="153"/>
      <c r="DX323" s="153"/>
      <c r="DY323" s="153"/>
      <c r="DZ323" s="153"/>
      <c r="EA323" s="153"/>
      <c r="EB323" s="153"/>
      <c r="EC323" s="153"/>
      <c r="ED323" s="153"/>
      <c r="EE323" s="153"/>
      <c r="EF323" s="153"/>
      <c r="EG323" s="153"/>
      <c r="EH323" s="153"/>
      <c r="EI323" s="153"/>
      <c r="EJ323" s="153"/>
      <c r="EK323" s="153"/>
      <c r="EL323" s="153"/>
      <c r="EM323" s="153"/>
    </row>
    <row r="324" spans="1:143" s="107" customFormat="1" ht="10.5" hidden="1" customHeight="1" outlineLevel="2">
      <c r="A324" s="1548">
        <v>299</v>
      </c>
      <c r="B324" s="1560" t="str">
        <f t="shared" si="6"/>
        <v/>
      </c>
      <c r="C324" s="161" t="str">
        <f>GasTime(GasAnalyser,'Horiba Data'!F317,'Horiba Data'!G317,'Testo, JUM &amp; MRU Data'!A318,'Thermo Data'!B317,HourOffset)</f>
        <v/>
      </c>
      <c r="D324" s="981" t="str">
        <f>IF(D$17=FALSE,"",GasData(GasAnalyser,'Horiba Data'!S317,'Testo, JUM &amp; MRU Data'!D318,'Thermo Data'!E317,'Testo, JUM &amp; MRU Data'!U318,GDF))</f>
        <v/>
      </c>
      <c r="E324" s="981" t="str">
        <f>IF(D324="","",Conc2(D324,D$9,MolVol,D$21,D$20,E$21,E$20))</f>
        <v/>
      </c>
      <c r="F324" s="981" t="str">
        <f>IF(F$17=FALSE,"",GasData(GasAnalyser,'Horiba Data'!AQ317,'Testo, JUM &amp; MRU Data'!E318,'Thermo Data'!F317,'Testo, JUM &amp; MRU Data'!V318,GDF))</f>
        <v/>
      </c>
      <c r="G324" s="981" t="str">
        <f>IF(F324="","",Conc2(F324,F$9,MolVol,F$21,F$20,G$21,G$20))</f>
        <v/>
      </c>
      <c r="H324" s="981" t="str">
        <f>IF(D$17=FALSE,"",IF(F$17=FALSE,"",GasData(GasAnalyser,'Horiba Data'!W317,'Testo, JUM &amp; MRU Data'!F318,'Thermo Data'!G317,'Testo, JUM &amp; MRU Data'!Y318,GDF)))</f>
        <v/>
      </c>
      <c r="I324" s="981" t="str">
        <f>IF(H324="","",Conc2(H324,H$9,MolVol,H$21,H$20,I$21,I$20))</f>
        <v/>
      </c>
      <c r="J324" s="981" t="str">
        <f>IF(J$17=FALSE,"",GasData(GasAnalyser,'Horiba Data'!AM317,'Testo, JUM &amp; MRU Data'!G318,'Thermo Data'!H317,'Testo, JUM &amp; MRU Data'!W318,GDF))</f>
        <v/>
      </c>
      <c r="K324" s="981" t="str">
        <f>IF(J324="","",Conc2(J324,J$9,MolVol,J$21,J$20,K$21,K$20))</f>
        <v/>
      </c>
      <c r="L324" s="981" t="str">
        <f>IF(L$17=FALSE,"",GasData(GasAnalyser,'Horiba Data'!AA317,'Testo, JUM &amp; MRU Data'!H318,'Thermo Data'!I317,'Testo, JUM &amp; MRU Data'!T318,GDF))</f>
        <v/>
      </c>
      <c r="M324" s="981" t="str">
        <f>IF(L324="","",Conc2(L324,L$9,MolVol,L$21,L$20,M$21,M$20))</f>
        <v/>
      </c>
      <c r="N324" s="981" t="str">
        <f>IF(N$17=FALSE,"",GasData(GasAnalyser,'Horiba Data'!AE317,'Testo, JUM &amp; MRU Data'!I318,'Thermo Data'!J317,'Testo, JUM &amp; MRU Data'!S318,GDF))</f>
        <v/>
      </c>
      <c r="O324" s="981" t="str">
        <f>IF(N324="","",Conc2(N324,N$9,MolVol,N$21,N$20,O$21,O$20))</f>
        <v/>
      </c>
      <c r="P324" s="981" t="str">
        <f>IF(P$17=FALSE,"",GasData(GasAnalyser,'Horiba Data'!AI317,'Testo, JUM &amp; MRU Data'!J318,'Thermo Data'!K317,'Testo, JUM &amp; MRU Data'!R318,GDF))</f>
        <v/>
      </c>
      <c r="Q324" s="981" t="str">
        <f>IF(P324="","",Conc2(P324,P$9,MolVol,P$21,P$20,Q$21,Q$20))</f>
        <v/>
      </c>
      <c r="R324" s="981" t="str">
        <f>IF(R$17=FALSE,"",JUMData('Testo, JUM &amp; MRU Data'!M318,$R$7))</f>
        <v/>
      </c>
      <c r="S324" s="982" t="str">
        <f>IF(R324="","",Conc2(R324,R$9,MolVol,R$21,R$20,S$21,S$20)/(1-Bws))</f>
        <v/>
      </c>
      <c r="T324" s="740"/>
      <c r="AR324" s="334"/>
      <c r="AS324" s="334"/>
      <c r="AT324" s="48"/>
      <c r="AU324" s="48"/>
      <c r="AV324" s="153"/>
      <c r="AW324" s="153"/>
      <c r="AX324" s="153"/>
      <c r="AY324" s="153"/>
      <c r="AZ324" s="153"/>
      <c r="BA324" s="153"/>
      <c r="BB324" s="153"/>
      <c r="BC324" s="153"/>
      <c r="BD324" s="153"/>
      <c r="BE324" s="153"/>
      <c r="BF324" s="153"/>
      <c r="BG324" s="153"/>
      <c r="BH324" s="153"/>
      <c r="BI324" s="153"/>
      <c r="BJ324" s="153"/>
      <c r="BK324" s="153"/>
      <c r="BL324" s="153"/>
      <c r="BM324" s="153"/>
      <c r="BN324" s="153"/>
      <c r="BO324" s="153"/>
      <c r="BP324" s="153"/>
      <c r="BQ324" s="153"/>
      <c r="BR324" s="153"/>
      <c r="BS324" s="153"/>
      <c r="BT324" s="153"/>
      <c r="BU324" s="153"/>
      <c r="BV324" s="153"/>
      <c r="BW324" s="153"/>
      <c r="BX324" s="153"/>
      <c r="BY324" s="153"/>
      <c r="BZ324" s="153"/>
      <c r="CA324" s="153"/>
      <c r="CB324" s="153"/>
      <c r="CC324" s="153"/>
      <c r="CD324" s="153"/>
      <c r="CE324" s="153"/>
      <c r="CF324" s="153"/>
      <c r="CG324" s="153"/>
      <c r="CH324" s="153"/>
      <c r="CI324" s="153"/>
      <c r="CJ324" s="153"/>
      <c r="CK324" s="153"/>
      <c r="CL324" s="153"/>
      <c r="CM324" s="153"/>
      <c r="CN324" s="153"/>
      <c r="CO324" s="153"/>
      <c r="CP324" s="153"/>
      <c r="CQ324" s="153"/>
      <c r="CR324" s="153"/>
      <c r="CS324" s="153"/>
      <c r="CT324" s="153"/>
      <c r="CU324" s="153"/>
      <c r="CV324" s="153"/>
      <c r="CW324" s="153"/>
      <c r="CX324" s="153"/>
      <c r="CY324" s="153"/>
      <c r="CZ324" s="153"/>
      <c r="DA324" s="153"/>
      <c r="DB324" s="153"/>
      <c r="DC324" s="153"/>
      <c r="DD324" s="153"/>
      <c r="DE324" s="153"/>
      <c r="DF324" s="153"/>
      <c r="DG324" s="153"/>
      <c r="DH324" s="153"/>
      <c r="DI324" s="153"/>
      <c r="DJ324" s="153"/>
      <c r="DK324" s="153"/>
      <c r="DL324" s="153"/>
      <c r="DM324" s="153"/>
      <c r="DN324" s="153"/>
      <c r="DO324" s="153"/>
      <c r="DP324" s="153"/>
      <c r="DQ324" s="153"/>
      <c r="DR324" s="153"/>
      <c r="DS324" s="153"/>
      <c r="DT324" s="153"/>
      <c r="DU324" s="153"/>
      <c r="DV324" s="153"/>
      <c r="DW324" s="153"/>
      <c r="DX324" s="153"/>
      <c r="DY324" s="153"/>
      <c r="DZ324" s="153"/>
      <c r="EA324" s="153"/>
      <c r="EB324" s="153"/>
      <c r="EC324" s="153"/>
      <c r="ED324" s="153"/>
      <c r="EE324" s="153"/>
      <c r="EF324" s="153"/>
      <c r="EG324" s="153"/>
      <c r="EH324" s="153"/>
      <c r="EI324" s="153"/>
      <c r="EJ324" s="153"/>
      <c r="EK324" s="153"/>
      <c r="EL324" s="153"/>
      <c r="EM324" s="153"/>
    </row>
    <row r="325" spans="1:143" s="107" customFormat="1" ht="10.5" hidden="1" customHeight="1" outlineLevel="2">
      <c r="A325" s="1548">
        <v>300</v>
      </c>
      <c r="B325" s="1560" t="str">
        <f t="shared" si="6"/>
        <v/>
      </c>
      <c r="C325" s="161" t="str">
        <f>GasTime(GasAnalyser,'Horiba Data'!F318,'Horiba Data'!G318,'Testo, JUM &amp; MRU Data'!A319,'Thermo Data'!B318,HourOffset)</f>
        <v/>
      </c>
      <c r="D325" s="981" t="str">
        <f>IF(D$17=FALSE,"",GasData(GasAnalyser,'Horiba Data'!S318,'Testo, JUM &amp; MRU Data'!D319,'Thermo Data'!E318,'Testo, JUM &amp; MRU Data'!U319,GDF))</f>
        <v/>
      </c>
      <c r="E325" s="981" t="str">
        <f>IF(D325="","",Conc2(D325,D$9,MolVol,D$21,D$20,E$21,E$20))</f>
        <v/>
      </c>
      <c r="F325" s="981" t="str">
        <f>IF(F$17=FALSE,"",GasData(GasAnalyser,'Horiba Data'!AQ318,'Testo, JUM &amp; MRU Data'!E319,'Thermo Data'!F318,'Testo, JUM &amp; MRU Data'!V319,GDF))</f>
        <v/>
      </c>
      <c r="G325" s="981" t="str">
        <f>IF(F325="","",Conc2(F325,F$9,MolVol,F$21,F$20,G$21,G$20))</f>
        <v/>
      </c>
      <c r="H325" s="981" t="str">
        <f>IF(D$17=FALSE,"",IF(F$17=FALSE,"",GasData(GasAnalyser,'Horiba Data'!W318,'Testo, JUM &amp; MRU Data'!F319,'Thermo Data'!G318,'Testo, JUM &amp; MRU Data'!Y319,GDF)))</f>
        <v/>
      </c>
      <c r="I325" s="981" t="str">
        <f>IF(H325="","",Conc2(H325,H$9,MolVol,H$21,H$20,I$21,I$20))</f>
        <v/>
      </c>
      <c r="J325" s="981" t="str">
        <f>IF(J$17=FALSE,"",GasData(GasAnalyser,'Horiba Data'!AM318,'Testo, JUM &amp; MRU Data'!G319,'Thermo Data'!H318,'Testo, JUM &amp; MRU Data'!W319,GDF))</f>
        <v/>
      </c>
      <c r="K325" s="981" t="str">
        <f>IF(J325="","",Conc2(J325,J$9,MolVol,J$21,J$20,K$21,K$20))</f>
        <v/>
      </c>
      <c r="L325" s="981" t="str">
        <f>IF(L$17=FALSE,"",GasData(GasAnalyser,'Horiba Data'!AA318,'Testo, JUM &amp; MRU Data'!H319,'Thermo Data'!I318,'Testo, JUM &amp; MRU Data'!T319,GDF))</f>
        <v/>
      </c>
      <c r="M325" s="981" t="str">
        <f>IF(L325="","",Conc2(L325,L$9,MolVol,L$21,L$20,M$21,M$20))</f>
        <v/>
      </c>
      <c r="N325" s="981" t="str">
        <f>IF(N$17=FALSE,"",GasData(GasAnalyser,'Horiba Data'!AE318,'Testo, JUM &amp; MRU Data'!I319,'Thermo Data'!J318,'Testo, JUM &amp; MRU Data'!S319,GDF))</f>
        <v/>
      </c>
      <c r="O325" s="981" t="str">
        <f>IF(N325="","",Conc2(N325,N$9,MolVol,N$21,N$20,O$21,O$20))</f>
        <v/>
      </c>
      <c r="P325" s="981" t="str">
        <f>IF(P$17=FALSE,"",GasData(GasAnalyser,'Horiba Data'!AI318,'Testo, JUM &amp; MRU Data'!J319,'Thermo Data'!K318,'Testo, JUM &amp; MRU Data'!R319,GDF))</f>
        <v/>
      </c>
      <c r="Q325" s="981" t="str">
        <f>IF(P325="","",Conc2(P325,P$9,MolVol,P$21,P$20,Q$21,Q$20))</f>
        <v/>
      </c>
      <c r="R325" s="981" t="str">
        <f>IF(R$17=FALSE,"",JUMData('Testo, JUM &amp; MRU Data'!M319,$R$7))</f>
        <v/>
      </c>
      <c r="S325" s="982" t="str">
        <f>IF(R325="","",Conc2(R325,R$9,MolVol,R$21,R$20,S$21,S$20)/(1-Bws))</f>
        <v/>
      </c>
      <c r="T325" s="740"/>
      <c r="AR325" s="334"/>
      <c r="AS325" s="334"/>
      <c r="AT325" s="48"/>
      <c r="AU325" s="48"/>
      <c r="AV325" s="153"/>
      <c r="AW325" s="153"/>
      <c r="AX325" s="153"/>
      <c r="AY325" s="153"/>
      <c r="AZ325" s="153"/>
      <c r="BA325" s="153"/>
      <c r="BB325" s="153"/>
      <c r="BC325" s="153"/>
      <c r="BD325" s="153"/>
      <c r="BE325" s="153"/>
      <c r="BF325" s="153"/>
      <c r="BG325" s="153"/>
      <c r="BH325" s="153"/>
      <c r="BI325" s="153"/>
      <c r="BJ325" s="153"/>
      <c r="BK325" s="153"/>
      <c r="BL325" s="153"/>
      <c r="BM325" s="153"/>
      <c r="BN325" s="153"/>
      <c r="BO325" s="153"/>
      <c r="BP325" s="153"/>
      <c r="BQ325" s="153"/>
      <c r="BR325" s="153"/>
      <c r="BS325" s="153"/>
      <c r="BT325" s="153"/>
      <c r="BU325" s="153"/>
      <c r="BV325" s="153"/>
      <c r="BW325" s="153"/>
      <c r="BX325" s="153"/>
      <c r="BY325" s="153"/>
      <c r="BZ325" s="153"/>
      <c r="CA325" s="153"/>
      <c r="CB325" s="153"/>
      <c r="CC325" s="153"/>
      <c r="CD325" s="153"/>
      <c r="CE325" s="153"/>
      <c r="CF325" s="153"/>
      <c r="CG325" s="153"/>
      <c r="CH325" s="153"/>
      <c r="CI325" s="153"/>
      <c r="CJ325" s="153"/>
      <c r="CK325" s="153"/>
      <c r="CL325" s="153"/>
      <c r="CM325" s="153"/>
      <c r="CN325" s="153"/>
      <c r="CO325" s="153"/>
      <c r="CP325" s="153"/>
      <c r="CQ325" s="153"/>
      <c r="CR325" s="153"/>
      <c r="CS325" s="153"/>
      <c r="CT325" s="153"/>
      <c r="CU325" s="153"/>
      <c r="CV325" s="153"/>
      <c r="CW325" s="153"/>
      <c r="CX325" s="153"/>
      <c r="CY325" s="153"/>
      <c r="CZ325" s="153"/>
      <c r="DA325" s="153"/>
      <c r="DB325" s="153"/>
      <c r="DC325" s="153"/>
      <c r="DD325" s="153"/>
      <c r="DE325" s="153"/>
      <c r="DF325" s="153"/>
      <c r="DG325" s="153"/>
      <c r="DH325" s="153"/>
      <c r="DI325" s="153"/>
      <c r="DJ325" s="153"/>
      <c r="DK325" s="153"/>
      <c r="DL325" s="153"/>
      <c r="DM325" s="153"/>
      <c r="DN325" s="153"/>
      <c r="DO325" s="153"/>
      <c r="DP325" s="153"/>
      <c r="DQ325" s="153"/>
      <c r="DR325" s="153"/>
      <c r="DS325" s="153"/>
      <c r="DT325" s="153"/>
      <c r="DU325" s="153"/>
      <c r="DV325" s="153"/>
      <c r="DW325" s="153"/>
      <c r="DX325" s="153"/>
      <c r="DY325" s="153"/>
      <c r="DZ325" s="153"/>
      <c r="EA325" s="153"/>
      <c r="EB325" s="153"/>
      <c r="EC325" s="153"/>
      <c r="ED325" s="153"/>
      <c r="EE325" s="153"/>
      <c r="EF325" s="153"/>
      <c r="EG325" s="153"/>
      <c r="EH325" s="153"/>
      <c r="EI325" s="153"/>
      <c r="EJ325" s="153"/>
      <c r="EK325" s="153"/>
      <c r="EL325" s="153"/>
      <c r="EM325" s="153"/>
    </row>
    <row r="326" spans="1:143" s="107" customFormat="1" ht="10.5" hidden="1" customHeight="1" outlineLevel="2">
      <c r="A326" s="1548">
        <v>301</v>
      </c>
      <c r="B326" s="1560" t="str">
        <f t="shared" si="6"/>
        <v/>
      </c>
      <c r="C326" s="161" t="str">
        <f>GasTime(GasAnalyser,'Horiba Data'!F319,'Horiba Data'!G319,'Testo, JUM &amp; MRU Data'!A320,'Thermo Data'!B319,HourOffset)</f>
        <v/>
      </c>
      <c r="D326" s="981" t="str">
        <f>IF(D$17=FALSE,"",GasData(GasAnalyser,'Horiba Data'!S319,'Testo, JUM &amp; MRU Data'!D320,'Thermo Data'!E319,'Testo, JUM &amp; MRU Data'!U320,GDF))</f>
        <v/>
      </c>
      <c r="E326" s="981" t="str">
        <f>IF(D326="","",Conc2(D326,D$9,MolVol,D$21,D$20,E$21,E$20))</f>
        <v/>
      </c>
      <c r="F326" s="981" t="str">
        <f>IF(F$17=FALSE,"",GasData(GasAnalyser,'Horiba Data'!AQ319,'Testo, JUM &amp; MRU Data'!E320,'Thermo Data'!F319,'Testo, JUM &amp; MRU Data'!V320,GDF))</f>
        <v/>
      </c>
      <c r="G326" s="981" t="str">
        <f>IF(F326="","",Conc2(F326,F$9,MolVol,F$21,F$20,G$21,G$20))</f>
        <v/>
      </c>
      <c r="H326" s="981" t="str">
        <f>IF(D$17=FALSE,"",IF(F$17=FALSE,"",GasData(GasAnalyser,'Horiba Data'!W319,'Testo, JUM &amp; MRU Data'!F320,'Thermo Data'!G319,'Testo, JUM &amp; MRU Data'!Y320,GDF)))</f>
        <v/>
      </c>
      <c r="I326" s="981" t="str">
        <f>IF(H326="","",Conc2(H326,H$9,MolVol,H$21,H$20,I$21,I$20))</f>
        <v/>
      </c>
      <c r="J326" s="981" t="str">
        <f>IF(J$17=FALSE,"",GasData(GasAnalyser,'Horiba Data'!AM319,'Testo, JUM &amp; MRU Data'!G320,'Thermo Data'!H319,'Testo, JUM &amp; MRU Data'!W320,GDF))</f>
        <v/>
      </c>
      <c r="K326" s="981" t="str">
        <f>IF(J326="","",Conc2(J326,J$9,MolVol,J$21,J$20,K$21,K$20))</f>
        <v/>
      </c>
      <c r="L326" s="981" t="str">
        <f>IF(L$17=FALSE,"",GasData(GasAnalyser,'Horiba Data'!AA319,'Testo, JUM &amp; MRU Data'!H320,'Thermo Data'!I319,'Testo, JUM &amp; MRU Data'!T320,GDF))</f>
        <v/>
      </c>
      <c r="M326" s="981" t="str">
        <f>IF(L326="","",Conc2(L326,L$9,MolVol,L$21,L$20,M$21,M$20))</f>
        <v/>
      </c>
      <c r="N326" s="981" t="str">
        <f>IF(N$17=FALSE,"",GasData(GasAnalyser,'Horiba Data'!AE319,'Testo, JUM &amp; MRU Data'!I320,'Thermo Data'!J319,'Testo, JUM &amp; MRU Data'!S320,GDF))</f>
        <v/>
      </c>
      <c r="O326" s="981" t="str">
        <f>IF(N326="","",Conc2(N326,N$9,MolVol,N$21,N$20,O$21,O$20))</f>
        <v/>
      </c>
      <c r="P326" s="981" t="str">
        <f>IF(P$17=FALSE,"",GasData(GasAnalyser,'Horiba Data'!AI319,'Testo, JUM &amp; MRU Data'!J320,'Thermo Data'!K319,'Testo, JUM &amp; MRU Data'!R320,GDF))</f>
        <v/>
      </c>
      <c r="Q326" s="981" t="str">
        <f>IF(P326="","",Conc2(P326,P$9,MolVol,P$21,P$20,Q$21,Q$20))</f>
        <v/>
      </c>
      <c r="R326" s="981" t="str">
        <f>IF(R$17=FALSE,"",JUMData('Testo, JUM &amp; MRU Data'!M320,$R$7))</f>
        <v/>
      </c>
      <c r="S326" s="982" t="str">
        <f>IF(R326="","",Conc2(R326,R$9,MolVol,R$21,R$20,S$21,S$20)/(1-Bws))</f>
        <v/>
      </c>
      <c r="T326" s="740"/>
      <c r="AR326" s="334"/>
      <c r="AS326" s="334"/>
      <c r="AT326" s="48"/>
      <c r="AU326" s="48"/>
      <c r="AV326" s="153"/>
      <c r="AW326" s="153"/>
      <c r="AX326" s="153"/>
      <c r="AY326" s="153"/>
      <c r="AZ326" s="153"/>
      <c r="BA326" s="153"/>
      <c r="BB326" s="153"/>
      <c r="BC326" s="153"/>
      <c r="BD326" s="153"/>
      <c r="BE326" s="153"/>
      <c r="BF326" s="153"/>
      <c r="BG326" s="153"/>
      <c r="BH326" s="153"/>
      <c r="BI326" s="153"/>
      <c r="BJ326" s="153"/>
      <c r="BK326" s="153"/>
      <c r="BL326" s="153"/>
      <c r="BM326" s="153"/>
      <c r="BN326" s="153"/>
      <c r="BO326" s="153"/>
      <c r="BP326" s="153"/>
      <c r="BQ326" s="153"/>
      <c r="BR326" s="153"/>
      <c r="BS326" s="153"/>
      <c r="BT326" s="153"/>
      <c r="BU326" s="153"/>
      <c r="BV326" s="153"/>
      <c r="BW326" s="153"/>
      <c r="BX326" s="153"/>
      <c r="BY326" s="153"/>
      <c r="BZ326" s="153"/>
      <c r="CA326" s="153"/>
      <c r="CB326" s="153"/>
      <c r="CC326" s="153"/>
      <c r="CD326" s="153"/>
      <c r="CE326" s="153"/>
      <c r="CF326" s="153"/>
      <c r="CG326" s="153"/>
      <c r="CH326" s="153"/>
      <c r="CI326" s="153"/>
      <c r="CJ326" s="153"/>
      <c r="CK326" s="153"/>
      <c r="CL326" s="153"/>
      <c r="CM326" s="153"/>
      <c r="CN326" s="153"/>
      <c r="CO326" s="153"/>
      <c r="CP326" s="153"/>
      <c r="CQ326" s="153"/>
      <c r="CR326" s="153"/>
      <c r="CS326" s="153"/>
      <c r="CT326" s="153"/>
      <c r="CU326" s="153"/>
      <c r="CV326" s="153"/>
      <c r="CW326" s="153"/>
      <c r="CX326" s="153"/>
      <c r="CY326" s="153"/>
      <c r="CZ326" s="153"/>
      <c r="DA326" s="153"/>
      <c r="DB326" s="153"/>
      <c r="DC326" s="153"/>
      <c r="DD326" s="153"/>
      <c r="DE326" s="153"/>
      <c r="DF326" s="153"/>
      <c r="DG326" s="153"/>
      <c r="DH326" s="153"/>
      <c r="DI326" s="153"/>
      <c r="DJ326" s="153"/>
      <c r="DK326" s="153"/>
      <c r="DL326" s="153"/>
      <c r="DM326" s="153"/>
      <c r="DN326" s="153"/>
      <c r="DO326" s="153"/>
      <c r="DP326" s="153"/>
      <c r="DQ326" s="153"/>
      <c r="DR326" s="153"/>
      <c r="DS326" s="153"/>
      <c r="DT326" s="153"/>
      <c r="DU326" s="153"/>
      <c r="DV326" s="153"/>
      <c r="DW326" s="153"/>
      <c r="DX326" s="153"/>
      <c r="DY326" s="153"/>
      <c r="DZ326" s="153"/>
      <c r="EA326" s="153"/>
      <c r="EB326" s="153"/>
      <c r="EC326" s="153"/>
      <c r="ED326" s="153"/>
      <c r="EE326" s="153"/>
      <c r="EF326" s="153"/>
      <c r="EG326" s="153"/>
      <c r="EH326" s="153"/>
      <c r="EI326" s="153"/>
      <c r="EJ326" s="153"/>
      <c r="EK326" s="153"/>
      <c r="EL326" s="153"/>
      <c r="EM326" s="153"/>
    </row>
    <row r="327" spans="1:143" s="107" customFormat="1" ht="10.5" hidden="1" customHeight="1" outlineLevel="2">
      <c r="A327" s="1548">
        <v>302</v>
      </c>
      <c r="B327" s="1560" t="str">
        <f t="shared" si="6"/>
        <v/>
      </c>
      <c r="C327" s="161" t="str">
        <f>GasTime(GasAnalyser,'Horiba Data'!F320,'Horiba Data'!G320,'Testo, JUM &amp; MRU Data'!A321,'Thermo Data'!B320,HourOffset)</f>
        <v/>
      </c>
      <c r="D327" s="981" t="str">
        <f>IF(D$17=FALSE,"",GasData(GasAnalyser,'Horiba Data'!S320,'Testo, JUM &amp; MRU Data'!D321,'Thermo Data'!E320,'Testo, JUM &amp; MRU Data'!U321,GDF))</f>
        <v/>
      </c>
      <c r="E327" s="981" t="str">
        <f>IF(D327="","",Conc2(D327,D$9,MolVol,D$21,D$20,E$21,E$20))</f>
        <v/>
      </c>
      <c r="F327" s="981" t="str">
        <f>IF(F$17=FALSE,"",GasData(GasAnalyser,'Horiba Data'!AQ320,'Testo, JUM &amp; MRU Data'!E321,'Thermo Data'!F320,'Testo, JUM &amp; MRU Data'!V321,GDF))</f>
        <v/>
      </c>
      <c r="G327" s="981" t="str">
        <f>IF(F327="","",Conc2(F327,F$9,MolVol,F$21,F$20,G$21,G$20))</f>
        <v/>
      </c>
      <c r="H327" s="981" t="str">
        <f>IF(D$17=FALSE,"",IF(F$17=FALSE,"",GasData(GasAnalyser,'Horiba Data'!W320,'Testo, JUM &amp; MRU Data'!F321,'Thermo Data'!G320,'Testo, JUM &amp; MRU Data'!Y321,GDF)))</f>
        <v/>
      </c>
      <c r="I327" s="981" t="str">
        <f>IF(H327="","",Conc2(H327,H$9,MolVol,H$21,H$20,I$21,I$20))</f>
        <v/>
      </c>
      <c r="J327" s="981" t="str">
        <f>IF(J$17=FALSE,"",GasData(GasAnalyser,'Horiba Data'!AM320,'Testo, JUM &amp; MRU Data'!G321,'Thermo Data'!H320,'Testo, JUM &amp; MRU Data'!W321,GDF))</f>
        <v/>
      </c>
      <c r="K327" s="981" t="str">
        <f>IF(J327="","",Conc2(J327,J$9,MolVol,J$21,J$20,K$21,K$20))</f>
        <v/>
      </c>
      <c r="L327" s="981" t="str">
        <f>IF(L$17=FALSE,"",GasData(GasAnalyser,'Horiba Data'!AA320,'Testo, JUM &amp; MRU Data'!H321,'Thermo Data'!I320,'Testo, JUM &amp; MRU Data'!T321,GDF))</f>
        <v/>
      </c>
      <c r="M327" s="981" t="str">
        <f>IF(L327="","",Conc2(L327,L$9,MolVol,L$21,L$20,M$21,M$20))</f>
        <v/>
      </c>
      <c r="N327" s="981" t="str">
        <f>IF(N$17=FALSE,"",GasData(GasAnalyser,'Horiba Data'!AE320,'Testo, JUM &amp; MRU Data'!I321,'Thermo Data'!J320,'Testo, JUM &amp; MRU Data'!S321,GDF))</f>
        <v/>
      </c>
      <c r="O327" s="981" t="str">
        <f>IF(N327="","",Conc2(N327,N$9,MolVol,N$21,N$20,O$21,O$20))</f>
        <v/>
      </c>
      <c r="P327" s="981" t="str">
        <f>IF(P$17=FALSE,"",GasData(GasAnalyser,'Horiba Data'!AI320,'Testo, JUM &amp; MRU Data'!J321,'Thermo Data'!K320,'Testo, JUM &amp; MRU Data'!R321,GDF))</f>
        <v/>
      </c>
      <c r="Q327" s="981" t="str">
        <f>IF(P327="","",Conc2(P327,P$9,MolVol,P$21,P$20,Q$21,Q$20))</f>
        <v/>
      </c>
      <c r="R327" s="981" t="str">
        <f>IF(R$17=FALSE,"",JUMData('Testo, JUM &amp; MRU Data'!M321,$R$7))</f>
        <v/>
      </c>
      <c r="S327" s="982" t="str">
        <f>IF(R327="","",Conc2(R327,R$9,MolVol,R$21,R$20,S$21,S$20)/(1-Bws))</f>
        <v/>
      </c>
      <c r="T327" s="740"/>
      <c r="AR327" s="334"/>
      <c r="AS327" s="334"/>
      <c r="AT327" s="48"/>
      <c r="AU327" s="48"/>
      <c r="AV327" s="153"/>
      <c r="AW327" s="153"/>
      <c r="AX327" s="153"/>
      <c r="AY327" s="153"/>
      <c r="AZ327" s="153"/>
      <c r="BA327" s="153"/>
      <c r="BB327" s="153"/>
      <c r="BC327" s="153"/>
      <c r="BD327" s="153"/>
      <c r="BE327" s="153"/>
      <c r="BF327" s="153"/>
      <c r="BG327" s="153"/>
      <c r="BH327" s="153"/>
      <c r="BI327" s="153"/>
      <c r="BJ327" s="153"/>
      <c r="BK327" s="153"/>
      <c r="BL327" s="153"/>
      <c r="BM327" s="153"/>
      <c r="BN327" s="153"/>
      <c r="BO327" s="153"/>
      <c r="BP327" s="153"/>
      <c r="BQ327" s="153"/>
      <c r="BR327" s="153"/>
      <c r="BS327" s="153"/>
      <c r="BT327" s="153"/>
      <c r="BU327" s="153"/>
      <c r="BV327" s="153"/>
      <c r="BW327" s="153"/>
      <c r="BX327" s="153"/>
      <c r="BY327" s="153"/>
      <c r="BZ327" s="153"/>
      <c r="CA327" s="153"/>
      <c r="CB327" s="153"/>
      <c r="CC327" s="153"/>
      <c r="CD327" s="153"/>
      <c r="CE327" s="153"/>
      <c r="CF327" s="153"/>
      <c r="CG327" s="153"/>
      <c r="CH327" s="153"/>
      <c r="CI327" s="153"/>
      <c r="CJ327" s="153"/>
      <c r="CK327" s="153"/>
      <c r="CL327" s="153"/>
      <c r="CM327" s="153"/>
      <c r="CN327" s="153"/>
      <c r="CO327" s="153"/>
      <c r="CP327" s="153"/>
      <c r="CQ327" s="153"/>
      <c r="CR327" s="153"/>
      <c r="CS327" s="153"/>
      <c r="CT327" s="153"/>
      <c r="CU327" s="153"/>
      <c r="CV327" s="153"/>
      <c r="CW327" s="153"/>
      <c r="CX327" s="153"/>
      <c r="CY327" s="153"/>
      <c r="CZ327" s="153"/>
      <c r="DA327" s="153"/>
      <c r="DB327" s="153"/>
      <c r="DC327" s="153"/>
      <c r="DD327" s="153"/>
      <c r="DE327" s="153"/>
      <c r="DF327" s="153"/>
      <c r="DG327" s="153"/>
      <c r="DH327" s="153"/>
      <c r="DI327" s="153"/>
      <c r="DJ327" s="153"/>
      <c r="DK327" s="153"/>
      <c r="DL327" s="153"/>
      <c r="DM327" s="153"/>
      <c r="DN327" s="153"/>
      <c r="DO327" s="153"/>
      <c r="DP327" s="153"/>
      <c r="DQ327" s="153"/>
      <c r="DR327" s="153"/>
      <c r="DS327" s="153"/>
      <c r="DT327" s="153"/>
      <c r="DU327" s="153"/>
      <c r="DV327" s="153"/>
      <c r="DW327" s="153"/>
      <c r="DX327" s="153"/>
      <c r="DY327" s="153"/>
      <c r="DZ327" s="153"/>
      <c r="EA327" s="153"/>
      <c r="EB327" s="153"/>
      <c r="EC327" s="153"/>
      <c r="ED327" s="153"/>
      <c r="EE327" s="153"/>
      <c r="EF327" s="153"/>
      <c r="EG327" s="153"/>
      <c r="EH327" s="153"/>
      <c r="EI327" s="153"/>
      <c r="EJ327" s="153"/>
      <c r="EK327" s="153"/>
      <c r="EL327" s="153"/>
      <c r="EM327" s="153"/>
    </row>
    <row r="328" spans="1:143" s="107" customFormat="1" ht="10.5" hidden="1" customHeight="1" outlineLevel="2">
      <c r="A328" s="1548">
        <v>303</v>
      </c>
      <c r="B328" s="1560" t="str">
        <f t="shared" si="6"/>
        <v/>
      </c>
      <c r="C328" s="161" t="str">
        <f>GasTime(GasAnalyser,'Horiba Data'!F321,'Horiba Data'!G321,'Testo, JUM &amp; MRU Data'!A322,'Thermo Data'!B321,HourOffset)</f>
        <v/>
      </c>
      <c r="D328" s="981" t="str">
        <f>IF(D$17=FALSE,"",GasData(GasAnalyser,'Horiba Data'!S321,'Testo, JUM &amp; MRU Data'!D322,'Thermo Data'!E321,'Testo, JUM &amp; MRU Data'!U322,GDF))</f>
        <v/>
      </c>
      <c r="E328" s="981" t="str">
        <f>IF(D328="","",Conc2(D328,D$9,MolVol,D$21,D$20,E$21,E$20))</f>
        <v/>
      </c>
      <c r="F328" s="981" t="str">
        <f>IF(F$17=FALSE,"",GasData(GasAnalyser,'Horiba Data'!AQ321,'Testo, JUM &amp; MRU Data'!E322,'Thermo Data'!F321,'Testo, JUM &amp; MRU Data'!V322,GDF))</f>
        <v/>
      </c>
      <c r="G328" s="981" t="str">
        <f>IF(F328="","",Conc2(F328,F$9,MolVol,F$21,F$20,G$21,G$20))</f>
        <v/>
      </c>
      <c r="H328" s="981" t="str">
        <f>IF(D$17=FALSE,"",IF(F$17=FALSE,"",GasData(GasAnalyser,'Horiba Data'!W321,'Testo, JUM &amp; MRU Data'!F322,'Thermo Data'!G321,'Testo, JUM &amp; MRU Data'!Y322,GDF)))</f>
        <v/>
      </c>
      <c r="I328" s="981" t="str">
        <f>IF(H328="","",Conc2(H328,H$9,MolVol,H$21,H$20,I$21,I$20))</f>
        <v/>
      </c>
      <c r="J328" s="981" t="str">
        <f>IF(J$17=FALSE,"",GasData(GasAnalyser,'Horiba Data'!AM321,'Testo, JUM &amp; MRU Data'!G322,'Thermo Data'!H321,'Testo, JUM &amp; MRU Data'!W322,GDF))</f>
        <v/>
      </c>
      <c r="K328" s="981" t="str">
        <f>IF(J328="","",Conc2(J328,J$9,MolVol,J$21,J$20,K$21,K$20))</f>
        <v/>
      </c>
      <c r="L328" s="981" t="str">
        <f>IF(L$17=FALSE,"",GasData(GasAnalyser,'Horiba Data'!AA321,'Testo, JUM &amp; MRU Data'!H322,'Thermo Data'!I321,'Testo, JUM &amp; MRU Data'!T322,GDF))</f>
        <v/>
      </c>
      <c r="M328" s="981" t="str">
        <f>IF(L328="","",Conc2(L328,L$9,MolVol,L$21,L$20,M$21,M$20))</f>
        <v/>
      </c>
      <c r="N328" s="981" t="str">
        <f>IF(N$17=FALSE,"",GasData(GasAnalyser,'Horiba Data'!AE321,'Testo, JUM &amp; MRU Data'!I322,'Thermo Data'!J321,'Testo, JUM &amp; MRU Data'!S322,GDF))</f>
        <v/>
      </c>
      <c r="O328" s="981" t="str">
        <f>IF(N328="","",Conc2(N328,N$9,MolVol,N$21,N$20,O$21,O$20))</f>
        <v/>
      </c>
      <c r="P328" s="981" t="str">
        <f>IF(P$17=FALSE,"",GasData(GasAnalyser,'Horiba Data'!AI321,'Testo, JUM &amp; MRU Data'!J322,'Thermo Data'!K321,'Testo, JUM &amp; MRU Data'!R322,GDF))</f>
        <v/>
      </c>
      <c r="Q328" s="981" t="str">
        <f>IF(P328="","",Conc2(P328,P$9,MolVol,P$21,P$20,Q$21,Q$20))</f>
        <v/>
      </c>
      <c r="R328" s="981" t="str">
        <f>IF(R$17=FALSE,"",JUMData('Testo, JUM &amp; MRU Data'!M322,$R$7))</f>
        <v/>
      </c>
      <c r="S328" s="982" t="str">
        <f>IF(R328="","",Conc2(R328,R$9,MolVol,R$21,R$20,S$21,S$20)/(1-Bws))</f>
        <v/>
      </c>
      <c r="T328" s="740"/>
      <c r="AR328" s="334"/>
      <c r="AS328" s="334"/>
      <c r="AT328" s="48"/>
      <c r="AU328" s="48"/>
      <c r="AV328" s="153"/>
      <c r="AW328" s="153"/>
      <c r="AX328" s="153"/>
      <c r="AY328" s="153"/>
      <c r="AZ328" s="153"/>
      <c r="BA328" s="153"/>
      <c r="BB328" s="153"/>
      <c r="BC328" s="153"/>
      <c r="BD328" s="153"/>
      <c r="BE328" s="153"/>
      <c r="BF328" s="153"/>
      <c r="BG328" s="153"/>
      <c r="BH328" s="153"/>
      <c r="BI328" s="153"/>
      <c r="BJ328" s="153"/>
      <c r="BK328" s="153"/>
      <c r="BL328" s="153"/>
      <c r="BM328" s="153"/>
      <c r="BN328" s="153"/>
      <c r="BO328" s="153"/>
      <c r="BP328" s="153"/>
      <c r="BQ328" s="153"/>
      <c r="BR328" s="153"/>
      <c r="BS328" s="153"/>
      <c r="BT328" s="153"/>
      <c r="BU328" s="153"/>
      <c r="BV328" s="153"/>
      <c r="BW328" s="153"/>
      <c r="BX328" s="153"/>
      <c r="BY328" s="153"/>
      <c r="BZ328" s="153"/>
      <c r="CA328" s="153"/>
      <c r="CB328" s="153"/>
      <c r="CC328" s="153"/>
      <c r="CD328" s="153"/>
      <c r="CE328" s="153"/>
      <c r="CF328" s="153"/>
      <c r="CG328" s="153"/>
      <c r="CH328" s="153"/>
      <c r="CI328" s="153"/>
      <c r="CJ328" s="153"/>
      <c r="CK328" s="153"/>
      <c r="CL328" s="153"/>
      <c r="CM328" s="153"/>
      <c r="CN328" s="153"/>
      <c r="CO328" s="153"/>
      <c r="CP328" s="153"/>
      <c r="CQ328" s="153"/>
      <c r="CR328" s="153"/>
      <c r="CS328" s="153"/>
      <c r="CT328" s="153"/>
      <c r="CU328" s="153"/>
      <c r="CV328" s="153"/>
      <c r="CW328" s="153"/>
      <c r="CX328" s="153"/>
      <c r="CY328" s="153"/>
      <c r="CZ328" s="153"/>
      <c r="DA328" s="153"/>
      <c r="DB328" s="153"/>
      <c r="DC328" s="153"/>
      <c r="DD328" s="153"/>
      <c r="DE328" s="153"/>
      <c r="DF328" s="153"/>
      <c r="DG328" s="153"/>
      <c r="DH328" s="153"/>
      <c r="DI328" s="153"/>
      <c r="DJ328" s="153"/>
      <c r="DK328" s="153"/>
      <c r="DL328" s="153"/>
      <c r="DM328" s="153"/>
      <c r="DN328" s="153"/>
      <c r="DO328" s="153"/>
      <c r="DP328" s="153"/>
      <c r="DQ328" s="153"/>
      <c r="DR328" s="153"/>
      <c r="DS328" s="153"/>
      <c r="DT328" s="153"/>
      <c r="DU328" s="153"/>
      <c r="DV328" s="153"/>
      <c r="DW328" s="153"/>
      <c r="DX328" s="153"/>
      <c r="DY328" s="153"/>
      <c r="DZ328" s="153"/>
      <c r="EA328" s="153"/>
      <c r="EB328" s="153"/>
      <c r="EC328" s="153"/>
      <c r="ED328" s="153"/>
      <c r="EE328" s="153"/>
      <c r="EF328" s="153"/>
      <c r="EG328" s="153"/>
      <c r="EH328" s="153"/>
      <c r="EI328" s="153"/>
      <c r="EJ328" s="153"/>
      <c r="EK328" s="153"/>
      <c r="EL328" s="153"/>
      <c r="EM328" s="153"/>
    </row>
    <row r="329" spans="1:143" s="107" customFormat="1" ht="10.5" hidden="1" customHeight="1" outlineLevel="2">
      <c r="A329" s="1548">
        <v>304</v>
      </c>
      <c r="B329" s="1560" t="str">
        <f t="shared" si="6"/>
        <v/>
      </c>
      <c r="C329" s="161" t="str">
        <f>GasTime(GasAnalyser,'Horiba Data'!F322,'Horiba Data'!G322,'Testo, JUM &amp; MRU Data'!A323,'Thermo Data'!B322,HourOffset)</f>
        <v/>
      </c>
      <c r="D329" s="981" t="str">
        <f>IF(D$17=FALSE,"",GasData(GasAnalyser,'Horiba Data'!S322,'Testo, JUM &amp; MRU Data'!D323,'Thermo Data'!E322,'Testo, JUM &amp; MRU Data'!U323,GDF))</f>
        <v/>
      </c>
      <c r="E329" s="981" t="str">
        <f>IF(D329="","",Conc2(D329,D$9,MolVol,D$21,D$20,E$21,E$20))</f>
        <v/>
      </c>
      <c r="F329" s="981" t="str">
        <f>IF(F$17=FALSE,"",GasData(GasAnalyser,'Horiba Data'!AQ322,'Testo, JUM &amp; MRU Data'!E323,'Thermo Data'!F322,'Testo, JUM &amp; MRU Data'!V323,GDF))</f>
        <v/>
      </c>
      <c r="G329" s="981" t="str">
        <f>IF(F329="","",Conc2(F329,F$9,MolVol,F$21,F$20,G$21,G$20))</f>
        <v/>
      </c>
      <c r="H329" s="981" t="str">
        <f>IF(D$17=FALSE,"",IF(F$17=FALSE,"",GasData(GasAnalyser,'Horiba Data'!W322,'Testo, JUM &amp; MRU Data'!F323,'Thermo Data'!G322,'Testo, JUM &amp; MRU Data'!Y323,GDF)))</f>
        <v/>
      </c>
      <c r="I329" s="981" t="str">
        <f>IF(H329="","",Conc2(H329,H$9,MolVol,H$21,H$20,I$21,I$20))</f>
        <v/>
      </c>
      <c r="J329" s="981" t="str">
        <f>IF(J$17=FALSE,"",GasData(GasAnalyser,'Horiba Data'!AM322,'Testo, JUM &amp; MRU Data'!G323,'Thermo Data'!H322,'Testo, JUM &amp; MRU Data'!W323,GDF))</f>
        <v/>
      </c>
      <c r="K329" s="981" t="str">
        <f>IF(J329="","",Conc2(J329,J$9,MolVol,J$21,J$20,K$21,K$20))</f>
        <v/>
      </c>
      <c r="L329" s="981" t="str">
        <f>IF(L$17=FALSE,"",GasData(GasAnalyser,'Horiba Data'!AA322,'Testo, JUM &amp; MRU Data'!H323,'Thermo Data'!I322,'Testo, JUM &amp; MRU Data'!T323,GDF))</f>
        <v/>
      </c>
      <c r="M329" s="981" t="str">
        <f>IF(L329="","",Conc2(L329,L$9,MolVol,L$21,L$20,M$21,M$20))</f>
        <v/>
      </c>
      <c r="N329" s="981" t="str">
        <f>IF(N$17=FALSE,"",GasData(GasAnalyser,'Horiba Data'!AE322,'Testo, JUM &amp; MRU Data'!I323,'Thermo Data'!J322,'Testo, JUM &amp; MRU Data'!S323,GDF))</f>
        <v/>
      </c>
      <c r="O329" s="981" t="str">
        <f>IF(N329="","",Conc2(N329,N$9,MolVol,N$21,N$20,O$21,O$20))</f>
        <v/>
      </c>
      <c r="P329" s="981" t="str">
        <f>IF(P$17=FALSE,"",GasData(GasAnalyser,'Horiba Data'!AI322,'Testo, JUM &amp; MRU Data'!J323,'Thermo Data'!K322,'Testo, JUM &amp; MRU Data'!R323,GDF))</f>
        <v/>
      </c>
      <c r="Q329" s="981" t="str">
        <f>IF(P329="","",Conc2(P329,P$9,MolVol,P$21,P$20,Q$21,Q$20))</f>
        <v/>
      </c>
      <c r="R329" s="981" t="str">
        <f>IF(R$17=FALSE,"",JUMData('Testo, JUM &amp; MRU Data'!M323,$R$7))</f>
        <v/>
      </c>
      <c r="S329" s="982" t="str">
        <f>IF(R329="","",Conc2(R329,R$9,MolVol,R$21,R$20,S$21,S$20)/(1-Bws))</f>
        <v/>
      </c>
      <c r="T329" s="740"/>
      <c r="AR329" s="334"/>
      <c r="AS329" s="334"/>
      <c r="AT329" s="48"/>
      <c r="AU329" s="48"/>
      <c r="AV329" s="153"/>
      <c r="AW329" s="153"/>
      <c r="AX329" s="153"/>
      <c r="AY329" s="153"/>
      <c r="AZ329" s="153"/>
      <c r="BA329" s="153"/>
      <c r="BB329" s="153"/>
      <c r="BC329" s="153"/>
      <c r="BD329" s="153"/>
      <c r="BE329" s="153"/>
      <c r="BF329" s="153"/>
      <c r="BG329" s="153"/>
      <c r="BH329" s="153"/>
      <c r="BI329" s="153"/>
      <c r="BJ329" s="153"/>
      <c r="BK329" s="153"/>
      <c r="BL329" s="153"/>
      <c r="BM329" s="153"/>
      <c r="BN329" s="153"/>
      <c r="BO329" s="153"/>
      <c r="BP329" s="153"/>
      <c r="BQ329" s="153"/>
      <c r="BR329" s="153"/>
      <c r="BS329" s="153"/>
      <c r="BT329" s="153"/>
      <c r="BU329" s="153"/>
      <c r="BV329" s="153"/>
      <c r="BW329" s="153"/>
      <c r="BX329" s="153"/>
      <c r="BY329" s="153"/>
      <c r="BZ329" s="153"/>
      <c r="CA329" s="153"/>
      <c r="CB329" s="153"/>
      <c r="CC329" s="153"/>
      <c r="CD329" s="153"/>
      <c r="CE329" s="153"/>
      <c r="CF329" s="153"/>
      <c r="CG329" s="153"/>
      <c r="CH329" s="153"/>
      <c r="CI329" s="153"/>
      <c r="CJ329" s="153"/>
      <c r="CK329" s="153"/>
      <c r="CL329" s="153"/>
      <c r="CM329" s="153"/>
      <c r="CN329" s="153"/>
      <c r="CO329" s="153"/>
      <c r="CP329" s="153"/>
      <c r="CQ329" s="153"/>
      <c r="CR329" s="153"/>
      <c r="CS329" s="153"/>
      <c r="CT329" s="153"/>
      <c r="CU329" s="153"/>
      <c r="CV329" s="153"/>
      <c r="CW329" s="153"/>
      <c r="CX329" s="153"/>
      <c r="CY329" s="153"/>
      <c r="CZ329" s="153"/>
      <c r="DA329" s="153"/>
      <c r="DB329" s="153"/>
      <c r="DC329" s="153"/>
      <c r="DD329" s="153"/>
      <c r="DE329" s="153"/>
      <c r="DF329" s="153"/>
      <c r="DG329" s="153"/>
      <c r="DH329" s="153"/>
      <c r="DI329" s="153"/>
      <c r="DJ329" s="153"/>
      <c r="DK329" s="153"/>
      <c r="DL329" s="153"/>
      <c r="DM329" s="153"/>
      <c r="DN329" s="153"/>
      <c r="DO329" s="153"/>
      <c r="DP329" s="153"/>
      <c r="DQ329" s="153"/>
      <c r="DR329" s="153"/>
      <c r="DS329" s="153"/>
      <c r="DT329" s="153"/>
      <c r="DU329" s="153"/>
      <c r="DV329" s="153"/>
      <c r="DW329" s="153"/>
      <c r="DX329" s="153"/>
      <c r="DY329" s="153"/>
      <c r="DZ329" s="153"/>
      <c r="EA329" s="153"/>
      <c r="EB329" s="153"/>
      <c r="EC329" s="153"/>
      <c r="ED329" s="153"/>
      <c r="EE329" s="153"/>
      <c r="EF329" s="153"/>
      <c r="EG329" s="153"/>
      <c r="EH329" s="153"/>
      <c r="EI329" s="153"/>
      <c r="EJ329" s="153"/>
      <c r="EK329" s="153"/>
      <c r="EL329" s="153"/>
      <c r="EM329" s="153"/>
    </row>
    <row r="330" spans="1:143" s="107" customFormat="1" ht="10.5" hidden="1" customHeight="1" outlineLevel="2">
      <c r="A330" s="1548">
        <v>305</v>
      </c>
      <c r="B330" s="1560" t="str">
        <f t="shared" si="6"/>
        <v/>
      </c>
      <c r="C330" s="161" t="str">
        <f>GasTime(GasAnalyser,'Horiba Data'!F323,'Horiba Data'!G323,'Testo, JUM &amp; MRU Data'!A324,'Thermo Data'!B323,HourOffset)</f>
        <v/>
      </c>
      <c r="D330" s="981" t="str">
        <f>IF(D$17=FALSE,"",GasData(GasAnalyser,'Horiba Data'!S323,'Testo, JUM &amp; MRU Data'!D324,'Thermo Data'!E323,'Testo, JUM &amp; MRU Data'!U324,GDF))</f>
        <v/>
      </c>
      <c r="E330" s="981" t="str">
        <f>IF(D330="","",Conc2(D330,D$9,MolVol,D$21,D$20,E$21,E$20))</f>
        <v/>
      </c>
      <c r="F330" s="981" t="str">
        <f>IF(F$17=FALSE,"",GasData(GasAnalyser,'Horiba Data'!AQ323,'Testo, JUM &amp; MRU Data'!E324,'Thermo Data'!F323,'Testo, JUM &amp; MRU Data'!V324,GDF))</f>
        <v/>
      </c>
      <c r="G330" s="981" t="str">
        <f>IF(F330="","",Conc2(F330,F$9,MolVol,F$21,F$20,G$21,G$20))</f>
        <v/>
      </c>
      <c r="H330" s="981" t="str">
        <f>IF(D$17=FALSE,"",IF(F$17=FALSE,"",GasData(GasAnalyser,'Horiba Data'!W323,'Testo, JUM &amp; MRU Data'!F324,'Thermo Data'!G323,'Testo, JUM &amp; MRU Data'!Y324,GDF)))</f>
        <v/>
      </c>
      <c r="I330" s="981" t="str">
        <f>IF(H330="","",Conc2(H330,H$9,MolVol,H$21,H$20,I$21,I$20))</f>
        <v/>
      </c>
      <c r="J330" s="981" t="str">
        <f>IF(J$17=FALSE,"",GasData(GasAnalyser,'Horiba Data'!AM323,'Testo, JUM &amp; MRU Data'!G324,'Thermo Data'!H323,'Testo, JUM &amp; MRU Data'!W324,GDF))</f>
        <v/>
      </c>
      <c r="K330" s="981" t="str">
        <f>IF(J330="","",Conc2(J330,J$9,MolVol,J$21,J$20,K$21,K$20))</f>
        <v/>
      </c>
      <c r="L330" s="981" t="str">
        <f>IF(L$17=FALSE,"",GasData(GasAnalyser,'Horiba Data'!AA323,'Testo, JUM &amp; MRU Data'!H324,'Thermo Data'!I323,'Testo, JUM &amp; MRU Data'!T324,GDF))</f>
        <v/>
      </c>
      <c r="M330" s="981" t="str">
        <f>IF(L330="","",Conc2(L330,L$9,MolVol,L$21,L$20,M$21,M$20))</f>
        <v/>
      </c>
      <c r="N330" s="981" t="str">
        <f>IF(N$17=FALSE,"",GasData(GasAnalyser,'Horiba Data'!AE323,'Testo, JUM &amp; MRU Data'!I324,'Thermo Data'!J323,'Testo, JUM &amp; MRU Data'!S324,GDF))</f>
        <v/>
      </c>
      <c r="O330" s="981" t="str">
        <f>IF(N330="","",Conc2(N330,N$9,MolVol,N$21,N$20,O$21,O$20))</f>
        <v/>
      </c>
      <c r="P330" s="981" t="str">
        <f>IF(P$17=FALSE,"",GasData(GasAnalyser,'Horiba Data'!AI323,'Testo, JUM &amp; MRU Data'!J324,'Thermo Data'!K323,'Testo, JUM &amp; MRU Data'!R324,GDF))</f>
        <v/>
      </c>
      <c r="Q330" s="981" t="str">
        <f>IF(P330="","",Conc2(P330,P$9,MolVol,P$21,P$20,Q$21,Q$20))</f>
        <v/>
      </c>
      <c r="R330" s="981" t="str">
        <f>IF(R$17=FALSE,"",JUMData('Testo, JUM &amp; MRU Data'!M324,$R$7))</f>
        <v/>
      </c>
      <c r="S330" s="982" t="str">
        <f>IF(R330="","",Conc2(R330,R$9,MolVol,R$21,R$20,S$21,S$20)/(1-Bws))</f>
        <v/>
      </c>
      <c r="T330" s="740"/>
      <c r="AR330" s="334"/>
      <c r="AS330" s="334"/>
      <c r="AT330" s="48"/>
      <c r="AU330" s="48"/>
      <c r="AV330" s="153"/>
      <c r="AW330" s="153"/>
      <c r="AX330" s="153"/>
      <c r="AY330" s="153"/>
      <c r="AZ330" s="153"/>
      <c r="BA330" s="153"/>
      <c r="BB330" s="153"/>
      <c r="BC330" s="153"/>
      <c r="BD330" s="153"/>
      <c r="BE330" s="153"/>
      <c r="BF330" s="153"/>
      <c r="BG330" s="153"/>
      <c r="BH330" s="153"/>
      <c r="BI330" s="153"/>
      <c r="BJ330" s="153"/>
      <c r="BK330" s="153"/>
      <c r="BL330" s="153"/>
      <c r="BM330" s="153"/>
      <c r="BN330" s="153"/>
      <c r="BO330" s="153"/>
      <c r="BP330" s="153"/>
      <c r="BQ330" s="153"/>
      <c r="BR330" s="153"/>
      <c r="BS330" s="153"/>
      <c r="BT330" s="153"/>
      <c r="BU330" s="153"/>
      <c r="BV330" s="153"/>
      <c r="BW330" s="153"/>
      <c r="BX330" s="153"/>
      <c r="BY330" s="153"/>
      <c r="BZ330" s="153"/>
      <c r="CA330" s="153"/>
      <c r="CB330" s="153"/>
      <c r="CC330" s="153"/>
      <c r="CD330" s="153"/>
      <c r="CE330" s="153"/>
      <c r="CF330" s="153"/>
      <c r="CG330" s="153"/>
      <c r="CH330" s="153"/>
      <c r="CI330" s="153"/>
      <c r="CJ330" s="153"/>
      <c r="CK330" s="153"/>
      <c r="CL330" s="153"/>
      <c r="CM330" s="153"/>
      <c r="CN330" s="153"/>
      <c r="CO330" s="153"/>
      <c r="CP330" s="153"/>
      <c r="CQ330" s="153"/>
      <c r="CR330" s="153"/>
      <c r="CS330" s="153"/>
      <c r="CT330" s="153"/>
      <c r="CU330" s="153"/>
      <c r="CV330" s="153"/>
      <c r="CW330" s="153"/>
      <c r="CX330" s="153"/>
      <c r="CY330" s="153"/>
      <c r="CZ330" s="153"/>
      <c r="DA330" s="153"/>
      <c r="DB330" s="153"/>
      <c r="DC330" s="153"/>
      <c r="DD330" s="153"/>
      <c r="DE330" s="153"/>
      <c r="DF330" s="153"/>
      <c r="DG330" s="153"/>
      <c r="DH330" s="153"/>
      <c r="DI330" s="153"/>
      <c r="DJ330" s="153"/>
      <c r="DK330" s="153"/>
      <c r="DL330" s="153"/>
      <c r="DM330" s="153"/>
      <c r="DN330" s="153"/>
      <c r="DO330" s="153"/>
      <c r="DP330" s="153"/>
      <c r="DQ330" s="153"/>
      <c r="DR330" s="153"/>
      <c r="DS330" s="153"/>
      <c r="DT330" s="153"/>
      <c r="DU330" s="153"/>
      <c r="DV330" s="153"/>
      <c r="DW330" s="153"/>
      <c r="DX330" s="153"/>
      <c r="DY330" s="153"/>
      <c r="DZ330" s="153"/>
      <c r="EA330" s="153"/>
      <c r="EB330" s="153"/>
      <c r="EC330" s="153"/>
      <c r="ED330" s="153"/>
      <c r="EE330" s="153"/>
      <c r="EF330" s="153"/>
      <c r="EG330" s="153"/>
      <c r="EH330" s="153"/>
      <c r="EI330" s="153"/>
      <c r="EJ330" s="153"/>
      <c r="EK330" s="153"/>
      <c r="EL330" s="153"/>
      <c r="EM330" s="153"/>
    </row>
    <row r="331" spans="1:143" s="107" customFormat="1" ht="10.5" hidden="1" customHeight="1" outlineLevel="2">
      <c r="A331" s="1548">
        <v>306</v>
      </c>
      <c r="B331" s="1560" t="str">
        <f t="shared" si="6"/>
        <v/>
      </c>
      <c r="C331" s="161" t="str">
        <f>GasTime(GasAnalyser,'Horiba Data'!F324,'Horiba Data'!G324,'Testo, JUM &amp; MRU Data'!A325,'Thermo Data'!B324,HourOffset)</f>
        <v/>
      </c>
      <c r="D331" s="981" t="str">
        <f>IF(D$17=FALSE,"",GasData(GasAnalyser,'Horiba Data'!S324,'Testo, JUM &amp; MRU Data'!D325,'Thermo Data'!E324,'Testo, JUM &amp; MRU Data'!U325,GDF))</f>
        <v/>
      </c>
      <c r="E331" s="981" t="str">
        <f>IF(D331="","",Conc2(D331,D$9,MolVol,D$21,D$20,E$21,E$20))</f>
        <v/>
      </c>
      <c r="F331" s="981" t="str">
        <f>IF(F$17=FALSE,"",GasData(GasAnalyser,'Horiba Data'!AQ324,'Testo, JUM &amp; MRU Data'!E325,'Thermo Data'!F324,'Testo, JUM &amp; MRU Data'!V325,GDF))</f>
        <v/>
      </c>
      <c r="G331" s="981" t="str">
        <f>IF(F331="","",Conc2(F331,F$9,MolVol,F$21,F$20,G$21,G$20))</f>
        <v/>
      </c>
      <c r="H331" s="981" t="str">
        <f>IF(D$17=FALSE,"",IF(F$17=FALSE,"",GasData(GasAnalyser,'Horiba Data'!W324,'Testo, JUM &amp; MRU Data'!F325,'Thermo Data'!G324,'Testo, JUM &amp; MRU Data'!Y325,GDF)))</f>
        <v/>
      </c>
      <c r="I331" s="981" t="str">
        <f>IF(H331="","",Conc2(H331,H$9,MolVol,H$21,H$20,I$21,I$20))</f>
        <v/>
      </c>
      <c r="J331" s="981" t="str">
        <f>IF(J$17=FALSE,"",GasData(GasAnalyser,'Horiba Data'!AM324,'Testo, JUM &amp; MRU Data'!G325,'Thermo Data'!H324,'Testo, JUM &amp; MRU Data'!W325,GDF))</f>
        <v/>
      </c>
      <c r="K331" s="981" t="str">
        <f>IF(J331="","",Conc2(J331,J$9,MolVol,J$21,J$20,K$21,K$20))</f>
        <v/>
      </c>
      <c r="L331" s="981" t="str">
        <f>IF(L$17=FALSE,"",GasData(GasAnalyser,'Horiba Data'!AA324,'Testo, JUM &amp; MRU Data'!H325,'Thermo Data'!I324,'Testo, JUM &amp; MRU Data'!T325,GDF))</f>
        <v/>
      </c>
      <c r="M331" s="981" t="str">
        <f>IF(L331="","",Conc2(L331,L$9,MolVol,L$21,L$20,M$21,M$20))</f>
        <v/>
      </c>
      <c r="N331" s="981" t="str">
        <f>IF(N$17=FALSE,"",GasData(GasAnalyser,'Horiba Data'!AE324,'Testo, JUM &amp; MRU Data'!I325,'Thermo Data'!J324,'Testo, JUM &amp; MRU Data'!S325,GDF))</f>
        <v/>
      </c>
      <c r="O331" s="981" t="str">
        <f>IF(N331="","",Conc2(N331,N$9,MolVol,N$21,N$20,O$21,O$20))</f>
        <v/>
      </c>
      <c r="P331" s="981" t="str">
        <f>IF(P$17=FALSE,"",GasData(GasAnalyser,'Horiba Data'!AI324,'Testo, JUM &amp; MRU Data'!J325,'Thermo Data'!K324,'Testo, JUM &amp; MRU Data'!R325,GDF))</f>
        <v/>
      </c>
      <c r="Q331" s="981" t="str">
        <f>IF(P331="","",Conc2(P331,P$9,MolVol,P$21,P$20,Q$21,Q$20))</f>
        <v/>
      </c>
      <c r="R331" s="981" t="str">
        <f>IF(R$17=FALSE,"",JUMData('Testo, JUM &amp; MRU Data'!M325,$R$7))</f>
        <v/>
      </c>
      <c r="S331" s="982" t="str">
        <f>IF(R331="","",Conc2(R331,R$9,MolVol,R$21,R$20,S$21,S$20)/(1-Bws))</f>
        <v/>
      </c>
      <c r="T331" s="740"/>
      <c r="AR331" s="334"/>
      <c r="AS331" s="334"/>
      <c r="AT331" s="48"/>
      <c r="AU331" s="48"/>
      <c r="AV331" s="153"/>
      <c r="AW331" s="153"/>
      <c r="AX331" s="153"/>
      <c r="AY331" s="153"/>
      <c r="AZ331" s="153"/>
      <c r="BA331" s="153"/>
      <c r="BB331" s="153"/>
      <c r="BC331" s="153"/>
      <c r="BD331" s="153"/>
      <c r="BE331" s="153"/>
      <c r="BF331" s="153"/>
      <c r="BG331" s="153"/>
      <c r="BH331" s="153"/>
      <c r="BI331" s="153"/>
      <c r="BJ331" s="153"/>
      <c r="BK331" s="153"/>
      <c r="BL331" s="153"/>
      <c r="BM331" s="153"/>
      <c r="BN331" s="153"/>
      <c r="BO331" s="153"/>
      <c r="BP331" s="153"/>
      <c r="BQ331" s="153"/>
      <c r="BR331" s="153"/>
      <c r="BS331" s="153"/>
      <c r="BT331" s="153"/>
      <c r="BU331" s="153"/>
      <c r="BV331" s="153"/>
      <c r="BW331" s="153"/>
      <c r="BX331" s="153"/>
      <c r="BY331" s="153"/>
      <c r="BZ331" s="153"/>
      <c r="CA331" s="153"/>
      <c r="CB331" s="153"/>
      <c r="CC331" s="153"/>
      <c r="CD331" s="153"/>
      <c r="CE331" s="153"/>
      <c r="CF331" s="153"/>
      <c r="CG331" s="153"/>
      <c r="CH331" s="153"/>
      <c r="CI331" s="153"/>
      <c r="CJ331" s="153"/>
      <c r="CK331" s="153"/>
      <c r="CL331" s="153"/>
      <c r="CM331" s="153"/>
      <c r="CN331" s="153"/>
      <c r="CO331" s="153"/>
      <c r="CP331" s="153"/>
      <c r="CQ331" s="153"/>
      <c r="CR331" s="153"/>
      <c r="CS331" s="153"/>
      <c r="CT331" s="153"/>
      <c r="CU331" s="153"/>
      <c r="CV331" s="153"/>
      <c r="CW331" s="153"/>
      <c r="CX331" s="153"/>
      <c r="CY331" s="153"/>
      <c r="CZ331" s="153"/>
      <c r="DA331" s="153"/>
      <c r="DB331" s="153"/>
      <c r="DC331" s="153"/>
      <c r="DD331" s="153"/>
      <c r="DE331" s="153"/>
      <c r="DF331" s="153"/>
      <c r="DG331" s="153"/>
      <c r="DH331" s="153"/>
      <c r="DI331" s="153"/>
      <c r="DJ331" s="153"/>
      <c r="DK331" s="153"/>
      <c r="DL331" s="153"/>
      <c r="DM331" s="153"/>
      <c r="DN331" s="153"/>
      <c r="DO331" s="153"/>
      <c r="DP331" s="153"/>
      <c r="DQ331" s="153"/>
      <c r="DR331" s="153"/>
      <c r="DS331" s="153"/>
      <c r="DT331" s="153"/>
      <c r="DU331" s="153"/>
      <c r="DV331" s="153"/>
      <c r="DW331" s="153"/>
      <c r="DX331" s="153"/>
      <c r="DY331" s="153"/>
      <c r="DZ331" s="153"/>
      <c r="EA331" s="153"/>
      <c r="EB331" s="153"/>
      <c r="EC331" s="153"/>
      <c r="ED331" s="153"/>
      <c r="EE331" s="153"/>
      <c r="EF331" s="153"/>
      <c r="EG331" s="153"/>
      <c r="EH331" s="153"/>
      <c r="EI331" s="153"/>
      <c r="EJ331" s="153"/>
      <c r="EK331" s="153"/>
      <c r="EL331" s="153"/>
      <c r="EM331" s="153"/>
    </row>
    <row r="332" spans="1:143" s="107" customFormat="1" ht="10.5" hidden="1" customHeight="1" outlineLevel="2">
      <c r="A332" s="1548">
        <v>307</v>
      </c>
      <c r="B332" s="1560" t="str">
        <f t="shared" si="6"/>
        <v/>
      </c>
      <c r="C332" s="161" t="str">
        <f>GasTime(GasAnalyser,'Horiba Data'!F325,'Horiba Data'!G325,'Testo, JUM &amp; MRU Data'!A326,'Thermo Data'!B325,HourOffset)</f>
        <v/>
      </c>
      <c r="D332" s="981" t="str">
        <f>IF(D$17=FALSE,"",GasData(GasAnalyser,'Horiba Data'!S325,'Testo, JUM &amp; MRU Data'!D326,'Thermo Data'!E325,'Testo, JUM &amp; MRU Data'!U326,GDF))</f>
        <v/>
      </c>
      <c r="E332" s="981" t="str">
        <f>IF(D332="","",Conc2(D332,D$9,MolVol,D$21,D$20,E$21,E$20))</f>
        <v/>
      </c>
      <c r="F332" s="981" t="str">
        <f>IF(F$17=FALSE,"",GasData(GasAnalyser,'Horiba Data'!AQ325,'Testo, JUM &amp; MRU Data'!E326,'Thermo Data'!F325,'Testo, JUM &amp; MRU Data'!V326,GDF))</f>
        <v/>
      </c>
      <c r="G332" s="981" t="str">
        <f>IF(F332="","",Conc2(F332,F$9,MolVol,F$21,F$20,G$21,G$20))</f>
        <v/>
      </c>
      <c r="H332" s="981" t="str">
        <f>IF(D$17=FALSE,"",IF(F$17=FALSE,"",GasData(GasAnalyser,'Horiba Data'!W325,'Testo, JUM &amp; MRU Data'!F326,'Thermo Data'!G325,'Testo, JUM &amp; MRU Data'!Y326,GDF)))</f>
        <v/>
      </c>
      <c r="I332" s="981" t="str">
        <f>IF(H332="","",Conc2(H332,H$9,MolVol,H$21,H$20,I$21,I$20))</f>
        <v/>
      </c>
      <c r="J332" s="981" t="str">
        <f>IF(J$17=FALSE,"",GasData(GasAnalyser,'Horiba Data'!AM325,'Testo, JUM &amp; MRU Data'!G326,'Thermo Data'!H325,'Testo, JUM &amp; MRU Data'!W326,GDF))</f>
        <v/>
      </c>
      <c r="K332" s="981" t="str">
        <f>IF(J332="","",Conc2(J332,J$9,MolVol,J$21,J$20,K$21,K$20))</f>
        <v/>
      </c>
      <c r="L332" s="981" t="str">
        <f>IF(L$17=FALSE,"",GasData(GasAnalyser,'Horiba Data'!AA325,'Testo, JUM &amp; MRU Data'!H326,'Thermo Data'!I325,'Testo, JUM &amp; MRU Data'!T326,GDF))</f>
        <v/>
      </c>
      <c r="M332" s="981" t="str">
        <f>IF(L332="","",Conc2(L332,L$9,MolVol,L$21,L$20,M$21,M$20))</f>
        <v/>
      </c>
      <c r="N332" s="981" t="str">
        <f>IF(N$17=FALSE,"",GasData(GasAnalyser,'Horiba Data'!AE325,'Testo, JUM &amp; MRU Data'!I326,'Thermo Data'!J325,'Testo, JUM &amp; MRU Data'!S326,GDF))</f>
        <v/>
      </c>
      <c r="O332" s="981" t="str">
        <f>IF(N332="","",Conc2(N332,N$9,MolVol,N$21,N$20,O$21,O$20))</f>
        <v/>
      </c>
      <c r="P332" s="981" t="str">
        <f>IF(P$17=FALSE,"",GasData(GasAnalyser,'Horiba Data'!AI325,'Testo, JUM &amp; MRU Data'!J326,'Thermo Data'!K325,'Testo, JUM &amp; MRU Data'!R326,GDF))</f>
        <v/>
      </c>
      <c r="Q332" s="981" t="str">
        <f>IF(P332="","",Conc2(P332,P$9,MolVol,P$21,P$20,Q$21,Q$20))</f>
        <v/>
      </c>
      <c r="R332" s="981" t="str">
        <f>IF(R$17=FALSE,"",JUMData('Testo, JUM &amp; MRU Data'!M326,$R$7))</f>
        <v/>
      </c>
      <c r="S332" s="982" t="str">
        <f>IF(R332="","",Conc2(R332,R$9,MolVol,R$21,R$20,S$21,S$20)/(1-Bws))</f>
        <v/>
      </c>
      <c r="T332" s="740"/>
      <c r="AR332" s="334"/>
      <c r="AS332" s="334"/>
      <c r="AT332" s="48"/>
      <c r="AU332" s="48"/>
      <c r="AV332" s="153"/>
      <c r="AW332" s="153"/>
      <c r="AX332" s="153"/>
      <c r="AY332" s="153"/>
      <c r="AZ332" s="153"/>
      <c r="BA332" s="153"/>
      <c r="BB332" s="153"/>
      <c r="BC332" s="153"/>
      <c r="BD332" s="153"/>
      <c r="BE332" s="153"/>
      <c r="BF332" s="153"/>
      <c r="BG332" s="153"/>
      <c r="BH332" s="153"/>
      <c r="BI332" s="153"/>
      <c r="BJ332" s="153"/>
      <c r="BK332" s="153"/>
      <c r="BL332" s="153"/>
      <c r="BM332" s="153"/>
      <c r="BN332" s="153"/>
      <c r="BO332" s="153"/>
      <c r="BP332" s="153"/>
      <c r="BQ332" s="153"/>
      <c r="BR332" s="153"/>
      <c r="BS332" s="153"/>
      <c r="BT332" s="153"/>
      <c r="BU332" s="153"/>
      <c r="BV332" s="153"/>
      <c r="BW332" s="153"/>
      <c r="BX332" s="153"/>
      <c r="BY332" s="153"/>
      <c r="BZ332" s="153"/>
      <c r="CA332" s="153"/>
      <c r="CB332" s="153"/>
      <c r="CC332" s="153"/>
      <c r="CD332" s="153"/>
      <c r="CE332" s="153"/>
      <c r="CF332" s="153"/>
      <c r="CG332" s="153"/>
      <c r="CH332" s="153"/>
      <c r="CI332" s="153"/>
      <c r="CJ332" s="153"/>
      <c r="CK332" s="153"/>
      <c r="CL332" s="153"/>
      <c r="CM332" s="153"/>
      <c r="CN332" s="153"/>
      <c r="CO332" s="153"/>
      <c r="CP332" s="153"/>
      <c r="CQ332" s="153"/>
      <c r="CR332" s="153"/>
      <c r="CS332" s="153"/>
      <c r="CT332" s="153"/>
      <c r="CU332" s="153"/>
      <c r="CV332" s="153"/>
      <c r="CW332" s="153"/>
      <c r="CX332" s="153"/>
      <c r="CY332" s="153"/>
      <c r="CZ332" s="153"/>
      <c r="DA332" s="153"/>
      <c r="DB332" s="153"/>
      <c r="DC332" s="153"/>
      <c r="DD332" s="153"/>
      <c r="DE332" s="153"/>
      <c r="DF332" s="153"/>
      <c r="DG332" s="153"/>
      <c r="DH332" s="153"/>
      <c r="DI332" s="153"/>
      <c r="DJ332" s="153"/>
      <c r="DK332" s="153"/>
      <c r="DL332" s="153"/>
      <c r="DM332" s="153"/>
      <c r="DN332" s="153"/>
      <c r="DO332" s="153"/>
      <c r="DP332" s="153"/>
      <c r="DQ332" s="153"/>
      <c r="DR332" s="153"/>
      <c r="DS332" s="153"/>
      <c r="DT332" s="153"/>
      <c r="DU332" s="153"/>
      <c r="DV332" s="153"/>
      <c r="DW332" s="153"/>
      <c r="DX332" s="153"/>
      <c r="DY332" s="153"/>
      <c r="DZ332" s="153"/>
      <c r="EA332" s="153"/>
      <c r="EB332" s="153"/>
      <c r="EC332" s="153"/>
      <c r="ED332" s="153"/>
      <c r="EE332" s="153"/>
      <c r="EF332" s="153"/>
      <c r="EG332" s="153"/>
      <c r="EH332" s="153"/>
      <c r="EI332" s="153"/>
      <c r="EJ332" s="153"/>
      <c r="EK332" s="153"/>
      <c r="EL332" s="153"/>
      <c r="EM332" s="153"/>
    </row>
    <row r="333" spans="1:143" s="107" customFormat="1" ht="10.5" hidden="1" customHeight="1" outlineLevel="2">
      <c r="A333" s="1548">
        <v>308</v>
      </c>
      <c r="B333" s="1560" t="str">
        <f t="shared" si="6"/>
        <v/>
      </c>
      <c r="C333" s="161" t="str">
        <f>GasTime(GasAnalyser,'Horiba Data'!F326,'Horiba Data'!G326,'Testo, JUM &amp; MRU Data'!A327,'Thermo Data'!B326,HourOffset)</f>
        <v/>
      </c>
      <c r="D333" s="981" t="str">
        <f>IF(D$17=FALSE,"",GasData(GasAnalyser,'Horiba Data'!S326,'Testo, JUM &amp; MRU Data'!D327,'Thermo Data'!E326,'Testo, JUM &amp; MRU Data'!U327,GDF))</f>
        <v/>
      </c>
      <c r="E333" s="981" t="str">
        <f>IF(D333="","",Conc2(D333,D$9,MolVol,D$21,D$20,E$21,E$20))</f>
        <v/>
      </c>
      <c r="F333" s="981" t="str">
        <f>IF(F$17=FALSE,"",GasData(GasAnalyser,'Horiba Data'!AQ326,'Testo, JUM &amp; MRU Data'!E327,'Thermo Data'!F326,'Testo, JUM &amp; MRU Data'!V327,GDF))</f>
        <v/>
      </c>
      <c r="G333" s="981" t="str">
        <f>IF(F333="","",Conc2(F333,F$9,MolVol,F$21,F$20,G$21,G$20))</f>
        <v/>
      </c>
      <c r="H333" s="981" t="str">
        <f>IF(D$17=FALSE,"",IF(F$17=FALSE,"",GasData(GasAnalyser,'Horiba Data'!W326,'Testo, JUM &amp; MRU Data'!F327,'Thermo Data'!G326,'Testo, JUM &amp; MRU Data'!Y327,GDF)))</f>
        <v/>
      </c>
      <c r="I333" s="981" t="str">
        <f>IF(H333="","",Conc2(H333,H$9,MolVol,H$21,H$20,I$21,I$20))</f>
        <v/>
      </c>
      <c r="J333" s="981" t="str">
        <f>IF(J$17=FALSE,"",GasData(GasAnalyser,'Horiba Data'!AM326,'Testo, JUM &amp; MRU Data'!G327,'Thermo Data'!H326,'Testo, JUM &amp; MRU Data'!W327,GDF))</f>
        <v/>
      </c>
      <c r="K333" s="981" t="str">
        <f>IF(J333="","",Conc2(J333,J$9,MolVol,J$21,J$20,K$21,K$20))</f>
        <v/>
      </c>
      <c r="L333" s="981" t="str">
        <f>IF(L$17=FALSE,"",GasData(GasAnalyser,'Horiba Data'!AA326,'Testo, JUM &amp; MRU Data'!H327,'Thermo Data'!I326,'Testo, JUM &amp; MRU Data'!T327,GDF))</f>
        <v/>
      </c>
      <c r="M333" s="981" t="str">
        <f>IF(L333="","",Conc2(L333,L$9,MolVol,L$21,L$20,M$21,M$20))</f>
        <v/>
      </c>
      <c r="N333" s="981" t="str">
        <f>IF(N$17=FALSE,"",GasData(GasAnalyser,'Horiba Data'!AE326,'Testo, JUM &amp; MRU Data'!I327,'Thermo Data'!J326,'Testo, JUM &amp; MRU Data'!S327,GDF))</f>
        <v/>
      </c>
      <c r="O333" s="981" t="str">
        <f>IF(N333="","",Conc2(N333,N$9,MolVol,N$21,N$20,O$21,O$20))</f>
        <v/>
      </c>
      <c r="P333" s="981" t="str">
        <f>IF(P$17=FALSE,"",GasData(GasAnalyser,'Horiba Data'!AI326,'Testo, JUM &amp; MRU Data'!J327,'Thermo Data'!K326,'Testo, JUM &amp; MRU Data'!R327,GDF))</f>
        <v/>
      </c>
      <c r="Q333" s="981" t="str">
        <f>IF(P333="","",Conc2(P333,P$9,MolVol,P$21,P$20,Q$21,Q$20))</f>
        <v/>
      </c>
      <c r="R333" s="981" t="str">
        <f>IF(R$17=FALSE,"",JUMData('Testo, JUM &amp; MRU Data'!M327,$R$7))</f>
        <v/>
      </c>
      <c r="S333" s="982" t="str">
        <f>IF(R333="","",Conc2(R333,R$9,MolVol,R$21,R$20,S$21,S$20)/(1-Bws))</f>
        <v/>
      </c>
      <c r="T333" s="740"/>
      <c r="AR333" s="334"/>
      <c r="AS333" s="334"/>
      <c r="AT333" s="48"/>
      <c r="AU333" s="48"/>
      <c r="AV333" s="153"/>
      <c r="AW333" s="153"/>
      <c r="AX333" s="153"/>
      <c r="AY333" s="153"/>
      <c r="AZ333" s="153"/>
      <c r="BA333" s="153"/>
      <c r="BB333" s="153"/>
      <c r="BC333" s="153"/>
      <c r="BD333" s="153"/>
      <c r="BE333" s="153"/>
      <c r="BF333" s="153"/>
      <c r="BG333" s="153"/>
      <c r="BH333" s="153"/>
      <c r="BI333" s="153"/>
      <c r="BJ333" s="153"/>
      <c r="BK333" s="153"/>
      <c r="BL333" s="153"/>
      <c r="BM333" s="153"/>
      <c r="BN333" s="153"/>
      <c r="BO333" s="153"/>
      <c r="BP333" s="153"/>
      <c r="BQ333" s="153"/>
      <c r="BR333" s="153"/>
      <c r="BS333" s="153"/>
      <c r="BT333" s="153"/>
      <c r="BU333" s="153"/>
      <c r="BV333" s="153"/>
      <c r="BW333" s="153"/>
      <c r="BX333" s="153"/>
      <c r="BY333" s="153"/>
      <c r="BZ333" s="153"/>
      <c r="CA333" s="153"/>
      <c r="CB333" s="153"/>
      <c r="CC333" s="153"/>
      <c r="CD333" s="153"/>
      <c r="CE333" s="153"/>
      <c r="CF333" s="153"/>
      <c r="CG333" s="153"/>
      <c r="CH333" s="153"/>
      <c r="CI333" s="153"/>
      <c r="CJ333" s="153"/>
      <c r="CK333" s="153"/>
      <c r="CL333" s="153"/>
      <c r="CM333" s="153"/>
      <c r="CN333" s="153"/>
      <c r="CO333" s="153"/>
      <c r="CP333" s="153"/>
      <c r="CQ333" s="153"/>
      <c r="CR333" s="153"/>
      <c r="CS333" s="153"/>
      <c r="CT333" s="153"/>
      <c r="CU333" s="153"/>
      <c r="CV333" s="153"/>
      <c r="CW333" s="153"/>
      <c r="CX333" s="153"/>
      <c r="CY333" s="153"/>
      <c r="CZ333" s="153"/>
      <c r="DA333" s="153"/>
      <c r="DB333" s="153"/>
      <c r="DC333" s="153"/>
      <c r="DD333" s="153"/>
      <c r="DE333" s="153"/>
      <c r="DF333" s="153"/>
      <c r="DG333" s="153"/>
      <c r="DH333" s="153"/>
      <c r="DI333" s="153"/>
      <c r="DJ333" s="153"/>
      <c r="DK333" s="153"/>
      <c r="DL333" s="153"/>
      <c r="DM333" s="153"/>
      <c r="DN333" s="153"/>
      <c r="DO333" s="153"/>
      <c r="DP333" s="153"/>
      <c r="DQ333" s="153"/>
      <c r="DR333" s="153"/>
      <c r="DS333" s="153"/>
      <c r="DT333" s="153"/>
      <c r="DU333" s="153"/>
      <c r="DV333" s="153"/>
      <c r="DW333" s="153"/>
      <c r="DX333" s="153"/>
      <c r="DY333" s="153"/>
      <c r="DZ333" s="153"/>
      <c r="EA333" s="153"/>
      <c r="EB333" s="153"/>
      <c r="EC333" s="153"/>
      <c r="ED333" s="153"/>
      <c r="EE333" s="153"/>
      <c r="EF333" s="153"/>
      <c r="EG333" s="153"/>
      <c r="EH333" s="153"/>
      <c r="EI333" s="153"/>
      <c r="EJ333" s="153"/>
      <c r="EK333" s="153"/>
      <c r="EL333" s="153"/>
      <c r="EM333" s="153"/>
    </row>
    <row r="334" spans="1:143" s="107" customFormat="1" ht="10.5" hidden="1" customHeight="1" outlineLevel="2">
      <c r="A334" s="1548">
        <v>309</v>
      </c>
      <c r="B334" s="1560" t="str">
        <f t="shared" si="6"/>
        <v/>
      </c>
      <c r="C334" s="161" t="str">
        <f>GasTime(GasAnalyser,'Horiba Data'!F327,'Horiba Data'!G327,'Testo, JUM &amp; MRU Data'!A328,'Thermo Data'!B327,HourOffset)</f>
        <v/>
      </c>
      <c r="D334" s="981" t="str">
        <f>IF(D$17=FALSE,"",GasData(GasAnalyser,'Horiba Data'!S327,'Testo, JUM &amp; MRU Data'!D328,'Thermo Data'!E327,'Testo, JUM &amp; MRU Data'!U328,GDF))</f>
        <v/>
      </c>
      <c r="E334" s="981" t="str">
        <f>IF(D334="","",Conc2(D334,D$9,MolVol,D$21,D$20,E$21,E$20))</f>
        <v/>
      </c>
      <c r="F334" s="981" t="str">
        <f>IF(F$17=FALSE,"",GasData(GasAnalyser,'Horiba Data'!AQ327,'Testo, JUM &amp; MRU Data'!E328,'Thermo Data'!F327,'Testo, JUM &amp; MRU Data'!V328,GDF))</f>
        <v/>
      </c>
      <c r="G334" s="981" t="str">
        <f>IF(F334="","",Conc2(F334,F$9,MolVol,F$21,F$20,G$21,G$20))</f>
        <v/>
      </c>
      <c r="H334" s="981" t="str">
        <f>IF(D$17=FALSE,"",IF(F$17=FALSE,"",GasData(GasAnalyser,'Horiba Data'!W327,'Testo, JUM &amp; MRU Data'!F328,'Thermo Data'!G327,'Testo, JUM &amp; MRU Data'!Y328,GDF)))</f>
        <v/>
      </c>
      <c r="I334" s="981" t="str">
        <f>IF(H334="","",Conc2(H334,H$9,MolVol,H$21,H$20,I$21,I$20))</f>
        <v/>
      </c>
      <c r="J334" s="981" t="str">
        <f>IF(J$17=FALSE,"",GasData(GasAnalyser,'Horiba Data'!AM327,'Testo, JUM &amp; MRU Data'!G328,'Thermo Data'!H327,'Testo, JUM &amp; MRU Data'!W328,GDF))</f>
        <v/>
      </c>
      <c r="K334" s="981" t="str">
        <f>IF(J334="","",Conc2(J334,J$9,MolVol,J$21,J$20,K$21,K$20))</f>
        <v/>
      </c>
      <c r="L334" s="981" t="str">
        <f>IF(L$17=FALSE,"",GasData(GasAnalyser,'Horiba Data'!AA327,'Testo, JUM &amp; MRU Data'!H328,'Thermo Data'!I327,'Testo, JUM &amp; MRU Data'!T328,GDF))</f>
        <v/>
      </c>
      <c r="M334" s="981" t="str">
        <f>IF(L334="","",Conc2(L334,L$9,MolVol,L$21,L$20,M$21,M$20))</f>
        <v/>
      </c>
      <c r="N334" s="981" t="str">
        <f>IF(N$17=FALSE,"",GasData(GasAnalyser,'Horiba Data'!AE327,'Testo, JUM &amp; MRU Data'!I328,'Thermo Data'!J327,'Testo, JUM &amp; MRU Data'!S328,GDF))</f>
        <v/>
      </c>
      <c r="O334" s="981" t="str">
        <f>IF(N334="","",Conc2(N334,N$9,MolVol,N$21,N$20,O$21,O$20))</f>
        <v/>
      </c>
      <c r="P334" s="981" t="str">
        <f>IF(P$17=FALSE,"",GasData(GasAnalyser,'Horiba Data'!AI327,'Testo, JUM &amp; MRU Data'!J328,'Thermo Data'!K327,'Testo, JUM &amp; MRU Data'!R328,GDF))</f>
        <v/>
      </c>
      <c r="Q334" s="981" t="str">
        <f>IF(P334="","",Conc2(P334,P$9,MolVol,P$21,P$20,Q$21,Q$20))</f>
        <v/>
      </c>
      <c r="R334" s="981" t="str">
        <f>IF(R$17=FALSE,"",JUMData('Testo, JUM &amp; MRU Data'!M328,$R$7))</f>
        <v/>
      </c>
      <c r="S334" s="982" t="str">
        <f>IF(R334="","",Conc2(R334,R$9,MolVol,R$21,R$20,S$21,S$20)/(1-Bws))</f>
        <v/>
      </c>
      <c r="T334" s="740"/>
      <c r="AR334" s="334"/>
      <c r="AS334" s="334"/>
      <c r="AT334" s="48"/>
      <c r="AU334" s="48"/>
      <c r="AV334" s="153"/>
      <c r="AW334" s="153"/>
      <c r="AX334" s="153"/>
      <c r="AY334" s="153"/>
      <c r="AZ334" s="153"/>
      <c r="BA334" s="153"/>
      <c r="BB334" s="153"/>
      <c r="BC334" s="153"/>
      <c r="BD334" s="153"/>
      <c r="BE334" s="153"/>
      <c r="BF334" s="153"/>
      <c r="BG334" s="153"/>
      <c r="BH334" s="153"/>
      <c r="BI334" s="153"/>
      <c r="BJ334" s="153"/>
      <c r="BK334" s="153"/>
      <c r="BL334" s="153"/>
      <c r="BM334" s="153"/>
      <c r="BN334" s="153"/>
      <c r="BO334" s="153"/>
      <c r="BP334" s="153"/>
      <c r="BQ334" s="153"/>
      <c r="BR334" s="153"/>
      <c r="BS334" s="153"/>
      <c r="BT334" s="153"/>
      <c r="BU334" s="153"/>
      <c r="BV334" s="153"/>
      <c r="BW334" s="153"/>
      <c r="BX334" s="153"/>
      <c r="BY334" s="153"/>
      <c r="BZ334" s="153"/>
      <c r="CA334" s="153"/>
      <c r="CB334" s="153"/>
      <c r="CC334" s="153"/>
      <c r="CD334" s="153"/>
      <c r="CE334" s="153"/>
      <c r="CF334" s="153"/>
      <c r="CG334" s="153"/>
      <c r="CH334" s="153"/>
      <c r="CI334" s="153"/>
      <c r="CJ334" s="153"/>
      <c r="CK334" s="153"/>
      <c r="CL334" s="153"/>
      <c r="CM334" s="153"/>
      <c r="CN334" s="153"/>
      <c r="CO334" s="153"/>
      <c r="CP334" s="153"/>
      <c r="CQ334" s="153"/>
      <c r="CR334" s="153"/>
      <c r="CS334" s="153"/>
      <c r="CT334" s="153"/>
      <c r="CU334" s="153"/>
      <c r="CV334" s="153"/>
      <c r="CW334" s="153"/>
      <c r="CX334" s="153"/>
      <c r="CY334" s="153"/>
      <c r="CZ334" s="153"/>
      <c r="DA334" s="153"/>
      <c r="DB334" s="153"/>
      <c r="DC334" s="153"/>
      <c r="DD334" s="153"/>
      <c r="DE334" s="153"/>
      <c r="DF334" s="153"/>
      <c r="DG334" s="153"/>
      <c r="DH334" s="153"/>
      <c r="DI334" s="153"/>
      <c r="DJ334" s="153"/>
      <c r="DK334" s="153"/>
      <c r="DL334" s="153"/>
      <c r="DM334" s="153"/>
      <c r="DN334" s="153"/>
      <c r="DO334" s="153"/>
      <c r="DP334" s="153"/>
      <c r="DQ334" s="153"/>
      <c r="DR334" s="153"/>
      <c r="DS334" s="153"/>
      <c r="DT334" s="153"/>
      <c r="DU334" s="153"/>
      <c r="DV334" s="153"/>
      <c r="DW334" s="153"/>
      <c r="DX334" s="153"/>
      <c r="DY334" s="153"/>
      <c r="DZ334" s="153"/>
      <c r="EA334" s="153"/>
      <c r="EB334" s="153"/>
      <c r="EC334" s="153"/>
      <c r="ED334" s="153"/>
      <c r="EE334" s="153"/>
      <c r="EF334" s="153"/>
      <c r="EG334" s="153"/>
      <c r="EH334" s="153"/>
      <c r="EI334" s="153"/>
      <c r="EJ334" s="153"/>
      <c r="EK334" s="153"/>
      <c r="EL334" s="153"/>
      <c r="EM334" s="153"/>
    </row>
    <row r="335" spans="1:143" s="107" customFormat="1" ht="10.5" hidden="1" customHeight="1" outlineLevel="2">
      <c r="A335" s="1548">
        <v>310</v>
      </c>
      <c r="B335" s="1560" t="str">
        <f t="shared" si="6"/>
        <v/>
      </c>
      <c r="C335" s="161" t="str">
        <f>GasTime(GasAnalyser,'Horiba Data'!F328,'Horiba Data'!G328,'Testo, JUM &amp; MRU Data'!A329,'Thermo Data'!B328,HourOffset)</f>
        <v/>
      </c>
      <c r="D335" s="981" t="str">
        <f>IF(D$17=FALSE,"",GasData(GasAnalyser,'Horiba Data'!S328,'Testo, JUM &amp; MRU Data'!D329,'Thermo Data'!E328,'Testo, JUM &amp; MRU Data'!U329,GDF))</f>
        <v/>
      </c>
      <c r="E335" s="981" t="str">
        <f>IF(D335="","",Conc2(D335,D$9,MolVol,D$21,D$20,E$21,E$20))</f>
        <v/>
      </c>
      <c r="F335" s="981" t="str">
        <f>IF(F$17=FALSE,"",GasData(GasAnalyser,'Horiba Data'!AQ328,'Testo, JUM &amp; MRU Data'!E329,'Thermo Data'!F328,'Testo, JUM &amp; MRU Data'!V329,GDF))</f>
        <v/>
      </c>
      <c r="G335" s="981" t="str">
        <f>IF(F335="","",Conc2(F335,F$9,MolVol,F$21,F$20,G$21,G$20))</f>
        <v/>
      </c>
      <c r="H335" s="981" t="str">
        <f>IF(D$17=FALSE,"",IF(F$17=FALSE,"",GasData(GasAnalyser,'Horiba Data'!W328,'Testo, JUM &amp; MRU Data'!F329,'Thermo Data'!G328,'Testo, JUM &amp; MRU Data'!Y329,GDF)))</f>
        <v/>
      </c>
      <c r="I335" s="981" t="str">
        <f>IF(H335="","",Conc2(H335,H$9,MolVol,H$21,H$20,I$21,I$20))</f>
        <v/>
      </c>
      <c r="J335" s="981" t="str">
        <f>IF(J$17=FALSE,"",GasData(GasAnalyser,'Horiba Data'!AM328,'Testo, JUM &amp; MRU Data'!G329,'Thermo Data'!H328,'Testo, JUM &amp; MRU Data'!W329,GDF))</f>
        <v/>
      </c>
      <c r="K335" s="981" t="str">
        <f>IF(J335="","",Conc2(J335,J$9,MolVol,J$21,J$20,K$21,K$20))</f>
        <v/>
      </c>
      <c r="L335" s="981" t="str">
        <f>IF(L$17=FALSE,"",GasData(GasAnalyser,'Horiba Data'!AA328,'Testo, JUM &amp; MRU Data'!H329,'Thermo Data'!I328,'Testo, JUM &amp; MRU Data'!T329,GDF))</f>
        <v/>
      </c>
      <c r="M335" s="981" t="str">
        <f>IF(L335="","",Conc2(L335,L$9,MolVol,L$21,L$20,M$21,M$20))</f>
        <v/>
      </c>
      <c r="N335" s="981" t="str">
        <f>IF(N$17=FALSE,"",GasData(GasAnalyser,'Horiba Data'!AE328,'Testo, JUM &amp; MRU Data'!I329,'Thermo Data'!J328,'Testo, JUM &amp; MRU Data'!S329,GDF))</f>
        <v/>
      </c>
      <c r="O335" s="981" t="str">
        <f>IF(N335="","",Conc2(N335,N$9,MolVol,N$21,N$20,O$21,O$20))</f>
        <v/>
      </c>
      <c r="P335" s="981" t="str">
        <f>IF(P$17=FALSE,"",GasData(GasAnalyser,'Horiba Data'!AI328,'Testo, JUM &amp; MRU Data'!J329,'Thermo Data'!K328,'Testo, JUM &amp; MRU Data'!R329,GDF))</f>
        <v/>
      </c>
      <c r="Q335" s="981" t="str">
        <f>IF(P335="","",Conc2(P335,P$9,MolVol,P$21,P$20,Q$21,Q$20))</f>
        <v/>
      </c>
      <c r="R335" s="981" t="str">
        <f>IF(R$17=FALSE,"",JUMData('Testo, JUM &amp; MRU Data'!M329,$R$7))</f>
        <v/>
      </c>
      <c r="S335" s="982" t="str">
        <f>IF(R335="","",Conc2(R335,R$9,MolVol,R$21,R$20,S$21,S$20)/(1-Bws))</f>
        <v/>
      </c>
      <c r="T335" s="740"/>
      <c r="AR335" s="334"/>
      <c r="AS335" s="334"/>
      <c r="AT335" s="48"/>
      <c r="AU335" s="48"/>
      <c r="AV335" s="153"/>
      <c r="AW335" s="153"/>
      <c r="AX335" s="153"/>
      <c r="AY335" s="153"/>
      <c r="AZ335" s="153"/>
      <c r="BA335" s="153"/>
      <c r="BB335" s="153"/>
      <c r="BC335" s="153"/>
      <c r="BD335" s="153"/>
      <c r="BE335" s="153"/>
      <c r="BF335" s="153"/>
      <c r="BG335" s="153"/>
      <c r="BH335" s="153"/>
      <c r="BI335" s="153"/>
      <c r="BJ335" s="153"/>
      <c r="BK335" s="153"/>
      <c r="BL335" s="153"/>
      <c r="BM335" s="153"/>
      <c r="BN335" s="153"/>
      <c r="BO335" s="153"/>
      <c r="BP335" s="153"/>
      <c r="BQ335" s="153"/>
      <c r="BR335" s="153"/>
      <c r="BS335" s="153"/>
      <c r="BT335" s="153"/>
      <c r="BU335" s="153"/>
      <c r="BV335" s="153"/>
      <c r="BW335" s="153"/>
      <c r="BX335" s="153"/>
      <c r="BY335" s="153"/>
      <c r="BZ335" s="153"/>
      <c r="CA335" s="153"/>
      <c r="CB335" s="153"/>
      <c r="CC335" s="153"/>
      <c r="CD335" s="153"/>
      <c r="CE335" s="153"/>
      <c r="CF335" s="153"/>
      <c r="CG335" s="153"/>
      <c r="CH335" s="153"/>
      <c r="CI335" s="153"/>
      <c r="CJ335" s="153"/>
      <c r="CK335" s="153"/>
      <c r="CL335" s="153"/>
      <c r="CM335" s="153"/>
      <c r="CN335" s="153"/>
      <c r="CO335" s="153"/>
      <c r="CP335" s="153"/>
      <c r="CQ335" s="153"/>
      <c r="CR335" s="153"/>
      <c r="CS335" s="153"/>
      <c r="CT335" s="153"/>
      <c r="CU335" s="153"/>
      <c r="CV335" s="153"/>
      <c r="CW335" s="153"/>
      <c r="CX335" s="153"/>
      <c r="CY335" s="153"/>
      <c r="CZ335" s="153"/>
      <c r="DA335" s="153"/>
      <c r="DB335" s="153"/>
      <c r="DC335" s="153"/>
      <c r="DD335" s="153"/>
      <c r="DE335" s="153"/>
      <c r="DF335" s="153"/>
      <c r="DG335" s="153"/>
      <c r="DH335" s="153"/>
      <c r="DI335" s="153"/>
      <c r="DJ335" s="153"/>
      <c r="DK335" s="153"/>
      <c r="DL335" s="153"/>
      <c r="DM335" s="153"/>
      <c r="DN335" s="153"/>
      <c r="DO335" s="153"/>
      <c r="DP335" s="153"/>
      <c r="DQ335" s="153"/>
      <c r="DR335" s="153"/>
      <c r="DS335" s="153"/>
      <c r="DT335" s="153"/>
      <c r="DU335" s="153"/>
      <c r="DV335" s="153"/>
      <c r="DW335" s="153"/>
      <c r="DX335" s="153"/>
      <c r="DY335" s="153"/>
      <c r="DZ335" s="153"/>
      <c r="EA335" s="153"/>
      <c r="EB335" s="153"/>
      <c r="EC335" s="153"/>
      <c r="ED335" s="153"/>
      <c r="EE335" s="153"/>
      <c r="EF335" s="153"/>
      <c r="EG335" s="153"/>
      <c r="EH335" s="153"/>
      <c r="EI335" s="153"/>
      <c r="EJ335" s="153"/>
      <c r="EK335" s="153"/>
      <c r="EL335" s="153"/>
      <c r="EM335" s="153"/>
    </row>
    <row r="336" spans="1:143" s="107" customFormat="1" ht="10.5" hidden="1" customHeight="1" outlineLevel="2">
      <c r="A336" s="1548">
        <v>311</v>
      </c>
      <c r="B336" s="1560" t="str">
        <f t="shared" si="6"/>
        <v/>
      </c>
      <c r="C336" s="161" t="str">
        <f>GasTime(GasAnalyser,'Horiba Data'!F329,'Horiba Data'!G329,'Testo, JUM &amp; MRU Data'!A330,'Thermo Data'!B329,HourOffset)</f>
        <v/>
      </c>
      <c r="D336" s="981" t="str">
        <f>IF(D$17=FALSE,"",GasData(GasAnalyser,'Horiba Data'!S329,'Testo, JUM &amp; MRU Data'!D330,'Thermo Data'!E329,'Testo, JUM &amp; MRU Data'!U330,GDF))</f>
        <v/>
      </c>
      <c r="E336" s="981" t="str">
        <f>IF(D336="","",Conc2(D336,D$9,MolVol,D$21,D$20,E$21,E$20))</f>
        <v/>
      </c>
      <c r="F336" s="981" t="str">
        <f>IF(F$17=FALSE,"",GasData(GasAnalyser,'Horiba Data'!AQ329,'Testo, JUM &amp; MRU Data'!E330,'Thermo Data'!F329,'Testo, JUM &amp; MRU Data'!V330,GDF))</f>
        <v/>
      </c>
      <c r="G336" s="981" t="str">
        <f>IF(F336="","",Conc2(F336,F$9,MolVol,F$21,F$20,G$21,G$20))</f>
        <v/>
      </c>
      <c r="H336" s="981" t="str">
        <f>IF(D$17=FALSE,"",IF(F$17=FALSE,"",GasData(GasAnalyser,'Horiba Data'!W329,'Testo, JUM &amp; MRU Data'!F330,'Thermo Data'!G329,'Testo, JUM &amp; MRU Data'!Y330,GDF)))</f>
        <v/>
      </c>
      <c r="I336" s="981" t="str">
        <f>IF(H336="","",Conc2(H336,H$9,MolVol,H$21,H$20,I$21,I$20))</f>
        <v/>
      </c>
      <c r="J336" s="981" t="str">
        <f>IF(J$17=FALSE,"",GasData(GasAnalyser,'Horiba Data'!AM329,'Testo, JUM &amp; MRU Data'!G330,'Thermo Data'!H329,'Testo, JUM &amp; MRU Data'!W330,GDF))</f>
        <v/>
      </c>
      <c r="K336" s="981" t="str">
        <f>IF(J336="","",Conc2(J336,J$9,MolVol,J$21,J$20,K$21,K$20))</f>
        <v/>
      </c>
      <c r="L336" s="981" t="str">
        <f>IF(L$17=FALSE,"",GasData(GasAnalyser,'Horiba Data'!AA329,'Testo, JUM &amp; MRU Data'!H330,'Thermo Data'!I329,'Testo, JUM &amp; MRU Data'!T330,GDF))</f>
        <v/>
      </c>
      <c r="M336" s="981" t="str">
        <f>IF(L336="","",Conc2(L336,L$9,MolVol,L$21,L$20,M$21,M$20))</f>
        <v/>
      </c>
      <c r="N336" s="981" t="str">
        <f>IF(N$17=FALSE,"",GasData(GasAnalyser,'Horiba Data'!AE329,'Testo, JUM &amp; MRU Data'!I330,'Thermo Data'!J329,'Testo, JUM &amp; MRU Data'!S330,GDF))</f>
        <v/>
      </c>
      <c r="O336" s="981" t="str">
        <f>IF(N336="","",Conc2(N336,N$9,MolVol,N$21,N$20,O$21,O$20))</f>
        <v/>
      </c>
      <c r="P336" s="981" t="str">
        <f>IF(P$17=FALSE,"",GasData(GasAnalyser,'Horiba Data'!AI329,'Testo, JUM &amp; MRU Data'!J330,'Thermo Data'!K329,'Testo, JUM &amp; MRU Data'!R330,GDF))</f>
        <v/>
      </c>
      <c r="Q336" s="981" t="str">
        <f>IF(P336="","",Conc2(P336,P$9,MolVol,P$21,P$20,Q$21,Q$20))</f>
        <v/>
      </c>
      <c r="R336" s="981" t="str">
        <f>IF(R$17=FALSE,"",JUMData('Testo, JUM &amp; MRU Data'!M330,$R$7))</f>
        <v/>
      </c>
      <c r="S336" s="982" t="str">
        <f>IF(R336="","",Conc2(R336,R$9,MolVol,R$21,R$20,S$21,S$20)/(1-Bws))</f>
        <v/>
      </c>
      <c r="T336" s="740"/>
      <c r="AR336" s="334"/>
      <c r="AS336" s="334"/>
      <c r="AT336" s="48"/>
      <c r="AU336" s="48"/>
      <c r="AV336" s="153"/>
      <c r="AW336" s="153"/>
      <c r="AX336" s="153"/>
      <c r="AY336" s="153"/>
      <c r="AZ336" s="153"/>
      <c r="BA336" s="153"/>
      <c r="BB336" s="153"/>
      <c r="BC336" s="153"/>
      <c r="BD336" s="153"/>
      <c r="BE336" s="153"/>
      <c r="BF336" s="153"/>
      <c r="BG336" s="153"/>
      <c r="BH336" s="153"/>
      <c r="BI336" s="153"/>
      <c r="BJ336" s="153"/>
      <c r="BK336" s="153"/>
      <c r="BL336" s="153"/>
      <c r="BM336" s="153"/>
      <c r="BN336" s="153"/>
      <c r="BO336" s="153"/>
      <c r="BP336" s="153"/>
      <c r="BQ336" s="153"/>
      <c r="BR336" s="153"/>
      <c r="BS336" s="153"/>
      <c r="BT336" s="153"/>
      <c r="BU336" s="153"/>
      <c r="BV336" s="153"/>
      <c r="BW336" s="153"/>
      <c r="BX336" s="153"/>
      <c r="BY336" s="153"/>
      <c r="BZ336" s="153"/>
      <c r="CA336" s="153"/>
      <c r="CB336" s="153"/>
      <c r="CC336" s="153"/>
      <c r="CD336" s="153"/>
      <c r="CE336" s="153"/>
      <c r="CF336" s="153"/>
      <c r="CG336" s="153"/>
      <c r="CH336" s="153"/>
      <c r="CI336" s="153"/>
      <c r="CJ336" s="153"/>
      <c r="CK336" s="153"/>
      <c r="CL336" s="153"/>
      <c r="CM336" s="153"/>
      <c r="CN336" s="153"/>
      <c r="CO336" s="153"/>
      <c r="CP336" s="153"/>
      <c r="CQ336" s="153"/>
      <c r="CR336" s="153"/>
      <c r="CS336" s="153"/>
      <c r="CT336" s="153"/>
      <c r="CU336" s="153"/>
      <c r="CV336" s="153"/>
      <c r="CW336" s="153"/>
      <c r="CX336" s="153"/>
      <c r="CY336" s="153"/>
      <c r="CZ336" s="153"/>
      <c r="DA336" s="153"/>
      <c r="DB336" s="153"/>
      <c r="DC336" s="153"/>
      <c r="DD336" s="153"/>
      <c r="DE336" s="153"/>
      <c r="DF336" s="153"/>
      <c r="DG336" s="153"/>
      <c r="DH336" s="153"/>
      <c r="DI336" s="153"/>
      <c r="DJ336" s="153"/>
      <c r="DK336" s="153"/>
      <c r="DL336" s="153"/>
      <c r="DM336" s="153"/>
      <c r="DN336" s="153"/>
      <c r="DO336" s="153"/>
      <c r="DP336" s="153"/>
      <c r="DQ336" s="153"/>
      <c r="DR336" s="153"/>
      <c r="DS336" s="153"/>
      <c r="DT336" s="153"/>
      <c r="DU336" s="153"/>
      <c r="DV336" s="153"/>
      <c r="DW336" s="153"/>
      <c r="DX336" s="153"/>
      <c r="DY336" s="153"/>
      <c r="DZ336" s="153"/>
      <c r="EA336" s="153"/>
      <c r="EB336" s="153"/>
      <c r="EC336" s="153"/>
      <c r="ED336" s="153"/>
      <c r="EE336" s="153"/>
      <c r="EF336" s="153"/>
      <c r="EG336" s="153"/>
      <c r="EH336" s="153"/>
      <c r="EI336" s="153"/>
      <c r="EJ336" s="153"/>
      <c r="EK336" s="153"/>
      <c r="EL336" s="153"/>
      <c r="EM336" s="153"/>
    </row>
    <row r="337" spans="1:143" s="107" customFormat="1" ht="10.5" hidden="1" customHeight="1" outlineLevel="2">
      <c r="A337" s="1548">
        <v>312</v>
      </c>
      <c r="B337" s="1560" t="str">
        <f t="shared" si="6"/>
        <v/>
      </c>
      <c r="C337" s="161" t="str">
        <f>GasTime(GasAnalyser,'Horiba Data'!F330,'Horiba Data'!G330,'Testo, JUM &amp; MRU Data'!A331,'Thermo Data'!B330,HourOffset)</f>
        <v/>
      </c>
      <c r="D337" s="981" t="str">
        <f>IF(D$17=FALSE,"",GasData(GasAnalyser,'Horiba Data'!S330,'Testo, JUM &amp; MRU Data'!D331,'Thermo Data'!E330,'Testo, JUM &amp; MRU Data'!U331,GDF))</f>
        <v/>
      </c>
      <c r="E337" s="981" t="str">
        <f>IF(D337="","",Conc2(D337,D$9,MolVol,D$21,D$20,E$21,E$20))</f>
        <v/>
      </c>
      <c r="F337" s="981" t="str">
        <f>IF(F$17=FALSE,"",GasData(GasAnalyser,'Horiba Data'!AQ330,'Testo, JUM &amp; MRU Data'!E331,'Thermo Data'!F330,'Testo, JUM &amp; MRU Data'!V331,GDF))</f>
        <v/>
      </c>
      <c r="G337" s="981" t="str">
        <f>IF(F337="","",Conc2(F337,F$9,MolVol,F$21,F$20,G$21,G$20))</f>
        <v/>
      </c>
      <c r="H337" s="981" t="str">
        <f>IF(D$17=FALSE,"",IF(F$17=FALSE,"",GasData(GasAnalyser,'Horiba Data'!W330,'Testo, JUM &amp; MRU Data'!F331,'Thermo Data'!G330,'Testo, JUM &amp; MRU Data'!Y331,GDF)))</f>
        <v/>
      </c>
      <c r="I337" s="981" t="str">
        <f>IF(H337="","",Conc2(H337,H$9,MolVol,H$21,H$20,I$21,I$20))</f>
        <v/>
      </c>
      <c r="J337" s="981" t="str">
        <f>IF(J$17=FALSE,"",GasData(GasAnalyser,'Horiba Data'!AM330,'Testo, JUM &amp; MRU Data'!G331,'Thermo Data'!H330,'Testo, JUM &amp; MRU Data'!W331,GDF))</f>
        <v/>
      </c>
      <c r="K337" s="981" t="str">
        <f>IF(J337="","",Conc2(J337,J$9,MolVol,J$21,J$20,K$21,K$20))</f>
        <v/>
      </c>
      <c r="L337" s="981" t="str">
        <f>IF(L$17=FALSE,"",GasData(GasAnalyser,'Horiba Data'!AA330,'Testo, JUM &amp; MRU Data'!H331,'Thermo Data'!I330,'Testo, JUM &amp; MRU Data'!T331,GDF))</f>
        <v/>
      </c>
      <c r="M337" s="981" t="str">
        <f>IF(L337="","",Conc2(L337,L$9,MolVol,L$21,L$20,M$21,M$20))</f>
        <v/>
      </c>
      <c r="N337" s="981" t="str">
        <f>IF(N$17=FALSE,"",GasData(GasAnalyser,'Horiba Data'!AE330,'Testo, JUM &amp; MRU Data'!I331,'Thermo Data'!J330,'Testo, JUM &amp; MRU Data'!S331,GDF))</f>
        <v/>
      </c>
      <c r="O337" s="981" t="str">
        <f>IF(N337="","",Conc2(N337,N$9,MolVol,N$21,N$20,O$21,O$20))</f>
        <v/>
      </c>
      <c r="P337" s="981" t="str">
        <f>IF(P$17=FALSE,"",GasData(GasAnalyser,'Horiba Data'!AI330,'Testo, JUM &amp; MRU Data'!J331,'Thermo Data'!K330,'Testo, JUM &amp; MRU Data'!R331,GDF))</f>
        <v/>
      </c>
      <c r="Q337" s="981" t="str">
        <f>IF(P337="","",Conc2(P337,P$9,MolVol,P$21,P$20,Q$21,Q$20))</f>
        <v/>
      </c>
      <c r="R337" s="981" t="str">
        <f>IF(R$17=FALSE,"",JUMData('Testo, JUM &amp; MRU Data'!M331,$R$7))</f>
        <v/>
      </c>
      <c r="S337" s="982" t="str">
        <f>IF(R337="","",Conc2(R337,R$9,MolVol,R$21,R$20,S$21,S$20)/(1-Bws))</f>
        <v/>
      </c>
      <c r="T337" s="740"/>
      <c r="AR337" s="334"/>
      <c r="AS337" s="334"/>
      <c r="AT337" s="48"/>
      <c r="AU337" s="48"/>
      <c r="AV337" s="153"/>
      <c r="AW337" s="153"/>
      <c r="AX337" s="153"/>
      <c r="AY337" s="153"/>
      <c r="AZ337" s="153"/>
      <c r="BA337" s="153"/>
      <c r="BB337" s="153"/>
      <c r="BC337" s="153"/>
      <c r="BD337" s="153"/>
      <c r="BE337" s="153"/>
      <c r="BF337" s="153"/>
      <c r="BG337" s="153"/>
      <c r="BH337" s="153"/>
      <c r="BI337" s="153"/>
      <c r="BJ337" s="153"/>
      <c r="BK337" s="153"/>
      <c r="BL337" s="153"/>
      <c r="BM337" s="153"/>
      <c r="BN337" s="153"/>
      <c r="BO337" s="153"/>
      <c r="BP337" s="153"/>
      <c r="BQ337" s="153"/>
      <c r="BR337" s="153"/>
      <c r="BS337" s="153"/>
      <c r="BT337" s="153"/>
      <c r="BU337" s="153"/>
      <c r="BV337" s="153"/>
      <c r="BW337" s="153"/>
      <c r="BX337" s="153"/>
      <c r="BY337" s="153"/>
      <c r="BZ337" s="153"/>
      <c r="CA337" s="153"/>
      <c r="CB337" s="153"/>
      <c r="CC337" s="153"/>
      <c r="CD337" s="153"/>
      <c r="CE337" s="153"/>
      <c r="CF337" s="153"/>
      <c r="CG337" s="153"/>
      <c r="CH337" s="153"/>
      <c r="CI337" s="153"/>
      <c r="CJ337" s="153"/>
      <c r="CK337" s="153"/>
      <c r="CL337" s="153"/>
      <c r="CM337" s="153"/>
      <c r="CN337" s="153"/>
      <c r="CO337" s="153"/>
      <c r="CP337" s="153"/>
      <c r="CQ337" s="153"/>
      <c r="CR337" s="153"/>
      <c r="CS337" s="153"/>
      <c r="CT337" s="153"/>
      <c r="CU337" s="153"/>
      <c r="CV337" s="153"/>
      <c r="CW337" s="153"/>
      <c r="CX337" s="153"/>
      <c r="CY337" s="153"/>
      <c r="CZ337" s="153"/>
      <c r="DA337" s="153"/>
      <c r="DB337" s="153"/>
      <c r="DC337" s="153"/>
      <c r="DD337" s="153"/>
      <c r="DE337" s="153"/>
      <c r="DF337" s="153"/>
      <c r="DG337" s="153"/>
      <c r="DH337" s="153"/>
      <c r="DI337" s="153"/>
      <c r="DJ337" s="153"/>
      <c r="DK337" s="153"/>
      <c r="DL337" s="153"/>
      <c r="DM337" s="153"/>
      <c r="DN337" s="153"/>
      <c r="DO337" s="153"/>
      <c r="DP337" s="153"/>
      <c r="DQ337" s="153"/>
      <c r="DR337" s="153"/>
      <c r="DS337" s="153"/>
      <c r="DT337" s="153"/>
      <c r="DU337" s="153"/>
      <c r="DV337" s="153"/>
      <c r="DW337" s="153"/>
      <c r="DX337" s="153"/>
      <c r="DY337" s="153"/>
      <c r="DZ337" s="153"/>
      <c r="EA337" s="153"/>
      <c r="EB337" s="153"/>
      <c r="EC337" s="153"/>
      <c r="ED337" s="153"/>
      <c r="EE337" s="153"/>
      <c r="EF337" s="153"/>
      <c r="EG337" s="153"/>
      <c r="EH337" s="153"/>
      <c r="EI337" s="153"/>
      <c r="EJ337" s="153"/>
      <c r="EK337" s="153"/>
      <c r="EL337" s="153"/>
      <c r="EM337" s="153"/>
    </row>
    <row r="338" spans="1:143" s="107" customFormat="1" ht="10.5" hidden="1" customHeight="1" outlineLevel="2">
      <c r="A338" s="1548">
        <v>313</v>
      </c>
      <c r="B338" s="1560" t="str">
        <f t="shared" si="6"/>
        <v/>
      </c>
      <c r="C338" s="161" t="str">
        <f>GasTime(GasAnalyser,'Horiba Data'!F331,'Horiba Data'!G331,'Testo, JUM &amp; MRU Data'!A332,'Thermo Data'!B331,HourOffset)</f>
        <v/>
      </c>
      <c r="D338" s="981" t="str">
        <f>IF(D$17=FALSE,"",GasData(GasAnalyser,'Horiba Data'!S331,'Testo, JUM &amp; MRU Data'!D332,'Thermo Data'!E331,'Testo, JUM &amp; MRU Data'!U332,GDF))</f>
        <v/>
      </c>
      <c r="E338" s="981" t="str">
        <f>IF(D338="","",Conc2(D338,D$9,MolVol,D$21,D$20,E$21,E$20))</f>
        <v/>
      </c>
      <c r="F338" s="981" t="str">
        <f>IF(F$17=FALSE,"",GasData(GasAnalyser,'Horiba Data'!AQ331,'Testo, JUM &amp; MRU Data'!E332,'Thermo Data'!F331,'Testo, JUM &amp; MRU Data'!V332,GDF))</f>
        <v/>
      </c>
      <c r="G338" s="981" t="str">
        <f>IF(F338="","",Conc2(F338,F$9,MolVol,F$21,F$20,G$21,G$20))</f>
        <v/>
      </c>
      <c r="H338" s="981" t="str">
        <f>IF(D$17=FALSE,"",IF(F$17=FALSE,"",GasData(GasAnalyser,'Horiba Data'!W331,'Testo, JUM &amp; MRU Data'!F332,'Thermo Data'!G331,'Testo, JUM &amp; MRU Data'!Y332,GDF)))</f>
        <v/>
      </c>
      <c r="I338" s="981" t="str">
        <f>IF(H338="","",Conc2(H338,H$9,MolVol,H$21,H$20,I$21,I$20))</f>
        <v/>
      </c>
      <c r="J338" s="981" t="str">
        <f>IF(J$17=FALSE,"",GasData(GasAnalyser,'Horiba Data'!AM331,'Testo, JUM &amp; MRU Data'!G332,'Thermo Data'!H331,'Testo, JUM &amp; MRU Data'!W332,GDF))</f>
        <v/>
      </c>
      <c r="K338" s="981" t="str">
        <f>IF(J338="","",Conc2(J338,J$9,MolVol,J$21,J$20,K$21,K$20))</f>
        <v/>
      </c>
      <c r="L338" s="981" t="str">
        <f>IF(L$17=FALSE,"",GasData(GasAnalyser,'Horiba Data'!AA331,'Testo, JUM &amp; MRU Data'!H332,'Thermo Data'!I331,'Testo, JUM &amp; MRU Data'!T332,GDF))</f>
        <v/>
      </c>
      <c r="M338" s="981" t="str">
        <f>IF(L338="","",Conc2(L338,L$9,MolVol,L$21,L$20,M$21,M$20))</f>
        <v/>
      </c>
      <c r="N338" s="981" t="str">
        <f>IF(N$17=FALSE,"",GasData(GasAnalyser,'Horiba Data'!AE331,'Testo, JUM &amp; MRU Data'!I332,'Thermo Data'!J331,'Testo, JUM &amp; MRU Data'!S332,GDF))</f>
        <v/>
      </c>
      <c r="O338" s="981" t="str">
        <f>IF(N338="","",Conc2(N338,N$9,MolVol,N$21,N$20,O$21,O$20))</f>
        <v/>
      </c>
      <c r="P338" s="981" t="str">
        <f>IF(P$17=FALSE,"",GasData(GasAnalyser,'Horiba Data'!AI331,'Testo, JUM &amp; MRU Data'!J332,'Thermo Data'!K331,'Testo, JUM &amp; MRU Data'!R332,GDF))</f>
        <v/>
      </c>
      <c r="Q338" s="981" t="str">
        <f>IF(P338="","",Conc2(P338,P$9,MolVol,P$21,P$20,Q$21,Q$20))</f>
        <v/>
      </c>
      <c r="R338" s="981" t="str">
        <f>IF(R$17=FALSE,"",JUMData('Testo, JUM &amp; MRU Data'!M332,$R$7))</f>
        <v/>
      </c>
      <c r="S338" s="982" t="str">
        <f>IF(R338="","",Conc2(R338,R$9,MolVol,R$21,R$20,S$21,S$20)/(1-Bws))</f>
        <v/>
      </c>
      <c r="T338" s="740"/>
      <c r="AR338" s="334"/>
      <c r="AS338" s="334"/>
      <c r="AT338" s="48"/>
      <c r="AU338" s="48"/>
      <c r="AV338" s="153"/>
      <c r="AW338" s="153"/>
      <c r="AX338" s="153"/>
      <c r="AY338" s="153"/>
      <c r="AZ338" s="153"/>
      <c r="BA338" s="153"/>
      <c r="BB338" s="153"/>
      <c r="BC338" s="153"/>
      <c r="BD338" s="153"/>
      <c r="BE338" s="153"/>
      <c r="BF338" s="153"/>
      <c r="BG338" s="153"/>
      <c r="BH338" s="153"/>
      <c r="BI338" s="153"/>
      <c r="BJ338" s="153"/>
      <c r="BK338" s="153"/>
      <c r="BL338" s="153"/>
      <c r="BM338" s="153"/>
      <c r="BN338" s="153"/>
      <c r="BO338" s="153"/>
      <c r="BP338" s="153"/>
      <c r="BQ338" s="153"/>
      <c r="BR338" s="153"/>
      <c r="BS338" s="153"/>
      <c r="BT338" s="153"/>
      <c r="BU338" s="153"/>
      <c r="BV338" s="153"/>
      <c r="BW338" s="153"/>
      <c r="BX338" s="153"/>
      <c r="BY338" s="153"/>
      <c r="BZ338" s="153"/>
      <c r="CA338" s="153"/>
      <c r="CB338" s="153"/>
      <c r="CC338" s="153"/>
      <c r="CD338" s="153"/>
      <c r="CE338" s="153"/>
      <c r="CF338" s="153"/>
      <c r="CG338" s="153"/>
      <c r="CH338" s="153"/>
      <c r="CI338" s="153"/>
      <c r="CJ338" s="153"/>
      <c r="CK338" s="153"/>
      <c r="CL338" s="153"/>
      <c r="CM338" s="153"/>
      <c r="CN338" s="153"/>
      <c r="CO338" s="153"/>
      <c r="CP338" s="153"/>
      <c r="CQ338" s="153"/>
      <c r="CR338" s="153"/>
      <c r="CS338" s="153"/>
      <c r="CT338" s="153"/>
      <c r="CU338" s="153"/>
      <c r="CV338" s="153"/>
      <c r="CW338" s="153"/>
      <c r="CX338" s="153"/>
      <c r="CY338" s="153"/>
      <c r="CZ338" s="153"/>
      <c r="DA338" s="153"/>
      <c r="DB338" s="153"/>
      <c r="DC338" s="153"/>
      <c r="DD338" s="153"/>
      <c r="DE338" s="153"/>
      <c r="DF338" s="153"/>
      <c r="DG338" s="153"/>
      <c r="DH338" s="153"/>
      <c r="DI338" s="153"/>
      <c r="DJ338" s="153"/>
      <c r="DK338" s="153"/>
      <c r="DL338" s="153"/>
      <c r="DM338" s="153"/>
      <c r="DN338" s="153"/>
      <c r="DO338" s="153"/>
      <c r="DP338" s="153"/>
      <c r="DQ338" s="153"/>
      <c r="DR338" s="153"/>
      <c r="DS338" s="153"/>
      <c r="DT338" s="153"/>
      <c r="DU338" s="153"/>
      <c r="DV338" s="153"/>
      <c r="DW338" s="153"/>
      <c r="DX338" s="153"/>
      <c r="DY338" s="153"/>
      <c r="DZ338" s="153"/>
      <c r="EA338" s="153"/>
      <c r="EB338" s="153"/>
      <c r="EC338" s="153"/>
      <c r="ED338" s="153"/>
      <c r="EE338" s="153"/>
      <c r="EF338" s="153"/>
      <c r="EG338" s="153"/>
      <c r="EH338" s="153"/>
      <c r="EI338" s="153"/>
      <c r="EJ338" s="153"/>
      <c r="EK338" s="153"/>
      <c r="EL338" s="153"/>
      <c r="EM338" s="153"/>
    </row>
    <row r="339" spans="1:143" s="107" customFormat="1" ht="10.5" hidden="1" customHeight="1" outlineLevel="2">
      <c r="A339" s="1548">
        <v>314</v>
      </c>
      <c r="B339" s="1560" t="str">
        <f t="shared" si="6"/>
        <v/>
      </c>
      <c r="C339" s="161" t="str">
        <f>GasTime(GasAnalyser,'Horiba Data'!F332,'Horiba Data'!G332,'Testo, JUM &amp; MRU Data'!A333,'Thermo Data'!B332,HourOffset)</f>
        <v/>
      </c>
      <c r="D339" s="981" t="str">
        <f>IF(D$17=FALSE,"",GasData(GasAnalyser,'Horiba Data'!S332,'Testo, JUM &amp; MRU Data'!D333,'Thermo Data'!E332,'Testo, JUM &amp; MRU Data'!U333,GDF))</f>
        <v/>
      </c>
      <c r="E339" s="981" t="str">
        <f>IF(D339="","",Conc2(D339,D$9,MolVol,D$21,D$20,E$21,E$20))</f>
        <v/>
      </c>
      <c r="F339" s="981" t="str">
        <f>IF(F$17=FALSE,"",GasData(GasAnalyser,'Horiba Data'!AQ332,'Testo, JUM &amp; MRU Data'!E333,'Thermo Data'!F332,'Testo, JUM &amp; MRU Data'!V333,GDF))</f>
        <v/>
      </c>
      <c r="G339" s="981" t="str">
        <f>IF(F339="","",Conc2(F339,F$9,MolVol,F$21,F$20,G$21,G$20))</f>
        <v/>
      </c>
      <c r="H339" s="981" t="str">
        <f>IF(D$17=FALSE,"",IF(F$17=FALSE,"",GasData(GasAnalyser,'Horiba Data'!W332,'Testo, JUM &amp; MRU Data'!F333,'Thermo Data'!G332,'Testo, JUM &amp; MRU Data'!Y333,GDF)))</f>
        <v/>
      </c>
      <c r="I339" s="981" t="str">
        <f>IF(H339="","",Conc2(H339,H$9,MolVol,H$21,H$20,I$21,I$20))</f>
        <v/>
      </c>
      <c r="J339" s="981" t="str">
        <f>IF(J$17=FALSE,"",GasData(GasAnalyser,'Horiba Data'!AM332,'Testo, JUM &amp; MRU Data'!G333,'Thermo Data'!H332,'Testo, JUM &amp; MRU Data'!W333,GDF))</f>
        <v/>
      </c>
      <c r="K339" s="981" t="str">
        <f>IF(J339="","",Conc2(J339,J$9,MolVol,J$21,J$20,K$21,K$20))</f>
        <v/>
      </c>
      <c r="L339" s="981" t="str">
        <f>IF(L$17=FALSE,"",GasData(GasAnalyser,'Horiba Data'!AA332,'Testo, JUM &amp; MRU Data'!H333,'Thermo Data'!I332,'Testo, JUM &amp; MRU Data'!T333,GDF))</f>
        <v/>
      </c>
      <c r="M339" s="981" t="str">
        <f>IF(L339="","",Conc2(L339,L$9,MolVol,L$21,L$20,M$21,M$20))</f>
        <v/>
      </c>
      <c r="N339" s="981" t="str">
        <f>IF(N$17=FALSE,"",GasData(GasAnalyser,'Horiba Data'!AE332,'Testo, JUM &amp; MRU Data'!I333,'Thermo Data'!J332,'Testo, JUM &amp; MRU Data'!S333,GDF))</f>
        <v/>
      </c>
      <c r="O339" s="981" t="str">
        <f>IF(N339="","",Conc2(N339,N$9,MolVol,N$21,N$20,O$21,O$20))</f>
        <v/>
      </c>
      <c r="P339" s="981" t="str">
        <f>IF(P$17=FALSE,"",GasData(GasAnalyser,'Horiba Data'!AI332,'Testo, JUM &amp; MRU Data'!J333,'Thermo Data'!K332,'Testo, JUM &amp; MRU Data'!R333,GDF))</f>
        <v/>
      </c>
      <c r="Q339" s="981" t="str">
        <f>IF(P339="","",Conc2(P339,P$9,MolVol,P$21,P$20,Q$21,Q$20))</f>
        <v/>
      </c>
      <c r="R339" s="981" t="str">
        <f>IF(R$17=FALSE,"",JUMData('Testo, JUM &amp; MRU Data'!M333,$R$7))</f>
        <v/>
      </c>
      <c r="S339" s="982" t="str">
        <f>IF(R339="","",Conc2(R339,R$9,MolVol,R$21,R$20,S$21,S$20)/(1-Bws))</f>
        <v/>
      </c>
      <c r="T339" s="740"/>
      <c r="AR339" s="334"/>
      <c r="AS339" s="334"/>
      <c r="AT339" s="48"/>
      <c r="AU339" s="48"/>
      <c r="AV339" s="153"/>
      <c r="AW339" s="153"/>
      <c r="AX339" s="153"/>
      <c r="AY339" s="153"/>
      <c r="AZ339" s="153"/>
      <c r="BA339" s="153"/>
      <c r="BB339" s="153"/>
      <c r="BC339" s="153"/>
      <c r="BD339" s="153"/>
      <c r="BE339" s="153"/>
      <c r="BF339" s="153"/>
      <c r="BG339" s="153"/>
      <c r="BH339" s="153"/>
      <c r="BI339" s="153"/>
      <c r="BJ339" s="153"/>
      <c r="BK339" s="153"/>
      <c r="BL339" s="153"/>
      <c r="BM339" s="153"/>
      <c r="BN339" s="153"/>
      <c r="BO339" s="153"/>
      <c r="BP339" s="153"/>
      <c r="BQ339" s="153"/>
      <c r="BR339" s="153"/>
      <c r="BS339" s="153"/>
      <c r="BT339" s="153"/>
      <c r="BU339" s="153"/>
      <c r="BV339" s="153"/>
      <c r="BW339" s="153"/>
      <c r="BX339" s="153"/>
      <c r="BY339" s="153"/>
      <c r="BZ339" s="153"/>
      <c r="CA339" s="153"/>
      <c r="CB339" s="153"/>
      <c r="CC339" s="153"/>
      <c r="CD339" s="153"/>
      <c r="CE339" s="153"/>
      <c r="CF339" s="153"/>
      <c r="CG339" s="153"/>
      <c r="CH339" s="153"/>
      <c r="CI339" s="153"/>
      <c r="CJ339" s="153"/>
      <c r="CK339" s="153"/>
      <c r="CL339" s="153"/>
      <c r="CM339" s="153"/>
      <c r="CN339" s="153"/>
      <c r="CO339" s="153"/>
      <c r="CP339" s="153"/>
      <c r="CQ339" s="153"/>
      <c r="CR339" s="153"/>
      <c r="CS339" s="153"/>
      <c r="CT339" s="153"/>
      <c r="CU339" s="153"/>
      <c r="CV339" s="153"/>
      <c r="CW339" s="153"/>
      <c r="CX339" s="153"/>
      <c r="CY339" s="153"/>
      <c r="CZ339" s="153"/>
      <c r="DA339" s="153"/>
      <c r="DB339" s="153"/>
      <c r="DC339" s="153"/>
      <c r="DD339" s="153"/>
      <c r="DE339" s="153"/>
      <c r="DF339" s="153"/>
      <c r="DG339" s="153"/>
      <c r="DH339" s="153"/>
      <c r="DI339" s="153"/>
      <c r="DJ339" s="153"/>
      <c r="DK339" s="153"/>
      <c r="DL339" s="153"/>
      <c r="DM339" s="153"/>
      <c r="DN339" s="153"/>
      <c r="DO339" s="153"/>
      <c r="DP339" s="153"/>
      <c r="DQ339" s="153"/>
      <c r="DR339" s="153"/>
      <c r="DS339" s="153"/>
      <c r="DT339" s="153"/>
      <c r="DU339" s="153"/>
      <c r="DV339" s="153"/>
      <c r="DW339" s="153"/>
      <c r="DX339" s="153"/>
      <c r="DY339" s="153"/>
      <c r="DZ339" s="153"/>
      <c r="EA339" s="153"/>
      <c r="EB339" s="153"/>
      <c r="EC339" s="153"/>
      <c r="ED339" s="153"/>
      <c r="EE339" s="153"/>
      <c r="EF339" s="153"/>
      <c r="EG339" s="153"/>
      <c r="EH339" s="153"/>
      <c r="EI339" s="153"/>
      <c r="EJ339" s="153"/>
      <c r="EK339" s="153"/>
      <c r="EL339" s="153"/>
      <c r="EM339" s="153"/>
    </row>
    <row r="340" spans="1:143" s="107" customFormat="1" ht="10.5" hidden="1" customHeight="1" outlineLevel="2">
      <c r="A340" s="1548">
        <v>315</v>
      </c>
      <c r="B340" s="1560" t="str">
        <f t="shared" si="6"/>
        <v/>
      </c>
      <c r="C340" s="161" t="str">
        <f>GasTime(GasAnalyser,'Horiba Data'!F333,'Horiba Data'!G333,'Testo, JUM &amp; MRU Data'!A334,'Thermo Data'!B333,HourOffset)</f>
        <v/>
      </c>
      <c r="D340" s="981" t="str">
        <f>IF(D$17=FALSE,"",GasData(GasAnalyser,'Horiba Data'!S333,'Testo, JUM &amp; MRU Data'!D334,'Thermo Data'!E333,'Testo, JUM &amp; MRU Data'!U334,GDF))</f>
        <v/>
      </c>
      <c r="E340" s="981" t="str">
        <f>IF(D340="","",Conc2(D340,D$9,MolVol,D$21,D$20,E$21,E$20))</f>
        <v/>
      </c>
      <c r="F340" s="981" t="str">
        <f>IF(F$17=FALSE,"",GasData(GasAnalyser,'Horiba Data'!AQ333,'Testo, JUM &amp; MRU Data'!E334,'Thermo Data'!F333,'Testo, JUM &amp; MRU Data'!V334,GDF))</f>
        <v/>
      </c>
      <c r="G340" s="981" t="str">
        <f>IF(F340="","",Conc2(F340,F$9,MolVol,F$21,F$20,G$21,G$20))</f>
        <v/>
      </c>
      <c r="H340" s="981" t="str">
        <f>IF(D$17=FALSE,"",IF(F$17=FALSE,"",GasData(GasAnalyser,'Horiba Data'!W333,'Testo, JUM &amp; MRU Data'!F334,'Thermo Data'!G333,'Testo, JUM &amp; MRU Data'!Y334,GDF)))</f>
        <v/>
      </c>
      <c r="I340" s="981" t="str">
        <f>IF(H340="","",Conc2(H340,H$9,MolVol,H$21,H$20,I$21,I$20))</f>
        <v/>
      </c>
      <c r="J340" s="981" t="str">
        <f>IF(J$17=FALSE,"",GasData(GasAnalyser,'Horiba Data'!AM333,'Testo, JUM &amp; MRU Data'!G334,'Thermo Data'!H333,'Testo, JUM &amp; MRU Data'!W334,GDF))</f>
        <v/>
      </c>
      <c r="K340" s="981" t="str">
        <f>IF(J340="","",Conc2(J340,J$9,MolVol,J$21,J$20,K$21,K$20))</f>
        <v/>
      </c>
      <c r="L340" s="981" t="str">
        <f>IF(L$17=FALSE,"",GasData(GasAnalyser,'Horiba Data'!AA333,'Testo, JUM &amp; MRU Data'!H334,'Thermo Data'!I333,'Testo, JUM &amp; MRU Data'!T334,GDF))</f>
        <v/>
      </c>
      <c r="M340" s="981" t="str">
        <f>IF(L340="","",Conc2(L340,L$9,MolVol,L$21,L$20,M$21,M$20))</f>
        <v/>
      </c>
      <c r="N340" s="981" t="str">
        <f>IF(N$17=FALSE,"",GasData(GasAnalyser,'Horiba Data'!AE333,'Testo, JUM &amp; MRU Data'!I334,'Thermo Data'!J333,'Testo, JUM &amp; MRU Data'!S334,GDF))</f>
        <v/>
      </c>
      <c r="O340" s="981" t="str">
        <f>IF(N340="","",Conc2(N340,N$9,MolVol,N$21,N$20,O$21,O$20))</f>
        <v/>
      </c>
      <c r="P340" s="981" t="str">
        <f>IF(P$17=FALSE,"",GasData(GasAnalyser,'Horiba Data'!AI333,'Testo, JUM &amp; MRU Data'!J334,'Thermo Data'!K333,'Testo, JUM &amp; MRU Data'!R334,GDF))</f>
        <v/>
      </c>
      <c r="Q340" s="981" t="str">
        <f>IF(P340="","",Conc2(P340,P$9,MolVol,P$21,P$20,Q$21,Q$20))</f>
        <v/>
      </c>
      <c r="R340" s="981" t="str">
        <f>IF(R$17=FALSE,"",JUMData('Testo, JUM &amp; MRU Data'!M334,$R$7))</f>
        <v/>
      </c>
      <c r="S340" s="982" t="str">
        <f>IF(R340="","",Conc2(R340,R$9,MolVol,R$21,R$20,S$21,S$20)/(1-Bws))</f>
        <v/>
      </c>
      <c r="T340" s="740"/>
      <c r="AR340" s="334"/>
      <c r="AS340" s="334"/>
      <c r="AT340" s="48"/>
      <c r="AU340" s="48"/>
      <c r="AV340" s="153"/>
      <c r="AW340" s="153"/>
      <c r="AX340" s="153"/>
      <c r="AY340" s="153"/>
      <c r="AZ340" s="153"/>
      <c r="BA340" s="153"/>
      <c r="BB340" s="153"/>
      <c r="BC340" s="153"/>
      <c r="BD340" s="153"/>
      <c r="BE340" s="153"/>
      <c r="BF340" s="153"/>
      <c r="BG340" s="153"/>
      <c r="BH340" s="153"/>
      <c r="BI340" s="153"/>
      <c r="BJ340" s="153"/>
      <c r="BK340" s="153"/>
      <c r="BL340" s="153"/>
      <c r="BM340" s="153"/>
      <c r="BN340" s="153"/>
      <c r="BO340" s="153"/>
      <c r="BP340" s="153"/>
      <c r="BQ340" s="153"/>
      <c r="BR340" s="153"/>
      <c r="BS340" s="153"/>
      <c r="BT340" s="153"/>
      <c r="BU340" s="153"/>
      <c r="BV340" s="153"/>
      <c r="BW340" s="153"/>
      <c r="BX340" s="153"/>
      <c r="BY340" s="153"/>
      <c r="BZ340" s="153"/>
      <c r="CA340" s="153"/>
      <c r="CB340" s="153"/>
      <c r="CC340" s="153"/>
      <c r="CD340" s="153"/>
      <c r="CE340" s="153"/>
      <c r="CF340" s="153"/>
      <c r="CG340" s="153"/>
      <c r="CH340" s="153"/>
      <c r="CI340" s="153"/>
      <c r="CJ340" s="153"/>
      <c r="CK340" s="153"/>
      <c r="CL340" s="153"/>
      <c r="CM340" s="153"/>
      <c r="CN340" s="153"/>
      <c r="CO340" s="153"/>
      <c r="CP340" s="153"/>
      <c r="CQ340" s="153"/>
      <c r="CR340" s="153"/>
      <c r="CS340" s="153"/>
      <c r="CT340" s="153"/>
      <c r="CU340" s="153"/>
      <c r="CV340" s="153"/>
      <c r="CW340" s="153"/>
      <c r="CX340" s="153"/>
      <c r="CY340" s="153"/>
      <c r="CZ340" s="153"/>
      <c r="DA340" s="153"/>
      <c r="DB340" s="153"/>
      <c r="DC340" s="153"/>
      <c r="DD340" s="153"/>
      <c r="DE340" s="153"/>
      <c r="DF340" s="153"/>
      <c r="DG340" s="153"/>
      <c r="DH340" s="153"/>
      <c r="DI340" s="153"/>
      <c r="DJ340" s="153"/>
      <c r="DK340" s="153"/>
      <c r="DL340" s="153"/>
      <c r="DM340" s="153"/>
      <c r="DN340" s="153"/>
      <c r="DO340" s="153"/>
      <c r="DP340" s="153"/>
      <c r="DQ340" s="153"/>
      <c r="DR340" s="153"/>
      <c r="DS340" s="153"/>
      <c r="DT340" s="153"/>
      <c r="DU340" s="153"/>
      <c r="DV340" s="153"/>
      <c r="DW340" s="153"/>
      <c r="DX340" s="153"/>
      <c r="DY340" s="153"/>
      <c r="DZ340" s="153"/>
      <c r="EA340" s="153"/>
      <c r="EB340" s="153"/>
      <c r="EC340" s="153"/>
      <c r="ED340" s="153"/>
      <c r="EE340" s="153"/>
      <c r="EF340" s="153"/>
      <c r="EG340" s="153"/>
      <c r="EH340" s="153"/>
      <c r="EI340" s="153"/>
      <c r="EJ340" s="153"/>
      <c r="EK340" s="153"/>
      <c r="EL340" s="153"/>
      <c r="EM340" s="153"/>
    </row>
    <row r="341" spans="1:143" s="107" customFormat="1" ht="10.5" hidden="1" customHeight="1" outlineLevel="2">
      <c r="A341" s="1548">
        <v>316</v>
      </c>
      <c r="B341" s="1560" t="str">
        <f t="shared" si="6"/>
        <v/>
      </c>
      <c r="C341" s="161" t="str">
        <f>GasTime(GasAnalyser,'Horiba Data'!F334,'Horiba Data'!G334,'Testo, JUM &amp; MRU Data'!A335,'Thermo Data'!B334,HourOffset)</f>
        <v/>
      </c>
      <c r="D341" s="981" t="str">
        <f>IF(D$17=FALSE,"",GasData(GasAnalyser,'Horiba Data'!S334,'Testo, JUM &amp; MRU Data'!D335,'Thermo Data'!E334,'Testo, JUM &amp; MRU Data'!U335,GDF))</f>
        <v/>
      </c>
      <c r="E341" s="981" t="str">
        <f>IF(D341="","",Conc2(D341,D$9,MolVol,D$21,D$20,E$21,E$20))</f>
        <v/>
      </c>
      <c r="F341" s="981" t="str">
        <f>IF(F$17=FALSE,"",GasData(GasAnalyser,'Horiba Data'!AQ334,'Testo, JUM &amp; MRU Data'!E335,'Thermo Data'!F334,'Testo, JUM &amp; MRU Data'!V335,GDF))</f>
        <v/>
      </c>
      <c r="G341" s="981" t="str">
        <f>IF(F341="","",Conc2(F341,F$9,MolVol,F$21,F$20,G$21,G$20))</f>
        <v/>
      </c>
      <c r="H341" s="981" t="str">
        <f>IF(D$17=FALSE,"",IF(F$17=FALSE,"",GasData(GasAnalyser,'Horiba Data'!W334,'Testo, JUM &amp; MRU Data'!F335,'Thermo Data'!G334,'Testo, JUM &amp; MRU Data'!Y335,GDF)))</f>
        <v/>
      </c>
      <c r="I341" s="981" t="str">
        <f>IF(H341="","",Conc2(H341,H$9,MolVol,H$21,H$20,I$21,I$20))</f>
        <v/>
      </c>
      <c r="J341" s="981" t="str">
        <f>IF(J$17=FALSE,"",GasData(GasAnalyser,'Horiba Data'!AM334,'Testo, JUM &amp; MRU Data'!G335,'Thermo Data'!H334,'Testo, JUM &amp; MRU Data'!W335,GDF))</f>
        <v/>
      </c>
      <c r="K341" s="981" t="str">
        <f>IF(J341="","",Conc2(J341,J$9,MolVol,J$21,J$20,K$21,K$20))</f>
        <v/>
      </c>
      <c r="L341" s="981" t="str">
        <f>IF(L$17=FALSE,"",GasData(GasAnalyser,'Horiba Data'!AA334,'Testo, JUM &amp; MRU Data'!H335,'Thermo Data'!I334,'Testo, JUM &amp; MRU Data'!T335,GDF))</f>
        <v/>
      </c>
      <c r="M341" s="981" t="str">
        <f>IF(L341="","",Conc2(L341,L$9,MolVol,L$21,L$20,M$21,M$20))</f>
        <v/>
      </c>
      <c r="N341" s="981" t="str">
        <f>IF(N$17=FALSE,"",GasData(GasAnalyser,'Horiba Data'!AE334,'Testo, JUM &amp; MRU Data'!I335,'Thermo Data'!J334,'Testo, JUM &amp; MRU Data'!S335,GDF))</f>
        <v/>
      </c>
      <c r="O341" s="981" t="str">
        <f>IF(N341="","",Conc2(N341,N$9,MolVol,N$21,N$20,O$21,O$20))</f>
        <v/>
      </c>
      <c r="P341" s="981" t="str">
        <f>IF(P$17=FALSE,"",GasData(GasAnalyser,'Horiba Data'!AI334,'Testo, JUM &amp; MRU Data'!J335,'Thermo Data'!K334,'Testo, JUM &amp; MRU Data'!R335,GDF))</f>
        <v/>
      </c>
      <c r="Q341" s="981" t="str">
        <f>IF(P341="","",Conc2(P341,P$9,MolVol,P$21,P$20,Q$21,Q$20))</f>
        <v/>
      </c>
      <c r="R341" s="981" t="str">
        <f>IF(R$17=FALSE,"",JUMData('Testo, JUM &amp; MRU Data'!M335,$R$7))</f>
        <v/>
      </c>
      <c r="S341" s="982" t="str">
        <f>IF(R341="","",Conc2(R341,R$9,MolVol,R$21,R$20,S$21,S$20)/(1-Bws))</f>
        <v/>
      </c>
      <c r="T341" s="740"/>
      <c r="AR341" s="334"/>
      <c r="AS341" s="334"/>
      <c r="AT341" s="48"/>
      <c r="AU341" s="48"/>
      <c r="AV341" s="153"/>
      <c r="AW341" s="153"/>
      <c r="AX341" s="153"/>
      <c r="AY341" s="153"/>
      <c r="AZ341" s="153"/>
      <c r="BA341" s="153"/>
      <c r="BB341" s="153"/>
      <c r="BC341" s="153"/>
      <c r="BD341" s="153"/>
      <c r="BE341" s="153"/>
      <c r="BF341" s="153"/>
      <c r="BG341" s="153"/>
      <c r="BH341" s="153"/>
      <c r="BI341" s="153"/>
      <c r="BJ341" s="153"/>
      <c r="BK341" s="153"/>
      <c r="BL341" s="153"/>
      <c r="BM341" s="153"/>
      <c r="BN341" s="153"/>
      <c r="BO341" s="153"/>
      <c r="BP341" s="153"/>
      <c r="BQ341" s="153"/>
      <c r="BR341" s="153"/>
      <c r="BS341" s="153"/>
      <c r="BT341" s="153"/>
      <c r="BU341" s="153"/>
      <c r="BV341" s="153"/>
      <c r="BW341" s="153"/>
      <c r="BX341" s="153"/>
      <c r="BY341" s="153"/>
      <c r="BZ341" s="153"/>
      <c r="CA341" s="153"/>
      <c r="CB341" s="153"/>
      <c r="CC341" s="153"/>
      <c r="CD341" s="153"/>
      <c r="CE341" s="153"/>
      <c r="CF341" s="153"/>
      <c r="CG341" s="153"/>
      <c r="CH341" s="153"/>
      <c r="CI341" s="153"/>
      <c r="CJ341" s="153"/>
      <c r="CK341" s="153"/>
      <c r="CL341" s="153"/>
      <c r="CM341" s="153"/>
      <c r="CN341" s="153"/>
      <c r="CO341" s="153"/>
      <c r="CP341" s="153"/>
      <c r="CQ341" s="153"/>
      <c r="CR341" s="153"/>
      <c r="CS341" s="153"/>
      <c r="CT341" s="153"/>
      <c r="CU341" s="153"/>
      <c r="CV341" s="153"/>
      <c r="CW341" s="153"/>
      <c r="CX341" s="153"/>
      <c r="CY341" s="153"/>
      <c r="CZ341" s="153"/>
      <c r="DA341" s="153"/>
      <c r="DB341" s="153"/>
      <c r="DC341" s="153"/>
      <c r="DD341" s="153"/>
      <c r="DE341" s="153"/>
      <c r="DF341" s="153"/>
      <c r="DG341" s="153"/>
      <c r="DH341" s="153"/>
      <c r="DI341" s="153"/>
      <c r="DJ341" s="153"/>
      <c r="DK341" s="153"/>
      <c r="DL341" s="153"/>
      <c r="DM341" s="153"/>
      <c r="DN341" s="153"/>
      <c r="DO341" s="153"/>
      <c r="DP341" s="153"/>
      <c r="DQ341" s="153"/>
      <c r="DR341" s="153"/>
      <c r="DS341" s="153"/>
      <c r="DT341" s="153"/>
      <c r="DU341" s="153"/>
      <c r="DV341" s="153"/>
      <c r="DW341" s="153"/>
      <c r="DX341" s="153"/>
      <c r="DY341" s="153"/>
      <c r="DZ341" s="153"/>
      <c r="EA341" s="153"/>
      <c r="EB341" s="153"/>
      <c r="EC341" s="153"/>
      <c r="ED341" s="153"/>
      <c r="EE341" s="153"/>
      <c r="EF341" s="153"/>
      <c r="EG341" s="153"/>
      <c r="EH341" s="153"/>
      <c r="EI341" s="153"/>
      <c r="EJ341" s="153"/>
      <c r="EK341" s="153"/>
      <c r="EL341" s="153"/>
      <c r="EM341" s="153"/>
    </row>
    <row r="342" spans="1:143" s="107" customFormat="1" ht="10.5" hidden="1" customHeight="1" outlineLevel="2">
      <c r="A342" s="1548">
        <v>317</v>
      </c>
      <c r="B342" s="1560" t="str">
        <f t="shared" si="6"/>
        <v/>
      </c>
      <c r="C342" s="161" t="str">
        <f>GasTime(GasAnalyser,'Horiba Data'!F335,'Horiba Data'!G335,'Testo, JUM &amp; MRU Data'!A336,'Thermo Data'!B335,HourOffset)</f>
        <v/>
      </c>
      <c r="D342" s="981" t="str">
        <f>IF(D$17=FALSE,"",GasData(GasAnalyser,'Horiba Data'!S335,'Testo, JUM &amp; MRU Data'!D336,'Thermo Data'!E335,'Testo, JUM &amp; MRU Data'!U336,GDF))</f>
        <v/>
      </c>
      <c r="E342" s="981" t="str">
        <f>IF(D342="","",Conc2(D342,D$9,MolVol,D$21,D$20,E$21,E$20))</f>
        <v/>
      </c>
      <c r="F342" s="981" t="str">
        <f>IF(F$17=FALSE,"",GasData(GasAnalyser,'Horiba Data'!AQ335,'Testo, JUM &amp; MRU Data'!E336,'Thermo Data'!F335,'Testo, JUM &amp; MRU Data'!V336,GDF))</f>
        <v/>
      </c>
      <c r="G342" s="981" t="str">
        <f>IF(F342="","",Conc2(F342,F$9,MolVol,F$21,F$20,G$21,G$20))</f>
        <v/>
      </c>
      <c r="H342" s="981" t="str">
        <f>IF(D$17=FALSE,"",IF(F$17=FALSE,"",GasData(GasAnalyser,'Horiba Data'!W335,'Testo, JUM &amp; MRU Data'!F336,'Thermo Data'!G335,'Testo, JUM &amp; MRU Data'!Y336,GDF)))</f>
        <v/>
      </c>
      <c r="I342" s="981" t="str">
        <f>IF(H342="","",Conc2(H342,H$9,MolVol,H$21,H$20,I$21,I$20))</f>
        <v/>
      </c>
      <c r="J342" s="981" t="str">
        <f>IF(J$17=FALSE,"",GasData(GasAnalyser,'Horiba Data'!AM335,'Testo, JUM &amp; MRU Data'!G336,'Thermo Data'!H335,'Testo, JUM &amp; MRU Data'!W336,GDF))</f>
        <v/>
      </c>
      <c r="K342" s="981" t="str">
        <f>IF(J342="","",Conc2(J342,J$9,MolVol,J$21,J$20,K$21,K$20))</f>
        <v/>
      </c>
      <c r="L342" s="981" t="str">
        <f>IF(L$17=FALSE,"",GasData(GasAnalyser,'Horiba Data'!AA335,'Testo, JUM &amp; MRU Data'!H336,'Thermo Data'!I335,'Testo, JUM &amp; MRU Data'!T336,GDF))</f>
        <v/>
      </c>
      <c r="M342" s="981" t="str">
        <f>IF(L342="","",Conc2(L342,L$9,MolVol,L$21,L$20,M$21,M$20))</f>
        <v/>
      </c>
      <c r="N342" s="981" t="str">
        <f>IF(N$17=FALSE,"",GasData(GasAnalyser,'Horiba Data'!AE335,'Testo, JUM &amp; MRU Data'!I336,'Thermo Data'!J335,'Testo, JUM &amp; MRU Data'!S336,GDF))</f>
        <v/>
      </c>
      <c r="O342" s="981" t="str">
        <f>IF(N342="","",Conc2(N342,N$9,MolVol,N$21,N$20,O$21,O$20))</f>
        <v/>
      </c>
      <c r="P342" s="981" t="str">
        <f>IF(P$17=FALSE,"",GasData(GasAnalyser,'Horiba Data'!AI335,'Testo, JUM &amp; MRU Data'!J336,'Thermo Data'!K335,'Testo, JUM &amp; MRU Data'!R336,GDF))</f>
        <v/>
      </c>
      <c r="Q342" s="981" t="str">
        <f>IF(P342="","",Conc2(P342,P$9,MolVol,P$21,P$20,Q$21,Q$20))</f>
        <v/>
      </c>
      <c r="R342" s="981" t="str">
        <f>IF(R$17=FALSE,"",JUMData('Testo, JUM &amp; MRU Data'!M336,$R$7))</f>
        <v/>
      </c>
      <c r="S342" s="982" t="str">
        <f>IF(R342="","",Conc2(R342,R$9,MolVol,R$21,R$20,S$21,S$20)/(1-Bws))</f>
        <v/>
      </c>
      <c r="T342" s="740"/>
      <c r="AR342" s="334"/>
      <c r="AS342" s="334"/>
      <c r="AT342" s="48"/>
      <c r="AU342" s="48"/>
      <c r="AV342" s="153"/>
      <c r="AW342" s="153"/>
      <c r="AX342" s="153"/>
      <c r="AY342" s="153"/>
      <c r="AZ342" s="153"/>
      <c r="BA342" s="153"/>
      <c r="BB342" s="153"/>
      <c r="BC342" s="153"/>
      <c r="BD342" s="153"/>
      <c r="BE342" s="153"/>
      <c r="BF342" s="153"/>
      <c r="BG342" s="153"/>
      <c r="BH342" s="153"/>
      <c r="BI342" s="153"/>
      <c r="BJ342" s="153"/>
      <c r="BK342" s="153"/>
      <c r="BL342" s="153"/>
      <c r="BM342" s="153"/>
      <c r="BN342" s="153"/>
      <c r="BO342" s="153"/>
      <c r="BP342" s="153"/>
      <c r="BQ342" s="153"/>
      <c r="BR342" s="153"/>
      <c r="BS342" s="153"/>
      <c r="BT342" s="153"/>
      <c r="BU342" s="153"/>
      <c r="BV342" s="153"/>
      <c r="BW342" s="153"/>
      <c r="BX342" s="153"/>
      <c r="BY342" s="153"/>
      <c r="BZ342" s="153"/>
      <c r="CA342" s="153"/>
      <c r="CB342" s="153"/>
      <c r="CC342" s="153"/>
      <c r="CD342" s="153"/>
      <c r="CE342" s="153"/>
      <c r="CF342" s="153"/>
      <c r="CG342" s="153"/>
      <c r="CH342" s="153"/>
      <c r="CI342" s="153"/>
      <c r="CJ342" s="153"/>
      <c r="CK342" s="153"/>
      <c r="CL342" s="153"/>
      <c r="CM342" s="153"/>
      <c r="CN342" s="153"/>
      <c r="CO342" s="153"/>
      <c r="CP342" s="153"/>
      <c r="CQ342" s="153"/>
      <c r="CR342" s="153"/>
      <c r="CS342" s="153"/>
      <c r="CT342" s="153"/>
      <c r="CU342" s="153"/>
      <c r="CV342" s="153"/>
      <c r="CW342" s="153"/>
      <c r="CX342" s="153"/>
      <c r="CY342" s="153"/>
      <c r="CZ342" s="153"/>
      <c r="DA342" s="153"/>
      <c r="DB342" s="153"/>
      <c r="DC342" s="153"/>
      <c r="DD342" s="153"/>
      <c r="DE342" s="153"/>
      <c r="DF342" s="153"/>
      <c r="DG342" s="153"/>
      <c r="DH342" s="153"/>
      <c r="DI342" s="153"/>
      <c r="DJ342" s="153"/>
      <c r="DK342" s="153"/>
      <c r="DL342" s="153"/>
      <c r="DM342" s="153"/>
      <c r="DN342" s="153"/>
      <c r="DO342" s="153"/>
      <c r="DP342" s="153"/>
      <c r="DQ342" s="153"/>
      <c r="DR342" s="153"/>
      <c r="DS342" s="153"/>
      <c r="DT342" s="153"/>
      <c r="DU342" s="153"/>
      <c r="DV342" s="153"/>
      <c r="DW342" s="153"/>
      <c r="DX342" s="153"/>
      <c r="DY342" s="153"/>
      <c r="DZ342" s="153"/>
      <c r="EA342" s="153"/>
      <c r="EB342" s="153"/>
      <c r="EC342" s="153"/>
      <c r="ED342" s="153"/>
      <c r="EE342" s="153"/>
      <c r="EF342" s="153"/>
      <c r="EG342" s="153"/>
      <c r="EH342" s="153"/>
      <c r="EI342" s="153"/>
      <c r="EJ342" s="153"/>
      <c r="EK342" s="153"/>
      <c r="EL342" s="153"/>
      <c r="EM342" s="153"/>
    </row>
    <row r="343" spans="1:143" s="107" customFormat="1" ht="10.5" hidden="1" customHeight="1" outlineLevel="2">
      <c r="A343" s="1548">
        <v>318</v>
      </c>
      <c r="B343" s="1560" t="str">
        <f t="shared" si="6"/>
        <v/>
      </c>
      <c r="C343" s="161" t="str">
        <f>GasTime(GasAnalyser,'Horiba Data'!F336,'Horiba Data'!G336,'Testo, JUM &amp; MRU Data'!A337,'Thermo Data'!B336,HourOffset)</f>
        <v/>
      </c>
      <c r="D343" s="981" t="str">
        <f>IF(D$17=FALSE,"",GasData(GasAnalyser,'Horiba Data'!S336,'Testo, JUM &amp; MRU Data'!D337,'Thermo Data'!E336,'Testo, JUM &amp; MRU Data'!U337,GDF))</f>
        <v/>
      </c>
      <c r="E343" s="981" t="str">
        <f>IF(D343="","",Conc2(D343,D$9,MolVol,D$21,D$20,E$21,E$20))</f>
        <v/>
      </c>
      <c r="F343" s="981" t="str">
        <f>IF(F$17=FALSE,"",GasData(GasAnalyser,'Horiba Data'!AQ336,'Testo, JUM &amp; MRU Data'!E337,'Thermo Data'!F336,'Testo, JUM &amp; MRU Data'!V337,GDF))</f>
        <v/>
      </c>
      <c r="G343" s="981" t="str">
        <f>IF(F343="","",Conc2(F343,F$9,MolVol,F$21,F$20,G$21,G$20))</f>
        <v/>
      </c>
      <c r="H343" s="981" t="str">
        <f>IF(D$17=FALSE,"",IF(F$17=FALSE,"",GasData(GasAnalyser,'Horiba Data'!W336,'Testo, JUM &amp; MRU Data'!F337,'Thermo Data'!G336,'Testo, JUM &amp; MRU Data'!Y337,GDF)))</f>
        <v/>
      </c>
      <c r="I343" s="981" t="str">
        <f>IF(H343="","",Conc2(H343,H$9,MolVol,H$21,H$20,I$21,I$20))</f>
        <v/>
      </c>
      <c r="J343" s="981" t="str">
        <f>IF(J$17=FALSE,"",GasData(GasAnalyser,'Horiba Data'!AM336,'Testo, JUM &amp; MRU Data'!G337,'Thermo Data'!H336,'Testo, JUM &amp; MRU Data'!W337,GDF))</f>
        <v/>
      </c>
      <c r="K343" s="981" t="str">
        <f>IF(J343="","",Conc2(J343,J$9,MolVol,J$21,J$20,K$21,K$20))</f>
        <v/>
      </c>
      <c r="L343" s="981" t="str">
        <f>IF(L$17=FALSE,"",GasData(GasAnalyser,'Horiba Data'!AA336,'Testo, JUM &amp; MRU Data'!H337,'Thermo Data'!I336,'Testo, JUM &amp; MRU Data'!T337,GDF))</f>
        <v/>
      </c>
      <c r="M343" s="981" t="str">
        <f>IF(L343="","",Conc2(L343,L$9,MolVol,L$21,L$20,M$21,M$20))</f>
        <v/>
      </c>
      <c r="N343" s="981" t="str">
        <f>IF(N$17=FALSE,"",GasData(GasAnalyser,'Horiba Data'!AE336,'Testo, JUM &amp; MRU Data'!I337,'Thermo Data'!J336,'Testo, JUM &amp; MRU Data'!S337,GDF))</f>
        <v/>
      </c>
      <c r="O343" s="981" t="str">
        <f>IF(N343="","",Conc2(N343,N$9,MolVol,N$21,N$20,O$21,O$20))</f>
        <v/>
      </c>
      <c r="P343" s="981" t="str">
        <f>IF(P$17=FALSE,"",GasData(GasAnalyser,'Horiba Data'!AI336,'Testo, JUM &amp; MRU Data'!J337,'Thermo Data'!K336,'Testo, JUM &amp; MRU Data'!R337,GDF))</f>
        <v/>
      </c>
      <c r="Q343" s="981" t="str">
        <f>IF(P343="","",Conc2(P343,P$9,MolVol,P$21,P$20,Q$21,Q$20))</f>
        <v/>
      </c>
      <c r="R343" s="981" t="str">
        <f>IF(R$17=FALSE,"",JUMData('Testo, JUM &amp; MRU Data'!M337,$R$7))</f>
        <v/>
      </c>
      <c r="S343" s="982" t="str">
        <f>IF(R343="","",Conc2(R343,R$9,MolVol,R$21,R$20,S$21,S$20)/(1-Bws))</f>
        <v/>
      </c>
      <c r="T343" s="740"/>
      <c r="AR343" s="334"/>
      <c r="AS343" s="334"/>
      <c r="AT343" s="48"/>
      <c r="AU343" s="48"/>
      <c r="AV343" s="153"/>
      <c r="AW343" s="153"/>
      <c r="AX343" s="153"/>
      <c r="AY343" s="153"/>
      <c r="AZ343" s="153"/>
      <c r="BA343" s="153"/>
      <c r="BB343" s="153"/>
      <c r="BC343" s="153"/>
      <c r="BD343" s="153"/>
      <c r="BE343" s="153"/>
      <c r="BF343" s="153"/>
      <c r="BG343" s="153"/>
      <c r="BH343" s="153"/>
      <c r="BI343" s="153"/>
      <c r="BJ343" s="153"/>
      <c r="BK343" s="153"/>
      <c r="BL343" s="153"/>
      <c r="BM343" s="153"/>
      <c r="BN343" s="153"/>
      <c r="BO343" s="153"/>
      <c r="BP343" s="153"/>
      <c r="BQ343" s="153"/>
      <c r="BR343" s="153"/>
      <c r="BS343" s="153"/>
      <c r="BT343" s="153"/>
      <c r="BU343" s="153"/>
      <c r="BV343" s="153"/>
      <c r="BW343" s="153"/>
      <c r="BX343" s="153"/>
      <c r="BY343" s="153"/>
      <c r="BZ343" s="153"/>
      <c r="CA343" s="153"/>
      <c r="CB343" s="153"/>
      <c r="CC343" s="153"/>
      <c r="CD343" s="153"/>
      <c r="CE343" s="153"/>
      <c r="CF343" s="153"/>
      <c r="CG343" s="153"/>
      <c r="CH343" s="153"/>
      <c r="CI343" s="153"/>
      <c r="CJ343" s="153"/>
      <c r="CK343" s="153"/>
      <c r="CL343" s="153"/>
      <c r="CM343" s="153"/>
      <c r="CN343" s="153"/>
      <c r="CO343" s="153"/>
      <c r="CP343" s="153"/>
      <c r="CQ343" s="153"/>
      <c r="CR343" s="153"/>
      <c r="CS343" s="153"/>
      <c r="CT343" s="153"/>
      <c r="CU343" s="153"/>
      <c r="CV343" s="153"/>
      <c r="CW343" s="153"/>
      <c r="CX343" s="153"/>
      <c r="CY343" s="153"/>
      <c r="CZ343" s="153"/>
      <c r="DA343" s="153"/>
      <c r="DB343" s="153"/>
      <c r="DC343" s="153"/>
      <c r="DD343" s="153"/>
      <c r="DE343" s="153"/>
      <c r="DF343" s="153"/>
      <c r="DG343" s="153"/>
      <c r="DH343" s="153"/>
      <c r="DI343" s="153"/>
      <c r="DJ343" s="153"/>
      <c r="DK343" s="153"/>
      <c r="DL343" s="153"/>
      <c r="DM343" s="153"/>
      <c r="DN343" s="153"/>
      <c r="DO343" s="153"/>
      <c r="DP343" s="153"/>
      <c r="DQ343" s="153"/>
      <c r="DR343" s="153"/>
      <c r="DS343" s="153"/>
      <c r="DT343" s="153"/>
      <c r="DU343" s="153"/>
      <c r="DV343" s="153"/>
      <c r="DW343" s="153"/>
      <c r="DX343" s="153"/>
      <c r="DY343" s="153"/>
      <c r="DZ343" s="153"/>
      <c r="EA343" s="153"/>
      <c r="EB343" s="153"/>
      <c r="EC343" s="153"/>
      <c r="ED343" s="153"/>
      <c r="EE343" s="153"/>
      <c r="EF343" s="153"/>
      <c r="EG343" s="153"/>
      <c r="EH343" s="153"/>
      <c r="EI343" s="153"/>
      <c r="EJ343" s="153"/>
      <c r="EK343" s="153"/>
      <c r="EL343" s="153"/>
      <c r="EM343" s="153"/>
    </row>
    <row r="344" spans="1:143" s="107" customFormat="1" ht="10.5" hidden="1" customHeight="1" outlineLevel="2">
      <c r="A344" s="1548">
        <v>319</v>
      </c>
      <c r="B344" s="1560" t="str">
        <f t="shared" si="6"/>
        <v/>
      </c>
      <c r="C344" s="161" t="str">
        <f>GasTime(GasAnalyser,'Horiba Data'!F337,'Horiba Data'!G337,'Testo, JUM &amp; MRU Data'!A338,'Thermo Data'!B337,HourOffset)</f>
        <v/>
      </c>
      <c r="D344" s="981" t="str">
        <f>IF(D$17=FALSE,"",GasData(GasAnalyser,'Horiba Data'!S337,'Testo, JUM &amp; MRU Data'!D338,'Thermo Data'!E337,'Testo, JUM &amp; MRU Data'!U338,GDF))</f>
        <v/>
      </c>
      <c r="E344" s="981" t="str">
        <f>IF(D344="","",Conc2(D344,D$9,MolVol,D$21,D$20,E$21,E$20))</f>
        <v/>
      </c>
      <c r="F344" s="981" t="str">
        <f>IF(F$17=FALSE,"",GasData(GasAnalyser,'Horiba Data'!AQ337,'Testo, JUM &amp; MRU Data'!E338,'Thermo Data'!F337,'Testo, JUM &amp; MRU Data'!V338,GDF))</f>
        <v/>
      </c>
      <c r="G344" s="981" t="str">
        <f>IF(F344="","",Conc2(F344,F$9,MolVol,F$21,F$20,G$21,G$20))</f>
        <v/>
      </c>
      <c r="H344" s="981" t="str">
        <f>IF(D$17=FALSE,"",IF(F$17=FALSE,"",GasData(GasAnalyser,'Horiba Data'!W337,'Testo, JUM &amp; MRU Data'!F338,'Thermo Data'!G337,'Testo, JUM &amp; MRU Data'!Y338,GDF)))</f>
        <v/>
      </c>
      <c r="I344" s="981" t="str">
        <f>IF(H344="","",Conc2(H344,H$9,MolVol,H$21,H$20,I$21,I$20))</f>
        <v/>
      </c>
      <c r="J344" s="981" t="str">
        <f>IF(J$17=FALSE,"",GasData(GasAnalyser,'Horiba Data'!AM337,'Testo, JUM &amp; MRU Data'!G338,'Thermo Data'!H337,'Testo, JUM &amp; MRU Data'!W338,GDF))</f>
        <v/>
      </c>
      <c r="K344" s="981" t="str">
        <f>IF(J344="","",Conc2(J344,J$9,MolVol,J$21,J$20,K$21,K$20))</f>
        <v/>
      </c>
      <c r="L344" s="981" t="str">
        <f>IF(L$17=FALSE,"",GasData(GasAnalyser,'Horiba Data'!AA337,'Testo, JUM &amp; MRU Data'!H338,'Thermo Data'!I337,'Testo, JUM &amp; MRU Data'!T338,GDF))</f>
        <v/>
      </c>
      <c r="M344" s="981" t="str">
        <f>IF(L344="","",Conc2(L344,L$9,MolVol,L$21,L$20,M$21,M$20))</f>
        <v/>
      </c>
      <c r="N344" s="981" t="str">
        <f>IF(N$17=FALSE,"",GasData(GasAnalyser,'Horiba Data'!AE337,'Testo, JUM &amp; MRU Data'!I338,'Thermo Data'!J337,'Testo, JUM &amp; MRU Data'!S338,GDF))</f>
        <v/>
      </c>
      <c r="O344" s="981" t="str">
        <f>IF(N344="","",Conc2(N344,N$9,MolVol,N$21,N$20,O$21,O$20))</f>
        <v/>
      </c>
      <c r="P344" s="981" t="str">
        <f>IF(P$17=FALSE,"",GasData(GasAnalyser,'Horiba Data'!AI337,'Testo, JUM &amp; MRU Data'!J338,'Thermo Data'!K337,'Testo, JUM &amp; MRU Data'!R338,GDF))</f>
        <v/>
      </c>
      <c r="Q344" s="981" t="str">
        <f>IF(P344="","",Conc2(P344,P$9,MolVol,P$21,P$20,Q$21,Q$20))</f>
        <v/>
      </c>
      <c r="R344" s="981" t="str">
        <f>IF(R$17=FALSE,"",JUMData('Testo, JUM &amp; MRU Data'!M338,$R$7))</f>
        <v/>
      </c>
      <c r="S344" s="982" t="str">
        <f>IF(R344="","",Conc2(R344,R$9,MolVol,R$21,R$20,S$21,S$20)/(1-Bws))</f>
        <v/>
      </c>
      <c r="T344" s="740"/>
      <c r="AR344" s="334"/>
      <c r="AS344" s="334"/>
      <c r="AT344" s="48"/>
      <c r="AU344" s="48"/>
      <c r="AV344" s="153"/>
      <c r="AW344" s="153"/>
      <c r="AX344" s="153"/>
      <c r="AY344" s="153"/>
      <c r="AZ344" s="153"/>
      <c r="BA344" s="153"/>
      <c r="BB344" s="153"/>
      <c r="BC344" s="153"/>
      <c r="BD344" s="153"/>
      <c r="BE344" s="153"/>
      <c r="BF344" s="153"/>
      <c r="BG344" s="153"/>
      <c r="BH344" s="153"/>
      <c r="BI344" s="153"/>
      <c r="BJ344" s="153"/>
      <c r="BK344" s="153"/>
      <c r="BL344" s="153"/>
      <c r="BM344" s="153"/>
      <c r="BN344" s="153"/>
      <c r="BO344" s="153"/>
      <c r="BP344" s="153"/>
      <c r="BQ344" s="153"/>
      <c r="BR344" s="153"/>
      <c r="BS344" s="153"/>
      <c r="BT344" s="153"/>
      <c r="BU344" s="153"/>
      <c r="BV344" s="153"/>
      <c r="BW344" s="153"/>
      <c r="BX344" s="153"/>
      <c r="BY344" s="153"/>
      <c r="BZ344" s="153"/>
      <c r="CA344" s="153"/>
      <c r="CB344" s="153"/>
      <c r="CC344" s="153"/>
      <c r="CD344" s="153"/>
      <c r="CE344" s="153"/>
      <c r="CF344" s="153"/>
      <c r="CG344" s="153"/>
      <c r="CH344" s="153"/>
      <c r="CI344" s="153"/>
      <c r="CJ344" s="153"/>
      <c r="CK344" s="153"/>
      <c r="CL344" s="153"/>
      <c r="CM344" s="153"/>
      <c r="CN344" s="153"/>
      <c r="CO344" s="153"/>
      <c r="CP344" s="153"/>
      <c r="CQ344" s="153"/>
      <c r="CR344" s="153"/>
      <c r="CS344" s="153"/>
      <c r="CT344" s="153"/>
      <c r="CU344" s="153"/>
      <c r="CV344" s="153"/>
      <c r="CW344" s="153"/>
      <c r="CX344" s="153"/>
      <c r="CY344" s="153"/>
      <c r="CZ344" s="153"/>
      <c r="DA344" s="153"/>
      <c r="DB344" s="153"/>
      <c r="DC344" s="153"/>
      <c r="DD344" s="153"/>
      <c r="DE344" s="153"/>
      <c r="DF344" s="153"/>
      <c r="DG344" s="153"/>
      <c r="DH344" s="153"/>
      <c r="DI344" s="153"/>
      <c r="DJ344" s="153"/>
      <c r="DK344" s="153"/>
      <c r="DL344" s="153"/>
      <c r="DM344" s="153"/>
      <c r="DN344" s="153"/>
      <c r="DO344" s="153"/>
      <c r="DP344" s="153"/>
      <c r="DQ344" s="153"/>
      <c r="DR344" s="153"/>
      <c r="DS344" s="153"/>
      <c r="DT344" s="153"/>
      <c r="DU344" s="153"/>
      <c r="DV344" s="153"/>
      <c r="DW344" s="153"/>
      <c r="DX344" s="153"/>
      <c r="DY344" s="153"/>
      <c r="DZ344" s="153"/>
      <c r="EA344" s="153"/>
      <c r="EB344" s="153"/>
      <c r="EC344" s="153"/>
      <c r="ED344" s="153"/>
      <c r="EE344" s="153"/>
      <c r="EF344" s="153"/>
      <c r="EG344" s="153"/>
      <c r="EH344" s="153"/>
      <c r="EI344" s="153"/>
      <c r="EJ344" s="153"/>
      <c r="EK344" s="153"/>
      <c r="EL344" s="153"/>
      <c r="EM344" s="153"/>
    </row>
    <row r="345" spans="1:143" s="107" customFormat="1" ht="10.5" hidden="1" customHeight="1" outlineLevel="2">
      <c r="A345" s="1548">
        <v>320</v>
      </c>
      <c r="B345" s="1560" t="str">
        <f t="shared" si="6"/>
        <v/>
      </c>
      <c r="C345" s="161" t="str">
        <f>GasTime(GasAnalyser,'Horiba Data'!F338,'Horiba Data'!G338,'Testo, JUM &amp; MRU Data'!A339,'Thermo Data'!B338,HourOffset)</f>
        <v/>
      </c>
      <c r="D345" s="981" t="str">
        <f>IF(D$17=FALSE,"",GasData(GasAnalyser,'Horiba Data'!S338,'Testo, JUM &amp; MRU Data'!D339,'Thermo Data'!E338,'Testo, JUM &amp; MRU Data'!U339,GDF))</f>
        <v/>
      </c>
      <c r="E345" s="981" t="str">
        <f>IF(D345="","",Conc2(D345,D$9,MolVol,D$21,D$20,E$21,E$20))</f>
        <v/>
      </c>
      <c r="F345" s="981" t="str">
        <f>IF(F$17=FALSE,"",GasData(GasAnalyser,'Horiba Data'!AQ338,'Testo, JUM &amp; MRU Data'!E339,'Thermo Data'!F338,'Testo, JUM &amp; MRU Data'!V339,GDF))</f>
        <v/>
      </c>
      <c r="G345" s="981" t="str">
        <f>IF(F345="","",Conc2(F345,F$9,MolVol,F$21,F$20,G$21,G$20))</f>
        <v/>
      </c>
      <c r="H345" s="981" t="str">
        <f>IF(D$17=FALSE,"",IF(F$17=FALSE,"",GasData(GasAnalyser,'Horiba Data'!W338,'Testo, JUM &amp; MRU Data'!F339,'Thermo Data'!G338,'Testo, JUM &amp; MRU Data'!Y339,GDF)))</f>
        <v/>
      </c>
      <c r="I345" s="981" t="str">
        <f>IF(H345="","",Conc2(H345,H$9,MolVol,H$21,H$20,I$21,I$20))</f>
        <v/>
      </c>
      <c r="J345" s="981" t="str">
        <f>IF(J$17=FALSE,"",GasData(GasAnalyser,'Horiba Data'!AM338,'Testo, JUM &amp; MRU Data'!G339,'Thermo Data'!H338,'Testo, JUM &amp; MRU Data'!W339,GDF))</f>
        <v/>
      </c>
      <c r="K345" s="981" t="str">
        <f>IF(J345="","",Conc2(J345,J$9,MolVol,J$21,J$20,K$21,K$20))</f>
        <v/>
      </c>
      <c r="L345" s="981" t="str">
        <f>IF(L$17=FALSE,"",GasData(GasAnalyser,'Horiba Data'!AA338,'Testo, JUM &amp; MRU Data'!H339,'Thermo Data'!I338,'Testo, JUM &amp; MRU Data'!T339,GDF))</f>
        <v/>
      </c>
      <c r="M345" s="981" t="str">
        <f>IF(L345="","",Conc2(L345,L$9,MolVol,L$21,L$20,M$21,M$20))</f>
        <v/>
      </c>
      <c r="N345" s="981" t="str">
        <f>IF(N$17=FALSE,"",GasData(GasAnalyser,'Horiba Data'!AE338,'Testo, JUM &amp; MRU Data'!I339,'Thermo Data'!J338,'Testo, JUM &amp; MRU Data'!S339,GDF))</f>
        <v/>
      </c>
      <c r="O345" s="981" t="str">
        <f>IF(N345="","",Conc2(N345,N$9,MolVol,N$21,N$20,O$21,O$20))</f>
        <v/>
      </c>
      <c r="P345" s="981" t="str">
        <f>IF(P$17=FALSE,"",GasData(GasAnalyser,'Horiba Data'!AI338,'Testo, JUM &amp; MRU Data'!J339,'Thermo Data'!K338,'Testo, JUM &amp; MRU Data'!R339,GDF))</f>
        <v/>
      </c>
      <c r="Q345" s="981" t="str">
        <f>IF(P345="","",Conc2(P345,P$9,MolVol,P$21,P$20,Q$21,Q$20))</f>
        <v/>
      </c>
      <c r="R345" s="981" t="str">
        <f>IF(R$17=FALSE,"",JUMData('Testo, JUM &amp; MRU Data'!M339,$R$7))</f>
        <v/>
      </c>
      <c r="S345" s="982" t="str">
        <f>IF(R345="","",Conc2(R345,R$9,MolVol,R$21,R$20,S$21,S$20)/(1-Bws))</f>
        <v/>
      </c>
      <c r="T345" s="740"/>
      <c r="AR345" s="334"/>
      <c r="AS345" s="334"/>
      <c r="AT345" s="48"/>
      <c r="AU345" s="48"/>
      <c r="AV345" s="153"/>
      <c r="AW345" s="153"/>
      <c r="AX345" s="153"/>
      <c r="AY345" s="153"/>
      <c r="AZ345" s="153"/>
      <c r="BA345" s="153"/>
      <c r="BB345" s="153"/>
      <c r="BC345" s="153"/>
      <c r="BD345" s="153"/>
      <c r="BE345" s="153"/>
      <c r="BF345" s="153"/>
      <c r="BG345" s="153"/>
      <c r="BH345" s="153"/>
      <c r="BI345" s="153"/>
      <c r="BJ345" s="153"/>
      <c r="BK345" s="153"/>
      <c r="BL345" s="153"/>
      <c r="BM345" s="153"/>
      <c r="BN345" s="153"/>
      <c r="BO345" s="153"/>
      <c r="BP345" s="153"/>
      <c r="BQ345" s="153"/>
      <c r="BR345" s="153"/>
      <c r="BS345" s="153"/>
      <c r="BT345" s="153"/>
      <c r="BU345" s="153"/>
      <c r="BV345" s="153"/>
      <c r="BW345" s="153"/>
      <c r="BX345" s="153"/>
      <c r="BY345" s="153"/>
      <c r="BZ345" s="153"/>
      <c r="CA345" s="153"/>
      <c r="CB345" s="153"/>
      <c r="CC345" s="153"/>
      <c r="CD345" s="153"/>
      <c r="CE345" s="153"/>
      <c r="CF345" s="153"/>
      <c r="CG345" s="153"/>
      <c r="CH345" s="153"/>
      <c r="CI345" s="153"/>
      <c r="CJ345" s="153"/>
      <c r="CK345" s="153"/>
      <c r="CL345" s="153"/>
      <c r="CM345" s="153"/>
      <c r="CN345" s="153"/>
      <c r="CO345" s="153"/>
      <c r="CP345" s="153"/>
      <c r="CQ345" s="153"/>
      <c r="CR345" s="153"/>
      <c r="CS345" s="153"/>
      <c r="CT345" s="153"/>
      <c r="CU345" s="153"/>
      <c r="CV345" s="153"/>
      <c r="CW345" s="153"/>
      <c r="CX345" s="153"/>
      <c r="CY345" s="153"/>
      <c r="CZ345" s="153"/>
      <c r="DA345" s="153"/>
      <c r="DB345" s="153"/>
      <c r="DC345" s="153"/>
      <c r="DD345" s="153"/>
      <c r="DE345" s="153"/>
      <c r="DF345" s="153"/>
      <c r="DG345" s="153"/>
      <c r="DH345" s="153"/>
      <c r="DI345" s="153"/>
      <c r="DJ345" s="153"/>
      <c r="DK345" s="153"/>
      <c r="DL345" s="153"/>
      <c r="DM345" s="153"/>
      <c r="DN345" s="153"/>
      <c r="DO345" s="153"/>
      <c r="DP345" s="153"/>
      <c r="DQ345" s="153"/>
      <c r="DR345" s="153"/>
      <c r="DS345" s="153"/>
      <c r="DT345" s="153"/>
      <c r="DU345" s="153"/>
      <c r="DV345" s="153"/>
      <c r="DW345" s="153"/>
      <c r="DX345" s="153"/>
      <c r="DY345" s="153"/>
      <c r="DZ345" s="153"/>
      <c r="EA345" s="153"/>
      <c r="EB345" s="153"/>
      <c r="EC345" s="153"/>
      <c r="ED345" s="153"/>
      <c r="EE345" s="153"/>
      <c r="EF345" s="153"/>
      <c r="EG345" s="153"/>
      <c r="EH345" s="153"/>
      <c r="EI345" s="153"/>
      <c r="EJ345" s="153"/>
      <c r="EK345" s="153"/>
      <c r="EL345" s="153"/>
      <c r="EM345" s="153"/>
    </row>
    <row r="346" spans="1:143" s="107" customFormat="1" ht="10.5" hidden="1" customHeight="1" outlineLevel="2">
      <c r="A346" s="1548">
        <v>321</v>
      </c>
      <c r="B346" s="1560" t="str">
        <f t="shared" si="6"/>
        <v/>
      </c>
      <c r="C346" s="161" t="str">
        <f>GasTime(GasAnalyser,'Horiba Data'!F339,'Horiba Data'!G339,'Testo, JUM &amp; MRU Data'!A340,'Thermo Data'!B339,HourOffset)</f>
        <v/>
      </c>
      <c r="D346" s="981" t="str">
        <f>IF(D$17=FALSE,"",GasData(GasAnalyser,'Horiba Data'!S339,'Testo, JUM &amp; MRU Data'!D340,'Thermo Data'!E339,'Testo, JUM &amp; MRU Data'!U340,GDF))</f>
        <v/>
      </c>
      <c r="E346" s="981" t="str">
        <f>IF(D346="","",Conc2(D346,D$9,MolVol,D$21,D$20,E$21,E$20))</f>
        <v/>
      </c>
      <c r="F346" s="981" t="str">
        <f>IF(F$17=FALSE,"",GasData(GasAnalyser,'Horiba Data'!AQ339,'Testo, JUM &amp; MRU Data'!E340,'Thermo Data'!F339,'Testo, JUM &amp; MRU Data'!V340,GDF))</f>
        <v/>
      </c>
      <c r="G346" s="981" t="str">
        <f>IF(F346="","",Conc2(F346,F$9,MolVol,F$21,F$20,G$21,G$20))</f>
        <v/>
      </c>
      <c r="H346" s="981" t="str">
        <f>IF(D$17=FALSE,"",IF(F$17=FALSE,"",GasData(GasAnalyser,'Horiba Data'!W339,'Testo, JUM &amp; MRU Data'!F340,'Thermo Data'!G339,'Testo, JUM &amp; MRU Data'!Y340,GDF)))</f>
        <v/>
      </c>
      <c r="I346" s="981" t="str">
        <f>IF(H346="","",Conc2(H346,H$9,MolVol,H$21,H$20,I$21,I$20))</f>
        <v/>
      </c>
      <c r="J346" s="981" t="str">
        <f>IF(J$17=FALSE,"",GasData(GasAnalyser,'Horiba Data'!AM339,'Testo, JUM &amp; MRU Data'!G340,'Thermo Data'!H339,'Testo, JUM &amp; MRU Data'!W340,GDF))</f>
        <v/>
      </c>
      <c r="K346" s="981" t="str">
        <f>IF(J346="","",Conc2(J346,J$9,MolVol,J$21,J$20,K$21,K$20))</f>
        <v/>
      </c>
      <c r="L346" s="981" t="str">
        <f>IF(L$17=FALSE,"",GasData(GasAnalyser,'Horiba Data'!AA339,'Testo, JUM &amp; MRU Data'!H340,'Thermo Data'!I339,'Testo, JUM &amp; MRU Data'!T340,GDF))</f>
        <v/>
      </c>
      <c r="M346" s="981" t="str">
        <f>IF(L346="","",Conc2(L346,L$9,MolVol,L$21,L$20,M$21,M$20))</f>
        <v/>
      </c>
      <c r="N346" s="981" t="str">
        <f>IF(N$17=FALSE,"",GasData(GasAnalyser,'Horiba Data'!AE339,'Testo, JUM &amp; MRU Data'!I340,'Thermo Data'!J339,'Testo, JUM &amp; MRU Data'!S340,GDF))</f>
        <v/>
      </c>
      <c r="O346" s="981" t="str">
        <f>IF(N346="","",Conc2(N346,N$9,MolVol,N$21,N$20,O$21,O$20))</f>
        <v/>
      </c>
      <c r="P346" s="981" t="str">
        <f>IF(P$17=FALSE,"",GasData(GasAnalyser,'Horiba Data'!AI339,'Testo, JUM &amp; MRU Data'!J340,'Thermo Data'!K339,'Testo, JUM &amp; MRU Data'!R340,GDF))</f>
        <v/>
      </c>
      <c r="Q346" s="981" t="str">
        <f>IF(P346="","",Conc2(P346,P$9,MolVol,P$21,P$20,Q$21,Q$20))</f>
        <v/>
      </c>
      <c r="R346" s="981" t="str">
        <f>IF(R$17=FALSE,"",JUMData('Testo, JUM &amp; MRU Data'!M340,$R$7))</f>
        <v/>
      </c>
      <c r="S346" s="982" t="str">
        <f>IF(R346="","",Conc2(R346,R$9,MolVol,R$21,R$20,S$21,S$20)/(1-Bws))</f>
        <v/>
      </c>
      <c r="T346" s="740"/>
      <c r="AR346" s="334"/>
      <c r="AS346" s="334"/>
      <c r="AT346" s="48"/>
      <c r="AU346" s="48"/>
      <c r="AV346" s="153"/>
      <c r="AW346" s="153"/>
      <c r="AX346" s="153"/>
      <c r="AY346" s="153"/>
      <c r="AZ346" s="153"/>
      <c r="BA346" s="153"/>
      <c r="BB346" s="153"/>
      <c r="BC346" s="153"/>
      <c r="BD346" s="153"/>
      <c r="BE346" s="153"/>
      <c r="BF346" s="153"/>
      <c r="BG346" s="153"/>
      <c r="BH346" s="153"/>
      <c r="BI346" s="153"/>
      <c r="BJ346" s="153"/>
      <c r="BK346" s="153"/>
      <c r="BL346" s="153"/>
      <c r="BM346" s="153"/>
      <c r="BN346" s="153"/>
      <c r="BO346" s="153"/>
      <c r="BP346" s="153"/>
      <c r="BQ346" s="153"/>
      <c r="BR346" s="153"/>
      <c r="BS346" s="153"/>
      <c r="BT346" s="153"/>
      <c r="BU346" s="153"/>
      <c r="BV346" s="153"/>
      <c r="BW346" s="153"/>
      <c r="BX346" s="153"/>
      <c r="BY346" s="153"/>
      <c r="BZ346" s="153"/>
      <c r="CA346" s="153"/>
      <c r="CB346" s="153"/>
      <c r="CC346" s="153"/>
      <c r="CD346" s="153"/>
      <c r="CE346" s="153"/>
      <c r="CF346" s="153"/>
      <c r="CG346" s="153"/>
      <c r="CH346" s="153"/>
      <c r="CI346" s="153"/>
      <c r="CJ346" s="153"/>
      <c r="CK346" s="153"/>
      <c r="CL346" s="153"/>
      <c r="CM346" s="153"/>
      <c r="CN346" s="153"/>
      <c r="CO346" s="153"/>
      <c r="CP346" s="153"/>
      <c r="CQ346" s="153"/>
      <c r="CR346" s="153"/>
      <c r="CS346" s="153"/>
      <c r="CT346" s="153"/>
      <c r="CU346" s="153"/>
      <c r="CV346" s="153"/>
      <c r="CW346" s="153"/>
      <c r="CX346" s="153"/>
      <c r="CY346" s="153"/>
      <c r="CZ346" s="153"/>
      <c r="DA346" s="153"/>
      <c r="DB346" s="153"/>
      <c r="DC346" s="153"/>
      <c r="DD346" s="153"/>
      <c r="DE346" s="153"/>
      <c r="DF346" s="153"/>
      <c r="DG346" s="153"/>
      <c r="DH346" s="153"/>
      <c r="DI346" s="153"/>
      <c r="DJ346" s="153"/>
      <c r="DK346" s="153"/>
      <c r="DL346" s="153"/>
      <c r="DM346" s="153"/>
      <c r="DN346" s="153"/>
      <c r="DO346" s="153"/>
      <c r="DP346" s="153"/>
      <c r="DQ346" s="153"/>
      <c r="DR346" s="153"/>
      <c r="DS346" s="153"/>
      <c r="DT346" s="153"/>
      <c r="DU346" s="153"/>
      <c r="DV346" s="153"/>
      <c r="DW346" s="153"/>
      <c r="DX346" s="153"/>
      <c r="DY346" s="153"/>
      <c r="DZ346" s="153"/>
      <c r="EA346" s="153"/>
      <c r="EB346" s="153"/>
      <c r="EC346" s="153"/>
      <c r="ED346" s="153"/>
      <c r="EE346" s="153"/>
      <c r="EF346" s="153"/>
      <c r="EG346" s="153"/>
      <c r="EH346" s="153"/>
      <c r="EI346" s="153"/>
      <c r="EJ346" s="153"/>
      <c r="EK346" s="153"/>
      <c r="EL346" s="153"/>
      <c r="EM346" s="153"/>
    </row>
    <row r="347" spans="1:143" s="107" customFormat="1" ht="10.5" hidden="1" customHeight="1" outlineLevel="2">
      <c r="A347" s="1548">
        <v>322</v>
      </c>
      <c r="B347" s="1560" t="str">
        <f t="shared" ref="B347:B410" si="7">IF(C347="","",VALUE(C347))</f>
        <v/>
      </c>
      <c r="C347" s="161" t="str">
        <f>GasTime(GasAnalyser,'Horiba Data'!F340,'Horiba Data'!G340,'Testo, JUM &amp; MRU Data'!A341,'Thermo Data'!B340,HourOffset)</f>
        <v/>
      </c>
      <c r="D347" s="981" t="str">
        <f>IF(D$17=FALSE,"",GasData(GasAnalyser,'Horiba Data'!S340,'Testo, JUM &amp; MRU Data'!D341,'Thermo Data'!E340,'Testo, JUM &amp; MRU Data'!U341,GDF))</f>
        <v/>
      </c>
      <c r="E347" s="981" t="str">
        <f>IF(D347="","",Conc2(D347,D$9,MolVol,D$21,D$20,E$21,E$20))</f>
        <v/>
      </c>
      <c r="F347" s="981" t="str">
        <f>IF(F$17=FALSE,"",GasData(GasAnalyser,'Horiba Data'!AQ340,'Testo, JUM &amp; MRU Data'!E341,'Thermo Data'!F340,'Testo, JUM &amp; MRU Data'!V341,GDF))</f>
        <v/>
      </c>
      <c r="G347" s="981" t="str">
        <f>IF(F347="","",Conc2(F347,F$9,MolVol,F$21,F$20,G$21,G$20))</f>
        <v/>
      </c>
      <c r="H347" s="981" t="str">
        <f>IF(D$17=FALSE,"",IF(F$17=FALSE,"",GasData(GasAnalyser,'Horiba Data'!W340,'Testo, JUM &amp; MRU Data'!F341,'Thermo Data'!G340,'Testo, JUM &amp; MRU Data'!Y341,GDF)))</f>
        <v/>
      </c>
      <c r="I347" s="981" t="str">
        <f>IF(H347="","",Conc2(H347,H$9,MolVol,H$21,H$20,I$21,I$20))</f>
        <v/>
      </c>
      <c r="J347" s="981" t="str">
        <f>IF(J$17=FALSE,"",GasData(GasAnalyser,'Horiba Data'!AM340,'Testo, JUM &amp; MRU Data'!G341,'Thermo Data'!H340,'Testo, JUM &amp; MRU Data'!W341,GDF))</f>
        <v/>
      </c>
      <c r="K347" s="981" t="str">
        <f>IF(J347="","",Conc2(J347,J$9,MolVol,J$21,J$20,K$21,K$20))</f>
        <v/>
      </c>
      <c r="L347" s="981" t="str">
        <f>IF(L$17=FALSE,"",GasData(GasAnalyser,'Horiba Data'!AA340,'Testo, JUM &amp; MRU Data'!H341,'Thermo Data'!I340,'Testo, JUM &amp; MRU Data'!T341,GDF))</f>
        <v/>
      </c>
      <c r="M347" s="981" t="str">
        <f>IF(L347="","",Conc2(L347,L$9,MolVol,L$21,L$20,M$21,M$20))</f>
        <v/>
      </c>
      <c r="N347" s="981" t="str">
        <f>IF(N$17=FALSE,"",GasData(GasAnalyser,'Horiba Data'!AE340,'Testo, JUM &amp; MRU Data'!I341,'Thermo Data'!J340,'Testo, JUM &amp; MRU Data'!S341,GDF))</f>
        <v/>
      </c>
      <c r="O347" s="981" t="str">
        <f>IF(N347="","",Conc2(N347,N$9,MolVol,N$21,N$20,O$21,O$20))</f>
        <v/>
      </c>
      <c r="P347" s="981" t="str">
        <f>IF(P$17=FALSE,"",GasData(GasAnalyser,'Horiba Data'!AI340,'Testo, JUM &amp; MRU Data'!J341,'Thermo Data'!K340,'Testo, JUM &amp; MRU Data'!R341,GDF))</f>
        <v/>
      </c>
      <c r="Q347" s="981" t="str">
        <f>IF(P347="","",Conc2(P347,P$9,MolVol,P$21,P$20,Q$21,Q$20))</f>
        <v/>
      </c>
      <c r="R347" s="981" t="str">
        <f>IF(R$17=FALSE,"",JUMData('Testo, JUM &amp; MRU Data'!M341,$R$7))</f>
        <v/>
      </c>
      <c r="S347" s="982" t="str">
        <f>IF(R347="","",Conc2(R347,R$9,MolVol,R$21,R$20,S$21,S$20)/(1-Bws))</f>
        <v/>
      </c>
      <c r="T347" s="740"/>
      <c r="AR347" s="334"/>
      <c r="AS347" s="334"/>
      <c r="AT347" s="48"/>
      <c r="AU347" s="48"/>
      <c r="AV347" s="153"/>
      <c r="AW347" s="153"/>
      <c r="AX347" s="153"/>
      <c r="AY347" s="153"/>
      <c r="AZ347" s="153"/>
      <c r="BA347" s="153"/>
      <c r="BB347" s="153"/>
      <c r="BC347" s="153"/>
      <c r="BD347" s="153"/>
      <c r="BE347" s="153"/>
      <c r="BF347" s="153"/>
      <c r="BG347" s="153"/>
      <c r="BH347" s="153"/>
      <c r="BI347" s="153"/>
      <c r="BJ347" s="153"/>
      <c r="BK347" s="153"/>
      <c r="BL347" s="153"/>
      <c r="BM347" s="153"/>
      <c r="BN347" s="153"/>
      <c r="BO347" s="153"/>
      <c r="BP347" s="153"/>
      <c r="BQ347" s="153"/>
      <c r="BR347" s="153"/>
      <c r="BS347" s="153"/>
      <c r="BT347" s="153"/>
      <c r="BU347" s="153"/>
      <c r="BV347" s="153"/>
      <c r="BW347" s="153"/>
      <c r="BX347" s="153"/>
      <c r="BY347" s="153"/>
      <c r="BZ347" s="153"/>
      <c r="CA347" s="153"/>
      <c r="CB347" s="153"/>
      <c r="CC347" s="153"/>
      <c r="CD347" s="153"/>
      <c r="CE347" s="153"/>
      <c r="CF347" s="153"/>
      <c r="CG347" s="153"/>
      <c r="CH347" s="153"/>
      <c r="CI347" s="153"/>
      <c r="CJ347" s="153"/>
      <c r="CK347" s="153"/>
      <c r="CL347" s="153"/>
      <c r="CM347" s="153"/>
      <c r="CN347" s="153"/>
      <c r="CO347" s="153"/>
      <c r="CP347" s="153"/>
      <c r="CQ347" s="153"/>
      <c r="CR347" s="153"/>
      <c r="CS347" s="153"/>
      <c r="CT347" s="153"/>
      <c r="CU347" s="153"/>
      <c r="CV347" s="153"/>
      <c r="CW347" s="153"/>
      <c r="CX347" s="153"/>
      <c r="CY347" s="153"/>
      <c r="CZ347" s="153"/>
      <c r="DA347" s="153"/>
      <c r="DB347" s="153"/>
      <c r="DC347" s="153"/>
      <c r="DD347" s="153"/>
      <c r="DE347" s="153"/>
      <c r="DF347" s="153"/>
      <c r="DG347" s="153"/>
      <c r="DH347" s="153"/>
      <c r="DI347" s="153"/>
      <c r="DJ347" s="153"/>
      <c r="DK347" s="153"/>
      <c r="DL347" s="153"/>
      <c r="DM347" s="153"/>
      <c r="DN347" s="153"/>
      <c r="DO347" s="153"/>
      <c r="DP347" s="153"/>
      <c r="DQ347" s="153"/>
      <c r="DR347" s="153"/>
      <c r="DS347" s="153"/>
      <c r="DT347" s="153"/>
      <c r="DU347" s="153"/>
      <c r="DV347" s="153"/>
      <c r="DW347" s="153"/>
      <c r="DX347" s="153"/>
      <c r="DY347" s="153"/>
      <c r="DZ347" s="153"/>
      <c r="EA347" s="153"/>
      <c r="EB347" s="153"/>
      <c r="EC347" s="153"/>
      <c r="ED347" s="153"/>
      <c r="EE347" s="153"/>
      <c r="EF347" s="153"/>
      <c r="EG347" s="153"/>
      <c r="EH347" s="153"/>
      <c r="EI347" s="153"/>
      <c r="EJ347" s="153"/>
      <c r="EK347" s="153"/>
      <c r="EL347" s="153"/>
      <c r="EM347" s="153"/>
    </row>
    <row r="348" spans="1:143" s="107" customFormat="1" ht="10.5" hidden="1" customHeight="1" outlineLevel="2">
      <c r="A348" s="1548">
        <v>323</v>
      </c>
      <c r="B348" s="1560" t="str">
        <f t="shared" si="7"/>
        <v/>
      </c>
      <c r="C348" s="161" t="str">
        <f>GasTime(GasAnalyser,'Horiba Data'!F341,'Horiba Data'!G341,'Testo, JUM &amp; MRU Data'!A342,'Thermo Data'!B341,HourOffset)</f>
        <v/>
      </c>
      <c r="D348" s="981" t="str">
        <f>IF(D$17=FALSE,"",GasData(GasAnalyser,'Horiba Data'!S341,'Testo, JUM &amp; MRU Data'!D342,'Thermo Data'!E341,'Testo, JUM &amp; MRU Data'!U342,GDF))</f>
        <v/>
      </c>
      <c r="E348" s="981" t="str">
        <f>IF(D348="","",Conc2(D348,D$9,MolVol,D$21,D$20,E$21,E$20))</f>
        <v/>
      </c>
      <c r="F348" s="981" t="str">
        <f>IF(F$17=FALSE,"",GasData(GasAnalyser,'Horiba Data'!AQ341,'Testo, JUM &amp; MRU Data'!E342,'Thermo Data'!F341,'Testo, JUM &amp; MRU Data'!V342,GDF))</f>
        <v/>
      </c>
      <c r="G348" s="981" t="str">
        <f>IF(F348="","",Conc2(F348,F$9,MolVol,F$21,F$20,G$21,G$20))</f>
        <v/>
      </c>
      <c r="H348" s="981" t="str">
        <f>IF(D$17=FALSE,"",IF(F$17=FALSE,"",GasData(GasAnalyser,'Horiba Data'!W341,'Testo, JUM &amp; MRU Data'!F342,'Thermo Data'!G341,'Testo, JUM &amp; MRU Data'!Y342,GDF)))</f>
        <v/>
      </c>
      <c r="I348" s="981" t="str">
        <f>IF(H348="","",Conc2(H348,H$9,MolVol,H$21,H$20,I$21,I$20))</f>
        <v/>
      </c>
      <c r="J348" s="981" t="str">
        <f>IF(J$17=FALSE,"",GasData(GasAnalyser,'Horiba Data'!AM341,'Testo, JUM &amp; MRU Data'!G342,'Thermo Data'!H341,'Testo, JUM &amp; MRU Data'!W342,GDF))</f>
        <v/>
      </c>
      <c r="K348" s="981" t="str">
        <f>IF(J348="","",Conc2(J348,J$9,MolVol,J$21,J$20,K$21,K$20))</f>
        <v/>
      </c>
      <c r="L348" s="981" t="str">
        <f>IF(L$17=FALSE,"",GasData(GasAnalyser,'Horiba Data'!AA341,'Testo, JUM &amp; MRU Data'!H342,'Thermo Data'!I341,'Testo, JUM &amp; MRU Data'!T342,GDF))</f>
        <v/>
      </c>
      <c r="M348" s="981" t="str">
        <f>IF(L348="","",Conc2(L348,L$9,MolVol,L$21,L$20,M$21,M$20))</f>
        <v/>
      </c>
      <c r="N348" s="981" t="str">
        <f>IF(N$17=FALSE,"",GasData(GasAnalyser,'Horiba Data'!AE341,'Testo, JUM &amp; MRU Data'!I342,'Thermo Data'!J341,'Testo, JUM &amp; MRU Data'!S342,GDF))</f>
        <v/>
      </c>
      <c r="O348" s="981" t="str">
        <f>IF(N348="","",Conc2(N348,N$9,MolVol,N$21,N$20,O$21,O$20))</f>
        <v/>
      </c>
      <c r="P348" s="981" t="str">
        <f>IF(P$17=FALSE,"",GasData(GasAnalyser,'Horiba Data'!AI341,'Testo, JUM &amp; MRU Data'!J342,'Thermo Data'!K341,'Testo, JUM &amp; MRU Data'!R342,GDF))</f>
        <v/>
      </c>
      <c r="Q348" s="981" t="str">
        <f>IF(P348="","",Conc2(P348,P$9,MolVol,P$21,P$20,Q$21,Q$20))</f>
        <v/>
      </c>
      <c r="R348" s="981" t="str">
        <f>IF(R$17=FALSE,"",JUMData('Testo, JUM &amp; MRU Data'!M342,$R$7))</f>
        <v/>
      </c>
      <c r="S348" s="982" t="str">
        <f>IF(R348="","",Conc2(R348,R$9,MolVol,R$21,R$20,S$21,S$20)/(1-Bws))</f>
        <v/>
      </c>
      <c r="T348" s="740"/>
      <c r="AR348" s="334"/>
      <c r="AS348" s="334"/>
      <c r="AT348" s="48"/>
      <c r="AU348" s="48"/>
      <c r="AV348" s="153"/>
      <c r="AW348" s="153"/>
      <c r="AX348" s="153"/>
      <c r="AY348" s="153"/>
      <c r="AZ348" s="153"/>
      <c r="BA348" s="153"/>
      <c r="BB348" s="153"/>
      <c r="BC348" s="153"/>
      <c r="BD348" s="153"/>
      <c r="BE348" s="153"/>
      <c r="BF348" s="153"/>
      <c r="BG348" s="153"/>
      <c r="BH348" s="153"/>
      <c r="BI348" s="153"/>
      <c r="BJ348" s="153"/>
      <c r="BK348" s="153"/>
      <c r="BL348" s="153"/>
      <c r="BM348" s="153"/>
      <c r="BN348" s="153"/>
      <c r="BO348" s="153"/>
      <c r="BP348" s="153"/>
      <c r="BQ348" s="153"/>
      <c r="BR348" s="153"/>
      <c r="BS348" s="153"/>
      <c r="BT348" s="153"/>
      <c r="BU348" s="153"/>
      <c r="BV348" s="153"/>
      <c r="BW348" s="153"/>
      <c r="BX348" s="153"/>
      <c r="BY348" s="153"/>
      <c r="BZ348" s="153"/>
      <c r="CA348" s="153"/>
      <c r="CB348" s="153"/>
      <c r="CC348" s="153"/>
      <c r="CD348" s="153"/>
      <c r="CE348" s="153"/>
      <c r="CF348" s="153"/>
      <c r="CG348" s="153"/>
      <c r="CH348" s="153"/>
      <c r="CI348" s="153"/>
      <c r="CJ348" s="153"/>
      <c r="CK348" s="153"/>
      <c r="CL348" s="153"/>
      <c r="CM348" s="153"/>
      <c r="CN348" s="153"/>
      <c r="CO348" s="153"/>
      <c r="CP348" s="153"/>
      <c r="CQ348" s="153"/>
      <c r="CR348" s="153"/>
      <c r="CS348" s="153"/>
      <c r="CT348" s="153"/>
      <c r="CU348" s="153"/>
      <c r="CV348" s="153"/>
      <c r="CW348" s="153"/>
      <c r="CX348" s="153"/>
      <c r="CY348" s="153"/>
      <c r="CZ348" s="153"/>
      <c r="DA348" s="153"/>
      <c r="DB348" s="153"/>
      <c r="DC348" s="153"/>
      <c r="DD348" s="153"/>
      <c r="DE348" s="153"/>
      <c r="DF348" s="153"/>
      <c r="DG348" s="153"/>
      <c r="DH348" s="153"/>
      <c r="DI348" s="153"/>
      <c r="DJ348" s="153"/>
      <c r="DK348" s="153"/>
      <c r="DL348" s="153"/>
      <c r="DM348" s="153"/>
      <c r="DN348" s="153"/>
      <c r="DO348" s="153"/>
      <c r="DP348" s="153"/>
      <c r="DQ348" s="153"/>
      <c r="DR348" s="153"/>
      <c r="DS348" s="153"/>
      <c r="DT348" s="153"/>
      <c r="DU348" s="153"/>
      <c r="DV348" s="153"/>
      <c r="DW348" s="153"/>
      <c r="DX348" s="153"/>
      <c r="DY348" s="153"/>
      <c r="DZ348" s="153"/>
      <c r="EA348" s="153"/>
      <c r="EB348" s="153"/>
      <c r="EC348" s="153"/>
      <c r="ED348" s="153"/>
      <c r="EE348" s="153"/>
      <c r="EF348" s="153"/>
      <c r="EG348" s="153"/>
      <c r="EH348" s="153"/>
      <c r="EI348" s="153"/>
      <c r="EJ348" s="153"/>
      <c r="EK348" s="153"/>
      <c r="EL348" s="153"/>
      <c r="EM348" s="153"/>
    </row>
    <row r="349" spans="1:143" s="107" customFormat="1" ht="10.5" hidden="1" customHeight="1" outlineLevel="2">
      <c r="A349" s="1548">
        <v>324</v>
      </c>
      <c r="B349" s="1560" t="str">
        <f t="shared" si="7"/>
        <v/>
      </c>
      <c r="C349" s="161" t="str">
        <f>GasTime(GasAnalyser,'Horiba Data'!F342,'Horiba Data'!G342,'Testo, JUM &amp; MRU Data'!A343,'Thermo Data'!B342,HourOffset)</f>
        <v/>
      </c>
      <c r="D349" s="981" t="str">
        <f>IF(D$17=FALSE,"",GasData(GasAnalyser,'Horiba Data'!S342,'Testo, JUM &amp; MRU Data'!D343,'Thermo Data'!E342,'Testo, JUM &amp; MRU Data'!U343,GDF))</f>
        <v/>
      </c>
      <c r="E349" s="981" t="str">
        <f>IF(D349="","",Conc2(D349,D$9,MolVol,D$21,D$20,E$21,E$20))</f>
        <v/>
      </c>
      <c r="F349" s="981" t="str">
        <f>IF(F$17=FALSE,"",GasData(GasAnalyser,'Horiba Data'!AQ342,'Testo, JUM &amp; MRU Data'!E343,'Thermo Data'!F342,'Testo, JUM &amp; MRU Data'!V343,GDF))</f>
        <v/>
      </c>
      <c r="G349" s="981" t="str">
        <f>IF(F349="","",Conc2(F349,F$9,MolVol,F$21,F$20,G$21,G$20))</f>
        <v/>
      </c>
      <c r="H349" s="981" t="str">
        <f>IF(D$17=FALSE,"",IF(F$17=FALSE,"",GasData(GasAnalyser,'Horiba Data'!W342,'Testo, JUM &amp; MRU Data'!F343,'Thermo Data'!G342,'Testo, JUM &amp; MRU Data'!Y343,GDF)))</f>
        <v/>
      </c>
      <c r="I349" s="981" t="str">
        <f>IF(H349="","",Conc2(H349,H$9,MolVol,H$21,H$20,I$21,I$20))</f>
        <v/>
      </c>
      <c r="J349" s="981" t="str">
        <f>IF(J$17=FALSE,"",GasData(GasAnalyser,'Horiba Data'!AM342,'Testo, JUM &amp; MRU Data'!G343,'Thermo Data'!H342,'Testo, JUM &amp; MRU Data'!W343,GDF))</f>
        <v/>
      </c>
      <c r="K349" s="981" t="str">
        <f>IF(J349="","",Conc2(J349,J$9,MolVol,J$21,J$20,K$21,K$20))</f>
        <v/>
      </c>
      <c r="L349" s="981" t="str">
        <f>IF(L$17=FALSE,"",GasData(GasAnalyser,'Horiba Data'!AA342,'Testo, JUM &amp; MRU Data'!H343,'Thermo Data'!I342,'Testo, JUM &amp; MRU Data'!T343,GDF))</f>
        <v/>
      </c>
      <c r="M349" s="981" t="str">
        <f>IF(L349="","",Conc2(L349,L$9,MolVol,L$21,L$20,M$21,M$20))</f>
        <v/>
      </c>
      <c r="N349" s="981" t="str">
        <f>IF(N$17=FALSE,"",GasData(GasAnalyser,'Horiba Data'!AE342,'Testo, JUM &amp; MRU Data'!I343,'Thermo Data'!J342,'Testo, JUM &amp; MRU Data'!S343,GDF))</f>
        <v/>
      </c>
      <c r="O349" s="981" t="str">
        <f>IF(N349="","",Conc2(N349,N$9,MolVol,N$21,N$20,O$21,O$20))</f>
        <v/>
      </c>
      <c r="P349" s="981" t="str">
        <f>IF(P$17=FALSE,"",GasData(GasAnalyser,'Horiba Data'!AI342,'Testo, JUM &amp; MRU Data'!J343,'Thermo Data'!K342,'Testo, JUM &amp; MRU Data'!R343,GDF))</f>
        <v/>
      </c>
      <c r="Q349" s="981" t="str">
        <f>IF(P349="","",Conc2(P349,P$9,MolVol,P$21,P$20,Q$21,Q$20))</f>
        <v/>
      </c>
      <c r="R349" s="981" t="str">
        <f>IF(R$17=FALSE,"",JUMData('Testo, JUM &amp; MRU Data'!M343,$R$7))</f>
        <v/>
      </c>
      <c r="S349" s="982" t="str">
        <f>IF(R349="","",Conc2(R349,R$9,MolVol,R$21,R$20,S$21,S$20)/(1-Bws))</f>
        <v/>
      </c>
      <c r="T349" s="740"/>
      <c r="AR349" s="334"/>
      <c r="AS349" s="334"/>
      <c r="AT349" s="48"/>
      <c r="AU349" s="48"/>
      <c r="AV349" s="153"/>
      <c r="AW349" s="153"/>
      <c r="AX349" s="153"/>
      <c r="AY349" s="153"/>
      <c r="AZ349" s="153"/>
      <c r="BA349" s="153"/>
      <c r="BB349" s="153"/>
      <c r="BC349" s="153"/>
      <c r="BD349" s="153"/>
      <c r="BE349" s="153"/>
      <c r="BF349" s="153"/>
      <c r="BG349" s="153"/>
      <c r="BH349" s="153"/>
      <c r="BI349" s="153"/>
      <c r="BJ349" s="153"/>
      <c r="BK349" s="153"/>
      <c r="BL349" s="153"/>
      <c r="BM349" s="153"/>
      <c r="BN349" s="153"/>
      <c r="BO349" s="153"/>
      <c r="BP349" s="153"/>
      <c r="BQ349" s="153"/>
      <c r="BR349" s="153"/>
      <c r="BS349" s="153"/>
      <c r="BT349" s="153"/>
      <c r="BU349" s="153"/>
      <c r="BV349" s="153"/>
      <c r="BW349" s="153"/>
      <c r="BX349" s="153"/>
      <c r="BY349" s="153"/>
      <c r="BZ349" s="153"/>
      <c r="CA349" s="153"/>
      <c r="CB349" s="153"/>
      <c r="CC349" s="153"/>
      <c r="CD349" s="153"/>
      <c r="CE349" s="153"/>
      <c r="CF349" s="153"/>
      <c r="CG349" s="153"/>
      <c r="CH349" s="153"/>
      <c r="CI349" s="153"/>
      <c r="CJ349" s="153"/>
      <c r="CK349" s="153"/>
      <c r="CL349" s="153"/>
      <c r="CM349" s="153"/>
      <c r="CN349" s="153"/>
      <c r="CO349" s="153"/>
      <c r="CP349" s="153"/>
      <c r="CQ349" s="153"/>
      <c r="CR349" s="153"/>
      <c r="CS349" s="153"/>
      <c r="CT349" s="153"/>
      <c r="CU349" s="153"/>
      <c r="CV349" s="153"/>
      <c r="CW349" s="153"/>
      <c r="CX349" s="153"/>
      <c r="CY349" s="153"/>
      <c r="CZ349" s="153"/>
      <c r="DA349" s="153"/>
      <c r="DB349" s="153"/>
      <c r="DC349" s="153"/>
      <c r="DD349" s="153"/>
      <c r="DE349" s="153"/>
      <c r="DF349" s="153"/>
      <c r="DG349" s="153"/>
      <c r="DH349" s="153"/>
      <c r="DI349" s="153"/>
      <c r="DJ349" s="153"/>
      <c r="DK349" s="153"/>
      <c r="DL349" s="153"/>
      <c r="DM349" s="153"/>
      <c r="DN349" s="153"/>
      <c r="DO349" s="153"/>
      <c r="DP349" s="153"/>
      <c r="DQ349" s="153"/>
      <c r="DR349" s="153"/>
      <c r="DS349" s="153"/>
      <c r="DT349" s="153"/>
      <c r="DU349" s="153"/>
      <c r="DV349" s="153"/>
      <c r="DW349" s="153"/>
      <c r="DX349" s="153"/>
      <c r="DY349" s="153"/>
      <c r="DZ349" s="153"/>
      <c r="EA349" s="153"/>
      <c r="EB349" s="153"/>
      <c r="EC349" s="153"/>
      <c r="ED349" s="153"/>
      <c r="EE349" s="153"/>
      <c r="EF349" s="153"/>
      <c r="EG349" s="153"/>
      <c r="EH349" s="153"/>
      <c r="EI349" s="153"/>
      <c r="EJ349" s="153"/>
      <c r="EK349" s="153"/>
      <c r="EL349" s="153"/>
      <c r="EM349" s="153"/>
    </row>
    <row r="350" spans="1:143" s="107" customFormat="1" ht="10.5" hidden="1" customHeight="1" outlineLevel="2">
      <c r="A350" s="1548">
        <v>325</v>
      </c>
      <c r="B350" s="1560" t="str">
        <f t="shared" si="7"/>
        <v/>
      </c>
      <c r="C350" s="161" t="str">
        <f>GasTime(GasAnalyser,'Horiba Data'!F343,'Horiba Data'!G343,'Testo, JUM &amp; MRU Data'!A344,'Thermo Data'!B343,HourOffset)</f>
        <v/>
      </c>
      <c r="D350" s="981" t="str">
        <f>IF(D$17=FALSE,"",GasData(GasAnalyser,'Horiba Data'!S343,'Testo, JUM &amp; MRU Data'!D344,'Thermo Data'!E343,'Testo, JUM &amp; MRU Data'!U344,GDF))</f>
        <v/>
      </c>
      <c r="E350" s="981" t="str">
        <f>IF(D350="","",Conc2(D350,D$9,MolVol,D$21,D$20,E$21,E$20))</f>
        <v/>
      </c>
      <c r="F350" s="981" t="str">
        <f>IF(F$17=FALSE,"",GasData(GasAnalyser,'Horiba Data'!AQ343,'Testo, JUM &amp; MRU Data'!E344,'Thermo Data'!F343,'Testo, JUM &amp; MRU Data'!V344,GDF))</f>
        <v/>
      </c>
      <c r="G350" s="981" t="str">
        <f>IF(F350="","",Conc2(F350,F$9,MolVol,F$21,F$20,G$21,G$20))</f>
        <v/>
      </c>
      <c r="H350" s="981" t="str">
        <f>IF(D$17=FALSE,"",IF(F$17=FALSE,"",GasData(GasAnalyser,'Horiba Data'!W343,'Testo, JUM &amp; MRU Data'!F344,'Thermo Data'!G343,'Testo, JUM &amp; MRU Data'!Y344,GDF)))</f>
        <v/>
      </c>
      <c r="I350" s="981" t="str">
        <f>IF(H350="","",Conc2(H350,H$9,MolVol,H$21,H$20,I$21,I$20))</f>
        <v/>
      </c>
      <c r="J350" s="981" t="str">
        <f>IF(J$17=FALSE,"",GasData(GasAnalyser,'Horiba Data'!AM343,'Testo, JUM &amp; MRU Data'!G344,'Thermo Data'!H343,'Testo, JUM &amp; MRU Data'!W344,GDF))</f>
        <v/>
      </c>
      <c r="K350" s="981" t="str">
        <f>IF(J350="","",Conc2(J350,J$9,MolVol,J$21,J$20,K$21,K$20))</f>
        <v/>
      </c>
      <c r="L350" s="981" t="str">
        <f>IF(L$17=FALSE,"",GasData(GasAnalyser,'Horiba Data'!AA343,'Testo, JUM &amp; MRU Data'!H344,'Thermo Data'!I343,'Testo, JUM &amp; MRU Data'!T344,GDF))</f>
        <v/>
      </c>
      <c r="M350" s="981" t="str">
        <f>IF(L350="","",Conc2(L350,L$9,MolVol,L$21,L$20,M$21,M$20))</f>
        <v/>
      </c>
      <c r="N350" s="981" t="str">
        <f>IF(N$17=FALSE,"",GasData(GasAnalyser,'Horiba Data'!AE343,'Testo, JUM &amp; MRU Data'!I344,'Thermo Data'!J343,'Testo, JUM &amp; MRU Data'!S344,GDF))</f>
        <v/>
      </c>
      <c r="O350" s="981" t="str">
        <f>IF(N350="","",Conc2(N350,N$9,MolVol,N$21,N$20,O$21,O$20))</f>
        <v/>
      </c>
      <c r="P350" s="981" t="str">
        <f>IF(P$17=FALSE,"",GasData(GasAnalyser,'Horiba Data'!AI343,'Testo, JUM &amp; MRU Data'!J344,'Thermo Data'!K343,'Testo, JUM &amp; MRU Data'!R344,GDF))</f>
        <v/>
      </c>
      <c r="Q350" s="981" t="str">
        <f>IF(P350="","",Conc2(P350,P$9,MolVol,P$21,P$20,Q$21,Q$20))</f>
        <v/>
      </c>
      <c r="R350" s="981" t="str">
        <f>IF(R$17=FALSE,"",JUMData('Testo, JUM &amp; MRU Data'!M344,$R$7))</f>
        <v/>
      </c>
      <c r="S350" s="982" t="str">
        <f>IF(R350="","",Conc2(R350,R$9,MolVol,R$21,R$20,S$21,S$20)/(1-Bws))</f>
        <v/>
      </c>
      <c r="T350" s="740"/>
      <c r="AR350" s="334"/>
      <c r="AS350" s="334"/>
      <c r="AT350" s="48"/>
      <c r="AU350" s="48"/>
      <c r="AV350" s="153"/>
      <c r="AW350" s="153"/>
      <c r="AX350" s="153"/>
      <c r="AY350" s="153"/>
      <c r="AZ350" s="153"/>
      <c r="BA350" s="153"/>
      <c r="BB350" s="153"/>
      <c r="BC350" s="153"/>
      <c r="BD350" s="153"/>
      <c r="BE350" s="153"/>
      <c r="BF350" s="153"/>
      <c r="BG350" s="153"/>
      <c r="BH350" s="153"/>
      <c r="BI350" s="153"/>
      <c r="BJ350" s="153"/>
      <c r="BK350" s="153"/>
      <c r="BL350" s="153"/>
      <c r="BM350" s="153"/>
      <c r="BN350" s="153"/>
      <c r="BO350" s="153"/>
      <c r="BP350" s="153"/>
      <c r="BQ350" s="153"/>
      <c r="BR350" s="153"/>
      <c r="BS350" s="153"/>
      <c r="BT350" s="153"/>
      <c r="BU350" s="153"/>
      <c r="BV350" s="153"/>
      <c r="BW350" s="153"/>
      <c r="BX350" s="153"/>
      <c r="BY350" s="153"/>
      <c r="BZ350" s="153"/>
      <c r="CA350" s="153"/>
      <c r="CB350" s="153"/>
      <c r="CC350" s="153"/>
      <c r="CD350" s="153"/>
      <c r="CE350" s="153"/>
      <c r="CF350" s="153"/>
      <c r="CG350" s="153"/>
      <c r="CH350" s="153"/>
      <c r="CI350" s="153"/>
      <c r="CJ350" s="153"/>
      <c r="CK350" s="153"/>
      <c r="CL350" s="153"/>
      <c r="CM350" s="153"/>
      <c r="CN350" s="153"/>
      <c r="CO350" s="153"/>
      <c r="CP350" s="153"/>
      <c r="CQ350" s="153"/>
      <c r="CR350" s="153"/>
      <c r="CS350" s="153"/>
      <c r="CT350" s="153"/>
      <c r="CU350" s="153"/>
      <c r="CV350" s="153"/>
      <c r="CW350" s="153"/>
      <c r="CX350" s="153"/>
      <c r="CY350" s="153"/>
      <c r="CZ350" s="153"/>
      <c r="DA350" s="153"/>
      <c r="DB350" s="153"/>
      <c r="DC350" s="153"/>
      <c r="DD350" s="153"/>
      <c r="DE350" s="153"/>
      <c r="DF350" s="153"/>
      <c r="DG350" s="153"/>
      <c r="DH350" s="153"/>
      <c r="DI350" s="153"/>
      <c r="DJ350" s="153"/>
      <c r="DK350" s="153"/>
      <c r="DL350" s="153"/>
      <c r="DM350" s="153"/>
      <c r="DN350" s="153"/>
      <c r="DO350" s="153"/>
      <c r="DP350" s="153"/>
      <c r="DQ350" s="153"/>
      <c r="DR350" s="153"/>
      <c r="DS350" s="153"/>
      <c r="DT350" s="153"/>
      <c r="DU350" s="153"/>
      <c r="DV350" s="153"/>
      <c r="DW350" s="153"/>
      <c r="DX350" s="153"/>
      <c r="DY350" s="153"/>
      <c r="DZ350" s="153"/>
      <c r="EA350" s="153"/>
      <c r="EB350" s="153"/>
      <c r="EC350" s="153"/>
      <c r="ED350" s="153"/>
      <c r="EE350" s="153"/>
      <c r="EF350" s="153"/>
      <c r="EG350" s="153"/>
      <c r="EH350" s="153"/>
      <c r="EI350" s="153"/>
      <c r="EJ350" s="153"/>
      <c r="EK350" s="153"/>
      <c r="EL350" s="153"/>
      <c r="EM350" s="153"/>
    </row>
    <row r="351" spans="1:143" s="107" customFormat="1" ht="10.5" hidden="1" customHeight="1" outlineLevel="2">
      <c r="A351" s="1548">
        <v>326</v>
      </c>
      <c r="B351" s="1560" t="str">
        <f t="shared" si="7"/>
        <v/>
      </c>
      <c r="C351" s="161" t="str">
        <f>GasTime(GasAnalyser,'Horiba Data'!F344,'Horiba Data'!G344,'Testo, JUM &amp; MRU Data'!A345,'Thermo Data'!B344,HourOffset)</f>
        <v/>
      </c>
      <c r="D351" s="981" t="str">
        <f>IF(D$17=FALSE,"",GasData(GasAnalyser,'Horiba Data'!S344,'Testo, JUM &amp; MRU Data'!D345,'Thermo Data'!E344,'Testo, JUM &amp; MRU Data'!U345,GDF))</f>
        <v/>
      </c>
      <c r="E351" s="981" t="str">
        <f>IF(D351="","",Conc2(D351,D$9,MolVol,D$21,D$20,E$21,E$20))</f>
        <v/>
      </c>
      <c r="F351" s="981" t="str">
        <f>IF(F$17=FALSE,"",GasData(GasAnalyser,'Horiba Data'!AQ344,'Testo, JUM &amp; MRU Data'!E345,'Thermo Data'!F344,'Testo, JUM &amp; MRU Data'!V345,GDF))</f>
        <v/>
      </c>
      <c r="G351" s="981" t="str">
        <f>IF(F351="","",Conc2(F351,F$9,MolVol,F$21,F$20,G$21,G$20))</f>
        <v/>
      </c>
      <c r="H351" s="981" t="str">
        <f>IF(D$17=FALSE,"",IF(F$17=FALSE,"",GasData(GasAnalyser,'Horiba Data'!W344,'Testo, JUM &amp; MRU Data'!F345,'Thermo Data'!G344,'Testo, JUM &amp; MRU Data'!Y345,GDF)))</f>
        <v/>
      </c>
      <c r="I351" s="981" t="str">
        <f>IF(H351="","",Conc2(H351,H$9,MolVol,H$21,H$20,I$21,I$20))</f>
        <v/>
      </c>
      <c r="J351" s="981" t="str">
        <f>IF(J$17=FALSE,"",GasData(GasAnalyser,'Horiba Data'!AM344,'Testo, JUM &amp; MRU Data'!G345,'Thermo Data'!H344,'Testo, JUM &amp; MRU Data'!W345,GDF))</f>
        <v/>
      </c>
      <c r="K351" s="981" t="str">
        <f>IF(J351="","",Conc2(J351,J$9,MolVol,J$21,J$20,K$21,K$20))</f>
        <v/>
      </c>
      <c r="L351" s="981" t="str">
        <f>IF(L$17=FALSE,"",GasData(GasAnalyser,'Horiba Data'!AA344,'Testo, JUM &amp; MRU Data'!H345,'Thermo Data'!I344,'Testo, JUM &amp; MRU Data'!T345,GDF))</f>
        <v/>
      </c>
      <c r="M351" s="981" t="str">
        <f>IF(L351="","",Conc2(L351,L$9,MolVol,L$21,L$20,M$21,M$20))</f>
        <v/>
      </c>
      <c r="N351" s="981" t="str">
        <f>IF(N$17=FALSE,"",GasData(GasAnalyser,'Horiba Data'!AE344,'Testo, JUM &amp; MRU Data'!I345,'Thermo Data'!J344,'Testo, JUM &amp; MRU Data'!S345,GDF))</f>
        <v/>
      </c>
      <c r="O351" s="981" t="str">
        <f>IF(N351="","",Conc2(N351,N$9,MolVol,N$21,N$20,O$21,O$20))</f>
        <v/>
      </c>
      <c r="P351" s="981" t="str">
        <f>IF(P$17=FALSE,"",GasData(GasAnalyser,'Horiba Data'!AI344,'Testo, JUM &amp; MRU Data'!J345,'Thermo Data'!K344,'Testo, JUM &amp; MRU Data'!R345,GDF))</f>
        <v/>
      </c>
      <c r="Q351" s="981" t="str">
        <f>IF(P351="","",Conc2(P351,P$9,MolVol,P$21,P$20,Q$21,Q$20))</f>
        <v/>
      </c>
      <c r="R351" s="981" t="str">
        <f>IF(R$17=FALSE,"",JUMData('Testo, JUM &amp; MRU Data'!M345,$R$7))</f>
        <v/>
      </c>
      <c r="S351" s="982" t="str">
        <f>IF(R351="","",Conc2(R351,R$9,MolVol,R$21,R$20,S$21,S$20)/(1-Bws))</f>
        <v/>
      </c>
      <c r="T351" s="740"/>
      <c r="AR351" s="334"/>
      <c r="AS351" s="334"/>
      <c r="AT351" s="48"/>
      <c r="AU351" s="48"/>
      <c r="AV351" s="153"/>
      <c r="AW351" s="153"/>
      <c r="AX351" s="153"/>
      <c r="AY351" s="153"/>
      <c r="AZ351" s="153"/>
      <c r="BA351" s="153"/>
      <c r="BB351" s="153"/>
      <c r="BC351" s="153"/>
      <c r="BD351" s="153"/>
      <c r="BE351" s="153"/>
      <c r="BF351" s="153"/>
      <c r="BG351" s="153"/>
      <c r="BH351" s="153"/>
      <c r="BI351" s="153"/>
      <c r="BJ351" s="153"/>
      <c r="BK351" s="153"/>
      <c r="BL351" s="153"/>
      <c r="BM351" s="153"/>
      <c r="BN351" s="153"/>
      <c r="BO351" s="153"/>
      <c r="BP351" s="153"/>
      <c r="BQ351" s="153"/>
      <c r="BR351" s="153"/>
      <c r="BS351" s="153"/>
      <c r="BT351" s="153"/>
      <c r="BU351" s="153"/>
      <c r="BV351" s="153"/>
      <c r="BW351" s="153"/>
      <c r="BX351" s="153"/>
      <c r="BY351" s="153"/>
      <c r="BZ351" s="153"/>
      <c r="CA351" s="153"/>
      <c r="CB351" s="153"/>
      <c r="CC351" s="153"/>
      <c r="CD351" s="153"/>
      <c r="CE351" s="153"/>
      <c r="CF351" s="153"/>
      <c r="CG351" s="153"/>
      <c r="CH351" s="153"/>
      <c r="CI351" s="153"/>
      <c r="CJ351" s="153"/>
      <c r="CK351" s="153"/>
      <c r="CL351" s="153"/>
      <c r="CM351" s="153"/>
      <c r="CN351" s="153"/>
      <c r="CO351" s="153"/>
      <c r="CP351" s="153"/>
      <c r="CQ351" s="153"/>
      <c r="CR351" s="153"/>
      <c r="CS351" s="153"/>
      <c r="CT351" s="153"/>
      <c r="CU351" s="153"/>
      <c r="CV351" s="153"/>
      <c r="CW351" s="153"/>
      <c r="CX351" s="153"/>
      <c r="CY351" s="153"/>
      <c r="CZ351" s="153"/>
      <c r="DA351" s="153"/>
      <c r="DB351" s="153"/>
      <c r="DC351" s="153"/>
      <c r="DD351" s="153"/>
      <c r="DE351" s="153"/>
      <c r="DF351" s="153"/>
      <c r="DG351" s="153"/>
      <c r="DH351" s="153"/>
      <c r="DI351" s="153"/>
      <c r="DJ351" s="153"/>
      <c r="DK351" s="153"/>
      <c r="DL351" s="153"/>
      <c r="DM351" s="153"/>
      <c r="DN351" s="153"/>
      <c r="DO351" s="153"/>
      <c r="DP351" s="153"/>
      <c r="DQ351" s="153"/>
      <c r="DR351" s="153"/>
      <c r="DS351" s="153"/>
      <c r="DT351" s="153"/>
      <c r="DU351" s="153"/>
      <c r="DV351" s="153"/>
      <c r="DW351" s="153"/>
      <c r="DX351" s="153"/>
      <c r="DY351" s="153"/>
      <c r="DZ351" s="153"/>
      <c r="EA351" s="153"/>
      <c r="EB351" s="153"/>
      <c r="EC351" s="153"/>
      <c r="ED351" s="153"/>
      <c r="EE351" s="153"/>
      <c r="EF351" s="153"/>
      <c r="EG351" s="153"/>
      <c r="EH351" s="153"/>
      <c r="EI351" s="153"/>
      <c r="EJ351" s="153"/>
      <c r="EK351" s="153"/>
      <c r="EL351" s="153"/>
      <c r="EM351" s="153"/>
    </row>
    <row r="352" spans="1:143" s="107" customFormat="1" ht="10.5" hidden="1" customHeight="1" outlineLevel="2">
      <c r="A352" s="1548">
        <v>327</v>
      </c>
      <c r="B352" s="1560" t="str">
        <f t="shared" si="7"/>
        <v/>
      </c>
      <c r="C352" s="161" t="str">
        <f>GasTime(GasAnalyser,'Horiba Data'!F345,'Horiba Data'!G345,'Testo, JUM &amp; MRU Data'!A346,'Thermo Data'!B345,HourOffset)</f>
        <v/>
      </c>
      <c r="D352" s="981" t="str">
        <f>IF(D$17=FALSE,"",GasData(GasAnalyser,'Horiba Data'!S345,'Testo, JUM &amp; MRU Data'!D346,'Thermo Data'!E345,'Testo, JUM &amp; MRU Data'!U346,GDF))</f>
        <v/>
      </c>
      <c r="E352" s="981" t="str">
        <f>IF(D352="","",Conc2(D352,D$9,MolVol,D$21,D$20,E$21,E$20))</f>
        <v/>
      </c>
      <c r="F352" s="981" t="str">
        <f>IF(F$17=FALSE,"",GasData(GasAnalyser,'Horiba Data'!AQ345,'Testo, JUM &amp; MRU Data'!E346,'Thermo Data'!F345,'Testo, JUM &amp; MRU Data'!V346,GDF))</f>
        <v/>
      </c>
      <c r="G352" s="981" t="str">
        <f>IF(F352="","",Conc2(F352,F$9,MolVol,F$21,F$20,G$21,G$20))</f>
        <v/>
      </c>
      <c r="H352" s="981" t="str">
        <f>IF(D$17=FALSE,"",IF(F$17=FALSE,"",GasData(GasAnalyser,'Horiba Data'!W345,'Testo, JUM &amp; MRU Data'!F346,'Thermo Data'!G345,'Testo, JUM &amp; MRU Data'!Y346,GDF)))</f>
        <v/>
      </c>
      <c r="I352" s="981" t="str">
        <f>IF(H352="","",Conc2(H352,H$9,MolVol,H$21,H$20,I$21,I$20))</f>
        <v/>
      </c>
      <c r="J352" s="981" t="str">
        <f>IF(J$17=FALSE,"",GasData(GasAnalyser,'Horiba Data'!AM345,'Testo, JUM &amp; MRU Data'!G346,'Thermo Data'!H345,'Testo, JUM &amp; MRU Data'!W346,GDF))</f>
        <v/>
      </c>
      <c r="K352" s="981" t="str">
        <f>IF(J352="","",Conc2(J352,J$9,MolVol,J$21,J$20,K$21,K$20))</f>
        <v/>
      </c>
      <c r="L352" s="981" t="str">
        <f>IF(L$17=FALSE,"",GasData(GasAnalyser,'Horiba Data'!AA345,'Testo, JUM &amp; MRU Data'!H346,'Thermo Data'!I345,'Testo, JUM &amp; MRU Data'!T346,GDF))</f>
        <v/>
      </c>
      <c r="M352" s="981" t="str">
        <f>IF(L352="","",Conc2(L352,L$9,MolVol,L$21,L$20,M$21,M$20))</f>
        <v/>
      </c>
      <c r="N352" s="981" t="str">
        <f>IF(N$17=FALSE,"",GasData(GasAnalyser,'Horiba Data'!AE345,'Testo, JUM &amp; MRU Data'!I346,'Thermo Data'!J345,'Testo, JUM &amp; MRU Data'!S346,GDF))</f>
        <v/>
      </c>
      <c r="O352" s="981" t="str">
        <f>IF(N352="","",Conc2(N352,N$9,MolVol,N$21,N$20,O$21,O$20))</f>
        <v/>
      </c>
      <c r="P352" s="981" t="str">
        <f>IF(P$17=FALSE,"",GasData(GasAnalyser,'Horiba Data'!AI345,'Testo, JUM &amp; MRU Data'!J346,'Thermo Data'!K345,'Testo, JUM &amp; MRU Data'!R346,GDF))</f>
        <v/>
      </c>
      <c r="Q352" s="981" t="str">
        <f>IF(P352="","",Conc2(P352,P$9,MolVol,P$21,P$20,Q$21,Q$20))</f>
        <v/>
      </c>
      <c r="R352" s="981" t="str">
        <f>IF(R$17=FALSE,"",JUMData('Testo, JUM &amp; MRU Data'!M346,$R$7))</f>
        <v/>
      </c>
      <c r="S352" s="982" t="str">
        <f>IF(R352="","",Conc2(R352,R$9,MolVol,R$21,R$20,S$21,S$20)/(1-Bws))</f>
        <v/>
      </c>
      <c r="T352" s="740"/>
      <c r="AR352" s="334"/>
      <c r="AS352" s="334"/>
      <c r="AT352" s="48"/>
      <c r="AU352" s="48"/>
      <c r="AV352" s="153"/>
      <c r="AW352" s="153"/>
      <c r="AX352" s="153"/>
      <c r="AY352" s="153"/>
      <c r="AZ352" s="153"/>
      <c r="BA352" s="153"/>
      <c r="BB352" s="153"/>
      <c r="BC352" s="153"/>
      <c r="BD352" s="153"/>
      <c r="BE352" s="153"/>
      <c r="BF352" s="153"/>
      <c r="BG352" s="153"/>
      <c r="BH352" s="153"/>
      <c r="BI352" s="153"/>
      <c r="BJ352" s="153"/>
      <c r="BK352" s="153"/>
      <c r="BL352" s="153"/>
      <c r="BM352" s="153"/>
      <c r="BN352" s="153"/>
      <c r="BO352" s="153"/>
      <c r="BP352" s="153"/>
      <c r="BQ352" s="153"/>
      <c r="BR352" s="153"/>
      <c r="BS352" s="153"/>
      <c r="BT352" s="153"/>
      <c r="BU352" s="153"/>
      <c r="BV352" s="153"/>
      <c r="BW352" s="153"/>
      <c r="BX352" s="153"/>
      <c r="BY352" s="153"/>
      <c r="BZ352" s="153"/>
      <c r="CA352" s="153"/>
      <c r="CB352" s="153"/>
      <c r="CC352" s="153"/>
      <c r="CD352" s="153"/>
      <c r="CE352" s="153"/>
      <c r="CF352" s="153"/>
      <c r="CG352" s="153"/>
      <c r="CH352" s="153"/>
      <c r="CI352" s="153"/>
      <c r="CJ352" s="153"/>
      <c r="CK352" s="153"/>
      <c r="CL352" s="153"/>
      <c r="CM352" s="153"/>
      <c r="CN352" s="153"/>
      <c r="CO352" s="153"/>
      <c r="CP352" s="153"/>
      <c r="CQ352" s="153"/>
      <c r="CR352" s="153"/>
      <c r="CS352" s="153"/>
      <c r="CT352" s="153"/>
      <c r="CU352" s="153"/>
      <c r="CV352" s="153"/>
      <c r="CW352" s="153"/>
      <c r="CX352" s="153"/>
      <c r="CY352" s="153"/>
      <c r="CZ352" s="153"/>
      <c r="DA352" s="153"/>
      <c r="DB352" s="153"/>
      <c r="DC352" s="153"/>
      <c r="DD352" s="153"/>
      <c r="DE352" s="153"/>
      <c r="DF352" s="153"/>
      <c r="DG352" s="153"/>
      <c r="DH352" s="153"/>
      <c r="DI352" s="153"/>
      <c r="DJ352" s="153"/>
      <c r="DK352" s="153"/>
      <c r="DL352" s="153"/>
      <c r="DM352" s="153"/>
      <c r="DN352" s="153"/>
      <c r="DO352" s="153"/>
      <c r="DP352" s="153"/>
      <c r="DQ352" s="153"/>
      <c r="DR352" s="153"/>
      <c r="DS352" s="153"/>
      <c r="DT352" s="153"/>
      <c r="DU352" s="153"/>
      <c r="DV352" s="153"/>
      <c r="DW352" s="153"/>
      <c r="DX352" s="153"/>
      <c r="DY352" s="153"/>
      <c r="DZ352" s="153"/>
      <c r="EA352" s="153"/>
      <c r="EB352" s="153"/>
      <c r="EC352" s="153"/>
      <c r="ED352" s="153"/>
      <c r="EE352" s="153"/>
      <c r="EF352" s="153"/>
      <c r="EG352" s="153"/>
      <c r="EH352" s="153"/>
      <c r="EI352" s="153"/>
      <c r="EJ352" s="153"/>
      <c r="EK352" s="153"/>
      <c r="EL352" s="153"/>
      <c r="EM352" s="153"/>
    </row>
    <row r="353" spans="1:143" s="107" customFormat="1" ht="10.5" hidden="1" customHeight="1" outlineLevel="2">
      <c r="A353" s="1548">
        <v>328</v>
      </c>
      <c r="B353" s="1560" t="str">
        <f t="shared" si="7"/>
        <v/>
      </c>
      <c r="C353" s="161" t="str">
        <f>GasTime(GasAnalyser,'Horiba Data'!F346,'Horiba Data'!G346,'Testo, JUM &amp; MRU Data'!A347,'Thermo Data'!B346,HourOffset)</f>
        <v/>
      </c>
      <c r="D353" s="981" t="str">
        <f>IF(D$17=FALSE,"",GasData(GasAnalyser,'Horiba Data'!S346,'Testo, JUM &amp; MRU Data'!D347,'Thermo Data'!E346,'Testo, JUM &amp; MRU Data'!U347,GDF))</f>
        <v/>
      </c>
      <c r="E353" s="981" t="str">
        <f>IF(D353="","",Conc2(D353,D$9,MolVol,D$21,D$20,E$21,E$20))</f>
        <v/>
      </c>
      <c r="F353" s="981" t="str">
        <f>IF(F$17=FALSE,"",GasData(GasAnalyser,'Horiba Data'!AQ346,'Testo, JUM &amp; MRU Data'!E347,'Thermo Data'!F346,'Testo, JUM &amp; MRU Data'!V347,GDF))</f>
        <v/>
      </c>
      <c r="G353" s="981" t="str">
        <f>IF(F353="","",Conc2(F353,F$9,MolVol,F$21,F$20,G$21,G$20))</f>
        <v/>
      </c>
      <c r="H353" s="981" t="str">
        <f>IF(D$17=FALSE,"",IF(F$17=FALSE,"",GasData(GasAnalyser,'Horiba Data'!W346,'Testo, JUM &amp; MRU Data'!F347,'Thermo Data'!G346,'Testo, JUM &amp; MRU Data'!Y347,GDF)))</f>
        <v/>
      </c>
      <c r="I353" s="981" t="str">
        <f>IF(H353="","",Conc2(H353,H$9,MolVol,H$21,H$20,I$21,I$20))</f>
        <v/>
      </c>
      <c r="J353" s="981" t="str">
        <f>IF(J$17=FALSE,"",GasData(GasAnalyser,'Horiba Data'!AM346,'Testo, JUM &amp; MRU Data'!G347,'Thermo Data'!H346,'Testo, JUM &amp; MRU Data'!W347,GDF))</f>
        <v/>
      </c>
      <c r="K353" s="981" t="str">
        <f>IF(J353="","",Conc2(J353,J$9,MolVol,J$21,J$20,K$21,K$20))</f>
        <v/>
      </c>
      <c r="L353" s="981" t="str">
        <f>IF(L$17=FALSE,"",GasData(GasAnalyser,'Horiba Data'!AA346,'Testo, JUM &amp; MRU Data'!H347,'Thermo Data'!I346,'Testo, JUM &amp; MRU Data'!T347,GDF))</f>
        <v/>
      </c>
      <c r="M353" s="981" t="str">
        <f>IF(L353="","",Conc2(L353,L$9,MolVol,L$21,L$20,M$21,M$20))</f>
        <v/>
      </c>
      <c r="N353" s="981" t="str">
        <f>IF(N$17=FALSE,"",GasData(GasAnalyser,'Horiba Data'!AE346,'Testo, JUM &amp; MRU Data'!I347,'Thermo Data'!J346,'Testo, JUM &amp; MRU Data'!S347,GDF))</f>
        <v/>
      </c>
      <c r="O353" s="981" t="str">
        <f>IF(N353="","",Conc2(N353,N$9,MolVol,N$21,N$20,O$21,O$20))</f>
        <v/>
      </c>
      <c r="P353" s="981" t="str">
        <f>IF(P$17=FALSE,"",GasData(GasAnalyser,'Horiba Data'!AI346,'Testo, JUM &amp; MRU Data'!J347,'Thermo Data'!K346,'Testo, JUM &amp; MRU Data'!R347,GDF))</f>
        <v/>
      </c>
      <c r="Q353" s="981" t="str">
        <f>IF(P353="","",Conc2(P353,P$9,MolVol,P$21,P$20,Q$21,Q$20))</f>
        <v/>
      </c>
      <c r="R353" s="981" t="str">
        <f>IF(R$17=FALSE,"",JUMData('Testo, JUM &amp; MRU Data'!M347,$R$7))</f>
        <v/>
      </c>
      <c r="S353" s="982" t="str">
        <f>IF(R353="","",Conc2(R353,R$9,MolVol,R$21,R$20,S$21,S$20)/(1-Bws))</f>
        <v/>
      </c>
      <c r="T353" s="740"/>
      <c r="AR353" s="334"/>
      <c r="AS353" s="334"/>
      <c r="AT353" s="48"/>
      <c r="AU353" s="48"/>
      <c r="AV353" s="153"/>
      <c r="AW353" s="153"/>
      <c r="AX353" s="153"/>
      <c r="AY353" s="153"/>
      <c r="AZ353" s="153"/>
      <c r="BA353" s="153"/>
      <c r="BB353" s="153"/>
      <c r="BC353" s="153"/>
      <c r="BD353" s="153"/>
      <c r="BE353" s="153"/>
      <c r="BF353" s="153"/>
      <c r="BG353" s="153"/>
      <c r="BH353" s="153"/>
      <c r="BI353" s="153"/>
      <c r="BJ353" s="153"/>
      <c r="BK353" s="153"/>
      <c r="BL353" s="153"/>
      <c r="BM353" s="153"/>
      <c r="BN353" s="153"/>
      <c r="BO353" s="153"/>
      <c r="BP353" s="153"/>
      <c r="BQ353" s="153"/>
      <c r="BR353" s="153"/>
      <c r="BS353" s="153"/>
      <c r="BT353" s="153"/>
      <c r="BU353" s="153"/>
      <c r="BV353" s="153"/>
      <c r="BW353" s="153"/>
      <c r="BX353" s="153"/>
      <c r="BY353" s="153"/>
      <c r="BZ353" s="153"/>
      <c r="CA353" s="153"/>
      <c r="CB353" s="153"/>
      <c r="CC353" s="153"/>
      <c r="CD353" s="153"/>
      <c r="CE353" s="153"/>
      <c r="CF353" s="153"/>
      <c r="CG353" s="153"/>
      <c r="CH353" s="153"/>
      <c r="CI353" s="153"/>
      <c r="CJ353" s="153"/>
      <c r="CK353" s="153"/>
      <c r="CL353" s="153"/>
      <c r="CM353" s="153"/>
      <c r="CN353" s="153"/>
      <c r="CO353" s="153"/>
      <c r="CP353" s="153"/>
      <c r="CQ353" s="153"/>
      <c r="CR353" s="153"/>
      <c r="CS353" s="153"/>
      <c r="CT353" s="153"/>
      <c r="CU353" s="153"/>
      <c r="CV353" s="153"/>
      <c r="CW353" s="153"/>
      <c r="CX353" s="153"/>
      <c r="CY353" s="153"/>
      <c r="CZ353" s="153"/>
      <c r="DA353" s="153"/>
      <c r="DB353" s="153"/>
      <c r="DC353" s="153"/>
      <c r="DD353" s="153"/>
      <c r="DE353" s="153"/>
      <c r="DF353" s="153"/>
      <c r="DG353" s="153"/>
      <c r="DH353" s="153"/>
      <c r="DI353" s="153"/>
      <c r="DJ353" s="153"/>
      <c r="DK353" s="153"/>
      <c r="DL353" s="153"/>
      <c r="DM353" s="153"/>
      <c r="DN353" s="153"/>
      <c r="DO353" s="153"/>
      <c r="DP353" s="153"/>
      <c r="DQ353" s="153"/>
      <c r="DR353" s="153"/>
      <c r="DS353" s="153"/>
      <c r="DT353" s="153"/>
      <c r="DU353" s="153"/>
      <c r="DV353" s="153"/>
      <c r="DW353" s="153"/>
      <c r="DX353" s="153"/>
      <c r="DY353" s="153"/>
      <c r="DZ353" s="153"/>
      <c r="EA353" s="153"/>
      <c r="EB353" s="153"/>
      <c r="EC353" s="153"/>
      <c r="ED353" s="153"/>
      <c r="EE353" s="153"/>
      <c r="EF353" s="153"/>
      <c r="EG353" s="153"/>
      <c r="EH353" s="153"/>
      <c r="EI353" s="153"/>
      <c r="EJ353" s="153"/>
      <c r="EK353" s="153"/>
      <c r="EL353" s="153"/>
      <c r="EM353" s="153"/>
    </row>
    <row r="354" spans="1:143" s="107" customFormat="1" ht="10.5" hidden="1" customHeight="1" outlineLevel="2">
      <c r="A354" s="1548">
        <v>329</v>
      </c>
      <c r="B354" s="1560" t="str">
        <f t="shared" si="7"/>
        <v/>
      </c>
      <c r="C354" s="161" t="str">
        <f>GasTime(GasAnalyser,'Horiba Data'!F347,'Horiba Data'!G347,'Testo, JUM &amp; MRU Data'!A348,'Thermo Data'!B347,HourOffset)</f>
        <v/>
      </c>
      <c r="D354" s="981" t="str">
        <f>IF(D$17=FALSE,"",GasData(GasAnalyser,'Horiba Data'!S347,'Testo, JUM &amp; MRU Data'!D348,'Thermo Data'!E347,'Testo, JUM &amp; MRU Data'!U348,GDF))</f>
        <v/>
      </c>
      <c r="E354" s="981" t="str">
        <f>IF(D354="","",Conc2(D354,D$9,MolVol,D$21,D$20,E$21,E$20))</f>
        <v/>
      </c>
      <c r="F354" s="981" t="str">
        <f>IF(F$17=FALSE,"",GasData(GasAnalyser,'Horiba Data'!AQ347,'Testo, JUM &amp; MRU Data'!E348,'Thermo Data'!F347,'Testo, JUM &amp; MRU Data'!V348,GDF))</f>
        <v/>
      </c>
      <c r="G354" s="981" t="str">
        <f>IF(F354="","",Conc2(F354,F$9,MolVol,F$21,F$20,G$21,G$20))</f>
        <v/>
      </c>
      <c r="H354" s="981" t="str">
        <f>IF(D$17=FALSE,"",IF(F$17=FALSE,"",GasData(GasAnalyser,'Horiba Data'!W347,'Testo, JUM &amp; MRU Data'!F348,'Thermo Data'!G347,'Testo, JUM &amp; MRU Data'!Y348,GDF)))</f>
        <v/>
      </c>
      <c r="I354" s="981" t="str">
        <f>IF(H354="","",Conc2(H354,H$9,MolVol,H$21,H$20,I$21,I$20))</f>
        <v/>
      </c>
      <c r="J354" s="981" t="str">
        <f>IF(J$17=FALSE,"",GasData(GasAnalyser,'Horiba Data'!AM347,'Testo, JUM &amp; MRU Data'!G348,'Thermo Data'!H347,'Testo, JUM &amp; MRU Data'!W348,GDF))</f>
        <v/>
      </c>
      <c r="K354" s="981" t="str">
        <f>IF(J354="","",Conc2(J354,J$9,MolVol,J$21,J$20,K$21,K$20))</f>
        <v/>
      </c>
      <c r="L354" s="981" t="str">
        <f>IF(L$17=FALSE,"",GasData(GasAnalyser,'Horiba Data'!AA347,'Testo, JUM &amp; MRU Data'!H348,'Thermo Data'!I347,'Testo, JUM &amp; MRU Data'!T348,GDF))</f>
        <v/>
      </c>
      <c r="M354" s="981" t="str">
        <f>IF(L354="","",Conc2(L354,L$9,MolVol,L$21,L$20,M$21,M$20))</f>
        <v/>
      </c>
      <c r="N354" s="981" t="str">
        <f>IF(N$17=FALSE,"",GasData(GasAnalyser,'Horiba Data'!AE347,'Testo, JUM &amp; MRU Data'!I348,'Thermo Data'!J347,'Testo, JUM &amp; MRU Data'!S348,GDF))</f>
        <v/>
      </c>
      <c r="O354" s="981" t="str">
        <f>IF(N354="","",Conc2(N354,N$9,MolVol,N$21,N$20,O$21,O$20))</f>
        <v/>
      </c>
      <c r="P354" s="981" t="str">
        <f>IF(P$17=FALSE,"",GasData(GasAnalyser,'Horiba Data'!AI347,'Testo, JUM &amp; MRU Data'!J348,'Thermo Data'!K347,'Testo, JUM &amp; MRU Data'!R348,GDF))</f>
        <v/>
      </c>
      <c r="Q354" s="981" t="str">
        <f>IF(P354="","",Conc2(P354,P$9,MolVol,P$21,P$20,Q$21,Q$20))</f>
        <v/>
      </c>
      <c r="R354" s="981" t="str">
        <f>IF(R$17=FALSE,"",JUMData('Testo, JUM &amp; MRU Data'!M348,$R$7))</f>
        <v/>
      </c>
      <c r="S354" s="982" t="str">
        <f>IF(R354="","",Conc2(R354,R$9,MolVol,R$21,R$20,S$21,S$20)/(1-Bws))</f>
        <v/>
      </c>
      <c r="T354" s="740"/>
      <c r="AR354" s="334"/>
      <c r="AS354" s="334"/>
      <c r="AT354" s="48"/>
      <c r="AU354" s="48"/>
      <c r="AV354" s="153"/>
      <c r="AW354" s="153"/>
      <c r="AX354" s="153"/>
      <c r="AY354" s="153"/>
      <c r="AZ354" s="153"/>
      <c r="BA354" s="153"/>
      <c r="BB354" s="153"/>
      <c r="BC354" s="153"/>
      <c r="BD354" s="153"/>
      <c r="BE354" s="153"/>
      <c r="BF354" s="153"/>
      <c r="BG354" s="153"/>
      <c r="BH354" s="153"/>
      <c r="BI354" s="153"/>
      <c r="BJ354" s="153"/>
      <c r="BK354" s="153"/>
      <c r="BL354" s="153"/>
      <c r="BM354" s="153"/>
      <c r="BN354" s="153"/>
      <c r="BO354" s="153"/>
      <c r="BP354" s="153"/>
      <c r="BQ354" s="153"/>
      <c r="BR354" s="153"/>
      <c r="BS354" s="153"/>
      <c r="BT354" s="153"/>
      <c r="BU354" s="153"/>
      <c r="BV354" s="153"/>
      <c r="BW354" s="153"/>
      <c r="BX354" s="153"/>
      <c r="BY354" s="153"/>
      <c r="BZ354" s="153"/>
      <c r="CA354" s="153"/>
      <c r="CB354" s="153"/>
      <c r="CC354" s="153"/>
      <c r="CD354" s="153"/>
      <c r="CE354" s="153"/>
      <c r="CF354" s="153"/>
      <c r="CG354" s="153"/>
      <c r="CH354" s="153"/>
      <c r="CI354" s="153"/>
      <c r="CJ354" s="153"/>
      <c r="CK354" s="153"/>
      <c r="CL354" s="153"/>
      <c r="CM354" s="153"/>
      <c r="CN354" s="153"/>
      <c r="CO354" s="153"/>
      <c r="CP354" s="153"/>
      <c r="CQ354" s="153"/>
      <c r="CR354" s="153"/>
      <c r="CS354" s="153"/>
      <c r="CT354" s="153"/>
      <c r="CU354" s="153"/>
      <c r="CV354" s="153"/>
      <c r="CW354" s="153"/>
      <c r="CX354" s="153"/>
      <c r="CY354" s="153"/>
      <c r="CZ354" s="153"/>
      <c r="DA354" s="153"/>
      <c r="DB354" s="153"/>
      <c r="DC354" s="153"/>
      <c r="DD354" s="153"/>
      <c r="DE354" s="153"/>
      <c r="DF354" s="153"/>
      <c r="DG354" s="153"/>
      <c r="DH354" s="153"/>
      <c r="DI354" s="153"/>
      <c r="DJ354" s="153"/>
      <c r="DK354" s="153"/>
      <c r="DL354" s="153"/>
      <c r="DM354" s="153"/>
      <c r="DN354" s="153"/>
      <c r="DO354" s="153"/>
      <c r="DP354" s="153"/>
      <c r="DQ354" s="153"/>
      <c r="DR354" s="153"/>
      <c r="DS354" s="153"/>
      <c r="DT354" s="153"/>
      <c r="DU354" s="153"/>
      <c r="DV354" s="153"/>
      <c r="DW354" s="153"/>
      <c r="DX354" s="153"/>
      <c r="DY354" s="153"/>
      <c r="DZ354" s="153"/>
      <c r="EA354" s="153"/>
      <c r="EB354" s="153"/>
      <c r="EC354" s="153"/>
      <c r="ED354" s="153"/>
      <c r="EE354" s="153"/>
      <c r="EF354" s="153"/>
      <c r="EG354" s="153"/>
      <c r="EH354" s="153"/>
      <c r="EI354" s="153"/>
      <c r="EJ354" s="153"/>
      <c r="EK354" s="153"/>
      <c r="EL354" s="153"/>
      <c r="EM354" s="153"/>
    </row>
    <row r="355" spans="1:143" s="107" customFormat="1" ht="10.5" hidden="1" customHeight="1" outlineLevel="2">
      <c r="A355" s="1548">
        <v>330</v>
      </c>
      <c r="B355" s="1560" t="str">
        <f t="shared" si="7"/>
        <v/>
      </c>
      <c r="C355" s="161" t="str">
        <f>GasTime(GasAnalyser,'Horiba Data'!F348,'Horiba Data'!G348,'Testo, JUM &amp; MRU Data'!A349,'Thermo Data'!B348,HourOffset)</f>
        <v/>
      </c>
      <c r="D355" s="981" t="str">
        <f>IF(D$17=FALSE,"",GasData(GasAnalyser,'Horiba Data'!S348,'Testo, JUM &amp; MRU Data'!D349,'Thermo Data'!E348,'Testo, JUM &amp; MRU Data'!U349,GDF))</f>
        <v/>
      </c>
      <c r="E355" s="981" t="str">
        <f>IF(D355="","",Conc2(D355,D$9,MolVol,D$21,D$20,E$21,E$20))</f>
        <v/>
      </c>
      <c r="F355" s="981" t="str">
        <f>IF(F$17=FALSE,"",GasData(GasAnalyser,'Horiba Data'!AQ348,'Testo, JUM &amp; MRU Data'!E349,'Thermo Data'!F348,'Testo, JUM &amp; MRU Data'!V349,GDF))</f>
        <v/>
      </c>
      <c r="G355" s="981" t="str">
        <f>IF(F355="","",Conc2(F355,F$9,MolVol,F$21,F$20,G$21,G$20))</f>
        <v/>
      </c>
      <c r="H355" s="981" t="str">
        <f>IF(D$17=FALSE,"",IF(F$17=FALSE,"",GasData(GasAnalyser,'Horiba Data'!W348,'Testo, JUM &amp; MRU Data'!F349,'Thermo Data'!G348,'Testo, JUM &amp; MRU Data'!Y349,GDF)))</f>
        <v/>
      </c>
      <c r="I355" s="981" t="str">
        <f>IF(H355="","",Conc2(H355,H$9,MolVol,H$21,H$20,I$21,I$20))</f>
        <v/>
      </c>
      <c r="J355" s="981" t="str">
        <f>IF(J$17=FALSE,"",GasData(GasAnalyser,'Horiba Data'!AM348,'Testo, JUM &amp; MRU Data'!G349,'Thermo Data'!H348,'Testo, JUM &amp; MRU Data'!W349,GDF))</f>
        <v/>
      </c>
      <c r="K355" s="981" t="str">
        <f>IF(J355="","",Conc2(J355,J$9,MolVol,J$21,J$20,K$21,K$20))</f>
        <v/>
      </c>
      <c r="L355" s="981" t="str">
        <f>IF(L$17=FALSE,"",GasData(GasAnalyser,'Horiba Data'!AA348,'Testo, JUM &amp; MRU Data'!H349,'Thermo Data'!I348,'Testo, JUM &amp; MRU Data'!T349,GDF))</f>
        <v/>
      </c>
      <c r="M355" s="981" t="str">
        <f>IF(L355="","",Conc2(L355,L$9,MolVol,L$21,L$20,M$21,M$20))</f>
        <v/>
      </c>
      <c r="N355" s="981" t="str">
        <f>IF(N$17=FALSE,"",GasData(GasAnalyser,'Horiba Data'!AE348,'Testo, JUM &amp; MRU Data'!I349,'Thermo Data'!J348,'Testo, JUM &amp; MRU Data'!S349,GDF))</f>
        <v/>
      </c>
      <c r="O355" s="981" t="str">
        <f>IF(N355="","",Conc2(N355,N$9,MolVol,N$21,N$20,O$21,O$20))</f>
        <v/>
      </c>
      <c r="P355" s="981" t="str">
        <f>IF(P$17=FALSE,"",GasData(GasAnalyser,'Horiba Data'!AI348,'Testo, JUM &amp; MRU Data'!J349,'Thermo Data'!K348,'Testo, JUM &amp; MRU Data'!R349,GDF))</f>
        <v/>
      </c>
      <c r="Q355" s="981" t="str">
        <f>IF(P355="","",Conc2(P355,P$9,MolVol,P$21,P$20,Q$21,Q$20))</f>
        <v/>
      </c>
      <c r="R355" s="981" t="str">
        <f>IF(R$17=FALSE,"",JUMData('Testo, JUM &amp; MRU Data'!M349,$R$7))</f>
        <v/>
      </c>
      <c r="S355" s="982" t="str">
        <f>IF(R355="","",Conc2(R355,R$9,MolVol,R$21,R$20,S$21,S$20)/(1-Bws))</f>
        <v/>
      </c>
      <c r="T355" s="740"/>
      <c r="AR355" s="334"/>
      <c r="AS355" s="334"/>
      <c r="AT355" s="48"/>
      <c r="AU355" s="48"/>
      <c r="AV355" s="153"/>
      <c r="AW355" s="153"/>
      <c r="AX355" s="153"/>
      <c r="AY355" s="153"/>
      <c r="AZ355" s="153"/>
      <c r="BA355" s="153"/>
      <c r="BB355" s="153"/>
      <c r="BC355" s="153"/>
      <c r="BD355" s="153"/>
      <c r="BE355" s="153"/>
      <c r="BF355" s="153"/>
      <c r="BG355" s="153"/>
      <c r="BH355" s="153"/>
      <c r="BI355" s="153"/>
      <c r="BJ355" s="153"/>
      <c r="BK355" s="153"/>
      <c r="BL355" s="153"/>
      <c r="BM355" s="153"/>
      <c r="BN355" s="153"/>
      <c r="BO355" s="153"/>
      <c r="BP355" s="153"/>
      <c r="BQ355" s="153"/>
      <c r="BR355" s="153"/>
      <c r="BS355" s="153"/>
      <c r="BT355" s="153"/>
      <c r="BU355" s="153"/>
      <c r="BV355" s="153"/>
      <c r="BW355" s="153"/>
      <c r="BX355" s="153"/>
      <c r="BY355" s="153"/>
      <c r="BZ355" s="153"/>
      <c r="CA355" s="153"/>
      <c r="CB355" s="153"/>
      <c r="CC355" s="153"/>
      <c r="CD355" s="153"/>
      <c r="CE355" s="153"/>
      <c r="CF355" s="153"/>
      <c r="CG355" s="153"/>
      <c r="CH355" s="153"/>
      <c r="CI355" s="153"/>
      <c r="CJ355" s="153"/>
      <c r="CK355" s="153"/>
      <c r="CL355" s="153"/>
      <c r="CM355" s="153"/>
      <c r="CN355" s="153"/>
      <c r="CO355" s="153"/>
      <c r="CP355" s="153"/>
      <c r="CQ355" s="153"/>
      <c r="CR355" s="153"/>
      <c r="CS355" s="153"/>
      <c r="CT355" s="153"/>
      <c r="CU355" s="153"/>
      <c r="CV355" s="153"/>
      <c r="CW355" s="153"/>
      <c r="CX355" s="153"/>
      <c r="CY355" s="153"/>
      <c r="CZ355" s="153"/>
      <c r="DA355" s="153"/>
      <c r="DB355" s="153"/>
      <c r="DC355" s="153"/>
      <c r="DD355" s="153"/>
      <c r="DE355" s="153"/>
      <c r="DF355" s="153"/>
      <c r="DG355" s="153"/>
      <c r="DH355" s="153"/>
      <c r="DI355" s="153"/>
      <c r="DJ355" s="153"/>
      <c r="DK355" s="153"/>
      <c r="DL355" s="153"/>
      <c r="DM355" s="153"/>
      <c r="DN355" s="153"/>
      <c r="DO355" s="153"/>
      <c r="DP355" s="153"/>
      <c r="DQ355" s="153"/>
      <c r="DR355" s="153"/>
      <c r="DS355" s="153"/>
      <c r="DT355" s="153"/>
      <c r="DU355" s="153"/>
      <c r="DV355" s="153"/>
      <c r="DW355" s="153"/>
      <c r="DX355" s="153"/>
      <c r="DY355" s="153"/>
      <c r="DZ355" s="153"/>
      <c r="EA355" s="153"/>
      <c r="EB355" s="153"/>
      <c r="EC355" s="153"/>
      <c r="ED355" s="153"/>
      <c r="EE355" s="153"/>
      <c r="EF355" s="153"/>
      <c r="EG355" s="153"/>
      <c r="EH355" s="153"/>
      <c r="EI355" s="153"/>
      <c r="EJ355" s="153"/>
      <c r="EK355" s="153"/>
      <c r="EL355" s="153"/>
      <c r="EM355" s="153"/>
    </row>
    <row r="356" spans="1:143" s="107" customFormat="1" ht="10.5" hidden="1" customHeight="1" outlineLevel="2">
      <c r="A356" s="1548">
        <v>331</v>
      </c>
      <c r="B356" s="1560" t="str">
        <f t="shared" si="7"/>
        <v/>
      </c>
      <c r="C356" s="161" t="str">
        <f>GasTime(GasAnalyser,'Horiba Data'!F349,'Horiba Data'!G349,'Testo, JUM &amp; MRU Data'!A350,'Thermo Data'!B349,HourOffset)</f>
        <v/>
      </c>
      <c r="D356" s="981" t="str">
        <f>IF(D$17=FALSE,"",GasData(GasAnalyser,'Horiba Data'!S349,'Testo, JUM &amp; MRU Data'!D350,'Thermo Data'!E349,'Testo, JUM &amp; MRU Data'!U350,GDF))</f>
        <v/>
      </c>
      <c r="E356" s="981" t="str">
        <f>IF(D356="","",Conc2(D356,D$9,MolVol,D$21,D$20,E$21,E$20))</f>
        <v/>
      </c>
      <c r="F356" s="981" t="str">
        <f>IF(F$17=FALSE,"",GasData(GasAnalyser,'Horiba Data'!AQ349,'Testo, JUM &amp; MRU Data'!E350,'Thermo Data'!F349,'Testo, JUM &amp; MRU Data'!V350,GDF))</f>
        <v/>
      </c>
      <c r="G356" s="981" t="str">
        <f>IF(F356="","",Conc2(F356,F$9,MolVol,F$21,F$20,G$21,G$20))</f>
        <v/>
      </c>
      <c r="H356" s="981" t="str">
        <f>IF(D$17=FALSE,"",IF(F$17=FALSE,"",GasData(GasAnalyser,'Horiba Data'!W349,'Testo, JUM &amp; MRU Data'!F350,'Thermo Data'!G349,'Testo, JUM &amp; MRU Data'!Y350,GDF)))</f>
        <v/>
      </c>
      <c r="I356" s="981" t="str">
        <f>IF(H356="","",Conc2(H356,H$9,MolVol,H$21,H$20,I$21,I$20))</f>
        <v/>
      </c>
      <c r="J356" s="981" t="str">
        <f>IF(J$17=FALSE,"",GasData(GasAnalyser,'Horiba Data'!AM349,'Testo, JUM &amp; MRU Data'!G350,'Thermo Data'!H349,'Testo, JUM &amp; MRU Data'!W350,GDF))</f>
        <v/>
      </c>
      <c r="K356" s="981" t="str">
        <f>IF(J356="","",Conc2(J356,J$9,MolVol,J$21,J$20,K$21,K$20))</f>
        <v/>
      </c>
      <c r="L356" s="981" t="str">
        <f>IF(L$17=FALSE,"",GasData(GasAnalyser,'Horiba Data'!AA349,'Testo, JUM &amp; MRU Data'!H350,'Thermo Data'!I349,'Testo, JUM &amp; MRU Data'!T350,GDF))</f>
        <v/>
      </c>
      <c r="M356" s="981" t="str">
        <f>IF(L356="","",Conc2(L356,L$9,MolVol,L$21,L$20,M$21,M$20))</f>
        <v/>
      </c>
      <c r="N356" s="981" t="str">
        <f>IF(N$17=FALSE,"",GasData(GasAnalyser,'Horiba Data'!AE349,'Testo, JUM &amp; MRU Data'!I350,'Thermo Data'!J349,'Testo, JUM &amp; MRU Data'!S350,GDF))</f>
        <v/>
      </c>
      <c r="O356" s="981" t="str">
        <f>IF(N356="","",Conc2(N356,N$9,MolVol,N$21,N$20,O$21,O$20))</f>
        <v/>
      </c>
      <c r="P356" s="981" t="str">
        <f>IF(P$17=FALSE,"",GasData(GasAnalyser,'Horiba Data'!AI349,'Testo, JUM &amp; MRU Data'!J350,'Thermo Data'!K349,'Testo, JUM &amp; MRU Data'!R350,GDF))</f>
        <v/>
      </c>
      <c r="Q356" s="981" t="str">
        <f>IF(P356="","",Conc2(P356,P$9,MolVol,P$21,P$20,Q$21,Q$20))</f>
        <v/>
      </c>
      <c r="R356" s="981" t="str">
        <f>IF(R$17=FALSE,"",JUMData('Testo, JUM &amp; MRU Data'!M350,$R$7))</f>
        <v/>
      </c>
      <c r="S356" s="982" t="str">
        <f>IF(R356="","",Conc2(R356,R$9,MolVol,R$21,R$20,S$21,S$20)/(1-Bws))</f>
        <v/>
      </c>
      <c r="T356" s="740"/>
      <c r="AR356" s="334"/>
      <c r="AS356" s="334"/>
      <c r="AT356" s="48"/>
      <c r="AU356" s="48"/>
      <c r="AV356" s="153"/>
      <c r="AW356" s="153"/>
      <c r="AX356" s="153"/>
      <c r="AY356" s="153"/>
      <c r="AZ356" s="153"/>
      <c r="BA356" s="153"/>
      <c r="BB356" s="153"/>
      <c r="BC356" s="153"/>
      <c r="BD356" s="153"/>
      <c r="BE356" s="153"/>
      <c r="BF356" s="153"/>
      <c r="BG356" s="153"/>
      <c r="BH356" s="153"/>
      <c r="BI356" s="153"/>
      <c r="BJ356" s="153"/>
      <c r="BK356" s="153"/>
      <c r="BL356" s="153"/>
      <c r="BM356" s="153"/>
      <c r="BN356" s="153"/>
      <c r="BO356" s="153"/>
      <c r="BP356" s="153"/>
      <c r="BQ356" s="153"/>
      <c r="BR356" s="153"/>
      <c r="BS356" s="153"/>
      <c r="BT356" s="153"/>
      <c r="BU356" s="153"/>
      <c r="BV356" s="153"/>
      <c r="BW356" s="153"/>
      <c r="BX356" s="153"/>
      <c r="BY356" s="153"/>
      <c r="BZ356" s="153"/>
      <c r="CA356" s="153"/>
      <c r="CB356" s="153"/>
      <c r="CC356" s="153"/>
      <c r="CD356" s="153"/>
      <c r="CE356" s="153"/>
      <c r="CF356" s="153"/>
      <c r="CG356" s="153"/>
      <c r="CH356" s="153"/>
      <c r="CI356" s="153"/>
      <c r="CJ356" s="153"/>
      <c r="CK356" s="153"/>
      <c r="CL356" s="153"/>
      <c r="CM356" s="153"/>
      <c r="CN356" s="153"/>
      <c r="CO356" s="153"/>
      <c r="CP356" s="153"/>
      <c r="CQ356" s="153"/>
      <c r="CR356" s="153"/>
      <c r="CS356" s="153"/>
      <c r="CT356" s="153"/>
      <c r="CU356" s="153"/>
      <c r="CV356" s="153"/>
      <c r="CW356" s="153"/>
      <c r="CX356" s="153"/>
      <c r="CY356" s="153"/>
      <c r="CZ356" s="153"/>
      <c r="DA356" s="153"/>
      <c r="DB356" s="153"/>
      <c r="DC356" s="153"/>
      <c r="DD356" s="153"/>
      <c r="DE356" s="153"/>
      <c r="DF356" s="153"/>
      <c r="DG356" s="153"/>
      <c r="DH356" s="153"/>
      <c r="DI356" s="153"/>
      <c r="DJ356" s="153"/>
      <c r="DK356" s="153"/>
      <c r="DL356" s="153"/>
      <c r="DM356" s="153"/>
      <c r="DN356" s="153"/>
      <c r="DO356" s="153"/>
      <c r="DP356" s="153"/>
      <c r="DQ356" s="153"/>
      <c r="DR356" s="153"/>
      <c r="DS356" s="153"/>
      <c r="DT356" s="153"/>
      <c r="DU356" s="153"/>
      <c r="DV356" s="153"/>
      <c r="DW356" s="153"/>
      <c r="DX356" s="153"/>
      <c r="DY356" s="153"/>
      <c r="DZ356" s="153"/>
      <c r="EA356" s="153"/>
      <c r="EB356" s="153"/>
      <c r="EC356" s="153"/>
      <c r="ED356" s="153"/>
      <c r="EE356" s="153"/>
      <c r="EF356" s="153"/>
      <c r="EG356" s="153"/>
      <c r="EH356" s="153"/>
      <c r="EI356" s="153"/>
      <c r="EJ356" s="153"/>
      <c r="EK356" s="153"/>
      <c r="EL356" s="153"/>
      <c r="EM356" s="153"/>
    </row>
    <row r="357" spans="1:143" s="107" customFormat="1" ht="10.5" hidden="1" customHeight="1" outlineLevel="2">
      <c r="A357" s="1548">
        <v>332</v>
      </c>
      <c r="B357" s="1560" t="str">
        <f t="shared" si="7"/>
        <v/>
      </c>
      <c r="C357" s="161" t="str">
        <f>GasTime(GasAnalyser,'Horiba Data'!F350,'Horiba Data'!G350,'Testo, JUM &amp; MRU Data'!A351,'Thermo Data'!B350,HourOffset)</f>
        <v/>
      </c>
      <c r="D357" s="981" t="str">
        <f>IF(D$17=FALSE,"",GasData(GasAnalyser,'Horiba Data'!S350,'Testo, JUM &amp; MRU Data'!D351,'Thermo Data'!E350,'Testo, JUM &amp; MRU Data'!U351,GDF))</f>
        <v/>
      </c>
      <c r="E357" s="981" t="str">
        <f>IF(D357="","",Conc2(D357,D$9,MolVol,D$21,D$20,E$21,E$20))</f>
        <v/>
      </c>
      <c r="F357" s="981" t="str">
        <f>IF(F$17=FALSE,"",GasData(GasAnalyser,'Horiba Data'!AQ350,'Testo, JUM &amp; MRU Data'!E351,'Thermo Data'!F350,'Testo, JUM &amp; MRU Data'!V351,GDF))</f>
        <v/>
      </c>
      <c r="G357" s="981" t="str">
        <f>IF(F357="","",Conc2(F357,F$9,MolVol,F$21,F$20,G$21,G$20))</f>
        <v/>
      </c>
      <c r="H357" s="981" t="str">
        <f>IF(D$17=FALSE,"",IF(F$17=FALSE,"",GasData(GasAnalyser,'Horiba Data'!W350,'Testo, JUM &amp; MRU Data'!F351,'Thermo Data'!G350,'Testo, JUM &amp; MRU Data'!Y351,GDF)))</f>
        <v/>
      </c>
      <c r="I357" s="981" t="str">
        <f>IF(H357="","",Conc2(H357,H$9,MolVol,H$21,H$20,I$21,I$20))</f>
        <v/>
      </c>
      <c r="J357" s="981" t="str">
        <f>IF(J$17=FALSE,"",GasData(GasAnalyser,'Horiba Data'!AM350,'Testo, JUM &amp; MRU Data'!G351,'Thermo Data'!H350,'Testo, JUM &amp; MRU Data'!W351,GDF))</f>
        <v/>
      </c>
      <c r="K357" s="981" t="str">
        <f>IF(J357="","",Conc2(J357,J$9,MolVol,J$21,J$20,K$21,K$20))</f>
        <v/>
      </c>
      <c r="L357" s="981" t="str">
        <f>IF(L$17=FALSE,"",GasData(GasAnalyser,'Horiba Data'!AA350,'Testo, JUM &amp; MRU Data'!H351,'Thermo Data'!I350,'Testo, JUM &amp; MRU Data'!T351,GDF))</f>
        <v/>
      </c>
      <c r="M357" s="981" t="str">
        <f>IF(L357="","",Conc2(L357,L$9,MolVol,L$21,L$20,M$21,M$20))</f>
        <v/>
      </c>
      <c r="N357" s="981" t="str">
        <f>IF(N$17=FALSE,"",GasData(GasAnalyser,'Horiba Data'!AE350,'Testo, JUM &amp; MRU Data'!I351,'Thermo Data'!J350,'Testo, JUM &amp; MRU Data'!S351,GDF))</f>
        <v/>
      </c>
      <c r="O357" s="981" t="str">
        <f>IF(N357="","",Conc2(N357,N$9,MolVol,N$21,N$20,O$21,O$20))</f>
        <v/>
      </c>
      <c r="P357" s="981" t="str">
        <f>IF(P$17=FALSE,"",GasData(GasAnalyser,'Horiba Data'!AI350,'Testo, JUM &amp; MRU Data'!J351,'Thermo Data'!K350,'Testo, JUM &amp; MRU Data'!R351,GDF))</f>
        <v/>
      </c>
      <c r="Q357" s="981" t="str">
        <f>IF(P357="","",Conc2(P357,P$9,MolVol,P$21,P$20,Q$21,Q$20))</f>
        <v/>
      </c>
      <c r="R357" s="981" t="str">
        <f>IF(R$17=FALSE,"",JUMData('Testo, JUM &amp; MRU Data'!M351,$R$7))</f>
        <v/>
      </c>
      <c r="S357" s="982" t="str">
        <f>IF(R357="","",Conc2(R357,R$9,MolVol,R$21,R$20,S$21,S$20)/(1-Bws))</f>
        <v/>
      </c>
      <c r="T357" s="740"/>
      <c r="AR357" s="334"/>
      <c r="AS357" s="334"/>
      <c r="AT357" s="48"/>
      <c r="AU357" s="48"/>
      <c r="AV357" s="153"/>
      <c r="AW357" s="153"/>
      <c r="AX357" s="153"/>
      <c r="AY357" s="153"/>
      <c r="AZ357" s="153"/>
      <c r="BA357" s="153"/>
      <c r="BB357" s="153"/>
      <c r="BC357" s="153"/>
      <c r="BD357" s="153"/>
      <c r="BE357" s="153"/>
      <c r="BF357" s="153"/>
      <c r="BG357" s="153"/>
      <c r="BH357" s="153"/>
      <c r="BI357" s="153"/>
      <c r="BJ357" s="153"/>
      <c r="BK357" s="153"/>
      <c r="BL357" s="153"/>
      <c r="BM357" s="153"/>
      <c r="BN357" s="153"/>
      <c r="BO357" s="153"/>
      <c r="BP357" s="153"/>
      <c r="BQ357" s="153"/>
      <c r="BR357" s="153"/>
      <c r="BS357" s="153"/>
      <c r="BT357" s="153"/>
      <c r="BU357" s="153"/>
      <c r="BV357" s="153"/>
      <c r="BW357" s="153"/>
      <c r="BX357" s="153"/>
      <c r="BY357" s="153"/>
      <c r="BZ357" s="153"/>
      <c r="CA357" s="153"/>
      <c r="CB357" s="153"/>
      <c r="CC357" s="153"/>
      <c r="CD357" s="153"/>
      <c r="CE357" s="153"/>
      <c r="CF357" s="153"/>
      <c r="CG357" s="153"/>
      <c r="CH357" s="153"/>
      <c r="CI357" s="153"/>
      <c r="CJ357" s="153"/>
      <c r="CK357" s="153"/>
      <c r="CL357" s="153"/>
      <c r="CM357" s="153"/>
      <c r="CN357" s="153"/>
      <c r="CO357" s="153"/>
      <c r="CP357" s="153"/>
      <c r="CQ357" s="153"/>
      <c r="CR357" s="153"/>
      <c r="CS357" s="153"/>
      <c r="CT357" s="153"/>
      <c r="CU357" s="153"/>
      <c r="CV357" s="153"/>
      <c r="CW357" s="153"/>
      <c r="CX357" s="153"/>
      <c r="CY357" s="153"/>
      <c r="CZ357" s="153"/>
      <c r="DA357" s="153"/>
      <c r="DB357" s="153"/>
      <c r="DC357" s="153"/>
      <c r="DD357" s="153"/>
      <c r="DE357" s="153"/>
      <c r="DF357" s="153"/>
      <c r="DG357" s="153"/>
      <c r="DH357" s="153"/>
      <c r="DI357" s="153"/>
      <c r="DJ357" s="153"/>
      <c r="DK357" s="153"/>
      <c r="DL357" s="153"/>
      <c r="DM357" s="153"/>
      <c r="DN357" s="153"/>
      <c r="DO357" s="153"/>
      <c r="DP357" s="153"/>
      <c r="DQ357" s="153"/>
      <c r="DR357" s="153"/>
      <c r="DS357" s="153"/>
      <c r="DT357" s="153"/>
      <c r="DU357" s="153"/>
      <c r="DV357" s="153"/>
      <c r="DW357" s="153"/>
      <c r="DX357" s="153"/>
      <c r="DY357" s="153"/>
      <c r="DZ357" s="153"/>
      <c r="EA357" s="153"/>
      <c r="EB357" s="153"/>
      <c r="EC357" s="153"/>
      <c r="ED357" s="153"/>
      <c r="EE357" s="153"/>
      <c r="EF357" s="153"/>
      <c r="EG357" s="153"/>
      <c r="EH357" s="153"/>
      <c r="EI357" s="153"/>
      <c r="EJ357" s="153"/>
      <c r="EK357" s="153"/>
      <c r="EL357" s="153"/>
      <c r="EM357" s="153"/>
    </row>
    <row r="358" spans="1:143" s="107" customFormat="1" ht="10.5" hidden="1" customHeight="1" outlineLevel="2">
      <c r="A358" s="1548">
        <v>333</v>
      </c>
      <c r="B358" s="1560" t="str">
        <f t="shared" si="7"/>
        <v/>
      </c>
      <c r="C358" s="161" t="str">
        <f>GasTime(GasAnalyser,'Horiba Data'!F351,'Horiba Data'!G351,'Testo, JUM &amp; MRU Data'!A352,'Thermo Data'!B351,HourOffset)</f>
        <v/>
      </c>
      <c r="D358" s="981" t="str">
        <f>IF(D$17=FALSE,"",GasData(GasAnalyser,'Horiba Data'!S351,'Testo, JUM &amp; MRU Data'!D352,'Thermo Data'!E351,'Testo, JUM &amp; MRU Data'!U352,GDF))</f>
        <v/>
      </c>
      <c r="E358" s="981" t="str">
        <f>IF(D358="","",Conc2(D358,D$9,MolVol,D$21,D$20,E$21,E$20))</f>
        <v/>
      </c>
      <c r="F358" s="981" t="str">
        <f>IF(F$17=FALSE,"",GasData(GasAnalyser,'Horiba Data'!AQ351,'Testo, JUM &amp; MRU Data'!E352,'Thermo Data'!F351,'Testo, JUM &amp; MRU Data'!V352,GDF))</f>
        <v/>
      </c>
      <c r="G358" s="981" t="str">
        <f>IF(F358="","",Conc2(F358,F$9,MolVol,F$21,F$20,G$21,G$20))</f>
        <v/>
      </c>
      <c r="H358" s="981" t="str">
        <f>IF(D$17=FALSE,"",IF(F$17=FALSE,"",GasData(GasAnalyser,'Horiba Data'!W351,'Testo, JUM &amp; MRU Data'!F352,'Thermo Data'!G351,'Testo, JUM &amp; MRU Data'!Y352,GDF)))</f>
        <v/>
      </c>
      <c r="I358" s="981" t="str">
        <f>IF(H358="","",Conc2(H358,H$9,MolVol,H$21,H$20,I$21,I$20))</f>
        <v/>
      </c>
      <c r="J358" s="981" t="str">
        <f>IF(J$17=FALSE,"",GasData(GasAnalyser,'Horiba Data'!AM351,'Testo, JUM &amp; MRU Data'!G352,'Thermo Data'!H351,'Testo, JUM &amp; MRU Data'!W352,GDF))</f>
        <v/>
      </c>
      <c r="K358" s="981" t="str">
        <f>IF(J358="","",Conc2(J358,J$9,MolVol,J$21,J$20,K$21,K$20))</f>
        <v/>
      </c>
      <c r="L358" s="981" t="str">
        <f>IF(L$17=FALSE,"",GasData(GasAnalyser,'Horiba Data'!AA351,'Testo, JUM &amp; MRU Data'!H352,'Thermo Data'!I351,'Testo, JUM &amp; MRU Data'!T352,GDF))</f>
        <v/>
      </c>
      <c r="M358" s="981" t="str">
        <f>IF(L358="","",Conc2(L358,L$9,MolVol,L$21,L$20,M$21,M$20))</f>
        <v/>
      </c>
      <c r="N358" s="981" t="str">
        <f>IF(N$17=FALSE,"",GasData(GasAnalyser,'Horiba Data'!AE351,'Testo, JUM &amp; MRU Data'!I352,'Thermo Data'!J351,'Testo, JUM &amp; MRU Data'!S352,GDF))</f>
        <v/>
      </c>
      <c r="O358" s="981" t="str">
        <f>IF(N358="","",Conc2(N358,N$9,MolVol,N$21,N$20,O$21,O$20))</f>
        <v/>
      </c>
      <c r="P358" s="981" t="str">
        <f>IF(P$17=FALSE,"",GasData(GasAnalyser,'Horiba Data'!AI351,'Testo, JUM &amp; MRU Data'!J352,'Thermo Data'!K351,'Testo, JUM &amp; MRU Data'!R352,GDF))</f>
        <v/>
      </c>
      <c r="Q358" s="981" t="str">
        <f>IF(P358="","",Conc2(P358,P$9,MolVol,P$21,P$20,Q$21,Q$20))</f>
        <v/>
      </c>
      <c r="R358" s="981" t="str">
        <f>IF(R$17=FALSE,"",JUMData('Testo, JUM &amp; MRU Data'!M352,$R$7))</f>
        <v/>
      </c>
      <c r="S358" s="982" t="str">
        <f>IF(R358="","",Conc2(R358,R$9,MolVol,R$21,R$20,S$21,S$20)/(1-Bws))</f>
        <v/>
      </c>
      <c r="T358" s="740"/>
      <c r="AR358" s="334"/>
      <c r="AS358" s="334"/>
      <c r="AT358" s="48"/>
      <c r="AU358" s="48"/>
      <c r="AV358" s="153"/>
      <c r="AW358" s="153"/>
      <c r="AX358" s="153"/>
      <c r="AY358" s="153"/>
      <c r="AZ358" s="153"/>
      <c r="BA358" s="153"/>
      <c r="BB358" s="153"/>
      <c r="BC358" s="153"/>
      <c r="BD358" s="153"/>
      <c r="BE358" s="153"/>
      <c r="BF358" s="153"/>
      <c r="BG358" s="153"/>
      <c r="BH358" s="153"/>
      <c r="BI358" s="153"/>
      <c r="BJ358" s="153"/>
      <c r="BK358" s="153"/>
      <c r="BL358" s="153"/>
      <c r="BM358" s="153"/>
      <c r="BN358" s="153"/>
      <c r="BO358" s="153"/>
      <c r="BP358" s="153"/>
      <c r="BQ358" s="153"/>
      <c r="BR358" s="153"/>
      <c r="BS358" s="153"/>
      <c r="BT358" s="153"/>
      <c r="BU358" s="153"/>
      <c r="BV358" s="153"/>
      <c r="BW358" s="153"/>
      <c r="BX358" s="153"/>
      <c r="BY358" s="153"/>
      <c r="BZ358" s="153"/>
      <c r="CA358" s="153"/>
      <c r="CB358" s="153"/>
      <c r="CC358" s="153"/>
      <c r="CD358" s="153"/>
      <c r="CE358" s="153"/>
      <c r="CF358" s="153"/>
      <c r="CG358" s="153"/>
      <c r="CH358" s="153"/>
      <c r="CI358" s="153"/>
      <c r="CJ358" s="153"/>
      <c r="CK358" s="153"/>
      <c r="CL358" s="153"/>
      <c r="CM358" s="153"/>
      <c r="CN358" s="153"/>
      <c r="CO358" s="153"/>
      <c r="CP358" s="153"/>
      <c r="CQ358" s="153"/>
      <c r="CR358" s="153"/>
      <c r="CS358" s="153"/>
      <c r="CT358" s="153"/>
      <c r="CU358" s="153"/>
      <c r="CV358" s="153"/>
      <c r="CW358" s="153"/>
      <c r="CX358" s="153"/>
      <c r="CY358" s="153"/>
      <c r="CZ358" s="153"/>
      <c r="DA358" s="153"/>
      <c r="DB358" s="153"/>
      <c r="DC358" s="153"/>
      <c r="DD358" s="153"/>
      <c r="DE358" s="153"/>
      <c r="DF358" s="153"/>
      <c r="DG358" s="153"/>
      <c r="DH358" s="153"/>
      <c r="DI358" s="153"/>
      <c r="DJ358" s="153"/>
      <c r="DK358" s="153"/>
      <c r="DL358" s="153"/>
      <c r="DM358" s="153"/>
      <c r="DN358" s="153"/>
      <c r="DO358" s="153"/>
      <c r="DP358" s="153"/>
      <c r="DQ358" s="153"/>
      <c r="DR358" s="153"/>
      <c r="DS358" s="153"/>
      <c r="DT358" s="153"/>
      <c r="DU358" s="153"/>
      <c r="DV358" s="153"/>
      <c r="DW358" s="153"/>
      <c r="DX358" s="153"/>
      <c r="DY358" s="153"/>
      <c r="DZ358" s="153"/>
      <c r="EA358" s="153"/>
      <c r="EB358" s="153"/>
      <c r="EC358" s="153"/>
      <c r="ED358" s="153"/>
      <c r="EE358" s="153"/>
      <c r="EF358" s="153"/>
      <c r="EG358" s="153"/>
      <c r="EH358" s="153"/>
      <c r="EI358" s="153"/>
      <c r="EJ358" s="153"/>
      <c r="EK358" s="153"/>
      <c r="EL358" s="153"/>
      <c r="EM358" s="153"/>
    </row>
    <row r="359" spans="1:143" s="107" customFormat="1" ht="10.5" hidden="1" customHeight="1" outlineLevel="2">
      <c r="A359" s="1548">
        <v>334</v>
      </c>
      <c r="B359" s="1560" t="str">
        <f t="shared" si="7"/>
        <v/>
      </c>
      <c r="C359" s="161" t="str">
        <f>GasTime(GasAnalyser,'Horiba Data'!F352,'Horiba Data'!G352,'Testo, JUM &amp; MRU Data'!A353,'Thermo Data'!B352,HourOffset)</f>
        <v/>
      </c>
      <c r="D359" s="981" t="str">
        <f>IF(D$17=FALSE,"",GasData(GasAnalyser,'Horiba Data'!S352,'Testo, JUM &amp; MRU Data'!D353,'Thermo Data'!E352,'Testo, JUM &amp; MRU Data'!U353,GDF))</f>
        <v/>
      </c>
      <c r="E359" s="981" t="str">
        <f>IF(D359="","",Conc2(D359,D$9,MolVol,D$21,D$20,E$21,E$20))</f>
        <v/>
      </c>
      <c r="F359" s="981" t="str">
        <f>IF(F$17=FALSE,"",GasData(GasAnalyser,'Horiba Data'!AQ352,'Testo, JUM &amp; MRU Data'!E353,'Thermo Data'!F352,'Testo, JUM &amp; MRU Data'!V353,GDF))</f>
        <v/>
      </c>
      <c r="G359" s="981" t="str">
        <f>IF(F359="","",Conc2(F359,F$9,MolVol,F$21,F$20,G$21,G$20))</f>
        <v/>
      </c>
      <c r="H359" s="981" t="str">
        <f>IF(D$17=FALSE,"",IF(F$17=FALSE,"",GasData(GasAnalyser,'Horiba Data'!W352,'Testo, JUM &amp; MRU Data'!F353,'Thermo Data'!G352,'Testo, JUM &amp; MRU Data'!Y353,GDF)))</f>
        <v/>
      </c>
      <c r="I359" s="981" t="str">
        <f>IF(H359="","",Conc2(H359,H$9,MolVol,H$21,H$20,I$21,I$20))</f>
        <v/>
      </c>
      <c r="J359" s="981" t="str">
        <f>IF(J$17=FALSE,"",GasData(GasAnalyser,'Horiba Data'!AM352,'Testo, JUM &amp; MRU Data'!G353,'Thermo Data'!H352,'Testo, JUM &amp; MRU Data'!W353,GDF))</f>
        <v/>
      </c>
      <c r="K359" s="981" t="str">
        <f>IF(J359="","",Conc2(J359,J$9,MolVol,J$21,J$20,K$21,K$20))</f>
        <v/>
      </c>
      <c r="L359" s="981" t="str">
        <f>IF(L$17=FALSE,"",GasData(GasAnalyser,'Horiba Data'!AA352,'Testo, JUM &amp; MRU Data'!H353,'Thermo Data'!I352,'Testo, JUM &amp; MRU Data'!T353,GDF))</f>
        <v/>
      </c>
      <c r="M359" s="981" t="str">
        <f>IF(L359="","",Conc2(L359,L$9,MolVol,L$21,L$20,M$21,M$20))</f>
        <v/>
      </c>
      <c r="N359" s="981" t="str">
        <f>IF(N$17=FALSE,"",GasData(GasAnalyser,'Horiba Data'!AE352,'Testo, JUM &amp; MRU Data'!I353,'Thermo Data'!J352,'Testo, JUM &amp; MRU Data'!S353,GDF))</f>
        <v/>
      </c>
      <c r="O359" s="981" t="str">
        <f>IF(N359="","",Conc2(N359,N$9,MolVol,N$21,N$20,O$21,O$20))</f>
        <v/>
      </c>
      <c r="P359" s="981" t="str">
        <f>IF(P$17=FALSE,"",GasData(GasAnalyser,'Horiba Data'!AI352,'Testo, JUM &amp; MRU Data'!J353,'Thermo Data'!K352,'Testo, JUM &amp; MRU Data'!R353,GDF))</f>
        <v/>
      </c>
      <c r="Q359" s="981" t="str">
        <f>IF(P359="","",Conc2(P359,P$9,MolVol,P$21,P$20,Q$21,Q$20))</f>
        <v/>
      </c>
      <c r="R359" s="981" t="str">
        <f>IF(R$17=FALSE,"",JUMData('Testo, JUM &amp; MRU Data'!M353,$R$7))</f>
        <v/>
      </c>
      <c r="S359" s="982" t="str">
        <f>IF(R359="","",Conc2(R359,R$9,MolVol,R$21,R$20,S$21,S$20)/(1-Bws))</f>
        <v/>
      </c>
      <c r="T359" s="740"/>
      <c r="AR359" s="334"/>
      <c r="AS359" s="334"/>
      <c r="AT359" s="48"/>
      <c r="AU359" s="48"/>
      <c r="AV359" s="153"/>
      <c r="AW359" s="153"/>
      <c r="AX359" s="153"/>
      <c r="AY359" s="153"/>
      <c r="AZ359" s="153"/>
      <c r="BA359" s="153"/>
      <c r="BB359" s="153"/>
      <c r="BC359" s="153"/>
      <c r="BD359" s="153"/>
      <c r="BE359" s="153"/>
      <c r="BF359" s="153"/>
      <c r="BG359" s="153"/>
      <c r="BH359" s="153"/>
      <c r="BI359" s="153"/>
      <c r="BJ359" s="153"/>
      <c r="BK359" s="153"/>
      <c r="BL359" s="153"/>
      <c r="BM359" s="153"/>
      <c r="BN359" s="153"/>
      <c r="BO359" s="153"/>
      <c r="BP359" s="153"/>
      <c r="BQ359" s="153"/>
      <c r="BR359" s="153"/>
      <c r="BS359" s="153"/>
      <c r="BT359" s="153"/>
      <c r="BU359" s="153"/>
      <c r="BV359" s="153"/>
      <c r="BW359" s="153"/>
      <c r="BX359" s="153"/>
      <c r="BY359" s="153"/>
      <c r="BZ359" s="153"/>
      <c r="CA359" s="153"/>
      <c r="CB359" s="153"/>
      <c r="CC359" s="153"/>
      <c r="CD359" s="153"/>
      <c r="CE359" s="153"/>
      <c r="CF359" s="153"/>
      <c r="CG359" s="153"/>
      <c r="CH359" s="153"/>
      <c r="CI359" s="153"/>
      <c r="CJ359" s="153"/>
      <c r="CK359" s="153"/>
      <c r="CL359" s="153"/>
      <c r="CM359" s="153"/>
      <c r="CN359" s="153"/>
      <c r="CO359" s="153"/>
      <c r="CP359" s="153"/>
      <c r="CQ359" s="153"/>
      <c r="CR359" s="153"/>
      <c r="CS359" s="153"/>
      <c r="CT359" s="153"/>
      <c r="CU359" s="153"/>
      <c r="CV359" s="153"/>
      <c r="CW359" s="153"/>
      <c r="CX359" s="153"/>
      <c r="CY359" s="153"/>
      <c r="CZ359" s="153"/>
      <c r="DA359" s="153"/>
      <c r="DB359" s="153"/>
      <c r="DC359" s="153"/>
      <c r="DD359" s="153"/>
      <c r="DE359" s="153"/>
      <c r="DF359" s="153"/>
      <c r="DG359" s="153"/>
      <c r="DH359" s="153"/>
      <c r="DI359" s="153"/>
      <c r="DJ359" s="153"/>
      <c r="DK359" s="153"/>
      <c r="DL359" s="153"/>
      <c r="DM359" s="153"/>
      <c r="DN359" s="153"/>
      <c r="DO359" s="153"/>
      <c r="DP359" s="153"/>
      <c r="DQ359" s="153"/>
      <c r="DR359" s="153"/>
      <c r="DS359" s="153"/>
      <c r="DT359" s="153"/>
      <c r="DU359" s="153"/>
      <c r="DV359" s="153"/>
      <c r="DW359" s="153"/>
      <c r="DX359" s="153"/>
      <c r="DY359" s="153"/>
      <c r="DZ359" s="153"/>
      <c r="EA359" s="153"/>
      <c r="EB359" s="153"/>
      <c r="EC359" s="153"/>
      <c r="ED359" s="153"/>
      <c r="EE359" s="153"/>
      <c r="EF359" s="153"/>
      <c r="EG359" s="153"/>
      <c r="EH359" s="153"/>
      <c r="EI359" s="153"/>
      <c r="EJ359" s="153"/>
      <c r="EK359" s="153"/>
      <c r="EL359" s="153"/>
      <c r="EM359" s="153"/>
    </row>
    <row r="360" spans="1:143" s="107" customFormat="1" ht="10.5" hidden="1" customHeight="1" outlineLevel="2">
      <c r="A360" s="1548">
        <v>335</v>
      </c>
      <c r="B360" s="1560" t="str">
        <f t="shared" si="7"/>
        <v/>
      </c>
      <c r="C360" s="161" t="str">
        <f>GasTime(GasAnalyser,'Horiba Data'!F353,'Horiba Data'!G353,'Testo, JUM &amp; MRU Data'!A354,'Thermo Data'!B353,HourOffset)</f>
        <v/>
      </c>
      <c r="D360" s="981" t="str">
        <f>IF(D$17=FALSE,"",GasData(GasAnalyser,'Horiba Data'!S353,'Testo, JUM &amp; MRU Data'!D354,'Thermo Data'!E353,'Testo, JUM &amp; MRU Data'!U354,GDF))</f>
        <v/>
      </c>
      <c r="E360" s="981" t="str">
        <f>IF(D360="","",Conc2(D360,D$9,MolVol,D$21,D$20,E$21,E$20))</f>
        <v/>
      </c>
      <c r="F360" s="981" t="str">
        <f>IF(F$17=FALSE,"",GasData(GasAnalyser,'Horiba Data'!AQ353,'Testo, JUM &amp; MRU Data'!E354,'Thermo Data'!F353,'Testo, JUM &amp; MRU Data'!V354,GDF))</f>
        <v/>
      </c>
      <c r="G360" s="981" t="str">
        <f>IF(F360="","",Conc2(F360,F$9,MolVol,F$21,F$20,G$21,G$20))</f>
        <v/>
      </c>
      <c r="H360" s="981" t="str">
        <f>IF(D$17=FALSE,"",IF(F$17=FALSE,"",GasData(GasAnalyser,'Horiba Data'!W353,'Testo, JUM &amp; MRU Data'!F354,'Thermo Data'!G353,'Testo, JUM &amp; MRU Data'!Y354,GDF)))</f>
        <v/>
      </c>
      <c r="I360" s="981" t="str">
        <f>IF(H360="","",Conc2(H360,H$9,MolVol,H$21,H$20,I$21,I$20))</f>
        <v/>
      </c>
      <c r="J360" s="981" t="str">
        <f>IF(J$17=FALSE,"",GasData(GasAnalyser,'Horiba Data'!AM353,'Testo, JUM &amp; MRU Data'!G354,'Thermo Data'!H353,'Testo, JUM &amp; MRU Data'!W354,GDF))</f>
        <v/>
      </c>
      <c r="K360" s="981" t="str">
        <f>IF(J360="","",Conc2(J360,J$9,MolVol,J$21,J$20,K$21,K$20))</f>
        <v/>
      </c>
      <c r="L360" s="981" t="str">
        <f>IF(L$17=FALSE,"",GasData(GasAnalyser,'Horiba Data'!AA353,'Testo, JUM &amp; MRU Data'!H354,'Thermo Data'!I353,'Testo, JUM &amp; MRU Data'!T354,GDF))</f>
        <v/>
      </c>
      <c r="M360" s="981" t="str">
        <f>IF(L360="","",Conc2(L360,L$9,MolVol,L$21,L$20,M$21,M$20))</f>
        <v/>
      </c>
      <c r="N360" s="981" t="str">
        <f>IF(N$17=FALSE,"",GasData(GasAnalyser,'Horiba Data'!AE353,'Testo, JUM &amp; MRU Data'!I354,'Thermo Data'!J353,'Testo, JUM &amp; MRU Data'!S354,GDF))</f>
        <v/>
      </c>
      <c r="O360" s="981" t="str">
        <f>IF(N360="","",Conc2(N360,N$9,MolVol,N$21,N$20,O$21,O$20))</f>
        <v/>
      </c>
      <c r="P360" s="981" t="str">
        <f>IF(P$17=FALSE,"",GasData(GasAnalyser,'Horiba Data'!AI353,'Testo, JUM &amp; MRU Data'!J354,'Thermo Data'!K353,'Testo, JUM &amp; MRU Data'!R354,GDF))</f>
        <v/>
      </c>
      <c r="Q360" s="981" t="str">
        <f>IF(P360="","",Conc2(P360,P$9,MolVol,P$21,P$20,Q$21,Q$20))</f>
        <v/>
      </c>
      <c r="R360" s="981" t="str">
        <f>IF(R$17=FALSE,"",JUMData('Testo, JUM &amp; MRU Data'!M354,$R$7))</f>
        <v/>
      </c>
      <c r="S360" s="982" t="str">
        <f>IF(R360="","",Conc2(R360,R$9,MolVol,R$21,R$20,S$21,S$20)/(1-Bws))</f>
        <v/>
      </c>
      <c r="T360" s="740"/>
      <c r="AR360" s="334"/>
      <c r="AS360" s="334"/>
      <c r="AT360" s="48"/>
      <c r="AU360" s="48"/>
      <c r="AV360" s="153"/>
      <c r="AW360" s="153"/>
      <c r="AX360" s="153"/>
      <c r="AY360" s="153"/>
      <c r="AZ360" s="153"/>
      <c r="BA360" s="153"/>
      <c r="BB360" s="153"/>
      <c r="BC360" s="153"/>
      <c r="BD360" s="153"/>
      <c r="BE360" s="153"/>
      <c r="BF360" s="153"/>
      <c r="BG360" s="153"/>
      <c r="BH360" s="153"/>
      <c r="BI360" s="153"/>
      <c r="BJ360" s="153"/>
      <c r="BK360" s="153"/>
      <c r="BL360" s="153"/>
      <c r="BM360" s="153"/>
      <c r="BN360" s="153"/>
      <c r="BO360" s="153"/>
      <c r="BP360" s="153"/>
      <c r="BQ360" s="153"/>
      <c r="BR360" s="153"/>
      <c r="BS360" s="153"/>
      <c r="BT360" s="153"/>
      <c r="BU360" s="153"/>
      <c r="BV360" s="153"/>
      <c r="BW360" s="153"/>
      <c r="BX360" s="153"/>
      <c r="BY360" s="153"/>
      <c r="BZ360" s="153"/>
      <c r="CA360" s="153"/>
      <c r="CB360" s="153"/>
      <c r="CC360" s="153"/>
      <c r="CD360" s="153"/>
      <c r="CE360" s="153"/>
      <c r="CF360" s="153"/>
      <c r="CG360" s="153"/>
      <c r="CH360" s="153"/>
      <c r="CI360" s="153"/>
      <c r="CJ360" s="153"/>
      <c r="CK360" s="153"/>
      <c r="CL360" s="153"/>
      <c r="CM360" s="153"/>
      <c r="CN360" s="153"/>
      <c r="CO360" s="153"/>
      <c r="CP360" s="153"/>
      <c r="CQ360" s="153"/>
      <c r="CR360" s="153"/>
      <c r="CS360" s="153"/>
      <c r="CT360" s="153"/>
      <c r="CU360" s="153"/>
      <c r="CV360" s="153"/>
      <c r="CW360" s="153"/>
      <c r="CX360" s="153"/>
      <c r="CY360" s="153"/>
      <c r="CZ360" s="153"/>
      <c r="DA360" s="153"/>
      <c r="DB360" s="153"/>
      <c r="DC360" s="153"/>
      <c r="DD360" s="153"/>
      <c r="DE360" s="153"/>
      <c r="DF360" s="153"/>
      <c r="DG360" s="153"/>
      <c r="DH360" s="153"/>
      <c r="DI360" s="153"/>
      <c r="DJ360" s="153"/>
      <c r="DK360" s="153"/>
      <c r="DL360" s="153"/>
      <c r="DM360" s="153"/>
      <c r="DN360" s="153"/>
      <c r="DO360" s="153"/>
      <c r="DP360" s="153"/>
      <c r="DQ360" s="153"/>
      <c r="DR360" s="153"/>
      <c r="DS360" s="153"/>
      <c r="DT360" s="153"/>
      <c r="DU360" s="153"/>
      <c r="DV360" s="153"/>
      <c r="DW360" s="153"/>
      <c r="DX360" s="153"/>
      <c r="DY360" s="153"/>
      <c r="DZ360" s="153"/>
      <c r="EA360" s="153"/>
      <c r="EB360" s="153"/>
      <c r="EC360" s="153"/>
      <c r="ED360" s="153"/>
      <c r="EE360" s="153"/>
      <c r="EF360" s="153"/>
      <c r="EG360" s="153"/>
      <c r="EH360" s="153"/>
      <c r="EI360" s="153"/>
      <c r="EJ360" s="153"/>
      <c r="EK360" s="153"/>
      <c r="EL360" s="153"/>
      <c r="EM360" s="153"/>
    </row>
    <row r="361" spans="1:143" s="107" customFormat="1" ht="10.5" hidden="1" customHeight="1" outlineLevel="2">
      <c r="A361" s="1548">
        <v>336</v>
      </c>
      <c r="B361" s="1560" t="str">
        <f t="shared" si="7"/>
        <v/>
      </c>
      <c r="C361" s="161" t="str">
        <f>GasTime(GasAnalyser,'Horiba Data'!F354,'Horiba Data'!G354,'Testo, JUM &amp; MRU Data'!A355,'Thermo Data'!B354,HourOffset)</f>
        <v/>
      </c>
      <c r="D361" s="981" t="str">
        <f>IF(D$17=FALSE,"",GasData(GasAnalyser,'Horiba Data'!S354,'Testo, JUM &amp; MRU Data'!D355,'Thermo Data'!E354,'Testo, JUM &amp; MRU Data'!U355,GDF))</f>
        <v/>
      </c>
      <c r="E361" s="981" t="str">
        <f>IF(D361="","",Conc2(D361,D$9,MolVol,D$21,D$20,E$21,E$20))</f>
        <v/>
      </c>
      <c r="F361" s="981" t="str">
        <f>IF(F$17=FALSE,"",GasData(GasAnalyser,'Horiba Data'!AQ354,'Testo, JUM &amp; MRU Data'!E355,'Thermo Data'!F354,'Testo, JUM &amp; MRU Data'!V355,GDF))</f>
        <v/>
      </c>
      <c r="G361" s="981" t="str">
        <f>IF(F361="","",Conc2(F361,F$9,MolVol,F$21,F$20,G$21,G$20))</f>
        <v/>
      </c>
      <c r="H361" s="981" t="str">
        <f>IF(D$17=FALSE,"",IF(F$17=FALSE,"",GasData(GasAnalyser,'Horiba Data'!W354,'Testo, JUM &amp; MRU Data'!F355,'Thermo Data'!G354,'Testo, JUM &amp; MRU Data'!Y355,GDF)))</f>
        <v/>
      </c>
      <c r="I361" s="981" t="str">
        <f>IF(H361="","",Conc2(H361,H$9,MolVol,H$21,H$20,I$21,I$20))</f>
        <v/>
      </c>
      <c r="J361" s="981" t="str">
        <f>IF(J$17=FALSE,"",GasData(GasAnalyser,'Horiba Data'!AM354,'Testo, JUM &amp; MRU Data'!G355,'Thermo Data'!H354,'Testo, JUM &amp; MRU Data'!W355,GDF))</f>
        <v/>
      </c>
      <c r="K361" s="981" t="str">
        <f>IF(J361="","",Conc2(J361,J$9,MolVol,J$21,J$20,K$21,K$20))</f>
        <v/>
      </c>
      <c r="L361" s="981" t="str">
        <f>IF(L$17=FALSE,"",GasData(GasAnalyser,'Horiba Data'!AA354,'Testo, JUM &amp; MRU Data'!H355,'Thermo Data'!I354,'Testo, JUM &amp; MRU Data'!T355,GDF))</f>
        <v/>
      </c>
      <c r="M361" s="981" t="str">
        <f>IF(L361="","",Conc2(L361,L$9,MolVol,L$21,L$20,M$21,M$20))</f>
        <v/>
      </c>
      <c r="N361" s="981" t="str">
        <f>IF(N$17=FALSE,"",GasData(GasAnalyser,'Horiba Data'!AE354,'Testo, JUM &amp; MRU Data'!I355,'Thermo Data'!J354,'Testo, JUM &amp; MRU Data'!S355,GDF))</f>
        <v/>
      </c>
      <c r="O361" s="981" t="str">
        <f>IF(N361="","",Conc2(N361,N$9,MolVol,N$21,N$20,O$21,O$20))</f>
        <v/>
      </c>
      <c r="P361" s="981" t="str">
        <f>IF(P$17=FALSE,"",GasData(GasAnalyser,'Horiba Data'!AI354,'Testo, JUM &amp; MRU Data'!J355,'Thermo Data'!K354,'Testo, JUM &amp; MRU Data'!R355,GDF))</f>
        <v/>
      </c>
      <c r="Q361" s="981" t="str">
        <f>IF(P361="","",Conc2(P361,P$9,MolVol,P$21,P$20,Q$21,Q$20))</f>
        <v/>
      </c>
      <c r="R361" s="981" t="str">
        <f>IF(R$17=FALSE,"",JUMData('Testo, JUM &amp; MRU Data'!M355,$R$7))</f>
        <v/>
      </c>
      <c r="S361" s="982" t="str">
        <f>IF(R361="","",Conc2(R361,R$9,MolVol,R$21,R$20,S$21,S$20)/(1-Bws))</f>
        <v/>
      </c>
      <c r="T361" s="740"/>
      <c r="AR361" s="334"/>
      <c r="AS361" s="334"/>
      <c r="AT361" s="48"/>
      <c r="AU361" s="48"/>
      <c r="AV361" s="153"/>
      <c r="AW361" s="153"/>
      <c r="AX361" s="153"/>
      <c r="AY361" s="153"/>
      <c r="AZ361" s="153"/>
      <c r="BA361" s="153"/>
      <c r="BB361" s="153"/>
      <c r="BC361" s="153"/>
      <c r="BD361" s="153"/>
      <c r="BE361" s="153"/>
      <c r="BF361" s="153"/>
      <c r="BG361" s="153"/>
      <c r="BH361" s="153"/>
      <c r="BI361" s="153"/>
      <c r="BJ361" s="153"/>
      <c r="BK361" s="153"/>
      <c r="BL361" s="153"/>
      <c r="BM361" s="153"/>
      <c r="BN361" s="153"/>
      <c r="BO361" s="153"/>
      <c r="BP361" s="153"/>
      <c r="BQ361" s="153"/>
      <c r="BR361" s="153"/>
      <c r="BS361" s="153"/>
      <c r="BT361" s="153"/>
      <c r="BU361" s="153"/>
      <c r="BV361" s="153"/>
      <c r="BW361" s="153"/>
      <c r="BX361" s="153"/>
      <c r="BY361" s="153"/>
      <c r="BZ361" s="153"/>
      <c r="CA361" s="153"/>
      <c r="CB361" s="153"/>
      <c r="CC361" s="153"/>
      <c r="CD361" s="153"/>
      <c r="CE361" s="153"/>
      <c r="CF361" s="153"/>
      <c r="CG361" s="153"/>
      <c r="CH361" s="153"/>
      <c r="CI361" s="153"/>
      <c r="CJ361" s="153"/>
      <c r="CK361" s="153"/>
      <c r="CL361" s="153"/>
      <c r="CM361" s="153"/>
      <c r="CN361" s="153"/>
      <c r="CO361" s="153"/>
      <c r="CP361" s="153"/>
      <c r="CQ361" s="153"/>
      <c r="CR361" s="153"/>
      <c r="CS361" s="153"/>
      <c r="CT361" s="153"/>
      <c r="CU361" s="153"/>
      <c r="CV361" s="153"/>
      <c r="CW361" s="153"/>
      <c r="CX361" s="153"/>
      <c r="CY361" s="153"/>
      <c r="CZ361" s="153"/>
      <c r="DA361" s="153"/>
      <c r="DB361" s="153"/>
      <c r="DC361" s="153"/>
      <c r="DD361" s="153"/>
      <c r="DE361" s="153"/>
      <c r="DF361" s="153"/>
      <c r="DG361" s="153"/>
      <c r="DH361" s="153"/>
      <c r="DI361" s="153"/>
      <c r="DJ361" s="153"/>
      <c r="DK361" s="153"/>
      <c r="DL361" s="153"/>
      <c r="DM361" s="153"/>
      <c r="DN361" s="153"/>
      <c r="DO361" s="153"/>
      <c r="DP361" s="153"/>
      <c r="DQ361" s="153"/>
      <c r="DR361" s="153"/>
      <c r="DS361" s="153"/>
      <c r="DT361" s="153"/>
      <c r="DU361" s="153"/>
      <c r="DV361" s="153"/>
      <c r="DW361" s="153"/>
      <c r="DX361" s="153"/>
      <c r="DY361" s="153"/>
      <c r="DZ361" s="153"/>
      <c r="EA361" s="153"/>
      <c r="EB361" s="153"/>
      <c r="EC361" s="153"/>
      <c r="ED361" s="153"/>
      <c r="EE361" s="153"/>
      <c r="EF361" s="153"/>
      <c r="EG361" s="153"/>
      <c r="EH361" s="153"/>
      <c r="EI361" s="153"/>
      <c r="EJ361" s="153"/>
      <c r="EK361" s="153"/>
      <c r="EL361" s="153"/>
      <c r="EM361" s="153"/>
    </row>
    <row r="362" spans="1:143" s="107" customFormat="1" ht="10.5" hidden="1" customHeight="1" outlineLevel="2">
      <c r="A362" s="1548">
        <v>337</v>
      </c>
      <c r="B362" s="1560" t="str">
        <f t="shared" si="7"/>
        <v/>
      </c>
      <c r="C362" s="161" t="str">
        <f>GasTime(GasAnalyser,'Horiba Data'!F355,'Horiba Data'!G355,'Testo, JUM &amp; MRU Data'!A356,'Thermo Data'!B355,HourOffset)</f>
        <v/>
      </c>
      <c r="D362" s="981" t="str">
        <f>IF(D$17=FALSE,"",GasData(GasAnalyser,'Horiba Data'!S355,'Testo, JUM &amp; MRU Data'!D356,'Thermo Data'!E355,'Testo, JUM &amp; MRU Data'!U356,GDF))</f>
        <v/>
      </c>
      <c r="E362" s="981" t="str">
        <f>IF(D362="","",Conc2(D362,D$9,MolVol,D$21,D$20,E$21,E$20))</f>
        <v/>
      </c>
      <c r="F362" s="981" t="str">
        <f>IF(F$17=FALSE,"",GasData(GasAnalyser,'Horiba Data'!AQ355,'Testo, JUM &amp; MRU Data'!E356,'Thermo Data'!F355,'Testo, JUM &amp; MRU Data'!V356,GDF))</f>
        <v/>
      </c>
      <c r="G362" s="981" t="str">
        <f>IF(F362="","",Conc2(F362,F$9,MolVol,F$21,F$20,G$21,G$20))</f>
        <v/>
      </c>
      <c r="H362" s="981" t="str">
        <f>IF(D$17=FALSE,"",IF(F$17=FALSE,"",GasData(GasAnalyser,'Horiba Data'!W355,'Testo, JUM &amp; MRU Data'!F356,'Thermo Data'!G355,'Testo, JUM &amp; MRU Data'!Y356,GDF)))</f>
        <v/>
      </c>
      <c r="I362" s="981" t="str">
        <f>IF(H362="","",Conc2(H362,H$9,MolVol,H$21,H$20,I$21,I$20))</f>
        <v/>
      </c>
      <c r="J362" s="981" t="str">
        <f>IF(J$17=FALSE,"",GasData(GasAnalyser,'Horiba Data'!AM355,'Testo, JUM &amp; MRU Data'!G356,'Thermo Data'!H355,'Testo, JUM &amp; MRU Data'!W356,GDF))</f>
        <v/>
      </c>
      <c r="K362" s="981" t="str">
        <f>IF(J362="","",Conc2(J362,J$9,MolVol,J$21,J$20,K$21,K$20))</f>
        <v/>
      </c>
      <c r="L362" s="981" t="str">
        <f>IF(L$17=FALSE,"",GasData(GasAnalyser,'Horiba Data'!AA355,'Testo, JUM &amp; MRU Data'!H356,'Thermo Data'!I355,'Testo, JUM &amp; MRU Data'!T356,GDF))</f>
        <v/>
      </c>
      <c r="M362" s="981" t="str">
        <f>IF(L362="","",Conc2(L362,L$9,MolVol,L$21,L$20,M$21,M$20))</f>
        <v/>
      </c>
      <c r="N362" s="981" t="str">
        <f>IF(N$17=FALSE,"",GasData(GasAnalyser,'Horiba Data'!AE355,'Testo, JUM &amp; MRU Data'!I356,'Thermo Data'!J355,'Testo, JUM &amp; MRU Data'!S356,GDF))</f>
        <v/>
      </c>
      <c r="O362" s="981" t="str">
        <f>IF(N362="","",Conc2(N362,N$9,MolVol,N$21,N$20,O$21,O$20))</f>
        <v/>
      </c>
      <c r="P362" s="981" t="str">
        <f>IF(P$17=FALSE,"",GasData(GasAnalyser,'Horiba Data'!AI355,'Testo, JUM &amp; MRU Data'!J356,'Thermo Data'!K355,'Testo, JUM &amp; MRU Data'!R356,GDF))</f>
        <v/>
      </c>
      <c r="Q362" s="981" t="str">
        <f>IF(P362="","",Conc2(P362,P$9,MolVol,P$21,P$20,Q$21,Q$20))</f>
        <v/>
      </c>
      <c r="R362" s="981" t="str">
        <f>IF(R$17=FALSE,"",JUMData('Testo, JUM &amp; MRU Data'!M356,$R$7))</f>
        <v/>
      </c>
      <c r="S362" s="982" t="str">
        <f>IF(R362="","",Conc2(R362,R$9,MolVol,R$21,R$20,S$21,S$20)/(1-Bws))</f>
        <v/>
      </c>
      <c r="T362" s="740"/>
      <c r="AR362" s="334"/>
      <c r="AS362" s="334"/>
      <c r="AT362" s="48"/>
      <c r="AU362" s="48"/>
      <c r="AV362" s="153"/>
      <c r="AW362" s="153"/>
      <c r="AX362" s="153"/>
      <c r="AY362" s="153"/>
      <c r="AZ362" s="153"/>
      <c r="BA362" s="153"/>
      <c r="BB362" s="153"/>
      <c r="BC362" s="153"/>
      <c r="BD362" s="153"/>
      <c r="BE362" s="153"/>
      <c r="BF362" s="153"/>
      <c r="BG362" s="153"/>
      <c r="BH362" s="153"/>
      <c r="BI362" s="153"/>
      <c r="BJ362" s="153"/>
      <c r="BK362" s="153"/>
      <c r="BL362" s="153"/>
      <c r="BM362" s="153"/>
      <c r="BN362" s="153"/>
      <c r="BO362" s="153"/>
      <c r="BP362" s="153"/>
      <c r="BQ362" s="153"/>
      <c r="BR362" s="153"/>
      <c r="BS362" s="153"/>
      <c r="BT362" s="153"/>
      <c r="BU362" s="153"/>
      <c r="BV362" s="153"/>
      <c r="BW362" s="153"/>
      <c r="BX362" s="153"/>
      <c r="BY362" s="153"/>
      <c r="BZ362" s="153"/>
      <c r="CA362" s="153"/>
      <c r="CB362" s="153"/>
      <c r="CC362" s="153"/>
      <c r="CD362" s="153"/>
      <c r="CE362" s="153"/>
      <c r="CF362" s="153"/>
      <c r="CG362" s="153"/>
      <c r="CH362" s="153"/>
      <c r="CI362" s="153"/>
      <c r="CJ362" s="153"/>
      <c r="CK362" s="153"/>
      <c r="CL362" s="153"/>
      <c r="CM362" s="153"/>
      <c r="CN362" s="153"/>
      <c r="CO362" s="153"/>
      <c r="CP362" s="153"/>
      <c r="CQ362" s="153"/>
      <c r="CR362" s="153"/>
      <c r="CS362" s="153"/>
      <c r="CT362" s="153"/>
      <c r="CU362" s="153"/>
      <c r="CV362" s="153"/>
      <c r="CW362" s="153"/>
      <c r="CX362" s="153"/>
      <c r="CY362" s="153"/>
      <c r="CZ362" s="153"/>
      <c r="DA362" s="153"/>
      <c r="DB362" s="153"/>
      <c r="DC362" s="153"/>
      <c r="DD362" s="153"/>
      <c r="DE362" s="153"/>
      <c r="DF362" s="153"/>
      <c r="DG362" s="153"/>
      <c r="DH362" s="153"/>
      <c r="DI362" s="153"/>
      <c r="DJ362" s="153"/>
      <c r="DK362" s="153"/>
      <c r="DL362" s="153"/>
      <c r="DM362" s="153"/>
      <c r="DN362" s="153"/>
      <c r="DO362" s="153"/>
      <c r="DP362" s="153"/>
      <c r="DQ362" s="153"/>
      <c r="DR362" s="153"/>
      <c r="DS362" s="153"/>
      <c r="DT362" s="153"/>
      <c r="DU362" s="153"/>
      <c r="DV362" s="153"/>
      <c r="DW362" s="153"/>
      <c r="DX362" s="153"/>
      <c r="DY362" s="153"/>
      <c r="DZ362" s="153"/>
      <c r="EA362" s="153"/>
      <c r="EB362" s="153"/>
      <c r="EC362" s="153"/>
      <c r="ED362" s="153"/>
      <c r="EE362" s="153"/>
      <c r="EF362" s="153"/>
      <c r="EG362" s="153"/>
      <c r="EH362" s="153"/>
      <c r="EI362" s="153"/>
      <c r="EJ362" s="153"/>
      <c r="EK362" s="153"/>
      <c r="EL362" s="153"/>
      <c r="EM362" s="153"/>
    </row>
    <row r="363" spans="1:143" s="107" customFormat="1" ht="10.5" hidden="1" customHeight="1" outlineLevel="2">
      <c r="A363" s="1548">
        <v>338</v>
      </c>
      <c r="B363" s="1560" t="str">
        <f t="shared" si="7"/>
        <v/>
      </c>
      <c r="C363" s="161" t="str">
        <f>GasTime(GasAnalyser,'Horiba Data'!F356,'Horiba Data'!G356,'Testo, JUM &amp; MRU Data'!A357,'Thermo Data'!B356,HourOffset)</f>
        <v/>
      </c>
      <c r="D363" s="981" t="str">
        <f>IF(D$17=FALSE,"",GasData(GasAnalyser,'Horiba Data'!S356,'Testo, JUM &amp; MRU Data'!D357,'Thermo Data'!E356,'Testo, JUM &amp; MRU Data'!U357,GDF))</f>
        <v/>
      </c>
      <c r="E363" s="981" t="str">
        <f>IF(D363="","",Conc2(D363,D$9,MolVol,D$21,D$20,E$21,E$20))</f>
        <v/>
      </c>
      <c r="F363" s="981" t="str">
        <f>IF(F$17=FALSE,"",GasData(GasAnalyser,'Horiba Data'!AQ356,'Testo, JUM &amp; MRU Data'!E357,'Thermo Data'!F356,'Testo, JUM &amp; MRU Data'!V357,GDF))</f>
        <v/>
      </c>
      <c r="G363" s="981" t="str">
        <f>IF(F363="","",Conc2(F363,F$9,MolVol,F$21,F$20,G$21,G$20))</f>
        <v/>
      </c>
      <c r="H363" s="981" t="str">
        <f>IF(D$17=FALSE,"",IF(F$17=FALSE,"",GasData(GasAnalyser,'Horiba Data'!W356,'Testo, JUM &amp; MRU Data'!F357,'Thermo Data'!G356,'Testo, JUM &amp; MRU Data'!Y357,GDF)))</f>
        <v/>
      </c>
      <c r="I363" s="981" t="str">
        <f>IF(H363="","",Conc2(H363,H$9,MolVol,H$21,H$20,I$21,I$20))</f>
        <v/>
      </c>
      <c r="J363" s="981" t="str">
        <f>IF(J$17=FALSE,"",GasData(GasAnalyser,'Horiba Data'!AM356,'Testo, JUM &amp; MRU Data'!G357,'Thermo Data'!H356,'Testo, JUM &amp; MRU Data'!W357,GDF))</f>
        <v/>
      </c>
      <c r="K363" s="981" t="str">
        <f>IF(J363="","",Conc2(J363,J$9,MolVol,J$21,J$20,K$21,K$20))</f>
        <v/>
      </c>
      <c r="L363" s="981" t="str">
        <f>IF(L$17=FALSE,"",GasData(GasAnalyser,'Horiba Data'!AA356,'Testo, JUM &amp; MRU Data'!H357,'Thermo Data'!I356,'Testo, JUM &amp; MRU Data'!T357,GDF))</f>
        <v/>
      </c>
      <c r="M363" s="981" t="str">
        <f>IF(L363="","",Conc2(L363,L$9,MolVol,L$21,L$20,M$21,M$20))</f>
        <v/>
      </c>
      <c r="N363" s="981" t="str">
        <f>IF(N$17=FALSE,"",GasData(GasAnalyser,'Horiba Data'!AE356,'Testo, JUM &amp; MRU Data'!I357,'Thermo Data'!J356,'Testo, JUM &amp; MRU Data'!S357,GDF))</f>
        <v/>
      </c>
      <c r="O363" s="981" t="str">
        <f>IF(N363="","",Conc2(N363,N$9,MolVol,N$21,N$20,O$21,O$20))</f>
        <v/>
      </c>
      <c r="P363" s="981" t="str">
        <f>IF(P$17=FALSE,"",GasData(GasAnalyser,'Horiba Data'!AI356,'Testo, JUM &amp; MRU Data'!J357,'Thermo Data'!K356,'Testo, JUM &amp; MRU Data'!R357,GDF))</f>
        <v/>
      </c>
      <c r="Q363" s="981" t="str">
        <f>IF(P363="","",Conc2(P363,P$9,MolVol,P$21,P$20,Q$21,Q$20))</f>
        <v/>
      </c>
      <c r="R363" s="981" t="str">
        <f>IF(R$17=FALSE,"",JUMData('Testo, JUM &amp; MRU Data'!M357,$R$7))</f>
        <v/>
      </c>
      <c r="S363" s="982" t="str">
        <f>IF(R363="","",Conc2(R363,R$9,MolVol,R$21,R$20,S$21,S$20)/(1-Bws))</f>
        <v/>
      </c>
      <c r="T363" s="740"/>
      <c r="AR363" s="334"/>
      <c r="AS363" s="334"/>
      <c r="AT363" s="48"/>
      <c r="AU363" s="48"/>
      <c r="AV363" s="153"/>
      <c r="AW363" s="153"/>
      <c r="AX363" s="153"/>
      <c r="AY363" s="153"/>
      <c r="AZ363" s="153"/>
      <c r="BA363" s="153"/>
      <c r="BB363" s="153"/>
      <c r="BC363" s="153"/>
      <c r="BD363" s="153"/>
      <c r="BE363" s="153"/>
      <c r="BF363" s="153"/>
      <c r="BG363" s="153"/>
      <c r="BH363" s="153"/>
      <c r="BI363" s="153"/>
      <c r="BJ363" s="153"/>
      <c r="BK363" s="153"/>
      <c r="BL363" s="153"/>
      <c r="BM363" s="153"/>
      <c r="BN363" s="153"/>
      <c r="BO363" s="153"/>
      <c r="BP363" s="153"/>
      <c r="BQ363" s="153"/>
      <c r="BR363" s="153"/>
      <c r="BS363" s="153"/>
      <c r="BT363" s="153"/>
      <c r="BU363" s="153"/>
      <c r="BV363" s="153"/>
      <c r="BW363" s="153"/>
      <c r="BX363" s="153"/>
      <c r="BY363" s="153"/>
      <c r="BZ363" s="153"/>
      <c r="CA363" s="153"/>
      <c r="CB363" s="153"/>
      <c r="CC363" s="153"/>
      <c r="CD363" s="153"/>
      <c r="CE363" s="153"/>
      <c r="CF363" s="153"/>
      <c r="CG363" s="153"/>
      <c r="CH363" s="153"/>
      <c r="CI363" s="153"/>
      <c r="CJ363" s="153"/>
      <c r="CK363" s="153"/>
      <c r="CL363" s="153"/>
      <c r="CM363" s="153"/>
      <c r="CN363" s="153"/>
      <c r="CO363" s="153"/>
      <c r="CP363" s="153"/>
      <c r="CQ363" s="153"/>
      <c r="CR363" s="153"/>
      <c r="CS363" s="153"/>
      <c r="CT363" s="153"/>
      <c r="CU363" s="153"/>
      <c r="CV363" s="153"/>
      <c r="CW363" s="153"/>
      <c r="CX363" s="153"/>
      <c r="CY363" s="153"/>
      <c r="CZ363" s="153"/>
      <c r="DA363" s="153"/>
      <c r="DB363" s="153"/>
      <c r="DC363" s="153"/>
      <c r="DD363" s="153"/>
      <c r="DE363" s="153"/>
      <c r="DF363" s="153"/>
      <c r="DG363" s="153"/>
      <c r="DH363" s="153"/>
      <c r="DI363" s="153"/>
      <c r="DJ363" s="153"/>
      <c r="DK363" s="153"/>
      <c r="DL363" s="153"/>
      <c r="DM363" s="153"/>
      <c r="DN363" s="153"/>
      <c r="DO363" s="153"/>
      <c r="DP363" s="153"/>
      <c r="DQ363" s="153"/>
      <c r="DR363" s="153"/>
      <c r="DS363" s="153"/>
      <c r="DT363" s="153"/>
      <c r="DU363" s="153"/>
      <c r="DV363" s="153"/>
      <c r="DW363" s="153"/>
      <c r="DX363" s="153"/>
      <c r="DY363" s="153"/>
      <c r="DZ363" s="153"/>
      <c r="EA363" s="153"/>
      <c r="EB363" s="153"/>
      <c r="EC363" s="153"/>
      <c r="ED363" s="153"/>
      <c r="EE363" s="153"/>
      <c r="EF363" s="153"/>
      <c r="EG363" s="153"/>
      <c r="EH363" s="153"/>
      <c r="EI363" s="153"/>
      <c r="EJ363" s="153"/>
      <c r="EK363" s="153"/>
      <c r="EL363" s="153"/>
      <c r="EM363" s="153"/>
    </row>
    <row r="364" spans="1:143" s="107" customFormat="1" ht="10.5" hidden="1" customHeight="1" outlineLevel="2">
      <c r="A364" s="1548">
        <v>339</v>
      </c>
      <c r="B364" s="1560" t="str">
        <f t="shared" si="7"/>
        <v/>
      </c>
      <c r="C364" s="161" t="str">
        <f>GasTime(GasAnalyser,'Horiba Data'!F357,'Horiba Data'!G357,'Testo, JUM &amp; MRU Data'!A358,'Thermo Data'!B357,HourOffset)</f>
        <v/>
      </c>
      <c r="D364" s="981" t="str">
        <f>IF(D$17=FALSE,"",GasData(GasAnalyser,'Horiba Data'!S357,'Testo, JUM &amp; MRU Data'!D358,'Thermo Data'!E357,'Testo, JUM &amp; MRU Data'!U358,GDF))</f>
        <v/>
      </c>
      <c r="E364" s="981" t="str">
        <f>IF(D364="","",Conc2(D364,D$9,MolVol,D$21,D$20,E$21,E$20))</f>
        <v/>
      </c>
      <c r="F364" s="981" t="str">
        <f>IF(F$17=FALSE,"",GasData(GasAnalyser,'Horiba Data'!AQ357,'Testo, JUM &amp; MRU Data'!E358,'Thermo Data'!F357,'Testo, JUM &amp; MRU Data'!V358,GDF))</f>
        <v/>
      </c>
      <c r="G364" s="981" t="str">
        <f>IF(F364="","",Conc2(F364,F$9,MolVol,F$21,F$20,G$21,G$20))</f>
        <v/>
      </c>
      <c r="H364" s="981" t="str">
        <f>IF(D$17=FALSE,"",IF(F$17=FALSE,"",GasData(GasAnalyser,'Horiba Data'!W357,'Testo, JUM &amp; MRU Data'!F358,'Thermo Data'!G357,'Testo, JUM &amp; MRU Data'!Y358,GDF)))</f>
        <v/>
      </c>
      <c r="I364" s="981" t="str">
        <f>IF(H364="","",Conc2(H364,H$9,MolVol,H$21,H$20,I$21,I$20))</f>
        <v/>
      </c>
      <c r="J364" s="981" t="str">
        <f>IF(J$17=FALSE,"",GasData(GasAnalyser,'Horiba Data'!AM357,'Testo, JUM &amp; MRU Data'!G358,'Thermo Data'!H357,'Testo, JUM &amp; MRU Data'!W358,GDF))</f>
        <v/>
      </c>
      <c r="K364" s="981" t="str">
        <f>IF(J364="","",Conc2(J364,J$9,MolVol,J$21,J$20,K$21,K$20))</f>
        <v/>
      </c>
      <c r="L364" s="981" t="str">
        <f>IF(L$17=FALSE,"",GasData(GasAnalyser,'Horiba Data'!AA357,'Testo, JUM &amp; MRU Data'!H358,'Thermo Data'!I357,'Testo, JUM &amp; MRU Data'!T358,GDF))</f>
        <v/>
      </c>
      <c r="M364" s="981" t="str">
        <f>IF(L364="","",Conc2(L364,L$9,MolVol,L$21,L$20,M$21,M$20))</f>
        <v/>
      </c>
      <c r="N364" s="981" t="str">
        <f>IF(N$17=FALSE,"",GasData(GasAnalyser,'Horiba Data'!AE357,'Testo, JUM &amp; MRU Data'!I358,'Thermo Data'!J357,'Testo, JUM &amp; MRU Data'!S358,GDF))</f>
        <v/>
      </c>
      <c r="O364" s="981" t="str">
        <f>IF(N364="","",Conc2(N364,N$9,MolVol,N$21,N$20,O$21,O$20))</f>
        <v/>
      </c>
      <c r="P364" s="981" t="str">
        <f>IF(P$17=FALSE,"",GasData(GasAnalyser,'Horiba Data'!AI357,'Testo, JUM &amp; MRU Data'!J358,'Thermo Data'!K357,'Testo, JUM &amp; MRU Data'!R358,GDF))</f>
        <v/>
      </c>
      <c r="Q364" s="981" t="str">
        <f>IF(P364="","",Conc2(P364,P$9,MolVol,P$21,P$20,Q$21,Q$20))</f>
        <v/>
      </c>
      <c r="R364" s="981" t="str">
        <f>IF(R$17=FALSE,"",JUMData('Testo, JUM &amp; MRU Data'!M358,$R$7))</f>
        <v/>
      </c>
      <c r="S364" s="982" t="str">
        <f>IF(R364="","",Conc2(R364,R$9,MolVol,R$21,R$20,S$21,S$20)/(1-Bws))</f>
        <v/>
      </c>
      <c r="T364" s="740"/>
      <c r="AR364" s="334"/>
      <c r="AS364" s="334"/>
      <c r="AT364" s="48"/>
      <c r="AU364" s="48"/>
      <c r="AV364" s="153"/>
      <c r="AW364" s="153"/>
      <c r="AX364" s="153"/>
      <c r="AY364" s="153"/>
      <c r="AZ364" s="153"/>
      <c r="BA364" s="153"/>
      <c r="BB364" s="153"/>
      <c r="BC364" s="153"/>
      <c r="BD364" s="153"/>
      <c r="BE364" s="153"/>
      <c r="BF364" s="153"/>
      <c r="BG364" s="153"/>
      <c r="BH364" s="153"/>
      <c r="BI364" s="153"/>
      <c r="BJ364" s="153"/>
      <c r="BK364" s="153"/>
      <c r="BL364" s="153"/>
      <c r="BM364" s="153"/>
      <c r="BN364" s="153"/>
      <c r="BO364" s="153"/>
      <c r="BP364" s="153"/>
      <c r="BQ364" s="153"/>
      <c r="BR364" s="153"/>
      <c r="BS364" s="153"/>
      <c r="BT364" s="153"/>
      <c r="BU364" s="153"/>
      <c r="BV364" s="153"/>
      <c r="BW364" s="153"/>
      <c r="BX364" s="153"/>
      <c r="BY364" s="153"/>
      <c r="BZ364" s="153"/>
      <c r="CA364" s="153"/>
      <c r="CB364" s="153"/>
      <c r="CC364" s="153"/>
      <c r="CD364" s="153"/>
      <c r="CE364" s="153"/>
      <c r="CF364" s="153"/>
      <c r="CG364" s="153"/>
      <c r="CH364" s="153"/>
      <c r="CI364" s="153"/>
      <c r="CJ364" s="153"/>
      <c r="CK364" s="153"/>
      <c r="CL364" s="153"/>
      <c r="CM364" s="153"/>
      <c r="CN364" s="153"/>
      <c r="CO364" s="153"/>
      <c r="CP364" s="153"/>
      <c r="CQ364" s="153"/>
      <c r="CR364" s="153"/>
      <c r="CS364" s="153"/>
      <c r="CT364" s="153"/>
      <c r="CU364" s="153"/>
      <c r="CV364" s="153"/>
      <c r="CW364" s="153"/>
      <c r="CX364" s="153"/>
      <c r="CY364" s="153"/>
      <c r="CZ364" s="153"/>
      <c r="DA364" s="153"/>
      <c r="DB364" s="153"/>
      <c r="DC364" s="153"/>
      <c r="DD364" s="153"/>
      <c r="DE364" s="153"/>
      <c r="DF364" s="153"/>
      <c r="DG364" s="153"/>
      <c r="DH364" s="153"/>
      <c r="DI364" s="153"/>
      <c r="DJ364" s="153"/>
      <c r="DK364" s="153"/>
      <c r="DL364" s="153"/>
      <c r="DM364" s="153"/>
      <c r="DN364" s="153"/>
      <c r="DO364" s="153"/>
      <c r="DP364" s="153"/>
      <c r="DQ364" s="153"/>
      <c r="DR364" s="153"/>
      <c r="DS364" s="153"/>
      <c r="DT364" s="153"/>
      <c r="DU364" s="153"/>
      <c r="DV364" s="153"/>
      <c r="DW364" s="153"/>
      <c r="DX364" s="153"/>
      <c r="DY364" s="153"/>
      <c r="DZ364" s="153"/>
      <c r="EA364" s="153"/>
      <c r="EB364" s="153"/>
      <c r="EC364" s="153"/>
      <c r="ED364" s="153"/>
      <c r="EE364" s="153"/>
      <c r="EF364" s="153"/>
      <c r="EG364" s="153"/>
      <c r="EH364" s="153"/>
      <c r="EI364" s="153"/>
      <c r="EJ364" s="153"/>
      <c r="EK364" s="153"/>
      <c r="EL364" s="153"/>
      <c r="EM364" s="153"/>
    </row>
    <row r="365" spans="1:143" s="107" customFormat="1" ht="10.5" hidden="1" customHeight="1" outlineLevel="2">
      <c r="A365" s="1548">
        <v>340</v>
      </c>
      <c r="B365" s="1560" t="str">
        <f t="shared" si="7"/>
        <v/>
      </c>
      <c r="C365" s="161" t="str">
        <f>GasTime(GasAnalyser,'Horiba Data'!F358,'Horiba Data'!G358,'Testo, JUM &amp; MRU Data'!A359,'Thermo Data'!B358,HourOffset)</f>
        <v/>
      </c>
      <c r="D365" s="981" t="str">
        <f>IF(D$17=FALSE,"",GasData(GasAnalyser,'Horiba Data'!S358,'Testo, JUM &amp; MRU Data'!D359,'Thermo Data'!E358,'Testo, JUM &amp; MRU Data'!U359,GDF))</f>
        <v/>
      </c>
      <c r="E365" s="981" t="str">
        <f>IF(D365="","",Conc2(D365,D$9,MolVol,D$21,D$20,E$21,E$20))</f>
        <v/>
      </c>
      <c r="F365" s="981" t="str">
        <f>IF(F$17=FALSE,"",GasData(GasAnalyser,'Horiba Data'!AQ358,'Testo, JUM &amp; MRU Data'!E359,'Thermo Data'!F358,'Testo, JUM &amp; MRU Data'!V359,GDF))</f>
        <v/>
      </c>
      <c r="G365" s="981" t="str">
        <f>IF(F365="","",Conc2(F365,F$9,MolVol,F$21,F$20,G$21,G$20))</f>
        <v/>
      </c>
      <c r="H365" s="981" t="str">
        <f>IF(D$17=FALSE,"",IF(F$17=FALSE,"",GasData(GasAnalyser,'Horiba Data'!W358,'Testo, JUM &amp; MRU Data'!F359,'Thermo Data'!G358,'Testo, JUM &amp; MRU Data'!Y359,GDF)))</f>
        <v/>
      </c>
      <c r="I365" s="981" t="str">
        <f>IF(H365="","",Conc2(H365,H$9,MolVol,H$21,H$20,I$21,I$20))</f>
        <v/>
      </c>
      <c r="J365" s="981" t="str">
        <f>IF(J$17=FALSE,"",GasData(GasAnalyser,'Horiba Data'!AM358,'Testo, JUM &amp; MRU Data'!G359,'Thermo Data'!H358,'Testo, JUM &amp; MRU Data'!W359,GDF))</f>
        <v/>
      </c>
      <c r="K365" s="981" t="str">
        <f>IF(J365="","",Conc2(J365,J$9,MolVol,J$21,J$20,K$21,K$20))</f>
        <v/>
      </c>
      <c r="L365" s="981" t="str">
        <f>IF(L$17=FALSE,"",GasData(GasAnalyser,'Horiba Data'!AA358,'Testo, JUM &amp; MRU Data'!H359,'Thermo Data'!I358,'Testo, JUM &amp; MRU Data'!T359,GDF))</f>
        <v/>
      </c>
      <c r="M365" s="981" t="str">
        <f>IF(L365="","",Conc2(L365,L$9,MolVol,L$21,L$20,M$21,M$20))</f>
        <v/>
      </c>
      <c r="N365" s="981" t="str">
        <f>IF(N$17=FALSE,"",GasData(GasAnalyser,'Horiba Data'!AE358,'Testo, JUM &amp; MRU Data'!I359,'Thermo Data'!J358,'Testo, JUM &amp; MRU Data'!S359,GDF))</f>
        <v/>
      </c>
      <c r="O365" s="981" t="str">
        <f>IF(N365="","",Conc2(N365,N$9,MolVol,N$21,N$20,O$21,O$20))</f>
        <v/>
      </c>
      <c r="P365" s="981" t="str">
        <f>IF(P$17=FALSE,"",GasData(GasAnalyser,'Horiba Data'!AI358,'Testo, JUM &amp; MRU Data'!J359,'Thermo Data'!K358,'Testo, JUM &amp; MRU Data'!R359,GDF))</f>
        <v/>
      </c>
      <c r="Q365" s="981" t="str">
        <f>IF(P365="","",Conc2(P365,P$9,MolVol,P$21,P$20,Q$21,Q$20))</f>
        <v/>
      </c>
      <c r="R365" s="981" t="str">
        <f>IF(R$17=FALSE,"",JUMData('Testo, JUM &amp; MRU Data'!M359,$R$7))</f>
        <v/>
      </c>
      <c r="S365" s="982" t="str">
        <f>IF(R365="","",Conc2(R365,R$9,MolVol,R$21,R$20,S$21,S$20)/(1-Bws))</f>
        <v/>
      </c>
      <c r="T365" s="740"/>
      <c r="AR365" s="334"/>
      <c r="AS365" s="334"/>
      <c r="AT365" s="48"/>
      <c r="AU365" s="48"/>
      <c r="AV365" s="153"/>
      <c r="AW365" s="153"/>
      <c r="AX365" s="153"/>
      <c r="AY365" s="153"/>
      <c r="AZ365" s="153"/>
      <c r="BA365" s="153"/>
      <c r="BB365" s="153"/>
      <c r="BC365" s="153"/>
      <c r="BD365" s="153"/>
      <c r="BE365" s="153"/>
      <c r="BF365" s="153"/>
      <c r="BG365" s="153"/>
      <c r="BH365" s="153"/>
      <c r="BI365" s="153"/>
      <c r="BJ365" s="153"/>
      <c r="BK365" s="153"/>
      <c r="BL365" s="153"/>
      <c r="BM365" s="153"/>
      <c r="BN365" s="153"/>
      <c r="BO365" s="153"/>
      <c r="BP365" s="153"/>
      <c r="BQ365" s="153"/>
      <c r="BR365" s="153"/>
      <c r="BS365" s="153"/>
      <c r="BT365" s="153"/>
      <c r="BU365" s="153"/>
      <c r="BV365" s="153"/>
      <c r="BW365" s="153"/>
      <c r="BX365" s="153"/>
      <c r="BY365" s="153"/>
      <c r="BZ365" s="153"/>
      <c r="CA365" s="153"/>
      <c r="CB365" s="153"/>
      <c r="CC365" s="153"/>
      <c r="CD365" s="153"/>
      <c r="CE365" s="153"/>
      <c r="CF365" s="153"/>
      <c r="CG365" s="153"/>
      <c r="CH365" s="153"/>
      <c r="CI365" s="153"/>
      <c r="CJ365" s="153"/>
      <c r="CK365" s="153"/>
      <c r="CL365" s="153"/>
      <c r="CM365" s="153"/>
      <c r="CN365" s="153"/>
      <c r="CO365" s="153"/>
      <c r="CP365" s="153"/>
      <c r="CQ365" s="153"/>
      <c r="CR365" s="153"/>
      <c r="CS365" s="153"/>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c r="DO365" s="153"/>
      <c r="DP365" s="153"/>
      <c r="DQ365" s="153"/>
      <c r="DR365" s="153"/>
      <c r="DS365" s="153"/>
      <c r="DT365" s="153"/>
      <c r="DU365" s="153"/>
      <c r="DV365" s="153"/>
      <c r="DW365" s="153"/>
      <c r="DX365" s="153"/>
      <c r="DY365" s="153"/>
      <c r="DZ365" s="153"/>
      <c r="EA365" s="153"/>
      <c r="EB365" s="153"/>
      <c r="EC365" s="153"/>
      <c r="ED365" s="153"/>
      <c r="EE365" s="153"/>
      <c r="EF365" s="153"/>
      <c r="EG365" s="153"/>
      <c r="EH365" s="153"/>
      <c r="EI365" s="153"/>
      <c r="EJ365" s="153"/>
      <c r="EK365" s="153"/>
      <c r="EL365" s="153"/>
      <c r="EM365" s="153"/>
    </row>
    <row r="366" spans="1:143" s="107" customFormat="1" ht="10.5" hidden="1" customHeight="1" outlineLevel="2">
      <c r="A366" s="1548">
        <v>341</v>
      </c>
      <c r="B366" s="1560" t="str">
        <f t="shared" si="7"/>
        <v/>
      </c>
      <c r="C366" s="161" t="str">
        <f>GasTime(GasAnalyser,'Horiba Data'!F359,'Horiba Data'!G359,'Testo, JUM &amp; MRU Data'!A360,'Thermo Data'!B359,HourOffset)</f>
        <v/>
      </c>
      <c r="D366" s="981" t="str">
        <f>IF(D$17=FALSE,"",GasData(GasAnalyser,'Horiba Data'!S359,'Testo, JUM &amp; MRU Data'!D360,'Thermo Data'!E359,'Testo, JUM &amp; MRU Data'!U360,GDF))</f>
        <v/>
      </c>
      <c r="E366" s="981" t="str">
        <f>IF(D366="","",Conc2(D366,D$9,MolVol,D$21,D$20,E$21,E$20))</f>
        <v/>
      </c>
      <c r="F366" s="981" t="str">
        <f>IF(F$17=FALSE,"",GasData(GasAnalyser,'Horiba Data'!AQ359,'Testo, JUM &amp; MRU Data'!E360,'Thermo Data'!F359,'Testo, JUM &amp; MRU Data'!V360,GDF))</f>
        <v/>
      </c>
      <c r="G366" s="981" t="str">
        <f>IF(F366="","",Conc2(F366,F$9,MolVol,F$21,F$20,G$21,G$20))</f>
        <v/>
      </c>
      <c r="H366" s="981" t="str">
        <f>IF(D$17=FALSE,"",IF(F$17=FALSE,"",GasData(GasAnalyser,'Horiba Data'!W359,'Testo, JUM &amp; MRU Data'!F360,'Thermo Data'!G359,'Testo, JUM &amp; MRU Data'!Y360,GDF)))</f>
        <v/>
      </c>
      <c r="I366" s="981" t="str">
        <f>IF(H366="","",Conc2(H366,H$9,MolVol,H$21,H$20,I$21,I$20))</f>
        <v/>
      </c>
      <c r="J366" s="981" t="str">
        <f>IF(J$17=FALSE,"",GasData(GasAnalyser,'Horiba Data'!AM359,'Testo, JUM &amp; MRU Data'!G360,'Thermo Data'!H359,'Testo, JUM &amp; MRU Data'!W360,GDF))</f>
        <v/>
      </c>
      <c r="K366" s="981" t="str">
        <f>IF(J366="","",Conc2(J366,J$9,MolVol,J$21,J$20,K$21,K$20))</f>
        <v/>
      </c>
      <c r="L366" s="981" t="str">
        <f>IF(L$17=FALSE,"",GasData(GasAnalyser,'Horiba Data'!AA359,'Testo, JUM &amp; MRU Data'!H360,'Thermo Data'!I359,'Testo, JUM &amp; MRU Data'!T360,GDF))</f>
        <v/>
      </c>
      <c r="M366" s="981" t="str">
        <f>IF(L366="","",Conc2(L366,L$9,MolVol,L$21,L$20,M$21,M$20))</f>
        <v/>
      </c>
      <c r="N366" s="981" t="str">
        <f>IF(N$17=FALSE,"",GasData(GasAnalyser,'Horiba Data'!AE359,'Testo, JUM &amp; MRU Data'!I360,'Thermo Data'!J359,'Testo, JUM &amp; MRU Data'!S360,GDF))</f>
        <v/>
      </c>
      <c r="O366" s="981" t="str">
        <f>IF(N366="","",Conc2(N366,N$9,MolVol,N$21,N$20,O$21,O$20))</f>
        <v/>
      </c>
      <c r="P366" s="981" t="str">
        <f>IF(P$17=FALSE,"",GasData(GasAnalyser,'Horiba Data'!AI359,'Testo, JUM &amp; MRU Data'!J360,'Thermo Data'!K359,'Testo, JUM &amp; MRU Data'!R360,GDF))</f>
        <v/>
      </c>
      <c r="Q366" s="981" t="str">
        <f>IF(P366="","",Conc2(P366,P$9,MolVol,P$21,P$20,Q$21,Q$20))</f>
        <v/>
      </c>
      <c r="R366" s="981" t="str">
        <f>IF(R$17=FALSE,"",JUMData('Testo, JUM &amp; MRU Data'!M360,$R$7))</f>
        <v/>
      </c>
      <c r="S366" s="982" t="str">
        <f>IF(R366="","",Conc2(R366,R$9,MolVol,R$21,R$20,S$21,S$20)/(1-Bws))</f>
        <v/>
      </c>
      <c r="T366" s="740"/>
      <c r="AR366" s="334"/>
      <c r="AS366" s="334"/>
      <c r="AT366" s="48"/>
      <c r="AU366" s="48"/>
      <c r="AV366" s="153"/>
      <c r="AW366" s="153"/>
      <c r="AX366" s="153"/>
      <c r="AY366" s="153"/>
      <c r="AZ366" s="153"/>
      <c r="BA366" s="153"/>
      <c r="BB366" s="153"/>
      <c r="BC366" s="153"/>
      <c r="BD366" s="153"/>
      <c r="BE366" s="153"/>
      <c r="BF366" s="153"/>
      <c r="BG366" s="153"/>
      <c r="BH366" s="153"/>
      <c r="BI366" s="153"/>
      <c r="BJ366" s="153"/>
      <c r="BK366" s="153"/>
      <c r="BL366" s="153"/>
      <c r="BM366" s="153"/>
      <c r="BN366" s="153"/>
      <c r="BO366" s="153"/>
      <c r="BP366" s="153"/>
      <c r="BQ366" s="153"/>
      <c r="BR366" s="153"/>
      <c r="BS366" s="153"/>
      <c r="BT366" s="153"/>
      <c r="BU366" s="153"/>
      <c r="BV366" s="153"/>
      <c r="BW366" s="153"/>
      <c r="BX366" s="153"/>
      <c r="BY366" s="153"/>
      <c r="BZ366" s="153"/>
      <c r="CA366" s="153"/>
      <c r="CB366" s="153"/>
      <c r="CC366" s="153"/>
      <c r="CD366" s="153"/>
      <c r="CE366" s="153"/>
      <c r="CF366" s="153"/>
      <c r="CG366" s="153"/>
      <c r="CH366" s="153"/>
      <c r="CI366" s="153"/>
      <c r="CJ366" s="153"/>
      <c r="CK366" s="153"/>
      <c r="CL366" s="153"/>
      <c r="CM366" s="153"/>
      <c r="CN366" s="153"/>
      <c r="CO366" s="153"/>
      <c r="CP366" s="153"/>
      <c r="CQ366" s="153"/>
      <c r="CR366" s="153"/>
      <c r="CS366" s="153"/>
      <c r="CT366" s="153"/>
      <c r="CU366" s="153"/>
      <c r="CV366" s="153"/>
      <c r="CW366" s="153"/>
      <c r="CX366" s="153"/>
      <c r="CY366" s="153"/>
      <c r="CZ366" s="153"/>
      <c r="DA366" s="153"/>
      <c r="DB366" s="153"/>
      <c r="DC366" s="153"/>
      <c r="DD366" s="153"/>
      <c r="DE366" s="153"/>
      <c r="DF366" s="153"/>
      <c r="DG366" s="153"/>
      <c r="DH366" s="153"/>
      <c r="DI366" s="153"/>
      <c r="DJ366" s="153"/>
      <c r="DK366" s="153"/>
      <c r="DL366" s="153"/>
      <c r="DM366" s="153"/>
      <c r="DN366" s="153"/>
      <c r="DO366" s="153"/>
      <c r="DP366" s="153"/>
      <c r="DQ366" s="153"/>
      <c r="DR366" s="153"/>
      <c r="DS366" s="153"/>
      <c r="DT366" s="153"/>
      <c r="DU366" s="153"/>
      <c r="DV366" s="153"/>
      <c r="DW366" s="153"/>
      <c r="DX366" s="153"/>
      <c r="DY366" s="153"/>
      <c r="DZ366" s="153"/>
      <c r="EA366" s="153"/>
      <c r="EB366" s="153"/>
      <c r="EC366" s="153"/>
      <c r="ED366" s="153"/>
      <c r="EE366" s="153"/>
      <c r="EF366" s="153"/>
      <c r="EG366" s="153"/>
      <c r="EH366" s="153"/>
      <c r="EI366" s="153"/>
      <c r="EJ366" s="153"/>
      <c r="EK366" s="153"/>
      <c r="EL366" s="153"/>
      <c r="EM366" s="153"/>
    </row>
    <row r="367" spans="1:143" s="107" customFormat="1" ht="10.5" hidden="1" customHeight="1" outlineLevel="2">
      <c r="A367" s="1548">
        <v>342</v>
      </c>
      <c r="B367" s="1560" t="str">
        <f t="shared" si="7"/>
        <v/>
      </c>
      <c r="C367" s="161" t="str">
        <f>GasTime(GasAnalyser,'Horiba Data'!F360,'Horiba Data'!G360,'Testo, JUM &amp; MRU Data'!A361,'Thermo Data'!B360,HourOffset)</f>
        <v/>
      </c>
      <c r="D367" s="981" t="str">
        <f>IF(D$17=FALSE,"",GasData(GasAnalyser,'Horiba Data'!S360,'Testo, JUM &amp; MRU Data'!D361,'Thermo Data'!E360,'Testo, JUM &amp; MRU Data'!U361,GDF))</f>
        <v/>
      </c>
      <c r="E367" s="981" t="str">
        <f>IF(D367="","",Conc2(D367,D$9,MolVol,D$21,D$20,E$21,E$20))</f>
        <v/>
      </c>
      <c r="F367" s="981" t="str">
        <f>IF(F$17=FALSE,"",GasData(GasAnalyser,'Horiba Data'!AQ360,'Testo, JUM &amp; MRU Data'!E361,'Thermo Data'!F360,'Testo, JUM &amp; MRU Data'!V361,GDF))</f>
        <v/>
      </c>
      <c r="G367" s="981" t="str">
        <f>IF(F367="","",Conc2(F367,F$9,MolVol,F$21,F$20,G$21,G$20))</f>
        <v/>
      </c>
      <c r="H367" s="981" t="str">
        <f>IF(D$17=FALSE,"",IF(F$17=FALSE,"",GasData(GasAnalyser,'Horiba Data'!W360,'Testo, JUM &amp; MRU Data'!F361,'Thermo Data'!G360,'Testo, JUM &amp; MRU Data'!Y361,GDF)))</f>
        <v/>
      </c>
      <c r="I367" s="981" t="str">
        <f>IF(H367="","",Conc2(H367,H$9,MolVol,H$21,H$20,I$21,I$20))</f>
        <v/>
      </c>
      <c r="J367" s="981" t="str">
        <f>IF(J$17=FALSE,"",GasData(GasAnalyser,'Horiba Data'!AM360,'Testo, JUM &amp; MRU Data'!G361,'Thermo Data'!H360,'Testo, JUM &amp; MRU Data'!W361,GDF))</f>
        <v/>
      </c>
      <c r="K367" s="981" t="str">
        <f>IF(J367="","",Conc2(J367,J$9,MolVol,J$21,J$20,K$21,K$20))</f>
        <v/>
      </c>
      <c r="L367" s="981" t="str">
        <f>IF(L$17=FALSE,"",GasData(GasAnalyser,'Horiba Data'!AA360,'Testo, JUM &amp; MRU Data'!H361,'Thermo Data'!I360,'Testo, JUM &amp; MRU Data'!T361,GDF))</f>
        <v/>
      </c>
      <c r="M367" s="981" t="str">
        <f>IF(L367="","",Conc2(L367,L$9,MolVol,L$21,L$20,M$21,M$20))</f>
        <v/>
      </c>
      <c r="N367" s="981" t="str">
        <f>IF(N$17=FALSE,"",GasData(GasAnalyser,'Horiba Data'!AE360,'Testo, JUM &amp; MRU Data'!I361,'Thermo Data'!J360,'Testo, JUM &amp; MRU Data'!S361,GDF))</f>
        <v/>
      </c>
      <c r="O367" s="981" t="str">
        <f>IF(N367="","",Conc2(N367,N$9,MolVol,N$21,N$20,O$21,O$20))</f>
        <v/>
      </c>
      <c r="P367" s="981" t="str">
        <f>IF(P$17=FALSE,"",GasData(GasAnalyser,'Horiba Data'!AI360,'Testo, JUM &amp; MRU Data'!J361,'Thermo Data'!K360,'Testo, JUM &amp; MRU Data'!R361,GDF))</f>
        <v/>
      </c>
      <c r="Q367" s="981" t="str">
        <f>IF(P367="","",Conc2(P367,P$9,MolVol,P$21,P$20,Q$21,Q$20))</f>
        <v/>
      </c>
      <c r="R367" s="981" t="str">
        <f>IF(R$17=FALSE,"",JUMData('Testo, JUM &amp; MRU Data'!M361,$R$7))</f>
        <v/>
      </c>
      <c r="S367" s="982" t="str">
        <f>IF(R367="","",Conc2(R367,R$9,MolVol,R$21,R$20,S$21,S$20)/(1-Bws))</f>
        <v/>
      </c>
      <c r="T367" s="740"/>
      <c r="AR367" s="334"/>
      <c r="AS367" s="334"/>
      <c r="AT367" s="48"/>
      <c r="AU367" s="48"/>
      <c r="AV367" s="153"/>
      <c r="AW367" s="153"/>
      <c r="AX367" s="153"/>
      <c r="AY367" s="153"/>
      <c r="AZ367" s="153"/>
      <c r="BA367" s="153"/>
      <c r="BB367" s="153"/>
      <c r="BC367" s="153"/>
      <c r="BD367" s="153"/>
      <c r="BE367" s="153"/>
      <c r="BF367" s="153"/>
      <c r="BG367" s="153"/>
      <c r="BH367" s="153"/>
      <c r="BI367" s="153"/>
      <c r="BJ367" s="153"/>
      <c r="BK367" s="153"/>
      <c r="BL367" s="153"/>
      <c r="BM367" s="153"/>
      <c r="BN367" s="153"/>
      <c r="BO367" s="153"/>
      <c r="BP367" s="153"/>
      <c r="BQ367" s="153"/>
      <c r="BR367" s="153"/>
      <c r="BS367" s="153"/>
      <c r="BT367" s="153"/>
      <c r="BU367" s="153"/>
      <c r="BV367" s="153"/>
      <c r="BW367" s="153"/>
      <c r="BX367" s="153"/>
      <c r="BY367" s="153"/>
      <c r="BZ367" s="153"/>
      <c r="CA367" s="153"/>
      <c r="CB367" s="153"/>
      <c r="CC367" s="153"/>
      <c r="CD367" s="153"/>
      <c r="CE367" s="153"/>
      <c r="CF367" s="153"/>
      <c r="CG367" s="153"/>
      <c r="CH367" s="153"/>
      <c r="CI367" s="153"/>
      <c r="CJ367" s="153"/>
      <c r="CK367" s="153"/>
      <c r="CL367" s="153"/>
      <c r="CM367" s="153"/>
      <c r="CN367" s="153"/>
      <c r="CO367" s="153"/>
      <c r="CP367" s="153"/>
      <c r="CQ367" s="153"/>
      <c r="CR367" s="153"/>
      <c r="CS367" s="153"/>
      <c r="CT367" s="153"/>
      <c r="CU367" s="153"/>
      <c r="CV367" s="153"/>
      <c r="CW367" s="153"/>
      <c r="CX367" s="153"/>
      <c r="CY367" s="153"/>
      <c r="CZ367" s="153"/>
      <c r="DA367" s="153"/>
      <c r="DB367" s="153"/>
      <c r="DC367" s="153"/>
      <c r="DD367" s="153"/>
      <c r="DE367" s="153"/>
      <c r="DF367" s="153"/>
      <c r="DG367" s="153"/>
      <c r="DH367" s="153"/>
      <c r="DI367" s="153"/>
      <c r="DJ367" s="153"/>
      <c r="DK367" s="153"/>
      <c r="DL367" s="153"/>
      <c r="DM367" s="153"/>
      <c r="DN367" s="153"/>
      <c r="DO367" s="153"/>
      <c r="DP367" s="153"/>
      <c r="DQ367" s="153"/>
      <c r="DR367" s="153"/>
      <c r="DS367" s="153"/>
      <c r="DT367" s="153"/>
      <c r="DU367" s="153"/>
      <c r="DV367" s="153"/>
      <c r="DW367" s="153"/>
      <c r="DX367" s="153"/>
      <c r="DY367" s="153"/>
      <c r="DZ367" s="153"/>
      <c r="EA367" s="153"/>
      <c r="EB367" s="153"/>
      <c r="EC367" s="153"/>
      <c r="ED367" s="153"/>
      <c r="EE367" s="153"/>
      <c r="EF367" s="153"/>
      <c r="EG367" s="153"/>
      <c r="EH367" s="153"/>
      <c r="EI367" s="153"/>
      <c r="EJ367" s="153"/>
      <c r="EK367" s="153"/>
      <c r="EL367" s="153"/>
      <c r="EM367" s="153"/>
    </row>
    <row r="368" spans="1:143" s="107" customFormat="1" ht="10.5" hidden="1" customHeight="1" outlineLevel="2">
      <c r="A368" s="1548">
        <v>343</v>
      </c>
      <c r="B368" s="1560" t="str">
        <f t="shared" si="7"/>
        <v/>
      </c>
      <c r="C368" s="161" t="str">
        <f>GasTime(GasAnalyser,'Horiba Data'!F361,'Horiba Data'!G361,'Testo, JUM &amp; MRU Data'!A362,'Thermo Data'!B361,HourOffset)</f>
        <v/>
      </c>
      <c r="D368" s="981" t="str">
        <f>IF(D$17=FALSE,"",GasData(GasAnalyser,'Horiba Data'!S361,'Testo, JUM &amp; MRU Data'!D362,'Thermo Data'!E361,'Testo, JUM &amp; MRU Data'!U362,GDF))</f>
        <v/>
      </c>
      <c r="E368" s="981" t="str">
        <f>IF(D368="","",Conc2(D368,D$9,MolVol,D$21,D$20,E$21,E$20))</f>
        <v/>
      </c>
      <c r="F368" s="981" t="str">
        <f>IF(F$17=FALSE,"",GasData(GasAnalyser,'Horiba Data'!AQ361,'Testo, JUM &amp; MRU Data'!E362,'Thermo Data'!F361,'Testo, JUM &amp; MRU Data'!V362,GDF))</f>
        <v/>
      </c>
      <c r="G368" s="981" t="str">
        <f>IF(F368="","",Conc2(F368,F$9,MolVol,F$21,F$20,G$21,G$20))</f>
        <v/>
      </c>
      <c r="H368" s="981" t="str">
        <f>IF(D$17=FALSE,"",IF(F$17=FALSE,"",GasData(GasAnalyser,'Horiba Data'!W361,'Testo, JUM &amp; MRU Data'!F362,'Thermo Data'!G361,'Testo, JUM &amp; MRU Data'!Y362,GDF)))</f>
        <v/>
      </c>
      <c r="I368" s="981" t="str">
        <f>IF(H368="","",Conc2(H368,H$9,MolVol,H$21,H$20,I$21,I$20))</f>
        <v/>
      </c>
      <c r="J368" s="981" t="str">
        <f>IF(J$17=FALSE,"",GasData(GasAnalyser,'Horiba Data'!AM361,'Testo, JUM &amp; MRU Data'!G362,'Thermo Data'!H361,'Testo, JUM &amp; MRU Data'!W362,GDF))</f>
        <v/>
      </c>
      <c r="K368" s="981" t="str">
        <f>IF(J368="","",Conc2(J368,J$9,MolVol,J$21,J$20,K$21,K$20))</f>
        <v/>
      </c>
      <c r="L368" s="981" t="str">
        <f>IF(L$17=FALSE,"",GasData(GasAnalyser,'Horiba Data'!AA361,'Testo, JUM &amp; MRU Data'!H362,'Thermo Data'!I361,'Testo, JUM &amp; MRU Data'!T362,GDF))</f>
        <v/>
      </c>
      <c r="M368" s="981" t="str">
        <f>IF(L368="","",Conc2(L368,L$9,MolVol,L$21,L$20,M$21,M$20))</f>
        <v/>
      </c>
      <c r="N368" s="981" t="str">
        <f>IF(N$17=FALSE,"",GasData(GasAnalyser,'Horiba Data'!AE361,'Testo, JUM &amp; MRU Data'!I362,'Thermo Data'!J361,'Testo, JUM &amp; MRU Data'!S362,GDF))</f>
        <v/>
      </c>
      <c r="O368" s="981" t="str">
        <f>IF(N368="","",Conc2(N368,N$9,MolVol,N$21,N$20,O$21,O$20))</f>
        <v/>
      </c>
      <c r="P368" s="981" t="str">
        <f>IF(P$17=FALSE,"",GasData(GasAnalyser,'Horiba Data'!AI361,'Testo, JUM &amp; MRU Data'!J362,'Thermo Data'!K361,'Testo, JUM &amp; MRU Data'!R362,GDF))</f>
        <v/>
      </c>
      <c r="Q368" s="981" t="str">
        <f>IF(P368="","",Conc2(P368,P$9,MolVol,P$21,P$20,Q$21,Q$20))</f>
        <v/>
      </c>
      <c r="R368" s="981" t="str">
        <f>IF(R$17=FALSE,"",JUMData('Testo, JUM &amp; MRU Data'!M362,$R$7))</f>
        <v/>
      </c>
      <c r="S368" s="982" t="str">
        <f>IF(R368="","",Conc2(R368,R$9,MolVol,R$21,R$20,S$21,S$20)/(1-Bws))</f>
        <v/>
      </c>
      <c r="T368" s="740"/>
      <c r="AR368" s="334"/>
      <c r="AS368" s="334"/>
      <c r="AT368" s="48"/>
      <c r="AU368" s="48"/>
      <c r="AV368" s="153"/>
      <c r="AW368" s="153"/>
      <c r="AX368" s="153"/>
      <c r="AY368" s="153"/>
      <c r="AZ368" s="153"/>
      <c r="BA368" s="153"/>
      <c r="BB368" s="153"/>
      <c r="BC368" s="153"/>
      <c r="BD368" s="153"/>
      <c r="BE368" s="153"/>
      <c r="BF368" s="153"/>
      <c r="BG368" s="153"/>
      <c r="BH368" s="153"/>
      <c r="BI368" s="153"/>
      <c r="BJ368" s="153"/>
      <c r="BK368" s="153"/>
      <c r="BL368" s="153"/>
      <c r="BM368" s="153"/>
      <c r="BN368" s="153"/>
      <c r="BO368" s="153"/>
      <c r="BP368" s="153"/>
      <c r="BQ368" s="153"/>
      <c r="BR368" s="153"/>
      <c r="BS368" s="153"/>
      <c r="BT368" s="153"/>
      <c r="BU368" s="153"/>
      <c r="BV368" s="153"/>
      <c r="BW368" s="153"/>
      <c r="BX368" s="153"/>
      <c r="BY368" s="153"/>
      <c r="BZ368" s="153"/>
      <c r="CA368" s="153"/>
      <c r="CB368" s="153"/>
      <c r="CC368" s="153"/>
      <c r="CD368" s="153"/>
      <c r="CE368" s="153"/>
      <c r="CF368" s="153"/>
      <c r="CG368" s="153"/>
      <c r="CH368" s="153"/>
      <c r="CI368" s="153"/>
      <c r="CJ368" s="153"/>
      <c r="CK368" s="153"/>
      <c r="CL368" s="153"/>
      <c r="CM368" s="153"/>
      <c r="CN368" s="153"/>
      <c r="CO368" s="153"/>
      <c r="CP368" s="153"/>
      <c r="CQ368" s="153"/>
      <c r="CR368" s="153"/>
      <c r="CS368" s="153"/>
      <c r="CT368" s="153"/>
      <c r="CU368" s="153"/>
      <c r="CV368" s="153"/>
      <c r="CW368" s="153"/>
      <c r="CX368" s="153"/>
      <c r="CY368" s="153"/>
      <c r="CZ368" s="153"/>
      <c r="DA368" s="153"/>
      <c r="DB368" s="153"/>
      <c r="DC368" s="153"/>
      <c r="DD368" s="153"/>
      <c r="DE368" s="153"/>
      <c r="DF368" s="153"/>
      <c r="DG368" s="153"/>
      <c r="DH368" s="153"/>
      <c r="DI368" s="153"/>
      <c r="DJ368" s="153"/>
      <c r="DK368" s="153"/>
      <c r="DL368" s="153"/>
      <c r="DM368" s="153"/>
      <c r="DN368" s="153"/>
      <c r="DO368" s="153"/>
      <c r="DP368" s="153"/>
      <c r="DQ368" s="153"/>
      <c r="DR368" s="153"/>
      <c r="DS368" s="153"/>
      <c r="DT368" s="153"/>
      <c r="DU368" s="153"/>
      <c r="DV368" s="153"/>
      <c r="DW368" s="153"/>
      <c r="DX368" s="153"/>
      <c r="DY368" s="153"/>
      <c r="DZ368" s="153"/>
      <c r="EA368" s="153"/>
      <c r="EB368" s="153"/>
      <c r="EC368" s="153"/>
      <c r="ED368" s="153"/>
      <c r="EE368" s="153"/>
      <c r="EF368" s="153"/>
      <c r="EG368" s="153"/>
      <c r="EH368" s="153"/>
      <c r="EI368" s="153"/>
      <c r="EJ368" s="153"/>
      <c r="EK368" s="153"/>
      <c r="EL368" s="153"/>
      <c r="EM368" s="153"/>
    </row>
    <row r="369" spans="1:143" s="107" customFormat="1" ht="10.5" hidden="1" customHeight="1" outlineLevel="2">
      <c r="A369" s="1548">
        <v>344</v>
      </c>
      <c r="B369" s="1560" t="str">
        <f t="shared" si="7"/>
        <v/>
      </c>
      <c r="C369" s="161" t="str">
        <f>GasTime(GasAnalyser,'Horiba Data'!F362,'Horiba Data'!G362,'Testo, JUM &amp; MRU Data'!A363,'Thermo Data'!B362,HourOffset)</f>
        <v/>
      </c>
      <c r="D369" s="981" t="str">
        <f>IF(D$17=FALSE,"",GasData(GasAnalyser,'Horiba Data'!S362,'Testo, JUM &amp; MRU Data'!D363,'Thermo Data'!E362,'Testo, JUM &amp; MRU Data'!U363,GDF))</f>
        <v/>
      </c>
      <c r="E369" s="981" t="str">
        <f>IF(D369="","",Conc2(D369,D$9,MolVol,D$21,D$20,E$21,E$20))</f>
        <v/>
      </c>
      <c r="F369" s="981" t="str">
        <f>IF(F$17=FALSE,"",GasData(GasAnalyser,'Horiba Data'!AQ362,'Testo, JUM &amp; MRU Data'!E363,'Thermo Data'!F362,'Testo, JUM &amp; MRU Data'!V363,GDF))</f>
        <v/>
      </c>
      <c r="G369" s="981" t="str">
        <f>IF(F369="","",Conc2(F369,F$9,MolVol,F$21,F$20,G$21,G$20))</f>
        <v/>
      </c>
      <c r="H369" s="981" t="str">
        <f>IF(D$17=FALSE,"",IF(F$17=FALSE,"",GasData(GasAnalyser,'Horiba Data'!W362,'Testo, JUM &amp; MRU Data'!F363,'Thermo Data'!G362,'Testo, JUM &amp; MRU Data'!Y363,GDF)))</f>
        <v/>
      </c>
      <c r="I369" s="981" t="str">
        <f>IF(H369="","",Conc2(H369,H$9,MolVol,H$21,H$20,I$21,I$20))</f>
        <v/>
      </c>
      <c r="J369" s="981" t="str">
        <f>IF(J$17=FALSE,"",GasData(GasAnalyser,'Horiba Data'!AM362,'Testo, JUM &amp; MRU Data'!G363,'Thermo Data'!H362,'Testo, JUM &amp; MRU Data'!W363,GDF))</f>
        <v/>
      </c>
      <c r="K369" s="981" t="str">
        <f>IF(J369="","",Conc2(J369,J$9,MolVol,J$21,J$20,K$21,K$20))</f>
        <v/>
      </c>
      <c r="L369" s="981" t="str">
        <f>IF(L$17=FALSE,"",GasData(GasAnalyser,'Horiba Data'!AA362,'Testo, JUM &amp; MRU Data'!H363,'Thermo Data'!I362,'Testo, JUM &amp; MRU Data'!T363,GDF))</f>
        <v/>
      </c>
      <c r="M369" s="981" t="str">
        <f>IF(L369="","",Conc2(L369,L$9,MolVol,L$21,L$20,M$21,M$20))</f>
        <v/>
      </c>
      <c r="N369" s="981" t="str">
        <f>IF(N$17=FALSE,"",GasData(GasAnalyser,'Horiba Data'!AE362,'Testo, JUM &amp; MRU Data'!I363,'Thermo Data'!J362,'Testo, JUM &amp; MRU Data'!S363,GDF))</f>
        <v/>
      </c>
      <c r="O369" s="981" t="str">
        <f>IF(N369="","",Conc2(N369,N$9,MolVol,N$21,N$20,O$21,O$20))</f>
        <v/>
      </c>
      <c r="P369" s="981" t="str">
        <f>IF(P$17=FALSE,"",GasData(GasAnalyser,'Horiba Data'!AI362,'Testo, JUM &amp; MRU Data'!J363,'Thermo Data'!K362,'Testo, JUM &amp; MRU Data'!R363,GDF))</f>
        <v/>
      </c>
      <c r="Q369" s="981" t="str">
        <f>IF(P369="","",Conc2(P369,P$9,MolVol,P$21,P$20,Q$21,Q$20))</f>
        <v/>
      </c>
      <c r="R369" s="981" t="str">
        <f>IF(R$17=FALSE,"",JUMData('Testo, JUM &amp; MRU Data'!M363,$R$7))</f>
        <v/>
      </c>
      <c r="S369" s="982" t="str">
        <f>IF(R369="","",Conc2(R369,R$9,MolVol,R$21,R$20,S$21,S$20)/(1-Bws))</f>
        <v/>
      </c>
      <c r="T369" s="740"/>
      <c r="AR369" s="334"/>
      <c r="AS369" s="334"/>
      <c r="AT369" s="48"/>
      <c r="AU369" s="48"/>
      <c r="AV369" s="153"/>
      <c r="AW369" s="153"/>
      <c r="AX369" s="153"/>
      <c r="AY369" s="153"/>
      <c r="AZ369" s="153"/>
      <c r="BA369" s="153"/>
      <c r="BB369" s="153"/>
      <c r="BC369" s="153"/>
      <c r="BD369" s="153"/>
      <c r="BE369" s="153"/>
      <c r="BF369" s="153"/>
      <c r="BG369" s="153"/>
      <c r="BH369" s="153"/>
      <c r="BI369" s="153"/>
      <c r="BJ369" s="153"/>
      <c r="BK369" s="153"/>
      <c r="BL369" s="153"/>
      <c r="BM369" s="153"/>
      <c r="BN369" s="153"/>
      <c r="BO369" s="153"/>
      <c r="BP369" s="153"/>
      <c r="BQ369" s="153"/>
      <c r="BR369" s="153"/>
      <c r="BS369" s="153"/>
      <c r="BT369" s="153"/>
      <c r="BU369" s="153"/>
      <c r="BV369" s="153"/>
      <c r="BW369" s="153"/>
      <c r="BX369" s="153"/>
      <c r="BY369" s="153"/>
      <c r="BZ369" s="153"/>
      <c r="CA369" s="153"/>
      <c r="CB369" s="153"/>
      <c r="CC369" s="153"/>
      <c r="CD369" s="153"/>
      <c r="CE369" s="153"/>
      <c r="CF369" s="153"/>
      <c r="CG369" s="153"/>
      <c r="CH369" s="153"/>
      <c r="CI369" s="153"/>
      <c r="CJ369" s="153"/>
      <c r="CK369" s="153"/>
      <c r="CL369" s="153"/>
      <c r="CM369" s="153"/>
      <c r="CN369" s="153"/>
      <c r="CO369" s="153"/>
      <c r="CP369" s="153"/>
      <c r="CQ369" s="153"/>
      <c r="CR369" s="153"/>
      <c r="CS369" s="153"/>
      <c r="CT369" s="153"/>
      <c r="CU369" s="153"/>
      <c r="CV369" s="153"/>
      <c r="CW369" s="153"/>
      <c r="CX369" s="153"/>
      <c r="CY369" s="153"/>
      <c r="CZ369" s="153"/>
      <c r="DA369" s="153"/>
      <c r="DB369" s="153"/>
      <c r="DC369" s="153"/>
      <c r="DD369" s="153"/>
      <c r="DE369" s="153"/>
      <c r="DF369" s="153"/>
      <c r="DG369" s="153"/>
      <c r="DH369" s="153"/>
      <c r="DI369" s="153"/>
      <c r="DJ369" s="153"/>
      <c r="DK369" s="153"/>
      <c r="DL369" s="153"/>
      <c r="DM369" s="153"/>
      <c r="DN369" s="153"/>
      <c r="DO369" s="153"/>
      <c r="DP369" s="153"/>
      <c r="DQ369" s="153"/>
      <c r="DR369" s="153"/>
      <c r="DS369" s="153"/>
      <c r="DT369" s="153"/>
      <c r="DU369" s="153"/>
      <c r="DV369" s="153"/>
      <c r="DW369" s="153"/>
      <c r="DX369" s="153"/>
      <c r="DY369" s="153"/>
      <c r="DZ369" s="153"/>
      <c r="EA369" s="153"/>
      <c r="EB369" s="153"/>
      <c r="EC369" s="153"/>
      <c r="ED369" s="153"/>
      <c r="EE369" s="153"/>
      <c r="EF369" s="153"/>
      <c r="EG369" s="153"/>
      <c r="EH369" s="153"/>
      <c r="EI369" s="153"/>
      <c r="EJ369" s="153"/>
      <c r="EK369" s="153"/>
      <c r="EL369" s="153"/>
      <c r="EM369" s="153"/>
    </row>
    <row r="370" spans="1:143" s="107" customFormat="1" ht="10.5" hidden="1" customHeight="1" outlineLevel="2">
      <c r="A370" s="1548">
        <v>345</v>
      </c>
      <c r="B370" s="1560" t="str">
        <f t="shared" si="7"/>
        <v/>
      </c>
      <c r="C370" s="161" t="str">
        <f>GasTime(GasAnalyser,'Horiba Data'!F363,'Horiba Data'!G363,'Testo, JUM &amp; MRU Data'!A364,'Thermo Data'!B363,HourOffset)</f>
        <v/>
      </c>
      <c r="D370" s="981" t="str">
        <f>IF(D$17=FALSE,"",GasData(GasAnalyser,'Horiba Data'!S363,'Testo, JUM &amp; MRU Data'!D364,'Thermo Data'!E363,'Testo, JUM &amp; MRU Data'!U364,GDF))</f>
        <v/>
      </c>
      <c r="E370" s="981" t="str">
        <f>IF(D370="","",Conc2(D370,D$9,MolVol,D$21,D$20,E$21,E$20))</f>
        <v/>
      </c>
      <c r="F370" s="981" t="str">
        <f>IF(F$17=FALSE,"",GasData(GasAnalyser,'Horiba Data'!AQ363,'Testo, JUM &amp; MRU Data'!E364,'Thermo Data'!F363,'Testo, JUM &amp; MRU Data'!V364,GDF))</f>
        <v/>
      </c>
      <c r="G370" s="981" t="str">
        <f>IF(F370="","",Conc2(F370,F$9,MolVol,F$21,F$20,G$21,G$20))</f>
        <v/>
      </c>
      <c r="H370" s="981" t="str">
        <f>IF(D$17=FALSE,"",IF(F$17=FALSE,"",GasData(GasAnalyser,'Horiba Data'!W363,'Testo, JUM &amp; MRU Data'!F364,'Thermo Data'!G363,'Testo, JUM &amp; MRU Data'!Y364,GDF)))</f>
        <v/>
      </c>
      <c r="I370" s="981" t="str">
        <f>IF(H370="","",Conc2(H370,H$9,MolVol,H$21,H$20,I$21,I$20))</f>
        <v/>
      </c>
      <c r="J370" s="981" t="str">
        <f>IF(J$17=FALSE,"",GasData(GasAnalyser,'Horiba Data'!AM363,'Testo, JUM &amp; MRU Data'!G364,'Thermo Data'!H363,'Testo, JUM &amp; MRU Data'!W364,GDF))</f>
        <v/>
      </c>
      <c r="K370" s="981" t="str">
        <f>IF(J370="","",Conc2(J370,J$9,MolVol,J$21,J$20,K$21,K$20))</f>
        <v/>
      </c>
      <c r="L370" s="981" t="str">
        <f>IF(L$17=FALSE,"",GasData(GasAnalyser,'Horiba Data'!AA363,'Testo, JUM &amp; MRU Data'!H364,'Thermo Data'!I363,'Testo, JUM &amp; MRU Data'!T364,GDF))</f>
        <v/>
      </c>
      <c r="M370" s="981" t="str">
        <f>IF(L370="","",Conc2(L370,L$9,MolVol,L$21,L$20,M$21,M$20))</f>
        <v/>
      </c>
      <c r="N370" s="981" t="str">
        <f>IF(N$17=FALSE,"",GasData(GasAnalyser,'Horiba Data'!AE363,'Testo, JUM &amp; MRU Data'!I364,'Thermo Data'!J363,'Testo, JUM &amp; MRU Data'!S364,GDF))</f>
        <v/>
      </c>
      <c r="O370" s="981" t="str">
        <f>IF(N370="","",Conc2(N370,N$9,MolVol,N$21,N$20,O$21,O$20))</f>
        <v/>
      </c>
      <c r="P370" s="981" t="str">
        <f>IF(P$17=FALSE,"",GasData(GasAnalyser,'Horiba Data'!AI363,'Testo, JUM &amp; MRU Data'!J364,'Thermo Data'!K363,'Testo, JUM &amp; MRU Data'!R364,GDF))</f>
        <v/>
      </c>
      <c r="Q370" s="981" t="str">
        <f>IF(P370="","",Conc2(P370,P$9,MolVol,P$21,P$20,Q$21,Q$20))</f>
        <v/>
      </c>
      <c r="R370" s="981" t="str">
        <f>IF(R$17=FALSE,"",JUMData('Testo, JUM &amp; MRU Data'!M364,$R$7))</f>
        <v/>
      </c>
      <c r="S370" s="982" t="str">
        <f>IF(R370="","",Conc2(R370,R$9,MolVol,R$21,R$20,S$21,S$20)/(1-Bws))</f>
        <v/>
      </c>
      <c r="T370" s="740"/>
      <c r="AR370" s="334"/>
      <c r="AS370" s="334"/>
      <c r="AT370" s="48"/>
      <c r="AU370" s="48"/>
      <c r="AV370" s="153"/>
      <c r="AW370" s="153"/>
      <c r="AX370" s="153"/>
      <c r="AY370" s="153"/>
      <c r="AZ370" s="153"/>
      <c r="BA370" s="153"/>
      <c r="BB370" s="153"/>
      <c r="BC370" s="153"/>
      <c r="BD370" s="153"/>
      <c r="BE370" s="153"/>
      <c r="BF370" s="153"/>
      <c r="BG370" s="153"/>
      <c r="BH370" s="153"/>
      <c r="BI370" s="153"/>
      <c r="BJ370" s="153"/>
      <c r="BK370" s="153"/>
      <c r="BL370" s="153"/>
      <c r="BM370" s="153"/>
      <c r="BN370" s="153"/>
      <c r="BO370" s="153"/>
      <c r="BP370" s="153"/>
      <c r="BQ370" s="153"/>
      <c r="BR370" s="153"/>
      <c r="BS370" s="153"/>
      <c r="BT370" s="153"/>
      <c r="BU370" s="153"/>
      <c r="BV370" s="153"/>
      <c r="BW370" s="153"/>
      <c r="BX370" s="153"/>
      <c r="BY370" s="153"/>
      <c r="BZ370" s="153"/>
      <c r="CA370" s="153"/>
      <c r="CB370" s="153"/>
      <c r="CC370" s="153"/>
      <c r="CD370" s="153"/>
      <c r="CE370" s="153"/>
      <c r="CF370" s="153"/>
      <c r="CG370" s="153"/>
      <c r="CH370" s="153"/>
      <c r="CI370" s="153"/>
      <c r="CJ370" s="153"/>
      <c r="CK370" s="153"/>
      <c r="CL370" s="153"/>
      <c r="CM370" s="153"/>
      <c r="CN370" s="153"/>
      <c r="CO370" s="153"/>
      <c r="CP370" s="153"/>
      <c r="CQ370" s="153"/>
      <c r="CR370" s="153"/>
      <c r="CS370" s="153"/>
      <c r="CT370" s="153"/>
      <c r="CU370" s="153"/>
      <c r="CV370" s="153"/>
      <c r="CW370" s="153"/>
      <c r="CX370" s="153"/>
      <c r="CY370" s="153"/>
      <c r="CZ370" s="153"/>
      <c r="DA370" s="153"/>
      <c r="DB370" s="153"/>
      <c r="DC370" s="153"/>
      <c r="DD370" s="153"/>
      <c r="DE370" s="153"/>
      <c r="DF370" s="153"/>
      <c r="DG370" s="153"/>
      <c r="DH370" s="153"/>
      <c r="DI370" s="153"/>
      <c r="DJ370" s="153"/>
      <c r="DK370" s="153"/>
      <c r="DL370" s="153"/>
      <c r="DM370" s="153"/>
      <c r="DN370" s="153"/>
      <c r="DO370" s="153"/>
      <c r="DP370" s="153"/>
      <c r="DQ370" s="153"/>
      <c r="DR370" s="153"/>
      <c r="DS370" s="153"/>
      <c r="DT370" s="153"/>
      <c r="DU370" s="153"/>
      <c r="DV370" s="153"/>
      <c r="DW370" s="153"/>
      <c r="DX370" s="153"/>
      <c r="DY370" s="153"/>
      <c r="DZ370" s="153"/>
      <c r="EA370" s="153"/>
      <c r="EB370" s="153"/>
      <c r="EC370" s="153"/>
      <c r="ED370" s="153"/>
      <c r="EE370" s="153"/>
      <c r="EF370" s="153"/>
      <c r="EG370" s="153"/>
      <c r="EH370" s="153"/>
      <c r="EI370" s="153"/>
      <c r="EJ370" s="153"/>
      <c r="EK370" s="153"/>
      <c r="EL370" s="153"/>
      <c r="EM370" s="153"/>
    </row>
    <row r="371" spans="1:143" s="107" customFormat="1" ht="10.5" hidden="1" customHeight="1" outlineLevel="2">
      <c r="A371" s="1548">
        <v>346</v>
      </c>
      <c r="B371" s="1560" t="str">
        <f t="shared" si="7"/>
        <v/>
      </c>
      <c r="C371" s="161" t="str">
        <f>GasTime(GasAnalyser,'Horiba Data'!F364,'Horiba Data'!G364,'Testo, JUM &amp; MRU Data'!A365,'Thermo Data'!B364,HourOffset)</f>
        <v/>
      </c>
      <c r="D371" s="981" t="str">
        <f>IF(D$17=FALSE,"",GasData(GasAnalyser,'Horiba Data'!S364,'Testo, JUM &amp; MRU Data'!D365,'Thermo Data'!E364,'Testo, JUM &amp; MRU Data'!U365,GDF))</f>
        <v/>
      </c>
      <c r="E371" s="981" t="str">
        <f>IF(D371="","",Conc2(D371,D$9,MolVol,D$21,D$20,E$21,E$20))</f>
        <v/>
      </c>
      <c r="F371" s="981" t="str">
        <f>IF(F$17=FALSE,"",GasData(GasAnalyser,'Horiba Data'!AQ364,'Testo, JUM &amp; MRU Data'!E365,'Thermo Data'!F364,'Testo, JUM &amp; MRU Data'!V365,GDF))</f>
        <v/>
      </c>
      <c r="G371" s="981" t="str">
        <f>IF(F371="","",Conc2(F371,F$9,MolVol,F$21,F$20,G$21,G$20))</f>
        <v/>
      </c>
      <c r="H371" s="981" t="str">
        <f>IF(D$17=FALSE,"",IF(F$17=FALSE,"",GasData(GasAnalyser,'Horiba Data'!W364,'Testo, JUM &amp; MRU Data'!F365,'Thermo Data'!G364,'Testo, JUM &amp; MRU Data'!Y365,GDF)))</f>
        <v/>
      </c>
      <c r="I371" s="981" t="str">
        <f>IF(H371="","",Conc2(H371,H$9,MolVol,H$21,H$20,I$21,I$20))</f>
        <v/>
      </c>
      <c r="J371" s="981" t="str">
        <f>IF(J$17=FALSE,"",GasData(GasAnalyser,'Horiba Data'!AM364,'Testo, JUM &amp; MRU Data'!G365,'Thermo Data'!H364,'Testo, JUM &amp; MRU Data'!W365,GDF))</f>
        <v/>
      </c>
      <c r="K371" s="981" t="str">
        <f>IF(J371="","",Conc2(J371,J$9,MolVol,J$21,J$20,K$21,K$20))</f>
        <v/>
      </c>
      <c r="L371" s="981" t="str">
        <f>IF(L$17=FALSE,"",GasData(GasAnalyser,'Horiba Data'!AA364,'Testo, JUM &amp; MRU Data'!H365,'Thermo Data'!I364,'Testo, JUM &amp; MRU Data'!T365,GDF))</f>
        <v/>
      </c>
      <c r="M371" s="981" t="str">
        <f>IF(L371="","",Conc2(L371,L$9,MolVol,L$21,L$20,M$21,M$20))</f>
        <v/>
      </c>
      <c r="N371" s="981" t="str">
        <f>IF(N$17=FALSE,"",GasData(GasAnalyser,'Horiba Data'!AE364,'Testo, JUM &amp; MRU Data'!I365,'Thermo Data'!J364,'Testo, JUM &amp; MRU Data'!S365,GDF))</f>
        <v/>
      </c>
      <c r="O371" s="981" t="str">
        <f>IF(N371="","",Conc2(N371,N$9,MolVol,N$21,N$20,O$21,O$20))</f>
        <v/>
      </c>
      <c r="P371" s="981" t="str">
        <f>IF(P$17=FALSE,"",GasData(GasAnalyser,'Horiba Data'!AI364,'Testo, JUM &amp; MRU Data'!J365,'Thermo Data'!K364,'Testo, JUM &amp; MRU Data'!R365,GDF))</f>
        <v/>
      </c>
      <c r="Q371" s="981" t="str">
        <f>IF(P371="","",Conc2(P371,P$9,MolVol,P$21,P$20,Q$21,Q$20))</f>
        <v/>
      </c>
      <c r="R371" s="981" t="str">
        <f>IF(R$17=FALSE,"",JUMData('Testo, JUM &amp; MRU Data'!M365,$R$7))</f>
        <v/>
      </c>
      <c r="S371" s="982" t="str">
        <f>IF(R371="","",Conc2(R371,R$9,MolVol,R$21,R$20,S$21,S$20)/(1-Bws))</f>
        <v/>
      </c>
      <c r="T371" s="740"/>
      <c r="AR371" s="334"/>
      <c r="AS371" s="334"/>
      <c r="AT371" s="48"/>
      <c r="AU371" s="48"/>
      <c r="AV371" s="153"/>
      <c r="AW371" s="153"/>
      <c r="AX371" s="153"/>
      <c r="AY371" s="153"/>
      <c r="AZ371" s="153"/>
      <c r="BA371" s="153"/>
      <c r="BB371" s="153"/>
      <c r="BC371" s="153"/>
      <c r="BD371" s="153"/>
      <c r="BE371" s="153"/>
      <c r="BF371" s="153"/>
      <c r="BG371" s="153"/>
      <c r="BH371" s="153"/>
      <c r="BI371" s="153"/>
      <c r="BJ371" s="153"/>
      <c r="BK371" s="153"/>
      <c r="BL371" s="153"/>
      <c r="BM371" s="153"/>
      <c r="BN371" s="153"/>
      <c r="BO371" s="153"/>
      <c r="BP371" s="153"/>
      <c r="BQ371" s="153"/>
      <c r="BR371" s="153"/>
      <c r="BS371" s="153"/>
      <c r="BT371" s="153"/>
      <c r="BU371" s="153"/>
      <c r="BV371" s="153"/>
      <c r="BW371" s="153"/>
      <c r="BX371" s="153"/>
      <c r="BY371" s="153"/>
      <c r="BZ371" s="153"/>
      <c r="CA371" s="153"/>
      <c r="CB371" s="153"/>
      <c r="CC371" s="153"/>
      <c r="CD371" s="153"/>
      <c r="CE371" s="153"/>
      <c r="CF371" s="153"/>
      <c r="CG371" s="153"/>
      <c r="CH371" s="153"/>
      <c r="CI371" s="153"/>
      <c r="CJ371" s="153"/>
      <c r="CK371" s="153"/>
      <c r="CL371" s="153"/>
      <c r="CM371" s="153"/>
      <c r="CN371" s="153"/>
      <c r="CO371" s="153"/>
      <c r="CP371" s="153"/>
      <c r="CQ371" s="153"/>
      <c r="CR371" s="153"/>
      <c r="CS371" s="153"/>
      <c r="CT371" s="153"/>
      <c r="CU371" s="153"/>
      <c r="CV371" s="153"/>
      <c r="CW371" s="153"/>
      <c r="CX371" s="153"/>
      <c r="CY371" s="153"/>
      <c r="CZ371" s="153"/>
      <c r="DA371" s="153"/>
      <c r="DB371" s="153"/>
      <c r="DC371" s="153"/>
      <c r="DD371" s="153"/>
      <c r="DE371" s="153"/>
      <c r="DF371" s="153"/>
      <c r="DG371" s="153"/>
      <c r="DH371" s="153"/>
      <c r="DI371" s="153"/>
      <c r="DJ371" s="153"/>
      <c r="DK371" s="153"/>
      <c r="DL371" s="153"/>
      <c r="DM371" s="153"/>
      <c r="DN371" s="153"/>
      <c r="DO371" s="153"/>
      <c r="DP371" s="153"/>
      <c r="DQ371" s="153"/>
      <c r="DR371" s="153"/>
      <c r="DS371" s="153"/>
      <c r="DT371" s="153"/>
      <c r="DU371" s="153"/>
      <c r="DV371" s="153"/>
      <c r="DW371" s="153"/>
      <c r="DX371" s="153"/>
      <c r="DY371" s="153"/>
      <c r="DZ371" s="153"/>
      <c r="EA371" s="153"/>
      <c r="EB371" s="153"/>
      <c r="EC371" s="153"/>
      <c r="ED371" s="153"/>
      <c r="EE371" s="153"/>
      <c r="EF371" s="153"/>
      <c r="EG371" s="153"/>
      <c r="EH371" s="153"/>
      <c r="EI371" s="153"/>
      <c r="EJ371" s="153"/>
      <c r="EK371" s="153"/>
      <c r="EL371" s="153"/>
      <c r="EM371" s="153"/>
    </row>
    <row r="372" spans="1:143" s="107" customFormat="1" ht="10.5" hidden="1" customHeight="1" outlineLevel="2">
      <c r="A372" s="1548">
        <v>347</v>
      </c>
      <c r="B372" s="1560" t="str">
        <f t="shared" si="7"/>
        <v/>
      </c>
      <c r="C372" s="161" t="str">
        <f>GasTime(GasAnalyser,'Horiba Data'!F365,'Horiba Data'!G365,'Testo, JUM &amp; MRU Data'!A366,'Thermo Data'!B365,HourOffset)</f>
        <v/>
      </c>
      <c r="D372" s="981" t="str">
        <f>IF(D$17=FALSE,"",GasData(GasAnalyser,'Horiba Data'!S365,'Testo, JUM &amp; MRU Data'!D366,'Thermo Data'!E365,'Testo, JUM &amp; MRU Data'!U366,GDF))</f>
        <v/>
      </c>
      <c r="E372" s="981" t="str">
        <f>IF(D372="","",Conc2(D372,D$9,MolVol,D$21,D$20,E$21,E$20))</f>
        <v/>
      </c>
      <c r="F372" s="981" t="str">
        <f>IF(F$17=FALSE,"",GasData(GasAnalyser,'Horiba Data'!AQ365,'Testo, JUM &amp; MRU Data'!E366,'Thermo Data'!F365,'Testo, JUM &amp; MRU Data'!V366,GDF))</f>
        <v/>
      </c>
      <c r="G372" s="981" t="str">
        <f>IF(F372="","",Conc2(F372,F$9,MolVol,F$21,F$20,G$21,G$20))</f>
        <v/>
      </c>
      <c r="H372" s="981" t="str">
        <f>IF(D$17=FALSE,"",IF(F$17=FALSE,"",GasData(GasAnalyser,'Horiba Data'!W365,'Testo, JUM &amp; MRU Data'!F366,'Thermo Data'!G365,'Testo, JUM &amp; MRU Data'!Y366,GDF)))</f>
        <v/>
      </c>
      <c r="I372" s="981" t="str">
        <f>IF(H372="","",Conc2(H372,H$9,MolVol,H$21,H$20,I$21,I$20))</f>
        <v/>
      </c>
      <c r="J372" s="981" t="str">
        <f>IF(J$17=FALSE,"",GasData(GasAnalyser,'Horiba Data'!AM365,'Testo, JUM &amp; MRU Data'!G366,'Thermo Data'!H365,'Testo, JUM &amp; MRU Data'!W366,GDF))</f>
        <v/>
      </c>
      <c r="K372" s="981" t="str">
        <f>IF(J372="","",Conc2(J372,J$9,MolVol,J$21,J$20,K$21,K$20))</f>
        <v/>
      </c>
      <c r="L372" s="981" t="str">
        <f>IF(L$17=FALSE,"",GasData(GasAnalyser,'Horiba Data'!AA365,'Testo, JUM &amp; MRU Data'!H366,'Thermo Data'!I365,'Testo, JUM &amp; MRU Data'!T366,GDF))</f>
        <v/>
      </c>
      <c r="M372" s="981" t="str">
        <f>IF(L372="","",Conc2(L372,L$9,MolVol,L$21,L$20,M$21,M$20))</f>
        <v/>
      </c>
      <c r="N372" s="981" t="str">
        <f>IF(N$17=FALSE,"",GasData(GasAnalyser,'Horiba Data'!AE365,'Testo, JUM &amp; MRU Data'!I366,'Thermo Data'!J365,'Testo, JUM &amp; MRU Data'!S366,GDF))</f>
        <v/>
      </c>
      <c r="O372" s="981" t="str">
        <f>IF(N372="","",Conc2(N372,N$9,MolVol,N$21,N$20,O$21,O$20))</f>
        <v/>
      </c>
      <c r="P372" s="981" t="str">
        <f>IF(P$17=FALSE,"",GasData(GasAnalyser,'Horiba Data'!AI365,'Testo, JUM &amp; MRU Data'!J366,'Thermo Data'!K365,'Testo, JUM &amp; MRU Data'!R366,GDF))</f>
        <v/>
      </c>
      <c r="Q372" s="981" t="str">
        <f>IF(P372="","",Conc2(P372,P$9,MolVol,P$21,P$20,Q$21,Q$20))</f>
        <v/>
      </c>
      <c r="R372" s="981" t="str">
        <f>IF(R$17=FALSE,"",JUMData('Testo, JUM &amp; MRU Data'!M366,$R$7))</f>
        <v/>
      </c>
      <c r="S372" s="982" t="str">
        <f>IF(R372="","",Conc2(R372,R$9,MolVol,R$21,R$20,S$21,S$20)/(1-Bws))</f>
        <v/>
      </c>
      <c r="T372" s="740"/>
      <c r="AR372" s="334"/>
      <c r="AS372" s="334"/>
      <c r="AT372" s="48"/>
      <c r="AU372" s="48"/>
      <c r="AV372" s="153"/>
      <c r="AW372" s="153"/>
      <c r="AX372" s="153"/>
      <c r="AY372" s="153"/>
      <c r="AZ372" s="153"/>
      <c r="BA372" s="153"/>
      <c r="BB372" s="153"/>
      <c r="BC372" s="153"/>
      <c r="BD372" s="153"/>
      <c r="BE372" s="153"/>
      <c r="BF372" s="153"/>
      <c r="BG372" s="153"/>
      <c r="BH372" s="153"/>
      <c r="BI372" s="153"/>
      <c r="BJ372" s="153"/>
      <c r="BK372" s="153"/>
      <c r="BL372" s="153"/>
      <c r="BM372" s="153"/>
      <c r="BN372" s="153"/>
      <c r="BO372" s="153"/>
      <c r="BP372" s="153"/>
      <c r="BQ372" s="153"/>
      <c r="BR372" s="153"/>
      <c r="BS372" s="153"/>
      <c r="BT372" s="153"/>
      <c r="BU372" s="153"/>
      <c r="BV372" s="153"/>
      <c r="BW372" s="153"/>
      <c r="BX372" s="153"/>
      <c r="BY372" s="153"/>
      <c r="BZ372" s="153"/>
      <c r="CA372" s="153"/>
      <c r="CB372" s="153"/>
      <c r="CC372" s="153"/>
      <c r="CD372" s="153"/>
      <c r="CE372" s="153"/>
      <c r="CF372" s="153"/>
      <c r="CG372" s="153"/>
      <c r="CH372" s="153"/>
      <c r="CI372" s="153"/>
      <c r="CJ372" s="153"/>
      <c r="CK372" s="153"/>
      <c r="CL372" s="153"/>
      <c r="CM372" s="153"/>
      <c r="CN372" s="153"/>
      <c r="CO372" s="153"/>
      <c r="CP372" s="153"/>
      <c r="CQ372" s="153"/>
      <c r="CR372" s="153"/>
      <c r="CS372" s="153"/>
      <c r="CT372" s="153"/>
      <c r="CU372" s="153"/>
      <c r="CV372" s="153"/>
      <c r="CW372" s="153"/>
      <c r="CX372" s="153"/>
      <c r="CY372" s="153"/>
      <c r="CZ372" s="153"/>
      <c r="DA372" s="153"/>
      <c r="DB372" s="153"/>
      <c r="DC372" s="153"/>
      <c r="DD372" s="153"/>
      <c r="DE372" s="153"/>
      <c r="DF372" s="153"/>
      <c r="DG372" s="153"/>
      <c r="DH372" s="153"/>
      <c r="DI372" s="153"/>
      <c r="DJ372" s="153"/>
      <c r="DK372" s="153"/>
      <c r="DL372" s="153"/>
      <c r="DM372" s="153"/>
      <c r="DN372" s="153"/>
      <c r="DO372" s="153"/>
      <c r="DP372" s="153"/>
      <c r="DQ372" s="153"/>
      <c r="DR372" s="153"/>
      <c r="DS372" s="153"/>
      <c r="DT372" s="153"/>
      <c r="DU372" s="153"/>
      <c r="DV372" s="153"/>
      <c r="DW372" s="153"/>
      <c r="DX372" s="153"/>
      <c r="DY372" s="153"/>
      <c r="DZ372" s="153"/>
      <c r="EA372" s="153"/>
      <c r="EB372" s="153"/>
      <c r="EC372" s="153"/>
      <c r="ED372" s="153"/>
      <c r="EE372" s="153"/>
      <c r="EF372" s="153"/>
      <c r="EG372" s="153"/>
      <c r="EH372" s="153"/>
      <c r="EI372" s="153"/>
      <c r="EJ372" s="153"/>
      <c r="EK372" s="153"/>
      <c r="EL372" s="153"/>
      <c r="EM372" s="153"/>
    </row>
    <row r="373" spans="1:143" s="107" customFormat="1" ht="10.5" hidden="1" customHeight="1" outlineLevel="2">
      <c r="A373" s="1548">
        <v>348</v>
      </c>
      <c r="B373" s="1560" t="str">
        <f t="shared" si="7"/>
        <v/>
      </c>
      <c r="C373" s="161" t="str">
        <f>GasTime(GasAnalyser,'Horiba Data'!F366,'Horiba Data'!G366,'Testo, JUM &amp; MRU Data'!A367,'Thermo Data'!B366,HourOffset)</f>
        <v/>
      </c>
      <c r="D373" s="981" t="str">
        <f>IF(D$17=FALSE,"",GasData(GasAnalyser,'Horiba Data'!S366,'Testo, JUM &amp; MRU Data'!D367,'Thermo Data'!E366,'Testo, JUM &amp; MRU Data'!U367,GDF))</f>
        <v/>
      </c>
      <c r="E373" s="981" t="str">
        <f>IF(D373="","",Conc2(D373,D$9,MolVol,D$21,D$20,E$21,E$20))</f>
        <v/>
      </c>
      <c r="F373" s="981" t="str">
        <f>IF(F$17=FALSE,"",GasData(GasAnalyser,'Horiba Data'!AQ366,'Testo, JUM &amp; MRU Data'!E367,'Thermo Data'!F366,'Testo, JUM &amp; MRU Data'!V367,GDF))</f>
        <v/>
      </c>
      <c r="G373" s="981" t="str">
        <f>IF(F373="","",Conc2(F373,F$9,MolVol,F$21,F$20,G$21,G$20))</f>
        <v/>
      </c>
      <c r="H373" s="981" t="str">
        <f>IF(D$17=FALSE,"",IF(F$17=FALSE,"",GasData(GasAnalyser,'Horiba Data'!W366,'Testo, JUM &amp; MRU Data'!F367,'Thermo Data'!G366,'Testo, JUM &amp; MRU Data'!Y367,GDF)))</f>
        <v/>
      </c>
      <c r="I373" s="981" t="str">
        <f>IF(H373="","",Conc2(H373,H$9,MolVol,H$21,H$20,I$21,I$20))</f>
        <v/>
      </c>
      <c r="J373" s="981" t="str">
        <f>IF(J$17=FALSE,"",GasData(GasAnalyser,'Horiba Data'!AM366,'Testo, JUM &amp; MRU Data'!G367,'Thermo Data'!H366,'Testo, JUM &amp; MRU Data'!W367,GDF))</f>
        <v/>
      </c>
      <c r="K373" s="981" t="str">
        <f>IF(J373="","",Conc2(J373,J$9,MolVol,J$21,J$20,K$21,K$20))</f>
        <v/>
      </c>
      <c r="L373" s="981" t="str">
        <f>IF(L$17=FALSE,"",GasData(GasAnalyser,'Horiba Data'!AA366,'Testo, JUM &amp; MRU Data'!H367,'Thermo Data'!I366,'Testo, JUM &amp; MRU Data'!T367,GDF))</f>
        <v/>
      </c>
      <c r="M373" s="981" t="str">
        <f>IF(L373="","",Conc2(L373,L$9,MolVol,L$21,L$20,M$21,M$20))</f>
        <v/>
      </c>
      <c r="N373" s="981" t="str">
        <f>IF(N$17=FALSE,"",GasData(GasAnalyser,'Horiba Data'!AE366,'Testo, JUM &amp; MRU Data'!I367,'Thermo Data'!J366,'Testo, JUM &amp; MRU Data'!S367,GDF))</f>
        <v/>
      </c>
      <c r="O373" s="981" t="str">
        <f>IF(N373="","",Conc2(N373,N$9,MolVol,N$21,N$20,O$21,O$20))</f>
        <v/>
      </c>
      <c r="P373" s="981" t="str">
        <f>IF(P$17=FALSE,"",GasData(GasAnalyser,'Horiba Data'!AI366,'Testo, JUM &amp; MRU Data'!J367,'Thermo Data'!K366,'Testo, JUM &amp; MRU Data'!R367,GDF))</f>
        <v/>
      </c>
      <c r="Q373" s="981" t="str">
        <f>IF(P373="","",Conc2(P373,P$9,MolVol,P$21,P$20,Q$21,Q$20))</f>
        <v/>
      </c>
      <c r="R373" s="981" t="str">
        <f>IF(R$17=FALSE,"",JUMData('Testo, JUM &amp; MRU Data'!M367,$R$7))</f>
        <v/>
      </c>
      <c r="S373" s="982" t="str">
        <f>IF(R373="","",Conc2(R373,R$9,MolVol,R$21,R$20,S$21,S$20)/(1-Bws))</f>
        <v/>
      </c>
      <c r="T373" s="740"/>
      <c r="AR373" s="334"/>
      <c r="AS373" s="334"/>
      <c r="AT373" s="48"/>
      <c r="AU373" s="48"/>
      <c r="AV373" s="153"/>
      <c r="AW373" s="153"/>
      <c r="AX373" s="153"/>
      <c r="AY373" s="153"/>
      <c r="AZ373" s="153"/>
      <c r="BA373" s="153"/>
      <c r="BB373" s="153"/>
      <c r="BC373" s="153"/>
      <c r="BD373" s="153"/>
      <c r="BE373" s="153"/>
      <c r="BF373" s="153"/>
      <c r="BG373" s="153"/>
      <c r="BH373" s="153"/>
      <c r="BI373" s="153"/>
      <c r="BJ373" s="153"/>
      <c r="BK373" s="153"/>
      <c r="BL373" s="153"/>
      <c r="BM373" s="153"/>
      <c r="BN373" s="153"/>
      <c r="BO373" s="153"/>
      <c r="BP373" s="153"/>
      <c r="BQ373" s="153"/>
      <c r="BR373" s="153"/>
      <c r="BS373" s="153"/>
      <c r="BT373" s="153"/>
      <c r="BU373" s="153"/>
      <c r="BV373" s="153"/>
      <c r="BW373" s="153"/>
      <c r="BX373" s="153"/>
      <c r="BY373" s="153"/>
      <c r="BZ373" s="153"/>
      <c r="CA373" s="153"/>
      <c r="CB373" s="153"/>
      <c r="CC373" s="153"/>
      <c r="CD373" s="153"/>
      <c r="CE373" s="153"/>
      <c r="CF373" s="153"/>
      <c r="CG373" s="153"/>
      <c r="CH373" s="153"/>
      <c r="CI373" s="153"/>
      <c r="CJ373" s="153"/>
      <c r="CK373" s="153"/>
      <c r="CL373" s="153"/>
      <c r="CM373" s="153"/>
      <c r="CN373" s="153"/>
      <c r="CO373" s="153"/>
      <c r="CP373" s="153"/>
      <c r="CQ373" s="153"/>
      <c r="CR373" s="153"/>
      <c r="CS373" s="153"/>
      <c r="CT373" s="153"/>
      <c r="CU373" s="153"/>
      <c r="CV373" s="153"/>
      <c r="CW373" s="153"/>
      <c r="CX373" s="153"/>
      <c r="CY373" s="153"/>
      <c r="CZ373" s="153"/>
      <c r="DA373" s="153"/>
      <c r="DB373" s="153"/>
      <c r="DC373" s="153"/>
      <c r="DD373" s="153"/>
      <c r="DE373" s="153"/>
      <c r="DF373" s="153"/>
      <c r="DG373" s="153"/>
      <c r="DH373" s="153"/>
      <c r="DI373" s="153"/>
      <c r="DJ373" s="153"/>
      <c r="DK373" s="153"/>
      <c r="DL373" s="153"/>
      <c r="DM373" s="153"/>
      <c r="DN373" s="153"/>
      <c r="DO373" s="153"/>
      <c r="DP373" s="153"/>
      <c r="DQ373" s="153"/>
      <c r="DR373" s="153"/>
      <c r="DS373" s="153"/>
      <c r="DT373" s="153"/>
      <c r="DU373" s="153"/>
      <c r="DV373" s="153"/>
      <c r="DW373" s="153"/>
      <c r="DX373" s="153"/>
      <c r="DY373" s="153"/>
      <c r="DZ373" s="153"/>
      <c r="EA373" s="153"/>
      <c r="EB373" s="153"/>
      <c r="EC373" s="153"/>
      <c r="ED373" s="153"/>
      <c r="EE373" s="153"/>
      <c r="EF373" s="153"/>
      <c r="EG373" s="153"/>
      <c r="EH373" s="153"/>
      <c r="EI373" s="153"/>
      <c r="EJ373" s="153"/>
      <c r="EK373" s="153"/>
      <c r="EL373" s="153"/>
      <c r="EM373" s="153"/>
    </row>
    <row r="374" spans="1:143" s="107" customFormat="1" ht="10.5" hidden="1" customHeight="1" outlineLevel="2">
      <c r="A374" s="1548">
        <v>349</v>
      </c>
      <c r="B374" s="1560" t="str">
        <f t="shared" si="7"/>
        <v/>
      </c>
      <c r="C374" s="161" t="str">
        <f>GasTime(GasAnalyser,'Horiba Data'!F367,'Horiba Data'!G367,'Testo, JUM &amp; MRU Data'!A368,'Thermo Data'!B367,HourOffset)</f>
        <v/>
      </c>
      <c r="D374" s="981" t="str">
        <f>IF(D$17=FALSE,"",GasData(GasAnalyser,'Horiba Data'!S367,'Testo, JUM &amp; MRU Data'!D368,'Thermo Data'!E367,'Testo, JUM &amp; MRU Data'!U368,GDF))</f>
        <v/>
      </c>
      <c r="E374" s="981" t="str">
        <f>IF(D374="","",Conc2(D374,D$9,MolVol,D$21,D$20,E$21,E$20))</f>
        <v/>
      </c>
      <c r="F374" s="981" t="str">
        <f>IF(F$17=FALSE,"",GasData(GasAnalyser,'Horiba Data'!AQ367,'Testo, JUM &amp; MRU Data'!E368,'Thermo Data'!F367,'Testo, JUM &amp; MRU Data'!V368,GDF))</f>
        <v/>
      </c>
      <c r="G374" s="981" t="str">
        <f>IF(F374="","",Conc2(F374,F$9,MolVol,F$21,F$20,G$21,G$20))</f>
        <v/>
      </c>
      <c r="H374" s="981" t="str">
        <f>IF(D$17=FALSE,"",IF(F$17=FALSE,"",GasData(GasAnalyser,'Horiba Data'!W367,'Testo, JUM &amp; MRU Data'!F368,'Thermo Data'!G367,'Testo, JUM &amp; MRU Data'!Y368,GDF)))</f>
        <v/>
      </c>
      <c r="I374" s="981" t="str">
        <f>IF(H374="","",Conc2(H374,H$9,MolVol,H$21,H$20,I$21,I$20))</f>
        <v/>
      </c>
      <c r="J374" s="981" t="str">
        <f>IF(J$17=FALSE,"",GasData(GasAnalyser,'Horiba Data'!AM367,'Testo, JUM &amp; MRU Data'!G368,'Thermo Data'!H367,'Testo, JUM &amp; MRU Data'!W368,GDF))</f>
        <v/>
      </c>
      <c r="K374" s="981" t="str">
        <f>IF(J374="","",Conc2(J374,J$9,MolVol,J$21,J$20,K$21,K$20))</f>
        <v/>
      </c>
      <c r="L374" s="981" t="str">
        <f>IF(L$17=FALSE,"",GasData(GasAnalyser,'Horiba Data'!AA367,'Testo, JUM &amp; MRU Data'!H368,'Thermo Data'!I367,'Testo, JUM &amp; MRU Data'!T368,GDF))</f>
        <v/>
      </c>
      <c r="M374" s="981" t="str">
        <f>IF(L374="","",Conc2(L374,L$9,MolVol,L$21,L$20,M$21,M$20))</f>
        <v/>
      </c>
      <c r="N374" s="981" t="str">
        <f>IF(N$17=FALSE,"",GasData(GasAnalyser,'Horiba Data'!AE367,'Testo, JUM &amp; MRU Data'!I368,'Thermo Data'!J367,'Testo, JUM &amp; MRU Data'!S368,GDF))</f>
        <v/>
      </c>
      <c r="O374" s="981" t="str">
        <f>IF(N374="","",Conc2(N374,N$9,MolVol,N$21,N$20,O$21,O$20))</f>
        <v/>
      </c>
      <c r="P374" s="981" t="str">
        <f>IF(P$17=FALSE,"",GasData(GasAnalyser,'Horiba Data'!AI367,'Testo, JUM &amp; MRU Data'!J368,'Thermo Data'!K367,'Testo, JUM &amp; MRU Data'!R368,GDF))</f>
        <v/>
      </c>
      <c r="Q374" s="981" t="str">
        <f>IF(P374="","",Conc2(P374,P$9,MolVol,P$21,P$20,Q$21,Q$20))</f>
        <v/>
      </c>
      <c r="R374" s="981" t="str">
        <f>IF(R$17=FALSE,"",JUMData('Testo, JUM &amp; MRU Data'!M368,$R$7))</f>
        <v/>
      </c>
      <c r="S374" s="982" t="str">
        <f>IF(R374="","",Conc2(R374,R$9,MolVol,R$21,R$20,S$21,S$20)/(1-Bws))</f>
        <v/>
      </c>
      <c r="T374" s="740"/>
      <c r="AR374" s="334"/>
      <c r="AS374" s="334"/>
      <c r="AT374" s="48"/>
      <c r="AU374" s="48"/>
      <c r="AV374" s="153"/>
      <c r="AW374" s="153"/>
      <c r="AX374" s="153"/>
      <c r="AY374" s="153"/>
      <c r="AZ374" s="153"/>
      <c r="BA374" s="153"/>
      <c r="BB374" s="153"/>
      <c r="BC374" s="153"/>
      <c r="BD374" s="153"/>
      <c r="BE374" s="153"/>
      <c r="BF374" s="153"/>
      <c r="BG374" s="153"/>
      <c r="BH374" s="153"/>
      <c r="BI374" s="153"/>
      <c r="BJ374" s="153"/>
      <c r="BK374" s="153"/>
      <c r="BL374" s="153"/>
      <c r="BM374" s="153"/>
      <c r="BN374" s="153"/>
      <c r="BO374" s="153"/>
      <c r="BP374" s="153"/>
      <c r="BQ374" s="153"/>
      <c r="BR374" s="153"/>
      <c r="BS374" s="153"/>
      <c r="BT374" s="153"/>
      <c r="BU374" s="153"/>
      <c r="BV374" s="153"/>
      <c r="BW374" s="153"/>
      <c r="BX374" s="153"/>
      <c r="BY374" s="153"/>
      <c r="BZ374" s="153"/>
      <c r="CA374" s="153"/>
      <c r="CB374" s="153"/>
      <c r="CC374" s="153"/>
      <c r="CD374" s="153"/>
      <c r="CE374" s="153"/>
      <c r="CF374" s="153"/>
      <c r="CG374" s="153"/>
      <c r="CH374" s="153"/>
      <c r="CI374" s="153"/>
      <c r="CJ374" s="153"/>
      <c r="CK374" s="153"/>
      <c r="CL374" s="153"/>
      <c r="CM374" s="153"/>
      <c r="CN374" s="153"/>
      <c r="CO374" s="153"/>
      <c r="CP374" s="153"/>
      <c r="CQ374" s="153"/>
      <c r="CR374" s="153"/>
      <c r="CS374" s="153"/>
      <c r="CT374" s="153"/>
      <c r="CU374" s="153"/>
      <c r="CV374" s="153"/>
      <c r="CW374" s="153"/>
      <c r="CX374" s="153"/>
      <c r="CY374" s="153"/>
      <c r="CZ374" s="153"/>
      <c r="DA374" s="153"/>
      <c r="DB374" s="153"/>
      <c r="DC374" s="153"/>
      <c r="DD374" s="153"/>
      <c r="DE374" s="153"/>
      <c r="DF374" s="153"/>
      <c r="DG374" s="153"/>
      <c r="DH374" s="153"/>
      <c r="DI374" s="153"/>
      <c r="DJ374" s="153"/>
      <c r="DK374" s="153"/>
      <c r="DL374" s="153"/>
      <c r="DM374" s="153"/>
      <c r="DN374" s="153"/>
      <c r="DO374" s="153"/>
      <c r="DP374" s="153"/>
      <c r="DQ374" s="153"/>
      <c r="DR374" s="153"/>
      <c r="DS374" s="153"/>
      <c r="DT374" s="153"/>
      <c r="DU374" s="153"/>
      <c r="DV374" s="153"/>
      <c r="DW374" s="153"/>
      <c r="DX374" s="153"/>
      <c r="DY374" s="153"/>
      <c r="DZ374" s="153"/>
      <c r="EA374" s="153"/>
      <c r="EB374" s="153"/>
      <c r="EC374" s="153"/>
      <c r="ED374" s="153"/>
      <c r="EE374" s="153"/>
      <c r="EF374" s="153"/>
      <c r="EG374" s="153"/>
      <c r="EH374" s="153"/>
      <c r="EI374" s="153"/>
      <c r="EJ374" s="153"/>
      <c r="EK374" s="153"/>
      <c r="EL374" s="153"/>
      <c r="EM374" s="153"/>
    </row>
    <row r="375" spans="1:143" s="107" customFormat="1" ht="10.5" hidden="1" customHeight="1" outlineLevel="2">
      <c r="A375" s="1548">
        <v>350</v>
      </c>
      <c r="B375" s="1560" t="str">
        <f t="shared" si="7"/>
        <v/>
      </c>
      <c r="C375" s="161" t="str">
        <f>GasTime(GasAnalyser,'Horiba Data'!F368,'Horiba Data'!G368,'Testo, JUM &amp; MRU Data'!A369,'Thermo Data'!B368,HourOffset)</f>
        <v/>
      </c>
      <c r="D375" s="981" t="str">
        <f>IF(D$17=FALSE,"",GasData(GasAnalyser,'Horiba Data'!S368,'Testo, JUM &amp; MRU Data'!D369,'Thermo Data'!E368,'Testo, JUM &amp; MRU Data'!U369,GDF))</f>
        <v/>
      </c>
      <c r="E375" s="981" t="str">
        <f>IF(D375="","",Conc2(D375,D$9,MolVol,D$21,D$20,E$21,E$20))</f>
        <v/>
      </c>
      <c r="F375" s="981" t="str">
        <f>IF(F$17=FALSE,"",GasData(GasAnalyser,'Horiba Data'!AQ368,'Testo, JUM &amp; MRU Data'!E369,'Thermo Data'!F368,'Testo, JUM &amp; MRU Data'!V369,GDF))</f>
        <v/>
      </c>
      <c r="G375" s="981" t="str">
        <f>IF(F375="","",Conc2(F375,F$9,MolVol,F$21,F$20,G$21,G$20))</f>
        <v/>
      </c>
      <c r="H375" s="981" t="str">
        <f>IF(D$17=FALSE,"",IF(F$17=FALSE,"",GasData(GasAnalyser,'Horiba Data'!W368,'Testo, JUM &amp; MRU Data'!F369,'Thermo Data'!G368,'Testo, JUM &amp; MRU Data'!Y369,GDF)))</f>
        <v/>
      </c>
      <c r="I375" s="981" t="str">
        <f>IF(H375="","",Conc2(H375,H$9,MolVol,H$21,H$20,I$21,I$20))</f>
        <v/>
      </c>
      <c r="J375" s="981" t="str">
        <f>IF(J$17=FALSE,"",GasData(GasAnalyser,'Horiba Data'!AM368,'Testo, JUM &amp; MRU Data'!G369,'Thermo Data'!H368,'Testo, JUM &amp; MRU Data'!W369,GDF))</f>
        <v/>
      </c>
      <c r="K375" s="981" t="str">
        <f>IF(J375="","",Conc2(J375,J$9,MolVol,J$21,J$20,K$21,K$20))</f>
        <v/>
      </c>
      <c r="L375" s="981" t="str">
        <f>IF(L$17=FALSE,"",GasData(GasAnalyser,'Horiba Data'!AA368,'Testo, JUM &amp; MRU Data'!H369,'Thermo Data'!I368,'Testo, JUM &amp; MRU Data'!T369,GDF))</f>
        <v/>
      </c>
      <c r="M375" s="981" t="str">
        <f>IF(L375="","",Conc2(L375,L$9,MolVol,L$21,L$20,M$21,M$20))</f>
        <v/>
      </c>
      <c r="N375" s="981" t="str">
        <f>IF(N$17=FALSE,"",GasData(GasAnalyser,'Horiba Data'!AE368,'Testo, JUM &amp; MRU Data'!I369,'Thermo Data'!J368,'Testo, JUM &amp; MRU Data'!S369,GDF))</f>
        <v/>
      </c>
      <c r="O375" s="981" t="str">
        <f>IF(N375="","",Conc2(N375,N$9,MolVol,N$21,N$20,O$21,O$20))</f>
        <v/>
      </c>
      <c r="P375" s="981" t="str">
        <f>IF(P$17=FALSE,"",GasData(GasAnalyser,'Horiba Data'!AI368,'Testo, JUM &amp; MRU Data'!J369,'Thermo Data'!K368,'Testo, JUM &amp; MRU Data'!R369,GDF))</f>
        <v/>
      </c>
      <c r="Q375" s="981" t="str">
        <f>IF(P375="","",Conc2(P375,P$9,MolVol,P$21,P$20,Q$21,Q$20))</f>
        <v/>
      </c>
      <c r="R375" s="981" t="str">
        <f>IF(R$17=FALSE,"",JUMData('Testo, JUM &amp; MRU Data'!M369,$R$7))</f>
        <v/>
      </c>
      <c r="S375" s="982" t="str">
        <f>IF(R375="","",Conc2(R375,R$9,MolVol,R$21,R$20,S$21,S$20)/(1-Bws))</f>
        <v/>
      </c>
      <c r="T375" s="740"/>
      <c r="AR375" s="334"/>
      <c r="AS375" s="334"/>
      <c r="AT375" s="48"/>
      <c r="AU375" s="48"/>
      <c r="AV375" s="153"/>
      <c r="AW375" s="153"/>
      <c r="AX375" s="153"/>
      <c r="AY375" s="153"/>
      <c r="AZ375" s="153"/>
      <c r="BA375" s="153"/>
      <c r="BB375" s="153"/>
      <c r="BC375" s="153"/>
      <c r="BD375" s="153"/>
      <c r="BE375" s="153"/>
      <c r="BF375" s="153"/>
      <c r="BG375" s="153"/>
      <c r="BH375" s="153"/>
      <c r="BI375" s="153"/>
      <c r="BJ375" s="153"/>
      <c r="BK375" s="153"/>
      <c r="BL375" s="153"/>
      <c r="BM375" s="153"/>
      <c r="BN375" s="153"/>
      <c r="BO375" s="153"/>
      <c r="BP375" s="153"/>
      <c r="BQ375" s="153"/>
      <c r="BR375" s="153"/>
      <c r="BS375" s="153"/>
      <c r="BT375" s="153"/>
      <c r="BU375" s="153"/>
      <c r="BV375" s="153"/>
      <c r="BW375" s="153"/>
      <c r="BX375" s="153"/>
      <c r="BY375" s="153"/>
      <c r="BZ375" s="153"/>
      <c r="CA375" s="153"/>
      <c r="CB375" s="153"/>
      <c r="CC375" s="153"/>
      <c r="CD375" s="153"/>
      <c r="CE375" s="153"/>
      <c r="CF375" s="153"/>
      <c r="CG375" s="153"/>
      <c r="CH375" s="153"/>
      <c r="CI375" s="153"/>
      <c r="CJ375" s="153"/>
      <c r="CK375" s="153"/>
      <c r="CL375" s="153"/>
      <c r="CM375" s="153"/>
      <c r="CN375" s="153"/>
      <c r="CO375" s="153"/>
      <c r="CP375" s="153"/>
      <c r="CQ375" s="153"/>
      <c r="CR375" s="153"/>
      <c r="CS375" s="153"/>
      <c r="CT375" s="153"/>
      <c r="CU375" s="153"/>
      <c r="CV375" s="153"/>
      <c r="CW375" s="153"/>
      <c r="CX375" s="153"/>
      <c r="CY375" s="153"/>
      <c r="CZ375" s="153"/>
      <c r="DA375" s="153"/>
      <c r="DB375" s="153"/>
      <c r="DC375" s="153"/>
      <c r="DD375" s="153"/>
      <c r="DE375" s="153"/>
      <c r="DF375" s="153"/>
      <c r="DG375" s="153"/>
      <c r="DH375" s="153"/>
      <c r="DI375" s="153"/>
      <c r="DJ375" s="153"/>
      <c r="DK375" s="153"/>
      <c r="DL375" s="153"/>
      <c r="DM375" s="153"/>
      <c r="DN375" s="153"/>
      <c r="DO375" s="153"/>
      <c r="DP375" s="153"/>
      <c r="DQ375" s="153"/>
      <c r="DR375" s="153"/>
      <c r="DS375" s="153"/>
      <c r="DT375" s="153"/>
      <c r="DU375" s="153"/>
      <c r="DV375" s="153"/>
      <c r="DW375" s="153"/>
      <c r="DX375" s="153"/>
      <c r="DY375" s="153"/>
      <c r="DZ375" s="153"/>
      <c r="EA375" s="153"/>
      <c r="EB375" s="153"/>
      <c r="EC375" s="153"/>
      <c r="ED375" s="153"/>
      <c r="EE375" s="153"/>
      <c r="EF375" s="153"/>
      <c r="EG375" s="153"/>
      <c r="EH375" s="153"/>
      <c r="EI375" s="153"/>
      <c r="EJ375" s="153"/>
      <c r="EK375" s="153"/>
      <c r="EL375" s="153"/>
      <c r="EM375" s="153"/>
    </row>
    <row r="376" spans="1:143" s="107" customFormat="1" ht="10.5" hidden="1" customHeight="1" outlineLevel="2">
      <c r="A376" s="1548">
        <v>351</v>
      </c>
      <c r="B376" s="1560" t="str">
        <f t="shared" si="7"/>
        <v/>
      </c>
      <c r="C376" s="161" t="str">
        <f>GasTime(GasAnalyser,'Horiba Data'!F369,'Horiba Data'!G369,'Testo, JUM &amp; MRU Data'!A370,'Thermo Data'!B369,HourOffset)</f>
        <v/>
      </c>
      <c r="D376" s="981" t="str">
        <f>IF(D$17=FALSE,"",GasData(GasAnalyser,'Horiba Data'!S369,'Testo, JUM &amp; MRU Data'!D370,'Thermo Data'!E369,'Testo, JUM &amp; MRU Data'!U370,GDF))</f>
        <v/>
      </c>
      <c r="E376" s="981" t="str">
        <f>IF(D376="","",Conc2(D376,D$9,MolVol,D$21,D$20,E$21,E$20))</f>
        <v/>
      </c>
      <c r="F376" s="981" t="str">
        <f>IF(F$17=FALSE,"",GasData(GasAnalyser,'Horiba Data'!AQ369,'Testo, JUM &amp; MRU Data'!E370,'Thermo Data'!F369,'Testo, JUM &amp; MRU Data'!V370,GDF))</f>
        <v/>
      </c>
      <c r="G376" s="981" t="str">
        <f>IF(F376="","",Conc2(F376,F$9,MolVol,F$21,F$20,G$21,G$20))</f>
        <v/>
      </c>
      <c r="H376" s="981" t="str">
        <f>IF(D$17=FALSE,"",IF(F$17=FALSE,"",GasData(GasAnalyser,'Horiba Data'!W369,'Testo, JUM &amp; MRU Data'!F370,'Thermo Data'!G369,'Testo, JUM &amp; MRU Data'!Y370,GDF)))</f>
        <v/>
      </c>
      <c r="I376" s="981" t="str">
        <f>IF(H376="","",Conc2(H376,H$9,MolVol,H$21,H$20,I$21,I$20))</f>
        <v/>
      </c>
      <c r="J376" s="981" t="str">
        <f>IF(J$17=FALSE,"",GasData(GasAnalyser,'Horiba Data'!AM369,'Testo, JUM &amp; MRU Data'!G370,'Thermo Data'!H369,'Testo, JUM &amp; MRU Data'!W370,GDF))</f>
        <v/>
      </c>
      <c r="K376" s="981" t="str">
        <f>IF(J376="","",Conc2(J376,J$9,MolVol,J$21,J$20,K$21,K$20))</f>
        <v/>
      </c>
      <c r="L376" s="981" t="str">
        <f>IF(L$17=FALSE,"",GasData(GasAnalyser,'Horiba Data'!AA369,'Testo, JUM &amp; MRU Data'!H370,'Thermo Data'!I369,'Testo, JUM &amp; MRU Data'!T370,GDF))</f>
        <v/>
      </c>
      <c r="M376" s="981" t="str">
        <f>IF(L376="","",Conc2(L376,L$9,MolVol,L$21,L$20,M$21,M$20))</f>
        <v/>
      </c>
      <c r="N376" s="981" t="str">
        <f>IF(N$17=FALSE,"",GasData(GasAnalyser,'Horiba Data'!AE369,'Testo, JUM &amp; MRU Data'!I370,'Thermo Data'!J369,'Testo, JUM &amp; MRU Data'!S370,GDF))</f>
        <v/>
      </c>
      <c r="O376" s="981" t="str">
        <f>IF(N376="","",Conc2(N376,N$9,MolVol,N$21,N$20,O$21,O$20))</f>
        <v/>
      </c>
      <c r="P376" s="981" t="str">
        <f>IF(P$17=FALSE,"",GasData(GasAnalyser,'Horiba Data'!AI369,'Testo, JUM &amp; MRU Data'!J370,'Thermo Data'!K369,'Testo, JUM &amp; MRU Data'!R370,GDF))</f>
        <v/>
      </c>
      <c r="Q376" s="981" t="str">
        <f>IF(P376="","",Conc2(P376,P$9,MolVol,P$21,P$20,Q$21,Q$20))</f>
        <v/>
      </c>
      <c r="R376" s="981" t="str">
        <f>IF(R$17=FALSE,"",JUMData('Testo, JUM &amp; MRU Data'!M370,$R$7))</f>
        <v/>
      </c>
      <c r="S376" s="982" t="str">
        <f>IF(R376="","",Conc2(R376,R$9,MolVol,R$21,R$20,S$21,S$20)/(1-Bws))</f>
        <v/>
      </c>
      <c r="T376" s="740"/>
      <c r="AR376" s="334"/>
      <c r="AS376" s="334"/>
      <c r="AT376" s="48"/>
      <c r="AU376" s="48"/>
      <c r="AV376" s="153"/>
      <c r="AW376" s="153"/>
      <c r="AX376" s="153"/>
      <c r="AY376" s="153"/>
      <c r="AZ376" s="153"/>
      <c r="BA376" s="153"/>
      <c r="BB376" s="153"/>
      <c r="BC376" s="153"/>
      <c r="BD376" s="153"/>
      <c r="BE376" s="153"/>
      <c r="BF376" s="153"/>
      <c r="BG376" s="153"/>
      <c r="BH376" s="153"/>
      <c r="BI376" s="153"/>
      <c r="BJ376" s="153"/>
      <c r="BK376" s="153"/>
      <c r="BL376" s="153"/>
      <c r="BM376" s="153"/>
      <c r="BN376" s="153"/>
      <c r="BO376" s="153"/>
      <c r="BP376" s="153"/>
      <c r="BQ376" s="153"/>
      <c r="BR376" s="153"/>
      <c r="BS376" s="153"/>
      <c r="BT376" s="153"/>
      <c r="BU376" s="153"/>
      <c r="BV376" s="153"/>
      <c r="BW376" s="153"/>
      <c r="BX376" s="153"/>
      <c r="BY376" s="153"/>
      <c r="BZ376" s="153"/>
      <c r="CA376" s="153"/>
      <c r="CB376" s="153"/>
      <c r="CC376" s="153"/>
      <c r="CD376" s="153"/>
      <c r="CE376" s="153"/>
      <c r="CF376" s="153"/>
      <c r="CG376" s="153"/>
      <c r="CH376" s="153"/>
      <c r="CI376" s="153"/>
      <c r="CJ376" s="153"/>
      <c r="CK376" s="153"/>
      <c r="CL376" s="153"/>
      <c r="CM376" s="153"/>
      <c r="CN376" s="153"/>
      <c r="CO376" s="153"/>
      <c r="CP376" s="153"/>
      <c r="CQ376" s="153"/>
      <c r="CR376" s="153"/>
      <c r="CS376" s="153"/>
      <c r="CT376" s="153"/>
      <c r="CU376" s="153"/>
      <c r="CV376" s="153"/>
      <c r="CW376" s="153"/>
      <c r="CX376" s="153"/>
      <c r="CY376" s="153"/>
      <c r="CZ376" s="153"/>
      <c r="DA376" s="153"/>
      <c r="DB376" s="153"/>
      <c r="DC376" s="153"/>
      <c r="DD376" s="153"/>
      <c r="DE376" s="153"/>
      <c r="DF376" s="153"/>
      <c r="DG376" s="153"/>
      <c r="DH376" s="153"/>
      <c r="DI376" s="153"/>
      <c r="DJ376" s="153"/>
      <c r="DK376" s="153"/>
      <c r="DL376" s="153"/>
      <c r="DM376" s="153"/>
      <c r="DN376" s="153"/>
      <c r="DO376" s="153"/>
      <c r="DP376" s="153"/>
      <c r="DQ376" s="153"/>
      <c r="DR376" s="153"/>
      <c r="DS376" s="153"/>
      <c r="DT376" s="153"/>
      <c r="DU376" s="153"/>
      <c r="DV376" s="153"/>
      <c r="DW376" s="153"/>
      <c r="DX376" s="153"/>
      <c r="DY376" s="153"/>
      <c r="DZ376" s="153"/>
      <c r="EA376" s="153"/>
      <c r="EB376" s="153"/>
      <c r="EC376" s="153"/>
      <c r="ED376" s="153"/>
      <c r="EE376" s="153"/>
      <c r="EF376" s="153"/>
      <c r="EG376" s="153"/>
      <c r="EH376" s="153"/>
      <c r="EI376" s="153"/>
      <c r="EJ376" s="153"/>
      <c r="EK376" s="153"/>
      <c r="EL376" s="153"/>
      <c r="EM376" s="153"/>
    </row>
    <row r="377" spans="1:143" s="107" customFormat="1" ht="10.5" hidden="1" customHeight="1" outlineLevel="2">
      <c r="A377" s="1548">
        <v>352</v>
      </c>
      <c r="B377" s="1560" t="str">
        <f t="shared" si="7"/>
        <v/>
      </c>
      <c r="C377" s="161" t="str">
        <f>GasTime(GasAnalyser,'Horiba Data'!F370,'Horiba Data'!G370,'Testo, JUM &amp; MRU Data'!A371,'Thermo Data'!B370,HourOffset)</f>
        <v/>
      </c>
      <c r="D377" s="981" t="str">
        <f>IF(D$17=FALSE,"",GasData(GasAnalyser,'Horiba Data'!S370,'Testo, JUM &amp; MRU Data'!D371,'Thermo Data'!E370,'Testo, JUM &amp; MRU Data'!U371,GDF))</f>
        <v/>
      </c>
      <c r="E377" s="981" t="str">
        <f>IF(D377="","",Conc2(D377,D$9,MolVol,D$21,D$20,E$21,E$20))</f>
        <v/>
      </c>
      <c r="F377" s="981" t="str">
        <f>IF(F$17=FALSE,"",GasData(GasAnalyser,'Horiba Data'!AQ370,'Testo, JUM &amp; MRU Data'!E371,'Thermo Data'!F370,'Testo, JUM &amp; MRU Data'!V371,GDF))</f>
        <v/>
      </c>
      <c r="G377" s="981" t="str">
        <f>IF(F377="","",Conc2(F377,F$9,MolVol,F$21,F$20,G$21,G$20))</f>
        <v/>
      </c>
      <c r="H377" s="981" t="str">
        <f>IF(D$17=FALSE,"",IF(F$17=FALSE,"",GasData(GasAnalyser,'Horiba Data'!W370,'Testo, JUM &amp; MRU Data'!F371,'Thermo Data'!G370,'Testo, JUM &amp; MRU Data'!Y371,GDF)))</f>
        <v/>
      </c>
      <c r="I377" s="981" t="str">
        <f>IF(H377="","",Conc2(H377,H$9,MolVol,H$21,H$20,I$21,I$20))</f>
        <v/>
      </c>
      <c r="J377" s="981" t="str">
        <f>IF(J$17=FALSE,"",GasData(GasAnalyser,'Horiba Data'!AM370,'Testo, JUM &amp; MRU Data'!G371,'Thermo Data'!H370,'Testo, JUM &amp; MRU Data'!W371,GDF))</f>
        <v/>
      </c>
      <c r="K377" s="981" t="str">
        <f>IF(J377="","",Conc2(J377,J$9,MolVol,J$21,J$20,K$21,K$20))</f>
        <v/>
      </c>
      <c r="L377" s="981" t="str">
        <f>IF(L$17=FALSE,"",GasData(GasAnalyser,'Horiba Data'!AA370,'Testo, JUM &amp; MRU Data'!H371,'Thermo Data'!I370,'Testo, JUM &amp; MRU Data'!T371,GDF))</f>
        <v/>
      </c>
      <c r="M377" s="981" t="str">
        <f>IF(L377="","",Conc2(L377,L$9,MolVol,L$21,L$20,M$21,M$20))</f>
        <v/>
      </c>
      <c r="N377" s="981" t="str">
        <f>IF(N$17=FALSE,"",GasData(GasAnalyser,'Horiba Data'!AE370,'Testo, JUM &amp; MRU Data'!I371,'Thermo Data'!J370,'Testo, JUM &amp; MRU Data'!S371,GDF))</f>
        <v/>
      </c>
      <c r="O377" s="981" t="str">
        <f>IF(N377="","",Conc2(N377,N$9,MolVol,N$21,N$20,O$21,O$20))</f>
        <v/>
      </c>
      <c r="P377" s="981" t="str">
        <f>IF(P$17=FALSE,"",GasData(GasAnalyser,'Horiba Data'!AI370,'Testo, JUM &amp; MRU Data'!J371,'Thermo Data'!K370,'Testo, JUM &amp; MRU Data'!R371,GDF))</f>
        <v/>
      </c>
      <c r="Q377" s="981" t="str">
        <f>IF(P377="","",Conc2(P377,P$9,MolVol,P$21,P$20,Q$21,Q$20))</f>
        <v/>
      </c>
      <c r="R377" s="981" t="str">
        <f>IF(R$17=FALSE,"",JUMData('Testo, JUM &amp; MRU Data'!M371,$R$7))</f>
        <v/>
      </c>
      <c r="S377" s="982" t="str">
        <f>IF(R377="","",Conc2(R377,R$9,MolVol,R$21,R$20,S$21,S$20)/(1-Bws))</f>
        <v/>
      </c>
      <c r="T377" s="740"/>
      <c r="AR377" s="334"/>
      <c r="AS377" s="334"/>
      <c r="AT377" s="48"/>
      <c r="AU377" s="48"/>
      <c r="AV377" s="153"/>
      <c r="AW377" s="153"/>
      <c r="AX377" s="153"/>
      <c r="AY377" s="153"/>
      <c r="AZ377" s="153"/>
      <c r="BA377" s="153"/>
      <c r="BB377" s="153"/>
      <c r="BC377" s="153"/>
      <c r="BD377" s="153"/>
      <c r="BE377" s="153"/>
      <c r="BF377" s="153"/>
      <c r="BG377" s="153"/>
      <c r="BH377" s="153"/>
      <c r="BI377" s="153"/>
      <c r="BJ377" s="153"/>
      <c r="BK377" s="153"/>
      <c r="BL377" s="153"/>
      <c r="BM377" s="153"/>
      <c r="BN377" s="153"/>
      <c r="BO377" s="153"/>
      <c r="BP377" s="153"/>
      <c r="BQ377" s="153"/>
      <c r="BR377" s="153"/>
      <c r="BS377" s="153"/>
      <c r="BT377" s="153"/>
      <c r="BU377" s="153"/>
      <c r="BV377" s="153"/>
      <c r="BW377" s="153"/>
      <c r="BX377" s="153"/>
      <c r="BY377" s="153"/>
      <c r="BZ377" s="153"/>
      <c r="CA377" s="153"/>
      <c r="CB377" s="153"/>
      <c r="CC377" s="153"/>
      <c r="CD377" s="153"/>
      <c r="CE377" s="153"/>
      <c r="CF377" s="153"/>
      <c r="CG377" s="153"/>
      <c r="CH377" s="153"/>
      <c r="CI377" s="153"/>
      <c r="CJ377" s="153"/>
      <c r="CK377" s="153"/>
      <c r="CL377" s="153"/>
      <c r="CM377" s="153"/>
      <c r="CN377" s="153"/>
      <c r="CO377" s="153"/>
      <c r="CP377" s="153"/>
      <c r="CQ377" s="153"/>
      <c r="CR377" s="153"/>
      <c r="CS377" s="153"/>
      <c r="CT377" s="153"/>
      <c r="CU377" s="153"/>
      <c r="CV377" s="153"/>
      <c r="CW377" s="153"/>
      <c r="CX377" s="153"/>
      <c r="CY377" s="153"/>
      <c r="CZ377" s="153"/>
      <c r="DA377" s="153"/>
      <c r="DB377" s="153"/>
      <c r="DC377" s="153"/>
      <c r="DD377" s="153"/>
      <c r="DE377" s="153"/>
      <c r="DF377" s="153"/>
      <c r="DG377" s="153"/>
      <c r="DH377" s="153"/>
      <c r="DI377" s="153"/>
      <c r="DJ377" s="153"/>
      <c r="DK377" s="153"/>
      <c r="DL377" s="153"/>
      <c r="DM377" s="153"/>
      <c r="DN377" s="153"/>
      <c r="DO377" s="153"/>
      <c r="DP377" s="153"/>
      <c r="DQ377" s="153"/>
      <c r="DR377" s="153"/>
      <c r="DS377" s="153"/>
      <c r="DT377" s="153"/>
      <c r="DU377" s="153"/>
      <c r="DV377" s="153"/>
      <c r="DW377" s="153"/>
      <c r="DX377" s="153"/>
      <c r="DY377" s="153"/>
      <c r="DZ377" s="153"/>
      <c r="EA377" s="153"/>
      <c r="EB377" s="153"/>
      <c r="EC377" s="153"/>
      <c r="ED377" s="153"/>
      <c r="EE377" s="153"/>
      <c r="EF377" s="153"/>
      <c r="EG377" s="153"/>
      <c r="EH377" s="153"/>
      <c r="EI377" s="153"/>
      <c r="EJ377" s="153"/>
      <c r="EK377" s="153"/>
      <c r="EL377" s="153"/>
      <c r="EM377" s="153"/>
    </row>
    <row r="378" spans="1:143" s="107" customFormat="1" ht="10.5" hidden="1" customHeight="1" outlineLevel="2">
      <c r="A378" s="1548">
        <v>353</v>
      </c>
      <c r="B378" s="1560" t="str">
        <f t="shared" si="7"/>
        <v/>
      </c>
      <c r="C378" s="161" t="str">
        <f>GasTime(GasAnalyser,'Horiba Data'!F371,'Horiba Data'!G371,'Testo, JUM &amp; MRU Data'!A372,'Thermo Data'!B371,HourOffset)</f>
        <v/>
      </c>
      <c r="D378" s="981" t="str">
        <f>IF(D$17=FALSE,"",GasData(GasAnalyser,'Horiba Data'!S371,'Testo, JUM &amp; MRU Data'!D372,'Thermo Data'!E371,'Testo, JUM &amp; MRU Data'!U372,GDF))</f>
        <v/>
      </c>
      <c r="E378" s="981" t="str">
        <f>IF(D378="","",Conc2(D378,D$9,MolVol,D$21,D$20,E$21,E$20))</f>
        <v/>
      </c>
      <c r="F378" s="981" t="str">
        <f>IF(F$17=FALSE,"",GasData(GasAnalyser,'Horiba Data'!AQ371,'Testo, JUM &amp; MRU Data'!E372,'Thermo Data'!F371,'Testo, JUM &amp; MRU Data'!V372,GDF))</f>
        <v/>
      </c>
      <c r="G378" s="981" t="str">
        <f>IF(F378="","",Conc2(F378,F$9,MolVol,F$21,F$20,G$21,G$20))</f>
        <v/>
      </c>
      <c r="H378" s="981" t="str">
        <f>IF(D$17=FALSE,"",IF(F$17=FALSE,"",GasData(GasAnalyser,'Horiba Data'!W371,'Testo, JUM &amp; MRU Data'!F372,'Thermo Data'!G371,'Testo, JUM &amp; MRU Data'!Y372,GDF)))</f>
        <v/>
      </c>
      <c r="I378" s="981" t="str">
        <f>IF(H378="","",Conc2(H378,H$9,MolVol,H$21,H$20,I$21,I$20))</f>
        <v/>
      </c>
      <c r="J378" s="981" t="str">
        <f>IF(J$17=FALSE,"",GasData(GasAnalyser,'Horiba Data'!AM371,'Testo, JUM &amp; MRU Data'!G372,'Thermo Data'!H371,'Testo, JUM &amp; MRU Data'!W372,GDF))</f>
        <v/>
      </c>
      <c r="K378" s="981" t="str">
        <f>IF(J378="","",Conc2(J378,J$9,MolVol,J$21,J$20,K$21,K$20))</f>
        <v/>
      </c>
      <c r="L378" s="981" t="str">
        <f>IF(L$17=FALSE,"",GasData(GasAnalyser,'Horiba Data'!AA371,'Testo, JUM &amp; MRU Data'!H372,'Thermo Data'!I371,'Testo, JUM &amp; MRU Data'!T372,GDF))</f>
        <v/>
      </c>
      <c r="M378" s="981" t="str">
        <f>IF(L378="","",Conc2(L378,L$9,MolVol,L$21,L$20,M$21,M$20))</f>
        <v/>
      </c>
      <c r="N378" s="981" t="str">
        <f>IF(N$17=FALSE,"",GasData(GasAnalyser,'Horiba Data'!AE371,'Testo, JUM &amp; MRU Data'!I372,'Thermo Data'!J371,'Testo, JUM &amp; MRU Data'!S372,GDF))</f>
        <v/>
      </c>
      <c r="O378" s="981" t="str">
        <f>IF(N378="","",Conc2(N378,N$9,MolVol,N$21,N$20,O$21,O$20))</f>
        <v/>
      </c>
      <c r="P378" s="981" t="str">
        <f>IF(P$17=FALSE,"",GasData(GasAnalyser,'Horiba Data'!AI371,'Testo, JUM &amp; MRU Data'!J372,'Thermo Data'!K371,'Testo, JUM &amp; MRU Data'!R372,GDF))</f>
        <v/>
      </c>
      <c r="Q378" s="981" t="str">
        <f>IF(P378="","",Conc2(P378,P$9,MolVol,P$21,P$20,Q$21,Q$20))</f>
        <v/>
      </c>
      <c r="R378" s="981" t="str">
        <f>IF(R$17=FALSE,"",JUMData('Testo, JUM &amp; MRU Data'!M372,$R$7))</f>
        <v/>
      </c>
      <c r="S378" s="982" t="str">
        <f>IF(R378="","",Conc2(R378,R$9,MolVol,R$21,R$20,S$21,S$20)/(1-Bws))</f>
        <v/>
      </c>
      <c r="T378" s="740"/>
      <c r="AR378" s="334"/>
      <c r="AS378" s="334"/>
      <c r="AT378" s="48"/>
      <c r="AU378" s="48"/>
      <c r="AV378" s="153"/>
      <c r="AW378" s="153"/>
      <c r="AX378" s="153"/>
      <c r="AY378" s="153"/>
      <c r="AZ378" s="153"/>
      <c r="BA378" s="153"/>
      <c r="BB378" s="153"/>
      <c r="BC378" s="153"/>
      <c r="BD378" s="153"/>
      <c r="BE378" s="153"/>
      <c r="BF378" s="153"/>
      <c r="BG378" s="153"/>
      <c r="BH378" s="153"/>
      <c r="BI378" s="153"/>
      <c r="BJ378" s="153"/>
      <c r="BK378" s="153"/>
      <c r="BL378" s="153"/>
      <c r="BM378" s="153"/>
      <c r="BN378" s="153"/>
      <c r="BO378" s="153"/>
      <c r="BP378" s="153"/>
      <c r="BQ378" s="153"/>
      <c r="BR378" s="153"/>
      <c r="BS378" s="153"/>
      <c r="BT378" s="153"/>
      <c r="BU378" s="153"/>
      <c r="BV378" s="153"/>
      <c r="BW378" s="153"/>
      <c r="BX378" s="153"/>
      <c r="BY378" s="153"/>
      <c r="BZ378" s="153"/>
      <c r="CA378" s="153"/>
      <c r="CB378" s="153"/>
      <c r="CC378" s="153"/>
      <c r="CD378" s="153"/>
      <c r="CE378" s="153"/>
      <c r="CF378" s="153"/>
      <c r="CG378" s="153"/>
      <c r="CH378" s="153"/>
      <c r="CI378" s="153"/>
      <c r="CJ378" s="153"/>
      <c r="CK378" s="153"/>
      <c r="CL378" s="153"/>
      <c r="CM378" s="153"/>
      <c r="CN378" s="153"/>
      <c r="CO378" s="153"/>
      <c r="CP378" s="153"/>
      <c r="CQ378" s="153"/>
      <c r="CR378" s="153"/>
      <c r="CS378" s="153"/>
      <c r="CT378" s="153"/>
      <c r="CU378" s="153"/>
      <c r="CV378" s="153"/>
      <c r="CW378" s="153"/>
      <c r="CX378" s="153"/>
      <c r="CY378" s="153"/>
      <c r="CZ378" s="153"/>
      <c r="DA378" s="153"/>
      <c r="DB378" s="153"/>
      <c r="DC378" s="153"/>
      <c r="DD378" s="153"/>
      <c r="DE378" s="153"/>
      <c r="DF378" s="153"/>
      <c r="DG378" s="153"/>
      <c r="DH378" s="153"/>
      <c r="DI378" s="153"/>
      <c r="DJ378" s="153"/>
      <c r="DK378" s="153"/>
      <c r="DL378" s="153"/>
      <c r="DM378" s="153"/>
      <c r="DN378" s="153"/>
      <c r="DO378" s="153"/>
      <c r="DP378" s="153"/>
      <c r="DQ378" s="153"/>
      <c r="DR378" s="153"/>
      <c r="DS378" s="153"/>
      <c r="DT378" s="153"/>
      <c r="DU378" s="153"/>
      <c r="DV378" s="153"/>
      <c r="DW378" s="153"/>
      <c r="DX378" s="153"/>
      <c r="DY378" s="153"/>
      <c r="DZ378" s="153"/>
      <c r="EA378" s="153"/>
      <c r="EB378" s="153"/>
      <c r="EC378" s="153"/>
      <c r="ED378" s="153"/>
      <c r="EE378" s="153"/>
      <c r="EF378" s="153"/>
      <c r="EG378" s="153"/>
      <c r="EH378" s="153"/>
      <c r="EI378" s="153"/>
      <c r="EJ378" s="153"/>
      <c r="EK378" s="153"/>
      <c r="EL378" s="153"/>
      <c r="EM378" s="153"/>
    </row>
    <row r="379" spans="1:143" s="107" customFormat="1" ht="10.5" hidden="1" customHeight="1" outlineLevel="2">
      <c r="A379" s="1548">
        <v>354</v>
      </c>
      <c r="B379" s="1560" t="str">
        <f t="shared" si="7"/>
        <v/>
      </c>
      <c r="C379" s="161" t="str">
        <f>GasTime(GasAnalyser,'Horiba Data'!F372,'Horiba Data'!G372,'Testo, JUM &amp; MRU Data'!A373,'Thermo Data'!B372,HourOffset)</f>
        <v/>
      </c>
      <c r="D379" s="981" t="str">
        <f>IF(D$17=FALSE,"",GasData(GasAnalyser,'Horiba Data'!S372,'Testo, JUM &amp; MRU Data'!D373,'Thermo Data'!E372,'Testo, JUM &amp; MRU Data'!U373,GDF))</f>
        <v/>
      </c>
      <c r="E379" s="981" t="str">
        <f>IF(D379="","",Conc2(D379,D$9,MolVol,D$21,D$20,E$21,E$20))</f>
        <v/>
      </c>
      <c r="F379" s="981" t="str">
        <f>IF(F$17=FALSE,"",GasData(GasAnalyser,'Horiba Data'!AQ372,'Testo, JUM &amp; MRU Data'!E373,'Thermo Data'!F372,'Testo, JUM &amp; MRU Data'!V373,GDF))</f>
        <v/>
      </c>
      <c r="G379" s="981" t="str">
        <f>IF(F379="","",Conc2(F379,F$9,MolVol,F$21,F$20,G$21,G$20))</f>
        <v/>
      </c>
      <c r="H379" s="981" t="str">
        <f>IF(D$17=FALSE,"",IF(F$17=FALSE,"",GasData(GasAnalyser,'Horiba Data'!W372,'Testo, JUM &amp; MRU Data'!F373,'Thermo Data'!G372,'Testo, JUM &amp; MRU Data'!Y373,GDF)))</f>
        <v/>
      </c>
      <c r="I379" s="981" t="str">
        <f>IF(H379="","",Conc2(H379,H$9,MolVol,H$21,H$20,I$21,I$20))</f>
        <v/>
      </c>
      <c r="J379" s="981" t="str">
        <f>IF(J$17=FALSE,"",GasData(GasAnalyser,'Horiba Data'!AM372,'Testo, JUM &amp; MRU Data'!G373,'Thermo Data'!H372,'Testo, JUM &amp; MRU Data'!W373,GDF))</f>
        <v/>
      </c>
      <c r="K379" s="981" t="str">
        <f>IF(J379="","",Conc2(J379,J$9,MolVol,J$21,J$20,K$21,K$20))</f>
        <v/>
      </c>
      <c r="L379" s="981" t="str">
        <f>IF(L$17=FALSE,"",GasData(GasAnalyser,'Horiba Data'!AA372,'Testo, JUM &amp; MRU Data'!H373,'Thermo Data'!I372,'Testo, JUM &amp; MRU Data'!T373,GDF))</f>
        <v/>
      </c>
      <c r="M379" s="981" t="str">
        <f>IF(L379="","",Conc2(L379,L$9,MolVol,L$21,L$20,M$21,M$20))</f>
        <v/>
      </c>
      <c r="N379" s="981" t="str">
        <f>IF(N$17=FALSE,"",GasData(GasAnalyser,'Horiba Data'!AE372,'Testo, JUM &amp; MRU Data'!I373,'Thermo Data'!J372,'Testo, JUM &amp; MRU Data'!S373,GDF))</f>
        <v/>
      </c>
      <c r="O379" s="981" t="str">
        <f>IF(N379="","",Conc2(N379,N$9,MolVol,N$21,N$20,O$21,O$20))</f>
        <v/>
      </c>
      <c r="P379" s="981" t="str">
        <f>IF(P$17=FALSE,"",GasData(GasAnalyser,'Horiba Data'!AI372,'Testo, JUM &amp; MRU Data'!J373,'Thermo Data'!K372,'Testo, JUM &amp; MRU Data'!R373,GDF))</f>
        <v/>
      </c>
      <c r="Q379" s="981" t="str">
        <f>IF(P379="","",Conc2(P379,P$9,MolVol,P$21,P$20,Q$21,Q$20))</f>
        <v/>
      </c>
      <c r="R379" s="981" t="str">
        <f>IF(R$17=FALSE,"",JUMData('Testo, JUM &amp; MRU Data'!M373,$R$7))</f>
        <v/>
      </c>
      <c r="S379" s="982" t="str">
        <f>IF(R379="","",Conc2(R379,R$9,MolVol,R$21,R$20,S$21,S$20)/(1-Bws))</f>
        <v/>
      </c>
      <c r="T379" s="740"/>
      <c r="AR379" s="334"/>
      <c r="AS379" s="334"/>
      <c r="AT379" s="48"/>
      <c r="AU379" s="48"/>
      <c r="AV379" s="153"/>
      <c r="AW379" s="153"/>
      <c r="AX379" s="153"/>
      <c r="AY379" s="153"/>
      <c r="AZ379" s="153"/>
      <c r="BA379" s="153"/>
      <c r="BB379" s="153"/>
      <c r="BC379" s="153"/>
      <c r="BD379" s="153"/>
      <c r="BE379" s="153"/>
      <c r="BF379" s="153"/>
      <c r="BG379" s="153"/>
      <c r="BH379" s="153"/>
      <c r="BI379" s="153"/>
      <c r="BJ379" s="153"/>
      <c r="BK379" s="153"/>
      <c r="BL379" s="153"/>
      <c r="BM379" s="153"/>
      <c r="BN379" s="153"/>
      <c r="BO379" s="153"/>
      <c r="BP379" s="153"/>
      <c r="BQ379" s="153"/>
      <c r="BR379" s="153"/>
      <c r="BS379" s="153"/>
      <c r="BT379" s="153"/>
      <c r="BU379" s="153"/>
      <c r="BV379" s="153"/>
      <c r="BW379" s="153"/>
      <c r="BX379" s="153"/>
      <c r="BY379" s="153"/>
      <c r="BZ379" s="153"/>
      <c r="CA379" s="153"/>
      <c r="CB379" s="153"/>
      <c r="CC379" s="153"/>
      <c r="CD379" s="153"/>
      <c r="CE379" s="153"/>
      <c r="CF379" s="153"/>
      <c r="CG379" s="153"/>
      <c r="CH379" s="153"/>
      <c r="CI379" s="153"/>
      <c r="CJ379" s="153"/>
      <c r="CK379" s="153"/>
      <c r="CL379" s="153"/>
      <c r="CM379" s="153"/>
      <c r="CN379" s="153"/>
      <c r="CO379" s="153"/>
      <c r="CP379" s="153"/>
      <c r="CQ379" s="153"/>
      <c r="CR379" s="153"/>
      <c r="CS379" s="153"/>
      <c r="CT379" s="153"/>
      <c r="CU379" s="153"/>
      <c r="CV379" s="153"/>
      <c r="CW379" s="153"/>
      <c r="CX379" s="153"/>
      <c r="CY379" s="153"/>
      <c r="CZ379" s="153"/>
      <c r="DA379" s="153"/>
      <c r="DB379" s="153"/>
      <c r="DC379" s="153"/>
      <c r="DD379" s="153"/>
      <c r="DE379" s="153"/>
      <c r="DF379" s="153"/>
      <c r="DG379" s="153"/>
      <c r="DH379" s="153"/>
      <c r="DI379" s="153"/>
      <c r="DJ379" s="153"/>
      <c r="DK379" s="153"/>
      <c r="DL379" s="153"/>
      <c r="DM379" s="153"/>
      <c r="DN379" s="153"/>
      <c r="DO379" s="153"/>
      <c r="DP379" s="153"/>
      <c r="DQ379" s="153"/>
      <c r="DR379" s="153"/>
      <c r="DS379" s="153"/>
      <c r="DT379" s="153"/>
      <c r="DU379" s="153"/>
      <c r="DV379" s="153"/>
      <c r="DW379" s="153"/>
      <c r="DX379" s="153"/>
      <c r="DY379" s="153"/>
      <c r="DZ379" s="153"/>
      <c r="EA379" s="153"/>
      <c r="EB379" s="153"/>
      <c r="EC379" s="153"/>
      <c r="ED379" s="153"/>
      <c r="EE379" s="153"/>
      <c r="EF379" s="153"/>
      <c r="EG379" s="153"/>
      <c r="EH379" s="153"/>
      <c r="EI379" s="153"/>
      <c r="EJ379" s="153"/>
      <c r="EK379" s="153"/>
      <c r="EL379" s="153"/>
      <c r="EM379" s="153"/>
    </row>
    <row r="380" spans="1:143" s="107" customFormat="1" ht="10.5" hidden="1" customHeight="1" outlineLevel="2">
      <c r="A380" s="1548">
        <v>355</v>
      </c>
      <c r="B380" s="1560" t="str">
        <f t="shared" si="7"/>
        <v/>
      </c>
      <c r="C380" s="161" t="str">
        <f>GasTime(GasAnalyser,'Horiba Data'!F373,'Horiba Data'!G373,'Testo, JUM &amp; MRU Data'!A374,'Thermo Data'!B373,HourOffset)</f>
        <v/>
      </c>
      <c r="D380" s="981" t="str">
        <f>IF(D$17=FALSE,"",GasData(GasAnalyser,'Horiba Data'!S373,'Testo, JUM &amp; MRU Data'!D374,'Thermo Data'!E373,'Testo, JUM &amp; MRU Data'!U374,GDF))</f>
        <v/>
      </c>
      <c r="E380" s="981" t="str">
        <f>IF(D380="","",Conc2(D380,D$9,MolVol,D$21,D$20,E$21,E$20))</f>
        <v/>
      </c>
      <c r="F380" s="981" t="str">
        <f>IF(F$17=FALSE,"",GasData(GasAnalyser,'Horiba Data'!AQ373,'Testo, JUM &amp; MRU Data'!E374,'Thermo Data'!F373,'Testo, JUM &amp; MRU Data'!V374,GDF))</f>
        <v/>
      </c>
      <c r="G380" s="981" t="str">
        <f>IF(F380="","",Conc2(F380,F$9,MolVol,F$21,F$20,G$21,G$20))</f>
        <v/>
      </c>
      <c r="H380" s="981" t="str">
        <f>IF(D$17=FALSE,"",IF(F$17=FALSE,"",GasData(GasAnalyser,'Horiba Data'!W373,'Testo, JUM &amp; MRU Data'!F374,'Thermo Data'!G373,'Testo, JUM &amp; MRU Data'!Y374,GDF)))</f>
        <v/>
      </c>
      <c r="I380" s="981" t="str">
        <f>IF(H380="","",Conc2(H380,H$9,MolVol,H$21,H$20,I$21,I$20))</f>
        <v/>
      </c>
      <c r="J380" s="981" t="str">
        <f>IF(J$17=FALSE,"",GasData(GasAnalyser,'Horiba Data'!AM373,'Testo, JUM &amp; MRU Data'!G374,'Thermo Data'!H373,'Testo, JUM &amp; MRU Data'!W374,GDF))</f>
        <v/>
      </c>
      <c r="K380" s="981" t="str">
        <f>IF(J380="","",Conc2(J380,J$9,MolVol,J$21,J$20,K$21,K$20))</f>
        <v/>
      </c>
      <c r="L380" s="981" t="str">
        <f>IF(L$17=FALSE,"",GasData(GasAnalyser,'Horiba Data'!AA373,'Testo, JUM &amp; MRU Data'!H374,'Thermo Data'!I373,'Testo, JUM &amp; MRU Data'!T374,GDF))</f>
        <v/>
      </c>
      <c r="M380" s="981" t="str">
        <f>IF(L380="","",Conc2(L380,L$9,MolVol,L$21,L$20,M$21,M$20))</f>
        <v/>
      </c>
      <c r="N380" s="981" t="str">
        <f>IF(N$17=FALSE,"",GasData(GasAnalyser,'Horiba Data'!AE373,'Testo, JUM &amp; MRU Data'!I374,'Thermo Data'!J373,'Testo, JUM &amp; MRU Data'!S374,GDF))</f>
        <v/>
      </c>
      <c r="O380" s="981" t="str">
        <f>IF(N380="","",Conc2(N380,N$9,MolVol,N$21,N$20,O$21,O$20))</f>
        <v/>
      </c>
      <c r="P380" s="981" t="str">
        <f>IF(P$17=FALSE,"",GasData(GasAnalyser,'Horiba Data'!AI373,'Testo, JUM &amp; MRU Data'!J374,'Thermo Data'!K373,'Testo, JUM &amp; MRU Data'!R374,GDF))</f>
        <v/>
      </c>
      <c r="Q380" s="981" t="str">
        <f>IF(P380="","",Conc2(P380,P$9,MolVol,P$21,P$20,Q$21,Q$20))</f>
        <v/>
      </c>
      <c r="R380" s="981" t="str">
        <f>IF(R$17=FALSE,"",JUMData('Testo, JUM &amp; MRU Data'!M374,$R$7))</f>
        <v/>
      </c>
      <c r="S380" s="982" t="str">
        <f>IF(R380="","",Conc2(R380,R$9,MolVol,R$21,R$20,S$21,S$20)/(1-Bws))</f>
        <v/>
      </c>
      <c r="T380" s="740"/>
      <c r="AR380" s="334"/>
      <c r="AS380" s="334"/>
      <c r="AT380" s="48"/>
      <c r="AU380" s="48"/>
      <c r="AV380" s="153"/>
      <c r="AW380" s="153"/>
      <c r="AX380" s="153"/>
      <c r="AY380" s="153"/>
      <c r="AZ380" s="153"/>
      <c r="BA380" s="153"/>
      <c r="BB380" s="153"/>
      <c r="BC380" s="153"/>
      <c r="BD380" s="153"/>
      <c r="BE380" s="153"/>
      <c r="BF380" s="153"/>
      <c r="BG380" s="153"/>
      <c r="BH380" s="153"/>
      <c r="BI380" s="153"/>
      <c r="BJ380" s="153"/>
      <c r="BK380" s="153"/>
      <c r="BL380" s="153"/>
      <c r="BM380" s="153"/>
      <c r="BN380" s="153"/>
      <c r="BO380" s="153"/>
      <c r="BP380" s="153"/>
      <c r="BQ380" s="153"/>
      <c r="BR380" s="153"/>
      <c r="BS380" s="153"/>
      <c r="BT380" s="153"/>
      <c r="BU380" s="153"/>
      <c r="BV380" s="153"/>
      <c r="BW380" s="153"/>
      <c r="BX380" s="153"/>
      <c r="BY380" s="153"/>
      <c r="BZ380" s="153"/>
      <c r="CA380" s="153"/>
      <c r="CB380" s="153"/>
      <c r="CC380" s="153"/>
      <c r="CD380" s="153"/>
      <c r="CE380" s="153"/>
      <c r="CF380" s="153"/>
      <c r="CG380" s="153"/>
      <c r="CH380" s="153"/>
      <c r="CI380" s="153"/>
      <c r="CJ380" s="153"/>
      <c r="CK380" s="153"/>
      <c r="CL380" s="153"/>
      <c r="CM380" s="153"/>
      <c r="CN380" s="153"/>
      <c r="CO380" s="153"/>
      <c r="CP380" s="153"/>
      <c r="CQ380" s="153"/>
      <c r="CR380" s="153"/>
      <c r="CS380" s="153"/>
      <c r="CT380" s="153"/>
      <c r="CU380" s="153"/>
      <c r="CV380" s="153"/>
      <c r="CW380" s="153"/>
      <c r="CX380" s="153"/>
      <c r="CY380" s="153"/>
      <c r="CZ380" s="153"/>
      <c r="DA380" s="153"/>
      <c r="DB380" s="153"/>
      <c r="DC380" s="153"/>
      <c r="DD380" s="153"/>
      <c r="DE380" s="153"/>
      <c r="DF380" s="153"/>
      <c r="DG380" s="153"/>
      <c r="DH380" s="153"/>
      <c r="DI380" s="153"/>
      <c r="DJ380" s="153"/>
      <c r="DK380" s="153"/>
      <c r="DL380" s="153"/>
      <c r="DM380" s="153"/>
      <c r="DN380" s="153"/>
      <c r="DO380" s="153"/>
      <c r="DP380" s="153"/>
      <c r="DQ380" s="153"/>
      <c r="DR380" s="153"/>
      <c r="DS380" s="153"/>
      <c r="DT380" s="153"/>
      <c r="DU380" s="153"/>
      <c r="DV380" s="153"/>
      <c r="DW380" s="153"/>
      <c r="DX380" s="153"/>
      <c r="DY380" s="153"/>
      <c r="DZ380" s="153"/>
      <c r="EA380" s="153"/>
      <c r="EB380" s="153"/>
      <c r="EC380" s="153"/>
      <c r="ED380" s="153"/>
      <c r="EE380" s="153"/>
      <c r="EF380" s="153"/>
      <c r="EG380" s="153"/>
      <c r="EH380" s="153"/>
      <c r="EI380" s="153"/>
      <c r="EJ380" s="153"/>
      <c r="EK380" s="153"/>
      <c r="EL380" s="153"/>
      <c r="EM380" s="153"/>
    </row>
    <row r="381" spans="1:143" s="107" customFormat="1" ht="10.5" hidden="1" customHeight="1" outlineLevel="2">
      <c r="A381" s="1548">
        <v>356</v>
      </c>
      <c r="B381" s="1560" t="str">
        <f t="shared" si="7"/>
        <v/>
      </c>
      <c r="C381" s="161" t="str">
        <f>GasTime(GasAnalyser,'Horiba Data'!F374,'Horiba Data'!G374,'Testo, JUM &amp; MRU Data'!A375,'Thermo Data'!B374,HourOffset)</f>
        <v/>
      </c>
      <c r="D381" s="981" t="str">
        <f>IF(D$17=FALSE,"",GasData(GasAnalyser,'Horiba Data'!S374,'Testo, JUM &amp; MRU Data'!D375,'Thermo Data'!E374,'Testo, JUM &amp; MRU Data'!U375,GDF))</f>
        <v/>
      </c>
      <c r="E381" s="981" t="str">
        <f>IF(D381="","",Conc2(D381,D$9,MolVol,D$21,D$20,E$21,E$20))</f>
        <v/>
      </c>
      <c r="F381" s="981" t="str">
        <f>IF(F$17=FALSE,"",GasData(GasAnalyser,'Horiba Data'!AQ374,'Testo, JUM &amp; MRU Data'!E375,'Thermo Data'!F374,'Testo, JUM &amp; MRU Data'!V375,GDF))</f>
        <v/>
      </c>
      <c r="G381" s="981" t="str">
        <f>IF(F381="","",Conc2(F381,F$9,MolVol,F$21,F$20,G$21,G$20))</f>
        <v/>
      </c>
      <c r="H381" s="981" t="str">
        <f>IF(D$17=FALSE,"",IF(F$17=FALSE,"",GasData(GasAnalyser,'Horiba Data'!W374,'Testo, JUM &amp; MRU Data'!F375,'Thermo Data'!G374,'Testo, JUM &amp; MRU Data'!Y375,GDF)))</f>
        <v/>
      </c>
      <c r="I381" s="981" t="str">
        <f>IF(H381="","",Conc2(H381,H$9,MolVol,H$21,H$20,I$21,I$20))</f>
        <v/>
      </c>
      <c r="J381" s="981" t="str">
        <f>IF(J$17=FALSE,"",GasData(GasAnalyser,'Horiba Data'!AM374,'Testo, JUM &amp; MRU Data'!G375,'Thermo Data'!H374,'Testo, JUM &amp; MRU Data'!W375,GDF))</f>
        <v/>
      </c>
      <c r="K381" s="981" t="str">
        <f>IF(J381="","",Conc2(J381,J$9,MolVol,J$21,J$20,K$21,K$20))</f>
        <v/>
      </c>
      <c r="L381" s="981" t="str">
        <f>IF(L$17=FALSE,"",GasData(GasAnalyser,'Horiba Data'!AA374,'Testo, JUM &amp; MRU Data'!H375,'Thermo Data'!I374,'Testo, JUM &amp; MRU Data'!T375,GDF))</f>
        <v/>
      </c>
      <c r="M381" s="981" t="str">
        <f>IF(L381="","",Conc2(L381,L$9,MolVol,L$21,L$20,M$21,M$20))</f>
        <v/>
      </c>
      <c r="N381" s="981" t="str">
        <f>IF(N$17=FALSE,"",GasData(GasAnalyser,'Horiba Data'!AE374,'Testo, JUM &amp; MRU Data'!I375,'Thermo Data'!J374,'Testo, JUM &amp; MRU Data'!S375,GDF))</f>
        <v/>
      </c>
      <c r="O381" s="981" t="str">
        <f>IF(N381="","",Conc2(N381,N$9,MolVol,N$21,N$20,O$21,O$20))</f>
        <v/>
      </c>
      <c r="P381" s="981" t="str">
        <f>IF(P$17=FALSE,"",GasData(GasAnalyser,'Horiba Data'!AI374,'Testo, JUM &amp; MRU Data'!J375,'Thermo Data'!K374,'Testo, JUM &amp; MRU Data'!R375,GDF))</f>
        <v/>
      </c>
      <c r="Q381" s="981" t="str">
        <f>IF(P381="","",Conc2(P381,P$9,MolVol,P$21,P$20,Q$21,Q$20))</f>
        <v/>
      </c>
      <c r="R381" s="981" t="str">
        <f>IF(R$17=FALSE,"",JUMData('Testo, JUM &amp; MRU Data'!M375,$R$7))</f>
        <v/>
      </c>
      <c r="S381" s="982" t="str">
        <f>IF(R381="","",Conc2(R381,R$9,MolVol,R$21,R$20,S$21,S$20)/(1-Bws))</f>
        <v/>
      </c>
      <c r="T381" s="740"/>
      <c r="AR381" s="334"/>
      <c r="AS381" s="334"/>
      <c r="AT381" s="48"/>
      <c r="AU381" s="48"/>
      <c r="AV381" s="153"/>
      <c r="AW381" s="153"/>
      <c r="AX381" s="153"/>
      <c r="AY381" s="153"/>
      <c r="AZ381" s="153"/>
      <c r="BA381" s="153"/>
      <c r="BB381" s="153"/>
      <c r="BC381" s="153"/>
      <c r="BD381" s="153"/>
      <c r="BE381" s="153"/>
      <c r="BF381" s="153"/>
      <c r="BG381" s="153"/>
      <c r="BH381" s="153"/>
      <c r="BI381" s="153"/>
      <c r="BJ381" s="153"/>
      <c r="BK381" s="153"/>
      <c r="BL381" s="153"/>
      <c r="BM381" s="153"/>
      <c r="BN381" s="153"/>
      <c r="BO381" s="153"/>
      <c r="BP381" s="153"/>
      <c r="BQ381" s="153"/>
      <c r="BR381" s="153"/>
      <c r="BS381" s="153"/>
      <c r="BT381" s="153"/>
      <c r="BU381" s="153"/>
      <c r="BV381" s="153"/>
      <c r="BW381" s="153"/>
      <c r="BX381" s="153"/>
      <c r="BY381" s="153"/>
      <c r="BZ381" s="153"/>
      <c r="CA381" s="153"/>
      <c r="CB381" s="153"/>
      <c r="CC381" s="153"/>
      <c r="CD381" s="153"/>
      <c r="CE381" s="153"/>
      <c r="CF381" s="153"/>
      <c r="CG381" s="153"/>
      <c r="CH381" s="153"/>
      <c r="CI381" s="153"/>
      <c r="CJ381" s="153"/>
      <c r="CK381" s="153"/>
      <c r="CL381" s="153"/>
      <c r="CM381" s="153"/>
      <c r="CN381" s="153"/>
      <c r="CO381" s="153"/>
      <c r="CP381" s="153"/>
      <c r="CQ381" s="153"/>
      <c r="CR381" s="153"/>
      <c r="CS381" s="153"/>
      <c r="CT381" s="153"/>
      <c r="CU381" s="153"/>
      <c r="CV381" s="153"/>
      <c r="CW381" s="153"/>
      <c r="CX381" s="153"/>
      <c r="CY381" s="153"/>
      <c r="CZ381" s="153"/>
      <c r="DA381" s="153"/>
      <c r="DB381" s="153"/>
      <c r="DC381" s="153"/>
      <c r="DD381" s="153"/>
      <c r="DE381" s="153"/>
      <c r="DF381" s="153"/>
      <c r="DG381" s="153"/>
      <c r="DH381" s="153"/>
      <c r="DI381" s="153"/>
      <c r="DJ381" s="153"/>
      <c r="DK381" s="153"/>
      <c r="DL381" s="153"/>
      <c r="DM381" s="153"/>
      <c r="DN381" s="153"/>
      <c r="DO381" s="153"/>
      <c r="DP381" s="153"/>
      <c r="DQ381" s="153"/>
      <c r="DR381" s="153"/>
      <c r="DS381" s="153"/>
      <c r="DT381" s="153"/>
      <c r="DU381" s="153"/>
      <c r="DV381" s="153"/>
      <c r="DW381" s="153"/>
      <c r="DX381" s="153"/>
      <c r="DY381" s="153"/>
      <c r="DZ381" s="153"/>
      <c r="EA381" s="153"/>
      <c r="EB381" s="153"/>
      <c r="EC381" s="153"/>
      <c r="ED381" s="153"/>
      <c r="EE381" s="153"/>
      <c r="EF381" s="153"/>
      <c r="EG381" s="153"/>
      <c r="EH381" s="153"/>
      <c r="EI381" s="153"/>
      <c r="EJ381" s="153"/>
      <c r="EK381" s="153"/>
      <c r="EL381" s="153"/>
      <c r="EM381" s="153"/>
    </row>
    <row r="382" spans="1:143" s="107" customFormat="1" ht="10.5" hidden="1" customHeight="1" outlineLevel="2">
      <c r="A382" s="1548">
        <v>357</v>
      </c>
      <c r="B382" s="1560" t="str">
        <f t="shared" si="7"/>
        <v/>
      </c>
      <c r="C382" s="161" t="str">
        <f>GasTime(GasAnalyser,'Horiba Data'!F375,'Horiba Data'!G375,'Testo, JUM &amp; MRU Data'!A376,'Thermo Data'!B375,HourOffset)</f>
        <v/>
      </c>
      <c r="D382" s="981" t="str">
        <f>IF(D$17=FALSE,"",GasData(GasAnalyser,'Horiba Data'!S375,'Testo, JUM &amp; MRU Data'!D376,'Thermo Data'!E375,'Testo, JUM &amp; MRU Data'!U376,GDF))</f>
        <v/>
      </c>
      <c r="E382" s="981" t="str">
        <f>IF(D382="","",Conc2(D382,D$9,MolVol,D$21,D$20,E$21,E$20))</f>
        <v/>
      </c>
      <c r="F382" s="981" t="str">
        <f>IF(F$17=FALSE,"",GasData(GasAnalyser,'Horiba Data'!AQ375,'Testo, JUM &amp; MRU Data'!E376,'Thermo Data'!F375,'Testo, JUM &amp; MRU Data'!V376,GDF))</f>
        <v/>
      </c>
      <c r="G382" s="981" t="str">
        <f>IF(F382="","",Conc2(F382,F$9,MolVol,F$21,F$20,G$21,G$20))</f>
        <v/>
      </c>
      <c r="H382" s="981" t="str">
        <f>IF(D$17=FALSE,"",IF(F$17=FALSE,"",GasData(GasAnalyser,'Horiba Data'!W375,'Testo, JUM &amp; MRU Data'!F376,'Thermo Data'!G375,'Testo, JUM &amp; MRU Data'!Y376,GDF)))</f>
        <v/>
      </c>
      <c r="I382" s="981" t="str">
        <f>IF(H382="","",Conc2(H382,H$9,MolVol,H$21,H$20,I$21,I$20))</f>
        <v/>
      </c>
      <c r="J382" s="981" t="str">
        <f>IF(J$17=FALSE,"",GasData(GasAnalyser,'Horiba Data'!AM375,'Testo, JUM &amp; MRU Data'!G376,'Thermo Data'!H375,'Testo, JUM &amp; MRU Data'!W376,GDF))</f>
        <v/>
      </c>
      <c r="K382" s="981" t="str">
        <f>IF(J382="","",Conc2(J382,J$9,MolVol,J$21,J$20,K$21,K$20))</f>
        <v/>
      </c>
      <c r="L382" s="981" t="str">
        <f>IF(L$17=FALSE,"",GasData(GasAnalyser,'Horiba Data'!AA375,'Testo, JUM &amp; MRU Data'!H376,'Thermo Data'!I375,'Testo, JUM &amp; MRU Data'!T376,GDF))</f>
        <v/>
      </c>
      <c r="M382" s="981" t="str">
        <f>IF(L382="","",Conc2(L382,L$9,MolVol,L$21,L$20,M$21,M$20))</f>
        <v/>
      </c>
      <c r="N382" s="981" t="str">
        <f>IF(N$17=FALSE,"",GasData(GasAnalyser,'Horiba Data'!AE375,'Testo, JUM &amp; MRU Data'!I376,'Thermo Data'!J375,'Testo, JUM &amp; MRU Data'!S376,GDF))</f>
        <v/>
      </c>
      <c r="O382" s="981" t="str">
        <f>IF(N382="","",Conc2(N382,N$9,MolVol,N$21,N$20,O$21,O$20))</f>
        <v/>
      </c>
      <c r="P382" s="981" t="str">
        <f>IF(P$17=FALSE,"",GasData(GasAnalyser,'Horiba Data'!AI375,'Testo, JUM &amp; MRU Data'!J376,'Thermo Data'!K375,'Testo, JUM &amp; MRU Data'!R376,GDF))</f>
        <v/>
      </c>
      <c r="Q382" s="981" t="str">
        <f>IF(P382="","",Conc2(P382,P$9,MolVol,P$21,P$20,Q$21,Q$20))</f>
        <v/>
      </c>
      <c r="R382" s="981" t="str">
        <f>IF(R$17=FALSE,"",JUMData('Testo, JUM &amp; MRU Data'!M376,$R$7))</f>
        <v/>
      </c>
      <c r="S382" s="982" t="str">
        <f>IF(R382="","",Conc2(R382,R$9,MolVol,R$21,R$20,S$21,S$20)/(1-Bws))</f>
        <v/>
      </c>
      <c r="T382" s="740"/>
      <c r="AR382" s="334"/>
      <c r="AS382" s="334"/>
      <c r="AT382" s="48"/>
      <c r="AU382" s="48"/>
      <c r="AV382" s="153"/>
      <c r="AW382" s="153"/>
      <c r="AX382" s="153"/>
      <c r="AY382" s="153"/>
      <c r="AZ382" s="153"/>
      <c r="BA382" s="153"/>
      <c r="BB382" s="153"/>
      <c r="BC382" s="153"/>
      <c r="BD382" s="153"/>
      <c r="BE382" s="153"/>
      <c r="BF382" s="153"/>
      <c r="BG382" s="153"/>
      <c r="BH382" s="153"/>
      <c r="BI382" s="153"/>
      <c r="BJ382" s="153"/>
      <c r="BK382" s="153"/>
      <c r="BL382" s="153"/>
      <c r="BM382" s="153"/>
      <c r="BN382" s="153"/>
      <c r="BO382" s="153"/>
      <c r="BP382" s="153"/>
      <c r="BQ382" s="153"/>
      <c r="BR382" s="153"/>
      <c r="BS382" s="153"/>
      <c r="BT382" s="153"/>
      <c r="BU382" s="153"/>
      <c r="BV382" s="153"/>
      <c r="BW382" s="153"/>
      <c r="BX382" s="153"/>
      <c r="BY382" s="153"/>
      <c r="BZ382" s="153"/>
      <c r="CA382" s="153"/>
      <c r="CB382" s="153"/>
      <c r="CC382" s="153"/>
      <c r="CD382" s="153"/>
      <c r="CE382" s="153"/>
      <c r="CF382" s="153"/>
      <c r="CG382" s="153"/>
      <c r="CH382" s="153"/>
      <c r="CI382" s="153"/>
      <c r="CJ382" s="153"/>
      <c r="CK382" s="153"/>
      <c r="CL382" s="153"/>
      <c r="CM382" s="153"/>
      <c r="CN382" s="153"/>
      <c r="CO382" s="153"/>
      <c r="CP382" s="153"/>
      <c r="CQ382" s="153"/>
      <c r="CR382" s="153"/>
      <c r="CS382" s="153"/>
      <c r="CT382" s="153"/>
      <c r="CU382" s="153"/>
      <c r="CV382" s="153"/>
      <c r="CW382" s="153"/>
      <c r="CX382" s="153"/>
      <c r="CY382" s="153"/>
      <c r="CZ382" s="153"/>
      <c r="DA382" s="153"/>
      <c r="DB382" s="153"/>
      <c r="DC382" s="153"/>
      <c r="DD382" s="153"/>
      <c r="DE382" s="153"/>
      <c r="DF382" s="153"/>
      <c r="DG382" s="153"/>
      <c r="DH382" s="153"/>
      <c r="DI382" s="153"/>
      <c r="DJ382" s="153"/>
      <c r="DK382" s="153"/>
      <c r="DL382" s="153"/>
      <c r="DM382" s="153"/>
      <c r="DN382" s="153"/>
      <c r="DO382" s="153"/>
      <c r="DP382" s="153"/>
      <c r="DQ382" s="153"/>
      <c r="DR382" s="153"/>
      <c r="DS382" s="153"/>
      <c r="DT382" s="153"/>
      <c r="DU382" s="153"/>
      <c r="DV382" s="153"/>
      <c r="DW382" s="153"/>
      <c r="DX382" s="153"/>
      <c r="DY382" s="153"/>
      <c r="DZ382" s="153"/>
      <c r="EA382" s="153"/>
      <c r="EB382" s="153"/>
      <c r="EC382" s="153"/>
      <c r="ED382" s="153"/>
      <c r="EE382" s="153"/>
      <c r="EF382" s="153"/>
      <c r="EG382" s="153"/>
      <c r="EH382" s="153"/>
      <c r="EI382" s="153"/>
      <c r="EJ382" s="153"/>
      <c r="EK382" s="153"/>
      <c r="EL382" s="153"/>
      <c r="EM382" s="153"/>
    </row>
    <row r="383" spans="1:143" s="107" customFormat="1" ht="10.5" hidden="1" customHeight="1" outlineLevel="2">
      <c r="A383" s="1548">
        <v>358</v>
      </c>
      <c r="B383" s="1560" t="str">
        <f t="shared" si="7"/>
        <v/>
      </c>
      <c r="C383" s="161" t="str">
        <f>GasTime(GasAnalyser,'Horiba Data'!F376,'Horiba Data'!G376,'Testo, JUM &amp; MRU Data'!A377,'Thermo Data'!B376,HourOffset)</f>
        <v/>
      </c>
      <c r="D383" s="981" t="str">
        <f>IF(D$17=FALSE,"",GasData(GasAnalyser,'Horiba Data'!S376,'Testo, JUM &amp; MRU Data'!D377,'Thermo Data'!E376,'Testo, JUM &amp; MRU Data'!U377,GDF))</f>
        <v/>
      </c>
      <c r="E383" s="981" t="str">
        <f>IF(D383="","",Conc2(D383,D$9,MolVol,D$21,D$20,E$21,E$20))</f>
        <v/>
      </c>
      <c r="F383" s="981" t="str">
        <f>IF(F$17=FALSE,"",GasData(GasAnalyser,'Horiba Data'!AQ376,'Testo, JUM &amp; MRU Data'!E377,'Thermo Data'!F376,'Testo, JUM &amp; MRU Data'!V377,GDF))</f>
        <v/>
      </c>
      <c r="G383" s="981" t="str">
        <f>IF(F383="","",Conc2(F383,F$9,MolVol,F$21,F$20,G$21,G$20))</f>
        <v/>
      </c>
      <c r="H383" s="981" t="str">
        <f>IF(D$17=FALSE,"",IF(F$17=FALSE,"",GasData(GasAnalyser,'Horiba Data'!W376,'Testo, JUM &amp; MRU Data'!F377,'Thermo Data'!G376,'Testo, JUM &amp; MRU Data'!Y377,GDF)))</f>
        <v/>
      </c>
      <c r="I383" s="981" t="str">
        <f>IF(H383="","",Conc2(H383,H$9,MolVol,H$21,H$20,I$21,I$20))</f>
        <v/>
      </c>
      <c r="J383" s="981" t="str">
        <f>IF(J$17=FALSE,"",GasData(GasAnalyser,'Horiba Data'!AM376,'Testo, JUM &amp; MRU Data'!G377,'Thermo Data'!H376,'Testo, JUM &amp; MRU Data'!W377,GDF))</f>
        <v/>
      </c>
      <c r="K383" s="981" t="str">
        <f>IF(J383="","",Conc2(J383,J$9,MolVol,J$21,J$20,K$21,K$20))</f>
        <v/>
      </c>
      <c r="L383" s="981" t="str">
        <f>IF(L$17=FALSE,"",GasData(GasAnalyser,'Horiba Data'!AA376,'Testo, JUM &amp; MRU Data'!H377,'Thermo Data'!I376,'Testo, JUM &amp; MRU Data'!T377,GDF))</f>
        <v/>
      </c>
      <c r="M383" s="981" t="str">
        <f>IF(L383="","",Conc2(L383,L$9,MolVol,L$21,L$20,M$21,M$20))</f>
        <v/>
      </c>
      <c r="N383" s="981" t="str">
        <f>IF(N$17=FALSE,"",GasData(GasAnalyser,'Horiba Data'!AE376,'Testo, JUM &amp; MRU Data'!I377,'Thermo Data'!J376,'Testo, JUM &amp; MRU Data'!S377,GDF))</f>
        <v/>
      </c>
      <c r="O383" s="981" t="str">
        <f>IF(N383="","",Conc2(N383,N$9,MolVol,N$21,N$20,O$21,O$20))</f>
        <v/>
      </c>
      <c r="P383" s="981" t="str">
        <f>IF(P$17=FALSE,"",GasData(GasAnalyser,'Horiba Data'!AI376,'Testo, JUM &amp; MRU Data'!J377,'Thermo Data'!K376,'Testo, JUM &amp; MRU Data'!R377,GDF))</f>
        <v/>
      </c>
      <c r="Q383" s="981" t="str">
        <f>IF(P383="","",Conc2(P383,P$9,MolVol,P$21,P$20,Q$21,Q$20))</f>
        <v/>
      </c>
      <c r="R383" s="981" t="str">
        <f>IF(R$17=FALSE,"",JUMData('Testo, JUM &amp; MRU Data'!M377,$R$7))</f>
        <v/>
      </c>
      <c r="S383" s="982" t="str">
        <f>IF(R383="","",Conc2(R383,R$9,MolVol,R$21,R$20,S$21,S$20)/(1-Bws))</f>
        <v/>
      </c>
      <c r="T383" s="740"/>
      <c r="AR383" s="334"/>
      <c r="AS383" s="334"/>
      <c r="AT383" s="48"/>
      <c r="AU383" s="48"/>
      <c r="AV383" s="153"/>
      <c r="AW383" s="153"/>
      <c r="AX383" s="153"/>
      <c r="AY383" s="153"/>
      <c r="AZ383" s="153"/>
      <c r="BA383" s="153"/>
      <c r="BB383" s="153"/>
      <c r="BC383" s="153"/>
      <c r="BD383" s="153"/>
      <c r="BE383" s="153"/>
      <c r="BF383" s="153"/>
      <c r="BG383" s="153"/>
      <c r="BH383" s="153"/>
      <c r="BI383" s="153"/>
      <c r="BJ383" s="153"/>
      <c r="BK383" s="153"/>
      <c r="BL383" s="153"/>
      <c r="BM383" s="153"/>
      <c r="BN383" s="153"/>
      <c r="BO383" s="153"/>
      <c r="BP383" s="153"/>
      <c r="BQ383" s="153"/>
      <c r="BR383" s="153"/>
      <c r="BS383" s="153"/>
      <c r="BT383" s="153"/>
      <c r="BU383" s="153"/>
      <c r="BV383" s="153"/>
      <c r="BW383" s="153"/>
      <c r="BX383" s="153"/>
      <c r="BY383" s="153"/>
      <c r="BZ383" s="153"/>
      <c r="CA383" s="153"/>
      <c r="CB383" s="153"/>
      <c r="CC383" s="153"/>
      <c r="CD383" s="153"/>
      <c r="CE383" s="153"/>
      <c r="CF383" s="153"/>
      <c r="CG383" s="153"/>
      <c r="CH383" s="153"/>
      <c r="CI383" s="153"/>
      <c r="CJ383" s="153"/>
      <c r="CK383" s="153"/>
      <c r="CL383" s="153"/>
      <c r="CM383" s="153"/>
      <c r="CN383" s="153"/>
      <c r="CO383" s="153"/>
      <c r="CP383" s="153"/>
      <c r="CQ383" s="153"/>
      <c r="CR383" s="153"/>
      <c r="CS383" s="153"/>
      <c r="CT383" s="153"/>
      <c r="CU383" s="153"/>
      <c r="CV383" s="153"/>
      <c r="CW383" s="153"/>
      <c r="CX383" s="153"/>
      <c r="CY383" s="153"/>
      <c r="CZ383" s="153"/>
      <c r="DA383" s="153"/>
      <c r="DB383" s="153"/>
      <c r="DC383" s="153"/>
      <c r="DD383" s="153"/>
      <c r="DE383" s="153"/>
      <c r="DF383" s="153"/>
      <c r="DG383" s="153"/>
      <c r="DH383" s="153"/>
      <c r="DI383" s="153"/>
      <c r="DJ383" s="153"/>
      <c r="DK383" s="153"/>
      <c r="DL383" s="153"/>
      <c r="DM383" s="153"/>
      <c r="DN383" s="153"/>
      <c r="DO383" s="153"/>
      <c r="DP383" s="153"/>
      <c r="DQ383" s="153"/>
      <c r="DR383" s="153"/>
      <c r="DS383" s="153"/>
      <c r="DT383" s="153"/>
      <c r="DU383" s="153"/>
      <c r="DV383" s="153"/>
      <c r="DW383" s="153"/>
      <c r="DX383" s="153"/>
      <c r="DY383" s="153"/>
      <c r="DZ383" s="153"/>
      <c r="EA383" s="153"/>
      <c r="EB383" s="153"/>
      <c r="EC383" s="153"/>
      <c r="ED383" s="153"/>
      <c r="EE383" s="153"/>
      <c r="EF383" s="153"/>
      <c r="EG383" s="153"/>
      <c r="EH383" s="153"/>
      <c r="EI383" s="153"/>
      <c r="EJ383" s="153"/>
      <c r="EK383" s="153"/>
      <c r="EL383" s="153"/>
      <c r="EM383" s="153"/>
    </row>
    <row r="384" spans="1:143" s="107" customFormat="1" ht="10.5" hidden="1" customHeight="1" outlineLevel="2">
      <c r="A384" s="1548">
        <v>359</v>
      </c>
      <c r="B384" s="1560" t="str">
        <f t="shared" si="7"/>
        <v/>
      </c>
      <c r="C384" s="161" t="str">
        <f>GasTime(GasAnalyser,'Horiba Data'!F377,'Horiba Data'!G377,'Testo, JUM &amp; MRU Data'!A378,'Thermo Data'!B377,HourOffset)</f>
        <v/>
      </c>
      <c r="D384" s="981" t="str">
        <f>IF(D$17=FALSE,"",GasData(GasAnalyser,'Horiba Data'!S377,'Testo, JUM &amp; MRU Data'!D378,'Thermo Data'!E377,'Testo, JUM &amp; MRU Data'!U378,GDF))</f>
        <v/>
      </c>
      <c r="E384" s="981" t="str">
        <f>IF(D384="","",Conc2(D384,D$9,MolVol,D$21,D$20,E$21,E$20))</f>
        <v/>
      </c>
      <c r="F384" s="981" t="str">
        <f>IF(F$17=FALSE,"",GasData(GasAnalyser,'Horiba Data'!AQ377,'Testo, JUM &amp; MRU Data'!E378,'Thermo Data'!F377,'Testo, JUM &amp; MRU Data'!V378,GDF))</f>
        <v/>
      </c>
      <c r="G384" s="981" t="str">
        <f>IF(F384="","",Conc2(F384,F$9,MolVol,F$21,F$20,G$21,G$20))</f>
        <v/>
      </c>
      <c r="H384" s="981" t="str">
        <f>IF(D$17=FALSE,"",IF(F$17=FALSE,"",GasData(GasAnalyser,'Horiba Data'!W377,'Testo, JUM &amp; MRU Data'!F378,'Thermo Data'!G377,'Testo, JUM &amp; MRU Data'!Y378,GDF)))</f>
        <v/>
      </c>
      <c r="I384" s="981" t="str">
        <f>IF(H384="","",Conc2(H384,H$9,MolVol,H$21,H$20,I$21,I$20))</f>
        <v/>
      </c>
      <c r="J384" s="981" t="str">
        <f>IF(J$17=FALSE,"",GasData(GasAnalyser,'Horiba Data'!AM377,'Testo, JUM &amp; MRU Data'!G378,'Thermo Data'!H377,'Testo, JUM &amp; MRU Data'!W378,GDF))</f>
        <v/>
      </c>
      <c r="K384" s="981" t="str">
        <f>IF(J384="","",Conc2(J384,J$9,MolVol,J$21,J$20,K$21,K$20))</f>
        <v/>
      </c>
      <c r="L384" s="981" t="str">
        <f>IF(L$17=FALSE,"",GasData(GasAnalyser,'Horiba Data'!AA377,'Testo, JUM &amp; MRU Data'!H378,'Thermo Data'!I377,'Testo, JUM &amp; MRU Data'!T378,GDF))</f>
        <v/>
      </c>
      <c r="M384" s="981" t="str">
        <f>IF(L384="","",Conc2(L384,L$9,MolVol,L$21,L$20,M$21,M$20))</f>
        <v/>
      </c>
      <c r="N384" s="981" t="str">
        <f>IF(N$17=FALSE,"",GasData(GasAnalyser,'Horiba Data'!AE377,'Testo, JUM &amp; MRU Data'!I378,'Thermo Data'!J377,'Testo, JUM &amp; MRU Data'!S378,GDF))</f>
        <v/>
      </c>
      <c r="O384" s="981" t="str">
        <f>IF(N384="","",Conc2(N384,N$9,MolVol,N$21,N$20,O$21,O$20))</f>
        <v/>
      </c>
      <c r="P384" s="981" t="str">
        <f>IF(P$17=FALSE,"",GasData(GasAnalyser,'Horiba Data'!AI377,'Testo, JUM &amp; MRU Data'!J378,'Thermo Data'!K377,'Testo, JUM &amp; MRU Data'!R378,GDF))</f>
        <v/>
      </c>
      <c r="Q384" s="981" t="str">
        <f>IF(P384="","",Conc2(P384,P$9,MolVol,P$21,P$20,Q$21,Q$20))</f>
        <v/>
      </c>
      <c r="R384" s="981" t="str">
        <f>IF(R$17=FALSE,"",JUMData('Testo, JUM &amp; MRU Data'!M378,$R$7))</f>
        <v/>
      </c>
      <c r="S384" s="982" t="str">
        <f>IF(R384="","",Conc2(R384,R$9,MolVol,R$21,R$20,S$21,S$20)/(1-Bws))</f>
        <v/>
      </c>
      <c r="T384" s="740"/>
      <c r="AR384" s="334"/>
      <c r="AS384" s="334"/>
      <c r="AT384" s="48"/>
      <c r="AU384" s="48"/>
      <c r="AV384" s="153"/>
      <c r="AW384" s="153"/>
      <c r="AX384" s="153"/>
      <c r="AY384" s="153"/>
      <c r="AZ384" s="153"/>
      <c r="BA384" s="153"/>
      <c r="BB384" s="153"/>
      <c r="BC384" s="153"/>
      <c r="BD384" s="153"/>
      <c r="BE384" s="153"/>
      <c r="BF384" s="153"/>
      <c r="BG384" s="153"/>
      <c r="BH384" s="153"/>
      <c r="BI384" s="153"/>
      <c r="BJ384" s="153"/>
      <c r="BK384" s="153"/>
      <c r="BL384" s="153"/>
      <c r="BM384" s="153"/>
      <c r="BN384" s="153"/>
      <c r="BO384" s="153"/>
      <c r="BP384" s="153"/>
      <c r="BQ384" s="153"/>
      <c r="BR384" s="153"/>
      <c r="BS384" s="153"/>
      <c r="BT384" s="153"/>
      <c r="BU384" s="153"/>
      <c r="BV384" s="153"/>
      <c r="BW384" s="153"/>
      <c r="BX384" s="153"/>
      <c r="BY384" s="153"/>
      <c r="BZ384" s="153"/>
      <c r="CA384" s="153"/>
      <c r="CB384" s="153"/>
      <c r="CC384" s="153"/>
      <c r="CD384" s="153"/>
      <c r="CE384" s="153"/>
      <c r="CF384" s="153"/>
      <c r="CG384" s="153"/>
      <c r="CH384" s="153"/>
      <c r="CI384" s="153"/>
      <c r="CJ384" s="153"/>
      <c r="CK384" s="153"/>
      <c r="CL384" s="153"/>
      <c r="CM384" s="153"/>
      <c r="CN384" s="153"/>
      <c r="CO384" s="153"/>
      <c r="CP384" s="153"/>
      <c r="CQ384" s="153"/>
      <c r="CR384" s="153"/>
      <c r="CS384" s="153"/>
      <c r="CT384" s="153"/>
      <c r="CU384" s="153"/>
      <c r="CV384" s="153"/>
      <c r="CW384" s="153"/>
      <c r="CX384" s="153"/>
      <c r="CY384" s="153"/>
      <c r="CZ384" s="153"/>
      <c r="DA384" s="153"/>
      <c r="DB384" s="153"/>
      <c r="DC384" s="153"/>
      <c r="DD384" s="153"/>
      <c r="DE384" s="153"/>
      <c r="DF384" s="153"/>
      <c r="DG384" s="153"/>
      <c r="DH384" s="153"/>
      <c r="DI384" s="153"/>
      <c r="DJ384" s="153"/>
      <c r="DK384" s="153"/>
      <c r="DL384" s="153"/>
      <c r="DM384" s="153"/>
      <c r="DN384" s="153"/>
      <c r="DO384" s="153"/>
      <c r="DP384" s="153"/>
      <c r="DQ384" s="153"/>
      <c r="DR384" s="153"/>
      <c r="DS384" s="153"/>
      <c r="DT384" s="153"/>
      <c r="DU384" s="153"/>
      <c r="DV384" s="153"/>
      <c r="DW384" s="153"/>
      <c r="DX384" s="153"/>
      <c r="DY384" s="153"/>
      <c r="DZ384" s="153"/>
      <c r="EA384" s="153"/>
      <c r="EB384" s="153"/>
      <c r="EC384" s="153"/>
      <c r="ED384" s="153"/>
      <c r="EE384" s="153"/>
      <c r="EF384" s="153"/>
      <c r="EG384" s="153"/>
      <c r="EH384" s="153"/>
      <c r="EI384" s="153"/>
      <c r="EJ384" s="153"/>
      <c r="EK384" s="153"/>
      <c r="EL384" s="153"/>
      <c r="EM384" s="153"/>
    </row>
    <row r="385" spans="1:143" s="107" customFormat="1" ht="10.5" hidden="1" customHeight="1" outlineLevel="2">
      <c r="A385" s="1548">
        <v>360</v>
      </c>
      <c r="B385" s="1560" t="str">
        <f t="shared" si="7"/>
        <v/>
      </c>
      <c r="C385" s="161" t="str">
        <f>GasTime(GasAnalyser,'Horiba Data'!F378,'Horiba Data'!G378,'Testo, JUM &amp; MRU Data'!A379,'Thermo Data'!B378,HourOffset)</f>
        <v/>
      </c>
      <c r="D385" s="981" t="str">
        <f>IF(D$17=FALSE,"",GasData(GasAnalyser,'Horiba Data'!S378,'Testo, JUM &amp; MRU Data'!D379,'Thermo Data'!E378,'Testo, JUM &amp; MRU Data'!U379,GDF))</f>
        <v/>
      </c>
      <c r="E385" s="981" t="str">
        <f>IF(D385="","",Conc2(D385,D$9,MolVol,D$21,D$20,E$21,E$20))</f>
        <v/>
      </c>
      <c r="F385" s="981" t="str">
        <f>IF(F$17=FALSE,"",GasData(GasAnalyser,'Horiba Data'!AQ378,'Testo, JUM &amp; MRU Data'!E379,'Thermo Data'!F378,'Testo, JUM &amp; MRU Data'!V379,GDF))</f>
        <v/>
      </c>
      <c r="G385" s="981" t="str">
        <f>IF(F385="","",Conc2(F385,F$9,MolVol,F$21,F$20,G$21,G$20))</f>
        <v/>
      </c>
      <c r="H385" s="981" t="str">
        <f>IF(D$17=FALSE,"",IF(F$17=FALSE,"",GasData(GasAnalyser,'Horiba Data'!W378,'Testo, JUM &amp; MRU Data'!F379,'Thermo Data'!G378,'Testo, JUM &amp; MRU Data'!Y379,GDF)))</f>
        <v/>
      </c>
      <c r="I385" s="981" t="str">
        <f>IF(H385="","",Conc2(H385,H$9,MolVol,H$21,H$20,I$21,I$20))</f>
        <v/>
      </c>
      <c r="J385" s="981" t="str">
        <f>IF(J$17=FALSE,"",GasData(GasAnalyser,'Horiba Data'!AM378,'Testo, JUM &amp; MRU Data'!G379,'Thermo Data'!H378,'Testo, JUM &amp; MRU Data'!W379,GDF))</f>
        <v/>
      </c>
      <c r="K385" s="981" t="str">
        <f>IF(J385="","",Conc2(J385,J$9,MolVol,J$21,J$20,K$21,K$20))</f>
        <v/>
      </c>
      <c r="L385" s="981" t="str">
        <f>IF(L$17=FALSE,"",GasData(GasAnalyser,'Horiba Data'!AA378,'Testo, JUM &amp; MRU Data'!H379,'Thermo Data'!I378,'Testo, JUM &amp; MRU Data'!T379,GDF))</f>
        <v/>
      </c>
      <c r="M385" s="981" t="str">
        <f>IF(L385="","",Conc2(L385,L$9,MolVol,L$21,L$20,M$21,M$20))</f>
        <v/>
      </c>
      <c r="N385" s="981" t="str">
        <f>IF(N$17=FALSE,"",GasData(GasAnalyser,'Horiba Data'!AE378,'Testo, JUM &amp; MRU Data'!I379,'Thermo Data'!J378,'Testo, JUM &amp; MRU Data'!S379,GDF))</f>
        <v/>
      </c>
      <c r="O385" s="981" t="str">
        <f>IF(N385="","",Conc2(N385,N$9,MolVol,N$21,N$20,O$21,O$20))</f>
        <v/>
      </c>
      <c r="P385" s="981" t="str">
        <f>IF(P$17=FALSE,"",GasData(GasAnalyser,'Horiba Data'!AI378,'Testo, JUM &amp; MRU Data'!J379,'Thermo Data'!K378,'Testo, JUM &amp; MRU Data'!R379,GDF))</f>
        <v/>
      </c>
      <c r="Q385" s="981" t="str">
        <f>IF(P385="","",Conc2(P385,P$9,MolVol,P$21,P$20,Q$21,Q$20))</f>
        <v/>
      </c>
      <c r="R385" s="981" t="str">
        <f>IF(R$17=FALSE,"",JUMData('Testo, JUM &amp; MRU Data'!M379,$R$7))</f>
        <v/>
      </c>
      <c r="S385" s="982" t="str">
        <f>IF(R385="","",Conc2(R385,R$9,MolVol,R$21,R$20,S$21,S$20)/(1-Bws))</f>
        <v/>
      </c>
      <c r="T385" s="740"/>
      <c r="AR385" s="334"/>
      <c r="AS385" s="334"/>
      <c r="AT385" s="48"/>
      <c r="AU385" s="48"/>
      <c r="AV385" s="153"/>
      <c r="AW385" s="153"/>
      <c r="AX385" s="153"/>
      <c r="AY385" s="153"/>
      <c r="AZ385" s="153"/>
      <c r="BA385" s="153"/>
      <c r="BB385" s="153"/>
      <c r="BC385" s="153"/>
      <c r="BD385" s="153"/>
      <c r="BE385" s="153"/>
      <c r="BF385" s="153"/>
      <c r="BG385" s="153"/>
      <c r="BH385" s="153"/>
      <c r="BI385" s="153"/>
      <c r="BJ385" s="153"/>
      <c r="BK385" s="153"/>
      <c r="BL385" s="153"/>
      <c r="BM385" s="153"/>
      <c r="BN385" s="153"/>
      <c r="BO385" s="153"/>
      <c r="BP385" s="153"/>
      <c r="BQ385" s="153"/>
      <c r="BR385" s="153"/>
      <c r="BS385" s="153"/>
      <c r="BT385" s="153"/>
      <c r="BU385" s="153"/>
      <c r="BV385" s="153"/>
      <c r="BW385" s="153"/>
      <c r="BX385" s="153"/>
      <c r="BY385" s="153"/>
      <c r="BZ385" s="153"/>
      <c r="CA385" s="153"/>
      <c r="CB385" s="153"/>
      <c r="CC385" s="153"/>
      <c r="CD385" s="153"/>
      <c r="CE385" s="153"/>
      <c r="CF385" s="153"/>
      <c r="CG385" s="153"/>
      <c r="CH385" s="153"/>
      <c r="CI385" s="153"/>
      <c r="CJ385" s="153"/>
      <c r="CK385" s="153"/>
      <c r="CL385" s="153"/>
      <c r="CM385" s="153"/>
      <c r="CN385" s="153"/>
      <c r="CO385" s="153"/>
      <c r="CP385" s="153"/>
      <c r="CQ385" s="153"/>
      <c r="CR385" s="153"/>
      <c r="CS385" s="153"/>
      <c r="CT385" s="153"/>
      <c r="CU385" s="153"/>
      <c r="CV385" s="153"/>
      <c r="CW385" s="153"/>
      <c r="CX385" s="153"/>
      <c r="CY385" s="153"/>
      <c r="CZ385" s="153"/>
      <c r="DA385" s="153"/>
      <c r="DB385" s="153"/>
      <c r="DC385" s="153"/>
      <c r="DD385" s="153"/>
      <c r="DE385" s="153"/>
      <c r="DF385" s="153"/>
      <c r="DG385" s="153"/>
      <c r="DH385" s="153"/>
      <c r="DI385" s="153"/>
      <c r="DJ385" s="153"/>
      <c r="DK385" s="153"/>
      <c r="DL385" s="153"/>
      <c r="DM385" s="153"/>
      <c r="DN385" s="153"/>
      <c r="DO385" s="153"/>
      <c r="DP385" s="153"/>
      <c r="DQ385" s="153"/>
      <c r="DR385" s="153"/>
      <c r="DS385" s="153"/>
      <c r="DT385" s="153"/>
      <c r="DU385" s="153"/>
      <c r="DV385" s="153"/>
      <c r="DW385" s="153"/>
      <c r="DX385" s="153"/>
      <c r="DY385" s="153"/>
      <c r="DZ385" s="153"/>
      <c r="EA385" s="153"/>
      <c r="EB385" s="153"/>
      <c r="EC385" s="153"/>
      <c r="ED385" s="153"/>
      <c r="EE385" s="153"/>
      <c r="EF385" s="153"/>
      <c r="EG385" s="153"/>
      <c r="EH385" s="153"/>
      <c r="EI385" s="153"/>
      <c r="EJ385" s="153"/>
      <c r="EK385" s="153"/>
      <c r="EL385" s="153"/>
      <c r="EM385" s="153"/>
    </row>
    <row r="386" spans="1:143" s="107" customFormat="1" ht="10.5" hidden="1" customHeight="1" outlineLevel="2">
      <c r="A386" s="1548">
        <v>361</v>
      </c>
      <c r="B386" s="1560" t="str">
        <f t="shared" si="7"/>
        <v/>
      </c>
      <c r="C386" s="161" t="str">
        <f>GasTime(GasAnalyser,'Horiba Data'!F379,'Horiba Data'!G379,'Testo, JUM &amp; MRU Data'!A380,'Thermo Data'!B379,HourOffset)</f>
        <v/>
      </c>
      <c r="D386" s="981" t="str">
        <f>IF(D$17=FALSE,"",GasData(GasAnalyser,'Horiba Data'!S379,'Testo, JUM &amp; MRU Data'!D380,'Thermo Data'!E379,'Testo, JUM &amp; MRU Data'!U380,GDF))</f>
        <v/>
      </c>
      <c r="E386" s="981" t="str">
        <f>IF(D386="","",Conc2(D386,D$9,MolVol,D$21,D$20,E$21,E$20))</f>
        <v/>
      </c>
      <c r="F386" s="981" t="str">
        <f>IF(F$17=FALSE,"",GasData(GasAnalyser,'Horiba Data'!AQ379,'Testo, JUM &amp; MRU Data'!E380,'Thermo Data'!F379,'Testo, JUM &amp; MRU Data'!V380,GDF))</f>
        <v/>
      </c>
      <c r="G386" s="981" t="str">
        <f>IF(F386="","",Conc2(F386,F$9,MolVol,F$21,F$20,G$21,G$20))</f>
        <v/>
      </c>
      <c r="H386" s="981" t="str">
        <f>IF(D$17=FALSE,"",IF(F$17=FALSE,"",GasData(GasAnalyser,'Horiba Data'!W379,'Testo, JUM &amp; MRU Data'!F380,'Thermo Data'!G379,'Testo, JUM &amp; MRU Data'!Y380,GDF)))</f>
        <v/>
      </c>
      <c r="I386" s="981" t="str">
        <f>IF(H386="","",Conc2(H386,H$9,MolVol,H$21,H$20,I$21,I$20))</f>
        <v/>
      </c>
      <c r="J386" s="981" t="str">
        <f>IF(J$17=FALSE,"",GasData(GasAnalyser,'Horiba Data'!AM379,'Testo, JUM &amp; MRU Data'!G380,'Thermo Data'!H379,'Testo, JUM &amp; MRU Data'!W380,GDF))</f>
        <v/>
      </c>
      <c r="K386" s="981" t="str">
        <f>IF(J386="","",Conc2(J386,J$9,MolVol,J$21,J$20,K$21,K$20))</f>
        <v/>
      </c>
      <c r="L386" s="981" t="str">
        <f>IF(L$17=FALSE,"",GasData(GasAnalyser,'Horiba Data'!AA379,'Testo, JUM &amp; MRU Data'!H380,'Thermo Data'!I379,'Testo, JUM &amp; MRU Data'!T380,GDF))</f>
        <v/>
      </c>
      <c r="M386" s="981" t="str">
        <f>IF(L386="","",Conc2(L386,L$9,MolVol,L$21,L$20,M$21,M$20))</f>
        <v/>
      </c>
      <c r="N386" s="981" t="str">
        <f>IF(N$17=FALSE,"",GasData(GasAnalyser,'Horiba Data'!AE379,'Testo, JUM &amp; MRU Data'!I380,'Thermo Data'!J379,'Testo, JUM &amp; MRU Data'!S380,GDF))</f>
        <v/>
      </c>
      <c r="O386" s="981" t="str">
        <f>IF(N386="","",Conc2(N386,N$9,MolVol,N$21,N$20,O$21,O$20))</f>
        <v/>
      </c>
      <c r="P386" s="981" t="str">
        <f>IF(P$17=FALSE,"",GasData(GasAnalyser,'Horiba Data'!AI379,'Testo, JUM &amp; MRU Data'!J380,'Thermo Data'!K379,'Testo, JUM &amp; MRU Data'!R380,GDF))</f>
        <v/>
      </c>
      <c r="Q386" s="981" t="str">
        <f>IF(P386="","",Conc2(P386,P$9,MolVol,P$21,P$20,Q$21,Q$20))</f>
        <v/>
      </c>
      <c r="R386" s="981" t="str">
        <f>IF(R$17=FALSE,"",JUMData('Testo, JUM &amp; MRU Data'!M380,$R$7))</f>
        <v/>
      </c>
      <c r="S386" s="982" t="str">
        <f>IF(R386="","",Conc2(R386,R$9,MolVol,R$21,R$20,S$21,S$20)/(1-Bws))</f>
        <v/>
      </c>
      <c r="T386" s="740"/>
      <c r="AR386" s="334"/>
      <c r="AS386" s="334"/>
      <c r="AT386" s="48"/>
      <c r="AU386" s="48"/>
      <c r="AV386" s="153"/>
      <c r="AW386" s="153"/>
      <c r="AX386" s="153"/>
      <c r="AY386" s="153"/>
      <c r="AZ386" s="153"/>
      <c r="BA386" s="153"/>
      <c r="BB386" s="153"/>
      <c r="BC386" s="153"/>
      <c r="BD386" s="153"/>
      <c r="BE386" s="153"/>
      <c r="BF386" s="153"/>
      <c r="BG386" s="153"/>
      <c r="BH386" s="153"/>
      <c r="BI386" s="153"/>
      <c r="BJ386" s="153"/>
      <c r="BK386" s="153"/>
      <c r="BL386" s="153"/>
      <c r="BM386" s="153"/>
      <c r="BN386" s="153"/>
      <c r="BO386" s="153"/>
      <c r="BP386" s="153"/>
      <c r="BQ386" s="153"/>
      <c r="BR386" s="153"/>
      <c r="BS386" s="153"/>
      <c r="BT386" s="153"/>
      <c r="BU386" s="153"/>
      <c r="BV386" s="153"/>
      <c r="BW386" s="153"/>
      <c r="BX386" s="153"/>
      <c r="BY386" s="153"/>
      <c r="BZ386" s="153"/>
      <c r="CA386" s="153"/>
      <c r="CB386" s="153"/>
      <c r="CC386" s="153"/>
      <c r="CD386" s="153"/>
      <c r="CE386" s="153"/>
      <c r="CF386" s="153"/>
      <c r="CG386" s="153"/>
      <c r="CH386" s="153"/>
      <c r="CI386" s="153"/>
      <c r="CJ386" s="153"/>
      <c r="CK386" s="153"/>
      <c r="CL386" s="153"/>
      <c r="CM386" s="153"/>
      <c r="CN386" s="153"/>
      <c r="CO386" s="153"/>
      <c r="CP386" s="153"/>
      <c r="CQ386" s="153"/>
      <c r="CR386" s="153"/>
      <c r="CS386" s="153"/>
      <c r="CT386" s="153"/>
      <c r="CU386" s="153"/>
      <c r="CV386" s="153"/>
      <c r="CW386" s="153"/>
      <c r="CX386" s="153"/>
      <c r="CY386" s="153"/>
      <c r="CZ386" s="153"/>
      <c r="DA386" s="153"/>
      <c r="DB386" s="153"/>
      <c r="DC386" s="153"/>
      <c r="DD386" s="153"/>
      <c r="DE386" s="153"/>
      <c r="DF386" s="153"/>
      <c r="DG386" s="153"/>
      <c r="DH386" s="153"/>
      <c r="DI386" s="153"/>
      <c r="DJ386" s="153"/>
      <c r="DK386" s="153"/>
      <c r="DL386" s="153"/>
      <c r="DM386" s="153"/>
      <c r="DN386" s="153"/>
      <c r="DO386" s="153"/>
      <c r="DP386" s="153"/>
      <c r="DQ386" s="153"/>
      <c r="DR386" s="153"/>
      <c r="DS386" s="153"/>
      <c r="DT386" s="153"/>
      <c r="DU386" s="153"/>
      <c r="DV386" s="153"/>
      <c r="DW386" s="153"/>
      <c r="DX386" s="153"/>
      <c r="DY386" s="153"/>
      <c r="DZ386" s="153"/>
      <c r="EA386" s="153"/>
      <c r="EB386" s="153"/>
      <c r="EC386" s="153"/>
      <c r="ED386" s="153"/>
      <c r="EE386" s="153"/>
      <c r="EF386" s="153"/>
      <c r="EG386" s="153"/>
      <c r="EH386" s="153"/>
      <c r="EI386" s="153"/>
      <c r="EJ386" s="153"/>
      <c r="EK386" s="153"/>
      <c r="EL386" s="153"/>
      <c r="EM386" s="153"/>
    </row>
    <row r="387" spans="1:143" s="107" customFormat="1" ht="10.5" hidden="1" customHeight="1" outlineLevel="2">
      <c r="A387" s="1548">
        <v>362</v>
      </c>
      <c r="B387" s="1560" t="str">
        <f t="shared" si="7"/>
        <v/>
      </c>
      <c r="C387" s="161" t="str">
        <f>GasTime(GasAnalyser,'Horiba Data'!F380,'Horiba Data'!G380,'Testo, JUM &amp; MRU Data'!A381,'Thermo Data'!B380,HourOffset)</f>
        <v/>
      </c>
      <c r="D387" s="981" t="str">
        <f>IF(D$17=FALSE,"",GasData(GasAnalyser,'Horiba Data'!S380,'Testo, JUM &amp; MRU Data'!D381,'Thermo Data'!E380,'Testo, JUM &amp; MRU Data'!U381,GDF))</f>
        <v/>
      </c>
      <c r="E387" s="981" t="str">
        <f>IF(D387="","",Conc2(D387,D$9,MolVol,D$21,D$20,E$21,E$20))</f>
        <v/>
      </c>
      <c r="F387" s="981" t="str">
        <f>IF(F$17=FALSE,"",GasData(GasAnalyser,'Horiba Data'!AQ380,'Testo, JUM &amp; MRU Data'!E381,'Thermo Data'!F380,'Testo, JUM &amp; MRU Data'!V381,GDF))</f>
        <v/>
      </c>
      <c r="G387" s="981" t="str">
        <f>IF(F387="","",Conc2(F387,F$9,MolVol,F$21,F$20,G$21,G$20))</f>
        <v/>
      </c>
      <c r="H387" s="981" t="str">
        <f>IF(D$17=FALSE,"",IF(F$17=FALSE,"",GasData(GasAnalyser,'Horiba Data'!W380,'Testo, JUM &amp; MRU Data'!F381,'Thermo Data'!G380,'Testo, JUM &amp; MRU Data'!Y381,GDF)))</f>
        <v/>
      </c>
      <c r="I387" s="981" t="str">
        <f>IF(H387="","",Conc2(H387,H$9,MolVol,H$21,H$20,I$21,I$20))</f>
        <v/>
      </c>
      <c r="J387" s="981" t="str">
        <f>IF(J$17=FALSE,"",GasData(GasAnalyser,'Horiba Data'!AM380,'Testo, JUM &amp; MRU Data'!G381,'Thermo Data'!H380,'Testo, JUM &amp; MRU Data'!W381,GDF))</f>
        <v/>
      </c>
      <c r="K387" s="981" t="str">
        <f>IF(J387="","",Conc2(J387,J$9,MolVol,J$21,J$20,K$21,K$20))</f>
        <v/>
      </c>
      <c r="L387" s="981" t="str">
        <f>IF(L$17=FALSE,"",GasData(GasAnalyser,'Horiba Data'!AA380,'Testo, JUM &amp; MRU Data'!H381,'Thermo Data'!I380,'Testo, JUM &amp; MRU Data'!T381,GDF))</f>
        <v/>
      </c>
      <c r="M387" s="981" t="str">
        <f>IF(L387="","",Conc2(L387,L$9,MolVol,L$21,L$20,M$21,M$20))</f>
        <v/>
      </c>
      <c r="N387" s="981" t="str">
        <f>IF(N$17=FALSE,"",GasData(GasAnalyser,'Horiba Data'!AE380,'Testo, JUM &amp; MRU Data'!I381,'Thermo Data'!J380,'Testo, JUM &amp; MRU Data'!S381,GDF))</f>
        <v/>
      </c>
      <c r="O387" s="981" t="str">
        <f>IF(N387="","",Conc2(N387,N$9,MolVol,N$21,N$20,O$21,O$20))</f>
        <v/>
      </c>
      <c r="P387" s="981" t="str">
        <f>IF(P$17=FALSE,"",GasData(GasAnalyser,'Horiba Data'!AI380,'Testo, JUM &amp; MRU Data'!J381,'Thermo Data'!K380,'Testo, JUM &amp; MRU Data'!R381,GDF))</f>
        <v/>
      </c>
      <c r="Q387" s="981" t="str">
        <f>IF(P387="","",Conc2(P387,P$9,MolVol,P$21,P$20,Q$21,Q$20))</f>
        <v/>
      </c>
      <c r="R387" s="981" t="str">
        <f>IF(R$17=FALSE,"",JUMData('Testo, JUM &amp; MRU Data'!M381,$R$7))</f>
        <v/>
      </c>
      <c r="S387" s="982" t="str">
        <f>IF(R387="","",Conc2(R387,R$9,MolVol,R$21,R$20,S$21,S$20)/(1-Bws))</f>
        <v/>
      </c>
      <c r="T387" s="740"/>
      <c r="AR387" s="334"/>
      <c r="AS387" s="334"/>
      <c r="AT387" s="48"/>
      <c r="AU387" s="48"/>
      <c r="AV387" s="153"/>
      <c r="AW387" s="153"/>
      <c r="AX387" s="153"/>
      <c r="AY387" s="153"/>
      <c r="AZ387" s="153"/>
      <c r="BA387" s="153"/>
      <c r="BB387" s="153"/>
      <c r="BC387" s="153"/>
      <c r="BD387" s="153"/>
      <c r="BE387" s="153"/>
      <c r="BF387" s="153"/>
      <c r="BG387" s="153"/>
      <c r="BH387" s="153"/>
      <c r="BI387" s="153"/>
      <c r="BJ387" s="153"/>
      <c r="BK387" s="153"/>
      <c r="BL387" s="153"/>
      <c r="BM387" s="153"/>
      <c r="BN387" s="153"/>
      <c r="BO387" s="153"/>
      <c r="BP387" s="153"/>
      <c r="BQ387" s="153"/>
      <c r="BR387" s="153"/>
      <c r="BS387" s="153"/>
      <c r="BT387" s="153"/>
      <c r="BU387" s="153"/>
      <c r="BV387" s="153"/>
      <c r="BW387" s="153"/>
      <c r="BX387" s="153"/>
      <c r="BY387" s="153"/>
      <c r="BZ387" s="153"/>
      <c r="CA387" s="153"/>
      <c r="CB387" s="153"/>
      <c r="CC387" s="153"/>
      <c r="CD387" s="153"/>
      <c r="CE387" s="153"/>
      <c r="CF387" s="153"/>
      <c r="CG387" s="153"/>
      <c r="CH387" s="153"/>
      <c r="CI387" s="153"/>
      <c r="CJ387" s="153"/>
      <c r="CK387" s="153"/>
      <c r="CL387" s="153"/>
      <c r="CM387" s="153"/>
      <c r="CN387" s="153"/>
      <c r="CO387" s="153"/>
      <c r="CP387" s="153"/>
      <c r="CQ387" s="153"/>
      <c r="CR387" s="153"/>
      <c r="CS387" s="153"/>
      <c r="CT387" s="153"/>
      <c r="CU387" s="153"/>
      <c r="CV387" s="153"/>
      <c r="CW387" s="153"/>
      <c r="CX387" s="153"/>
      <c r="CY387" s="153"/>
      <c r="CZ387" s="153"/>
      <c r="DA387" s="153"/>
      <c r="DB387" s="153"/>
      <c r="DC387" s="153"/>
      <c r="DD387" s="153"/>
      <c r="DE387" s="153"/>
      <c r="DF387" s="153"/>
      <c r="DG387" s="153"/>
      <c r="DH387" s="153"/>
      <c r="DI387" s="153"/>
      <c r="DJ387" s="153"/>
      <c r="DK387" s="153"/>
      <c r="DL387" s="153"/>
      <c r="DM387" s="153"/>
      <c r="DN387" s="153"/>
      <c r="DO387" s="153"/>
      <c r="DP387" s="153"/>
      <c r="DQ387" s="153"/>
      <c r="DR387" s="153"/>
      <c r="DS387" s="153"/>
      <c r="DT387" s="153"/>
      <c r="DU387" s="153"/>
      <c r="DV387" s="153"/>
      <c r="DW387" s="153"/>
      <c r="DX387" s="153"/>
      <c r="DY387" s="153"/>
      <c r="DZ387" s="153"/>
      <c r="EA387" s="153"/>
      <c r="EB387" s="153"/>
      <c r="EC387" s="153"/>
      <c r="ED387" s="153"/>
      <c r="EE387" s="153"/>
      <c r="EF387" s="153"/>
      <c r="EG387" s="153"/>
      <c r="EH387" s="153"/>
      <c r="EI387" s="153"/>
      <c r="EJ387" s="153"/>
      <c r="EK387" s="153"/>
      <c r="EL387" s="153"/>
      <c r="EM387" s="153"/>
    </row>
    <row r="388" spans="1:143" s="107" customFormat="1" ht="10.5" hidden="1" customHeight="1" outlineLevel="2">
      <c r="A388" s="1548">
        <v>363</v>
      </c>
      <c r="B388" s="1560" t="str">
        <f t="shared" si="7"/>
        <v/>
      </c>
      <c r="C388" s="161" t="str">
        <f>GasTime(GasAnalyser,'Horiba Data'!F381,'Horiba Data'!G381,'Testo, JUM &amp; MRU Data'!A382,'Thermo Data'!B381,HourOffset)</f>
        <v/>
      </c>
      <c r="D388" s="981" t="str">
        <f>IF(D$17=FALSE,"",GasData(GasAnalyser,'Horiba Data'!S381,'Testo, JUM &amp; MRU Data'!D382,'Thermo Data'!E381,'Testo, JUM &amp; MRU Data'!U382,GDF))</f>
        <v/>
      </c>
      <c r="E388" s="981" t="str">
        <f>IF(D388="","",Conc2(D388,D$9,MolVol,D$21,D$20,E$21,E$20))</f>
        <v/>
      </c>
      <c r="F388" s="981" t="str">
        <f>IF(F$17=FALSE,"",GasData(GasAnalyser,'Horiba Data'!AQ381,'Testo, JUM &amp; MRU Data'!E382,'Thermo Data'!F381,'Testo, JUM &amp; MRU Data'!V382,GDF))</f>
        <v/>
      </c>
      <c r="G388" s="981" t="str">
        <f>IF(F388="","",Conc2(F388,F$9,MolVol,F$21,F$20,G$21,G$20))</f>
        <v/>
      </c>
      <c r="H388" s="981" t="str">
        <f>IF(D$17=FALSE,"",IF(F$17=FALSE,"",GasData(GasAnalyser,'Horiba Data'!W381,'Testo, JUM &amp; MRU Data'!F382,'Thermo Data'!G381,'Testo, JUM &amp; MRU Data'!Y382,GDF)))</f>
        <v/>
      </c>
      <c r="I388" s="981" t="str">
        <f>IF(H388="","",Conc2(H388,H$9,MolVol,H$21,H$20,I$21,I$20))</f>
        <v/>
      </c>
      <c r="J388" s="981" t="str">
        <f>IF(J$17=FALSE,"",GasData(GasAnalyser,'Horiba Data'!AM381,'Testo, JUM &amp; MRU Data'!G382,'Thermo Data'!H381,'Testo, JUM &amp; MRU Data'!W382,GDF))</f>
        <v/>
      </c>
      <c r="K388" s="981" t="str">
        <f>IF(J388="","",Conc2(J388,J$9,MolVol,J$21,J$20,K$21,K$20))</f>
        <v/>
      </c>
      <c r="L388" s="981" t="str">
        <f>IF(L$17=FALSE,"",GasData(GasAnalyser,'Horiba Data'!AA381,'Testo, JUM &amp; MRU Data'!H382,'Thermo Data'!I381,'Testo, JUM &amp; MRU Data'!T382,GDF))</f>
        <v/>
      </c>
      <c r="M388" s="981" t="str">
        <f>IF(L388="","",Conc2(L388,L$9,MolVol,L$21,L$20,M$21,M$20))</f>
        <v/>
      </c>
      <c r="N388" s="981" t="str">
        <f>IF(N$17=FALSE,"",GasData(GasAnalyser,'Horiba Data'!AE381,'Testo, JUM &amp; MRU Data'!I382,'Thermo Data'!J381,'Testo, JUM &amp; MRU Data'!S382,GDF))</f>
        <v/>
      </c>
      <c r="O388" s="981" t="str">
        <f>IF(N388="","",Conc2(N388,N$9,MolVol,N$21,N$20,O$21,O$20))</f>
        <v/>
      </c>
      <c r="P388" s="981" t="str">
        <f>IF(P$17=FALSE,"",GasData(GasAnalyser,'Horiba Data'!AI381,'Testo, JUM &amp; MRU Data'!J382,'Thermo Data'!K381,'Testo, JUM &amp; MRU Data'!R382,GDF))</f>
        <v/>
      </c>
      <c r="Q388" s="981" t="str">
        <f>IF(P388="","",Conc2(P388,P$9,MolVol,P$21,P$20,Q$21,Q$20))</f>
        <v/>
      </c>
      <c r="R388" s="981" t="str">
        <f>IF(R$17=FALSE,"",JUMData('Testo, JUM &amp; MRU Data'!M382,$R$7))</f>
        <v/>
      </c>
      <c r="S388" s="982" t="str">
        <f>IF(R388="","",Conc2(R388,R$9,MolVol,R$21,R$20,S$21,S$20)/(1-Bws))</f>
        <v/>
      </c>
      <c r="T388" s="740"/>
      <c r="AR388" s="334"/>
      <c r="AS388" s="334"/>
      <c r="AT388" s="48"/>
      <c r="AU388" s="48"/>
      <c r="AV388" s="153"/>
      <c r="AW388" s="153"/>
      <c r="AX388" s="153"/>
      <c r="AY388" s="153"/>
      <c r="AZ388" s="153"/>
      <c r="BA388" s="153"/>
      <c r="BB388" s="153"/>
      <c r="BC388" s="153"/>
      <c r="BD388" s="153"/>
      <c r="BE388" s="153"/>
      <c r="BF388" s="153"/>
      <c r="BG388" s="153"/>
      <c r="BH388" s="153"/>
      <c r="BI388" s="153"/>
      <c r="BJ388" s="153"/>
      <c r="BK388" s="153"/>
      <c r="BL388" s="153"/>
      <c r="BM388" s="153"/>
      <c r="BN388" s="153"/>
      <c r="BO388" s="153"/>
      <c r="BP388" s="153"/>
      <c r="BQ388" s="153"/>
      <c r="BR388" s="153"/>
      <c r="BS388" s="153"/>
      <c r="BT388" s="153"/>
      <c r="BU388" s="153"/>
      <c r="BV388" s="153"/>
      <c r="BW388" s="153"/>
      <c r="BX388" s="153"/>
      <c r="BY388" s="153"/>
      <c r="BZ388" s="153"/>
      <c r="CA388" s="153"/>
      <c r="CB388" s="153"/>
      <c r="CC388" s="153"/>
      <c r="CD388" s="153"/>
      <c r="CE388" s="153"/>
      <c r="CF388" s="153"/>
      <c r="CG388" s="153"/>
      <c r="CH388" s="153"/>
      <c r="CI388" s="153"/>
      <c r="CJ388" s="153"/>
      <c r="CK388" s="153"/>
      <c r="CL388" s="153"/>
      <c r="CM388" s="153"/>
      <c r="CN388" s="153"/>
      <c r="CO388" s="153"/>
      <c r="CP388" s="153"/>
      <c r="CQ388" s="153"/>
      <c r="CR388" s="153"/>
      <c r="CS388" s="153"/>
      <c r="CT388" s="153"/>
      <c r="CU388" s="153"/>
      <c r="CV388" s="153"/>
      <c r="CW388" s="153"/>
      <c r="CX388" s="153"/>
      <c r="CY388" s="153"/>
      <c r="CZ388" s="153"/>
      <c r="DA388" s="153"/>
      <c r="DB388" s="153"/>
      <c r="DC388" s="153"/>
      <c r="DD388" s="153"/>
      <c r="DE388" s="153"/>
      <c r="DF388" s="153"/>
      <c r="DG388" s="153"/>
      <c r="DH388" s="153"/>
      <c r="DI388" s="153"/>
      <c r="DJ388" s="153"/>
      <c r="DK388" s="153"/>
      <c r="DL388" s="153"/>
      <c r="DM388" s="153"/>
      <c r="DN388" s="153"/>
      <c r="DO388" s="153"/>
      <c r="DP388" s="153"/>
      <c r="DQ388" s="153"/>
      <c r="DR388" s="153"/>
      <c r="DS388" s="153"/>
      <c r="DT388" s="153"/>
      <c r="DU388" s="153"/>
      <c r="DV388" s="153"/>
      <c r="DW388" s="153"/>
      <c r="DX388" s="153"/>
      <c r="DY388" s="153"/>
      <c r="DZ388" s="153"/>
      <c r="EA388" s="153"/>
      <c r="EB388" s="153"/>
      <c r="EC388" s="153"/>
      <c r="ED388" s="153"/>
      <c r="EE388" s="153"/>
      <c r="EF388" s="153"/>
      <c r="EG388" s="153"/>
      <c r="EH388" s="153"/>
      <c r="EI388" s="153"/>
      <c r="EJ388" s="153"/>
      <c r="EK388" s="153"/>
      <c r="EL388" s="153"/>
      <c r="EM388" s="153"/>
    </row>
    <row r="389" spans="1:143" s="107" customFormat="1" ht="10.5" hidden="1" customHeight="1" outlineLevel="2">
      <c r="A389" s="1548">
        <v>364</v>
      </c>
      <c r="B389" s="1560" t="str">
        <f t="shared" si="7"/>
        <v/>
      </c>
      <c r="C389" s="161" t="str">
        <f>GasTime(GasAnalyser,'Horiba Data'!F382,'Horiba Data'!G382,'Testo, JUM &amp; MRU Data'!A383,'Thermo Data'!B382,HourOffset)</f>
        <v/>
      </c>
      <c r="D389" s="981" t="str">
        <f>IF(D$17=FALSE,"",GasData(GasAnalyser,'Horiba Data'!S382,'Testo, JUM &amp; MRU Data'!D383,'Thermo Data'!E382,'Testo, JUM &amp; MRU Data'!U383,GDF))</f>
        <v/>
      </c>
      <c r="E389" s="981" t="str">
        <f>IF(D389="","",Conc2(D389,D$9,MolVol,D$21,D$20,E$21,E$20))</f>
        <v/>
      </c>
      <c r="F389" s="981" t="str">
        <f>IF(F$17=FALSE,"",GasData(GasAnalyser,'Horiba Data'!AQ382,'Testo, JUM &amp; MRU Data'!E383,'Thermo Data'!F382,'Testo, JUM &amp; MRU Data'!V383,GDF))</f>
        <v/>
      </c>
      <c r="G389" s="981" t="str">
        <f>IF(F389="","",Conc2(F389,F$9,MolVol,F$21,F$20,G$21,G$20))</f>
        <v/>
      </c>
      <c r="H389" s="981" t="str">
        <f>IF(D$17=FALSE,"",IF(F$17=FALSE,"",GasData(GasAnalyser,'Horiba Data'!W382,'Testo, JUM &amp; MRU Data'!F383,'Thermo Data'!G382,'Testo, JUM &amp; MRU Data'!Y383,GDF)))</f>
        <v/>
      </c>
      <c r="I389" s="981" t="str">
        <f>IF(H389="","",Conc2(H389,H$9,MolVol,H$21,H$20,I$21,I$20))</f>
        <v/>
      </c>
      <c r="J389" s="981" t="str">
        <f>IF(J$17=FALSE,"",GasData(GasAnalyser,'Horiba Data'!AM382,'Testo, JUM &amp; MRU Data'!G383,'Thermo Data'!H382,'Testo, JUM &amp; MRU Data'!W383,GDF))</f>
        <v/>
      </c>
      <c r="K389" s="981" t="str">
        <f>IF(J389="","",Conc2(J389,J$9,MolVol,J$21,J$20,K$21,K$20))</f>
        <v/>
      </c>
      <c r="L389" s="981" t="str">
        <f>IF(L$17=FALSE,"",GasData(GasAnalyser,'Horiba Data'!AA382,'Testo, JUM &amp; MRU Data'!H383,'Thermo Data'!I382,'Testo, JUM &amp; MRU Data'!T383,GDF))</f>
        <v/>
      </c>
      <c r="M389" s="981" t="str">
        <f>IF(L389="","",Conc2(L389,L$9,MolVol,L$21,L$20,M$21,M$20))</f>
        <v/>
      </c>
      <c r="N389" s="981" t="str">
        <f>IF(N$17=FALSE,"",GasData(GasAnalyser,'Horiba Data'!AE382,'Testo, JUM &amp; MRU Data'!I383,'Thermo Data'!J382,'Testo, JUM &amp; MRU Data'!S383,GDF))</f>
        <v/>
      </c>
      <c r="O389" s="981" t="str">
        <f>IF(N389="","",Conc2(N389,N$9,MolVol,N$21,N$20,O$21,O$20))</f>
        <v/>
      </c>
      <c r="P389" s="981" t="str">
        <f>IF(P$17=FALSE,"",GasData(GasAnalyser,'Horiba Data'!AI382,'Testo, JUM &amp; MRU Data'!J383,'Thermo Data'!K382,'Testo, JUM &amp; MRU Data'!R383,GDF))</f>
        <v/>
      </c>
      <c r="Q389" s="981" t="str">
        <f>IF(P389="","",Conc2(P389,P$9,MolVol,P$21,P$20,Q$21,Q$20))</f>
        <v/>
      </c>
      <c r="R389" s="981" t="str">
        <f>IF(R$17=FALSE,"",JUMData('Testo, JUM &amp; MRU Data'!M383,$R$7))</f>
        <v/>
      </c>
      <c r="S389" s="982" t="str">
        <f>IF(R389="","",Conc2(R389,R$9,MolVol,R$21,R$20,S$21,S$20)/(1-Bws))</f>
        <v/>
      </c>
      <c r="T389" s="740"/>
      <c r="AR389" s="334"/>
      <c r="AS389" s="334"/>
      <c r="AT389" s="48"/>
      <c r="AU389" s="48"/>
      <c r="AV389" s="153"/>
      <c r="AW389" s="153"/>
      <c r="AX389" s="153"/>
      <c r="AY389" s="153"/>
      <c r="AZ389" s="153"/>
      <c r="BA389" s="153"/>
      <c r="BB389" s="153"/>
      <c r="BC389" s="153"/>
      <c r="BD389" s="153"/>
      <c r="BE389" s="153"/>
      <c r="BF389" s="153"/>
      <c r="BG389" s="153"/>
      <c r="BH389" s="153"/>
      <c r="BI389" s="153"/>
      <c r="BJ389" s="153"/>
      <c r="BK389" s="153"/>
      <c r="BL389" s="153"/>
      <c r="BM389" s="153"/>
      <c r="BN389" s="153"/>
      <c r="BO389" s="153"/>
      <c r="BP389" s="153"/>
      <c r="BQ389" s="153"/>
      <c r="BR389" s="153"/>
      <c r="BS389" s="153"/>
      <c r="BT389" s="153"/>
      <c r="BU389" s="153"/>
      <c r="BV389" s="153"/>
      <c r="BW389" s="153"/>
      <c r="BX389" s="153"/>
      <c r="BY389" s="153"/>
      <c r="BZ389" s="153"/>
      <c r="CA389" s="153"/>
      <c r="CB389" s="153"/>
      <c r="CC389" s="153"/>
      <c r="CD389" s="153"/>
      <c r="CE389" s="153"/>
      <c r="CF389" s="153"/>
      <c r="CG389" s="153"/>
      <c r="CH389" s="153"/>
      <c r="CI389" s="153"/>
      <c r="CJ389" s="153"/>
      <c r="CK389" s="153"/>
      <c r="CL389" s="153"/>
      <c r="CM389" s="153"/>
      <c r="CN389" s="153"/>
      <c r="CO389" s="153"/>
      <c r="CP389" s="153"/>
      <c r="CQ389" s="153"/>
      <c r="CR389" s="153"/>
      <c r="CS389" s="153"/>
      <c r="CT389" s="153"/>
      <c r="CU389" s="153"/>
      <c r="CV389" s="153"/>
      <c r="CW389" s="153"/>
      <c r="CX389" s="153"/>
      <c r="CY389" s="153"/>
      <c r="CZ389" s="153"/>
      <c r="DA389" s="153"/>
      <c r="DB389" s="153"/>
      <c r="DC389" s="153"/>
      <c r="DD389" s="153"/>
      <c r="DE389" s="153"/>
      <c r="DF389" s="153"/>
      <c r="DG389" s="153"/>
      <c r="DH389" s="153"/>
      <c r="DI389" s="153"/>
      <c r="DJ389" s="153"/>
      <c r="DK389" s="153"/>
      <c r="DL389" s="153"/>
      <c r="DM389" s="153"/>
      <c r="DN389" s="153"/>
      <c r="DO389" s="153"/>
      <c r="DP389" s="153"/>
      <c r="DQ389" s="153"/>
      <c r="DR389" s="153"/>
      <c r="DS389" s="153"/>
      <c r="DT389" s="153"/>
      <c r="DU389" s="153"/>
      <c r="DV389" s="153"/>
      <c r="DW389" s="153"/>
      <c r="DX389" s="153"/>
      <c r="DY389" s="153"/>
      <c r="DZ389" s="153"/>
      <c r="EA389" s="153"/>
      <c r="EB389" s="153"/>
      <c r="EC389" s="153"/>
      <c r="ED389" s="153"/>
      <c r="EE389" s="153"/>
      <c r="EF389" s="153"/>
      <c r="EG389" s="153"/>
      <c r="EH389" s="153"/>
      <c r="EI389" s="153"/>
      <c r="EJ389" s="153"/>
      <c r="EK389" s="153"/>
      <c r="EL389" s="153"/>
      <c r="EM389" s="153"/>
    </row>
    <row r="390" spans="1:143" s="107" customFormat="1" ht="10.5" hidden="1" customHeight="1" outlineLevel="2">
      <c r="A390" s="1548">
        <v>365</v>
      </c>
      <c r="B390" s="1560" t="str">
        <f t="shared" si="7"/>
        <v/>
      </c>
      <c r="C390" s="161" t="str">
        <f>GasTime(GasAnalyser,'Horiba Data'!F383,'Horiba Data'!G383,'Testo, JUM &amp; MRU Data'!A384,'Thermo Data'!B383,HourOffset)</f>
        <v/>
      </c>
      <c r="D390" s="981" t="str">
        <f>IF(D$17=FALSE,"",GasData(GasAnalyser,'Horiba Data'!S383,'Testo, JUM &amp; MRU Data'!D384,'Thermo Data'!E383,'Testo, JUM &amp; MRU Data'!U384,GDF))</f>
        <v/>
      </c>
      <c r="E390" s="981" t="str">
        <f>IF(D390="","",Conc2(D390,D$9,MolVol,D$21,D$20,E$21,E$20))</f>
        <v/>
      </c>
      <c r="F390" s="981" t="str">
        <f>IF(F$17=FALSE,"",GasData(GasAnalyser,'Horiba Data'!AQ383,'Testo, JUM &amp; MRU Data'!E384,'Thermo Data'!F383,'Testo, JUM &amp; MRU Data'!V384,GDF))</f>
        <v/>
      </c>
      <c r="G390" s="981" t="str">
        <f>IF(F390="","",Conc2(F390,F$9,MolVol,F$21,F$20,G$21,G$20))</f>
        <v/>
      </c>
      <c r="H390" s="981" t="str">
        <f>IF(D$17=FALSE,"",IF(F$17=FALSE,"",GasData(GasAnalyser,'Horiba Data'!W383,'Testo, JUM &amp; MRU Data'!F384,'Thermo Data'!G383,'Testo, JUM &amp; MRU Data'!Y384,GDF)))</f>
        <v/>
      </c>
      <c r="I390" s="981" t="str">
        <f>IF(H390="","",Conc2(H390,H$9,MolVol,H$21,H$20,I$21,I$20))</f>
        <v/>
      </c>
      <c r="J390" s="981" t="str">
        <f>IF(J$17=FALSE,"",GasData(GasAnalyser,'Horiba Data'!AM383,'Testo, JUM &amp; MRU Data'!G384,'Thermo Data'!H383,'Testo, JUM &amp; MRU Data'!W384,GDF))</f>
        <v/>
      </c>
      <c r="K390" s="981" t="str">
        <f>IF(J390="","",Conc2(J390,J$9,MolVol,J$21,J$20,K$21,K$20))</f>
        <v/>
      </c>
      <c r="L390" s="981" t="str">
        <f>IF(L$17=FALSE,"",GasData(GasAnalyser,'Horiba Data'!AA383,'Testo, JUM &amp; MRU Data'!H384,'Thermo Data'!I383,'Testo, JUM &amp; MRU Data'!T384,GDF))</f>
        <v/>
      </c>
      <c r="M390" s="981" t="str">
        <f>IF(L390="","",Conc2(L390,L$9,MolVol,L$21,L$20,M$21,M$20))</f>
        <v/>
      </c>
      <c r="N390" s="981" t="str">
        <f>IF(N$17=FALSE,"",GasData(GasAnalyser,'Horiba Data'!AE383,'Testo, JUM &amp; MRU Data'!I384,'Thermo Data'!J383,'Testo, JUM &amp; MRU Data'!S384,GDF))</f>
        <v/>
      </c>
      <c r="O390" s="981" t="str">
        <f>IF(N390="","",Conc2(N390,N$9,MolVol,N$21,N$20,O$21,O$20))</f>
        <v/>
      </c>
      <c r="P390" s="981" t="str">
        <f>IF(P$17=FALSE,"",GasData(GasAnalyser,'Horiba Data'!AI383,'Testo, JUM &amp; MRU Data'!J384,'Thermo Data'!K383,'Testo, JUM &amp; MRU Data'!R384,GDF))</f>
        <v/>
      </c>
      <c r="Q390" s="981" t="str">
        <f>IF(P390="","",Conc2(P390,P$9,MolVol,P$21,P$20,Q$21,Q$20))</f>
        <v/>
      </c>
      <c r="R390" s="981" t="str">
        <f>IF(R$17=FALSE,"",JUMData('Testo, JUM &amp; MRU Data'!M384,$R$7))</f>
        <v/>
      </c>
      <c r="S390" s="982" t="str">
        <f>IF(R390="","",Conc2(R390,R$9,MolVol,R$21,R$20,S$21,S$20)/(1-Bws))</f>
        <v/>
      </c>
      <c r="T390" s="740"/>
      <c r="AR390" s="334"/>
      <c r="AS390" s="334"/>
      <c r="AT390" s="48"/>
      <c r="AU390" s="48"/>
      <c r="AV390" s="153"/>
      <c r="AW390" s="153"/>
      <c r="AX390" s="153"/>
      <c r="AY390" s="153"/>
      <c r="AZ390" s="153"/>
      <c r="BA390" s="153"/>
      <c r="BB390" s="153"/>
      <c r="BC390" s="153"/>
      <c r="BD390" s="153"/>
      <c r="BE390" s="153"/>
      <c r="BF390" s="153"/>
      <c r="BG390" s="153"/>
      <c r="BH390" s="153"/>
      <c r="BI390" s="153"/>
      <c r="BJ390" s="153"/>
      <c r="BK390" s="153"/>
      <c r="BL390" s="153"/>
      <c r="BM390" s="153"/>
      <c r="BN390" s="153"/>
      <c r="BO390" s="153"/>
      <c r="BP390" s="153"/>
      <c r="BQ390" s="153"/>
      <c r="BR390" s="153"/>
      <c r="BS390" s="153"/>
      <c r="BT390" s="153"/>
      <c r="BU390" s="153"/>
      <c r="BV390" s="153"/>
      <c r="BW390" s="153"/>
      <c r="BX390" s="153"/>
      <c r="BY390" s="153"/>
      <c r="BZ390" s="153"/>
      <c r="CA390" s="153"/>
      <c r="CB390" s="153"/>
      <c r="CC390" s="153"/>
      <c r="CD390" s="153"/>
      <c r="CE390" s="153"/>
      <c r="CF390" s="153"/>
      <c r="CG390" s="153"/>
      <c r="CH390" s="153"/>
      <c r="CI390" s="153"/>
      <c r="CJ390" s="153"/>
      <c r="CK390" s="153"/>
      <c r="CL390" s="153"/>
      <c r="CM390" s="153"/>
      <c r="CN390" s="153"/>
      <c r="CO390" s="153"/>
      <c r="CP390" s="153"/>
      <c r="CQ390" s="153"/>
      <c r="CR390" s="153"/>
      <c r="CS390" s="153"/>
      <c r="CT390" s="153"/>
      <c r="CU390" s="153"/>
      <c r="CV390" s="153"/>
      <c r="CW390" s="153"/>
      <c r="CX390" s="153"/>
      <c r="CY390" s="153"/>
      <c r="CZ390" s="153"/>
      <c r="DA390" s="153"/>
      <c r="DB390" s="153"/>
      <c r="DC390" s="153"/>
      <c r="DD390" s="153"/>
      <c r="DE390" s="153"/>
      <c r="DF390" s="153"/>
      <c r="DG390" s="153"/>
      <c r="DH390" s="153"/>
      <c r="DI390" s="153"/>
      <c r="DJ390" s="153"/>
      <c r="DK390" s="153"/>
      <c r="DL390" s="153"/>
      <c r="DM390" s="153"/>
      <c r="DN390" s="153"/>
      <c r="DO390" s="153"/>
      <c r="DP390" s="153"/>
      <c r="DQ390" s="153"/>
      <c r="DR390" s="153"/>
      <c r="DS390" s="153"/>
      <c r="DT390" s="153"/>
      <c r="DU390" s="153"/>
      <c r="DV390" s="153"/>
      <c r="DW390" s="153"/>
      <c r="DX390" s="153"/>
      <c r="DY390" s="153"/>
      <c r="DZ390" s="153"/>
      <c r="EA390" s="153"/>
      <c r="EB390" s="153"/>
      <c r="EC390" s="153"/>
      <c r="ED390" s="153"/>
      <c r="EE390" s="153"/>
      <c r="EF390" s="153"/>
      <c r="EG390" s="153"/>
      <c r="EH390" s="153"/>
      <c r="EI390" s="153"/>
      <c r="EJ390" s="153"/>
      <c r="EK390" s="153"/>
      <c r="EL390" s="153"/>
      <c r="EM390" s="153"/>
    </row>
    <row r="391" spans="1:143" s="107" customFormat="1" ht="10.5" hidden="1" customHeight="1" outlineLevel="2">
      <c r="A391" s="1548">
        <v>366</v>
      </c>
      <c r="B391" s="1560" t="str">
        <f t="shared" si="7"/>
        <v/>
      </c>
      <c r="C391" s="161" t="str">
        <f>GasTime(GasAnalyser,'Horiba Data'!F384,'Horiba Data'!G384,'Testo, JUM &amp; MRU Data'!A385,'Thermo Data'!B384,HourOffset)</f>
        <v/>
      </c>
      <c r="D391" s="981" t="str">
        <f>IF(D$17=FALSE,"",GasData(GasAnalyser,'Horiba Data'!S384,'Testo, JUM &amp; MRU Data'!D385,'Thermo Data'!E384,'Testo, JUM &amp; MRU Data'!U385,GDF))</f>
        <v/>
      </c>
      <c r="E391" s="981" t="str">
        <f>IF(D391="","",Conc2(D391,D$9,MolVol,D$21,D$20,E$21,E$20))</f>
        <v/>
      </c>
      <c r="F391" s="981" t="str">
        <f>IF(F$17=FALSE,"",GasData(GasAnalyser,'Horiba Data'!AQ384,'Testo, JUM &amp; MRU Data'!E385,'Thermo Data'!F384,'Testo, JUM &amp; MRU Data'!V385,GDF))</f>
        <v/>
      </c>
      <c r="G391" s="981" t="str">
        <f>IF(F391="","",Conc2(F391,F$9,MolVol,F$21,F$20,G$21,G$20))</f>
        <v/>
      </c>
      <c r="H391" s="981" t="str">
        <f>IF(D$17=FALSE,"",IF(F$17=FALSE,"",GasData(GasAnalyser,'Horiba Data'!W384,'Testo, JUM &amp; MRU Data'!F385,'Thermo Data'!G384,'Testo, JUM &amp; MRU Data'!Y385,GDF)))</f>
        <v/>
      </c>
      <c r="I391" s="981" t="str">
        <f>IF(H391="","",Conc2(H391,H$9,MolVol,H$21,H$20,I$21,I$20))</f>
        <v/>
      </c>
      <c r="J391" s="981" t="str">
        <f>IF(J$17=FALSE,"",GasData(GasAnalyser,'Horiba Data'!AM384,'Testo, JUM &amp; MRU Data'!G385,'Thermo Data'!H384,'Testo, JUM &amp; MRU Data'!W385,GDF))</f>
        <v/>
      </c>
      <c r="K391" s="981" t="str">
        <f>IF(J391="","",Conc2(J391,J$9,MolVol,J$21,J$20,K$21,K$20))</f>
        <v/>
      </c>
      <c r="L391" s="981" t="str">
        <f>IF(L$17=FALSE,"",GasData(GasAnalyser,'Horiba Data'!AA384,'Testo, JUM &amp; MRU Data'!H385,'Thermo Data'!I384,'Testo, JUM &amp; MRU Data'!T385,GDF))</f>
        <v/>
      </c>
      <c r="M391" s="981" t="str">
        <f>IF(L391="","",Conc2(L391,L$9,MolVol,L$21,L$20,M$21,M$20))</f>
        <v/>
      </c>
      <c r="N391" s="981" t="str">
        <f>IF(N$17=FALSE,"",GasData(GasAnalyser,'Horiba Data'!AE384,'Testo, JUM &amp; MRU Data'!I385,'Thermo Data'!J384,'Testo, JUM &amp; MRU Data'!S385,GDF))</f>
        <v/>
      </c>
      <c r="O391" s="981" t="str">
        <f>IF(N391="","",Conc2(N391,N$9,MolVol,N$21,N$20,O$21,O$20))</f>
        <v/>
      </c>
      <c r="P391" s="981" t="str">
        <f>IF(P$17=FALSE,"",GasData(GasAnalyser,'Horiba Data'!AI384,'Testo, JUM &amp; MRU Data'!J385,'Thermo Data'!K384,'Testo, JUM &amp; MRU Data'!R385,GDF))</f>
        <v/>
      </c>
      <c r="Q391" s="981" t="str">
        <f>IF(P391="","",Conc2(P391,P$9,MolVol,P$21,P$20,Q$21,Q$20))</f>
        <v/>
      </c>
      <c r="R391" s="981" t="str">
        <f>IF(R$17=FALSE,"",JUMData('Testo, JUM &amp; MRU Data'!M385,$R$7))</f>
        <v/>
      </c>
      <c r="S391" s="982" t="str">
        <f>IF(R391="","",Conc2(R391,R$9,MolVol,R$21,R$20,S$21,S$20)/(1-Bws))</f>
        <v/>
      </c>
      <c r="T391" s="740"/>
      <c r="AR391" s="334"/>
      <c r="AS391" s="334"/>
      <c r="AT391" s="48"/>
      <c r="AU391" s="48"/>
      <c r="AV391" s="153"/>
      <c r="AW391" s="153"/>
      <c r="AX391" s="153"/>
      <c r="AY391" s="153"/>
      <c r="AZ391" s="153"/>
      <c r="BA391" s="153"/>
      <c r="BB391" s="153"/>
      <c r="BC391" s="153"/>
      <c r="BD391" s="153"/>
      <c r="BE391" s="153"/>
      <c r="BF391" s="153"/>
      <c r="BG391" s="153"/>
      <c r="BH391" s="153"/>
      <c r="BI391" s="153"/>
      <c r="BJ391" s="153"/>
      <c r="BK391" s="153"/>
      <c r="BL391" s="153"/>
      <c r="BM391" s="153"/>
      <c r="BN391" s="153"/>
      <c r="BO391" s="153"/>
      <c r="BP391" s="153"/>
      <c r="BQ391" s="153"/>
      <c r="BR391" s="153"/>
      <c r="BS391" s="153"/>
      <c r="BT391" s="153"/>
      <c r="BU391" s="153"/>
      <c r="BV391" s="153"/>
      <c r="BW391" s="153"/>
      <c r="BX391" s="153"/>
      <c r="BY391" s="153"/>
      <c r="BZ391" s="153"/>
      <c r="CA391" s="153"/>
      <c r="CB391" s="153"/>
      <c r="CC391" s="153"/>
      <c r="CD391" s="153"/>
      <c r="CE391" s="153"/>
      <c r="CF391" s="153"/>
      <c r="CG391" s="153"/>
      <c r="CH391" s="153"/>
      <c r="CI391" s="153"/>
      <c r="CJ391" s="153"/>
      <c r="CK391" s="153"/>
      <c r="CL391" s="153"/>
      <c r="CM391" s="153"/>
      <c r="CN391" s="153"/>
      <c r="CO391" s="153"/>
      <c r="CP391" s="153"/>
      <c r="CQ391" s="153"/>
      <c r="CR391" s="153"/>
      <c r="CS391" s="153"/>
      <c r="CT391" s="153"/>
      <c r="CU391" s="153"/>
      <c r="CV391" s="153"/>
      <c r="CW391" s="153"/>
      <c r="CX391" s="153"/>
      <c r="CY391" s="153"/>
      <c r="CZ391" s="153"/>
      <c r="DA391" s="153"/>
      <c r="DB391" s="153"/>
      <c r="DC391" s="153"/>
      <c r="DD391" s="153"/>
      <c r="DE391" s="153"/>
      <c r="DF391" s="153"/>
      <c r="DG391" s="153"/>
      <c r="DH391" s="153"/>
      <c r="DI391" s="153"/>
      <c r="DJ391" s="153"/>
      <c r="DK391" s="153"/>
      <c r="DL391" s="153"/>
      <c r="DM391" s="153"/>
      <c r="DN391" s="153"/>
      <c r="DO391" s="153"/>
      <c r="DP391" s="153"/>
      <c r="DQ391" s="153"/>
      <c r="DR391" s="153"/>
      <c r="DS391" s="153"/>
      <c r="DT391" s="153"/>
      <c r="DU391" s="153"/>
      <c r="DV391" s="153"/>
      <c r="DW391" s="153"/>
      <c r="DX391" s="153"/>
      <c r="DY391" s="153"/>
      <c r="DZ391" s="153"/>
      <c r="EA391" s="153"/>
      <c r="EB391" s="153"/>
      <c r="EC391" s="153"/>
      <c r="ED391" s="153"/>
      <c r="EE391" s="153"/>
      <c r="EF391" s="153"/>
      <c r="EG391" s="153"/>
      <c r="EH391" s="153"/>
      <c r="EI391" s="153"/>
      <c r="EJ391" s="153"/>
      <c r="EK391" s="153"/>
      <c r="EL391" s="153"/>
      <c r="EM391" s="153"/>
    </row>
    <row r="392" spans="1:143" s="107" customFormat="1" ht="10.5" hidden="1" customHeight="1" outlineLevel="2">
      <c r="A392" s="1548">
        <v>367</v>
      </c>
      <c r="B392" s="1560" t="str">
        <f t="shared" si="7"/>
        <v/>
      </c>
      <c r="C392" s="161" t="str">
        <f>GasTime(GasAnalyser,'Horiba Data'!F385,'Horiba Data'!G385,'Testo, JUM &amp; MRU Data'!A386,'Thermo Data'!B385,HourOffset)</f>
        <v/>
      </c>
      <c r="D392" s="981" t="str">
        <f>IF(D$17=FALSE,"",GasData(GasAnalyser,'Horiba Data'!S385,'Testo, JUM &amp; MRU Data'!D386,'Thermo Data'!E385,'Testo, JUM &amp; MRU Data'!U386,GDF))</f>
        <v/>
      </c>
      <c r="E392" s="981" t="str">
        <f>IF(D392="","",Conc2(D392,D$9,MolVol,D$21,D$20,E$21,E$20))</f>
        <v/>
      </c>
      <c r="F392" s="981" t="str">
        <f>IF(F$17=FALSE,"",GasData(GasAnalyser,'Horiba Data'!AQ385,'Testo, JUM &amp; MRU Data'!E386,'Thermo Data'!F385,'Testo, JUM &amp; MRU Data'!V386,GDF))</f>
        <v/>
      </c>
      <c r="G392" s="981" t="str">
        <f>IF(F392="","",Conc2(F392,F$9,MolVol,F$21,F$20,G$21,G$20))</f>
        <v/>
      </c>
      <c r="H392" s="981" t="str">
        <f>IF(D$17=FALSE,"",IF(F$17=FALSE,"",GasData(GasAnalyser,'Horiba Data'!W385,'Testo, JUM &amp; MRU Data'!F386,'Thermo Data'!G385,'Testo, JUM &amp; MRU Data'!Y386,GDF)))</f>
        <v/>
      </c>
      <c r="I392" s="981" t="str">
        <f>IF(H392="","",Conc2(H392,H$9,MolVol,H$21,H$20,I$21,I$20))</f>
        <v/>
      </c>
      <c r="J392" s="981" t="str">
        <f>IF(J$17=FALSE,"",GasData(GasAnalyser,'Horiba Data'!AM385,'Testo, JUM &amp; MRU Data'!G386,'Thermo Data'!H385,'Testo, JUM &amp; MRU Data'!W386,GDF))</f>
        <v/>
      </c>
      <c r="K392" s="981" t="str">
        <f>IF(J392="","",Conc2(J392,J$9,MolVol,J$21,J$20,K$21,K$20))</f>
        <v/>
      </c>
      <c r="L392" s="981" t="str">
        <f>IF(L$17=FALSE,"",GasData(GasAnalyser,'Horiba Data'!AA385,'Testo, JUM &amp; MRU Data'!H386,'Thermo Data'!I385,'Testo, JUM &amp; MRU Data'!T386,GDF))</f>
        <v/>
      </c>
      <c r="M392" s="981" t="str">
        <f>IF(L392="","",Conc2(L392,L$9,MolVol,L$21,L$20,M$21,M$20))</f>
        <v/>
      </c>
      <c r="N392" s="981" t="str">
        <f>IF(N$17=FALSE,"",GasData(GasAnalyser,'Horiba Data'!AE385,'Testo, JUM &amp; MRU Data'!I386,'Thermo Data'!J385,'Testo, JUM &amp; MRU Data'!S386,GDF))</f>
        <v/>
      </c>
      <c r="O392" s="981" t="str">
        <f>IF(N392="","",Conc2(N392,N$9,MolVol,N$21,N$20,O$21,O$20))</f>
        <v/>
      </c>
      <c r="P392" s="981" t="str">
        <f>IF(P$17=FALSE,"",GasData(GasAnalyser,'Horiba Data'!AI385,'Testo, JUM &amp; MRU Data'!J386,'Thermo Data'!K385,'Testo, JUM &amp; MRU Data'!R386,GDF))</f>
        <v/>
      </c>
      <c r="Q392" s="981" t="str">
        <f>IF(P392="","",Conc2(P392,P$9,MolVol,P$21,P$20,Q$21,Q$20))</f>
        <v/>
      </c>
      <c r="R392" s="981" t="str">
        <f>IF(R$17=FALSE,"",JUMData('Testo, JUM &amp; MRU Data'!M386,$R$7))</f>
        <v/>
      </c>
      <c r="S392" s="982" t="str">
        <f>IF(R392="","",Conc2(R392,R$9,MolVol,R$21,R$20,S$21,S$20)/(1-Bws))</f>
        <v/>
      </c>
      <c r="T392" s="740"/>
      <c r="AR392" s="334"/>
      <c r="AS392" s="334"/>
      <c r="AT392" s="48"/>
      <c r="AU392" s="48"/>
      <c r="AV392" s="153"/>
      <c r="AW392" s="153"/>
      <c r="AX392" s="153"/>
      <c r="AY392" s="153"/>
      <c r="AZ392" s="153"/>
      <c r="BA392" s="153"/>
      <c r="BB392" s="153"/>
      <c r="BC392" s="153"/>
      <c r="BD392" s="153"/>
      <c r="BE392" s="153"/>
      <c r="BF392" s="153"/>
      <c r="BG392" s="153"/>
      <c r="BH392" s="153"/>
      <c r="BI392" s="153"/>
      <c r="BJ392" s="153"/>
      <c r="BK392" s="153"/>
      <c r="BL392" s="153"/>
      <c r="BM392" s="153"/>
      <c r="BN392" s="153"/>
      <c r="BO392" s="153"/>
      <c r="BP392" s="153"/>
      <c r="BQ392" s="153"/>
      <c r="BR392" s="153"/>
      <c r="BS392" s="153"/>
      <c r="BT392" s="153"/>
      <c r="BU392" s="153"/>
      <c r="BV392" s="153"/>
      <c r="BW392" s="153"/>
      <c r="BX392" s="153"/>
      <c r="BY392" s="153"/>
      <c r="BZ392" s="153"/>
      <c r="CA392" s="153"/>
      <c r="CB392" s="153"/>
      <c r="CC392" s="153"/>
      <c r="CD392" s="153"/>
      <c r="CE392" s="153"/>
      <c r="CF392" s="153"/>
      <c r="CG392" s="153"/>
      <c r="CH392" s="153"/>
      <c r="CI392" s="153"/>
      <c r="CJ392" s="153"/>
      <c r="CK392" s="153"/>
      <c r="CL392" s="153"/>
      <c r="CM392" s="153"/>
      <c r="CN392" s="153"/>
      <c r="CO392" s="153"/>
      <c r="CP392" s="153"/>
      <c r="CQ392" s="153"/>
      <c r="CR392" s="153"/>
      <c r="CS392" s="153"/>
      <c r="CT392" s="153"/>
      <c r="CU392" s="153"/>
      <c r="CV392" s="153"/>
      <c r="CW392" s="153"/>
      <c r="CX392" s="153"/>
      <c r="CY392" s="153"/>
      <c r="CZ392" s="153"/>
      <c r="DA392" s="153"/>
      <c r="DB392" s="153"/>
      <c r="DC392" s="153"/>
      <c r="DD392" s="153"/>
      <c r="DE392" s="153"/>
      <c r="DF392" s="153"/>
      <c r="DG392" s="153"/>
      <c r="DH392" s="153"/>
      <c r="DI392" s="153"/>
      <c r="DJ392" s="153"/>
      <c r="DK392" s="153"/>
      <c r="DL392" s="153"/>
      <c r="DM392" s="153"/>
      <c r="DN392" s="153"/>
      <c r="DO392" s="153"/>
      <c r="DP392" s="153"/>
      <c r="DQ392" s="153"/>
      <c r="DR392" s="153"/>
      <c r="DS392" s="153"/>
      <c r="DT392" s="153"/>
      <c r="DU392" s="153"/>
      <c r="DV392" s="153"/>
      <c r="DW392" s="153"/>
      <c r="DX392" s="153"/>
      <c r="DY392" s="153"/>
      <c r="DZ392" s="153"/>
      <c r="EA392" s="153"/>
      <c r="EB392" s="153"/>
      <c r="EC392" s="153"/>
      <c r="ED392" s="153"/>
      <c r="EE392" s="153"/>
      <c r="EF392" s="153"/>
      <c r="EG392" s="153"/>
      <c r="EH392" s="153"/>
      <c r="EI392" s="153"/>
      <c r="EJ392" s="153"/>
      <c r="EK392" s="153"/>
      <c r="EL392" s="153"/>
      <c r="EM392" s="153"/>
    </row>
    <row r="393" spans="1:143" s="107" customFormat="1" ht="10.5" hidden="1" customHeight="1" outlineLevel="2">
      <c r="A393" s="1548">
        <v>368</v>
      </c>
      <c r="B393" s="1560" t="str">
        <f t="shared" si="7"/>
        <v/>
      </c>
      <c r="C393" s="161" t="str">
        <f>GasTime(GasAnalyser,'Horiba Data'!F386,'Horiba Data'!G386,'Testo, JUM &amp; MRU Data'!A387,'Thermo Data'!B386,HourOffset)</f>
        <v/>
      </c>
      <c r="D393" s="981" t="str">
        <f>IF(D$17=FALSE,"",GasData(GasAnalyser,'Horiba Data'!S386,'Testo, JUM &amp; MRU Data'!D387,'Thermo Data'!E386,'Testo, JUM &amp; MRU Data'!U387,GDF))</f>
        <v/>
      </c>
      <c r="E393" s="981" t="str">
        <f>IF(D393="","",Conc2(D393,D$9,MolVol,D$21,D$20,E$21,E$20))</f>
        <v/>
      </c>
      <c r="F393" s="981" t="str">
        <f>IF(F$17=FALSE,"",GasData(GasAnalyser,'Horiba Data'!AQ386,'Testo, JUM &amp; MRU Data'!E387,'Thermo Data'!F386,'Testo, JUM &amp; MRU Data'!V387,GDF))</f>
        <v/>
      </c>
      <c r="G393" s="981" t="str">
        <f>IF(F393="","",Conc2(F393,F$9,MolVol,F$21,F$20,G$21,G$20))</f>
        <v/>
      </c>
      <c r="H393" s="981" t="str">
        <f>IF(D$17=FALSE,"",IF(F$17=FALSE,"",GasData(GasAnalyser,'Horiba Data'!W386,'Testo, JUM &amp; MRU Data'!F387,'Thermo Data'!G386,'Testo, JUM &amp; MRU Data'!Y387,GDF)))</f>
        <v/>
      </c>
      <c r="I393" s="981" t="str">
        <f>IF(H393="","",Conc2(H393,H$9,MolVol,H$21,H$20,I$21,I$20))</f>
        <v/>
      </c>
      <c r="J393" s="981" t="str">
        <f>IF(J$17=FALSE,"",GasData(GasAnalyser,'Horiba Data'!AM386,'Testo, JUM &amp; MRU Data'!G387,'Thermo Data'!H386,'Testo, JUM &amp; MRU Data'!W387,GDF))</f>
        <v/>
      </c>
      <c r="K393" s="981" t="str">
        <f>IF(J393="","",Conc2(J393,J$9,MolVol,J$21,J$20,K$21,K$20))</f>
        <v/>
      </c>
      <c r="L393" s="981" t="str">
        <f>IF(L$17=FALSE,"",GasData(GasAnalyser,'Horiba Data'!AA386,'Testo, JUM &amp; MRU Data'!H387,'Thermo Data'!I386,'Testo, JUM &amp; MRU Data'!T387,GDF))</f>
        <v/>
      </c>
      <c r="M393" s="981" t="str">
        <f>IF(L393="","",Conc2(L393,L$9,MolVol,L$21,L$20,M$21,M$20))</f>
        <v/>
      </c>
      <c r="N393" s="981" t="str">
        <f>IF(N$17=FALSE,"",GasData(GasAnalyser,'Horiba Data'!AE386,'Testo, JUM &amp; MRU Data'!I387,'Thermo Data'!J386,'Testo, JUM &amp; MRU Data'!S387,GDF))</f>
        <v/>
      </c>
      <c r="O393" s="981" t="str">
        <f>IF(N393="","",Conc2(N393,N$9,MolVol,N$21,N$20,O$21,O$20))</f>
        <v/>
      </c>
      <c r="P393" s="981" t="str">
        <f>IF(P$17=FALSE,"",GasData(GasAnalyser,'Horiba Data'!AI386,'Testo, JUM &amp; MRU Data'!J387,'Thermo Data'!K386,'Testo, JUM &amp; MRU Data'!R387,GDF))</f>
        <v/>
      </c>
      <c r="Q393" s="981" t="str">
        <f>IF(P393="","",Conc2(P393,P$9,MolVol,P$21,P$20,Q$21,Q$20))</f>
        <v/>
      </c>
      <c r="R393" s="981" t="str">
        <f>IF(R$17=FALSE,"",JUMData('Testo, JUM &amp; MRU Data'!M387,$R$7))</f>
        <v/>
      </c>
      <c r="S393" s="982" t="str">
        <f>IF(R393="","",Conc2(R393,R$9,MolVol,R$21,R$20,S$21,S$20)/(1-Bws))</f>
        <v/>
      </c>
      <c r="T393" s="740"/>
      <c r="AR393" s="334"/>
      <c r="AS393" s="334"/>
      <c r="AT393" s="48"/>
      <c r="AU393" s="48"/>
      <c r="AV393" s="153"/>
      <c r="AW393" s="153"/>
      <c r="AX393" s="153"/>
      <c r="AY393" s="153"/>
      <c r="AZ393" s="153"/>
      <c r="BA393" s="153"/>
      <c r="BB393" s="153"/>
      <c r="BC393" s="153"/>
      <c r="BD393" s="153"/>
      <c r="BE393" s="153"/>
      <c r="BF393" s="153"/>
      <c r="BG393" s="153"/>
      <c r="BH393" s="153"/>
      <c r="BI393" s="153"/>
      <c r="BJ393" s="153"/>
      <c r="BK393" s="153"/>
      <c r="BL393" s="153"/>
      <c r="BM393" s="153"/>
      <c r="BN393" s="153"/>
      <c r="BO393" s="153"/>
      <c r="BP393" s="153"/>
      <c r="BQ393" s="153"/>
      <c r="BR393" s="153"/>
      <c r="BS393" s="153"/>
      <c r="BT393" s="153"/>
      <c r="BU393" s="153"/>
      <c r="BV393" s="153"/>
      <c r="BW393" s="153"/>
      <c r="BX393" s="153"/>
      <c r="BY393" s="153"/>
      <c r="BZ393" s="153"/>
      <c r="CA393" s="153"/>
      <c r="CB393" s="153"/>
      <c r="CC393" s="153"/>
      <c r="CD393" s="153"/>
      <c r="CE393" s="153"/>
      <c r="CF393" s="153"/>
      <c r="CG393" s="153"/>
      <c r="CH393" s="153"/>
      <c r="CI393" s="153"/>
      <c r="CJ393" s="153"/>
      <c r="CK393" s="153"/>
      <c r="CL393" s="153"/>
      <c r="CM393" s="153"/>
      <c r="CN393" s="153"/>
      <c r="CO393" s="153"/>
      <c r="CP393" s="153"/>
      <c r="CQ393" s="153"/>
      <c r="CR393" s="153"/>
      <c r="CS393" s="153"/>
      <c r="CT393" s="153"/>
      <c r="CU393" s="153"/>
      <c r="CV393" s="153"/>
      <c r="CW393" s="153"/>
      <c r="CX393" s="153"/>
      <c r="CY393" s="153"/>
      <c r="CZ393" s="153"/>
      <c r="DA393" s="153"/>
      <c r="DB393" s="153"/>
      <c r="DC393" s="153"/>
      <c r="DD393" s="153"/>
      <c r="DE393" s="153"/>
      <c r="DF393" s="153"/>
      <c r="DG393" s="153"/>
      <c r="DH393" s="153"/>
      <c r="DI393" s="153"/>
      <c r="DJ393" s="153"/>
      <c r="DK393" s="153"/>
      <c r="DL393" s="153"/>
      <c r="DM393" s="153"/>
      <c r="DN393" s="153"/>
      <c r="DO393" s="153"/>
      <c r="DP393" s="153"/>
      <c r="DQ393" s="153"/>
      <c r="DR393" s="153"/>
      <c r="DS393" s="153"/>
      <c r="DT393" s="153"/>
      <c r="DU393" s="153"/>
      <c r="DV393" s="153"/>
      <c r="DW393" s="153"/>
      <c r="DX393" s="153"/>
      <c r="DY393" s="153"/>
      <c r="DZ393" s="153"/>
      <c r="EA393" s="153"/>
      <c r="EB393" s="153"/>
      <c r="EC393" s="153"/>
      <c r="ED393" s="153"/>
      <c r="EE393" s="153"/>
      <c r="EF393" s="153"/>
      <c r="EG393" s="153"/>
      <c r="EH393" s="153"/>
      <c r="EI393" s="153"/>
      <c r="EJ393" s="153"/>
      <c r="EK393" s="153"/>
      <c r="EL393" s="153"/>
      <c r="EM393" s="153"/>
    </row>
    <row r="394" spans="1:143" s="107" customFormat="1" ht="10.5" hidden="1" customHeight="1" outlineLevel="2">
      <c r="A394" s="1548">
        <v>369</v>
      </c>
      <c r="B394" s="1560" t="str">
        <f t="shared" si="7"/>
        <v/>
      </c>
      <c r="C394" s="161" t="str">
        <f>GasTime(GasAnalyser,'Horiba Data'!F387,'Horiba Data'!G387,'Testo, JUM &amp; MRU Data'!A388,'Thermo Data'!B387,HourOffset)</f>
        <v/>
      </c>
      <c r="D394" s="981" t="str">
        <f>IF(D$17=FALSE,"",GasData(GasAnalyser,'Horiba Data'!S387,'Testo, JUM &amp; MRU Data'!D388,'Thermo Data'!E387,'Testo, JUM &amp; MRU Data'!U388,GDF))</f>
        <v/>
      </c>
      <c r="E394" s="981" t="str">
        <f>IF(D394="","",Conc2(D394,D$9,MolVol,D$21,D$20,E$21,E$20))</f>
        <v/>
      </c>
      <c r="F394" s="981" t="str">
        <f>IF(F$17=FALSE,"",GasData(GasAnalyser,'Horiba Data'!AQ387,'Testo, JUM &amp; MRU Data'!E388,'Thermo Data'!F387,'Testo, JUM &amp; MRU Data'!V388,GDF))</f>
        <v/>
      </c>
      <c r="G394" s="981" t="str">
        <f>IF(F394="","",Conc2(F394,F$9,MolVol,F$21,F$20,G$21,G$20))</f>
        <v/>
      </c>
      <c r="H394" s="981" t="str">
        <f>IF(D$17=FALSE,"",IF(F$17=FALSE,"",GasData(GasAnalyser,'Horiba Data'!W387,'Testo, JUM &amp; MRU Data'!F388,'Thermo Data'!G387,'Testo, JUM &amp; MRU Data'!Y388,GDF)))</f>
        <v/>
      </c>
      <c r="I394" s="981" t="str">
        <f>IF(H394="","",Conc2(H394,H$9,MolVol,H$21,H$20,I$21,I$20))</f>
        <v/>
      </c>
      <c r="J394" s="981" t="str">
        <f>IF(J$17=FALSE,"",GasData(GasAnalyser,'Horiba Data'!AM387,'Testo, JUM &amp; MRU Data'!G388,'Thermo Data'!H387,'Testo, JUM &amp; MRU Data'!W388,GDF))</f>
        <v/>
      </c>
      <c r="K394" s="981" t="str">
        <f>IF(J394="","",Conc2(J394,J$9,MolVol,J$21,J$20,K$21,K$20))</f>
        <v/>
      </c>
      <c r="L394" s="981" t="str">
        <f>IF(L$17=FALSE,"",GasData(GasAnalyser,'Horiba Data'!AA387,'Testo, JUM &amp; MRU Data'!H388,'Thermo Data'!I387,'Testo, JUM &amp; MRU Data'!T388,GDF))</f>
        <v/>
      </c>
      <c r="M394" s="981" t="str">
        <f>IF(L394="","",Conc2(L394,L$9,MolVol,L$21,L$20,M$21,M$20))</f>
        <v/>
      </c>
      <c r="N394" s="981" t="str">
        <f>IF(N$17=FALSE,"",GasData(GasAnalyser,'Horiba Data'!AE387,'Testo, JUM &amp; MRU Data'!I388,'Thermo Data'!J387,'Testo, JUM &amp; MRU Data'!S388,GDF))</f>
        <v/>
      </c>
      <c r="O394" s="981" t="str">
        <f>IF(N394="","",Conc2(N394,N$9,MolVol,N$21,N$20,O$21,O$20))</f>
        <v/>
      </c>
      <c r="P394" s="981" t="str">
        <f>IF(P$17=FALSE,"",GasData(GasAnalyser,'Horiba Data'!AI387,'Testo, JUM &amp; MRU Data'!J388,'Thermo Data'!K387,'Testo, JUM &amp; MRU Data'!R388,GDF))</f>
        <v/>
      </c>
      <c r="Q394" s="981" t="str">
        <f>IF(P394="","",Conc2(P394,P$9,MolVol,P$21,P$20,Q$21,Q$20))</f>
        <v/>
      </c>
      <c r="R394" s="981" t="str">
        <f>IF(R$17=FALSE,"",JUMData('Testo, JUM &amp; MRU Data'!M388,$R$7))</f>
        <v/>
      </c>
      <c r="S394" s="982" t="str">
        <f>IF(R394="","",Conc2(R394,R$9,MolVol,R$21,R$20,S$21,S$20)/(1-Bws))</f>
        <v/>
      </c>
      <c r="T394" s="740"/>
      <c r="AR394" s="334"/>
      <c r="AS394" s="334"/>
      <c r="AT394" s="48"/>
      <c r="AU394" s="48"/>
      <c r="AV394" s="153"/>
      <c r="AW394" s="153"/>
      <c r="AX394" s="153"/>
      <c r="AY394" s="153"/>
      <c r="AZ394" s="153"/>
      <c r="BA394" s="153"/>
      <c r="BB394" s="153"/>
      <c r="BC394" s="153"/>
      <c r="BD394" s="153"/>
      <c r="BE394" s="153"/>
      <c r="BF394" s="153"/>
      <c r="BG394" s="153"/>
      <c r="BH394" s="153"/>
      <c r="BI394" s="153"/>
      <c r="BJ394" s="153"/>
      <c r="BK394" s="153"/>
      <c r="BL394" s="153"/>
      <c r="BM394" s="153"/>
      <c r="BN394" s="153"/>
      <c r="BO394" s="153"/>
      <c r="BP394" s="153"/>
      <c r="BQ394" s="153"/>
      <c r="BR394" s="153"/>
      <c r="BS394" s="153"/>
      <c r="BT394" s="153"/>
      <c r="BU394" s="153"/>
      <c r="BV394" s="153"/>
      <c r="BW394" s="153"/>
      <c r="BX394" s="153"/>
      <c r="BY394" s="153"/>
      <c r="BZ394" s="153"/>
      <c r="CA394" s="153"/>
      <c r="CB394" s="153"/>
      <c r="CC394" s="153"/>
      <c r="CD394" s="153"/>
      <c r="CE394" s="153"/>
      <c r="CF394" s="153"/>
      <c r="CG394" s="153"/>
      <c r="CH394" s="153"/>
      <c r="CI394" s="153"/>
      <c r="CJ394" s="153"/>
      <c r="CK394" s="153"/>
      <c r="CL394" s="153"/>
      <c r="CM394" s="153"/>
      <c r="CN394" s="153"/>
      <c r="CO394" s="153"/>
      <c r="CP394" s="153"/>
      <c r="CQ394" s="153"/>
      <c r="CR394" s="153"/>
      <c r="CS394" s="153"/>
      <c r="CT394" s="153"/>
      <c r="CU394" s="153"/>
      <c r="CV394" s="153"/>
      <c r="CW394" s="153"/>
      <c r="CX394" s="153"/>
      <c r="CY394" s="153"/>
      <c r="CZ394" s="153"/>
      <c r="DA394" s="153"/>
      <c r="DB394" s="153"/>
      <c r="DC394" s="153"/>
      <c r="DD394" s="153"/>
      <c r="DE394" s="153"/>
      <c r="DF394" s="153"/>
      <c r="DG394" s="153"/>
      <c r="DH394" s="153"/>
      <c r="DI394" s="153"/>
      <c r="DJ394" s="153"/>
      <c r="DK394" s="153"/>
      <c r="DL394" s="153"/>
      <c r="DM394" s="153"/>
      <c r="DN394" s="153"/>
      <c r="DO394" s="153"/>
      <c r="DP394" s="153"/>
      <c r="DQ394" s="153"/>
      <c r="DR394" s="153"/>
      <c r="DS394" s="153"/>
      <c r="DT394" s="153"/>
      <c r="DU394" s="153"/>
      <c r="DV394" s="153"/>
      <c r="DW394" s="153"/>
      <c r="DX394" s="153"/>
      <c r="DY394" s="153"/>
      <c r="DZ394" s="153"/>
      <c r="EA394" s="153"/>
      <c r="EB394" s="153"/>
      <c r="EC394" s="153"/>
      <c r="ED394" s="153"/>
      <c r="EE394" s="153"/>
      <c r="EF394" s="153"/>
      <c r="EG394" s="153"/>
      <c r="EH394" s="153"/>
      <c r="EI394" s="153"/>
      <c r="EJ394" s="153"/>
      <c r="EK394" s="153"/>
      <c r="EL394" s="153"/>
      <c r="EM394" s="153"/>
    </row>
    <row r="395" spans="1:143" s="107" customFormat="1" ht="10.5" hidden="1" customHeight="1" outlineLevel="2">
      <c r="A395" s="1548">
        <v>370</v>
      </c>
      <c r="B395" s="1560" t="str">
        <f t="shared" si="7"/>
        <v/>
      </c>
      <c r="C395" s="161" t="str">
        <f>GasTime(GasAnalyser,'Horiba Data'!F388,'Horiba Data'!G388,'Testo, JUM &amp; MRU Data'!A389,'Thermo Data'!B388,HourOffset)</f>
        <v/>
      </c>
      <c r="D395" s="981" t="str">
        <f>IF(D$17=FALSE,"",GasData(GasAnalyser,'Horiba Data'!S388,'Testo, JUM &amp; MRU Data'!D389,'Thermo Data'!E388,'Testo, JUM &amp; MRU Data'!U389,GDF))</f>
        <v/>
      </c>
      <c r="E395" s="981" t="str">
        <f>IF(D395="","",Conc2(D395,D$9,MolVol,D$21,D$20,E$21,E$20))</f>
        <v/>
      </c>
      <c r="F395" s="981" t="str">
        <f>IF(F$17=FALSE,"",GasData(GasAnalyser,'Horiba Data'!AQ388,'Testo, JUM &amp; MRU Data'!E389,'Thermo Data'!F388,'Testo, JUM &amp; MRU Data'!V389,GDF))</f>
        <v/>
      </c>
      <c r="G395" s="981" t="str">
        <f>IF(F395="","",Conc2(F395,F$9,MolVol,F$21,F$20,G$21,G$20))</f>
        <v/>
      </c>
      <c r="H395" s="981" t="str">
        <f>IF(D$17=FALSE,"",IF(F$17=FALSE,"",GasData(GasAnalyser,'Horiba Data'!W388,'Testo, JUM &amp; MRU Data'!F389,'Thermo Data'!G388,'Testo, JUM &amp; MRU Data'!Y389,GDF)))</f>
        <v/>
      </c>
      <c r="I395" s="981" t="str">
        <f>IF(H395="","",Conc2(H395,H$9,MolVol,H$21,H$20,I$21,I$20))</f>
        <v/>
      </c>
      <c r="J395" s="981" t="str">
        <f>IF(J$17=FALSE,"",GasData(GasAnalyser,'Horiba Data'!AM388,'Testo, JUM &amp; MRU Data'!G389,'Thermo Data'!H388,'Testo, JUM &amp; MRU Data'!W389,GDF))</f>
        <v/>
      </c>
      <c r="K395" s="981" t="str">
        <f>IF(J395="","",Conc2(J395,J$9,MolVol,J$21,J$20,K$21,K$20))</f>
        <v/>
      </c>
      <c r="L395" s="981" t="str">
        <f>IF(L$17=FALSE,"",GasData(GasAnalyser,'Horiba Data'!AA388,'Testo, JUM &amp; MRU Data'!H389,'Thermo Data'!I388,'Testo, JUM &amp; MRU Data'!T389,GDF))</f>
        <v/>
      </c>
      <c r="M395" s="981" t="str">
        <f>IF(L395="","",Conc2(L395,L$9,MolVol,L$21,L$20,M$21,M$20))</f>
        <v/>
      </c>
      <c r="N395" s="981" t="str">
        <f>IF(N$17=FALSE,"",GasData(GasAnalyser,'Horiba Data'!AE388,'Testo, JUM &amp; MRU Data'!I389,'Thermo Data'!J388,'Testo, JUM &amp; MRU Data'!S389,GDF))</f>
        <v/>
      </c>
      <c r="O395" s="981" t="str">
        <f>IF(N395="","",Conc2(N395,N$9,MolVol,N$21,N$20,O$21,O$20))</f>
        <v/>
      </c>
      <c r="P395" s="981" t="str">
        <f>IF(P$17=FALSE,"",GasData(GasAnalyser,'Horiba Data'!AI388,'Testo, JUM &amp; MRU Data'!J389,'Thermo Data'!K388,'Testo, JUM &amp; MRU Data'!R389,GDF))</f>
        <v/>
      </c>
      <c r="Q395" s="981" t="str">
        <f>IF(P395="","",Conc2(P395,P$9,MolVol,P$21,P$20,Q$21,Q$20))</f>
        <v/>
      </c>
      <c r="R395" s="981" t="str">
        <f>IF(R$17=FALSE,"",JUMData('Testo, JUM &amp; MRU Data'!M389,$R$7))</f>
        <v/>
      </c>
      <c r="S395" s="982" t="str">
        <f>IF(R395="","",Conc2(R395,R$9,MolVol,R$21,R$20,S$21,S$20)/(1-Bws))</f>
        <v/>
      </c>
      <c r="T395" s="740"/>
      <c r="AR395" s="334"/>
      <c r="AS395" s="334"/>
      <c r="AT395" s="48"/>
      <c r="AU395" s="48"/>
      <c r="AV395" s="153"/>
      <c r="AW395" s="153"/>
      <c r="AX395" s="153"/>
      <c r="AY395" s="153"/>
      <c r="AZ395" s="153"/>
      <c r="BA395" s="153"/>
      <c r="BB395" s="153"/>
      <c r="BC395" s="153"/>
      <c r="BD395" s="153"/>
      <c r="BE395" s="153"/>
      <c r="BF395" s="153"/>
      <c r="BG395" s="153"/>
      <c r="BH395" s="153"/>
      <c r="BI395" s="153"/>
      <c r="BJ395" s="153"/>
      <c r="BK395" s="153"/>
      <c r="BL395" s="153"/>
      <c r="BM395" s="153"/>
      <c r="BN395" s="153"/>
      <c r="BO395" s="153"/>
      <c r="BP395" s="153"/>
      <c r="BQ395" s="153"/>
      <c r="BR395" s="153"/>
      <c r="BS395" s="153"/>
      <c r="BT395" s="153"/>
      <c r="BU395" s="153"/>
      <c r="BV395" s="153"/>
      <c r="BW395" s="153"/>
      <c r="BX395" s="153"/>
      <c r="BY395" s="153"/>
      <c r="BZ395" s="153"/>
      <c r="CA395" s="153"/>
      <c r="CB395" s="153"/>
      <c r="CC395" s="153"/>
      <c r="CD395" s="153"/>
      <c r="CE395" s="153"/>
      <c r="CF395" s="153"/>
      <c r="CG395" s="153"/>
      <c r="CH395" s="153"/>
      <c r="CI395" s="153"/>
      <c r="CJ395" s="153"/>
      <c r="CK395" s="153"/>
      <c r="CL395" s="153"/>
      <c r="CM395" s="153"/>
      <c r="CN395" s="153"/>
      <c r="CO395" s="153"/>
      <c r="CP395" s="153"/>
      <c r="CQ395" s="153"/>
      <c r="CR395" s="153"/>
      <c r="CS395" s="153"/>
      <c r="CT395" s="153"/>
      <c r="CU395" s="153"/>
      <c r="CV395" s="153"/>
      <c r="CW395" s="153"/>
      <c r="CX395" s="153"/>
      <c r="CY395" s="153"/>
      <c r="CZ395" s="153"/>
      <c r="DA395" s="153"/>
      <c r="DB395" s="153"/>
      <c r="DC395" s="153"/>
      <c r="DD395" s="153"/>
      <c r="DE395" s="153"/>
      <c r="DF395" s="153"/>
      <c r="DG395" s="153"/>
      <c r="DH395" s="153"/>
      <c r="DI395" s="153"/>
      <c r="DJ395" s="153"/>
      <c r="DK395" s="153"/>
      <c r="DL395" s="153"/>
      <c r="DM395" s="153"/>
      <c r="DN395" s="153"/>
      <c r="DO395" s="153"/>
      <c r="DP395" s="153"/>
      <c r="DQ395" s="153"/>
      <c r="DR395" s="153"/>
      <c r="DS395" s="153"/>
      <c r="DT395" s="153"/>
      <c r="DU395" s="153"/>
      <c r="DV395" s="153"/>
      <c r="DW395" s="153"/>
      <c r="DX395" s="153"/>
      <c r="DY395" s="153"/>
      <c r="DZ395" s="153"/>
      <c r="EA395" s="153"/>
      <c r="EB395" s="153"/>
      <c r="EC395" s="153"/>
      <c r="ED395" s="153"/>
      <c r="EE395" s="153"/>
      <c r="EF395" s="153"/>
      <c r="EG395" s="153"/>
      <c r="EH395" s="153"/>
      <c r="EI395" s="153"/>
      <c r="EJ395" s="153"/>
      <c r="EK395" s="153"/>
      <c r="EL395" s="153"/>
      <c r="EM395" s="153"/>
    </row>
    <row r="396" spans="1:143" s="107" customFormat="1" ht="10.5" hidden="1" customHeight="1" outlineLevel="2">
      <c r="A396" s="1548">
        <v>371</v>
      </c>
      <c r="B396" s="1560" t="str">
        <f t="shared" si="7"/>
        <v/>
      </c>
      <c r="C396" s="161" t="str">
        <f>GasTime(GasAnalyser,'Horiba Data'!F389,'Horiba Data'!G389,'Testo, JUM &amp; MRU Data'!A390,'Thermo Data'!B389,HourOffset)</f>
        <v/>
      </c>
      <c r="D396" s="981" t="str">
        <f>IF(D$17=FALSE,"",GasData(GasAnalyser,'Horiba Data'!S389,'Testo, JUM &amp; MRU Data'!D390,'Thermo Data'!E389,'Testo, JUM &amp; MRU Data'!U390,GDF))</f>
        <v/>
      </c>
      <c r="E396" s="981" t="str">
        <f>IF(D396="","",Conc2(D396,D$9,MolVol,D$21,D$20,E$21,E$20))</f>
        <v/>
      </c>
      <c r="F396" s="981" t="str">
        <f>IF(F$17=FALSE,"",GasData(GasAnalyser,'Horiba Data'!AQ389,'Testo, JUM &amp; MRU Data'!E390,'Thermo Data'!F389,'Testo, JUM &amp; MRU Data'!V390,GDF))</f>
        <v/>
      </c>
      <c r="G396" s="981" t="str">
        <f>IF(F396="","",Conc2(F396,F$9,MolVol,F$21,F$20,G$21,G$20))</f>
        <v/>
      </c>
      <c r="H396" s="981" t="str">
        <f>IF(D$17=FALSE,"",IF(F$17=FALSE,"",GasData(GasAnalyser,'Horiba Data'!W389,'Testo, JUM &amp; MRU Data'!F390,'Thermo Data'!G389,'Testo, JUM &amp; MRU Data'!Y390,GDF)))</f>
        <v/>
      </c>
      <c r="I396" s="981" t="str">
        <f>IF(H396="","",Conc2(H396,H$9,MolVol,H$21,H$20,I$21,I$20))</f>
        <v/>
      </c>
      <c r="J396" s="981" t="str">
        <f>IF(J$17=FALSE,"",GasData(GasAnalyser,'Horiba Data'!AM389,'Testo, JUM &amp; MRU Data'!G390,'Thermo Data'!H389,'Testo, JUM &amp; MRU Data'!W390,GDF))</f>
        <v/>
      </c>
      <c r="K396" s="981" t="str">
        <f>IF(J396="","",Conc2(J396,J$9,MolVol,J$21,J$20,K$21,K$20))</f>
        <v/>
      </c>
      <c r="L396" s="981" t="str">
        <f>IF(L$17=FALSE,"",GasData(GasAnalyser,'Horiba Data'!AA389,'Testo, JUM &amp; MRU Data'!H390,'Thermo Data'!I389,'Testo, JUM &amp; MRU Data'!T390,GDF))</f>
        <v/>
      </c>
      <c r="M396" s="981" t="str">
        <f>IF(L396="","",Conc2(L396,L$9,MolVol,L$21,L$20,M$21,M$20))</f>
        <v/>
      </c>
      <c r="N396" s="981" t="str">
        <f>IF(N$17=FALSE,"",GasData(GasAnalyser,'Horiba Data'!AE389,'Testo, JUM &amp; MRU Data'!I390,'Thermo Data'!J389,'Testo, JUM &amp; MRU Data'!S390,GDF))</f>
        <v/>
      </c>
      <c r="O396" s="981" t="str">
        <f>IF(N396="","",Conc2(N396,N$9,MolVol,N$21,N$20,O$21,O$20))</f>
        <v/>
      </c>
      <c r="P396" s="981" t="str">
        <f>IF(P$17=FALSE,"",GasData(GasAnalyser,'Horiba Data'!AI389,'Testo, JUM &amp; MRU Data'!J390,'Thermo Data'!K389,'Testo, JUM &amp; MRU Data'!R390,GDF))</f>
        <v/>
      </c>
      <c r="Q396" s="981" t="str">
        <f>IF(P396="","",Conc2(P396,P$9,MolVol,P$21,P$20,Q$21,Q$20))</f>
        <v/>
      </c>
      <c r="R396" s="981" t="str">
        <f>IF(R$17=FALSE,"",JUMData('Testo, JUM &amp; MRU Data'!M390,$R$7))</f>
        <v/>
      </c>
      <c r="S396" s="982" t="str">
        <f>IF(R396="","",Conc2(R396,R$9,MolVol,R$21,R$20,S$21,S$20)/(1-Bws))</f>
        <v/>
      </c>
      <c r="T396" s="740"/>
      <c r="AR396" s="334"/>
      <c r="AS396" s="334"/>
      <c r="AT396" s="48"/>
      <c r="AU396" s="48"/>
      <c r="AV396" s="153"/>
      <c r="AW396" s="153"/>
      <c r="AX396" s="153"/>
      <c r="AY396" s="153"/>
      <c r="AZ396" s="153"/>
      <c r="BA396" s="153"/>
      <c r="BB396" s="153"/>
      <c r="BC396" s="153"/>
      <c r="BD396" s="153"/>
      <c r="BE396" s="153"/>
      <c r="BF396" s="153"/>
      <c r="BG396" s="153"/>
      <c r="BH396" s="153"/>
      <c r="BI396" s="153"/>
      <c r="BJ396" s="153"/>
      <c r="BK396" s="153"/>
      <c r="BL396" s="153"/>
      <c r="BM396" s="153"/>
      <c r="BN396" s="153"/>
      <c r="BO396" s="153"/>
      <c r="BP396" s="153"/>
      <c r="BQ396" s="153"/>
      <c r="BR396" s="153"/>
      <c r="BS396" s="153"/>
      <c r="BT396" s="153"/>
      <c r="BU396" s="153"/>
      <c r="BV396" s="153"/>
      <c r="BW396" s="153"/>
      <c r="BX396" s="153"/>
      <c r="BY396" s="153"/>
      <c r="BZ396" s="153"/>
      <c r="CA396" s="153"/>
      <c r="CB396" s="153"/>
      <c r="CC396" s="153"/>
      <c r="CD396" s="153"/>
      <c r="CE396" s="153"/>
      <c r="CF396" s="153"/>
      <c r="CG396" s="153"/>
      <c r="CH396" s="153"/>
      <c r="CI396" s="153"/>
      <c r="CJ396" s="153"/>
      <c r="CK396" s="153"/>
      <c r="CL396" s="153"/>
      <c r="CM396" s="153"/>
      <c r="CN396" s="153"/>
      <c r="CO396" s="153"/>
      <c r="CP396" s="153"/>
      <c r="CQ396" s="153"/>
      <c r="CR396" s="153"/>
      <c r="CS396" s="153"/>
      <c r="CT396" s="153"/>
      <c r="CU396" s="153"/>
      <c r="CV396" s="153"/>
      <c r="CW396" s="153"/>
      <c r="CX396" s="153"/>
      <c r="CY396" s="153"/>
      <c r="CZ396" s="153"/>
      <c r="DA396" s="153"/>
      <c r="DB396" s="153"/>
      <c r="DC396" s="153"/>
      <c r="DD396" s="153"/>
      <c r="DE396" s="153"/>
      <c r="DF396" s="153"/>
      <c r="DG396" s="153"/>
      <c r="DH396" s="153"/>
      <c r="DI396" s="153"/>
      <c r="DJ396" s="153"/>
      <c r="DK396" s="153"/>
      <c r="DL396" s="153"/>
      <c r="DM396" s="153"/>
      <c r="DN396" s="153"/>
      <c r="DO396" s="153"/>
      <c r="DP396" s="153"/>
      <c r="DQ396" s="153"/>
      <c r="DR396" s="153"/>
      <c r="DS396" s="153"/>
      <c r="DT396" s="153"/>
      <c r="DU396" s="153"/>
      <c r="DV396" s="153"/>
      <c r="DW396" s="153"/>
      <c r="DX396" s="153"/>
      <c r="DY396" s="153"/>
      <c r="DZ396" s="153"/>
      <c r="EA396" s="153"/>
      <c r="EB396" s="153"/>
      <c r="EC396" s="153"/>
      <c r="ED396" s="153"/>
      <c r="EE396" s="153"/>
      <c r="EF396" s="153"/>
      <c r="EG396" s="153"/>
      <c r="EH396" s="153"/>
      <c r="EI396" s="153"/>
      <c r="EJ396" s="153"/>
      <c r="EK396" s="153"/>
      <c r="EL396" s="153"/>
      <c r="EM396" s="153"/>
    </row>
    <row r="397" spans="1:143" s="107" customFormat="1" ht="10.5" hidden="1" customHeight="1" outlineLevel="2">
      <c r="A397" s="1548">
        <v>372</v>
      </c>
      <c r="B397" s="1560" t="str">
        <f t="shared" si="7"/>
        <v/>
      </c>
      <c r="C397" s="161" t="str">
        <f>GasTime(GasAnalyser,'Horiba Data'!F390,'Horiba Data'!G390,'Testo, JUM &amp; MRU Data'!A391,'Thermo Data'!B390,HourOffset)</f>
        <v/>
      </c>
      <c r="D397" s="981" t="str">
        <f>IF(D$17=FALSE,"",GasData(GasAnalyser,'Horiba Data'!S390,'Testo, JUM &amp; MRU Data'!D391,'Thermo Data'!E390,'Testo, JUM &amp; MRU Data'!U391,GDF))</f>
        <v/>
      </c>
      <c r="E397" s="981" t="str">
        <f>IF(D397="","",Conc2(D397,D$9,MolVol,D$21,D$20,E$21,E$20))</f>
        <v/>
      </c>
      <c r="F397" s="981" t="str">
        <f>IF(F$17=FALSE,"",GasData(GasAnalyser,'Horiba Data'!AQ390,'Testo, JUM &amp; MRU Data'!E391,'Thermo Data'!F390,'Testo, JUM &amp; MRU Data'!V391,GDF))</f>
        <v/>
      </c>
      <c r="G397" s="981" t="str">
        <f>IF(F397="","",Conc2(F397,F$9,MolVol,F$21,F$20,G$21,G$20))</f>
        <v/>
      </c>
      <c r="H397" s="981" t="str">
        <f>IF(D$17=FALSE,"",IF(F$17=FALSE,"",GasData(GasAnalyser,'Horiba Data'!W390,'Testo, JUM &amp; MRU Data'!F391,'Thermo Data'!G390,'Testo, JUM &amp; MRU Data'!Y391,GDF)))</f>
        <v/>
      </c>
      <c r="I397" s="981" t="str">
        <f>IF(H397="","",Conc2(H397,H$9,MolVol,H$21,H$20,I$21,I$20))</f>
        <v/>
      </c>
      <c r="J397" s="981" t="str">
        <f>IF(J$17=FALSE,"",GasData(GasAnalyser,'Horiba Data'!AM390,'Testo, JUM &amp; MRU Data'!G391,'Thermo Data'!H390,'Testo, JUM &amp; MRU Data'!W391,GDF))</f>
        <v/>
      </c>
      <c r="K397" s="981" t="str">
        <f>IF(J397="","",Conc2(J397,J$9,MolVol,J$21,J$20,K$21,K$20))</f>
        <v/>
      </c>
      <c r="L397" s="981" t="str">
        <f>IF(L$17=FALSE,"",GasData(GasAnalyser,'Horiba Data'!AA390,'Testo, JUM &amp; MRU Data'!H391,'Thermo Data'!I390,'Testo, JUM &amp; MRU Data'!T391,GDF))</f>
        <v/>
      </c>
      <c r="M397" s="981" t="str">
        <f>IF(L397="","",Conc2(L397,L$9,MolVol,L$21,L$20,M$21,M$20))</f>
        <v/>
      </c>
      <c r="N397" s="981" t="str">
        <f>IF(N$17=FALSE,"",GasData(GasAnalyser,'Horiba Data'!AE390,'Testo, JUM &amp; MRU Data'!I391,'Thermo Data'!J390,'Testo, JUM &amp; MRU Data'!S391,GDF))</f>
        <v/>
      </c>
      <c r="O397" s="981" t="str">
        <f>IF(N397="","",Conc2(N397,N$9,MolVol,N$21,N$20,O$21,O$20))</f>
        <v/>
      </c>
      <c r="P397" s="981" t="str">
        <f>IF(P$17=FALSE,"",GasData(GasAnalyser,'Horiba Data'!AI390,'Testo, JUM &amp; MRU Data'!J391,'Thermo Data'!K390,'Testo, JUM &amp; MRU Data'!R391,GDF))</f>
        <v/>
      </c>
      <c r="Q397" s="981" t="str">
        <f>IF(P397="","",Conc2(P397,P$9,MolVol,P$21,P$20,Q$21,Q$20))</f>
        <v/>
      </c>
      <c r="R397" s="981" t="str">
        <f>IF(R$17=FALSE,"",JUMData('Testo, JUM &amp; MRU Data'!M391,$R$7))</f>
        <v/>
      </c>
      <c r="S397" s="982" t="str">
        <f>IF(R397="","",Conc2(R397,R$9,MolVol,R$21,R$20,S$21,S$20)/(1-Bws))</f>
        <v/>
      </c>
      <c r="T397" s="740"/>
      <c r="AR397" s="334"/>
      <c r="AS397" s="334"/>
      <c r="AT397" s="48"/>
      <c r="AU397" s="48"/>
      <c r="AV397" s="153"/>
      <c r="AW397" s="153"/>
      <c r="AX397" s="153"/>
      <c r="AY397" s="153"/>
      <c r="AZ397" s="153"/>
      <c r="BA397" s="153"/>
      <c r="BB397" s="153"/>
      <c r="BC397" s="153"/>
      <c r="BD397" s="153"/>
      <c r="BE397" s="153"/>
      <c r="BF397" s="153"/>
      <c r="BG397" s="153"/>
      <c r="BH397" s="153"/>
      <c r="BI397" s="153"/>
      <c r="BJ397" s="153"/>
      <c r="BK397" s="153"/>
      <c r="BL397" s="153"/>
      <c r="BM397" s="153"/>
      <c r="BN397" s="153"/>
      <c r="BO397" s="153"/>
      <c r="BP397" s="153"/>
      <c r="BQ397" s="153"/>
      <c r="BR397" s="153"/>
      <c r="BS397" s="153"/>
      <c r="BT397" s="153"/>
      <c r="BU397" s="153"/>
      <c r="BV397" s="153"/>
      <c r="BW397" s="153"/>
      <c r="BX397" s="153"/>
      <c r="BY397" s="153"/>
      <c r="BZ397" s="153"/>
      <c r="CA397" s="153"/>
      <c r="CB397" s="153"/>
      <c r="CC397" s="153"/>
      <c r="CD397" s="153"/>
      <c r="CE397" s="153"/>
      <c r="CF397" s="153"/>
      <c r="CG397" s="153"/>
      <c r="CH397" s="153"/>
      <c r="CI397" s="153"/>
      <c r="CJ397" s="153"/>
      <c r="CK397" s="153"/>
      <c r="CL397" s="153"/>
      <c r="CM397" s="153"/>
      <c r="CN397" s="153"/>
      <c r="CO397" s="153"/>
      <c r="CP397" s="153"/>
      <c r="CQ397" s="153"/>
      <c r="CR397" s="153"/>
      <c r="CS397" s="153"/>
      <c r="CT397" s="153"/>
      <c r="CU397" s="153"/>
      <c r="CV397" s="153"/>
      <c r="CW397" s="153"/>
      <c r="CX397" s="153"/>
      <c r="CY397" s="153"/>
      <c r="CZ397" s="153"/>
      <c r="DA397" s="153"/>
      <c r="DB397" s="153"/>
      <c r="DC397" s="153"/>
      <c r="DD397" s="153"/>
      <c r="DE397" s="153"/>
      <c r="DF397" s="153"/>
      <c r="DG397" s="153"/>
      <c r="DH397" s="153"/>
      <c r="DI397" s="153"/>
      <c r="DJ397" s="153"/>
      <c r="DK397" s="153"/>
      <c r="DL397" s="153"/>
      <c r="DM397" s="153"/>
      <c r="DN397" s="153"/>
      <c r="DO397" s="153"/>
      <c r="DP397" s="153"/>
      <c r="DQ397" s="153"/>
      <c r="DR397" s="153"/>
      <c r="DS397" s="153"/>
      <c r="DT397" s="153"/>
      <c r="DU397" s="153"/>
      <c r="DV397" s="153"/>
      <c r="DW397" s="153"/>
      <c r="DX397" s="153"/>
      <c r="DY397" s="153"/>
      <c r="DZ397" s="153"/>
      <c r="EA397" s="153"/>
      <c r="EB397" s="153"/>
      <c r="EC397" s="153"/>
      <c r="ED397" s="153"/>
      <c r="EE397" s="153"/>
      <c r="EF397" s="153"/>
      <c r="EG397" s="153"/>
      <c r="EH397" s="153"/>
      <c r="EI397" s="153"/>
      <c r="EJ397" s="153"/>
      <c r="EK397" s="153"/>
      <c r="EL397" s="153"/>
      <c r="EM397" s="153"/>
    </row>
    <row r="398" spans="1:143" s="107" customFormat="1" ht="10.5" hidden="1" customHeight="1" outlineLevel="2">
      <c r="A398" s="1548">
        <v>373</v>
      </c>
      <c r="B398" s="1560" t="str">
        <f t="shared" si="7"/>
        <v/>
      </c>
      <c r="C398" s="161" t="str">
        <f>GasTime(GasAnalyser,'Horiba Data'!F391,'Horiba Data'!G391,'Testo, JUM &amp; MRU Data'!A392,'Thermo Data'!B391,HourOffset)</f>
        <v/>
      </c>
      <c r="D398" s="981" t="str">
        <f>IF(D$17=FALSE,"",GasData(GasAnalyser,'Horiba Data'!S391,'Testo, JUM &amp; MRU Data'!D392,'Thermo Data'!E391,'Testo, JUM &amp; MRU Data'!U392,GDF))</f>
        <v/>
      </c>
      <c r="E398" s="981" t="str">
        <f>IF(D398="","",Conc2(D398,D$9,MolVol,D$21,D$20,E$21,E$20))</f>
        <v/>
      </c>
      <c r="F398" s="981" t="str">
        <f>IF(F$17=FALSE,"",GasData(GasAnalyser,'Horiba Data'!AQ391,'Testo, JUM &amp; MRU Data'!E392,'Thermo Data'!F391,'Testo, JUM &amp; MRU Data'!V392,GDF))</f>
        <v/>
      </c>
      <c r="G398" s="981" t="str">
        <f>IF(F398="","",Conc2(F398,F$9,MolVol,F$21,F$20,G$21,G$20))</f>
        <v/>
      </c>
      <c r="H398" s="981" t="str">
        <f>IF(D$17=FALSE,"",IF(F$17=FALSE,"",GasData(GasAnalyser,'Horiba Data'!W391,'Testo, JUM &amp; MRU Data'!F392,'Thermo Data'!G391,'Testo, JUM &amp; MRU Data'!Y392,GDF)))</f>
        <v/>
      </c>
      <c r="I398" s="981" t="str">
        <f>IF(H398="","",Conc2(H398,H$9,MolVol,H$21,H$20,I$21,I$20))</f>
        <v/>
      </c>
      <c r="J398" s="981" t="str">
        <f>IF(J$17=FALSE,"",GasData(GasAnalyser,'Horiba Data'!AM391,'Testo, JUM &amp; MRU Data'!G392,'Thermo Data'!H391,'Testo, JUM &amp; MRU Data'!W392,GDF))</f>
        <v/>
      </c>
      <c r="K398" s="981" t="str">
        <f>IF(J398="","",Conc2(J398,J$9,MolVol,J$21,J$20,K$21,K$20))</f>
        <v/>
      </c>
      <c r="L398" s="981" t="str">
        <f>IF(L$17=FALSE,"",GasData(GasAnalyser,'Horiba Data'!AA391,'Testo, JUM &amp; MRU Data'!H392,'Thermo Data'!I391,'Testo, JUM &amp; MRU Data'!T392,GDF))</f>
        <v/>
      </c>
      <c r="M398" s="981" t="str">
        <f>IF(L398="","",Conc2(L398,L$9,MolVol,L$21,L$20,M$21,M$20))</f>
        <v/>
      </c>
      <c r="N398" s="981" t="str">
        <f>IF(N$17=FALSE,"",GasData(GasAnalyser,'Horiba Data'!AE391,'Testo, JUM &amp; MRU Data'!I392,'Thermo Data'!J391,'Testo, JUM &amp; MRU Data'!S392,GDF))</f>
        <v/>
      </c>
      <c r="O398" s="981" t="str">
        <f>IF(N398="","",Conc2(N398,N$9,MolVol,N$21,N$20,O$21,O$20))</f>
        <v/>
      </c>
      <c r="P398" s="981" t="str">
        <f>IF(P$17=FALSE,"",GasData(GasAnalyser,'Horiba Data'!AI391,'Testo, JUM &amp; MRU Data'!J392,'Thermo Data'!K391,'Testo, JUM &amp; MRU Data'!R392,GDF))</f>
        <v/>
      </c>
      <c r="Q398" s="981" t="str">
        <f>IF(P398="","",Conc2(P398,P$9,MolVol,P$21,P$20,Q$21,Q$20))</f>
        <v/>
      </c>
      <c r="R398" s="981" t="str">
        <f>IF(R$17=FALSE,"",JUMData('Testo, JUM &amp; MRU Data'!M392,$R$7))</f>
        <v/>
      </c>
      <c r="S398" s="982" t="str">
        <f>IF(R398="","",Conc2(R398,R$9,MolVol,R$21,R$20,S$21,S$20)/(1-Bws))</f>
        <v/>
      </c>
      <c r="T398" s="740"/>
      <c r="AR398" s="334"/>
      <c r="AS398" s="334"/>
      <c r="AT398" s="48"/>
      <c r="AU398" s="48"/>
      <c r="AV398" s="153"/>
      <c r="AW398" s="153"/>
      <c r="AX398" s="153"/>
      <c r="AY398" s="153"/>
      <c r="AZ398" s="153"/>
      <c r="BA398" s="153"/>
      <c r="BB398" s="153"/>
      <c r="BC398" s="153"/>
      <c r="BD398" s="153"/>
      <c r="BE398" s="153"/>
      <c r="BF398" s="153"/>
      <c r="BG398" s="153"/>
      <c r="BH398" s="153"/>
      <c r="BI398" s="153"/>
      <c r="BJ398" s="153"/>
      <c r="BK398" s="153"/>
      <c r="BL398" s="153"/>
      <c r="BM398" s="153"/>
      <c r="BN398" s="153"/>
      <c r="BO398" s="153"/>
      <c r="BP398" s="153"/>
      <c r="BQ398" s="153"/>
      <c r="BR398" s="153"/>
      <c r="BS398" s="153"/>
      <c r="BT398" s="153"/>
      <c r="BU398" s="153"/>
      <c r="BV398" s="153"/>
      <c r="BW398" s="153"/>
      <c r="BX398" s="153"/>
      <c r="BY398" s="153"/>
      <c r="BZ398" s="153"/>
      <c r="CA398" s="153"/>
      <c r="CB398" s="153"/>
      <c r="CC398" s="153"/>
      <c r="CD398" s="153"/>
      <c r="CE398" s="153"/>
      <c r="CF398" s="153"/>
      <c r="CG398" s="153"/>
      <c r="CH398" s="153"/>
      <c r="CI398" s="153"/>
      <c r="CJ398" s="153"/>
      <c r="CK398" s="153"/>
      <c r="CL398" s="153"/>
      <c r="CM398" s="153"/>
      <c r="CN398" s="153"/>
      <c r="CO398" s="153"/>
      <c r="CP398" s="153"/>
      <c r="CQ398" s="153"/>
      <c r="CR398" s="153"/>
      <c r="CS398" s="153"/>
      <c r="CT398" s="153"/>
      <c r="CU398" s="153"/>
      <c r="CV398" s="153"/>
      <c r="CW398" s="153"/>
      <c r="CX398" s="153"/>
      <c r="CY398" s="153"/>
      <c r="CZ398" s="153"/>
      <c r="DA398" s="153"/>
      <c r="DB398" s="153"/>
      <c r="DC398" s="153"/>
      <c r="DD398" s="153"/>
      <c r="DE398" s="153"/>
      <c r="DF398" s="153"/>
      <c r="DG398" s="153"/>
      <c r="DH398" s="153"/>
      <c r="DI398" s="153"/>
      <c r="DJ398" s="153"/>
      <c r="DK398" s="153"/>
      <c r="DL398" s="153"/>
      <c r="DM398" s="153"/>
      <c r="DN398" s="153"/>
      <c r="DO398" s="153"/>
      <c r="DP398" s="153"/>
      <c r="DQ398" s="153"/>
      <c r="DR398" s="153"/>
      <c r="DS398" s="153"/>
      <c r="DT398" s="153"/>
      <c r="DU398" s="153"/>
      <c r="DV398" s="153"/>
      <c r="DW398" s="153"/>
      <c r="DX398" s="153"/>
      <c r="DY398" s="153"/>
      <c r="DZ398" s="153"/>
      <c r="EA398" s="153"/>
      <c r="EB398" s="153"/>
      <c r="EC398" s="153"/>
      <c r="ED398" s="153"/>
      <c r="EE398" s="153"/>
      <c r="EF398" s="153"/>
      <c r="EG398" s="153"/>
      <c r="EH398" s="153"/>
      <c r="EI398" s="153"/>
      <c r="EJ398" s="153"/>
      <c r="EK398" s="153"/>
      <c r="EL398" s="153"/>
      <c r="EM398" s="153"/>
    </row>
    <row r="399" spans="1:143" s="107" customFormat="1" ht="10.5" hidden="1" customHeight="1" outlineLevel="2">
      <c r="A399" s="1548">
        <v>374</v>
      </c>
      <c r="B399" s="1560" t="str">
        <f t="shared" si="7"/>
        <v/>
      </c>
      <c r="C399" s="161" t="str">
        <f>GasTime(GasAnalyser,'Horiba Data'!F392,'Horiba Data'!G392,'Testo, JUM &amp; MRU Data'!A393,'Thermo Data'!B392,HourOffset)</f>
        <v/>
      </c>
      <c r="D399" s="981" t="str">
        <f>IF(D$17=FALSE,"",GasData(GasAnalyser,'Horiba Data'!S392,'Testo, JUM &amp; MRU Data'!D393,'Thermo Data'!E392,'Testo, JUM &amp; MRU Data'!U393,GDF))</f>
        <v/>
      </c>
      <c r="E399" s="981" t="str">
        <f>IF(D399="","",Conc2(D399,D$9,MolVol,D$21,D$20,E$21,E$20))</f>
        <v/>
      </c>
      <c r="F399" s="981" t="str">
        <f>IF(F$17=FALSE,"",GasData(GasAnalyser,'Horiba Data'!AQ392,'Testo, JUM &amp; MRU Data'!E393,'Thermo Data'!F392,'Testo, JUM &amp; MRU Data'!V393,GDF))</f>
        <v/>
      </c>
      <c r="G399" s="981" t="str">
        <f>IF(F399="","",Conc2(F399,F$9,MolVol,F$21,F$20,G$21,G$20))</f>
        <v/>
      </c>
      <c r="H399" s="981" t="str">
        <f>IF(D$17=FALSE,"",IF(F$17=FALSE,"",GasData(GasAnalyser,'Horiba Data'!W392,'Testo, JUM &amp; MRU Data'!F393,'Thermo Data'!G392,'Testo, JUM &amp; MRU Data'!Y393,GDF)))</f>
        <v/>
      </c>
      <c r="I399" s="981" t="str">
        <f>IF(H399="","",Conc2(H399,H$9,MolVol,H$21,H$20,I$21,I$20))</f>
        <v/>
      </c>
      <c r="J399" s="981" t="str">
        <f>IF(J$17=FALSE,"",GasData(GasAnalyser,'Horiba Data'!AM392,'Testo, JUM &amp; MRU Data'!G393,'Thermo Data'!H392,'Testo, JUM &amp; MRU Data'!W393,GDF))</f>
        <v/>
      </c>
      <c r="K399" s="981" t="str">
        <f>IF(J399="","",Conc2(J399,J$9,MolVol,J$21,J$20,K$21,K$20))</f>
        <v/>
      </c>
      <c r="L399" s="981" t="str">
        <f>IF(L$17=FALSE,"",GasData(GasAnalyser,'Horiba Data'!AA392,'Testo, JUM &amp; MRU Data'!H393,'Thermo Data'!I392,'Testo, JUM &amp; MRU Data'!T393,GDF))</f>
        <v/>
      </c>
      <c r="M399" s="981" t="str">
        <f>IF(L399="","",Conc2(L399,L$9,MolVol,L$21,L$20,M$21,M$20))</f>
        <v/>
      </c>
      <c r="N399" s="981" t="str">
        <f>IF(N$17=FALSE,"",GasData(GasAnalyser,'Horiba Data'!AE392,'Testo, JUM &amp; MRU Data'!I393,'Thermo Data'!J392,'Testo, JUM &amp; MRU Data'!S393,GDF))</f>
        <v/>
      </c>
      <c r="O399" s="981" t="str">
        <f>IF(N399="","",Conc2(N399,N$9,MolVol,N$21,N$20,O$21,O$20))</f>
        <v/>
      </c>
      <c r="P399" s="981" t="str">
        <f>IF(P$17=FALSE,"",GasData(GasAnalyser,'Horiba Data'!AI392,'Testo, JUM &amp; MRU Data'!J393,'Thermo Data'!K392,'Testo, JUM &amp; MRU Data'!R393,GDF))</f>
        <v/>
      </c>
      <c r="Q399" s="981" t="str">
        <f>IF(P399="","",Conc2(P399,P$9,MolVol,P$21,P$20,Q$21,Q$20))</f>
        <v/>
      </c>
      <c r="R399" s="981" t="str">
        <f>IF(R$17=FALSE,"",JUMData('Testo, JUM &amp; MRU Data'!M393,$R$7))</f>
        <v/>
      </c>
      <c r="S399" s="982" t="str">
        <f>IF(R399="","",Conc2(R399,R$9,MolVol,R$21,R$20,S$21,S$20)/(1-Bws))</f>
        <v/>
      </c>
      <c r="T399" s="740"/>
      <c r="AR399" s="334"/>
      <c r="AS399" s="334"/>
      <c r="AT399" s="48"/>
      <c r="AU399" s="48"/>
      <c r="AV399" s="153"/>
      <c r="AW399" s="153"/>
      <c r="AX399" s="153"/>
      <c r="AY399" s="153"/>
      <c r="AZ399" s="153"/>
      <c r="BA399" s="153"/>
      <c r="BB399" s="153"/>
      <c r="BC399" s="153"/>
      <c r="BD399" s="153"/>
      <c r="BE399" s="153"/>
      <c r="BF399" s="153"/>
      <c r="BG399" s="153"/>
      <c r="BH399" s="153"/>
      <c r="BI399" s="153"/>
      <c r="BJ399" s="153"/>
      <c r="BK399" s="153"/>
      <c r="BL399" s="153"/>
      <c r="BM399" s="153"/>
      <c r="BN399" s="153"/>
      <c r="BO399" s="153"/>
      <c r="BP399" s="153"/>
      <c r="BQ399" s="153"/>
      <c r="BR399" s="153"/>
      <c r="BS399" s="153"/>
      <c r="BT399" s="153"/>
      <c r="BU399" s="153"/>
      <c r="BV399" s="153"/>
      <c r="BW399" s="153"/>
      <c r="BX399" s="153"/>
      <c r="BY399" s="153"/>
      <c r="BZ399" s="153"/>
      <c r="CA399" s="153"/>
      <c r="CB399" s="153"/>
      <c r="CC399" s="153"/>
      <c r="CD399" s="153"/>
      <c r="CE399" s="153"/>
      <c r="CF399" s="153"/>
      <c r="CG399" s="153"/>
      <c r="CH399" s="153"/>
      <c r="CI399" s="153"/>
      <c r="CJ399" s="153"/>
      <c r="CK399" s="153"/>
      <c r="CL399" s="153"/>
      <c r="CM399" s="153"/>
      <c r="CN399" s="153"/>
      <c r="CO399" s="153"/>
      <c r="CP399" s="153"/>
      <c r="CQ399" s="153"/>
      <c r="CR399" s="153"/>
      <c r="CS399" s="153"/>
      <c r="CT399" s="153"/>
      <c r="CU399" s="153"/>
      <c r="CV399" s="153"/>
      <c r="CW399" s="153"/>
      <c r="CX399" s="153"/>
      <c r="CY399" s="153"/>
      <c r="CZ399" s="153"/>
      <c r="DA399" s="153"/>
      <c r="DB399" s="153"/>
      <c r="DC399" s="153"/>
      <c r="DD399" s="153"/>
      <c r="DE399" s="153"/>
      <c r="DF399" s="153"/>
      <c r="DG399" s="153"/>
      <c r="DH399" s="153"/>
      <c r="DI399" s="153"/>
      <c r="DJ399" s="153"/>
      <c r="DK399" s="153"/>
      <c r="DL399" s="153"/>
      <c r="DM399" s="153"/>
      <c r="DN399" s="153"/>
      <c r="DO399" s="153"/>
      <c r="DP399" s="153"/>
      <c r="DQ399" s="153"/>
      <c r="DR399" s="153"/>
      <c r="DS399" s="153"/>
      <c r="DT399" s="153"/>
      <c r="DU399" s="153"/>
      <c r="DV399" s="153"/>
      <c r="DW399" s="153"/>
      <c r="DX399" s="153"/>
      <c r="DY399" s="153"/>
      <c r="DZ399" s="153"/>
      <c r="EA399" s="153"/>
      <c r="EB399" s="153"/>
      <c r="EC399" s="153"/>
      <c r="ED399" s="153"/>
      <c r="EE399" s="153"/>
      <c r="EF399" s="153"/>
      <c r="EG399" s="153"/>
      <c r="EH399" s="153"/>
      <c r="EI399" s="153"/>
      <c r="EJ399" s="153"/>
      <c r="EK399" s="153"/>
      <c r="EL399" s="153"/>
      <c r="EM399" s="153"/>
    </row>
    <row r="400" spans="1:143" s="107" customFormat="1" ht="10.5" hidden="1" customHeight="1" outlineLevel="2">
      <c r="A400" s="1548">
        <v>375</v>
      </c>
      <c r="B400" s="1560" t="str">
        <f t="shared" si="7"/>
        <v/>
      </c>
      <c r="C400" s="161" t="str">
        <f>GasTime(GasAnalyser,'Horiba Data'!F393,'Horiba Data'!G393,'Testo, JUM &amp; MRU Data'!A394,'Thermo Data'!B393,HourOffset)</f>
        <v/>
      </c>
      <c r="D400" s="981" t="str">
        <f>IF(D$17=FALSE,"",GasData(GasAnalyser,'Horiba Data'!S393,'Testo, JUM &amp; MRU Data'!D394,'Thermo Data'!E393,'Testo, JUM &amp; MRU Data'!U394,GDF))</f>
        <v/>
      </c>
      <c r="E400" s="981" t="str">
        <f>IF(D400="","",Conc2(D400,D$9,MolVol,D$21,D$20,E$21,E$20))</f>
        <v/>
      </c>
      <c r="F400" s="981" t="str">
        <f>IF(F$17=FALSE,"",GasData(GasAnalyser,'Horiba Data'!AQ393,'Testo, JUM &amp; MRU Data'!E394,'Thermo Data'!F393,'Testo, JUM &amp; MRU Data'!V394,GDF))</f>
        <v/>
      </c>
      <c r="G400" s="981" t="str">
        <f>IF(F400="","",Conc2(F400,F$9,MolVol,F$21,F$20,G$21,G$20))</f>
        <v/>
      </c>
      <c r="H400" s="981" t="str">
        <f>IF(D$17=FALSE,"",IF(F$17=FALSE,"",GasData(GasAnalyser,'Horiba Data'!W393,'Testo, JUM &amp; MRU Data'!F394,'Thermo Data'!G393,'Testo, JUM &amp; MRU Data'!Y394,GDF)))</f>
        <v/>
      </c>
      <c r="I400" s="981" t="str">
        <f>IF(H400="","",Conc2(H400,H$9,MolVol,H$21,H$20,I$21,I$20))</f>
        <v/>
      </c>
      <c r="J400" s="981" t="str">
        <f>IF(J$17=FALSE,"",GasData(GasAnalyser,'Horiba Data'!AM393,'Testo, JUM &amp; MRU Data'!G394,'Thermo Data'!H393,'Testo, JUM &amp; MRU Data'!W394,GDF))</f>
        <v/>
      </c>
      <c r="K400" s="981" t="str">
        <f>IF(J400="","",Conc2(J400,J$9,MolVol,J$21,J$20,K$21,K$20))</f>
        <v/>
      </c>
      <c r="L400" s="981" t="str">
        <f>IF(L$17=FALSE,"",GasData(GasAnalyser,'Horiba Data'!AA393,'Testo, JUM &amp; MRU Data'!H394,'Thermo Data'!I393,'Testo, JUM &amp; MRU Data'!T394,GDF))</f>
        <v/>
      </c>
      <c r="M400" s="981" t="str">
        <f>IF(L400="","",Conc2(L400,L$9,MolVol,L$21,L$20,M$21,M$20))</f>
        <v/>
      </c>
      <c r="N400" s="981" t="str">
        <f>IF(N$17=FALSE,"",GasData(GasAnalyser,'Horiba Data'!AE393,'Testo, JUM &amp; MRU Data'!I394,'Thermo Data'!J393,'Testo, JUM &amp; MRU Data'!S394,GDF))</f>
        <v/>
      </c>
      <c r="O400" s="981" t="str">
        <f>IF(N400="","",Conc2(N400,N$9,MolVol,N$21,N$20,O$21,O$20))</f>
        <v/>
      </c>
      <c r="P400" s="981" t="str">
        <f>IF(P$17=FALSE,"",GasData(GasAnalyser,'Horiba Data'!AI393,'Testo, JUM &amp; MRU Data'!J394,'Thermo Data'!K393,'Testo, JUM &amp; MRU Data'!R394,GDF))</f>
        <v/>
      </c>
      <c r="Q400" s="981" t="str">
        <f>IF(P400="","",Conc2(P400,P$9,MolVol,P$21,P$20,Q$21,Q$20))</f>
        <v/>
      </c>
      <c r="R400" s="981" t="str">
        <f>IF(R$17=FALSE,"",JUMData('Testo, JUM &amp; MRU Data'!M394,$R$7))</f>
        <v/>
      </c>
      <c r="S400" s="982" t="str">
        <f>IF(R400="","",Conc2(R400,R$9,MolVol,R$21,R$20,S$21,S$20)/(1-Bws))</f>
        <v/>
      </c>
      <c r="T400" s="740"/>
      <c r="AR400" s="334"/>
      <c r="AS400" s="334"/>
      <c r="AT400" s="48"/>
      <c r="AU400" s="48"/>
      <c r="AV400" s="153"/>
      <c r="AW400" s="153"/>
      <c r="AX400" s="153"/>
      <c r="AY400" s="153"/>
      <c r="AZ400" s="153"/>
      <c r="BA400" s="153"/>
      <c r="BB400" s="153"/>
      <c r="BC400" s="153"/>
      <c r="BD400" s="153"/>
      <c r="BE400" s="153"/>
      <c r="BF400" s="153"/>
      <c r="BG400" s="153"/>
      <c r="BH400" s="153"/>
      <c r="BI400" s="153"/>
      <c r="BJ400" s="153"/>
      <c r="BK400" s="153"/>
      <c r="BL400" s="153"/>
      <c r="BM400" s="153"/>
      <c r="BN400" s="153"/>
      <c r="BO400" s="153"/>
      <c r="BP400" s="153"/>
      <c r="BQ400" s="153"/>
      <c r="BR400" s="153"/>
      <c r="BS400" s="153"/>
      <c r="BT400" s="153"/>
      <c r="BU400" s="153"/>
      <c r="BV400" s="153"/>
      <c r="BW400" s="153"/>
      <c r="BX400" s="153"/>
      <c r="BY400" s="153"/>
      <c r="BZ400" s="153"/>
      <c r="CA400" s="153"/>
      <c r="CB400" s="153"/>
      <c r="CC400" s="153"/>
      <c r="CD400" s="153"/>
      <c r="CE400" s="153"/>
      <c r="CF400" s="153"/>
      <c r="CG400" s="153"/>
      <c r="CH400" s="153"/>
      <c r="CI400" s="153"/>
      <c r="CJ400" s="153"/>
      <c r="CK400" s="153"/>
      <c r="CL400" s="153"/>
      <c r="CM400" s="153"/>
      <c r="CN400" s="153"/>
      <c r="CO400" s="153"/>
      <c r="CP400" s="153"/>
      <c r="CQ400" s="153"/>
      <c r="CR400" s="153"/>
      <c r="CS400" s="153"/>
      <c r="CT400" s="153"/>
      <c r="CU400" s="153"/>
      <c r="CV400" s="153"/>
      <c r="CW400" s="153"/>
      <c r="CX400" s="153"/>
      <c r="CY400" s="153"/>
      <c r="CZ400" s="153"/>
      <c r="DA400" s="153"/>
      <c r="DB400" s="153"/>
      <c r="DC400" s="153"/>
      <c r="DD400" s="153"/>
      <c r="DE400" s="153"/>
      <c r="DF400" s="153"/>
      <c r="DG400" s="153"/>
      <c r="DH400" s="153"/>
      <c r="DI400" s="153"/>
      <c r="DJ400" s="153"/>
      <c r="DK400" s="153"/>
      <c r="DL400" s="153"/>
      <c r="DM400" s="153"/>
      <c r="DN400" s="153"/>
      <c r="DO400" s="153"/>
      <c r="DP400" s="153"/>
      <c r="DQ400" s="153"/>
      <c r="DR400" s="153"/>
      <c r="DS400" s="153"/>
      <c r="DT400" s="153"/>
      <c r="DU400" s="153"/>
      <c r="DV400" s="153"/>
      <c r="DW400" s="153"/>
      <c r="DX400" s="153"/>
      <c r="DY400" s="153"/>
      <c r="DZ400" s="153"/>
      <c r="EA400" s="153"/>
      <c r="EB400" s="153"/>
      <c r="EC400" s="153"/>
      <c r="ED400" s="153"/>
      <c r="EE400" s="153"/>
      <c r="EF400" s="153"/>
      <c r="EG400" s="153"/>
      <c r="EH400" s="153"/>
      <c r="EI400" s="153"/>
      <c r="EJ400" s="153"/>
      <c r="EK400" s="153"/>
      <c r="EL400" s="153"/>
      <c r="EM400" s="153"/>
    </row>
    <row r="401" spans="1:143" s="107" customFormat="1" ht="10.5" hidden="1" customHeight="1" outlineLevel="2">
      <c r="A401" s="1548">
        <v>376</v>
      </c>
      <c r="B401" s="1560" t="str">
        <f t="shared" si="7"/>
        <v/>
      </c>
      <c r="C401" s="161" t="str">
        <f>GasTime(GasAnalyser,'Horiba Data'!F394,'Horiba Data'!G394,'Testo, JUM &amp; MRU Data'!A395,'Thermo Data'!B394,HourOffset)</f>
        <v/>
      </c>
      <c r="D401" s="981" t="str">
        <f>IF(D$17=FALSE,"",GasData(GasAnalyser,'Horiba Data'!S394,'Testo, JUM &amp; MRU Data'!D395,'Thermo Data'!E394,'Testo, JUM &amp; MRU Data'!U395,GDF))</f>
        <v/>
      </c>
      <c r="E401" s="981" t="str">
        <f>IF(D401="","",Conc2(D401,D$9,MolVol,D$21,D$20,E$21,E$20))</f>
        <v/>
      </c>
      <c r="F401" s="981" t="str">
        <f>IF(F$17=FALSE,"",GasData(GasAnalyser,'Horiba Data'!AQ394,'Testo, JUM &amp; MRU Data'!E395,'Thermo Data'!F394,'Testo, JUM &amp; MRU Data'!V395,GDF))</f>
        <v/>
      </c>
      <c r="G401" s="981" t="str">
        <f>IF(F401="","",Conc2(F401,F$9,MolVol,F$21,F$20,G$21,G$20))</f>
        <v/>
      </c>
      <c r="H401" s="981" t="str">
        <f>IF(D$17=FALSE,"",IF(F$17=FALSE,"",GasData(GasAnalyser,'Horiba Data'!W394,'Testo, JUM &amp; MRU Data'!F395,'Thermo Data'!G394,'Testo, JUM &amp; MRU Data'!Y395,GDF)))</f>
        <v/>
      </c>
      <c r="I401" s="981" t="str">
        <f>IF(H401="","",Conc2(H401,H$9,MolVol,H$21,H$20,I$21,I$20))</f>
        <v/>
      </c>
      <c r="J401" s="981" t="str">
        <f>IF(J$17=FALSE,"",GasData(GasAnalyser,'Horiba Data'!AM394,'Testo, JUM &amp; MRU Data'!G395,'Thermo Data'!H394,'Testo, JUM &amp; MRU Data'!W395,GDF))</f>
        <v/>
      </c>
      <c r="K401" s="981" t="str">
        <f>IF(J401="","",Conc2(J401,J$9,MolVol,J$21,J$20,K$21,K$20))</f>
        <v/>
      </c>
      <c r="L401" s="981" t="str">
        <f>IF(L$17=FALSE,"",GasData(GasAnalyser,'Horiba Data'!AA394,'Testo, JUM &amp; MRU Data'!H395,'Thermo Data'!I394,'Testo, JUM &amp; MRU Data'!T395,GDF))</f>
        <v/>
      </c>
      <c r="M401" s="981" t="str">
        <f>IF(L401="","",Conc2(L401,L$9,MolVol,L$21,L$20,M$21,M$20))</f>
        <v/>
      </c>
      <c r="N401" s="981" t="str">
        <f>IF(N$17=FALSE,"",GasData(GasAnalyser,'Horiba Data'!AE394,'Testo, JUM &amp; MRU Data'!I395,'Thermo Data'!J394,'Testo, JUM &amp; MRU Data'!S395,GDF))</f>
        <v/>
      </c>
      <c r="O401" s="981" t="str">
        <f>IF(N401="","",Conc2(N401,N$9,MolVol,N$21,N$20,O$21,O$20))</f>
        <v/>
      </c>
      <c r="P401" s="981" t="str">
        <f>IF(P$17=FALSE,"",GasData(GasAnalyser,'Horiba Data'!AI394,'Testo, JUM &amp; MRU Data'!J395,'Thermo Data'!K394,'Testo, JUM &amp; MRU Data'!R395,GDF))</f>
        <v/>
      </c>
      <c r="Q401" s="981" t="str">
        <f>IF(P401="","",Conc2(P401,P$9,MolVol,P$21,P$20,Q$21,Q$20))</f>
        <v/>
      </c>
      <c r="R401" s="981" t="str">
        <f>IF(R$17=FALSE,"",JUMData('Testo, JUM &amp; MRU Data'!M395,$R$7))</f>
        <v/>
      </c>
      <c r="S401" s="982" t="str">
        <f>IF(R401="","",Conc2(R401,R$9,MolVol,R$21,R$20,S$21,S$20)/(1-Bws))</f>
        <v/>
      </c>
      <c r="T401" s="740"/>
      <c r="AR401" s="334"/>
      <c r="AS401" s="334"/>
      <c r="AT401" s="48"/>
      <c r="AU401" s="48"/>
      <c r="AV401" s="153"/>
      <c r="AW401" s="153"/>
      <c r="AX401" s="153"/>
      <c r="AY401" s="153"/>
      <c r="AZ401" s="153"/>
      <c r="BA401" s="153"/>
      <c r="BB401" s="153"/>
      <c r="BC401" s="153"/>
      <c r="BD401" s="153"/>
      <c r="BE401" s="153"/>
      <c r="BF401" s="153"/>
      <c r="BG401" s="153"/>
      <c r="BH401" s="153"/>
      <c r="BI401" s="153"/>
      <c r="BJ401" s="153"/>
      <c r="BK401" s="153"/>
      <c r="BL401" s="153"/>
      <c r="BM401" s="153"/>
      <c r="BN401" s="153"/>
      <c r="BO401" s="153"/>
      <c r="BP401" s="153"/>
      <c r="BQ401" s="153"/>
      <c r="BR401" s="153"/>
      <c r="BS401" s="153"/>
      <c r="BT401" s="153"/>
      <c r="BU401" s="153"/>
      <c r="BV401" s="153"/>
      <c r="BW401" s="153"/>
      <c r="BX401" s="153"/>
      <c r="BY401" s="153"/>
      <c r="BZ401" s="153"/>
      <c r="CA401" s="153"/>
      <c r="CB401" s="153"/>
      <c r="CC401" s="153"/>
      <c r="CD401" s="153"/>
      <c r="CE401" s="153"/>
      <c r="CF401" s="153"/>
      <c r="CG401" s="153"/>
      <c r="CH401" s="153"/>
      <c r="CI401" s="153"/>
      <c r="CJ401" s="153"/>
      <c r="CK401" s="153"/>
      <c r="CL401" s="153"/>
      <c r="CM401" s="153"/>
      <c r="CN401" s="153"/>
      <c r="CO401" s="153"/>
      <c r="CP401" s="153"/>
      <c r="CQ401" s="153"/>
      <c r="CR401" s="153"/>
      <c r="CS401" s="153"/>
      <c r="CT401" s="153"/>
      <c r="CU401" s="153"/>
      <c r="CV401" s="153"/>
      <c r="CW401" s="153"/>
      <c r="CX401" s="153"/>
      <c r="CY401" s="153"/>
      <c r="CZ401" s="153"/>
      <c r="DA401" s="153"/>
      <c r="DB401" s="153"/>
      <c r="DC401" s="153"/>
      <c r="DD401" s="153"/>
      <c r="DE401" s="153"/>
      <c r="DF401" s="153"/>
      <c r="DG401" s="153"/>
      <c r="DH401" s="153"/>
      <c r="DI401" s="153"/>
      <c r="DJ401" s="153"/>
      <c r="DK401" s="153"/>
      <c r="DL401" s="153"/>
      <c r="DM401" s="153"/>
      <c r="DN401" s="153"/>
      <c r="DO401" s="153"/>
      <c r="DP401" s="153"/>
      <c r="DQ401" s="153"/>
      <c r="DR401" s="153"/>
      <c r="DS401" s="153"/>
      <c r="DT401" s="153"/>
      <c r="DU401" s="153"/>
      <c r="DV401" s="153"/>
      <c r="DW401" s="153"/>
      <c r="DX401" s="153"/>
      <c r="DY401" s="153"/>
      <c r="DZ401" s="153"/>
      <c r="EA401" s="153"/>
      <c r="EB401" s="153"/>
      <c r="EC401" s="153"/>
      <c r="ED401" s="153"/>
      <c r="EE401" s="153"/>
      <c r="EF401" s="153"/>
      <c r="EG401" s="153"/>
      <c r="EH401" s="153"/>
      <c r="EI401" s="153"/>
      <c r="EJ401" s="153"/>
      <c r="EK401" s="153"/>
      <c r="EL401" s="153"/>
      <c r="EM401" s="153"/>
    </row>
    <row r="402" spans="1:143" s="107" customFormat="1" ht="10.5" hidden="1" customHeight="1" outlineLevel="2">
      <c r="A402" s="1548">
        <v>377</v>
      </c>
      <c r="B402" s="1560" t="str">
        <f t="shared" si="7"/>
        <v/>
      </c>
      <c r="C402" s="161" t="str">
        <f>GasTime(GasAnalyser,'Horiba Data'!F395,'Horiba Data'!G395,'Testo, JUM &amp; MRU Data'!A396,'Thermo Data'!B395,HourOffset)</f>
        <v/>
      </c>
      <c r="D402" s="981" t="str">
        <f>IF(D$17=FALSE,"",GasData(GasAnalyser,'Horiba Data'!S395,'Testo, JUM &amp; MRU Data'!D396,'Thermo Data'!E395,'Testo, JUM &amp; MRU Data'!U396,GDF))</f>
        <v/>
      </c>
      <c r="E402" s="981" t="str">
        <f>IF(D402="","",Conc2(D402,D$9,MolVol,D$21,D$20,E$21,E$20))</f>
        <v/>
      </c>
      <c r="F402" s="981" t="str">
        <f>IF(F$17=FALSE,"",GasData(GasAnalyser,'Horiba Data'!AQ395,'Testo, JUM &amp; MRU Data'!E396,'Thermo Data'!F395,'Testo, JUM &amp; MRU Data'!V396,GDF))</f>
        <v/>
      </c>
      <c r="G402" s="981" t="str">
        <f>IF(F402="","",Conc2(F402,F$9,MolVol,F$21,F$20,G$21,G$20))</f>
        <v/>
      </c>
      <c r="H402" s="981" t="str">
        <f>IF(D$17=FALSE,"",IF(F$17=FALSE,"",GasData(GasAnalyser,'Horiba Data'!W395,'Testo, JUM &amp; MRU Data'!F396,'Thermo Data'!G395,'Testo, JUM &amp; MRU Data'!Y396,GDF)))</f>
        <v/>
      </c>
      <c r="I402" s="981" t="str">
        <f>IF(H402="","",Conc2(H402,H$9,MolVol,H$21,H$20,I$21,I$20))</f>
        <v/>
      </c>
      <c r="J402" s="981" t="str">
        <f>IF(J$17=FALSE,"",GasData(GasAnalyser,'Horiba Data'!AM395,'Testo, JUM &amp; MRU Data'!G396,'Thermo Data'!H395,'Testo, JUM &amp; MRU Data'!W396,GDF))</f>
        <v/>
      </c>
      <c r="K402" s="981" t="str">
        <f>IF(J402="","",Conc2(J402,J$9,MolVol,J$21,J$20,K$21,K$20))</f>
        <v/>
      </c>
      <c r="L402" s="981" t="str">
        <f>IF(L$17=FALSE,"",GasData(GasAnalyser,'Horiba Data'!AA395,'Testo, JUM &amp; MRU Data'!H396,'Thermo Data'!I395,'Testo, JUM &amp; MRU Data'!T396,GDF))</f>
        <v/>
      </c>
      <c r="M402" s="981" t="str">
        <f>IF(L402="","",Conc2(L402,L$9,MolVol,L$21,L$20,M$21,M$20))</f>
        <v/>
      </c>
      <c r="N402" s="981" t="str">
        <f>IF(N$17=FALSE,"",GasData(GasAnalyser,'Horiba Data'!AE395,'Testo, JUM &amp; MRU Data'!I396,'Thermo Data'!J395,'Testo, JUM &amp; MRU Data'!S396,GDF))</f>
        <v/>
      </c>
      <c r="O402" s="981" t="str">
        <f>IF(N402="","",Conc2(N402,N$9,MolVol,N$21,N$20,O$21,O$20))</f>
        <v/>
      </c>
      <c r="P402" s="981" t="str">
        <f>IF(P$17=FALSE,"",GasData(GasAnalyser,'Horiba Data'!AI395,'Testo, JUM &amp; MRU Data'!J396,'Thermo Data'!K395,'Testo, JUM &amp; MRU Data'!R396,GDF))</f>
        <v/>
      </c>
      <c r="Q402" s="981" t="str">
        <f>IF(P402="","",Conc2(P402,P$9,MolVol,P$21,P$20,Q$21,Q$20))</f>
        <v/>
      </c>
      <c r="R402" s="981" t="str">
        <f>IF(R$17=FALSE,"",JUMData('Testo, JUM &amp; MRU Data'!M396,$R$7))</f>
        <v/>
      </c>
      <c r="S402" s="982" t="str">
        <f>IF(R402="","",Conc2(R402,R$9,MolVol,R$21,R$20,S$21,S$20)/(1-Bws))</f>
        <v/>
      </c>
      <c r="T402" s="740"/>
      <c r="AR402" s="334"/>
      <c r="AS402" s="334"/>
      <c r="AT402" s="48"/>
      <c r="AU402" s="48"/>
      <c r="AV402" s="153"/>
      <c r="AW402" s="153"/>
      <c r="AX402" s="153"/>
      <c r="AY402" s="153"/>
      <c r="AZ402" s="153"/>
      <c r="BA402" s="153"/>
      <c r="BB402" s="153"/>
      <c r="BC402" s="153"/>
      <c r="BD402" s="153"/>
      <c r="BE402" s="153"/>
      <c r="BF402" s="153"/>
      <c r="BG402" s="153"/>
      <c r="BH402" s="153"/>
      <c r="BI402" s="153"/>
      <c r="BJ402" s="153"/>
      <c r="BK402" s="153"/>
      <c r="BL402" s="153"/>
      <c r="BM402" s="153"/>
      <c r="BN402" s="153"/>
      <c r="BO402" s="153"/>
      <c r="BP402" s="153"/>
      <c r="BQ402" s="153"/>
      <c r="BR402" s="153"/>
      <c r="BS402" s="153"/>
      <c r="BT402" s="153"/>
      <c r="BU402" s="153"/>
      <c r="BV402" s="153"/>
      <c r="BW402" s="153"/>
      <c r="BX402" s="153"/>
      <c r="BY402" s="153"/>
      <c r="BZ402" s="153"/>
      <c r="CA402" s="153"/>
      <c r="CB402" s="153"/>
      <c r="CC402" s="153"/>
      <c r="CD402" s="153"/>
      <c r="CE402" s="153"/>
      <c r="CF402" s="153"/>
      <c r="CG402" s="153"/>
      <c r="CH402" s="153"/>
      <c r="CI402" s="153"/>
      <c r="CJ402" s="153"/>
      <c r="CK402" s="153"/>
      <c r="CL402" s="153"/>
      <c r="CM402" s="153"/>
      <c r="CN402" s="153"/>
      <c r="CO402" s="153"/>
      <c r="CP402" s="153"/>
      <c r="CQ402" s="153"/>
      <c r="CR402" s="153"/>
      <c r="CS402" s="153"/>
      <c r="CT402" s="153"/>
      <c r="CU402" s="153"/>
      <c r="CV402" s="153"/>
      <c r="CW402" s="153"/>
      <c r="CX402" s="153"/>
      <c r="CY402" s="153"/>
      <c r="CZ402" s="153"/>
      <c r="DA402" s="153"/>
      <c r="DB402" s="153"/>
      <c r="DC402" s="153"/>
      <c r="DD402" s="153"/>
      <c r="DE402" s="153"/>
      <c r="DF402" s="153"/>
      <c r="DG402" s="153"/>
      <c r="DH402" s="153"/>
      <c r="DI402" s="153"/>
      <c r="DJ402" s="153"/>
      <c r="DK402" s="153"/>
      <c r="DL402" s="153"/>
      <c r="DM402" s="153"/>
      <c r="DN402" s="153"/>
      <c r="DO402" s="153"/>
      <c r="DP402" s="153"/>
      <c r="DQ402" s="153"/>
      <c r="DR402" s="153"/>
      <c r="DS402" s="153"/>
      <c r="DT402" s="153"/>
      <c r="DU402" s="153"/>
      <c r="DV402" s="153"/>
      <c r="DW402" s="153"/>
      <c r="DX402" s="153"/>
      <c r="DY402" s="153"/>
      <c r="DZ402" s="153"/>
      <c r="EA402" s="153"/>
      <c r="EB402" s="153"/>
      <c r="EC402" s="153"/>
      <c r="ED402" s="153"/>
      <c r="EE402" s="153"/>
      <c r="EF402" s="153"/>
      <c r="EG402" s="153"/>
      <c r="EH402" s="153"/>
      <c r="EI402" s="153"/>
      <c r="EJ402" s="153"/>
      <c r="EK402" s="153"/>
      <c r="EL402" s="153"/>
      <c r="EM402" s="153"/>
    </row>
    <row r="403" spans="1:143" s="107" customFormat="1" ht="10.5" hidden="1" customHeight="1" outlineLevel="2">
      <c r="A403" s="1548">
        <v>378</v>
      </c>
      <c r="B403" s="1560" t="str">
        <f t="shared" si="7"/>
        <v/>
      </c>
      <c r="C403" s="161" t="str">
        <f>GasTime(GasAnalyser,'Horiba Data'!F396,'Horiba Data'!G396,'Testo, JUM &amp; MRU Data'!A397,'Thermo Data'!B396,HourOffset)</f>
        <v/>
      </c>
      <c r="D403" s="981" t="str">
        <f>IF(D$17=FALSE,"",GasData(GasAnalyser,'Horiba Data'!S396,'Testo, JUM &amp; MRU Data'!D397,'Thermo Data'!E396,'Testo, JUM &amp; MRU Data'!U397,GDF))</f>
        <v/>
      </c>
      <c r="E403" s="981" t="str">
        <f>IF(D403="","",Conc2(D403,D$9,MolVol,D$21,D$20,E$21,E$20))</f>
        <v/>
      </c>
      <c r="F403" s="981" t="str">
        <f>IF(F$17=FALSE,"",GasData(GasAnalyser,'Horiba Data'!AQ396,'Testo, JUM &amp; MRU Data'!E397,'Thermo Data'!F396,'Testo, JUM &amp; MRU Data'!V397,GDF))</f>
        <v/>
      </c>
      <c r="G403" s="981" t="str">
        <f>IF(F403="","",Conc2(F403,F$9,MolVol,F$21,F$20,G$21,G$20))</f>
        <v/>
      </c>
      <c r="H403" s="981" t="str">
        <f>IF(D$17=FALSE,"",IF(F$17=FALSE,"",GasData(GasAnalyser,'Horiba Data'!W396,'Testo, JUM &amp; MRU Data'!F397,'Thermo Data'!G396,'Testo, JUM &amp; MRU Data'!Y397,GDF)))</f>
        <v/>
      </c>
      <c r="I403" s="981" t="str">
        <f>IF(H403="","",Conc2(H403,H$9,MolVol,H$21,H$20,I$21,I$20))</f>
        <v/>
      </c>
      <c r="J403" s="981" t="str">
        <f>IF(J$17=FALSE,"",GasData(GasAnalyser,'Horiba Data'!AM396,'Testo, JUM &amp; MRU Data'!G397,'Thermo Data'!H396,'Testo, JUM &amp; MRU Data'!W397,GDF))</f>
        <v/>
      </c>
      <c r="K403" s="981" t="str">
        <f>IF(J403="","",Conc2(J403,J$9,MolVol,J$21,J$20,K$21,K$20))</f>
        <v/>
      </c>
      <c r="L403" s="981" t="str">
        <f>IF(L$17=FALSE,"",GasData(GasAnalyser,'Horiba Data'!AA396,'Testo, JUM &amp; MRU Data'!H397,'Thermo Data'!I396,'Testo, JUM &amp; MRU Data'!T397,GDF))</f>
        <v/>
      </c>
      <c r="M403" s="981" t="str">
        <f>IF(L403="","",Conc2(L403,L$9,MolVol,L$21,L$20,M$21,M$20))</f>
        <v/>
      </c>
      <c r="N403" s="981" t="str">
        <f>IF(N$17=FALSE,"",GasData(GasAnalyser,'Horiba Data'!AE396,'Testo, JUM &amp; MRU Data'!I397,'Thermo Data'!J396,'Testo, JUM &amp; MRU Data'!S397,GDF))</f>
        <v/>
      </c>
      <c r="O403" s="981" t="str">
        <f>IF(N403="","",Conc2(N403,N$9,MolVol,N$21,N$20,O$21,O$20))</f>
        <v/>
      </c>
      <c r="P403" s="981" t="str">
        <f>IF(P$17=FALSE,"",GasData(GasAnalyser,'Horiba Data'!AI396,'Testo, JUM &amp; MRU Data'!J397,'Thermo Data'!K396,'Testo, JUM &amp; MRU Data'!R397,GDF))</f>
        <v/>
      </c>
      <c r="Q403" s="981" t="str">
        <f>IF(P403="","",Conc2(P403,P$9,MolVol,P$21,P$20,Q$21,Q$20))</f>
        <v/>
      </c>
      <c r="R403" s="981" t="str">
        <f>IF(R$17=FALSE,"",JUMData('Testo, JUM &amp; MRU Data'!M397,$R$7))</f>
        <v/>
      </c>
      <c r="S403" s="982" t="str">
        <f>IF(R403="","",Conc2(R403,R$9,MolVol,R$21,R$20,S$21,S$20)/(1-Bws))</f>
        <v/>
      </c>
      <c r="T403" s="740"/>
      <c r="AR403" s="334"/>
      <c r="AS403" s="334"/>
      <c r="AT403" s="48"/>
      <c r="AU403" s="48"/>
      <c r="AV403" s="153"/>
      <c r="AW403" s="153"/>
      <c r="AX403" s="153"/>
      <c r="AY403" s="153"/>
      <c r="AZ403" s="153"/>
      <c r="BA403" s="153"/>
      <c r="BB403" s="153"/>
      <c r="BC403" s="153"/>
      <c r="BD403" s="153"/>
      <c r="BE403" s="153"/>
      <c r="BF403" s="153"/>
      <c r="BG403" s="153"/>
      <c r="BH403" s="153"/>
      <c r="BI403" s="153"/>
      <c r="BJ403" s="153"/>
      <c r="BK403" s="153"/>
      <c r="BL403" s="153"/>
      <c r="BM403" s="153"/>
      <c r="BN403" s="153"/>
      <c r="BO403" s="153"/>
      <c r="BP403" s="153"/>
      <c r="BQ403" s="153"/>
      <c r="BR403" s="153"/>
      <c r="BS403" s="153"/>
      <c r="BT403" s="153"/>
      <c r="BU403" s="153"/>
      <c r="BV403" s="153"/>
      <c r="BW403" s="153"/>
      <c r="BX403" s="153"/>
      <c r="BY403" s="153"/>
      <c r="BZ403" s="153"/>
      <c r="CA403" s="153"/>
      <c r="CB403" s="153"/>
      <c r="CC403" s="153"/>
      <c r="CD403" s="153"/>
      <c r="CE403" s="153"/>
      <c r="CF403" s="153"/>
      <c r="CG403" s="153"/>
      <c r="CH403" s="153"/>
      <c r="CI403" s="153"/>
      <c r="CJ403" s="153"/>
      <c r="CK403" s="153"/>
      <c r="CL403" s="153"/>
      <c r="CM403" s="153"/>
      <c r="CN403" s="153"/>
      <c r="CO403" s="153"/>
      <c r="CP403" s="153"/>
      <c r="CQ403" s="153"/>
      <c r="CR403" s="153"/>
      <c r="CS403" s="153"/>
      <c r="CT403" s="153"/>
      <c r="CU403" s="153"/>
      <c r="CV403" s="153"/>
      <c r="CW403" s="153"/>
      <c r="CX403" s="153"/>
      <c r="CY403" s="153"/>
      <c r="CZ403" s="153"/>
      <c r="DA403" s="153"/>
      <c r="DB403" s="153"/>
      <c r="DC403" s="153"/>
      <c r="DD403" s="153"/>
      <c r="DE403" s="153"/>
      <c r="DF403" s="153"/>
      <c r="DG403" s="153"/>
      <c r="DH403" s="153"/>
      <c r="DI403" s="153"/>
      <c r="DJ403" s="153"/>
      <c r="DK403" s="153"/>
      <c r="DL403" s="153"/>
      <c r="DM403" s="153"/>
      <c r="DN403" s="153"/>
      <c r="DO403" s="153"/>
      <c r="DP403" s="153"/>
      <c r="DQ403" s="153"/>
      <c r="DR403" s="153"/>
      <c r="DS403" s="153"/>
      <c r="DT403" s="153"/>
      <c r="DU403" s="153"/>
      <c r="DV403" s="153"/>
      <c r="DW403" s="153"/>
      <c r="DX403" s="153"/>
      <c r="DY403" s="153"/>
      <c r="DZ403" s="153"/>
      <c r="EA403" s="153"/>
      <c r="EB403" s="153"/>
      <c r="EC403" s="153"/>
      <c r="ED403" s="153"/>
      <c r="EE403" s="153"/>
      <c r="EF403" s="153"/>
      <c r="EG403" s="153"/>
      <c r="EH403" s="153"/>
      <c r="EI403" s="153"/>
      <c r="EJ403" s="153"/>
      <c r="EK403" s="153"/>
      <c r="EL403" s="153"/>
      <c r="EM403" s="153"/>
    </row>
    <row r="404" spans="1:143" s="107" customFormat="1" ht="10.5" hidden="1" customHeight="1" outlineLevel="2">
      <c r="A404" s="1548">
        <v>379</v>
      </c>
      <c r="B404" s="1560" t="str">
        <f t="shared" si="7"/>
        <v/>
      </c>
      <c r="C404" s="161" t="str">
        <f>GasTime(GasAnalyser,'Horiba Data'!F397,'Horiba Data'!G397,'Testo, JUM &amp; MRU Data'!A398,'Thermo Data'!B397,HourOffset)</f>
        <v/>
      </c>
      <c r="D404" s="981" t="str">
        <f>IF(D$17=FALSE,"",GasData(GasAnalyser,'Horiba Data'!S397,'Testo, JUM &amp; MRU Data'!D398,'Thermo Data'!E397,'Testo, JUM &amp; MRU Data'!U398,GDF))</f>
        <v/>
      </c>
      <c r="E404" s="981" t="str">
        <f>IF(D404="","",Conc2(D404,D$9,MolVol,D$21,D$20,E$21,E$20))</f>
        <v/>
      </c>
      <c r="F404" s="981" t="str">
        <f>IF(F$17=FALSE,"",GasData(GasAnalyser,'Horiba Data'!AQ397,'Testo, JUM &amp; MRU Data'!E398,'Thermo Data'!F397,'Testo, JUM &amp; MRU Data'!V398,GDF))</f>
        <v/>
      </c>
      <c r="G404" s="981" t="str">
        <f>IF(F404="","",Conc2(F404,F$9,MolVol,F$21,F$20,G$21,G$20))</f>
        <v/>
      </c>
      <c r="H404" s="981" t="str">
        <f>IF(D$17=FALSE,"",IF(F$17=FALSE,"",GasData(GasAnalyser,'Horiba Data'!W397,'Testo, JUM &amp; MRU Data'!F398,'Thermo Data'!G397,'Testo, JUM &amp; MRU Data'!Y398,GDF)))</f>
        <v/>
      </c>
      <c r="I404" s="981" t="str">
        <f>IF(H404="","",Conc2(H404,H$9,MolVol,H$21,H$20,I$21,I$20))</f>
        <v/>
      </c>
      <c r="J404" s="981" t="str">
        <f>IF(J$17=FALSE,"",GasData(GasAnalyser,'Horiba Data'!AM397,'Testo, JUM &amp; MRU Data'!G398,'Thermo Data'!H397,'Testo, JUM &amp; MRU Data'!W398,GDF))</f>
        <v/>
      </c>
      <c r="K404" s="981" t="str">
        <f>IF(J404="","",Conc2(J404,J$9,MolVol,J$21,J$20,K$21,K$20))</f>
        <v/>
      </c>
      <c r="L404" s="981" t="str">
        <f>IF(L$17=FALSE,"",GasData(GasAnalyser,'Horiba Data'!AA397,'Testo, JUM &amp; MRU Data'!H398,'Thermo Data'!I397,'Testo, JUM &amp; MRU Data'!T398,GDF))</f>
        <v/>
      </c>
      <c r="M404" s="981" t="str">
        <f>IF(L404="","",Conc2(L404,L$9,MolVol,L$21,L$20,M$21,M$20))</f>
        <v/>
      </c>
      <c r="N404" s="981" t="str">
        <f>IF(N$17=FALSE,"",GasData(GasAnalyser,'Horiba Data'!AE397,'Testo, JUM &amp; MRU Data'!I398,'Thermo Data'!J397,'Testo, JUM &amp; MRU Data'!S398,GDF))</f>
        <v/>
      </c>
      <c r="O404" s="981" t="str">
        <f>IF(N404="","",Conc2(N404,N$9,MolVol,N$21,N$20,O$21,O$20))</f>
        <v/>
      </c>
      <c r="P404" s="981" t="str">
        <f>IF(P$17=FALSE,"",GasData(GasAnalyser,'Horiba Data'!AI397,'Testo, JUM &amp; MRU Data'!J398,'Thermo Data'!K397,'Testo, JUM &amp; MRU Data'!R398,GDF))</f>
        <v/>
      </c>
      <c r="Q404" s="981" t="str">
        <f>IF(P404="","",Conc2(P404,P$9,MolVol,P$21,P$20,Q$21,Q$20))</f>
        <v/>
      </c>
      <c r="R404" s="981" t="str">
        <f>IF(R$17=FALSE,"",JUMData('Testo, JUM &amp; MRU Data'!M398,$R$7))</f>
        <v/>
      </c>
      <c r="S404" s="982" t="str">
        <f>IF(R404="","",Conc2(R404,R$9,MolVol,R$21,R$20,S$21,S$20)/(1-Bws))</f>
        <v/>
      </c>
      <c r="T404" s="740"/>
      <c r="AR404" s="335"/>
      <c r="AS404" s="335"/>
      <c r="AT404" s="153"/>
      <c r="AU404" s="153"/>
      <c r="AV404" s="153"/>
      <c r="AW404" s="153"/>
      <c r="AX404" s="153"/>
      <c r="AY404" s="153"/>
      <c r="AZ404" s="153"/>
      <c r="BA404" s="153"/>
      <c r="BB404" s="153"/>
      <c r="BC404" s="153"/>
      <c r="BD404" s="153"/>
      <c r="BE404" s="153"/>
      <c r="BF404" s="153"/>
      <c r="BG404" s="153"/>
      <c r="BH404" s="153"/>
      <c r="BI404" s="153"/>
      <c r="BJ404" s="153"/>
      <c r="BK404" s="153"/>
      <c r="BL404" s="153"/>
      <c r="BM404" s="153"/>
      <c r="BN404" s="153"/>
      <c r="BO404" s="153"/>
      <c r="BP404" s="153"/>
      <c r="BQ404" s="153"/>
      <c r="BR404" s="153"/>
      <c r="BS404" s="153"/>
      <c r="BT404" s="153"/>
      <c r="BU404" s="153"/>
      <c r="BV404" s="153"/>
      <c r="BW404" s="153"/>
      <c r="BX404" s="153"/>
      <c r="BY404" s="153"/>
      <c r="BZ404" s="153"/>
      <c r="CA404" s="153"/>
      <c r="CB404" s="153"/>
      <c r="CC404" s="153"/>
      <c r="CD404" s="153"/>
      <c r="CE404" s="153"/>
      <c r="CF404" s="153"/>
      <c r="CG404" s="153"/>
      <c r="CH404" s="153"/>
      <c r="CI404" s="153"/>
      <c r="CJ404" s="153"/>
      <c r="CK404" s="153"/>
      <c r="CL404" s="153"/>
      <c r="CM404" s="153"/>
      <c r="CN404" s="153"/>
      <c r="CO404" s="153"/>
      <c r="CP404" s="153"/>
      <c r="CQ404" s="153"/>
      <c r="CR404" s="153"/>
      <c r="CS404" s="153"/>
      <c r="CT404" s="153"/>
      <c r="CU404" s="153"/>
      <c r="CV404" s="153"/>
      <c r="CW404" s="153"/>
      <c r="CX404" s="153"/>
      <c r="CY404" s="153"/>
      <c r="CZ404" s="153"/>
      <c r="DA404" s="153"/>
      <c r="DB404" s="153"/>
      <c r="DC404" s="153"/>
      <c r="DD404" s="153"/>
      <c r="DE404" s="153"/>
      <c r="DF404" s="153"/>
      <c r="DG404" s="153"/>
      <c r="DH404" s="153"/>
      <c r="DI404" s="153"/>
      <c r="DJ404" s="153"/>
      <c r="DK404" s="153"/>
      <c r="DL404" s="153"/>
      <c r="DM404" s="153"/>
      <c r="DN404" s="153"/>
      <c r="DO404" s="153"/>
      <c r="DP404" s="153"/>
      <c r="DQ404" s="153"/>
      <c r="DR404" s="153"/>
      <c r="DS404" s="153"/>
      <c r="DT404" s="153"/>
      <c r="DU404" s="153"/>
      <c r="DV404" s="153"/>
      <c r="DW404" s="153"/>
      <c r="DX404" s="153"/>
      <c r="DY404" s="153"/>
      <c r="DZ404" s="153"/>
      <c r="EA404" s="153"/>
      <c r="EB404" s="153"/>
      <c r="EC404" s="153"/>
      <c r="ED404" s="153"/>
      <c r="EE404" s="153"/>
      <c r="EF404" s="153"/>
      <c r="EG404" s="153"/>
      <c r="EH404" s="153"/>
      <c r="EI404" s="153"/>
      <c r="EJ404" s="153"/>
      <c r="EK404" s="153"/>
      <c r="EL404" s="153"/>
      <c r="EM404" s="153"/>
    </row>
    <row r="405" spans="1:143" s="107" customFormat="1" ht="10.5" hidden="1" customHeight="1" outlineLevel="2">
      <c r="A405" s="1548">
        <v>380</v>
      </c>
      <c r="B405" s="1560" t="str">
        <f t="shared" si="7"/>
        <v/>
      </c>
      <c r="C405" s="161" t="str">
        <f>GasTime(GasAnalyser,'Horiba Data'!F398,'Horiba Data'!G398,'Testo, JUM &amp; MRU Data'!A399,'Thermo Data'!B398,HourOffset)</f>
        <v/>
      </c>
      <c r="D405" s="981" t="str">
        <f>IF(D$17=FALSE,"",GasData(GasAnalyser,'Horiba Data'!S398,'Testo, JUM &amp; MRU Data'!D399,'Thermo Data'!E398,'Testo, JUM &amp; MRU Data'!U399,GDF))</f>
        <v/>
      </c>
      <c r="E405" s="981" t="str">
        <f>IF(D405="","",Conc2(D405,D$9,MolVol,D$21,D$20,E$21,E$20))</f>
        <v/>
      </c>
      <c r="F405" s="981" t="str">
        <f>IF(F$17=FALSE,"",GasData(GasAnalyser,'Horiba Data'!AQ398,'Testo, JUM &amp; MRU Data'!E399,'Thermo Data'!F398,'Testo, JUM &amp; MRU Data'!V399,GDF))</f>
        <v/>
      </c>
      <c r="G405" s="981" t="str">
        <f>IF(F405="","",Conc2(F405,F$9,MolVol,F$21,F$20,G$21,G$20))</f>
        <v/>
      </c>
      <c r="H405" s="981" t="str">
        <f>IF(D$17=FALSE,"",IF(F$17=FALSE,"",GasData(GasAnalyser,'Horiba Data'!W398,'Testo, JUM &amp; MRU Data'!F399,'Thermo Data'!G398,'Testo, JUM &amp; MRU Data'!Y399,GDF)))</f>
        <v/>
      </c>
      <c r="I405" s="981" t="str">
        <f>IF(H405="","",Conc2(H405,H$9,MolVol,H$21,H$20,I$21,I$20))</f>
        <v/>
      </c>
      <c r="J405" s="981" t="str">
        <f>IF(J$17=FALSE,"",GasData(GasAnalyser,'Horiba Data'!AM398,'Testo, JUM &amp; MRU Data'!G399,'Thermo Data'!H398,'Testo, JUM &amp; MRU Data'!W399,GDF))</f>
        <v/>
      </c>
      <c r="K405" s="981" t="str">
        <f>IF(J405="","",Conc2(J405,J$9,MolVol,J$21,J$20,K$21,K$20))</f>
        <v/>
      </c>
      <c r="L405" s="981" t="str">
        <f>IF(L$17=FALSE,"",GasData(GasAnalyser,'Horiba Data'!AA398,'Testo, JUM &amp; MRU Data'!H399,'Thermo Data'!I398,'Testo, JUM &amp; MRU Data'!T399,GDF))</f>
        <v/>
      </c>
      <c r="M405" s="981" t="str">
        <f>IF(L405="","",Conc2(L405,L$9,MolVol,L$21,L$20,M$21,M$20))</f>
        <v/>
      </c>
      <c r="N405" s="981" t="str">
        <f>IF(N$17=FALSE,"",GasData(GasAnalyser,'Horiba Data'!AE398,'Testo, JUM &amp; MRU Data'!I399,'Thermo Data'!J398,'Testo, JUM &amp; MRU Data'!S399,GDF))</f>
        <v/>
      </c>
      <c r="O405" s="981" t="str">
        <f>IF(N405="","",Conc2(N405,N$9,MolVol,N$21,N$20,O$21,O$20))</f>
        <v/>
      </c>
      <c r="P405" s="981" t="str">
        <f>IF(P$17=FALSE,"",GasData(GasAnalyser,'Horiba Data'!AI398,'Testo, JUM &amp; MRU Data'!J399,'Thermo Data'!K398,'Testo, JUM &amp; MRU Data'!R399,GDF))</f>
        <v/>
      </c>
      <c r="Q405" s="981" t="str">
        <f>IF(P405="","",Conc2(P405,P$9,MolVol,P$21,P$20,Q$21,Q$20))</f>
        <v/>
      </c>
      <c r="R405" s="981" t="str">
        <f>IF(R$17=FALSE,"",JUMData('Testo, JUM &amp; MRU Data'!M399,$R$7))</f>
        <v/>
      </c>
      <c r="S405" s="982" t="str">
        <f>IF(R405="","",Conc2(R405,R$9,MolVol,R$21,R$20,S$21,S$20)/(1-Bws))</f>
        <v/>
      </c>
      <c r="T405" s="740"/>
      <c r="AR405" s="335"/>
      <c r="AS405" s="335"/>
      <c r="AT405" s="153"/>
      <c r="AU405" s="153"/>
      <c r="AV405" s="153"/>
      <c r="AW405" s="153"/>
      <c r="AX405" s="153"/>
      <c r="AY405" s="153"/>
      <c r="AZ405" s="153"/>
      <c r="BA405" s="153"/>
      <c r="BB405" s="153"/>
      <c r="BC405" s="153"/>
      <c r="BD405" s="153"/>
      <c r="BE405" s="153"/>
      <c r="BF405" s="153"/>
      <c r="BG405" s="153"/>
      <c r="BH405" s="153"/>
      <c r="BI405" s="153"/>
      <c r="BJ405" s="153"/>
      <c r="BK405" s="153"/>
      <c r="BL405" s="153"/>
      <c r="BM405" s="153"/>
      <c r="BN405" s="153"/>
      <c r="BO405" s="153"/>
      <c r="BP405" s="153"/>
      <c r="BQ405" s="153"/>
      <c r="BR405" s="153"/>
      <c r="BS405" s="153"/>
      <c r="BT405" s="153"/>
      <c r="BU405" s="153"/>
      <c r="BV405" s="153"/>
      <c r="BW405" s="153"/>
      <c r="BX405" s="153"/>
      <c r="BY405" s="153"/>
      <c r="BZ405" s="153"/>
      <c r="CA405" s="153"/>
      <c r="CB405" s="153"/>
      <c r="CC405" s="153"/>
      <c r="CD405" s="153"/>
      <c r="CE405" s="153"/>
      <c r="CF405" s="153"/>
      <c r="CG405" s="153"/>
      <c r="CH405" s="153"/>
      <c r="CI405" s="153"/>
      <c r="CJ405" s="153"/>
      <c r="CK405" s="153"/>
      <c r="CL405" s="153"/>
      <c r="CM405" s="153"/>
      <c r="CN405" s="153"/>
      <c r="CO405" s="153"/>
      <c r="CP405" s="153"/>
      <c r="CQ405" s="153"/>
      <c r="CR405" s="153"/>
      <c r="CS405" s="153"/>
      <c r="CT405" s="153"/>
      <c r="CU405" s="153"/>
      <c r="CV405" s="153"/>
      <c r="CW405" s="153"/>
      <c r="CX405" s="153"/>
      <c r="CY405" s="153"/>
      <c r="CZ405" s="153"/>
      <c r="DA405" s="153"/>
      <c r="DB405" s="153"/>
      <c r="DC405" s="153"/>
      <c r="DD405" s="153"/>
      <c r="DE405" s="153"/>
      <c r="DF405" s="153"/>
      <c r="DG405" s="153"/>
      <c r="DH405" s="153"/>
      <c r="DI405" s="153"/>
      <c r="DJ405" s="153"/>
      <c r="DK405" s="153"/>
      <c r="DL405" s="153"/>
      <c r="DM405" s="153"/>
      <c r="DN405" s="153"/>
      <c r="DO405" s="153"/>
      <c r="DP405" s="153"/>
      <c r="DQ405" s="153"/>
      <c r="DR405" s="153"/>
      <c r="DS405" s="153"/>
      <c r="DT405" s="153"/>
      <c r="DU405" s="153"/>
      <c r="DV405" s="153"/>
      <c r="DW405" s="153"/>
      <c r="DX405" s="153"/>
      <c r="DY405" s="153"/>
      <c r="DZ405" s="153"/>
      <c r="EA405" s="153"/>
      <c r="EB405" s="153"/>
      <c r="EC405" s="153"/>
      <c r="ED405" s="153"/>
      <c r="EE405" s="153"/>
      <c r="EF405" s="153"/>
      <c r="EG405" s="153"/>
      <c r="EH405" s="153"/>
      <c r="EI405" s="153"/>
      <c r="EJ405" s="153"/>
      <c r="EK405" s="153"/>
      <c r="EL405" s="153"/>
      <c r="EM405" s="153"/>
    </row>
    <row r="406" spans="1:143" s="107" customFormat="1" ht="10.5" hidden="1" customHeight="1" outlineLevel="2">
      <c r="A406" s="1548">
        <v>381</v>
      </c>
      <c r="B406" s="1560" t="str">
        <f t="shared" si="7"/>
        <v/>
      </c>
      <c r="C406" s="161" t="str">
        <f>GasTime(GasAnalyser,'Horiba Data'!F399,'Horiba Data'!G399,'Testo, JUM &amp; MRU Data'!A400,'Thermo Data'!B399,HourOffset)</f>
        <v/>
      </c>
      <c r="D406" s="981" t="str">
        <f>IF(D$17=FALSE,"",GasData(GasAnalyser,'Horiba Data'!S399,'Testo, JUM &amp; MRU Data'!D400,'Thermo Data'!E399,'Testo, JUM &amp; MRU Data'!U400,GDF))</f>
        <v/>
      </c>
      <c r="E406" s="981" t="str">
        <f>IF(D406="","",Conc2(D406,D$9,MolVol,D$21,D$20,E$21,E$20))</f>
        <v/>
      </c>
      <c r="F406" s="981" t="str">
        <f>IF(F$17=FALSE,"",GasData(GasAnalyser,'Horiba Data'!AQ399,'Testo, JUM &amp; MRU Data'!E400,'Thermo Data'!F399,'Testo, JUM &amp; MRU Data'!V400,GDF))</f>
        <v/>
      </c>
      <c r="G406" s="981" t="str">
        <f>IF(F406="","",Conc2(F406,F$9,MolVol,F$21,F$20,G$21,G$20))</f>
        <v/>
      </c>
      <c r="H406" s="981" t="str">
        <f>IF(D$17=FALSE,"",IF(F$17=FALSE,"",GasData(GasAnalyser,'Horiba Data'!W399,'Testo, JUM &amp; MRU Data'!F400,'Thermo Data'!G399,'Testo, JUM &amp; MRU Data'!Y400,GDF)))</f>
        <v/>
      </c>
      <c r="I406" s="981" t="str">
        <f>IF(H406="","",Conc2(H406,H$9,MolVol,H$21,H$20,I$21,I$20))</f>
        <v/>
      </c>
      <c r="J406" s="981" t="str">
        <f>IF(J$17=FALSE,"",GasData(GasAnalyser,'Horiba Data'!AM399,'Testo, JUM &amp; MRU Data'!G400,'Thermo Data'!H399,'Testo, JUM &amp; MRU Data'!W400,GDF))</f>
        <v/>
      </c>
      <c r="K406" s="981" t="str">
        <f>IF(J406="","",Conc2(J406,J$9,MolVol,J$21,J$20,K$21,K$20))</f>
        <v/>
      </c>
      <c r="L406" s="981" t="str">
        <f>IF(L$17=FALSE,"",GasData(GasAnalyser,'Horiba Data'!AA399,'Testo, JUM &amp; MRU Data'!H400,'Thermo Data'!I399,'Testo, JUM &amp; MRU Data'!T400,GDF))</f>
        <v/>
      </c>
      <c r="M406" s="981" t="str">
        <f>IF(L406="","",Conc2(L406,L$9,MolVol,L$21,L$20,M$21,M$20))</f>
        <v/>
      </c>
      <c r="N406" s="981" t="str">
        <f>IF(N$17=FALSE,"",GasData(GasAnalyser,'Horiba Data'!AE399,'Testo, JUM &amp; MRU Data'!I400,'Thermo Data'!J399,'Testo, JUM &amp; MRU Data'!S400,GDF))</f>
        <v/>
      </c>
      <c r="O406" s="981" t="str">
        <f>IF(N406="","",Conc2(N406,N$9,MolVol,N$21,N$20,O$21,O$20))</f>
        <v/>
      </c>
      <c r="P406" s="981" t="str">
        <f>IF(P$17=FALSE,"",GasData(GasAnalyser,'Horiba Data'!AI399,'Testo, JUM &amp; MRU Data'!J400,'Thermo Data'!K399,'Testo, JUM &amp; MRU Data'!R400,GDF))</f>
        <v/>
      </c>
      <c r="Q406" s="981" t="str">
        <f>IF(P406="","",Conc2(P406,P$9,MolVol,P$21,P$20,Q$21,Q$20))</f>
        <v/>
      </c>
      <c r="R406" s="981" t="str">
        <f>IF(R$17=FALSE,"",JUMData('Testo, JUM &amp; MRU Data'!M400,$R$7))</f>
        <v/>
      </c>
      <c r="S406" s="982" t="str">
        <f>IF(R406="","",Conc2(R406,R$9,MolVol,R$21,R$20,S$21,S$20)/(1-Bws))</f>
        <v/>
      </c>
      <c r="T406" s="740"/>
      <c r="AR406" s="335"/>
      <c r="AS406" s="335"/>
      <c r="AT406" s="153"/>
      <c r="AU406" s="153"/>
      <c r="AV406" s="153"/>
      <c r="AW406" s="153"/>
      <c r="AX406" s="153"/>
      <c r="AY406" s="153"/>
      <c r="AZ406" s="153"/>
      <c r="BA406" s="153"/>
      <c r="BB406" s="153"/>
      <c r="BC406" s="153"/>
      <c r="BD406" s="153"/>
      <c r="BE406" s="153"/>
      <c r="BF406" s="153"/>
      <c r="BG406" s="153"/>
      <c r="BH406" s="153"/>
      <c r="BI406" s="153"/>
      <c r="BJ406" s="153"/>
      <c r="BK406" s="153"/>
      <c r="BL406" s="153"/>
      <c r="BM406" s="153"/>
      <c r="BN406" s="153"/>
      <c r="BO406" s="153"/>
      <c r="BP406" s="153"/>
      <c r="BQ406" s="153"/>
      <c r="BR406" s="153"/>
      <c r="BS406" s="153"/>
      <c r="BT406" s="153"/>
      <c r="BU406" s="153"/>
      <c r="BV406" s="153"/>
      <c r="BW406" s="153"/>
      <c r="BX406" s="153"/>
      <c r="BY406" s="153"/>
      <c r="BZ406" s="153"/>
      <c r="CA406" s="153"/>
      <c r="CB406" s="153"/>
      <c r="CC406" s="153"/>
      <c r="CD406" s="153"/>
      <c r="CE406" s="153"/>
      <c r="CF406" s="153"/>
      <c r="CG406" s="153"/>
      <c r="CH406" s="153"/>
      <c r="CI406" s="153"/>
      <c r="CJ406" s="153"/>
      <c r="CK406" s="153"/>
      <c r="CL406" s="153"/>
      <c r="CM406" s="153"/>
      <c r="CN406" s="153"/>
      <c r="CO406" s="153"/>
      <c r="CP406" s="153"/>
      <c r="CQ406" s="153"/>
      <c r="CR406" s="153"/>
      <c r="CS406" s="153"/>
      <c r="CT406" s="153"/>
      <c r="CU406" s="153"/>
      <c r="CV406" s="153"/>
      <c r="CW406" s="153"/>
      <c r="CX406" s="153"/>
      <c r="CY406" s="153"/>
      <c r="CZ406" s="153"/>
      <c r="DA406" s="153"/>
      <c r="DB406" s="153"/>
      <c r="DC406" s="153"/>
      <c r="DD406" s="153"/>
      <c r="DE406" s="153"/>
      <c r="DF406" s="153"/>
      <c r="DG406" s="153"/>
      <c r="DH406" s="153"/>
      <c r="DI406" s="153"/>
      <c r="DJ406" s="153"/>
      <c r="DK406" s="153"/>
      <c r="DL406" s="153"/>
      <c r="DM406" s="153"/>
      <c r="DN406" s="153"/>
      <c r="DO406" s="153"/>
      <c r="DP406" s="153"/>
      <c r="DQ406" s="153"/>
      <c r="DR406" s="153"/>
      <c r="DS406" s="153"/>
      <c r="DT406" s="153"/>
      <c r="DU406" s="153"/>
      <c r="DV406" s="153"/>
      <c r="DW406" s="153"/>
      <c r="DX406" s="153"/>
      <c r="DY406" s="153"/>
      <c r="DZ406" s="153"/>
      <c r="EA406" s="153"/>
      <c r="EB406" s="153"/>
      <c r="EC406" s="153"/>
      <c r="ED406" s="153"/>
      <c r="EE406" s="153"/>
      <c r="EF406" s="153"/>
      <c r="EG406" s="153"/>
      <c r="EH406" s="153"/>
      <c r="EI406" s="153"/>
      <c r="EJ406" s="153"/>
      <c r="EK406" s="153"/>
      <c r="EL406" s="153"/>
      <c r="EM406" s="153"/>
    </row>
    <row r="407" spans="1:143" s="107" customFormat="1" ht="10.5" hidden="1" customHeight="1" outlineLevel="2">
      <c r="A407" s="1548">
        <v>382</v>
      </c>
      <c r="B407" s="1560" t="str">
        <f t="shared" si="7"/>
        <v/>
      </c>
      <c r="C407" s="161" t="str">
        <f>GasTime(GasAnalyser,'Horiba Data'!F400,'Horiba Data'!G400,'Testo, JUM &amp; MRU Data'!A401,'Thermo Data'!B400,HourOffset)</f>
        <v/>
      </c>
      <c r="D407" s="981" t="str">
        <f>IF(D$17=FALSE,"",GasData(GasAnalyser,'Horiba Data'!S400,'Testo, JUM &amp; MRU Data'!D401,'Thermo Data'!E400,'Testo, JUM &amp; MRU Data'!U401,GDF))</f>
        <v/>
      </c>
      <c r="E407" s="981" t="str">
        <f>IF(D407="","",Conc2(D407,D$9,MolVol,D$21,D$20,E$21,E$20))</f>
        <v/>
      </c>
      <c r="F407" s="981" t="str">
        <f>IF(F$17=FALSE,"",GasData(GasAnalyser,'Horiba Data'!AQ400,'Testo, JUM &amp; MRU Data'!E401,'Thermo Data'!F400,'Testo, JUM &amp; MRU Data'!V401,GDF))</f>
        <v/>
      </c>
      <c r="G407" s="981" t="str">
        <f>IF(F407="","",Conc2(F407,F$9,MolVol,F$21,F$20,G$21,G$20))</f>
        <v/>
      </c>
      <c r="H407" s="981" t="str">
        <f>IF(D$17=FALSE,"",IF(F$17=FALSE,"",GasData(GasAnalyser,'Horiba Data'!W400,'Testo, JUM &amp; MRU Data'!F401,'Thermo Data'!G400,'Testo, JUM &amp; MRU Data'!Y401,GDF)))</f>
        <v/>
      </c>
      <c r="I407" s="981" t="str">
        <f>IF(H407="","",Conc2(H407,H$9,MolVol,H$21,H$20,I$21,I$20))</f>
        <v/>
      </c>
      <c r="J407" s="981" t="str">
        <f>IF(J$17=FALSE,"",GasData(GasAnalyser,'Horiba Data'!AM400,'Testo, JUM &amp; MRU Data'!G401,'Thermo Data'!H400,'Testo, JUM &amp; MRU Data'!W401,GDF))</f>
        <v/>
      </c>
      <c r="K407" s="981" t="str">
        <f>IF(J407="","",Conc2(J407,J$9,MolVol,J$21,J$20,K$21,K$20))</f>
        <v/>
      </c>
      <c r="L407" s="981" t="str">
        <f>IF(L$17=FALSE,"",GasData(GasAnalyser,'Horiba Data'!AA400,'Testo, JUM &amp; MRU Data'!H401,'Thermo Data'!I400,'Testo, JUM &amp; MRU Data'!T401,GDF))</f>
        <v/>
      </c>
      <c r="M407" s="981" t="str">
        <f>IF(L407="","",Conc2(L407,L$9,MolVol,L$21,L$20,M$21,M$20))</f>
        <v/>
      </c>
      <c r="N407" s="981" t="str">
        <f>IF(N$17=FALSE,"",GasData(GasAnalyser,'Horiba Data'!AE400,'Testo, JUM &amp; MRU Data'!I401,'Thermo Data'!J400,'Testo, JUM &amp; MRU Data'!S401,GDF))</f>
        <v/>
      </c>
      <c r="O407" s="981" t="str">
        <f>IF(N407="","",Conc2(N407,N$9,MolVol,N$21,N$20,O$21,O$20))</f>
        <v/>
      </c>
      <c r="P407" s="981" t="str">
        <f>IF(P$17=FALSE,"",GasData(GasAnalyser,'Horiba Data'!AI400,'Testo, JUM &amp; MRU Data'!J401,'Thermo Data'!K400,'Testo, JUM &amp; MRU Data'!R401,GDF))</f>
        <v/>
      </c>
      <c r="Q407" s="981" t="str">
        <f>IF(P407="","",Conc2(P407,P$9,MolVol,P$21,P$20,Q$21,Q$20))</f>
        <v/>
      </c>
      <c r="R407" s="981" t="str">
        <f>IF(R$17=FALSE,"",JUMData('Testo, JUM &amp; MRU Data'!M401,$R$7))</f>
        <v/>
      </c>
      <c r="S407" s="982" t="str">
        <f>IF(R407="","",Conc2(R407,R$9,MolVol,R$21,R$20,S$21,S$20)/(1-Bws))</f>
        <v/>
      </c>
      <c r="T407" s="740"/>
      <c r="AR407" s="335"/>
      <c r="AS407" s="335"/>
      <c r="AT407" s="153"/>
      <c r="AU407" s="153"/>
      <c r="AV407" s="153"/>
      <c r="AW407" s="153"/>
      <c r="AX407" s="153"/>
      <c r="AY407" s="153"/>
      <c r="AZ407" s="153"/>
      <c r="BA407" s="153"/>
      <c r="BB407" s="153"/>
      <c r="BC407" s="153"/>
      <c r="BD407" s="153"/>
      <c r="BE407" s="153"/>
      <c r="BF407" s="153"/>
      <c r="BG407" s="153"/>
      <c r="BH407" s="153"/>
      <c r="BI407" s="153"/>
      <c r="BJ407" s="153"/>
      <c r="BK407" s="153"/>
      <c r="BL407" s="153"/>
      <c r="BM407" s="153"/>
      <c r="BN407" s="153"/>
      <c r="BO407" s="153"/>
      <c r="BP407" s="153"/>
      <c r="BQ407" s="153"/>
      <c r="BR407" s="153"/>
      <c r="BS407" s="153"/>
      <c r="BT407" s="153"/>
      <c r="BU407" s="153"/>
      <c r="BV407" s="153"/>
      <c r="BW407" s="153"/>
      <c r="BX407" s="153"/>
      <c r="BY407" s="153"/>
      <c r="BZ407" s="153"/>
      <c r="CA407" s="153"/>
      <c r="CB407" s="153"/>
      <c r="CC407" s="153"/>
      <c r="CD407" s="153"/>
      <c r="CE407" s="153"/>
      <c r="CF407" s="153"/>
      <c r="CG407" s="153"/>
      <c r="CH407" s="153"/>
      <c r="CI407" s="153"/>
      <c r="CJ407" s="153"/>
      <c r="CK407" s="153"/>
      <c r="CL407" s="153"/>
      <c r="CM407" s="153"/>
      <c r="CN407" s="153"/>
      <c r="CO407" s="153"/>
      <c r="CP407" s="153"/>
      <c r="CQ407" s="153"/>
      <c r="CR407" s="153"/>
      <c r="CS407" s="153"/>
      <c r="CT407" s="153"/>
      <c r="CU407" s="153"/>
      <c r="CV407" s="153"/>
      <c r="CW407" s="153"/>
      <c r="CX407" s="153"/>
      <c r="CY407" s="153"/>
      <c r="CZ407" s="153"/>
      <c r="DA407" s="153"/>
      <c r="DB407" s="153"/>
      <c r="DC407" s="153"/>
      <c r="DD407" s="153"/>
      <c r="DE407" s="153"/>
      <c r="DF407" s="153"/>
      <c r="DG407" s="153"/>
      <c r="DH407" s="153"/>
      <c r="DI407" s="153"/>
      <c r="DJ407" s="153"/>
      <c r="DK407" s="153"/>
      <c r="DL407" s="153"/>
      <c r="DM407" s="153"/>
      <c r="DN407" s="153"/>
      <c r="DO407" s="153"/>
      <c r="DP407" s="153"/>
      <c r="DQ407" s="153"/>
      <c r="DR407" s="153"/>
      <c r="DS407" s="153"/>
      <c r="DT407" s="153"/>
      <c r="DU407" s="153"/>
      <c r="DV407" s="153"/>
      <c r="DW407" s="153"/>
      <c r="DX407" s="153"/>
      <c r="DY407" s="153"/>
      <c r="DZ407" s="153"/>
      <c r="EA407" s="153"/>
      <c r="EB407" s="153"/>
      <c r="EC407" s="153"/>
      <c r="ED407" s="153"/>
      <c r="EE407" s="153"/>
      <c r="EF407" s="153"/>
      <c r="EG407" s="153"/>
      <c r="EH407" s="153"/>
      <c r="EI407" s="153"/>
      <c r="EJ407" s="153"/>
      <c r="EK407" s="153"/>
      <c r="EL407" s="153"/>
      <c r="EM407" s="153"/>
    </row>
    <row r="408" spans="1:143" s="107" customFormat="1" ht="10.5" hidden="1" customHeight="1" outlineLevel="2">
      <c r="A408" s="1548">
        <v>383</v>
      </c>
      <c r="B408" s="1560" t="str">
        <f t="shared" si="7"/>
        <v/>
      </c>
      <c r="C408" s="161" t="str">
        <f>GasTime(GasAnalyser,'Horiba Data'!F401,'Horiba Data'!G401,'Testo, JUM &amp; MRU Data'!A402,'Thermo Data'!B401,HourOffset)</f>
        <v/>
      </c>
      <c r="D408" s="981" t="str">
        <f>IF(D$17=FALSE,"",GasData(GasAnalyser,'Horiba Data'!S401,'Testo, JUM &amp; MRU Data'!D402,'Thermo Data'!E401,'Testo, JUM &amp; MRU Data'!U402,GDF))</f>
        <v/>
      </c>
      <c r="E408" s="981" t="str">
        <f>IF(D408="","",Conc2(D408,D$9,MolVol,D$21,D$20,E$21,E$20))</f>
        <v/>
      </c>
      <c r="F408" s="981" t="str">
        <f>IF(F$17=FALSE,"",GasData(GasAnalyser,'Horiba Data'!AQ401,'Testo, JUM &amp; MRU Data'!E402,'Thermo Data'!F401,'Testo, JUM &amp; MRU Data'!V402,GDF))</f>
        <v/>
      </c>
      <c r="G408" s="981" t="str">
        <f>IF(F408="","",Conc2(F408,F$9,MolVol,F$21,F$20,G$21,G$20))</f>
        <v/>
      </c>
      <c r="H408" s="981" t="str">
        <f>IF(D$17=FALSE,"",IF(F$17=FALSE,"",GasData(GasAnalyser,'Horiba Data'!W401,'Testo, JUM &amp; MRU Data'!F402,'Thermo Data'!G401,'Testo, JUM &amp; MRU Data'!Y402,GDF)))</f>
        <v/>
      </c>
      <c r="I408" s="981" t="str">
        <f>IF(H408="","",Conc2(H408,H$9,MolVol,H$21,H$20,I$21,I$20))</f>
        <v/>
      </c>
      <c r="J408" s="981" t="str">
        <f>IF(J$17=FALSE,"",GasData(GasAnalyser,'Horiba Data'!AM401,'Testo, JUM &amp; MRU Data'!G402,'Thermo Data'!H401,'Testo, JUM &amp; MRU Data'!W402,GDF))</f>
        <v/>
      </c>
      <c r="K408" s="981" t="str">
        <f>IF(J408="","",Conc2(J408,J$9,MolVol,J$21,J$20,K$21,K$20))</f>
        <v/>
      </c>
      <c r="L408" s="981" t="str">
        <f>IF(L$17=FALSE,"",GasData(GasAnalyser,'Horiba Data'!AA401,'Testo, JUM &amp; MRU Data'!H402,'Thermo Data'!I401,'Testo, JUM &amp; MRU Data'!T402,GDF))</f>
        <v/>
      </c>
      <c r="M408" s="981" t="str">
        <f>IF(L408="","",Conc2(L408,L$9,MolVol,L$21,L$20,M$21,M$20))</f>
        <v/>
      </c>
      <c r="N408" s="981" t="str">
        <f>IF(N$17=FALSE,"",GasData(GasAnalyser,'Horiba Data'!AE401,'Testo, JUM &amp; MRU Data'!I402,'Thermo Data'!J401,'Testo, JUM &amp; MRU Data'!S402,GDF))</f>
        <v/>
      </c>
      <c r="O408" s="981" t="str">
        <f>IF(N408="","",Conc2(N408,N$9,MolVol,N$21,N$20,O$21,O$20))</f>
        <v/>
      </c>
      <c r="P408" s="981" t="str">
        <f>IF(P$17=FALSE,"",GasData(GasAnalyser,'Horiba Data'!AI401,'Testo, JUM &amp; MRU Data'!J402,'Thermo Data'!K401,'Testo, JUM &amp; MRU Data'!R402,GDF))</f>
        <v/>
      </c>
      <c r="Q408" s="981" t="str">
        <f>IF(P408="","",Conc2(P408,P$9,MolVol,P$21,P$20,Q$21,Q$20))</f>
        <v/>
      </c>
      <c r="R408" s="981" t="str">
        <f>IF(R$17=FALSE,"",JUMData('Testo, JUM &amp; MRU Data'!M402,$R$7))</f>
        <v/>
      </c>
      <c r="S408" s="982" t="str">
        <f>IF(R408="","",Conc2(R408,R$9,MolVol,R$21,R$20,S$21,S$20)/(1-Bws))</f>
        <v/>
      </c>
      <c r="T408" s="740"/>
      <c r="AR408" s="335"/>
      <c r="AS408" s="335"/>
      <c r="AT408" s="153"/>
      <c r="AU408" s="153"/>
      <c r="AV408" s="153"/>
      <c r="AW408" s="153"/>
      <c r="AX408" s="153"/>
      <c r="AY408" s="153"/>
      <c r="AZ408" s="153"/>
      <c r="BA408" s="153"/>
      <c r="BB408" s="153"/>
      <c r="BC408" s="153"/>
      <c r="BD408" s="153"/>
      <c r="BE408" s="153"/>
      <c r="BF408" s="153"/>
      <c r="BG408" s="153"/>
      <c r="BH408" s="153"/>
      <c r="BI408" s="153"/>
      <c r="BJ408" s="153"/>
      <c r="BK408" s="153"/>
      <c r="BL408" s="153"/>
      <c r="BM408" s="153"/>
      <c r="BN408" s="153"/>
      <c r="BO408" s="153"/>
      <c r="BP408" s="153"/>
      <c r="BQ408" s="153"/>
      <c r="BR408" s="153"/>
      <c r="BS408" s="153"/>
      <c r="BT408" s="153"/>
      <c r="BU408" s="153"/>
      <c r="BV408" s="153"/>
      <c r="BW408" s="153"/>
      <c r="BX408" s="153"/>
      <c r="BY408" s="153"/>
      <c r="BZ408" s="153"/>
      <c r="CA408" s="153"/>
      <c r="CB408" s="153"/>
      <c r="CC408" s="153"/>
      <c r="CD408" s="153"/>
      <c r="CE408" s="153"/>
      <c r="CF408" s="153"/>
      <c r="CG408" s="153"/>
      <c r="CH408" s="153"/>
      <c r="CI408" s="153"/>
      <c r="CJ408" s="153"/>
      <c r="CK408" s="153"/>
      <c r="CL408" s="153"/>
      <c r="CM408" s="153"/>
      <c r="CN408" s="153"/>
      <c r="CO408" s="153"/>
      <c r="CP408" s="153"/>
      <c r="CQ408" s="153"/>
      <c r="CR408" s="153"/>
      <c r="CS408" s="153"/>
      <c r="CT408" s="153"/>
      <c r="CU408" s="153"/>
      <c r="CV408" s="153"/>
      <c r="CW408" s="153"/>
      <c r="CX408" s="153"/>
      <c r="CY408" s="153"/>
      <c r="CZ408" s="153"/>
      <c r="DA408" s="153"/>
      <c r="DB408" s="153"/>
      <c r="DC408" s="153"/>
      <c r="DD408" s="153"/>
      <c r="DE408" s="153"/>
      <c r="DF408" s="153"/>
      <c r="DG408" s="153"/>
      <c r="DH408" s="153"/>
      <c r="DI408" s="153"/>
      <c r="DJ408" s="153"/>
      <c r="DK408" s="153"/>
      <c r="DL408" s="153"/>
      <c r="DM408" s="153"/>
      <c r="DN408" s="153"/>
      <c r="DO408" s="153"/>
      <c r="DP408" s="153"/>
      <c r="DQ408" s="153"/>
      <c r="DR408" s="153"/>
      <c r="DS408" s="153"/>
      <c r="DT408" s="153"/>
      <c r="DU408" s="153"/>
      <c r="DV408" s="153"/>
      <c r="DW408" s="153"/>
      <c r="DX408" s="153"/>
      <c r="DY408" s="153"/>
      <c r="DZ408" s="153"/>
      <c r="EA408" s="153"/>
      <c r="EB408" s="153"/>
      <c r="EC408" s="153"/>
      <c r="ED408" s="153"/>
      <c r="EE408" s="153"/>
      <c r="EF408" s="153"/>
      <c r="EG408" s="153"/>
      <c r="EH408" s="153"/>
      <c r="EI408" s="153"/>
      <c r="EJ408" s="153"/>
      <c r="EK408" s="153"/>
      <c r="EL408" s="153"/>
      <c r="EM408" s="153"/>
    </row>
    <row r="409" spans="1:143" s="107" customFormat="1" ht="10.5" hidden="1" customHeight="1" outlineLevel="2">
      <c r="A409" s="1548">
        <v>384</v>
      </c>
      <c r="B409" s="1560" t="str">
        <f t="shared" si="7"/>
        <v/>
      </c>
      <c r="C409" s="161" t="str">
        <f>GasTime(GasAnalyser,'Horiba Data'!F402,'Horiba Data'!G402,'Testo, JUM &amp; MRU Data'!A403,'Thermo Data'!B402,HourOffset)</f>
        <v/>
      </c>
      <c r="D409" s="981" t="str">
        <f>IF(D$17=FALSE,"",GasData(GasAnalyser,'Horiba Data'!S402,'Testo, JUM &amp; MRU Data'!D403,'Thermo Data'!E402,'Testo, JUM &amp; MRU Data'!U403,GDF))</f>
        <v/>
      </c>
      <c r="E409" s="981" t="str">
        <f>IF(D409="","",Conc2(D409,D$9,MolVol,D$21,D$20,E$21,E$20))</f>
        <v/>
      </c>
      <c r="F409" s="981" t="str">
        <f>IF(F$17=FALSE,"",GasData(GasAnalyser,'Horiba Data'!AQ402,'Testo, JUM &amp; MRU Data'!E403,'Thermo Data'!F402,'Testo, JUM &amp; MRU Data'!V403,GDF))</f>
        <v/>
      </c>
      <c r="G409" s="981" t="str">
        <f>IF(F409="","",Conc2(F409,F$9,MolVol,F$21,F$20,G$21,G$20))</f>
        <v/>
      </c>
      <c r="H409" s="981" t="str">
        <f>IF(D$17=FALSE,"",IF(F$17=FALSE,"",GasData(GasAnalyser,'Horiba Data'!W402,'Testo, JUM &amp; MRU Data'!F403,'Thermo Data'!G402,'Testo, JUM &amp; MRU Data'!Y403,GDF)))</f>
        <v/>
      </c>
      <c r="I409" s="981" t="str">
        <f>IF(H409="","",Conc2(H409,H$9,MolVol,H$21,H$20,I$21,I$20))</f>
        <v/>
      </c>
      <c r="J409" s="981" t="str">
        <f>IF(J$17=FALSE,"",GasData(GasAnalyser,'Horiba Data'!AM402,'Testo, JUM &amp; MRU Data'!G403,'Thermo Data'!H402,'Testo, JUM &amp; MRU Data'!W403,GDF))</f>
        <v/>
      </c>
      <c r="K409" s="981" t="str">
        <f>IF(J409="","",Conc2(J409,J$9,MolVol,J$21,J$20,K$21,K$20))</f>
        <v/>
      </c>
      <c r="L409" s="981" t="str">
        <f>IF(L$17=FALSE,"",GasData(GasAnalyser,'Horiba Data'!AA402,'Testo, JUM &amp; MRU Data'!H403,'Thermo Data'!I402,'Testo, JUM &amp; MRU Data'!T403,GDF))</f>
        <v/>
      </c>
      <c r="M409" s="981" t="str">
        <f>IF(L409="","",Conc2(L409,L$9,MolVol,L$21,L$20,M$21,M$20))</f>
        <v/>
      </c>
      <c r="N409" s="981" t="str">
        <f>IF(N$17=FALSE,"",GasData(GasAnalyser,'Horiba Data'!AE402,'Testo, JUM &amp; MRU Data'!I403,'Thermo Data'!J402,'Testo, JUM &amp; MRU Data'!S403,GDF))</f>
        <v/>
      </c>
      <c r="O409" s="981" t="str">
        <f>IF(N409="","",Conc2(N409,N$9,MolVol,N$21,N$20,O$21,O$20))</f>
        <v/>
      </c>
      <c r="P409" s="981" t="str">
        <f>IF(P$17=FALSE,"",GasData(GasAnalyser,'Horiba Data'!AI402,'Testo, JUM &amp; MRU Data'!J403,'Thermo Data'!K402,'Testo, JUM &amp; MRU Data'!R403,GDF))</f>
        <v/>
      </c>
      <c r="Q409" s="981" t="str">
        <f>IF(P409="","",Conc2(P409,P$9,MolVol,P$21,P$20,Q$21,Q$20))</f>
        <v/>
      </c>
      <c r="R409" s="981" t="str">
        <f>IF(R$17=FALSE,"",JUMData('Testo, JUM &amp; MRU Data'!M403,$R$7))</f>
        <v/>
      </c>
      <c r="S409" s="982" t="str">
        <f>IF(R409="","",Conc2(R409,R$9,MolVol,R$21,R$20,S$21,S$20)/(1-Bws))</f>
        <v/>
      </c>
      <c r="T409" s="740"/>
      <c r="AR409" s="335"/>
      <c r="AS409" s="335"/>
      <c r="AT409" s="153"/>
      <c r="AU409" s="153"/>
      <c r="AV409" s="153"/>
      <c r="AW409" s="153"/>
      <c r="AX409" s="153"/>
      <c r="AY409" s="153"/>
      <c r="AZ409" s="153"/>
      <c r="BA409" s="153"/>
      <c r="BB409" s="153"/>
      <c r="BC409" s="153"/>
      <c r="BD409" s="153"/>
      <c r="BE409" s="153"/>
      <c r="BF409" s="153"/>
      <c r="BG409" s="153"/>
      <c r="BH409" s="153"/>
      <c r="BI409" s="153"/>
      <c r="BJ409" s="153"/>
      <c r="BK409" s="153"/>
      <c r="BL409" s="153"/>
      <c r="BM409" s="153"/>
      <c r="BN409" s="153"/>
      <c r="BO409" s="153"/>
      <c r="BP409" s="153"/>
      <c r="BQ409" s="153"/>
      <c r="BR409" s="153"/>
      <c r="BS409" s="153"/>
      <c r="BT409" s="153"/>
      <c r="BU409" s="153"/>
      <c r="BV409" s="153"/>
      <c r="BW409" s="153"/>
      <c r="BX409" s="153"/>
      <c r="BY409" s="153"/>
      <c r="BZ409" s="153"/>
      <c r="CA409" s="153"/>
      <c r="CB409" s="153"/>
      <c r="CC409" s="153"/>
      <c r="CD409" s="153"/>
      <c r="CE409" s="153"/>
      <c r="CF409" s="153"/>
      <c r="CG409" s="153"/>
      <c r="CH409" s="153"/>
      <c r="CI409" s="153"/>
      <c r="CJ409" s="153"/>
      <c r="CK409" s="153"/>
      <c r="CL409" s="153"/>
      <c r="CM409" s="153"/>
      <c r="CN409" s="153"/>
      <c r="CO409" s="153"/>
      <c r="CP409" s="153"/>
      <c r="CQ409" s="153"/>
      <c r="CR409" s="153"/>
      <c r="CS409" s="153"/>
      <c r="CT409" s="153"/>
      <c r="CU409" s="153"/>
      <c r="CV409" s="153"/>
      <c r="CW409" s="153"/>
      <c r="CX409" s="153"/>
      <c r="CY409" s="153"/>
      <c r="CZ409" s="153"/>
      <c r="DA409" s="153"/>
      <c r="DB409" s="153"/>
      <c r="DC409" s="153"/>
      <c r="DD409" s="153"/>
      <c r="DE409" s="153"/>
      <c r="DF409" s="153"/>
      <c r="DG409" s="153"/>
      <c r="DH409" s="153"/>
      <c r="DI409" s="153"/>
      <c r="DJ409" s="153"/>
      <c r="DK409" s="153"/>
      <c r="DL409" s="153"/>
      <c r="DM409" s="153"/>
      <c r="DN409" s="153"/>
      <c r="DO409" s="153"/>
      <c r="DP409" s="153"/>
      <c r="DQ409" s="153"/>
      <c r="DR409" s="153"/>
      <c r="DS409" s="153"/>
      <c r="DT409" s="153"/>
      <c r="DU409" s="153"/>
      <c r="DV409" s="153"/>
      <c r="DW409" s="153"/>
      <c r="DX409" s="153"/>
      <c r="DY409" s="153"/>
      <c r="DZ409" s="153"/>
      <c r="EA409" s="153"/>
      <c r="EB409" s="153"/>
      <c r="EC409" s="153"/>
      <c r="ED409" s="153"/>
      <c r="EE409" s="153"/>
      <c r="EF409" s="153"/>
      <c r="EG409" s="153"/>
      <c r="EH409" s="153"/>
      <c r="EI409" s="153"/>
      <c r="EJ409" s="153"/>
      <c r="EK409" s="153"/>
      <c r="EL409" s="153"/>
      <c r="EM409" s="153"/>
    </row>
    <row r="410" spans="1:143" s="107" customFormat="1" ht="10.5" hidden="1" customHeight="1" outlineLevel="2">
      <c r="A410" s="1548">
        <v>385</v>
      </c>
      <c r="B410" s="1560" t="str">
        <f t="shared" si="7"/>
        <v/>
      </c>
      <c r="C410" s="161" t="str">
        <f>GasTime(GasAnalyser,'Horiba Data'!F403,'Horiba Data'!G403,'Testo, JUM &amp; MRU Data'!A404,'Thermo Data'!B403,HourOffset)</f>
        <v/>
      </c>
      <c r="D410" s="981" t="str">
        <f>IF(D$17=FALSE,"",GasData(GasAnalyser,'Horiba Data'!S403,'Testo, JUM &amp; MRU Data'!D404,'Thermo Data'!E403,'Testo, JUM &amp; MRU Data'!U404,GDF))</f>
        <v/>
      </c>
      <c r="E410" s="981" t="str">
        <f>IF(D410="","",Conc2(D410,D$9,MolVol,D$21,D$20,E$21,E$20))</f>
        <v/>
      </c>
      <c r="F410" s="981" t="str">
        <f>IF(F$17=FALSE,"",GasData(GasAnalyser,'Horiba Data'!AQ403,'Testo, JUM &amp; MRU Data'!E404,'Thermo Data'!F403,'Testo, JUM &amp; MRU Data'!V404,GDF))</f>
        <v/>
      </c>
      <c r="G410" s="981" t="str">
        <f>IF(F410="","",Conc2(F410,F$9,MolVol,F$21,F$20,G$21,G$20))</f>
        <v/>
      </c>
      <c r="H410" s="981" t="str">
        <f>IF(D$17=FALSE,"",IF(F$17=FALSE,"",GasData(GasAnalyser,'Horiba Data'!W403,'Testo, JUM &amp; MRU Data'!F404,'Thermo Data'!G403,'Testo, JUM &amp; MRU Data'!Y404,GDF)))</f>
        <v/>
      </c>
      <c r="I410" s="981" t="str">
        <f>IF(H410="","",Conc2(H410,H$9,MolVol,H$21,H$20,I$21,I$20))</f>
        <v/>
      </c>
      <c r="J410" s="981" t="str">
        <f>IF(J$17=FALSE,"",GasData(GasAnalyser,'Horiba Data'!AM403,'Testo, JUM &amp; MRU Data'!G404,'Thermo Data'!H403,'Testo, JUM &amp; MRU Data'!W404,GDF))</f>
        <v/>
      </c>
      <c r="K410" s="981" t="str">
        <f>IF(J410="","",Conc2(J410,J$9,MolVol,J$21,J$20,K$21,K$20))</f>
        <v/>
      </c>
      <c r="L410" s="981" t="str">
        <f>IF(L$17=FALSE,"",GasData(GasAnalyser,'Horiba Data'!AA403,'Testo, JUM &amp; MRU Data'!H404,'Thermo Data'!I403,'Testo, JUM &amp; MRU Data'!T404,GDF))</f>
        <v/>
      </c>
      <c r="M410" s="981" t="str">
        <f>IF(L410="","",Conc2(L410,L$9,MolVol,L$21,L$20,M$21,M$20))</f>
        <v/>
      </c>
      <c r="N410" s="981" t="str">
        <f>IF(N$17=FALSE,"",GasData(GasAnalyser,'Horiba Data'!AE403,'Testo, JUM &amp; MRU Data'!I404,'Thermo Data'!J403,'Testo, JUM &amp; MRU Data'!S404,GDF))</f>
        <v/>
      </c>
      <c r="O410" s="981" t="str">
        <f>IF(N410="","",Conc2(N410,N$9,MolVol,N$21,N$20,O$21,O$20))</f>
        <v/>
      </c>
      <c r="P410" s="981" t="str">
        <f>IF(P$17=FALSE,"",GasData(GasAnalyser,'Horiba Data'!AI403,'Testo, JUM &amp; MRU Data'!J404,'Thermo Data'!K403,'Testo, JUM &amp; MRU Data'!R404,GDF))</f>
        <v/>
      </c>
      <c r="Q410" s="981" t="str">
        <f>IF(P410="","",Conc2(P410,P$9,MolVol,P$21,P$20,Q$21,Q$20))</f>
        <v/>
      </c>
      <c r="R410" s="981" t="str">
        <f>IF(R$17=FALSE,"",JUMData('Testo, JUM &amp; MRU Data'!M404,$R$7))</f>
        <v/>
      </c>
      <c r="S410" s="982" t="str">
        <f>IF(R410="","",Conc2(R410,R$9,MolVol,R$21,R$20,S$21,S$20)/(1-Bws))</f>
        <v/>
      </c>
      <c r="T410" s="740"/>
      <c r="AR410" s="335"/>
      <c r="AS410" s="335"/>
      <c r="AT410" s="153"/>
      <c r="AU410" s="153"/>
      <c r="AV410" s="153"/>
      <c r="AW410" s="153"/>
      <c r="AX410" s="153"/>
      <c r="AY410" s="153"/>
      <c r="AZ410" s="153"/>
      <c r="BA410" s="153"/>
      <c r="BB410" s="153"/>
      <c r="BC410" s="153"/>
      <c r="BD410" s="153"/>
      <c r="BE410" s="153"/>
      <c r="BF410" s="153"/>
      <c r="BG410" s="153"/>
      <c r="BH410" s="153"/>
      <c r="BI410" s="153"/>
      <c r="BJ410" s="153"/>
      <c r="BK410" s="153"/>
      <c r="BL410" s="153"/>
      <c r="BM410" s="153"/>
      <c r="BN410" s="153"/>
      <c r="BO410" s="153"/>
      <c r="BP410" s="153"/>
      <c r="BQ410" s="153"/>
      <c r="BR410" s="153"/>
      <c r="BS410" s="153"/>
      <c r="BT410" s="153"/>
      <c r="BU410" s="153"/>
      <c r="BV410" s="153"/>
      <c r="BW410" s="153"/>
      <c r="BX410" s="153"/>
      <c r="BY410" s="153"/>
      <c r="BZ410" s="153"/>
      <c r="CA410" s="153"/>
      <c r="CB410" s="153"/>
      <c r="CC410" s="153"/>
      <c r="CD410" s="153"/>
      <c r="CE410" s="153"/>
      <c r="CF410" s="153"/>
      <c r="CG410" s="153"/>
      <c r="CH410" s="153"/>
      <c r="CI410" s="153"/>
      <c r="CJ410" s="153"/>
      <c r="CK410" s="153"/>
      <c r="CL410" s="153"/>
      <c r="CM410" s="153"/>
      <c r="CN410" s="153"/>
      <c r="CO410" s="153"/>
      <c r="CP410" s="153"/>
      <c r="CQ410" s="153"/>
      <c r="CR410" s="153"/>
      <c r="CS410" s="153"/>
      <c r="CT410" s="153"/>
      <c r="CU410" s="153"/>
      <c r="CV410" s="153"/>
      <c r="CW410" s="153"/>
      <c r="CX410" s="153"/>
      <c r="CY410" s="153"/>
      <c r="CZ410" s="153"/>
      <c r="DA410" s="153"/>
      <c r="DB410" s="153"/>
      <c r="DC410" s="153"/>
      <c r="DD410" s="153"/>
      <c r="DE410" s="153"/>
      <c r="DF410" s="153"/>
      <c r="DG410" s="153"/>
      <c r="DH410" s="153"/>
      <c r="DI410" s="153"/>
      <c r="DJ410" s="153"/>
      <c r="DK410" s="153"/>
      <c r="DL410" s="153"/>
      <c r="DM410" s="153"/>
      <c r="DN410" s="153"/>
      <c r="DO410" s="153"/>
      <c r="DP410" s="153"/>
      <c r="DQ410" s="153"/>
      <c r="DR410" s="153"/>
      <c r="DS410" s="153"/>
      <c r="DT410" s="153"/>
      <c r="DU410" s="153"/>
      <c r="DV410" s="153"/>
      <c r="DW410" s="153"/>
      <c r="DX410" s="153"/>
      <c r="DY410" s="153"/>
      <c r="DZ410" s="153"/>
      <c r="EA410" s="153"/>
      <c r="EB410" s="153"/>
      <c r="EC410" s="153"/>
      <c r="ED410" s="153"/>
      <c r="EE410" s="153"/>
      <c r="EF410" s="153"/>
      <c r="EG410" s="153"/>
      <c r="EH410" s="153"/>
      <c r="EI410" s="153"/>
      <c r="EJ410" s="153"/>
      <c r="EK410" s="153"/>
      <c r="EL410" s="153"/>
      <c r="EM410" s="153"/>
    </row>
    <row r="411" spans="1:143" s="107" customFormat="1" ht="10.5" hidden="1" customHeight="1" outlineLevel="2">
      <c r="A411" s="1548">
        <v>386</v>
      </c>
      <c r="B411" s="1560" t="str">
        <f t="shared" ref="B411:B474" si="8">IF(C411="","",VALUE(C411))</f>
        <v/>
      </c>
      <c r="C411" s="161" t="str">
        <f>GasTime(GasAnalyser,'Horiba Data'!F404,'Horiba Data'!G404,'Testo, JUM &amp; MRU Data'!A405,'Thermo Data'!B404,HourOffset)</f>
        <v/>
      </c>
      <c r="D411" s="981" t="str">
        <f>IF(D$17=FALSE,"",GasData(GasAnalyser,'Horiba Data'!S404,'Testo, JUM &amp; MRU Data'!D405,'Thermo Data'!E404,'Testo, JUM &amp; MRU Data'!U405,GDF))</f>
        <v/>
      </c>
      <c r="E411" s="981" t="str">
        <f>IF(D411="","",Conc2(D411,D$9,MolVol,D$21,D$20,E$21,E$20))</f>
        <v/>
      </c>
      <c r="F411" s="981" t="str">
        <f>IF(F$17=FALSE,"",GasData(GasAnalyser,'Horiba Data'!AQ404,'Testo, JUM &amp; MRU Data'!E405,'Thermo Data'!F404,'Testo, JUM &amp; MRU Data'!V405,GDF))</f>
        <v/>
      </c>
      <c r="G411" s="981" t="str">
        <f>IF(F411="","",Conc2(F411,F$9,MolVol,F$21,F$20,G$21,G$20))</f>
        <v/>
      </c>
      <c r="H411" s="981" t="str">
        <f>IF(D$17=FALSE,"",IF(F$17=FALSE,"",GasData(GasAnalyser,'Horiba Data'!W404,'Testo, JUM &amp; MRU Data'!F405,'Thermo Data'!G404,'Testo, JUM &amp; MRU Data'!Y405,GDF)))</f>
        <v/>
      </c>
      <c r="I411" s="981" t="str">
        <f>IF(H411="","",Conc2(H411,H$9,MolVol,H$21,H$20,I$21,I$20))</f>
        <v/>
      </c>
      <c r="J411" s="981" t="str">
        <f>IF(J$17=FALSE,"",GasData(GasAnalyser,'Horiba Data'!AM404,'Testo, JUM &amp; MRU Data'!G405,'Thermo Data'!H404,'Testo, JUM &amp; MRU Data'!W405,GDF))</f>
        <v/>
      </c>
      <c r="K411" s="981" t="str">
        <f>IF(J411="","",Conc2(J411,J$9,MolVol,J$21,J$20,K$21,K$20))</f>
        <v/>
      </c>
      <c r="L411" s="981" t="str">
        <f>IF(L$17=FALSE,"",GasData(GasAnalyser,'Horiba Data'!AA404,'Testo, JUM &amp; MRU Data'!H405,'Thermo Data'!I404,'Testo, JUM &amp; MRU Data'!T405,GDF))</f>
        <v/>
      </c>
      <c r="M411" s="981" t="str">
        <f>IF(L411="","",Conc2(L411,L$9,MolVol,L$21,L$20,M$21,M$20))</f>
        <v/>
      </c>
      <c r="N411" s="981" t="str">
        <f>IF(N$17=FALSE,"",GasData(GasAnalyser,'Horiba Data'!AE404,'Testo, JUM &amp; MRU Data'!I405,'Thermo Data'!J404,'Testo, JUM &amp; MRU Data'!S405,GDF))</f>
        <v/>
      </c>
      <c r="O411" s="981" t="str">
        <f>IF(N411="","",Conc2(N411,N$9,MolVol,N$21,N$20,O$21,O$20))</f>
        <v/>
      </c>
      <c r="P411" s="981" t="str">
        <f>IF(P$17=FALSE,"",GasData(GasAnalyser,'Horiba Data'!AI404,'Testo, JUM &amp; MRU Data'!J405,'Thermo Data'!K404,'Testo, JUM &amp; MRU Data'!R405,GDF))</f>
        <v/>
      </c>
      <c r="Q411" s="981" t="str">
        <f>IF(P411="","",Conc2(P411,P$9,MolVol,P$21,P$20,Q$21,Q$20))</f>
        <v/>
      </c>
      <c r="R411" s="981" t="str">
        <f>IF(R$17=FALSE,"",JUMData('Testo, JUM &amp; MRU Data'!M405,$R$7))</f>
        <v/>
      </c>
      <c r="S411" s="982" t="str">
        <f>IF(R411="","",Conc2(R411,R$9,MolVol,R$21,R$20,S$21,S$20)/(1-Bws))</f>
        <v/>
      </c>
      <c r="T411" s="740"/>
      <c r="AR411" s="335"/>
      <c r="AS411" s="335"/>
      <c r="AT411" s="153"/>
      <c r="AU411" s="153"/>
      <c r="AV411" s="153"/>
      <c r="AW411" s="153"/>
      <c r="AX411" s="153"/>
      <c r="AY411" s="153"/>
      <c r="AZ411" s="153"/>
      <c r="BA411" s="153"/>
      <c r="BB411" s="153"/>
      <c r="BC411" s="153"/>
      <c r="BD411" s="153"/>
      <c r="BE411" s="153"/>
      <c r="BF411" s="153"/>
      <c r="BG411" s="153"/>
      <c r="BH411" s="153"/>
      <c r="BI411" s="153"/>
      <c r="BJ411" s="153"/>
      <c r="BK411" s="153"/>
      <c r="BL411" s="153"/>
      <c r="BM411" s="153"/>
      <c r="BN411" s="153"/>
      <c r="BO411" s="153"/>
      <c r="BP411" s="153"/>
      <c r="BQ411" s="153"/>
      <c r="BR411" s="153"/>
      <c r="BS411" s="153"/>
      <c r="BT411" s="153"/>
      <c r="BU411" s="153"/>
      <c r="BV411" s="153"/>
      <c r="BW411" s="153"/>
      <c r="BX411" s="153"/>
      <c r="BY411" s="153"/>
      <c r="BZ411" s="153"/>
      <c r="CA411" s="153"/>
      <c r="CB411" s="153"/>
      <c r="CC411" s="153"/>
      <c r="CD411" s="153"/>
      <c r="CE411" s="153"/>
      <c r="CF411" s="153"/>
      <c r="CG411" s="153"/>
      <c r="CH411" s="153"/>
      <c r="CI411" s="153"/>
      <c r="CJ411" s="153"/>
      <c r="CK411" s="153"/>
      <c r="CL411" s="153"/>
      <c r="CM411" s="153"/>
      <c r="CN411" s="153"/>
      <c r="CO411" s="153"/>
      <c r="CP411" s="153"/>
      <c r="CQ411" s="153"/>
      <c r="CR411" s="153"/>
      <c r="CS411" s="153"/>
      <c r="CT411" s="153"/>
      <c r="CU411" s="153"/>
      <c r="CV411" s="153"/>
      <c r="CW411" s="153"/>
      <c r="CX411" s="153"/>
      <c r="CY411" s="153"/>
      <c r="CZ411" s="153"/>
      <c r="DA411" s="153"/>
      <c r="DB411" s="153"/>
      <c r="DC411" s="153"/>
      <c r="DD411" s="153"/>
      <c r="DE411" s="153"/>
      <c r="DF411" s="153"/>
      <c r="DG411" s="153"/>
      <c r="DH411" s="153"/>
      <c r="DI411" s="153"/>
      <c r="DJ411" s="153"/>
      <c r="DK411" s="153"/>
      <c r="DL411" s="153"/>
      <c r="DM411" s="153"/>
      <c r="DN411" s="153"/>
      <c r="DO411" s="153"/>
      <c r="DP411" s="153"/>
      <c r="DQ411" s="153"/>
      <c r="DR411" s="153"/>
      <c r="DS411" s="153"/>
      <c r="DT411" s="153"/>
      <c r="DU411" s="153"/>
      <c r="DV411" s="153"/>
      <c r="DW411" s="153"/>
      <c r="DX411" s="153"/>
      <c r="DY411" s="153"/>
      <c r="DZ411" s="153"/>
      <c r="EA411" s="153"/>
      <c r="EB411" s="153"/>
      <c r="EC411" s="153"/>
      <c r="ED411" s="153"/>
      <c r="EE411" s="153"/>
      <c r="EF411" s="153"/>
      <c r="EG411" s="153"/>
      <c r="EH411" s="153"/>
      <c r="EI411" s="153"/>
      <c r="EJ411" s="153"/>
      <c r="EK411" s="153"/>
      <c r="EL411" s="153"/>
      <c r="EM411" s="153"/>
    </row>
    <row r="412" spans="1:143" s="107" customFormat="1" ht="10.5" hidden="1" customHeight="1" outlineLevel="2">
      <c r="A412" s="1548">
        <v>387</v>
      </c>
      <c r="B412" s="1560" t="str">
        <f t="shared" si="8"/>
        <v/>
      </c>
      <c r="C412" s="161" t="str">
        <f>GasTime(GasAnalyser,'Horiba Data'!F405,'Horiba Data'!G405,'Testo, JUM &amp; MRU Data'!A406,'Thermo Data'!B405,HourOffset)</f>
        <v/>
      </c>
      <c r="D412" s="981" t="str">
        <f>IF(D$17=FALSE,"",GasData(GasAnalyser,'Horiba Data'!S405,'Testo, JUM &amp; MRU Data'!D406,'Thermo Data'!E405,'Testo, JUM &amp; MRU Data'!U406,GDF))</f>
        <v/>
      </c>
      <c r="E412" s="981" t="str">
        <f>IF(D412="","",Conc2(D412,D$9,MolVol,D$21,D$20,E$21,E$20))</f>
        <v/>
      </c>
      <c r="F412" s="981" t="str">
        <f>IF(F$17=FALSE,"",GasData(GasAnalyser,'Horiba Data'!AQ405,'Testo, JUM &amp; MRU Data'!E406,'Thermo Data'!F405,'Testo, JUM &amp; MRU Data'!V406,GDF))</f>
        <v/>
      </c>
      <c r="G412" s="981" t="str">
        <f>IF(F412="","",Conc2(F412,F$9,MolVol,F$21,F$20,G$21,G$20))</f>
        <v/>
      </c>
      <c r="H412" s="981" t="str">
        <f>IF(D$17=FALSE,"",IF(F$17=FALSE,"",GasData(GasAnalyser,'Horiba Data'!W405,'Testo, JUM &amp; MRU Data'!F406,'Thermo Data'!G405,'Testo, JUM &amp; MRU Data'!Y406,GDF)))</f>
        <v/>
      </c>
      <c r="I412" s="981" t="str">
        <f>IF(H412="","",Conc2(H412,H$9,MolVol,H$21,H$20,I$21,I$20))</f>
        <v/>
      </c>
      <c r="J412" s="981" t="str">
        <f>IF(J$17=FALSE,"",GasData(GasAnalyser,'Horiba Data'!AM405,'Testo, JUM &amp; MRU Data'!G406,'Thermo Data'!H405,'Testo, JUM &amp; MRU Data'!W406,GDF))</f>
        <v/>
      </c>
      <c r="K412" s="981" t="str">
        <f>IF(J412="","",Conc2(J412,J$9,MolVol,J$21,J$20,K$21,K$20))</f>
        <v/>
      </c>
      <c r="L412" s="981" t="str">
        <f>IF(L$17=FALSE,"",GasData(GasAnalyser,'Horiba Data'!AA405,'Testo, JUM &amp; MRU Data'!H406,'Thermo Data'!I405,'Testo, JUM &amp; MRU Data'!T406,GDF))</f>
        <v/>
      </c>
      <c r="M412" s="981" t="str">
        <f>IF(L412="","",Conc2(L412,L$9,MolVol,L$21,L$20,M$21,M$20))</f>
        <v/>
      </c>
      <c r="N412" s="981" t="str">
        <f>IF(N$17=FALSE,"",GasData(GasAnalyser,'Horiba Data'!AE405,'Testo, JUM &amp; MRU Data'!I406,'Thermo Data'!J405,'Testo, JUM &amp; MRU Data'!S406,GDF))</f>
        <v/>
      </c>
      <c r="O412" s="981" t="str">
        <f>IF(N412="","",Conc2(N412,N$9,MolVol,N$21,N$20,O$21,O$20))</f>
        <v/>
      </c>
      <c r="P412" s="981" t="str">
        <f>IF(P$17=FALSE,"",GasData(GasAnalyser,'Horiba Data'!AI405,'Testo, JUM &amp; MRU Data'!J406,'Thermo Data'!K405,'Testo, JUM &amp; MRU Data'!R406,GDF))</f>
        <v/>
      </c>
      <c r="Q412" s="981" t="str">
        <f>IF(P412="","",Conc2(P412,P$9,MolVol,P$21,P$20,Q$21,Q$20))</f>
        <v/>
      </c>
      <c r="R412" s="981" t="str">
        <f>IF(R$17=FALSE,"",JUMData('Testo, JUM &amp; MRU Data'!M406,$R$7))</f>
        <v/>
      </c>
      <c r="S412" s="982" t="str">
        <f>IF(R412="","",Conc2(R412,R$9,MolVol,R$21,R$20,S$21,S$20)/(1-Bws))</f>
        <v/>
      </c>
      <c r="T412" s="740"/>
      <c r="AR412" s="335"/>
      <c r="AS412" s="335"/>
      <c r="AT412" s="153"/>
      <c r="AU412" s="153"/>
      <c r="AV412" s="153"/>
      <c r="AW412" s="153"/>
      <c r="AX412" s="153"/>
      <c r="AY412" s="153"/>
      <c r="AZ412" s="153"/>
      <c r="BA412" s="153"/>
      <c r="BB412" s="153"/>
      <c r="BC412" s="153"/>
      <c r="BD412" s="153"/>
      <c r="BE412" s="153"/>
      <c r="BF412" s="153"/>
      <c r="BG412" s="153"/>
      <c r="BH412" s="153"/>
      <c r="BI412" s="153"/>
      <c r="BJ412" s="153"/>
      <c r="BK412" s="153"/>
      <c r="BL412" s="153"/>
      <c r="BM412" s="153"/>
      <c r="BN412" s="153"/>
      <c r="BO412" s="153"/>
      <c r="BP412" s="153"/>
      <c r="BQ412" s="153"/>
      <c r="BR412" s="153"/>
      <c r="BS412" s="153"/>
      <c r="BT412" s="153"/>
      <c r="BU412" s="153"/>
      <c r="BV412" s="153"/>
      <c r="BW412" s="153"/>
      <c r="BX412" s="153"/>
      <c r="BY412" s="153"/>
      <c r="BZ412" s="153"/>
      <c r="CA412" s="153"/>
      <c r="CB412" s="153"/>
      <c r="CC412" s="153"/>
      <c r="CD412" s="153"/>
      <c r="CE412" s="153"/>
      <c r="CF412" s="153"/>
      <c r="CG412" s="153"/>
      <c r="CH412" s="153"/>
      <c r="CI412" s="153"/>
      <c r="CJ412" s="153"/>
      <c r="CK412" s="153"/>
      <c r="CL412" s="153"/>
      <c r="CM412" s="153"/>
      <c r="CN412" s="153"/>
      <c r="CO412" s="153"/>
      <c r="CP412" s="153"/>
      <c r="CQ412" s="153"/>
      <c r="CR412" s="153"/>
      <c r="CS412" s="153"/>
      <c r="CT412" s="153"/>
      <c r="CU412" s="153"/>
      <c r="CV412" s="153"/>
      <c r="CW412" s="153"/>
      <c r="CX412" s="153"/>
      <c r="CY412" s="153"/>
      <c r="CZ412" s="153"/>
      <c r="DA412" s="153"/>
      <c r="DB412" s="153"/>
      <c r="DC412" s="153"/>
      <c r="DD412" s="153"/>
      <c r="DE412" s="153"/>
      <c r="DF412" s="153"/>
      <c r="DG412" s="153"/>
      <c r="DH412" s="153"/>
      <c r="DI412" s="153"/>
      <c r="DJ412" s="153"/>
      <c r="DK412" s="153"/>
      <c r="DL412" s="153"/>
      <c r="DM412" s="153"/>
      <c r="DN412" s="153"/>
      <c r="DO412" s="153"/>
      <c r="DP412" s="153"/>
      <c r="DQ412" s="153"/>
      <c r="DR412" s="153"/>
      <c r="DS412" s="153"/>
      <c r="DT412" s="153"/>
      <c r="DU412" s="153"/>
      <c r="DV412" s="153"/>
      <c r="DW412" s="153"/>
      <c r="DX412" s="153"/>
      <c r="DY412" s="153"/>
      <c r="DZ412" s="153"/>
      <c r="EA412" s="153"/>
      <c r="EB412" s="153"/>
      <c r="EC412" s="153"/>
      <c r="ED412" s="153"/>
      <c r="EE412" s="153"/>
      <c r="EF412" s="153"/>
      <c r="EG412" s="153"/>
      <c r="EH412" s="153"/>
      <c r="EI412" s="153"/>
      <c r="EJ412" s="153"/>
      <c r="EK412" s="153"/>
      <c r="EL412" s="153"/>
      <c r="EM412" s="153"/>
    </row>
    <row r="413" spans="1:143" s="107" customFormat="1" ht="10.5" hidden="1" customHeight="1" outlineLevel="2">
      <c r="A413" s="1548">
        <v>388</v>
      </c>
      <c r="B413" s="1560" t="str">
        <f t="shared" si="8"/>
        <v/>
      </c>
      <c r="C413" s="161" t="str">
        <f>GasTime(GasAnalyser,'Horiba Data'!F406,'Horiba Data'!G406,'Testo, JUM &amp; MRU Data'!A407,'Thermo Data'!B406,HourOffset)</f>
        <v/>
      </c>
      <c r="D413" s="981" t="str">
        <f>IF(D$17=FALSE,"",GasData(GasAnalyser,'Horiba Data'!S406,'Testo, JUM &amp; MRU Data'!D407,'Thermo Data'!E406,'Testo, JUM &amp; MRU Data'!U407,GDF))</f>
        <v/>
      </c>
      <c r="E413" s="981" t="str">
        <f>IF(D413="","",Conc2(D413,D$9,MolVol,D$21,D$20,E$21,E$20))</f>
        <v/>
      </c>
      <c r="F413" s="981" t="str">
        <f>IF(F$17=FALSE,"",GasData(GasAnalyser,'Horiba Data'!AQ406,'Testo, JUM &amp; MRU Data'!E407,'Thermo Data'!F406,'Testo, JUM &amp; MRU Data'!V407,GDF))</f>
        <v/>
      </c>
      <c r="G413" s="981" t="str">
        <f>IF(F413="","",Conc2(F413,F$9,MolVol,F$21,F$20,G$21,G$20))</f>
        <v/>
      </c>
      <c r="H413" s="981" t="str">
        <f>IF(D$17=FALSE,"",IF(F$17=FALSE,"",GasData(GasAnalyser,'Horiba Data'!W406,'Testo, JUM &amp; MRU Data'!F407,'Thermo Data'!G406,'Testo, JUM &amp; MRU Data'!Y407,GDF)))</f>
        <v/>
      </c>
      <c r="I413" s="981" t="str">
        <f>IF(H413="","",Conc2(H413,H$9,MolVol,H$21,H$20,I$21,I$20))</f>
        <v/>
      </c>
      <c r="J413" s="981" t="str">
        <f>IF(J$17=FALSE,"",GasData(GasAnalyser,'Horiba Data'!AM406,'Testo, JUM &amp; MRU Data'!G407,'Thermo Data'!H406,'Testo, JUM &amp; MRU Data'!W407,GDF))</f>
        <v/>
      </c>
      <c r="K413" s="981" t="str">
        <f>IF(J413="","",Conc2(J413,J$9,MolVol,J$21,J$20,K$21,K$20))</f>
        <v/>
      </c>
      <c r="L413" s="981" t="str">
        <f>IF(L$17=FALSE,"",GasData(GasAnalyser,'Horiba Data'!AA406,'Testo, JUM &amp; MRU Data'!H407,'Thermo Data'!I406,'Testo, JUM &amp; MRU Data'!T407,GDF))</f>
        <v/>
      </c>
      <c r="M413" s="981" t="str">
        <f>IF(L413="","",Conc2(L413,L$9,MolVol,L$21,L$20,M$21,M$20))</f>
        <v/>
      </c>
      <c r="N413" s="981" t="str">
        <f>IF(N$17=FALSE,"",GasData(GasAnalyser,'Horiba Data'!AE406,'Testo, JUM &amp; MRU Data'!I407,'Thermo Data'!J406,'Testo, JUM &amp; MRU Data'!S407,GDF))</f>
        <v/>
      </c>
      <c r="O413" s="981" t="str">
        <f>IF(N413="","",Conc2(N413,N$9,MolVol,N$21,N$20,O$21,O$20))</f>
        <v/>
      </c>
      <c r="P413" s="981" t="str">
        <f>IF(P$17=FALSE,"",GasData(GasAnalyser,'Horiba Data'!AI406,'Testo, JUM &amp; MRU Data'!J407,'Thermo Data'!K406,'Testo, JUM &amp; MRU Data'!R407,GDF))</f>
        <v/>
      </c>
      <c r="Q413" s="981" t="str">
        <f>IF(P413="","",Conc2(P413,P$9,MolVol,P$21,P$20,Q$21,Q$20))</f>
        <v/>
      </c>
      <c r="R413" s="981" t="str">
        <f>IF(R$17=FALSE,"",JUMData('Testo, JUM &amp; MRU Data'!M407,$R$7))</f>
        <v/>
      </c>
      <c r="S413" s="982" t="str">
        <f>IF(R413="","",Conc2(R413,R$9,MolVol,R$21,R$20,S$21,S$20)/(1-Bws))</f>
        <v/>
      </c>
      <c r="T413" s="740"/>
      <c r="AR413" s="335"/>
      <c r="AS413" s="335"/>
      <c r="AT413" s="153"/>
      <c r="AU413" s="153"/>
      <c r="AV413" s="153"/>
      <c r="AW413" s="153"/>
      <c r="AX413" s="153"/>
      <c r="AY413" s="153"/>
      <c r="AZ413" s="153"/>
      <c r="BA413" s="153"/>
      <c r="BB413" s="153"/>
      <c r="BC413" s="153"/>
      <c r="BD413" s="153"/>
      <c r="BE413" s="153"/>
      <c r="BF413" s="153"/>
      <c r="BG413" s="153"/>
      <c r="BH413" s="153"/>
      <c r="BI413" s="153"/>
      <c r="BJ413" s="153"/>
      <c r="BK413" s="153"/>
      <c r="BL413" s="153"/>
      <c r="BM413" s="153"/>
      <c r="BN413" s="153"/>
      <c r="BO413" s="153"/>
      <c r="BP413" s="153"/>
      <c r="BQ413" s="153"/>
      <c r="BR413" s="153"/>
      <c r="BS413" s="153"/>
      <c r="BT413" s="153"/>
      <c r="BU413" s="153"/>
      <c r="BV413" s="153"/>
      <c r="BW413" s="153"/>
      <c r="BX413" s="153"/>
      <c r="BY413" s="153"/>
      <c r="BZ413" s="153"/>
      <c r="CA413" s="153"/>
      <c r="CB413" s="153"/>
      <c r="CC413" s="153"/>
      <c r="CD413" s="153"/>
      <c r="CE413" s="153"/>
      <c r="CF413" s="153"/>
      <c r="CG413" s="153"/>
      <c r="CH413" s="153"/>
      <c r="CI413" s="153"/>
      <c r="CJ413" s="153"/>
      <c r="CK413" s="153"/>
      <c r="CL413" s="153"/>
      <c r="CM413" s="153"/>
      <c r="CN413" s="153"/>
      <c r="CO413" s="153"/>
      <c r="CP413" s="153"/>
      <c r="CQ413" s="153"/>
      <c r="CR413" s="153"/>
      <c r="CS413" s="153"/>
      <c r="CT413" s="153"/>
      <c r="CU413" s="153"/>
      <c r="CV413" s="153"/>
      <c r="CW413" s="153"/>
      <c r="CX413" s="153"/>
      <c r="CY413" s="153"/>
      <c r="CZ413" s="153"/>
      <c r="DA413" s="153"/>
      <c r="DB413" s="153"/>
      <c r="DC413" s="153"/>
      <c r="DD413" s="153"/>
      <c r="DE413" s="153"/>
      <c r="DF413" s="153"/>
      <c r="DG413" s="153"/>
      <c r="DH413" s="153"/>
      <c r="DI413" s="153"/>
      <c r="DJ413" s="153"/>
      <c r="DK413" s="153"/>
      <c r="DL413" s="153"/>
      <c r="DM413" s="153"/>
      <c r="DN413" s="153"/>
      <c r="DO413" s="153"/>
      <c r="DP413" s="153"/>
      <c r="DQ413" s="153"/>
      <c r="DR413" s="153"/>
      <c r="DS413" s="153"/>
      <c r="DT413" s="153"/>
      <c r="DU413" s="153"/>
      <c r="DV413" s="153"/>
      <c r="DW413" s="153"/>
      <c r="DX413" s="153"/>
      <c r="DY413" s="153"/>
      <c r="DZ413" s="153"/>
      <c r="EA413" s="153"/>
      <c r="EB413" s="153"/>
      <c r="EC413" s="153"/>
      <c r="ED413" s="153"/>
      <c r="EE413" s="153"/>
      <c r="EF413" s="153"/>
      <c r="EG413" s="153"/>
      <c r="EH413" s="153"/>
      <c r="EI413" s="153"/>
      <c r="EJ413" s="153"/>
      <c r="EK413" s="153"/>
      <c r="EL413" s="153"/>
      <c r="EM413" s="153"/>
    </row>
    <row r="414" spans="1:143" s="107" customFormat="1" ht="10.5" hidden="1" customHeight="1" outlineLevel="2">
      <c r="A414" s="1548">
        <v>389</v>
      </c>
      <c r="B414" s="1560" t="str">
        <f t="shared" si="8"/>
        <v/>
      </c>
      <c r="C414" s="161" t="str">
        <f>GasTime(GasAnalyser,'Horiba Data'!F407,'Horiba Data'!G407,'Testo, JUM &amp; MRU Data'!A408,'Thermo Data'!B407,HourOffset)</f>
        <v/>
      </c>
      <c r="D414" s="981" t="str">
        <f>IF(D$17=FALSE,"",GasData(GasAnalyser,'Horiba Data'!S407,'Testo, JUM &amp; MRU Data'!D408,'Thermo Data'!E407,'Testo, JUM &amp; MRU Data'!U408,GDF))</f>
        <v/>
      </c>
      <c r="E414" s="981" t="str">
        <f>IF(D414="","",Conc2(D414,D$9,MolVol,D$21,D$20,E$21,E$20))</f>
        <v/>
      </c>
      <c r="F414" s="981" t="str">
        <f>IF(F$17=FALSE,"",GasData(GasAnalyser,'Horiba Data'!AQ407,'Testo, JUM &amp; MRU Data'!E408,'Thermo Data'!F407,'Testo, JUM &amp; MRU Data'!V408,GDF))</f>
        <v/>
      </c>
      <c r="G414" s="981" t="str">
        <f>IF(F414="","",Conc2(F414,F$9,MolVol,F$21,F$20,G$21,G$20))</f>
        <v/>
      </c>
      <c r="H414" s="981" t="str">
        <f>IF(D$17=FALSE,"",IF(F$17=FALSE,"",GasData(GasAnalyser,'Horiba Data'!W407,'Testo, JUM &amp; MRU Data'!F408,'Thermo Data'!G407,'Testo, JUM &amp; MRU Data'!Y408,GDF)))</f>
        <v/>
      </c>
      <c r="I414" s="981" t="str">
        <f>IF(H414="","",Conc2(H414,H$9,MolVol,H$21,H$20,I$21,I$20))</f>
        <v/>
      </c>
      <c r="J414" s="981" t="str">
        <f>IF(J$17=FALSE,"",GasData(GasAnalyser,'Horiba Data'!AM407,'Testo, JUM &amp; MRU Data'!G408,'Thermo Data'!H407,'Testo, JUM &amp; MRU Data'!W408,GDF))</f>
        <v/>
      </c>
      <c r="K414" s="981" t="str">
        <f>IF(J414="","",Conc2(J414,J$9,MolVol,J$21,J$20,K$21,K$20))</f>
        <v/>
      </c>
      <c r="L414" s="981" t="str">
        <f>IF(L$17=FALSE,"",GasData(GasAnalyser,'Horiba Data'!AA407,'Testo, JUM &amp; MRU Data'!H408,'Thermo Data'!I407,'Testo, JUM &amp; MRU Data'!T408,GDF))</f>
        <v/>
      </c>
      <c r="M414" s="981" t="str">
        <f>IF(L414="","",Conc2(L414,L$9,MolVol,L$21,L$20,M$21,M$20))</f>
        <v/>
      </c>
      <c r="N414" s="981" t="str">
        <f>IF(N$17=FALSE,"",GasData(GasAnalyser,'Horiba Data'!AE407,'Testo, JUM &amp; MRU Data'!I408,'Thermo Data'!J407,'Testo, JUM &amp; MRU Data'!S408,GDF))</f>
        <v/>
      </c>
      <c r="O414" s="981" t="str">
        <f>IF(N414="","",Conc2(N414,N$9,MolVol,N$21,N$20,O$21,O$20))</f>
        <v/>
      </c>
      <c r="P414" s="981" t="str">
        <f>IF(P$17=FALSE,"",GasData(GasAnalyser,'Horiba Data'!AI407,'Testo, JUM &amp; MRU Data'!J408,'Thermo Data'!K407,'Testo, JUM &amp; MRU Data'!R408,GDF))</f>
        <v/>
      </c>
      <c r="Q414" s="981" t="str">
        <f>IF(P414="","",Conc2(P414,P$9,MolVol,P$21,P$20,Q$21,Q$20))</f>
        <v/>
      </c>
      <c r="R414" s="981" t="str">
        <f>IF(R$17=FALSE,"",JUMData('Testo, JUM &amp; MRU Data'!M408,$R$7))</f>
        <v/>
      </c>
      <c r="S414" s="982" t="str">
        <f>IF(R414="","",Conc2(R414,R$9,MolVol,R$21,R$20,S$21,S$20)/(1-Bws))</f>
        <v/>
      </c>
      <c r="T414" s="740"/>
      <c r="AR414" s="335"/>
      <c r="AS414" s="335"/>
      <c r="AT414" s="153"/>
      <c r="AU414" s="153"/>
      <c r="AV414" s="153"/>
      <c r="AW414" s="153"/>
      <c r="AX414" s="153"/>
      <c r="AY414" s="153"/>
      <c r="AZ414" s="153"/>
      <c r="BA414" s="153"/>
      <c r="BB414" s="153"/>
      <c r="BC414" s="153"/>
      <c r="BD414" s="153"/>
      <c r="BE414" s="153"/>
      <c r="BF414" s="153"/>
      <c r="BG414" s="153"/>
      <c r="BH414" s="153"/>
      <c r="BI414" s="153"/>
      <c r="BJ414" s="153"/>
      <c r="BK414" s="153"/>
      <c r="BL414" s="153"/>
      <c r="BM414" s="153"/>
      <c r="BN414" s="153"/>
      <c r="BO414" s="153"/>
      <c r="BP414" s="153"/>
      <c r="BQ414" s="153"/>
      <c r="BR414" s="153"/>
      <c r="BS414" s="153"/>
      <c r="BT414" s="153"/>
      <c r="BU414" s="153"/>
      <c r="BV414" s="153"/>
      <c r="BW414" s="153"/>
      <c r="BX414" s="153"/>
      <c r="BY414" s="153"/>
      <c r="BZ414" s="153"/>
      <c r="CA414" s="153"/>
      <c r="CB414" s="153"/>
      <c r="CC414" s="153"/>
      <c r="CD414" s="153"/>
      <c r="CE414" s="153"/>
      <c r="CF414" s="153"/>
      <c r="CG414" s="153"/>
      <c r="CH414" s="153"/>
      <c r="CI414" s="153"/>
      <c r="CJ414" s="153"/>
      <c r="CK414" s="153"/>
      <c r="CL414" s="153"/>
      <c r="CM414" s="153"/>
      <c r="CN414" s="153"/>
      <c r="CO414" s="153"/>
      <c r="CP414" s="153"/>
      <c r="CQ414" s="153"/>
      <c r="CR414" s="153"/>
      <c r="CS414" s="153"/>
      <c r="CT414" s="153"/>
      <c r="CU414" s="153"/>
      <c r="CV414" s="153"/>
      <c r="CW414" s="153"/>
      <c r="CX414" s="153"/>
      <c r="CY414" s="153"/>
      <c r="CZ414" s="153"/>
      <c r="DA414" s="153"/>
      <c r="DB414" s="153"/>
      <c r="DC414" s="153"/>
      <c r="DD414" s="153"/>
      <c r="DE414" s="153"/>
      <c r="DF414" s="153"/>
      <c r="DG414" s="153"/>
      <c r="DH414" s="153"/>
      <c r="DI414" s="153"/>
      <c r="DJ414" s="153"/>
      <c r="DK414" s="153"/>
      <c r="DL414" s="153"/>
      <c r="DM414" s="153"/>
      <c r="DN414" s="153"/>
      <c r="DO414" s="153"/>
      <c r="DP414" s="153"/>
      <c r="DQ414" s="153"/>
      <c r="DR414" s="153"/>
      <c r="DS414" s="153"/>
      <c r="DT414" s="153"/>
      <c r="DU414" s="153"/>
      <c r="DV414" s="153"/>
      <c r="DW414" s="153"/>
      <c r="DX414" s="153"/>
      <c r="DY414" s="153"/>
      <c r="DZ414" s="153"/>
      <c r="EA414" s="153"/>
      <c r="EB414" s="153"/>
      <c r="EC414" s="153"/>
      <c r="ED414" s="153"/>
      <c r="EE414" s="153"/>
      <c r="EF414" s="153"/>
      <c r="EG414" s="153"/>
      <c r="EH414" s="153"/>
      <c r="EI414" s="153"/>
      <c r="EJ414" s="153"/>
      <c r="EK414" s="153"/>
      <c r="EL414" s="153"/>
      <c r="EM414" s="153"/>
    </row>
    <row r="415" spans="1:143" s="107" customFormat="1" ht="10.5" hidden="1" customHeight="1" outlineLevel="2">
      <c r="A415" s="1548">
        <v>390</v>
      </c>
      <c r="B415" s="1560" t="str">
        <f t="shared" si="8"/>
        <v/>
      </c>
      <c r="C415" s="161" t="str">
        <f>GasTime(GasAnalyser,'Horiba Data'!F408,'Horiba Data'!G408,'Testo, JUM &amp; MRU Data'!A409,'Thermo Data'!B408,HourOffset)</f>
        <v/>
      </c>
      <c r="D415" s="981" t="str">
        <f>IF(D$17=FALSE,"",GasData(GasAnalyser,'Horiba Data'!S408,'Testo, JUM &amp; MRU Data'!D409,'Thermo Data'!E408,'Testo, JUM &amp; MRU Data'!U409,GDF))</f>
        <v/>
      </c>
      <c r="E415" s="981" t="str">
        <f>IF(D415="","",Conc2(D415,D$9,MolVol,D$21,D$20,E$21,E$20))</f>
        <v/>
      </c>
      <c r="F415" s="981" t="str">
        <f>IF(F$17=FALSE,"",GasData(GasAnalyser,'Horiba Data'!AQ408,'Testo, JUM &amp; MRU Data'!E409,'Thermo Data'!F408,'Testo, JUM &amp; MRU Data'!V409,GDF))</f>
        <v/>
      </c>
      <c r="G415" s="981" t="str">
        <f>IF(F415="","",Conc2(F415,F$9,MolVol,F$21,F$20,G$21,G$20))</f>
        <v/>
      </c>
      <c r="H415" s="981" t="str">
        <f>IF(D$17=FALSE,"",IF(F$17=FALSE,"",GasData(GasAnalyser,'Horiba Data'!W408,'Testo, JUM &amp; MRU Data'!F409,'Thermo Data'!G408,'Testo, JUM &amp; MRU Data'!Y409,GDF)))</f>
        <v/>
      </c>
      <c r="I415" s="981" t="str">
        <f>IF(H415="","",Conc2(H415,H$9,MolVol,H$21,H$20,I$21,I$20))</f>
        <v/>
      </c>
      <c r="J415" s="981" t="str">
        <f>IF(J$17=FALSE,"",GasData(GasAnalyser,'Horiba Data'!AM408,'Testo, JUM &amp; MRU Data'!G409,'Thermo Data'!H408,'Testo, JUM &amp; MRU Data'!W409,GDF))</f>
        <v/>
      </c>
      <c r="K415" s="981" t="str">
        <f>IF(J415="","",Conc2(J415,J$9,MolVol,J$21,J$20,K$21,K$20))</f>
        <v/>
      </c>
      <c r="L415" s="981" t="str">
        <f>IF(L$17=FALSE,"",GasData(GasAnalyser,'Horiba Data'!AA408,'Testo, JUM &amp; MRU Data'!H409,'Thermo Data'!I408,'Testo, JUM &amp; MRU Data'!T409,GDF))</f>
        <v/>
      </c>
      <c r="M415" s="981" t="str">
        <f>IF(L415="","",Conc2(L415,L$9,MolVol,L$21,L$20,M$21,M$20))</f>
        <v/>
      </c>
      <c r="N415" s="981" t="str">
        <f>IF(N$17=FALSE,"",GasData(GasAnalyser,'Horiba Data'!AE408,'Testo, JUM &amp; MRU Data'!I409,'Thermo Data'!J408,'Testo, JUM &amp; MRU Data'!S409,GDF))</f>
        <v/>
      </c>
      <c r="O415" s="981" t="str">
        <f>IF(N415="","",Conc2(N415,N$9,MolVol,N$21,N$20,O$21,O$20))</f>
        <v/>
      </c>
      <c r="P415" s="981" t="str">
        <f>IF(P$17=FALSE,"",GasData(GasAnalyser,'Horiba Data'!AI408,'Testo, JUM &amp; MRU Data'!J409,'Thermo Data'!K408,'Testo, JUM &amp; MRU Data'!R409,GDF))</f>
        <v/>
      </c>
      <c r="Q415" s="981" t="str">
        <f>IF(P415="","",Conc2(P415,P$9,MolVol,P$21,P$20,Q$21,Q$20))</f>
        <v/>
      </c>
      <c r="R415" s="981" t="str">
        <f>IF(R$17=FALSE,"",JUMData('Testo, JUM &amp; MRU Data'!M409,$R$7))</f>
        <v/>
      </c>
      <c r="S415" s="982" t="str">
        <f>IF(R415="","",Conc2(R415,R$9,MolVol,R$21,R$20,S$21,S$20)/(1-Bws))</f>
        <v/>
      </c>
      <c r="T415" s="740"/>
      <c r="AR415" s="335"/>
      <c r="AS415" s="335"/>
      <c r="AT415" s="153"/>
      <c r="AU415" s="153"/>
      <c r="AV415" s="153"/>
      <c r="AW415" s="153"/>
      <c r="AX415" s="153"/>
      <c r="AY415" s="153"/>
      <c r="AZ415" s="153"/>
      <c r="BA415" s="153"/>
      <c r="BB415" s="153"/>
      <c r="BC415" s="153"/>
      <c r="BD415" s="153"/>
      <c r="BE415" s="153"/>
      <c r="BF415" s="153"/>
      <c r="BG415" s="153"/>
      <c r="BH415" s="153"/>
      <c r="BI415" s="153"/>
      <c r="BJ415" s="153"/>
      <c r="BK415" s="153"/>
      <c r="BL415" s="153"/>
      <c r="BM415" s="153"/>
      <c r="BN415" s="153"/>
      <c r="BO415" s="153"/>
      <c r="BP415" s="153"/>
      <c r="BQ415" s="153"/>
      <c r="BR415" s="153"/>
      <c r="BS415" s="153"/>
      <c r="BT415" s="153"/>
      <c r="BU415" s="153"/>
      <c r="BV415" s="153"/>
      <c r="BW415" s="153"/>
      <c r="BX415" s="153"/>
      <c r="BY415" s="153"/>
      <c r="BZ415" s="153"/>
      <c r="CA415" s="153"/>
      <c r="CB415" s="153"/>
      <c r="CC415" s="153"/>
      <c r="CD415" s="153"/>
      <c r="CE415" s="153"/>
      <c r="CF415" s="153"/>
      <c r="CG415" s="153"/>
      <c r="CH415" s="153"/>
      <c r="CI415" s="153"/>
      <c r="CJ415" s="153"/>
      <c r="CK415" s="153"/>
      <c r="CL415" s="153"/>
      <c r="CM415" s="153"/>
      <c r="CN415" s="153"/>
      <c r="CO415" s="153"/>
      <c r="CP415" s="153"/>
      <c r="CQ415" s="153"/>
      <c r="CR415" s="153"/>
      <c r="CS415" s="153"/>
      <c r="CT415" s="153"/>
      <c r="CU415" s="153"/>
      <c r="CV415" s="153"/>
      <c r="CW415" s="153"/>
      <c r="CX415" s="153"/>
      <c r="CY415" s="153"/>
      <c r="CZ415" s="153"/>
      <c r="DA415" s="153"/>
      <c r="DB415" s="153"/>
      <c r="DC415" s="153"/>
      <c r="DD415" s="153"/>
      <c r="DE415" s="153"/>
      <c r="DF415" s="153"/>
      <c r="DG415" s="153"/>
      <c r="DH415" s="153"/>
      <c r="DI415" s="153"/>
      <c r="DJ415" s="153"/>
      <c r="DK415" s="153"/>
      <c r="DL415" s="153"/>
      <c r="DM415" s="153"/>
      <c r="DN415" s="153"/>
      <c r="DO415" s="153"/>
      <c r="DP415" s="153"/>
      <c r="DQ415" s="153"/>
      <c r="DR415" s="153"/>
      <c r="DS415" s="153"/>
      <c r="DT415" s="153"/>
      <c r="DU415" s="153"/>
      <c r="DV415" s="153"/>
      <c r="DW415" s="153"/>
      <c r="DX415" s="153"/>
      <c r="DY415" s="153"/>
      <c r="DZ415" s="153"/>
      <c r="EA415" s="153"/>
      <c r="EB415" s="153"/>
      <c r="EC415" s="153"/>
      <c r="ED415" s="153"/>
      <c r="EE415" s="153"/>
      <c r="EF415" s="153"/>
      <c r="EG415" s="153"/>
      <c r="EH415" s="153"/>
      <c r="EI415" s="153"/>
      <c r="EJ415" s="153"/>
      <c r="EK415" s="153"/>
      <c r="EL415" s="153"/>
      <c r="EM415" s="153"/>
    </row>
    <row r="416" spans="1:143" s="107" customFormat="1" ht="10.5" hidden="1" customHeight="1" outlineLevel="2">
      <c r="A416" s="1548">
        <v>391</v>
      </c>
      <c r="B416" s="1560" t="str">
        <f t="shared" si="8"/>
        <v/>
      </c>
      <c r="C416" s="161" t="str">
        <f>GasTime(GasAnalyser,'Horiba Data'!F409,'Horiba Data'!G409,'Testo, JUM &amp; MRU Data'!A410,'Thermo Data'!B409,HourOffset)</f>
        <v/>
      </c>
      <c r="D416" s="981" t="str">
        <f>IF(D$17=FALSE,"",GasData(GasAnalyser,'Horiba Data'!S409,'Testo, JUM &amp; MRU Data'!D410,'Thermo Data'!E409,'Testo, JUM &amp; MRU Data'!U410,GDF))</f>
        <v/>
      </c>
      <c r="E416" s="981" t="str">
        <f>IF(D416="","",Conc2(D416,D$9,MolVol,D$21,D$20,E$21,E$20))</f>
        <v/>
      </c>
      <c r="F416" s="981" t="str">
        <f>IF(F$17=FALSE,"",GasData(GasAnalyser,'Horiba Data'!AQ409,'Testo, JUM &amp; MRU Data'!E410,'Thermo Data'!F409,'Testo, JUM &amp; MRU Data'!V410,GDF))</f>
        <v/>
      </c>
      <c r="G416" s="981" t="str">
        <f>IF(F416="","",Conc2(F416,F$9,MolVol,F$21,F$20,G$21,G$20))</f>
        <v/>
      </c>
      <c r="H416" s="981" t="str">
        <f>IF(D$17=FALSE,"",IF(F$17=FALSE,"",GasData(GasAnalyser,'Horiba Data'!W409,'Testo, JUM &amp; MRU Data'!F410,'Thermo Data'!G409,'Testo, JUM &amp; MRU Data'!Y410,GDF)))</f>
        <v/>
      </c>
      <c r="I416" s="981" t="str">
        <f>IF(H416="","",Conc2(H416,H$9,MolVol,H$21,H$20,I$21,I$20))</f>
        <v/>
      </c>
      <c r="J416" s="981" t="str">
        <f>IF(J$17=FALSE,"",GasData(GasAnalyser,'Horiba Data'!AM409,'Testo, JUM &amp; MRU Data'!G410,'Thermo Data'!H409,'Testo, JUM &amp; MRU Data'!W410,GDF))</f>
        <v/>
      </c>
      <c r="K416" s="981" t="str">
        <f>IF(J416="","",Conc2(J416,J$9,MolVol,J$21,J$20,K$21,K$20))</f>
        <v/>
      </c>
      <c r="L416" s="981" t="str">
        <f>IF(L$17=FALSE,"",GasData(GasAnalyser,'Horiba Data'!AA409,'Testo, JUM &amp; MRU Data'!H410,'Thermo Data'!I409,'Testo, JUM &amp; MRU Data'!T410,GDF))</f>
        <v/>
      </c>
      <c r="M416" s="981" t="str">
        <f>IF(L416="","",Conc2(L416,L$9,MolVol,L$21,L$20,M$21,M$20))</f>
        <v/>
      </c>
      <c r="N416" s="981" t="str">
        <f>IF(N$17=FALSE,"",GasData(GasAnalyser,'Horiba Data'!AE409,'Testo, JUM &amp; MRU Data'!I410,'Thermo Data'!J409,'Testo, JUM &amp; MRU Data'!S410,GDF))</f>
        <v/>
      </c>
      <c r="O416" s="981" t="str">
        <f>IF(N416="","",Conc2(N416,N$9,MolVol,N$21,N$20,O$21,O$20))</f>
        <v/>
      </c>
      <c r="P416" s="981" t="str">
        <f>IF(P$17=FALSE,"",GasData(GasAnalyser,'Horiba Data'!AI409,'Testo, JUM &amp; MRU Data'!J410,'Thermo Data'!K409,'Testo, JUM &amp; MRU Data'!R410,GDF))</f>
        <v/>
      </c>
      <c r="Q416" s="981" t="str">
        <f>IF(P416="","",Conc2(P416,P$9,MolVol,P$21,P$20,Q$21,Q$20))</f>
        <v/>
      </c>
      <c r="R416" s="981" t="str">
        <f>IF(R$17=FALSE,"",JUMData('Testo, JUM &amp; MRU Data'!M410,$R$7))</f>
        <v/>
      </c>
      <c r="S416" s="982" t="str">
        <f>IF(R416="","",Conc2(R416,R$9,MolVol,R$21,R$20,S$21,S$20)/(1-Bws))</f>
        <v/>
      </c>
      <c r="T416" s="740"/>
      <c r="AR416" s="335"/>
      <c r="AS416" s="335"/>
      <c r="AT416" s="153"/>
      <c r="AU416" s="153"/>
      <c r="AV416" s="153"/>
      <c r="AW416" s="153"/>
      <c r="AX416" s="153"/>
      <c r="AY416" s="153"/>
      <c r="AZ416" s="153"/>
      <c r="BA416" s="153"/>
      <c r="BB416" s="153"/>
      <c r="BC416" s="153"/>
      <c r="BD416" s="153"/>
      <c r="BE416" s="153"/>
      <c r="BF416" s="153"/>
      <c r="BG416" s="153"/>
      <c r="BH416" s="153"/>
      <c r="BI416" s="153"/>
      <c r="BJ416" s="153"/>
      <c r="BK416" s="153"/>
      <c r="BL416" s="153"/>
      <c r="BM416" s="153"/>
      <c r="BN416" s="153"/>
      <c r="BO416" s="153"/>
      <c r="BP416" s="153"/>
      <c r="BQ416" s="153"/>
      <c r="BR416" s="153"/>
      <c r="BS416" s="153"/>
      <c r="BT416" s="153"/>
      <c r="BU416" s="153"/>
      <c r="BV416" s="153"/>
      <c r="BW416" s="153"/>
      <c r="BX416" s="153"/>
      <c r="BY416" s="153"/>
      <c r="BZ416" s="153"/>
      <c r="CA416" s="153"/>
      <c r="CB416" s="153"/>
      <c r="CC416" s="153"/>
      <c r="CD416" s="153"/>
      <c r="CE416" s="153"/>
      <c r="CF416" s="153"/>
      <c r="CG416" s="153"/>
      <c r="CH416" s="153"/>
      <c r="CI416" s="153"/>
      <c r="CJ416" s="153"/>
      <c r="CK416" s="153"/>
      <c r="CL416" s="153"/>
      <c r="CM416" s="153"/>
      <c r="CN416" s="153"/>
      <c r="CO416" s="153"/>
      <c r="CP416" s="153"/>
      <c r="CQ416" s="153"/>
      <c r="CR416" s="153"/>
      <c r="CS416" s="153"/>
      <c r="CT416" s="153"/>
      <c r="CU416" s="153"/>
      <c r="CV416" s="153"/>
      <c r="CW416" s="153"/>
      <c r="CX416" s="153"/>
      <c r="CY416" s="153"/>
      <c r="CZ416" s="153"/>
      <c r="DA416" s="153"/>
      <c r="DB416" s="153"/>
      <c r="DC416" s="153"/>
      <c r="DD416" s="153"/>
      <c r="DE416" s="153"/>
      <c r="DF416" s="153"/>
      <c r="DG416" s="153"/>
      <c r="DH416" s="153"/>
      <c r="DI416" s="153"/>
      <c r="DJ416" s="153"/>
      <c r="DK416" s="153"/>
      <c r="DL416" s="153"/>
      <c r="DM416" s="153"/>
      <c r="DN416" s="153"/>
      <c r="DO416" s="153"/>
      <c r="DP416" s="153"/>
      <c r="DQ416" s="153"/>
      <c r="DR416" s="153"/>
      <c r="DS416" s="153"/>
      <c r="DT416" s="153"/>
      <c r="DU416" s="153"/>
      <c r="DV416" s="153"/>
      <c r="DW416" s="153"/>
      <c r="DX416" s="153"/>
      <c r="DY416" s="153"/>
      <c r="DZ416" s="153"/>
      <c r="EA416" s="153"/>
      <c r="EB416" s="153"/>
      <c r="EC416" s="153"/>
      <c r="ED416" s="153"/>
      <c r="EE416" s="153"/>
      <c r="EF416" s="153"/>
      <c r="EG416" s="153"/>
      <c r="EH416" s="153"/>
      <c r="EI416" s="153"/>
      <c r="EJ416" s="153"/>
      <c r="EK416" s="153"/>
      <c r="EL416" s="153"/>
      <c r="EM416" s="153"/>
    </row>
    <row r="417" spans="1:143" s="107" customFormat="1" ht="10.5" hidden="1" customHeight="1" outlineLevel="2">
      <c r="A417" s="1548">
        <v>392</v>
      </c>
      <c r="B417" s="1560" t="str">
        <f t="shared" si="8"/>
        <v/>
      </c>
      <c r="C417" s="161" t="str">
        <f>GasTime(GasAnalyser,'Horiba Data'!F410,'Horiba Data'!G410,'Testo, JUM &amp; MRU Data'!A411,'Thermo Data'!B410,HourOffset)</f>
        <v/>
      </c>
      <c r="D417" s="981" t="str">
        <f>IF(D$17=FALSE,"",GasData(GasAnalyser,'Horiba Data'!S410,'Testo, JUM &amp; MRU Data'!D411,'Thermo Data'!E410,'Testo, JUM &amp; MRU Data'!U411,GDF))</f>
        <v/>
      </c>
      <c r="E417" s="981" t="str">
        <f>IF(D417="","",Conc2(D417,D$9,MolVol,D$21,D$20,E$21,E$20))</f>
        <v/>
      </c>
      <c r="F417" s="981" t="str">
        <f>IF(F$17=FALSE,"",GasData(GasAnalyser,'Horiba Data'!AQ410,'Testo, JUM &amp; MRU Data'!E411,'Thermo Data'!F410,'Testo, JUM &amp; MRU Data'!V411,GDF))</f>
        <v/>
      </c>
      <c r="G417" s="981" t="str">
        <f>IF(F417="","",Conc2(F417,F$9,MolVol,F$21,F$20,G$21,G$20))</f>
        <v/>
      </c>
      <c r="H417" s="981" t="str">
        <f>IF(D$17=FALSE,"",IF(F$17=FALSE,"",GasData(GasAnalyser,'Horiba Data'!W410,'Testo, JUM &amp; MRU Data'!F411,'Thermo Data'!G410,'Testo, JUM &amp; MRU Data'!Y411,GDF)))</f>
        <v/>
      </c>
      <c r="I417" s="981" t="str">
        <f>IF(H417="","",Conc2(H417,H$9,MolVol,H$21,H$20,I$21,I$20))</f>
        <v/>
      </c>
      <c r="J417" s="981" t="str">
        <f>IF(J$17=FALSE,"",GasData(GasAnalyser,'Horiba Data'!AM410,'Testo, JUM &amp; MRU Data'!G411,'Thermo Data'!H410,'Testo, JUM &amp; MRU Data'!W411,GDF))</f>
        <v/>
      </c>
      <c r="K417" s="981" t="str">
        <f>IF(J417="","",Conc2(J417,J$9,MolVol,J$21,J$20,K$21,K$20))</f>
        <v/>
      </c>
      <c r="L417" s="981" t="str">
        <f>IF(L$17=FALSE,"",GasData(GasAnalyser,'Horiba Data'!AA410,'Testo, JUM &amp; MRU Data'!H411,'Thermo Data'!I410,'Testo, JUM &amp; MRU Data'!T411,GDF))</f>
        <v/>
      </c>
      <c r="M417" s="981" t="str">
        <f>IF(L417="","",Conc2(L417,L$9,MolVol,L$21,L$20,M$21,M$20))</f>
        <v/>
      </c>
      <c r="N417" s="981" t="str">
        <f>IF(N$17=FALSE,"",GasData(GasAnalyser,'Horiba Data'!AE410,'Testo, JUM &amp; MRU Data'!I411,'Thermo Data'!J410,'Testo, JUM &amp; MRU Data'!S411,GDF))</f>
        <v/>
      </c>
      <c r="O417" s="981" t="str">
        <f>IF(N417="","",Conc2(N417,N$9,MolVol,N$21,N$20,O$21,O$20))</f>
        <v/>
      </c>
      <c r="P417" s="981" t="str">
        <f>IF(P$17=FALSE,"",GasData(GasAnalyser,'Horiba Data'!AI410,'Testo, JUM &amp; MRU Data'!J411,'Thermo Data'!K410,'Testo, JUM &amp; MRU Data'!R411,GDF))</f>
        <v/>
      </c>
      <c r="Q417" s="981" t="str">
        <f>IF(P417="","",Conc2(P417,P$9,MolVol,P$21,P$20,Q$21,Q$20))</f>
        <v/>
      </c>
      <c r="R417" s="981" t="str">
        <f>IF(R$17=FALSE,"",JUMData('Testo, JUM &amp; MRU Data'!M411,$R$7))</f>
        <v/>
      </c>
      <c r="S417" s="982" t="str">
        <f>IF(R417="","",Conc2(R417,R$9,MolVol,R$21,R$20,S$21,S$20)/(1-Bws))</f>
        <v/>
      </c>
      <c r="T417" s="740"/>
      <c r="AR417" s="335"/>
      <c r="AS417" s="335"/>
      <c r="AT417" s="153"/>
      <c r="AU417" s="153"/>
      <c r="AV417" s="153"/>
      <c r="AW417" s="153"/>
      <c r="AX417" s="153"/>
      <c r="AY417" s="153"/>
      <c r="AZ417" s="153"/>
      <c r="BA417" s="153"/>
      <c r="BB417" s="153"/>
      <c r="BC417" s="153"/>
      <c r="BD417" s="153"/>
      <c r="BE417" s="153"/>
      <c r="BF417" s="153"/>
      <c r="BG417" s="153"/>
      <c r="BH417" s="153"/>
      <c r="BI417" s="153"/>
      <c r="BJ417" s="153"/>
      <c r="BK417" s="153"/>
      <c r="BL417" s="153"/>
      <c r="BM417" s="153"/>
      <c r="BN417" s="153"/>
      <c r="BO417" s="153"/>
      <c r="BP417" s="153"/>
      <c r="BQ417" s="153"/>
      <c r="BR417" s="153"/>
      <c r="BS417" s="153"/>
      <c r="BT417" s="153"/>
      <c r="BU417" s="153"/>
      <c r="BV417" s="153"/>
      <c r="BW417" s="153"/>
      <c r="BX417" s="153"/>
      <c r="BY417" s="153"/>
      <c r="BZ417" s="153"/>
      <c r="CA417" s="153"/>
      <c r="CB417" s="153"/>
      <c r="CC417" s="153"/>
      <c r="CD417" s="153"/>
      <c r="CE417" s="153"/>
      <c r="CF417" s="153"/>
      <c r="CG417" s="153"/>
      <c r="CH417" s="153"/>
      <c r="CI417" s="153"/>
      <c r="CJ417" s="153"/>
      <c r="CK417" s="153"/>
      <c r="CL417" s="153"/>
      <c r="CM417" s="153"/>
      <c r="CN417" s="153"/>
      <c r="CO417" s="153"/>
      <c r="CP417" s="153"/>
      <c r="CQ417" s="153"/>
      <c r="CR417" s="153"/>
      <c r="CS417" s="153"/>
      <c r="CT417" s="153"/>
      <c r="CU417" s="153"/>
      <c r="CV417" s="153"/>
      <c r="CW417" s="153"/>
      <c r="CX417" s="153"/>
      <c r="CY417" s="153"/>
      <c r="CZ417" s="153"/>
      <c r="DA417" s="153"/>
      <c r="DB417" s="153"/>
      <c r="DC417" s="153"/>
      <c r="DD417" s="153"/>
      <c r="DE417" s="153"/>
      <c r="DF417" s="153"/>
      <c r="DG417" s="153"/>
      <c r="DH417" s="153"/>
      <c r="DI417" s="153"/>
      <c r="DJ417" s="153"/>
      <c r="DK417" s="153"/>
      <c r="DL417" s="153"/>
      <c r="DM417" s="153"/>
      <c r="DN417" s="153"/>
      <c r="DO417" s="153"/>
      <c r="DP417" s="153"/>
      <c r="DQ417" s="153"/>
      <c r="DR417" s="153"/>
      <c r="DS417" s="153"/>
      <c r="DT417" s="153"/>
      <c r="DU417" s="153"/>
      <c r="DV417" s="153"/>
      <c r="DW417" s="153"/>
      <c r="DX417" s="153"/>
      <c r="DY417" s="153"/>
      <c r="DZ417" s="153"/>
      <c r="EA417" s="153"/>
      <c r="EB417" s="153"/>
      <c r="EC417" s="153"/>
      <c r="ED417" s="153"/>
      <c r="EE417" s="153"/>
      <c r="EF417" s="153"/>
      <c r="EG417" s="153"/>
      <c r="EH417" s="153"/>
      <c r="EI417" s="153"/>
      <c r="EJ417" s="153"/>
      <c r="EK417" s="153"/>
      <c r="EL417" s="153"/>
      <c r="EM417" s="153"/>
    </row>
    <row r="418" spans="1:143" s="107" customFormat="1" ht="10.5" hidden="1" customHeight="1" outlineLevel="2">
      <c r="A418" s="1548">
        <v>393</v>
      </c>
      <c r="B418" s="1560" t="str">
        <f t="shared" si="8"/>
        <v/>
      </c>
      <c r="C418" s="161" t="str">
        <f>GasTime(GasAnalyser,'Horiba Data'!F411,'Horiba Data'!G411,'Testo, JUM &amp; MRU Data'!A412,'Thermo Data'!B411,HourOffset)</f>
        <v/>
      </c>
      <c r="D418" s="981" t="str">
        <f>IF(D$17=FALSE,"",GasData(GasAnalyser,'Horiba Data'!S411,'Testo, JUM &amp; MRU Data'!D412,'Thermo Data'!E411,'Testo, JUM &amp; MRU Data'!U412,GDF))</f>
        <v/>
      </c>
      <c r="E418" s="981" t="str">
        <f>IF(D418="","",Conc2(D418,D$9,MolVol,D$21,D$20,E$21,E$20))</f>
        <v/>
      </c>
      <c r="F418" s="981" t="str">
        <f>IF(F$17=FALSE,"",GasData(GasAnalyser,'Horiba Data'!AQ411,'Testo, JUM &amp; MRU Data'!E412,'Thermo Data'!F411,'Testo, JUM &amp; MRU Data'!V412,GDF))</f>
        <v/>
      </c>
      <c r="G418" s="981" t="str">
        <f>IF(F418="","",Conc2(F418,F$9,MolVol,F$21,F$20,G$21,G$20))</f>
        <v/>
      </c>
      <c r="H418" s="981" t="str">
        <f>IF(D$17=FALSE,"",IF(F$17=FALSE,"",GasData(GasAnalyser,'Horiba Data'!W411,'Testo, JUM &amp; MRU Data'!F412,'Thermo Data'!G411,'Testo, JUM &amp; MRU Data'!Y412,GDF)))</f>
        <v/>
      </c>
      <c r="I418" s="981" t="str">
        <f>IF(H418="","",Conc2(H418,H$9,MolVol,H$21,H$20,I$21,I$20))</f>
        <v/>
      </c>
      <c r="J418" s="981" t="str">
        <f>IF(J$17=FALSE,"",GasData(GasAnalyser,'Horiba Data'!AM411,'Testo, JUM &amp; MRU Data'!G412,'Thermo Data'!H411,'Testo, JUM &amp; MRU Data'!W412,GDF))</f>
        <v/>
      </c>
      <c r="K418" s="981" t="str">
        <f>IF(J418="","",Conc2(J418,J$9,MolVol,J$21,J$20,K$21,K$20))</f>
        <v/>
      </c>
      <c r="L418" s="981" t="str">
        <f>IF(L$17=FALSE,"",GasData(GasAnalyser,'Horiba Data'!AA411,'Testo, JUM &amp; MRU Data'!H412,'Thermo Data'!I411,'Testo, JUM &amp; MRU Data'!T412,GDF))</f>
        <v/>
      </c>
      <c r="M418" s="981" t="str">
        <f>IF(L418="","",Conc2(L418,L$9,MolVol,L$21,L$20,M$21,M$20))</f>
        <v/>
      </c>
      <c r="N418" s="981" t="str">
        <f>IF(N$17=FALSE,"",GasData(GasAnalyser,'Horiba Data'!AE411,'Testo, JUM &amp; MRU Data'!I412,'Thermo Data'!J411,'Testo, JUM &amp; MRU Data'!S412,GDF))</f>
        <v/>
      </c>
      <c r="O418" s="981" t="str">
        <f>IF(N418="","",Conc2(N418,N$9,MolVol,N$21,N$20,O$21,O$20))</f>
        <v/>
      </c>
      <c r="P418" s="981" t="str">
        <f>IF(P$17=FALSE,"",GasData(GasAnalyser,'Horiba Data'!AI411,'Testo, JUM &amp; MRU Data'!J412,'Thermo Data'!K411,'Testo, JUM &amp; MRU Data'!R412,GDF))</f>
        <v/>
      </c>
      <c r="Q418" s="981" t="str">
        <f>IF(P418="","",Conc2(P418,P$9,MolVol,P$21,P$20,Q$21,Q$20))</f>
        <v/>
      </c>
      <c r="R418" s="981" t="str">
        <f>IF(R$17=FALSE,"",JUMData('Testo, JUM &amp; MRU Data'!M412,$R$7))</f>
        <v/>
      </c>
      <c r="S418" s="982" t="str">
        <f>IF(R418="","",Conc2(R418,R$9,MolVol,R$21,R$20,S$21,S$20)/(1-Bws))</f>
        <v/>
      </c>
      <c r="T418" s="740"/>
      <c r="AR418" s="335"/>
      <c r="AS418" s="335"/>
      <c r="AT418" s="153"/>
      <c r="AU418" s="153"/>
      <c r="AV418" s="153"/>
      <c r="AW418" s="153"/>
      <c r="AX418" s="153"/>
      <c r="AY418" s="153"/>
      <c r="AZ418" s="153"/>
      <c r="BA418" s="153"/>
      <c r="BB418" s="153"/>
      <c r="BC418" s="153"/>
      <c r="BD418" s="153"/>
      <c r="BE418" s="153"/>
      <c r="BF418" s="153"/>
      <c r="BG418" s="153"/>
      <c r="BH418" s="153"/>
      <c r="BI418" s="153"/>
      <c r="BJ418" s="153"/>
      <c r="BK418" s="153"/>
      <c r="BL418" s="153"/>
      <c r="BM418" s="153"/>
      <c r="BN418" s="153"/>
      <c r="BO418" s="153"/>
      <c r="BP418" s="153"/>
      <c r="BQ418" s="153"/>
      <c r="BR418" s="153"/>
      <c r="BS418" s="153"/>
      <c r="BT418" s="153"/>
      <c r="BU418" s="153"/>
      <c r="BV418" s="153"/>
      <c r="BW418" s="153"/>
      <c r="BX418" s="153"/>
      <c r="BY418" s="153"/>
      <c r="BZ418" s="153"/>
      <c r="CA418" s="153"/>
      <c r="CB418" s="153"/>
      <c r="CC418" s="153"/>
      <c r="CD418" s="153"/>
      <c r="CE418" s="153"/>
      <c r="CF418" s="153"/>
      <c r="CG418" s="153"/>
      <c r="CH418" s="153"/>
      <c r="CI418" s="153"/>
      <c r="CJ418" s="153"/>
      <c r="CK418" s="153"/>
      <c r="CL418" s="153"/>
      <c r="CM418" s="153"/>
      <c r="CN418" s="153"/>
      <c r="CO418" s="153"/>
      <c r="CP418" s="153"/>
      <c r="CQ418" s="153"/>
      <c r="CR418" s="153"/>
      <c r="CS418" s="153"/>
      <c r="CT418" s="153"/>
      <c r="CU418" s="153"/>
      <c r="CV418" s="153"/>
      <c r="CW418" s="153"/>
      <c r="CX418" s="153"/>
      <c r="CY418" s="153"/>
      <c r="CZ418" s="153"/>
      <c r="DA418" s="153"/>
      <c r="DB418" s="153"/>
      <c r="DC418" s="153"/>
      <c r="DD418" s="153"/>
      <c r="DE418" s="153"/>
      <c r="DF418" s="153"/>
      <c r="DG418" s="153"/>
      <c r="DH418" s="153"/>
      <c r="DI418" s="153"/>
      <c r="DJ418" s="153"/>
      <c r="DK418" s="153"/>
      <c r="DL418" s="153"/>
      <c r="DM418" s="153"/>
      <c r="DN418" s="153"/>
      <c r="DO418" s="153"/>
      <c r="DP418" s="153"/>
      <c r="DQ418" s="153"/>
      <c r="DR418" s="153"/>
      <c r="DS418" s="153"/>
      <c r="DT418" s="153"/>
      <c r="DU418" s="153"/>
      <c r="DV418" s="153"/>
      <c r="DW418" s="153"/>
      <c r="DX418" s="153"/>
      <c r="DY418" s="153"/>
      <c r="DZ418" s="153"/>
      <c r="EA418" s="153"/>
      <c r="EB418" s="153"/>
      <c r="EC418" s="153"/>
      <c r="ED418" s="153"/>
      <c r="EE418" s="153"/>
      <c r="EF418" s="153"/>
      <c r="EG418" s="153"/>
      <c r="EH418" s="153"/>
      <c r="EI418" s="153"/>
      <c r="EJ418" s="153"/>
      <c r="EK418" s="153"/>
      <c r="EL418" s="153"/>
      <c r="EM418" s="153"/>
    </row>
    <row r="419" spans="1:143" s="107" customFormat="1" ht="10.5" hidden="1" customHeight="1" outlineLevel="2">
      <c r="A419" s="1548">
        <v>394</v>
      </c>
      <c r="B419" s="1560" t="str">
        <f t="shared" si="8"/>
        <v/>
      </c>
      <c r="C419" s="161" t="str">
        <f>GasTime(GasAnalyser,'Horiba Data'!F412,'Horiba Data'!G412,'Testo, JUM &amp; MRU Data'!A413,'Thermo Data'!B412,HourOffset)</f>
        <v/>
      </c>
      <c r="D419" s="981" t="str">
        <f>IF(D$17=FALSE,"",GasData(GasAnalyser,'Horiba Data'!S412,'Testo, JUM &amp; MRU Data'!D413,'Thermo Data'!E412,'Testo, JUM &amp; MRU Data'!U413,GDF))</f>
        <v/>
      </c>
      <c r="E419" s="981" t="str">
        <f>IF(D419="","",Conc2(D419,D$9,MolVol,D$21,D$20,E$21,E$20))</f>
        <v/>
      </c>
      <c r="F419" s="981" t="str">
        <f>IF(F$17=FALSE,"",GasData(GasAnalyser,'Horiba Data'!AQ412,'Testo, JUM &amp; MRU Data'!E413,'Thermo Data'!F412,'Testo, JUM &amp; MRU Data'!V413,GDF))</f>
        <v/>
      </c>
      <c r="G419" s="981" t="str">
        <f>IF(F419="","",Conc2(F419,F$9,MolVol,F$21,F$20,G$21,G$20))</f>
        <v/>
      </c>
      <c r="H419" s="981" t="str">
        <f>IF(D$17=FALSE,"",IF(F$17=FALSE,"",GasData(GasAnalyser,'Horiba Data'!W412,'Testo, JUM &amp; MRU Data'!F413,'Thermo Data'!G412,'Testo, JUM &amp; MRU Data'!Y413,GDF)))</f>
        <v/>
      </c>
      <c r="I419" s="981" t="str">
        <f>IF(H419="","",Conc2(H419,H$9,MolVol,H$21,H$20,I$21,I$20))</f>
        <v/>
      </c>
      <c r="J419" s="981" t="str">
        <f>IF(J$17=FALSE,"",GasData(GasAnalyser,'Horiba Data'!AM412,'Testo, JUM &amp; MRU Data'!G413,'Thermo Data'!H412,'Testo, JUM &amp; MRU Data'!W413,GDF))</f>
        <v/>
      </c>
      <c r="K419" s="981" t="str">
        <f>IF(J419="","",Conc2(J419,J$9,MolVol,J$21,J$20,K$21,K$20))</f>
        <v/>
      </c>
      <c r="L419" s="981" t="str">
        <f>IF(L$17=FALSE,"",GasData(GasAnalyser,'Horiba Data'!AA412,'Testo, JUM &amp; MRU Data'!H413,'Thermo Data'!I412,'Testo, JUM &amp; MRU Data'!T413,GDF))</f>
        <v/>
      </c>
      <c r="M419" s="981" t="str">
        <f>IF(L419="","",Conc2(L419,L$9,MolVol,L$21,L$20,M$21,M$20))</f>
        <v/>
      </c>
      <c r="N419" s="981" t="str">
        <f>IF(N$17=FALSE,"",GasData(GasAnalyser,'Horiba Data'!AE412,'Testo, JUM &amp; MRU Data'!I413,'Thermo Data'!J412,'Testo, JUM &amp; MRU Data'!S413,GDF))</f>
        <v/>
      </c>
      <c r="O419" s="981" t="str">
        <f>IF(N419="","",Conc2(N419,N$9,MolVol,N$21,N$20,O$21,O$20))</f>
        <v/>
      </c>
      <c r="P419" s="981" t="str">
        <f>IF(P$17=FALSE,"",GasData(GasAnalyser,'Horiba Data'!AI412,'Testo, JUM &amp; MRU Data'!J413,'Thermo Data'!K412,'Testo, JUM &amp; MRU Data'!R413,GDF))</f>
        <v/>
      </c>
      <c r="Q419" s="981" t="str">
        <f>IF(P419="","",Conc2(P419,P$9,MolVol,P$21,P$20,Q$21,Q$20))</f>
        <v/>
      </c>
      <c r="R419" s="981" t="str">
        <f>IF(R$17=FALSE,"",JUMData('Testo, JUM &amp; MRU Data'!M413,$R$7))</f>
        <v/>
      </c>
      <c r="S419" s="982" t="str">
        <f>IF(R419="","",Conc2(R419,R$9,MolVol,R$21,R$20,S$21,S$20)/(1-Bws))</f>
        <v/>
      </c>
      <c r="T419" s="740"/>
      <c r="AR419" s="335"/>
      <c r="AS419" s="335"/>
      <c r="AT419" s="153"/>
      <c r="AU419" s="153"/>
      <c r="AV419" s="153"/>
      <c r="AW419" s="153"/>
      <c r="AX419" s="153"/>
      <c r="AY419" s="153"/>
      <c r="AZ419" s="153"/>
      <c r="BA419" s="153"/>
      <c r="BB419" s="153"/>
      <c r="BC419" s="153"/>
      <c r="BD419" s="153"/>
      <c r="BE419" s="153"/>
      <c r="BF419" s="153"/>
      <c r="BG419" s="153"/>
      <c r="BH419" s="153"/>
      <c r="BI419" s="153"/>
      <c r="BJ419" s="153"/>
      <c r="BK419" s="153"/>
      <c r="BL419" s="153"/>
      <c r="BM419" s="153"/>
      <c r="BN419" s="153"/>
      <c r="BO419" s="153"/>
      <c r="BP419" s="153"/>
      <c r="BQ419" s="153"/>
      <c r="BR419" s="153"/>
      <c r="BS419" s="153"/>
      <c r="BT419" s="153"/>
      <c r="BU419" s="153"/>
      <c r="BV419" s="153"/>
      <c r="BW419" s="153"/>
      <c r="BX419" s="153"/>
      <c r="BY419" s="153"/>
      <c r="BZ419" s="153"/>
      <c r="CA419" s="153"/>
      <c r="CB419" s="153"/>
      <c r="CC419" s="153"/>
      <c r="CD419" s="153"/>
      <c r="CE419" s="153"/>
      <c r="CF419" s="153"/>
      <c r="CG419" s="153"/>
      <c r="CH419" s="153"/>
      <c r="CI419" s="153"/>
      <c r="CJ419" s="153"/>
      <c r="CK419" s="153"/>
      <c r="CL419" s="153"/>
      <c r="CM419" s="153"/>
      <c r="CN419" s="153"/>
      <c r="CO419" s="153"/>
      <c r="CP419" s="153"/>
      <c r="CQ419" s="153"/>
      <c r="CR419" s="153"/>
      <c r="CS419" s="153"/>
      <c r="CT419" s="153"/>
      <c r="CU419" s="153"/>
      <c r="CV419" s="153"/>
      <c r="CW419" s="153"/>
      <c r="CX419" s="153"/>
      <c r="CY419" s="153"/>
      <c r="CZ419" s="153"/>
      <c r="DA419" s="153"/>
      <c r="DB419" s="153"/>
      <c r="DC419" s="153"/>
      <c r="DD419" s="153"/>
      <c r="DE419" s="153"/>
      <c r="DF419" s="153"/>
      <c r="DG419" s="153"/>
      <c r="DH419" s="153"/>
      <c r="DI419" s="153"/>
      <c r="DJ419" s="153"/>
      <c r="DK419" s="153"/>
      <c r="DL419" s="153"/>
      <c r="DM419" s="153"/>
      <c r="DN419" s="153"/>
      <c r="DO419" s="153"/>
      <c r="DP419" s="153"/>
      <c r="DQ419" s="153"/>
      <c r="DR419" s="153"/>
      <c r="DS419" s="153"/>
      <c r="DT419" s="153"/>
      <c r="DU419" s="153"/>
      <c r="DV419" s="153"/>
      <c r="DW419" s="153"/>
      <c r="DX419" s="153"/>
      <c r="DY419" s="153"/>
      <c r="DZ419" s="153"/>
      <c r="EA419" s="153"/>
      <c r="EB419" s="153"/>
      <c r="EC419" s="153"/>
      <c r="ED419" s="153"/>
      <c r="EE419" s="153"/>
      <c r="EF419" s="153"/>
      <c r="EG419" s="153"/>
      <c r="EH419" s="153"/>
      <c r="EI419" s="153"/>
      <c r="EJ419" s="153"/>
      <c r="EK419" s="153"/>
      <c r="EL419" s="153"/>
      <c r="EM419" s="153"/>
    </row>
    <row r="420" spans="1:143" s="107" customFormat="1" ht="10.5" hidden="1" customHeight="1" outlineLevel="2">
      <c r="A420" s="1548">
        <v>395</v>
      </c>
      <c r="B420" s="1560" t="str">
        <f t="shared" si="8"/>
        <v/>
      </c>
      <c r="C420" s="161" t="str">
        <f>GasTime(GasAnalyser,'Horiba Data'!F413,'Horiba Data'!G413,'Testo, JUM &amp; MRU Data'!A414,'Thermo Data'!B413,HourOffset)</f>
        <v/>
      </c>
      <c r="D420" s="981" t="str">
        <f>IF(D$17=FALSE,"",GasData(GasAnalyser,'Horiba Data'!S413,'Testo, JUM &amp; MRU Data'!D414,'Thermo Data'!E413,'Testo, JUM &amp; MRU Data'!U414,GDF))</f>
        <v/>
      </c>
      <c r="E420" s="981" t="str">
        <f>IF(D420="","",Conc2(D420,D$9,MolVol,D$21,D$20,E$21,E$20))</f>
        <v/>
      </c>
      <c r="F420" s="981" t="str">
        <f>IF(F$17=FALSE,"",GasData(GasAnalyser,'Horiba Data'!AQ413,'Testo, JUM &amp; MRU Data'!E414,'Thermo Data'!F413,'Testo, JUM &amp; MRU Data'!V414,GDF))</f>
        <v/>
      </c>
      <c r="G420" s="981" t="str">
        <f>IF(F420="","",Conc2(F420,F$9,MolVol,F$21,F$20,G$21,G$20))</f>
        <v/>
      </c>
      <c r="H420" s="981" t="str">
        <f>IF(D$17=FALSE,"",IF(F$17=FALSE,"",GasData(GasAnalyser,'Horiba Data'!W413,'Testo, JUM &amp; MRU Data'!F414,'Thermo Data'!G413,'Testo, JUM &amp; MRU Data'!Y414,GDF)))</f>
        <v/>
      </c>
      <c r="I420" s="981" t="str">
        <f>IF(H420="","",Conc2(H420,H$9,MolVol,H$21,H$20,I$21,I$20))</f>
        <v/>
      </c>
      <c r="J420" s="981" t="str">
        <f>IF(J$17=FALSE,"",GasData(GasAnalyser,'Horiba Data'!AM413,'Testo, JUM &amp; MRU Data'!G414,'Thermo Data'!H413,'Testo, JUM &amp; MRU Data'!W414,GDF))</f>
        <v/>
      </c>
      <c r="K420" s="981" t="str">
        <f>IF(J420="","",Conc2(J420,J$9,MolVol,J$21,J$20,K$21,K$20))</f>
        <v/>
      </c>
      <c r="L420" s="981" t="str">
        <f>IF(L$17=FALSE,"",GasData(GasAnalyser,'Horiba Data'!AA413,'Testo, JUM &amp; MRU Data'!H414,'Thermo Data'!I413,'Testo, JUM &amp; MRU Data'!T414,GDF))</f>
        <v/>
      </c>
      <c r="M420" s="981" t="str">
        <f>IF(L420="","",Conc2(L420,L$9,MolVol,L$21,L$20,M$21,M$20))</f>
        <v/>
      </c>
      <c r="N420" s="981" t="str">
        <f>IF(N$17=FALSE,"",GasData(GasAnalyser,'Horiba Data'!AE413,'Testo, JUM &amp; MRU Data'!I414,'Thermo Data'!J413,'Testo, JUM &amp; MRU Data'!S414,GDF))</f>
        <v/>
      </c>
      <c r="O420" s="981" t="str">
        <f>IF(N420="","",Conc2(N420,N$9,MolVol,N$21,N$20,O$21,O$20))</f>
        <v/>
      </c>
      <c r="P420" s="981" t="str">
        <f>IF(P$17=FALSE,"",GasData(GasAnalyser,'Horiba Data'!AI413,'Testo, JUM &amp; MRU Data'!J414,'Thermo Data'!K413,'Testo, JUM &amp; MRU Data'!R414,GDF))</f>
        <v/>
      </c>
      <c r="Q420" s="981" t="str">
        <f>IF(P420="","",Conc2(P420,P$9,MolVol,P$21,P$20,Q$21,Q$20))</f>
        <v/>
      </c>
      <c r="R420" s="981" t="str">
        <f>IF(R$17=FALSE,"",JUMData('Testo, JUM &amp; MRU Data'!M414,$R$7))</f>
        <v/>
      </c>
      <c r="S420" s="982" t="str">
        <f>IF(R420="","",Conc2(R420,R$9,MolVol,R$21,R$20,S$21,S$20)/(1-Bws))</f>
        <v/>
      </c>
      <c r="T420" s="740"/>
      <c r="AR420" s="335"/>
      <c r="AS420" s="335"/>
      <c r="AT420" s="153"/>
      <c r="AU420" s="153"/>
      <c r="AV420" s="153"/>
      <c r="AW420" s="153"/>
      <c r="AX420" s="153"/>
      <c r="AY420" s="153"/>
      <c r="AZ420" s="153"/>
      <c r="BA420" s="153"/>
      <c r="BB420" s="153"/>
      <c r="BC420" s="153"/>
      <c r="BD420" s="153"/>
      <c r="BE420" s="153"/>
      <c r="BF420" s="153"/>
      <c r="BG420" s="153"/>
      <c r="BH420" s="153"/>
      <c r="BI420" s="153"/>
      <c r="BJ420" s="153"/>
      <c r="BK420" s="153"/>
      <c r="BL420" s="153"/>
      <c r="BM420" s="153"/>
      <c r="BN420" s="153"/>
      <c r="BO420" s="153"/>
      <c r="BP420" s="153"/>
      <c r="BQ420" s="153"/>
      <c r="BR420" s="153"/>
      <c r="BS420" s="153"/>
      <c r="BT420" s="153"/>
      <c r="BU420" s="153"/>
      <c r="BV420" s="153"/>
      <c r="BW420" s="153"/>
      <c r="BX420" s="153"/>
      <c r="BY420" s="153"/>
      <c r="BZ420" s="153"/>
      <c r="CA420" s="153"/>
      <c r="CB420" s="153"/>
      <c r="CC420" s="153"/>
      <c r="CD420" s="153"/>
      <c r="CE420" s="153"/>
      <c r="CF420" s="153"/>
      <c r="CG420" s="153"/>
      <c r="CH420" s="153"/>
      <c r="CI420" s="153"/>
      <c r="CJ420" s="153"/>
      <c r="CK420" s="153"/>
      <c r="CL420" s="153"/>
      <c r="CM420" s="153"/>
      <c r="CN420" s="153"/>
      <c r="CO420" s="153"/>
      <c r="CP420" s="153"/>
      <c r="CQ420" s="153"/>
      <c r="CR420" s="153"/>
      <c r="CS420" s="153"/>
      <c r="CT420" s="153"/>
      <c r="CU420" s="153"/>
      <c r="CV420" s="153"/>
      <c r="CW420" s="153"/>
      <c r="CX420" s="153"/>
      <c r="CY420" s="153"/>
      <c r="CZ420" s="153"/>
      <c r="DA420" s="153"/>
      <c r="DB420" s="153"/>
      <c r="DC420" s="153"/>
      <c r="DD420" s="153"/>
      <c r="DE420" s="153"/>
      <c r="DF420" s="153"/>
      <c r="DG420" s="153"/>
      <c r="DH420" s="153"/>
      <c r="DI420" s="153"/>
      <c r="DJ420" s="153"/>
      <c r="DK420" s="153"/>
      <c r="DL420" s="153"/>
      <c r="DM420" s="153"/>
      <c r="DN420" s="153"/>
      <c r="DO420" s="153"/>
      <c r="DP420" s="153"/>
      <c r="DQ420" s="153"/>
      <c r="DR420" s="153"/>
      <c r="DS420" s="153"/>
      <c r="DT420" s="153"/>
      <c r="DU420" s="153"/>
      <c r="DV420" s="153"/>
      <c r="DW420" s="153"/>
      <c r="DX420" s="153"/>
      <c r="DY420" s="153"/>
      <c r="DZ420" s="153"/>
      <c r="EA420" s="153"/>
      <c r="EB420" s="153"/>
      <c r="EC420" s="153"/>
      <c r="ED420" s="153"/>
      <c r="EE420" s="153"/>
      <c r="EF420" s="153"/>
      <c r="EG420" s="153"/>
      <c r="EH420" s="153"/>
      <c r="EI420" s="153"/>
      <c r="EJ420" s="153"/>
      <c r="EK420" s="153"/>
      <c r="EL420" s="153"/>
      <c r="EM420" s="153"/>
    </row>
    <row r="421" spans="1:143" s="107" customFormat="1" ht="10.5" hidden="1" customHeight="1" outlineLevel="2">
      <c r="A421" s="1548">
        <v>396</v>
      </c>
      <c r="B421" s="1560" t="str">
        <f t="shared" si="8"/>
        <v/>
      </c>
      <c r="C421" s="161" t="str">
        <f>GasTime(GasAnalyser,'Horiba Data'!F414,'Horiba Data'!G414,'Testo, JUM &amp; MRU Data'!A415,'Thermo Data'!B414,HourOffset)</f>
        <v/>
      </c>
      <c r="D421" s="981" t="str">
        <f>IF(D$17=FALSE,"",GasData(GasAnalyser,'Horiba Data'!S414,'Testo, JUM &amp; MRU Data'!D415,'Thermo Data'!E414,'Testo, JUM &amp; MRU Data'!U415,GDF))</f>
        <v/>
      </c>
      <c r="E421" s="981" t="str">
        <f>IF(D421="","",Conc2(D421,D$9,MolVol,D$21,D$20,E$21,E$20))</f>
        <v/>
      </c>
      <c r="F421" s="981" t="str">
        <f>IF(F$17=FALSE,"",GasData(GasAnalyser,'Horiba Data'!AQ414,'Testo, JUM &amp; MRU Data'!E415,'Thermo Data'!F414,'Testo, JUM &amp; MRU Data'!V415,GDF))</f>
        <v/>
      </c>
      <c r="G421" s="981" t="str">
        <f>IF(F421="","",Conc2(F421,F$9,MolVol,F$21,F$20,G$21,G$20))</f>
        <v/>
      </c>
      <c r="H421" s="981" t="str">
        <f>IF(D$17=FALSE,"",IF(F$17=FALSE,"",GasData(GasAnalyser,'Horiba Data'!W414,'Testo, JUM &amp; MRU Data'!F415,'Thermo Data'!G414,'Testo, JUM &amp; MRU Data'!Y415,GDF)))</f>
        <v/>
      </c>
      <c r="I421" s="981" t="str">
        <f>IF(H421="","",Conc2(H421,H$9,MolVol,H$21,H$20,I$21,I$20))</f>
        <v/>
      </c>
      <c r="J421" s="981" t="str">
        <f>IF(J$17=FALSE,"",GasData(GasAnalyser,'Horiba Data'!AM414,'Testo, JUM &amp; MRU Data'!G415,'Thermo Data'!H414,'Testo, JUM &amp; MRU Data'!W415,GDF))</f>
        <v/>
      </c>
      <c r="K421" s="981" t="str">
        <f>IF(J421="","",Conc2(J421,J$9,MolVol,J$21,J$20,K$21,K$20))</f>
        <v/>
      </c>
      <c r="L421" s="981" t="str">
        <f>IF(L$17=FALSE,"",GasData(GasAnalyser,'Horiba Data'!AA414,'Testo, JUM &amp; MRU Data'!H415,'Thermo Data'!I414,'Testo, JUM &amp; MRU Data'!T415,GDF))</f>
        <v/>
      </c>
      <c r="M421" s="981" t="str">
        <f>IF(L421="","",Conc2(L421,L$9,MolVol,L$21,L$20,M$21,M$20))</f>
        <v/>
      </c>
      <c r="N421" s="981" t="str">
        <f>IF(N$17=FALSE,"",GasData(GasAnalyser,'Horiba Data'!AE414,'Testo, JUM &amp; MRU Data'!I415,'Thermo Data'!J414,'Testo, JUM &amp; MRU Data'!S415,GDF))</f>
        <v/>
      </c>
      <c r="O421" s="981" t="str">
        <f>IF(N421="","",Conc2(N421,N$9,MolVol,N$21,N$20,O$21,O$20))</f>
        <v/>
      </c>
      <c r="P421" s="981" t="str">
        <f>IF(P$17=FALSE,"",GasData(GasAnalyser,'Horiba Data'!AI414,'Testo, JUM &amp; MRU Data'!J415,'Thermo Data'!K414,'Testo, JUM &amp; MRU Data'!R415,GDF))</f>
        <v/>
      </c>
      <c r="Q421" s="981" t="str">
        <f>IF(P421="","",Conc2(P421,P$9,MolVol,P$21,P$20,Q$21,Q$20))</f>
        <v/>
      </c>
      <c r="R421" s="981" t="str">
        <f>IF(R$17=FALSE,"",JUMData('Testo, JUM &amp; MRU Data'!M415,$R$7))</f>
        <v/>
      </c>
      <c r="S421" s="982" t="str">
        <f>IF(R421="","",Conc2(R421,R$9,MolVol,R$21,R$20,S$21,S$20)/(1-Bws))</f>
        <v/>
      </c>
      <c r="T421" s="740"/>
      <c r="AR421" s="335"/>
      <c r="AS421" s="335"/>
      <c r="AT421" s="153"/>
      <c r="AU421" s="153"/>
      <c r="AV421" s="153"/>
      <c r="AW421" s="153"/>
      <c r="AX421" s="153"/>
      <c r="AY421" s="153"/>
      <c r="AZ421" s="153"/>
      <c r="BA421" s="153"/>
      <c r="BB421" s="153"/>
      <c r="BC421" s="153"/>
      <c r="BD421" s="153"/>
      <c r="BE421" s="153"/>
      <c r="BF421" s="153"/>
      <c r="BG421" s="153"/>
      <c r="BH421" s="153"/>
      <c r="BI421" s="153"/>
      <c r="BJ421" s="153"/>
      <c r="BK421" s="153"/>
      <c r="BL421" s="153"/>
      <c r="BM421" s="153"/>
      <c r="BN421" s="153"/>
      <c r="BO421" s="153"/>
      <c r="BP421" s="153"/>
      <c r="BQ421" s="153"/>
      <c r="BR421" s="153"/>
      <c r="BS421" s="153"/>
      <c r="BT421" s="153"/>
      <c r="BU421" s="153"/>
      <c r="BV421" s="153"/>
      <c r="BW421" s="153"/>
      <c r="BX421" s="153"/>
      <c r="BY421" s="153"/>
      <c r="BZ421" s="153"/>
      <c r="CA421" s="153"/>
      <c r="CB421" s="153"/>
      <c r="CC421" s="153"/>
      <c r="CD421" s="153"/>
      <c r="CE421" s="153"/>
      <c r="CF421" s="153"/>
      <c r="CG421" s="153"/>
      <c r="CH421" s="153"/>
      <c r="CI421" s="153"/>
      <c r="CJ421" s="153"/>
      <c r="CK421" s="153"/>
      <c r="CL421" s="153"/>
      <c r="CM421" s="153"/>
      <c r="CN421" s="153"/>
      <c r="CO421" s="153"/>
      <c r="CP421" s="153"/>
      <c r="CQ421" s="153"/>
      <c r="CR421" s="153"/>
      <c r="CS421" s="153"/>
      <c r="CT421" s="153"/>
      <c r="CU421" s="153"/>
      <c r="CV421" s="153"/>
      <c r="CW421" s="153"/>
      <c r="CX421" s="153"/>
      <c r="CY421" s="153"/>
      <c r="CZ421" s="153"/>
      <c r="DA421" s="153"/>
      <c r="DB421" s="153"/>
      <c r="DC421" s="153"/>
      <c r="DD421" s="153"/>
      <c r="DE421" s="153"/>
      <c r="DF421" s="153"/>
      <c r="DG421" s="153"/>
      <c r="DH421" s="153"/>
      <c r="DI421" s="153"/>
      <c r="DJ421" s="153"/>
      <c r="DK421" s="153"/>
      <c r="DL421" s="153"/>
      <c r="DM421" s="153"/>
      <c r="DN421" s="153"/>
      <c r="DO421" s="153"/>
      <c r="DP421" s="153"/>
      <c r="DQ421" s="153"/>
      <c r="DR421" s="153"/>
      <c r="DS421" s="153"/>
      <c r="DT421" s="153"/>
      <c r="DU421" s="153"/>
      <c r="DV421" s="153"/>
      <c r="DW421" s="153"/>
      <c r="DX421" s="153"/>
      <c r="DY421" s="153"/>
      <c r="DZ421" s="153"/>
      <c r="EA421" s="153"/>
      <c r="EB421" s="153"/>
      <c r="EC421" s="153"/>
      <c r="ED421" s="153"/>
      <c r="EE421" s="153"/>
      <c r="EF421" s="153"/>
      <c r="EG421" s="153"/>
      <c r="EH421" s="153"/>
      <c r="EI421" s="153"/>
      <c r="EJ421" s="153"/>
      <c r="EK421" s="153"/>
      <c r="EL421" s="153"/>
      <c r="EM421" s="153"/>
    </row>
    <row r="422" spans="1:143" s="107" customFormat="1" ht="10.5" hidden="1" customHeight="1" outlineLevel="2">
      <c r="A422" s="1548">
        <v>397</v>
      </c>
      <c r="B422" s="1560" t="str">
        <f t="shared" si="8"/>
        <v/>
      </c>
      <c r="C422" s="161" t="str">
        <f>GasTime(GasAnalyser,'Horiba Data'!F415,'Horiba Data'!G415,'Testo, JUM &amp; MRU Data'!A416,'Thermo Data'!B415,HourOffset)</f>
        <v/>
      </c>
      <c r="D422" s="981" t="str">
        <f>IF(D$17=FALSE,"",GasData(GasAnalyser,'Horiba Data'!S415,'Testo, JUM &amp; MRU Data'!D416,'Thermo Data'!E415,'Testo, JUM &amp; MRU Data'!U416,GDF))</f>
        <v/>
      </c>
      <c r="E422" s="981" t="str">
        <f>IF(D422="","",Conc2(D422,D$9,MolVol,D$21,D$20,E$21,E$20))</f>
        <v/>
      </c>
      <c r="F422" s="981" t="str">
        <f>IF(F$17=FALSE,"",GasData(GasAnalyser,'Horiba Data'!AQ415,'Testo, JUM &amp; MRU Data'!E416,'Thermo Data'!F415,'Testo, JUM &amp; MRU Data'!V416,GDF))</f>
        <v/>
      </c>
      <c r="G422" s="981" t="str">
        <f>IF(F422="","",Conc2(F422,F$9,MolVol,F$21,F$20,G$21,G$20))</f>
        <v/>
      </c>
      <c r="H422" s="981" t="str">
        <f>IF(D$17=FALSE,"",IF(F$17=FALSE,"",GasData(GasAnalyser,'Horiba Data'!W415,'Testo, JUM &amp; MRU Data'!F416,'Thermo Data'!G415,'Testo, JUM &amp; MRU Data'!Y416,GDF)))</f>
        <v/>
      </c>
      <c r="I422" s="981" t="str">
        <f>IF(H422="","",Conc2(H422,H$9,MolVol,H$21,H$20,I$21,I$20))</f>
        <v/>
      </c>
      <c r="J422" s="981" t="str">
        <f>IF(J$17=FALSE,"",GasData(GasAnalyser,'Horiba Data'!AM415,'Testo, JUM &amp; MRU Data'!G416,'Thermo Data'!H415,'Testo, JUM &amp; MRU Data'!W416,GDF))</f>
        <v/>
      </c>
      <c r="K422" s="981" t="str">
        <f>IF(J422="","",Conc2(J422,J$9,MolVol,J$21,J$20,K$21,K$20))</f>
        <v/>
      </c>
      <c r="L422" s="981" t="str">
        <f>IF(L$17=FALSE,"",GasData(GasAnalyser,'Horiba Data'!AA415,'Testo, JUM &amp; MRU Data'!H416,'Thermo Data'!I415,'Testo, JUM &amp; MRU Data'!T416,GDF))</f>
        <v/>
      </c>
      <c r="M422" s="981" t="str">
        <f>IF(L422="","",Conc2(L422,L$9,MolVol,L$21,L$20,M$21,M$20))</f>
        <v/>
      </c>
      <c r="N422" s="981" t="str">
        <f>IF(N$17=FALSE,"",GasData(GasAnalyser,'Horiba Data'!AE415,'Testo, JUM &amp; MRU Data'!I416,'Thermo Data'!J415,'Testo, JUM &amp; MRU Data'!S416,GDF))</f>
        <v/>
      </c>
      <c r="O422" s="981" t="str">
        <f>IF(N422="","",Conc2(N422,N$9,MolVol,N$21,N$20,O$21,O$20))</f>
        <v/>
      </c>
      <c r="P422" s="981" t="str">
        <f>IF(P$17=FALSE,"",GasData(GasAnalyser,'Horiba Data'!AI415,'Testo, JUM &amp; MRU Data'!J416,'Thermo Data'!K415,'Testo, JUM &amp; MRU Data'!R416,GDF))</f>
        <v/>
      </c>
      <c r="Q422" s="981" t="str">
        <f>IF(P422="","",Conc2(P422,P$9,MolVol,P$21,P$20,Q$21,Q$20))</f>
        <v/>
      </c>
      <c r="R422" s="981" t="str">
        <f>IF(R$17=FALSE,"",JUMData('Testo, JUM &amp; MRU Data'!M416,$R$7))</f>
        <v/>
      </c>
      <c r="S422" s="982" t="str">
        <f>IF(R422="","",Conc2(R422,R$9,MolVol,R$21,R$20,S$21,S$20)/(1-Bws))</f>
        <v/>
      </c>
      <c r="T422" s="740"/>
      <c r="AR422" s="335"/>
      <c r="AS422" s="335"/>
      <c r="AT422" s="153"/>
      <c r="AU422" s="153"/>
      <c r="AV422" s="153"/>
      <c r="AW422" s="153"/>
      <c r="AX422" s="153"/>
      <c r="AY422" s="153"/>
      <c r="AZ422" s="153"/>
      <c r="BA422" s="153"/>
      <c r="BB422" s="153"/>
      <c r="BC422" s="153"/>
      <c r="BD422" s="153"/>
      <c r="BE422" s="153"/>
      <c r="BF422" s="153"/>
      <c r="BG422" s="153"/>
      <c r="BH422" s="153"/>
      <c r="BI422" s="153"/>
      <c r="BJ422" s="153"/>
      <c r="BK422" s="153"/>
      <c r="BL422" s="153"/>
      <c r="BM422" s="153"/>
      <c r="BN422" s="153"/>
      <c r="BO422" s="153"/>
      <c r="BP422" s="153"/>
      <c r="BQ422" s="153"/>
      <c r="BR422" s="153"/>
      <c r="BS422" s="153"/>
      <c r="BT422" s="153"/>
      <c r="BU422" s="153"/>
      <c r="BV422" s="153"/>
      <c r="BW422" s="153"/>
      <c r="BX422" s="153"/>
      <c r="BY422" s="153"/>
      <c r="BZ422" s="153"/>
      <c r="CA422" s="153"/>
      <c r="CB422" s="153"/>
      <c r="CC422" s="153"/>
      <c r="CD422" s="153"/>
      <c r="CE422" s="153"/>
      <c r="CF422" s="153"/>
      <c r="CG422" s="153"/>
      <c r="CH422" s="153"/>
      <c r="CI422" s="153"/>
      <c r="CJ422" s="153"/>
      <c r="CK422" s="153"/>
      <c r="CL422" s="153"/>
      <c r="CM422" s="153"/>
      <c r="CN422" s="153"/>
      <c r="CO422" s="153"/>
      <c r="CP422" s="153"/>
      <c r="CQ422" s="153"/>
      <c r="CR422" s="153"/>
      <c r="CS422" s="153"/>
      <c r="CT422" s="153"/>
      <c r="CU422" s="153"/>
      <c r="CV422" s="153"/>
      <c r="CW422" s="153"/>
      <c r="CX422" s="153"/>
      <c r="CY422" s="153"/>
      <c r="CZ422" s="153"/>
      <c r="DA422" s="153"/>
      <c r="DB422" s="153"/>
      <c r="DC422" s="153"/>
      <c r="DD422" s="153"/>
      <c r="DE422" s="153"/>
      <c r="DF422" s="153"/>
      <c r="DG422" s="153"/>
      <c r="DH422" s="153"/>
      <c r="DI422" s="153"/>
      <c r="DJ422" s="153"/>
      <c r="DK422" s="153"/>
      <c r="DL422" s="153"/>
      <c r="DM422" s="153"/>
      <c r="DN422" s="153"/>
      <c r="DO422" s="153"/>
      <c r="DP422" s="153"/>
      <c r="DQ422" s="153"/>
      <c r="DR422" s="153"/>
      <c r="DS422" s="153"/>
      <c r="DT422" s="153"/>
      <c r="DU422" s="153"/>
      <c r="DV422" s="153"/>
      <c r="DW422" s="153"/>
      <c r="DX422" s="153"/>
      <c r="DY422" s="153"/>
      <c r="DZ422" s="153"/>
      <c r="EA422" s="153"/>
      <c r="EB422" s="153"/>
      <c r="EC422" s="153"/>
      <c r="ED422" s="153"/>
      <c r="EE422" s="153"/>
      <c r="EF422" s="153"/>
      <c r="EG422" s="153"/>
      <c r="EH422" s="153"/>
      <c r="EI422" s="153"/>
      <c r="EJ422" s="153"/>
      <c r="EK422" s="153"/>
      <c r="EL422" s="153"/>
      <c r="EM422" s="153"/>
    </row>
    <row r="423" spans="1:143" s="107" customFormat="1" ht="10.5" hidden="1" customHeight="1" outlineLevel="2">
      <c r="A423" s="1548">
        <v>398</v>
      </c>
      <c r="B423" s="1560" t="str">
        <f t="shared" si="8"/>
        <v/>
      </c>
      <c r="C423" s="161" t="str">
        <f>GasTime(GasAnalyser,'Horiba Data'!F416,'Horiba Data'!G416,'Testo, JUM &amp; MRU Data'!A417,'Thermo Data'!B416,HourOffset)</f>
        <v/>
      </c>
      <c r="D423" s="981" t="str">
        <f>IF(D$17=FALSE,"",GasData(GasAnalyser,'Horiba Data'!S416,'Testo, JUM &amp; MRU Data'!D417,'Thermo Data'!E416,'Testo, JUM &amp; MRU Data'!U417,GDF))</f>
        <v/>
      </c>
      <c r="E423" s="981" t="str">
        <f>IF(D423="","",Conc2(D423,D$9,MolVol,D$21,D$20,E$21,E$20))</f>
        <v/>
      </c>
      <c r="F423" s="981" t="str">
        <f>IF(F$17=FALSE,"",GasData(GasAnalyser,'Horiba Data'!AQ416,'Testo, JUM &amp; MRU Data'!E417,'Thermo Data'!F416,'Testo, JUM &amp; MRU Data'!V417,GDF))</f>
        <v/>
      </c>
      <c r="G423" s="981" t="str">
        <f>IF(F423="","",Conc2(F423,F$9,MolVol,F$21,F$20,G$21,G$20))</f>
        <v/>
      </c>
      <c r="H423" s="981" t="str">
        <f>IF(D$17=FALSE,"",IF(F$17=FALSE,"",GasData(GasAnalyser,'Horiba Data'!W416,'Testo, JUM &amp; MRU Data'!F417,'Thermo Data'!G416,'Testo, JUM &amp; MRU Data'!Y417,GDF)))</f>
        <v/>
      </c>
      <c r="I423" s="981" t="str">
        <f>IF(H423="","",Conc2(H423,H$9,MolVol,H$21,H$20,I$21,I$20))</f>
        <v/>
      </c>
      <c r="J423" s="981" t="str">
        <f>IF(J$17=FALSE,"",GasData(GasAnalyser,'Horiba Data'!AM416,'Testo, JUM &amp; MRU Data'!G417,'Thermo Data'!H416,'Testo, JUM &amp; MRU Data'!W417,GDF))</f>
        <v/>
      </c>
      <c r="K423" s="981" t="str">
        <f>IF(J423="","",Conc2(J423,J$9,MolVol,J$21,J$20,K$21,K$20))</f>
        <v/>
      </c>
      <c r="L423" s="981" t="str">
        <f>IF(L$17=FALSE,"",GasData(GasAnalyser,'Horiba Data'!AA416,'Testo, JUM &amp; MRU Data'!H417,'Thermo Data'!I416,'Testo, JUM &amp; MRU Data'!T417,GDF))</f>
        <v/>
      </c>
      <c r="M423" s="981" t="str">
        <f>IF(L423="","",Conc2(L423,L$9,MolVol,L$21,L$20,M$21,M$20))</f>
        <v/>
      </c>
      <c r="N423" s="981" t="str">
        <f>IF(N$17=FALSE,"",GasData(GasAnalyser,'Horiba Data'!AE416,'Testo, JUM &amp; MRU Data'!I417,'Thermo Data'!J416,'Testo, JUM &amp; MRU Data'!S417,GDF))</f>
        <v/>
      </c>
      <c r="O423" s="981" t="str">
        <f>IF(N423="","",Conc2(N423,N$9,MolVol,N$21,N$20,O$21,O$20))</f>
        <v/>
      </c>
      <c r="P423" s="981" t="str">
        <f>IF(P$17=FALSE,"",GasData(GasAnalyser,'Horiba Data'!AI416,'Testo, JUM &amp; MRU Data'!J417,'Thermo Data'!K416,'Testo, JUM &amp; MRU Data'!R417,GDF))</f>
        <v/>
      </c>
      <c r="Q423" s="981" t="str">
        <f>IF(P423="","",Conc2(P423,P$9,MolVol,P$21,P$20,Q$21,Q$20))</f>
        <v/>
      </c>
      <c r="R423" s="981" t="str">
        <f>IF(R$17=FALSE,"",JUMData('Testo, JUM &amp; MRU Data'!M417,$R$7))</f>
        <v/>
      </c>
      <c r="S423" s="982" t="str">
        <f>IF(R423="","",Conc2(R423,R$9,MolVol,R$21,R$20,S$21,S$20)/(1-Bws))</f>
        <v/>
      </c>
      <c r="T423" s="740"/>
      <c r="AR423" s="335"/>
      <c r="AS423" s="335"/>
      <c r="AT423" s="153"/>
      <c r="AU423" s="153"/>
      <c r="AV423" s="153"/>
      <c r="AW423" s="153"/>
      <c r="AX423" s="153"/>
      <c r="AY423" s="153"/>
      <c r="AZ423" s="153"/>
      <c r="BA423" s="153"/>
      <c r="BB423" s="153"/>
      <c r="BC423" s="153"/>
      <c r="BD423" s="153"/>
      <c r="BE423" s="153"/>
      <c r="BF423" s="153"/>
      <c r="BG423" s="153"/>
      <c r="BH423" s="153"/>
      <c r="BI423" s="153"/>
      <c r="BJ423" s="153"/>
      <c r="BK423" s="153"/>
      <c r="BL423" s="153"/>
      <c r="BM423" s="153"/>
      <c r="BN423" s="153"/>
      <c r="BO423" s="153"/>
      <c r="BP423" s="153"/>
      <c r="BQ423" s="153"/>
      <c r="BR423" s="153"/>
      <c r="BS423" s="153"/>
      <c r="BT423" s="153"/>
      <c r="BU423" s="153"/>
      <c r="BV423" s="153"/>
      <c r="BW423" s="153"/>
      <c r="BX423" s="153"/>
      <c r="BY423" s="153"/>
      <c r="BZ423" s="153"/>
      <c r="CA423" s="153"/>
      <c r="CB423" s="153"/>
      <c r="CC423" s="153"/>
      <c r="CD423" s="153"/>
      <c r="CE423" s="153"/>
      <c r="CF423" s="153"/>
      <c r="CG423" s="153"/>
      <c r="CH423" s="153"/>
      <c r="CI423" s="153"/>
      <c r="CJ423" s="153"/>
      <c r="CK423" s="153"/>
      <c r="CL423" s="153"/>
      <c r="CM423" s="153"/>
      <c r="CN423" s="153"/>
      <c r="CO423" s="153"/>
      <c r="CP423" s="153"/>
      <c r="CQ423" s="153"/>
      <c r="CR423" s="153"/>
      <c r="CS423" s="153"/>
      <c r="CT423" s="153"/>
      <c r="CU423" s="153"/>
      <c r="CV423" s="153"/>
      <c r="CW423" s="153"/>
      <c r="CX423" s="153"/>
      <c r="CY423" s="153"/>
      <c r="CZ423" s="153"/>
      <c r="DA423" s="153"/>
      <c r="DB423" s="153"/>
      <c r="DC423" s="153"/>
      <c r="DD423" s="153"/>
      <c r="DE423" s="153"/>
      <c r="DF423" s="153"/>
      <c r="DG423" s="153"/>
      <c r="DH423" s="153"/>
      <c r="DI423" s="153"/>
      <c r="DJ423" s="153"/>
      <c r="DK423" s="153"/>
      <c r="DL423" s="153"/>
      <c r="DM423" s="153"/>
      <c r="DN423" s="153"/>
      <c r="DO423" s="153"/>
      <c r="DP423" s="153"/>
      <c r="DQ423" s="153"/>
      <c r="DR423" s="153"/>
      <c r="DS423" s="153"/>
      <c r="DT423" s="153"/>
      <c r="DU423" s="153"/>
      <c r="DV423" s="153"/>
      <c r="DW423" s="153"/>
      <c r="DX423" s="153"/>
      <c r="DY423" s="153"/>
      <c r="DZ423" s="153"/>
      <c r="EA423" s="153"/>
      <c r="EB423" s="153"/>
      <c r="EC423" s="153"/>
      <c r="ED423" s="153"/>
      <c r="EE423" s="153"/>
      <c r="EF423" s="153"/>
      <c r="EG423" s="153"/>
      <c r="EH423" s="153"/>
      <c r="EI423" s="153"/>
      <c r="EJ423" s="153"/>
      <c r="EK423" s="153"/>
      <c r="EL423" s="153"/>
      <c r="EM423" s="153"/>
    </row>
    <row r="424" spans="1:143" s="107" customFormat="1" ht="10.5" hidden="1" customHeight="1" outlineLevel="2">
      <c r="A424" s="1548">
        <v>399</v>
      </c>
      <c r="B424" s="1560" t="str">
        <f t="shared" si="8"/>
        <v/>
      </c>
      <c r="C424" s="161" t="str">
        <f>GasTime(GasAnalyser,'Horiba Data'!F417,'Horiba Data'!G417,'Testo, JUM &amp; MRU Data'!A418,'Thermo Data'!B417,HourOffset)</f>
        <v/>
      </c>
      <c r="D424" s="981" t="str">
        <f>IF(D$17=FALSE,"",GasData(GasAnalyser,'Horiba Data'!S417,'Testo, JUM &amp; MRU Data'!D418,'Thermo Data'!E417,'Testo, JUM &amp; MRU Data'!U418,GDF))</f>
        <v/>
      </c>
      <c r="E424" s="981" t="str">
        <f>IF(D424="","",Conc2(D424,D$9,MolVol,D$21,D$20,E$21,E$20))</f>
        <v/>
      </c>
      <c r="F424" s="981" t="str">
        <f>IF(F$17=FALSE,"",GasData(GasAnalyser,'Horiba Data'!AQ417,'Testo, JUM &amp; MRU Data'!E418,'Thermo Data'!F417,'Testo, JUM &amp; MRU Data'!V418,GDF))</f>
        <v/>
      </c>
      <c r="G424" s="981" t="str">
        <f>IF(F424="","",Conc2(F424,F$9,MolVol,F$21,F$20,G$21,G$20))</f>
        <v/>
      </c>
      <c r="H424" s="981" t="str">
        <f>IF(D$17=FALSE,"",IF(F$17=FALSE,"",GasData(GasAnalyser,'Horiba Data'!W417,'Testo, JUM &amp; MRU Data'!F418,'Thermo Data'!G417,'Testo, JUM &amp; MRU Data'!Y418,GDF)))</f>
        <v/>
      </c>
      <c r="I424" s="981" t="str">
        <f>IF(H424="","",Conc2(H424,H$9,MolVol,H$21,H$20,I$21,I$20))</f>
        <v/>
      </c>
      <c r="J424" s="981" t="str">
        <f>IF(J$17=FALSE,"",GasData(GasAnalyser,'Horiba Data'!AM417,'Testo, JUM &amp; MRU Data'!G418,'Thermo Data'!H417,'Testo, JUM &amp; MRU Data'!W418,GDF))</f>
        <v/>
      </c>
      <c r="K424" s="981" t="str">
        <f>IF(J424="","",Conc2(J424,J$9,MolVol,J$21,J$20,K$21,K$20))</f>
        <v/>
      </c>
      <c r="L424" s="981" t="str">
        <f>IF(L$17=FALSE,"",GasData(GasAnalyser,'Horiba Data'!AA417,'Testo, JUM &amp; MRU Data'!H418,'Thermo Data'!I417,'Testo, JUM &amp; MRU Data'!T418,GDF))</f>
        <v/>
      </c>
      <c r="M424" s="981" t="str">
        <f>IF(L424="","",Conc2(L424,L$9,MolVol,L$21,L$20,M$21,M$20))</f>
        <v/>
      </c>
      <c r="N424" s="981" t="str">
        <f>IF(N$17=FALSE,"",GasData(GasAnalyser,'Horiba Data'!AE417,'Testo, JUM &amp; MRU Data'!I418,'Thermo Data'!J417,'Testo, JUM &amp; MRU Data'!S418,GDF))</f>
        <v/>
      </c>
      <c r="O424" s="981" t="str">
        <f>IF(N424="","",Conc2(N424,N$9,MolVol,N$21,N$20,O$21,O$20))</f>
        <v/>
      </c>
      <c r="P424" s="981" t="str">
        <f>IF(P$17=FALSE,"",GasData(GasAnalyser,'Horiba Data'!AI417,'Testo, JUM &amp; MRU Data'!J418,'Thermo Data'!K417,'Testo, JUM &amp; MRU Data'!R418,GDF))</f>
        <v/>
      </c>
      <c r="Q424" s="981" t="str">
        <f>IF(P424="","",Conc2(P424,P$9,MolVol,P$21,P$20,Q$21,Q$20))</f>
        <v/>
      </c>
      <c r="R424" s="981" t="str">
        <f>IF(R$17=FALSE,"",JUMData('Testo, JUM &amp; MRU Data'!M418,$R$7))</f>
        <v/>
      </c>
      <c r="S424" s="982" t="str">
        <f>IF(R424="","",Conc2(R424,R$9,MolVol,R$21,R$20,S$21,S$20)/(1-Bws))</f>
        <v/>
      </c>
      <c r="T424" s="740"/>
      <c r="AR424" s="335"/>
      <c r="AS424" s="335"/>
      <c r="AT424" s="153"/>
      <c r="AU424" s="153"/>
      <c r="AV424" s="153"/>
      <c r="AW424" s="153"/>
      <c r="AX424" s="153"/>
      <c r="AY424" s="153"/>
      <c r="AZ424" s="153"/>
      <c r="BA424" s="153"/>
      <c r="BB424" s="153"/>
      <c r="BC424" s="153"/>
      <c r="BD424" s="153"/>
      <c r="BE424" s="153"/>
      <c r="BF424" s="153"/>
      <c r="BG424" s="153"/>
      <c r="BH424" s="153"/>
      <c r="BI424" s="153"/>
      <c r="BJ424" s="153"/>
      <c r="BK424" s="153"/>
      <c r="BL424" s="153"/>
      <c r="BM424" s="153"/>
      <c r="BN424" s="153"/>
      <c r="BO424" s="153"/>
      <c r="BP424" s="153"/>
      <c r="BQ424" s="153"/>
      <c r="BR424" s="153"/>
      <c r="BS424" s="153"/>
      <c r="BT424" s="153"/>
      <c r="BU424" s="153"/>
      <c r="BV424" s="153"/>
      <c r="BW424" s="153"/>
      <c r="BX424" s="153"/>
      <c r="BY424" s="153"/>
      <c r="BZ424" s="153"/>
      <c r="CA424" s="153"/>
      <c r="CB424" s="153"/>
      <c r="CC424" s="153"/>
      <c r="CD424" s="153"/>
      <c r="CE424" s="153"/>
      <c r="CF424" s="153"/>
      <c r="CG424" s="153"/>
      <c r="CH424" s="153"/>
      <c r="CI424" s="153"/>
      <c r="CJ424" s="153"/>
      <c r="CK424" s="153"/>
      <c r="CL424" s="153"/>
      <c r="CM424" s="153"/>
      <c r="CN424" s="153"/>
      <c r="CO424" s="153"/>
      <c r="CP424" s="153"/>
      <c r="CQ424" s="153"/>
      <c r="CR424" s="153"/>
      <c r="CS424" s="153"/>
      <c r="CT424" s="153"/>
      <c r="CU424" s="153"/>
      <c r="CV424" s="153"/>
      <c r="CW424" s="153"/>
      <c r="CX424" s="153"/>
      <c r="CY424" s="153"/>
      <c r="CZ424" s="153"/>
      <c r="DA424" s="153"/>
      <c r="DB424" s="153"/>
      <c r="DC424" s="153"/>
      <c r="DD424" s="153"/>
      <c r="DE424" s="153"/>
      <c r="DF424" s="153"/>
      <c r="DG424" s="153"/>
      <c r="DH424" s="153"/>
      <c r="DI424" s="153"/>
      <c r="DJ424" s="153"/>
      <c r="DK424" s="153"/>
      <c r="DL424" s="153"/>
      <c r="DM424" s="153"/>
      <c r="DN424" s="153"/>
      <c r="DO424" s="153"/>
      <c r="DP424" s="153"/>
      <c r="DQ424" s="153"/>
      <c r="DR424" s="153"/>
      <c r="DS424" s="153"/>
      <c r="DT424" s="153"/>
      <c r="DU424" s="153"/>
      <c r="DV424" s="153"/>
      <c r="DW424" s="153"/>
      <c r="DX424" s="153"/>
      <c r="DY424" s="153"/>
      <c r="DZ424" s="153"/>
      <c r="EA424" s="153"/>
      <c r="EB424" s="153"/>
      <c r="EC424" s="153"/>
      <c r="ED424" s="153"/>
      <c r="EE424" s="153"/>
      <c r="EF424" s="153"/>
      <c r="EG424" s="153"/>
      <c r="EH424" s="153"/>
      <c r="EI424" s="153"/>
      <c r="EJ424" s="153"/>
      <c r="EK424" s="153"/>
      <c r="EL424" s="153"/>
      <c r="EM424" s="153"/>
    </row>
    <row r="425" spans="1:143" s="107" customFormat="1" ht="10.5" hidden="1" customHeight="1" outlineLevel="2">
      <c r="A425" s="1548">
        <v>400</v>
      </c>
      <c r="B425" s="1560" t="str">
        <f t="shared" si="8"/>
        <v/>
      </c>
      <c r="C425" s="161" t="str">
        <f>GasTime(GasAnalyser,'Horiba Data'!F418,'Horiba Data'!G418,'Testo, JUM &amp; MRU Data'!A419,'Thermo Data'!B418,HourOffset)</f>
        <v/>
      </c>
      <c r="D425" s="981" t="str">
        <f>IF(D$17=FALSE,"",GasData(GasAnalyser,'Horiba Data'!S418,'Testo, JUM &amp; MRU Data'!D419,'Thermo Data'!E418,'Testo, JUM &amp; MRU Data'!U419,GDF))</f>
        <v/>
      </c>
      <c r="E425" s="981" t="str">
        <f>IF(D425="","",Conc2(D425,D$9,MolVol,D$21,D$20,E$21,E$20))</f>
        <v/>
      </c>
      <c r="F425" s="981" t="str">
        <f>IF(F$17=FALSE,"",GasData(GasAnalyser,'Horiba Data'!AQ418,'Testo, JUM &amp; MRU Data'!E419,'Thermo Data'!F418,'Testo, JUM &amp; MRU Data'!V419,GDF))</f>
        <v/>
      </c>
      <c r="G425" s="981" t="str">
        <f>IF(F425="","",Conc2(F425,F$9,MolVol,F$21,F$20,G$21,G$20))</f>
        <v/>
      </c>
      <c r="H425" s="981" t="str">
        <f>IF(D$17=FALSE,"",IF(F$17=FALSE,"",GasData(GasAnalyser,'Horiba Data'!W418,'Testo, JUM &amp; MRU Data'!F419,'Thermo Data'!G418,'Testo, JUM &amp; MRU Data'!Y419,GDF)))</f>
        <v/>
      </c>
      <c r="I425" s="981" t="str">
        <f>IF(H425="","",Conc2(H425,H$9,MolVol,H$21,H$20,I$21,I$20))</f>
        <v/>
      </c>
      <c r="J425" s="981" t="str">
        <f>IF(J$17=FALSE,"",GasData(GasAnalyser,'Horiba Data'!AM418,'Testo, JUM &amp; MRU Data'!G419,'Thermo Data'!H418,'Testo, JUM &amp; MRU Data'!W419,GDF))</f>
        <v/>
      </c>
      <c r="K425" s="981" t="str">
        <f>IF(J425="","",Conc2(J425,J$9,MolVol,J$21,J$20,K$21,K$20))</f>
        <v/>
      </c>
      <c r="L425" s="981" t="str">
        <f>IF(L$17=FALSE,"",GasData(GasAnalyser,'Horiba Data'!AA418,'Testo, JUM &amp; MRU Data'!H419,'Thermo Data'!I418,'Testo, JUM &amp; MRU Data'!T419,GDF))</f>
        <v/>
      </c>
      <c r="M425" s="981" t="str">
        <f>IF(L425="","",Conc2(L425,L$9,MolVol,L$21,L$20,M$21,M$20))</f>
        <v/>
      </c>
      <c r="N425" s="981" t="str">
        <f>IF(N$17=FALSE,"",GasData(GasAnalyser,'Horiba Data'!AE418,'Testo, JUM &amp; MRU Data'!I419,'Thermo Data'!J418,'Testo, JUM &amp; MRU Data'!S419,GDF))</f>
        <v/>
      </c>
      <c r="O425" s="981" t="str">
        <f>IF(N425="","",Conc2(N425,N$9,MolVol,N$21,N$20,O$21,O$20))</f>
        <v/>
      </c>
      <c r="P425" s="981" t="str">
        <f>IF(P$17=FALSE,"",GasData(GasAnalyser,'Horiba Data'!AI418,'Testo, JUM &amp; MRU Data'!J419,'Thermo Data'!K418,'Testo, JUM &amp; MRU Data'!R419,GDF))</f>
        <v/>
      </c>
      <c r="Q425" s="981" t="str">
        <f>IF(P425="","",Conc2(P425,P$9,MolVol,P$21,P$20,Q$21,Q$20))</f>
        <v/>
      </c>
      <c r="R425" s="981" t="str">
        <f>IF(R$17=FALSE,"",JUMData('Testo, JUM &amp; MRU Data'!M419,$R$7))</f>
        <v/>
      </c>
      <c r="S425" s="982" t="str">
        <f>IF(R425="","",Conc2(R425,R$9,MolVol,R$21,R$20,S$21,S$20)/(1-Bws))</f>
        <v/>
      </c>
      <c r="T425" s="740"/>
      <c r="AR425" s="335"/>
      <c r="AS425" s="335"/>
      <c r="AT425" s="153"/>
      <c r="AU425" s="153"/>
      <c r="AV425" s="153"/>
      <c r="AW425" s="153"/>
      <c r="AX425" s="153"/>
      <c r="AY425" s="153"/>
      <c r="AZ425" s="153"/>
      <c r="BA425" s="153"/>
      <c r="BB425" s="153"/>
      <c r="BC425" s="153"/>
      <c r="BD425" s="153"/>
      <c r="BE425" s="153"/>
      <c r="BF425" s="153"/>
      <c r="BG425" s="153"/>
      <c r="BH425" s="153"/>
      <c r="BI425" s="153"/>
      <c r="BJ425" s="153"/>
      <c r="BK425" s="153"/>
      <c r="BL425" s="153"/>
      <c r="BM425" s="153"/>
      <c r="BN425" s="153"/>
      <c r="BO425" s="153"/>
      <c r="BP425" s="153"/>
      <c r="BQ425" s="153"/>
      <c r="BR425" s="153"/>
      <c r="BS425" s="153"/>
      <c r="BT425" s="153"/>
      <c r="BU425" s="153"/>
      <c r="BV425" s="153"/>
      <c r="BW425" s="153"/>
      <c r="BX425" s="153"/>
      <c r="BY425" s="153"/>
      <c r="BZ425" s="153"/>
      <c r="CA425" s="153"/>
      <c r="CB425" s="153"/>
      <c r="CC425" s="153"/>
      <c r="CD425" s="153"/>
      <c r="CE425" s="153"/>
      <c r="CF425" s="153"/>
      <c r="CG425" s="153"/>
      <c r="CH425" s="153"/>
      <c r="CI425" s="153"/>
      <c r="CJ425" s="153"/>
      <c r="CK425" s="153"/>
      <c r="CL425" s="153"/>
      <c r="CM425" s="153"/>
      <c r="CN425" s="153"/>
      <c r="CO425" s="153"/>
      <c r="CP425" s="153"/>
      <c r="CQ425" s="153"/>
      <c r="CR425" s="153"/>
      <c r="CS425" s="153"/>
      <c r="CT425" s="153"/>
      <c r="CU425" s="153"/>
      <c r="CV425" s="153"/>
      <c r="CW425" s="153"/>
      <c r="CX425" s="153"/>
      <c r="CY425" s="153"/>
      <c r="CZ425" s="153"/>
      <c r="DA425" s="153"/>
      <c r="DB425" s="153"/>
      <c r="DC425" s="153"/>
      <c r="DD425" s="153"/>
      <c r="DE425" s="153"/>
      <c r="DF425" s="153"/>
      <c r="DG425" s="153"/>
      <c r="DH425" s="153"/>
      <c r="DI425" s="153"/>
      <c r="DJ425" s="153"/>
      <c r="DK425" s="153"/>
      <c r="DL425" s="153"/>
      <c r="DM425" s="153"/>
      <c r="DN425" s="153"/>
      <c r="DO425" s="153"/>
      <c r="DP425" s="153"/>
      <c r="DQ425" s="153"/>
      <c r="DR425" s="153"/>
      <c r="DS425" s="153"/>
      <c r="DT425" s="153"/>
      <c r="DU425" s="153"/>
      <c r="DV425" s="153"/>
      <c r="DW425" s="153"/>
      <c r="DX425" s="153"/>
      <c r="DY425" s="153"/>
      <c r="DZ425" s="153"/>
      <c r="EA425" s="153"/>
      <c r="EB425" s="153"/>
      <c r="EC425" s="153"/>
      <c r="ED425" s="153"/>
      <c r="EE425" s="153"/>
      <c r="EF425" s="153"/>
      <c r="EG425" s="153"/>
      <c r="EH425" s="153"/>
      <c r="EI425" s="153"/>
      <c r="EJ425" s="153"/>
      <c r="EK425" s="153"/>
      <c r="EL425" s="153"/>
      <c r="EM425" s="153"/>
    </row>
    <row r="426" spans="1:143" s="107" customFormat="1" ht="10.5" hidden="1" customHeight="1" outlineLevel="2">
      <c r="A426" s="1548">
        <v>401</v>
      </c>
      <c r="B426" s="1560" t="str">
        <f t="shared" si="8"/>
        <v/>
      </c>
      <c r="C426" s="161" t="str">
        <f>GasTime(GasAnalyser,'Horiba Data'!F419,'Horiba Data'!G419,'Testo, JUM &amp; MRU Data'!A420,'Thermo Data'!B419,HourOffset)</f>
        <v/>
      </c>
      <c r="D426" s="981" t="str">
        <f>IF(D$17=FALSE,"",GasData(GasAnalyser,'Horiba Data'!S419,'Testo, JUM &amp; MRU Data'!D420,'Thermo Data'!E419,'Testo, JUM &amp; MRU Data'!U420,GDF))</f>
        <v/>
      </c>
      <c r="E426" s="981" t="str">
        <f>IF(D426="","",Conc2(D426,D$9,MolVol,D$21,D$20,E$21,E$20))</f>
        <v/>
      </c>
      <c r="F426" s="981" t="str">
        <f>IF(F$17=FALSE,"",GasData(GasAnalyser,'Horiba Data'!AQ419,'Testo, JUM &amp; MRU Data'!E420,'Thermo Data'!F419,'Testo, JUM &amp; MRU Data'!V420,GDF))</f>
        <v/>
      </c>
      <c r="G426" s="981" t="str">
        <f>IF(F426="","",Conc2(F426,F$9,MolVol,F$21,F$20,G$21,G$20))</f>
        <v/>
      </c>
      <c r="H426" s="981" t="str">
        <f>IF(D$17=FALSE,"",IF(F$17=FALSE,"",GasData(GasAnalyser,'Horiba Data'!W419,'Testo, JUM &amp; MRU Data'!F420,'Thermo Data'!G419,'Testo, JUM &amp; MRU Data'!Y420,GDF)))</f>
        <v/>
      </c>
      <c r="I426" s="981" t="str">
        <f>IF(H426="","",Conc2(H426,H$9,MolVol,H$21,H$20,I$21,I$20))</f>
        <v/>
      </c>
      <c r="J426" s="981" t="str">
        <f>IF(J$17=FALSE,"",GasData(GasAnalyser,'Horiba Data'!AM419,'Testo, JUM &amp; MRU Data'!G420,'Thermo Data'!H419,'Testo, JUM &amp; MRU Data'!W420,GDF))</f>
        <v/>
      </c>
      <c r="K426" s="981" t="str">
        <f>IF(J426="","",Conc2(J426,J$9,MolVol,J$21,J$20,K$21,K$20))</f>
        <v/>
      </c>
      <c r="L426" s="981" t="str">
        <f>IF(L$17=FALSE,"",GasData(GasAnalyser,'Horiba Data'!AA419,'Testo, JUM &amp; MRU Data'!H420,'Thermo Data'!I419,'Testo, JUM &amp; MRU Data'!T420,GDF))</f>
        <v/>
      </c>
      <c r="M426" s="981" t="str">
        <f>IF(L426="","",Conc2(L426,L$9,MolVol,L$21,L$20,M$21,M$20))</f>
        <v/>
      </c>
      <c r="N426" s="981" t="str">
        <f>IF(N$17=FALSE,"",GasData(GasAnalyser,'Horiba Data'!AE419,'Testo, JUM &amp; MRU Data'!I420,'Thermo Data'!J419,'Testo, JUM &amp; MRU Data'!S420,GDF))</f>
        <v/>
      </c>
      <c r="O426" s="981" t="str">
        <f>IF(N426="","",Conc2(N426,N$9,MolVol,N$21,N$20,O$21,O$20))</f>
        <v/>
      </c>
      <c r="P426" s="981" t="str">
        <f>IF(P$17=FALSE,"",GasData(GasAnalyser,'Horiba Data'!AI419,'Testo, JUM &amp; MRU Data'!J420,'Thermo Data'!K419,'Testo, JUM &amp; MRU Data'!R420,GDF))</f>
        <v/>
      </c>
      <c r="Q426" s="981" t="str">
        <f>IF(P426="","",Conc2(P426,P$9,MolVol,P$21,P$20,Q$21,Q$20))</f>
        <v/>
      </c>
      <c r="R426" s="981" t="str">
        <f>IF(R$17=FALSE,"",JUMData('Testo, JUM &amp; MRU Data'!M420,$R$7))</f>
        <v/>
      </c>
      <c r="S426" s="982" t="str">
        <f>IF(R426="","",Conc2(R426,R$9,MolVol,R$21,R$20,S$21,S$20)/(1-Bws))</f>
        <v/>
      </c>
      <c r="T426" s="740"/>
      <c r="AR426" s="335"/>
      <c r="AS426" s="335"/>
      <c r="AT426" s="153"/>
      <c r="AU426" s="153"/>
      <c r="AV426" s="153"/>
      <c r="AW426" s="153"/>
      <c r="AX426" s="153"/>
      <c r="AY426" s="153"/>
      <c r="AZ426" s="153"/>
      <c r="BA426" s="153"/>
      <c r="BB426" s="153"/>
      <c r="BC426" s="153"/>
      <c r="BD426" s="153"/>
      <c r="BE426" s="153"/>
      <c r="BF426" s="153"/>
      <c r="BG426" s="153"/>
      <c r="BH426" s="153"/>
      <c r="BI426" s="153"/>
      <c r="BJ426" s="153"/>
      <c r="BK426" s="153"/>
      <c r="BL426" s="153"/>
      <c r="BM426" s="153"/>
      <c r="BN426" s="153"/>
      <c r="BO426" s="153"/>
      <c r="BP426" s="153"/>
      <c r="BQ426" s="153"/>
      <c r="BR426" s="153"/>
      <c r="BS426" s="153"/>
      <c r="BT426" s="153"/>
      <c r="BU426" s="153"/>
      <c r="BV426" s="153"/>
      <c r="BW426" s="153"/>
      <c r="BX426" s="153"/>
      <c r="BY426" s="153"/>
      <c r="BZ426" s="153"/>
      <c r="CA426" s="153"/>
      <c r="CB426" s="153"/>
      <c r="CC426" s="153"/>
      <c r="CD426" s="153"/>
      <c r="CE426" s="153"/>
      <c r="CF426" s="153"/>
      <c r="CG426" s="153"/>
      <c r="CH426" s="153"/>
      <c r="CI426" s="153"/>
      <c r="CJ426" s="153"/>
      <c r="CK426" s="153"/>
      <c r="CL426" s="153"/>
      <c r="CM426" s="153"/>
      <c r="CN426" s="153"/>
      <c r="CO426" s="153"/>
      <c r="CP426" s="153"/>
      <c r="CQ426" s="153"/>
      <c r="CR426" s="153"/>
      <c r="CS426" s="153"/>
      <c r="CT426" s="153"/>
      <c r="CU426" s="153"/>
      <c r="CV426" s="153"/>
      <c r="CW426" s="153"/>
      <c r="CX426" s="153"/>
      <c r="CY426" s="153"/>
      <c r="CZ426" s="153"/>
      <c r="DA426" s="153"/>
      <c r="DB426" s="153"/>
      <c r="DC426" s="153"/>
      <c r="DD426" s="153"/>
      <c r="DE426" s="153"/>
      <c r="DF426" s="153"/>
      <c r="DG426" s="153"/>
      <c r="DH426" s="153"/>
      <c r="DI426" s="153"/>
      <c r="DJ426" s="153"/>
      <c r="DK426" s="153"/>
      <c r="DL426" s="153"/>
      <c r="DM426" s="153"/>
      <c r="DN426" s="153"/>
      <c r="DO426" s="153"/>
      <c r="DP426" s="153"/>
      <c r="DQ426" s="153"/>
      <c r="DR426" s="153"/>
      <c r="DS426" s="153"/>
      <c r="DT426" s="153"/>
      <c r="DU426" s="153"/>
      <c r="DV426" s="153"/>
      <c r="DW426" s="153"/>
      <c r="DX426" s="153"/>
      <c r="DY426" s="153"/>
      <c r="DZ426" s="153"/>
      <c r="EA426" s="153"/>
      <c r="EB426" s="153"/>
      <c r="EC426" s="153"/>
      <c r="ED426" s="153"/>
      <c r="EE426" s="153"/>
      <c r="EF426" s="153"/>
      <c r="EG426" s="153"/>
      <c r="EH426" s="153"/>
      <c r="EI426" s="153"/>
      <c r="EJ426" s="153"/>
      <c r="EK426" s="153"/>
      <c r="EL426" s="153"/>
      <c r="EM426" s="153"/>
    </row>
    <row r="427" spans="1:143" s="107" customFormat="1" ht="10.5" hidden="1" customHeight="1" outlineLevel="2">
      <c r="A427" s="1548">
        <v>402</v>
      </c>
      <c r="B427" s="1560" t="str">
        <f t="shared" si="8"/>
        <v/>
      </c>
      <c r="C427" s="161" t="str">
        <f>GasTime(GasAnalyser,'Horiba Data'!F420,'Horiba Data'!G420,'Testo, JUM &amp; MRU Data'!A421,'Thermo Data'!B420,HourOffset)</f>
        <v/>
      </c>
      <c r="D427" s="981" t="str">
        <f>IF(D$17=FALSE,"",GasData(GasAnalyser,'Horiba Data'!S420,'Testo, JUM &amp; MRU Data'!D421,'Thermo Data'!E420,'Testo, JUM &amp; MRU Data'!U421,GDF))</f>
        <v/>
      </c>
      <c r="E427" s="981" t="str">
        <f>IF(D427="","",Conc2(D427,D$9,MolVol,D$21,D$20,E$21,E$20))</f>
        <v/>
      </c>
      <c r="F427" s="981" t="str">
        <f>IF(F$17=FALSE,"",GasData(GasAnalyser,'Horiba Data'!AQ420,'Testo, JUM &amp; MRU Data'!E421,'Thermo Data'!F420,'Testo, JUM &amp; MRU Data'!V421,GDF))</f>
        <v/>
      </c>
      <c r="G427" s="981" t="str">
        <f>IF(F427="","",Conc2(F427,F$9,MolVol,F$21,F$20,G$21,G$20))</f>
        <v/>
      </c>
      <c r="H427" s="981" t="str">
        <f>IF(D$17=FALSE,"",IF(F$17=FALSE,"",GasData(GasAnalyser,'Horiba Data'!W420,'Testo, JUM &amp; MRU Data'!F421,'Thermo Data'!G420,'Testo, JUM &amp; MRU Data'!Y421,GDF)))</f>
        <v/>
      </c>
      <c r="I427" s="981" t="str">
        <f>IF(H427="","",Conc2(H427,H$9,MolVol,H$21,H$20,I$21,I$20))</f>
        <v/>
      </c>
      <c r="J427" s="981" t="str">
        <f>IF(J$17=FALSE,"",GasData(GasAnalyser,'Horiba Data'!AM420,'Testo, JUM &amp; MRU Data'!G421,'Thermo Data'!H420,'Testo, JUM &amp; MRU Data'!W421,GDF))</f>
        <v/>
      </c>
      <c r="K427" s="981" t="str">
        <f>IF(J427="","",Conc2(J427,J$9,MolVol,J$21,J$20,K$21,K$20))</f>
        <v/>
      </c>
      <c r="L427" s="981" t="str">
        <f>IF(L$17=FALSE,"",GasData(GasAnalyser,'Horiba Data'!AA420,'Testo, JUM &amp; MRU Data'!H421,'Thermo Data'!I420,'Testo, JUM &amp; MRU Data'!T421,GDF))</f>
        <v/>
      </c>
      <c r="M427" s="981" t="str">
        <f>IF(L427="","",Conc2(L427,L$9,MolVol,L$21,L$20,M$21,M$20))</f>
        <v/>
      </c>
      <c r="N427" s="981" t="str">
        <f>IF(N$17=FALSE,"",GasData(GasAnalyser,'Horiba Data'!AE420,'Testo, JUM &amp; MRU Data'!I421,'Thermo Data'!J420,'Testo, JUM &amp; MRU Data'!S421,GDF))</f>
        <v/>
      </c>
      <c r="O427" s="981" t="str">
        <f>IF(N427="","",Conc2(N427,N$9,MolVol,N$21,N$20,O$21,O$20))</f>
        <v/>
      </c>
      <c r="P427" s="981" t="str">
        <f>IF(P$17=FALSE,"",GasData(GasAnalyser,'Horiba Data'!AI420,'Testo, JUM &amp; MRU Data'!J421,'Thermo Data'!K420,'Testo, JUM &amp; MRU Data'!R421,GDF))</f>
        <v/>
      </c>
      <c r="Q427" s="981" t="str">
        <f>IF(P427="","",Conc2(P427,P$9,MolVol,P$21,P$20,Q$21,Q$20))</f>
        <v/>
      </c>
      <c r="R427" s="981" t="str">
        <f>IF(R$17=FALSE,"",JUMData('Testo, JUM &amp; MRU Data'!M421,$R$7))</f>
        <v/>
      </c>
      <c r="S427" s="982" t="str">
        <f>IF(R427="","",Conc2(R427,R$9,MolVol,R$21,R$20,S$21,S$20)/(1-Bws))</f>
        <v/>
      </c>
      <c r="T427" s="740"/>
      <c r="AR427" s="335"/>
      <c r="AS427" s="335"/>
      <c r="AT427" s="153"/>
      <c r="AU427" s="153"/>
      <c r="AV427" s="153"/>
      <c r="AW427" s="153"/>
      <c r="AX427" s="153"/>
      <c r="AY427" s="153"/>
      <c r="AZ427" s="153"/>
      <c r="BA427" s="153"/>
      <c r="BB427" s="153"/>
      <c r="BC427" s="153"/>
      <c r="BD427" s="153"/>
      <c r="BE427" s="153"/>
      <c r="BF427" s="153"/>
      <c r="BG427" s="153"/>
      <c r="BH427" s="153"/>
      <c r="BI427" s="153"/>
      <c r="BJ427" s="153"/>
      <c r="BK427" s="153"/>
      <c r="BL427" s="153"/>
      <c r="BM427" s="153"/>
      <c r="BN427" s="153"/>
      <c r="BO427" s="153"/>
      <c r="BP427" s="153"/>
      <c r="BQ427" s="153"/>
      <c r="BR427" s="153"/>
      <c r="BS427" s="153"/>
      <c r="BT427" s="153"/>
      <c r="BU427" s="153"/>
      <c r="BV427" s="153"/>
      <c r="BW427" s="153"/>
      <c r="BX427" s="153"/>
      <c r="BY427" s="153"/>
      <c r="BZ427" s="153"/>
      <c r="CA427" s="153"/>
      <c r="CB427" s="153"/>
      <c r="CC427" s="153"/>
      <c r="CD427" s="153"/>
      <c r="CE427" s="153"/>
      <c r="CF427" s="153"/>
      <c r="CG427" s="153"/>
      <c r="CH427" s="153"/>
      <c r="CI427" s="153"/>
      <c r="CJ427" s="153"/>
      <c r="CK427" s="153"/>
      <c r="CL427" s="153"/>
      <c r="CM427" s="153"/>
      <c r="CN427" s="153"/>
      <c r="CO427" s="153"/>
      <c r="CP427" s="153"/>
      <c r="CQ427" s="153"/>
      <c r="CR427" s="153"/>
      <c r="CS427" s="153"/>
      <c r="CT427" s="153"/>
      <c r="CU427" s="153"/>
      <c r="CV427" s="153"/>
      <c r="CW427" s="153"/>
      <c r="CX427" s="153"/>
      <c r="CY427" s="153"/>
      <c r="CZ427" s="153"/>
      <c r="DA427" s="153"/>
      <c r="DB427" s="153"/>
      <c r="DC427" s="153"/>
      <c r="DD427" s="153"/>
      <c r="DE427" s="153"/>
      <c r="DF427" s="153"/>
      <c r="DG427" s="153"/>
      <c r="DH427" s="153"/>
      <c r="DI427" s="153"/>
      <c r="DJ427" s="153"/>
      <c r="DK427" s="153"/>
      <c r="DL427" s="153"/>
      <c r="DM427" s="153"/>
      <c r="DN427" s="153"/>
      <c r="DO427" s="153"/>
      <c r="DP427" s="153"/>
      <c r="DQ427" s="153"/>
      <c r="DR427" s="153"/>
      <c r="DS427" s="153"/>
      <c r="DT427" s="153"/>
      <c r="DU427" s="153"/>
      <c r="DV427" s="153"/>
      <c r="DW427" s="153"/>
      <c r="DX427" s="153"/>
      <c r="DY427" s="153"/>
      <c r="DZ427" s="153"/>
      <c r="EA427" s="153"/>
      <c r="EB427" s="153"/>
      <c r="EC427" s="153"/>
      <c r="ED427" s="153"/>
      <c r="EE427" s="153"/>
      <c r="EF427" s="153"/>
      <c r="EG427" s="153"/>
      <c r="EH427" s="153"/>
      <c r="EI427" s="153"/>
      <c r="EJ427" s="153"/>
      <c r="EK427" s="153"/>
      <c r="EL427" s="153"/>
      <c r="EM427" s="153"/>
    </row>
    <row r="428" spans="1:143" s="107" customFormat="1" ht="10.5" hidden="1" customHeight="1" outlineLevel="2">
      <c r="A428" s="1548">
        <v>403</v>
      </c>
      <c r="B428" s="1560" t="str">
        <f t="shared" si="8"/>
        <v/>
      </c>
      <c r="C428" s="161" t="str">
        <f>GasTime(GasAnalyser,'Horiba Data'!F421,'Horiba Data'!G421,'Testo, JUM &amp; MRU Data'!A422,'Thermo Data'!B421,HourOffset)</f>
        <v/>
      </c>
      <c r="D428" s="981" t="str">
        <f>IF(D$17=FALSE,"",GasData(GasAnalyser,'Horiba Data'!S421,'Testo, JUM &amp; MRU Data'!D422,'Thermo Data'!E421,'Testo, JUM &amp; MRU Data'!U422,GDF))</f>
        <v/>
      </c>
      <c r="E428" s="981" t="str">
        <f>IF(D428="","",Conc2(D428,D$9,MolVol,D$21,D$20,E$21,E$20))</f>
        <v/>
      </c>
      <c r="F428" s="981" t="str">
        <f>IF(F$17=FALSE,"",GasData(GasAnalyser,'Horiba Data'!AQ421,'Testo, JUM &amp; MRU Data'!E422,'Thermo Data'!F421,'Testo, JUM &amp; MRU Data'!V422,GDF))</f>
        <v/>
      </c>
      <c r="G428" s="981" t="str">
        <f>IF(F428="","",Conc2(F428,F$9,MolVol,F$21,F$20,G$21,G$20))</f>
        <v/>
      </c>
      <c r="H428" s="981" t="str">
        <f>IF(D$17=FALSE,"",IF(F$17=FALSE,"",GasData(GasAnalyser,'Horiba Data'!W421,'Testo, JUM &amp; MRU Data'!F422,'Thermo Data'!G421,'Testo, JUM &amp; MRU Data'!Y422,GDF)))</f>
        <v/>
      </c>
      <c r="I428" s="981" t="str">
        <f>IF(H428="","",Conc2(H428,H$9,MolVol,H$21,H$20,I$21,I$20))</f>
        <v/>
      </c>
      <c r="J428" s="981" t="str">
        <f>IF(J$17=FALSE,"",GasData(GasAnalyser,'Horiba Data'!AM421,'Testo, JUM &amp; MRU Data'!G422,'Thermo Data'!H421,'Testo, JUM &amp; MRU Data'!W422,GDF))</f>
        <v/>
      </c>
      <c r="K428" s="981" t="str">
        <f>IF(J428="","",Conc2(J428,J$9,MolVol,J$21,J$20,K$21,K$20))</f>
        <v/>
      </c>
      <c r="L428" s="981" t="str">
        <f>IF(L$17=FALSE,"",GasData(GasAnalyser,'Horiba Data'!AA421,'Testo, JUM &amp; MRU Data'!H422,'Thermo Data'!I421,'Testo, JUM &amp; MRU Data'!T422,GDF))</f>
        <v/>
      </c>
      <c r="M428" s="981" t="str">
        <f>IF(L428="","",Conc2(L428,L$9,MolVol,L$21,L$20,M$21,M$20))</f>
        <v/>
      </c>
      <c r="N428" s="981" t="str">
        <f>IF(N$17=FALSE,"",GasData(GasAnalyser,'Horiba Data'!AE421,'Testo, JUM &amp; MRU Data'!I422,'Thermo Data'!J421,'Testo, JUM &amp; MRU Data'!S422,GDF))</f>
        <v/>
      </c>
      <c r="O428" s="981" t="str">
        <f>IF(N428="","",Conc2(N428,N$9,MolVol,N$21,N$20,O$21,O$20))</f>
        <v/>
      </c>
      <c r="P428" s="981" t="str">
        <f>IF(P$17=FALSE,"",GasData(GasAnalyser,'Horiba Data'!AI421,'Testo, JUM &amp; MRU Data'!J422,'Thermo Data'!K421,'Testo, JUM &amp; MRU Data'!R422,GDF))</f>
        <v/>
      </c>
      <c r="Q428" s="981" t="str">
        <f>IF(P428="","",Conc2(P428,P$9,MolVol,P$21,P$20,Q$21,Q$20))</f>
        <v/>
      </c>
      <c r="R428" s="981" t="str">
        <f>IF(R$17=FALSE,"",JUMData('Testo, JUM &amp; MRU Data'!M422,$R$7))</f>
        <v/>
      </c>
      <c r="S428" s="982" t="str">
        <f>IF(R428="","",Conc2(R428,R$9,MolVol,R$21,R$20,S$21,S$20)/(1-Bws))</f>
        <v/>
      </c>
      <c r="T428" s="740"/>
      <c r="AR428" s="335"/>
      <c r="AS428" s="335"/>
      <c r="AT428" s="153"/>
      <c r="AU428" s="153"/>
      <c r="AV428" s="153"/>
      <c r="AW428" s="153"/>
      <c r="AX428" s="153"/>
      <c r="AY428" s="153"/>
      <c r="AZ428" s="153"/>
      <c r="BA428" s="153"/>
      <c r="BB428" s="153"/>
      <c r="BC428" s="153"/>
      <c r="BD428" s="153"/>
      <c r="BE428" s="153"/>
      <c r="BF428" s="153"/>
      <c r="BG428" s="153"/>
      <c r="BH428" s="153"/>
      <c r="BI428" s="153"/>
      <c r="BJ428" s="153"/>
      <c r="BK428" s="153"/>
      <c r="BL428" s="153"/>
      <c r="BM428" s="153"/>
      <c r="BN428" s="153"/>
      <c r="BO428" s="153"/>
      <c r="BP428" s="153"/>
      <c r="BQ428" s="153"/>
      <c r="BR428" s="153"/>
      <c r="BS428" s="153"/>
      <c r="BT428" s="153"/>
      <c r="BU428" s="153"/>
      <c r="BV428" s="153"/>
      <c r="BW428" s="153"/>
      <c r="BX428" s="153"/>
      <c r="BY428" s="153"/>
      <c r="BZ428" s="153"/>
      <c r="CA428" s="153"/>
      <c r="CB428" s="153"/>
      <c r="CC428" s="153"/>
      <c r="CD428" s="153"/>
      <c r="CE428" s="153"/>
      <c r="CF428" s="153"/>
      <c r="CG428" s="153"/>
      <c r="CH428" s="153"/>
      <c r="CI428" s="153"/>
      <c r="CJ428" s="153"/>
      <c r="CK428" s="153"/>
      <c r="CL428" s="153"/>
      <c r="CM428" s="153"/>
      <c r="CN428" s="153"/>
      <c r="CO428" s="153"/>
      <c r="CP428" s="153"/>
      <c r="CQ428" s="153"/>
      <c r="CR428" s="153"/>
      <c r="CS428" s="153"/>
      <c r="CT428" s="153"/>
      <c r="CU428" s="153"/>
      <c r="CV428" s="153"/>
      <c r="CW428" s="153"/>
      <c r="CX428" s="153"/>
      <c r="CY428" s="153"/>
      <c r="CZ428" s="153"/>
      <c r="DA428" s="153"/>
      <c r="DB428" s="153"/>
      <c r="DC428" s="153"/>
      <c r="DD428" s="153"/>
      <c r="DE428" s="153"/>
      <c r="DF428" s="153"/>
      <c r="DG428" s="153"/>
      <c r="DH428" s="153"/>
      <c r="DI428" s="153"/>
      <c r="DJ428" s="153"/>
      <c r="DK428" s="153"/>
      <c r="DL428" s="153"/>
      <c r="DM428" s="153"/>
      <c r="DN428" s="153"/>
      <c r="DO428" s="153"/>
      <c r="DP428" s="153"/>
      <c r="DQ428" s="153"/>
      <c r="DR428" s="153"/>
      <c r="DS428" s="153"/>
      <c r="DT428" s="153"/>
      <c r="DU428" s="153"/>
      <c r="DV428" s="153"/>
      <c r="DW428" s="153"/>
      <c r="DX428" s="153"/>
      <c r="DY428" s="153"/>
      <c r="DZ428" s="153"/>
      <c r="EA428" s="153"/>
      <c r="EB428" s="153"/>
      <c r="EC428" s="153"/>
      <c r="ED428" s="153"/>
      <c r="EE428" s="153"/>
      <c r="EF428" s="153"/>
      <c r="EG428" s="153"/>
      <c r="EH428" s="153"/>
      <c r="EI428" s="153"/>
      <c r="EJ428" s="153"/>
      <c r="EK428" s="153"/>
      <c r="EL428" s="153"/>
      <c r="EM428" s="153"/>
    </row>
    <row r="429" spans="1:143" s="107" customFormat="1" ht="10.5" hidden="1" customHeight="1" outlineLevel="2">
      <c r="A429" s="1548">
        <v>404</v>
      </c>
      <c r="B429" s="1560" t="str">
        <f t="shared" si="8"/>
        <v/>
      </c>
      <c r="C429" s="161" t="str">
        <f>GasTime(GasAnalyser,'Horiba Data'!F422,'Horiba Data'!G422,'Testo, JUM &amp; MRU Data'!A423,'Thermo Data'!B422,HourOffset)</f>
        <v/>
      </c>
      <c r="D429" s="981" t="str">
        <f>IF(D$17=FALSE,"",GasData(GasAnalyser,'Horiba Data'!S422,'Testo, JUM &amp; MRU Data'!D423,'Thermo Data'!E422,'Testo, JUM &amp; MRU Data'!U423,GDF))</f>
        <v/>
      </c>
      <c r="E429" s="981" t="str">
        <f>IF(D429="","",Conc2(D429,D$9,MolVol,D$21,D$20,E$21,E$20))</f>
        <v/>
      </c>
      <c r="F429" s="981" t="str">
        <f>IF(F$17=FALSE,"",GasData(GasAnalyser,'Horiba Data'!AQ422,'Testo, JUM &amp; MRU Data'!E423,'Thermo Data'!F422,'Testo, JUM &amp; MRU Data'!V423,GDF))</f>
        <v/>
      </c>
      <c r="G429" s="981" t="str">
        <f>IF(F429="","",Conc2(F429,F$9,MolVol,F$21,F$20,G$21,G$20))</f>
        <v/>
      </c>
      <c r="H429" s="981" t="str">
        <f>IF(D$17=FALSE,"",IF(F$17=FALSE,"",GasData(GasAnalyser,'Horiba Data'!W422,'Testo, JUM &amp; MRU Data'!F423,'Thermo Data'!G422,'Testo, JUM &amp; MRU Data'!Y423,GDF)))</f>
        <v/>
      </c>
      <c r="I429" s="981" t="str">
        <f>IF(H429="","",Conc2(H429,H$9,MolVol,H$21,H$20,I$21,I$20))</f>
        <v/>
      </c>
      <c r="J429" s="981" t="str">
        <f>IF(J$17=FALSE,"",GasData(GasAnalyser,'Horiba Data'!AM422,'Testo, JUM &amp; MRU Data'!G423,'Thermo Data'!H422,'Testo, JUM &amp; MRU Data'!W423,GDF))</f>
        <v/>
      </c>
      <c r="K429" s="981" t="str">
        <f>IF(J429="","",Conc2(J429,J$9,MolVol,J$21,J$20,K$21,K$20))</f>
        <v/>
      </c>
      <c r="L429" s="981" t="str">
        <f>IF(L$17=FALSE,"",GasData(GasAnalyser,'Horiba Data'!AA422,'Testo, JUM &amp; MRU Data'!H423,'Thermo Data'!I422,'Testo, JUM &amp; MRU Data'!T423,GDF))</f>
        <v/>
      </c>
      <c r="M429" s="981" t="str">
        <f>IF(L429="","",Conc2(L429,L$9,MolVol,L$21,L$20,M$21,M$20))</f>
        <v/>
      </c>
      <c r="N429" s="981" t="str">
        <f>IF(N$17=FALSE,"",GasData(GasAnalyser,'Horiba Data'!AE422,'Testo, JUM &amp; MRU Data'!I423,'Thermo Data'!J422,'Testo, JUM &amp; MRU Data'!S423,GDF))</f>
        <v/>
      </c>
      <c r="O429" s="981" t="str">
        <f>IF(N429="","",Conc2(N429,N$9,MolVol,N$21,N$20,O$21,O$20))</f>
        <v/>
      </c>
      <c r="P429" s="981" t="str">
        <f>IF(P$17=FALSE,"",GasData(GasAnalyser,'Horiba Data'!AI422,'Testo, JUM &amp; MRU Data'!J423,'Thermo Data'!K422,'Testo, JUM &amp; MRU Data'!R423,GDF))</f>
        <v/>
      </c>
      <c r="Q429" s="981" t="str">
        <f>IF(P429="","",Conc2(P429,P$9,MolVol,P$21,P$20,Q$21,Q$20))</f>
        <v/>
      </c>
      <c r="R429" s="981" t="str">
        <f>IF(R$17=FALSE,"",JUMData('Testo, JUM &amp; MRU Data'!M423,$R$7))</f>
        <v/>
      </c>
      <c r="S429" s="982" t="str">
        <f>IF(R429="","",Conc2(R429,R$9,MolVol,R$21,R$20,S$21,S$20)/(1-Bws))</f>
        <v/>
      </c>
      <c r="T429" s="740"/>
      <c r="AR429" s="335"/>
      <c r="AS429" s="335"/>
      <c r="AT429" s="153"/>
      <c r="AU429" s="153"/>
      <c r="AV429" s="153"/>
      <c r="AW429" s="153"/>
      <c r="AX429" s="153"/>
      <c r="AY429" s="153"/>
      <c r="AZ429" s="153"/>
      <c r="BA429" s="153"/>
      <c r="BB429" s="153"/>
      <c r="BC429" s="153"/>
      <c r="BD429" s="153"/>
      <c r="BE429" s="153"/>
      <c r="BF429" s="153"/>
      <c r="BG429" s="153"/>
      <c r="BH429" s="153"/>
      <c r="BI429" s="153"/>
      <c r="BJ429" s="153"/>
      <c r="BK429" s="153"/>
      <c r="BL429" s="153"/>
      <c r="BM429" s="153"/>
      <c r="BN429" s="153"/>
      <c r="BO429" s="153"/>
      <c r="BP429" s="153"/>
      <c r="BQ429" s="153"/>
      <c r="BR429" s="153"/>
      <c r="BS429" s="153"/>
      <c r="BT429" s="153"/>
      <c r="BU429" s="153"/>
      <c r="BV429" s="153"/>
      <c r="BW429" s="153"/>
      <c r="BX429" s="153"/>
      <c r="BY429" s="153"/>
      <c r="BZ429" s="153"/>
      <c r="CA429" s="153"/>
      <c r="CB429" s="153"/>
      <c r="CC429" s="153"/>
      <c r="CD429" s="153"/>
      <c r="CE429" s="153"/>
      <c r="CF429" s="153"/>
      <c r="CG429" s="153"/>
      <c r="CH429" s="153"/>
      <c r="CI429" s="153"/>
      <c r="CJ429" s="153"/>
      <c r="CK429" s="153"/>
      <c r="CL429" s="153"/>
      <c r="CM429" s="153"/>
      <c r="CN429" s="153"/>
      <c r="CO429" s="153"/>
      <c r="CP429" s="153"/>
      <c r="CQ429" s="153"/>
      <c r="CR429" s="153"/>
      <c r="CS429" s="153"/>
      <c r="CT429" s="153"/>
      <c r="CU429" s="153"/>
      <c r="CV429" s="153"/>
      <c r="CW429" s="153"/>
      <c r="CX429" s="153"/>
      <c r="CY429" s="153"/>
      <c r="CZ429" s="153"/>
      <c r="DA429" s="153"/>
      <c r="DB429" s="153"/>
      <c r="DC429" s="153"/>
      <c r="DD429" s="153"/>
      <c r="DE429" s="153"/>
      <c r="DF429" s="153"/>
      <c r="DG429" s="153"/>
      <c r="DH429" s="153"/>
      <c r="DI429" s="153"/>
      <c r="DJ429" s="153"/>
      <c r="DK429" s="153"/>
      <c r="DL429" s="153"/>
      <c r="DM429" s="153"/>
      <c r="DN429" s="153"/>
      <c r="DO429" s="153"/>
      <c r="DP429" s="153"/>
      <c r="DQ429" s="153"/>
      <c r="DR429" s="153"/>
      <c r="DS429" s="153"/>
      <c r="DT429" s="153"/>
      <c r="DU429" s="153"/>
      <c r="DV429" s="153"/>
      <c r="DW429" s="153"/>
      <c r="DX429" s="153"/>
      <c r="DY429" s="153"/>
      <c r="DZ429" s="153"/>
      <c r="EA429" s="153"/>
      <c r="EB429" s="153"/>
      <c r="EC429" s="153"/>
      <c r="ED429" s="153"/>
      <c r="EE429" s="153"/>
      <c r="EF429" s="153"/>
      <c r="EG429" s="153"/>
      <c r="EH429" s="153"/>
      <c r="EI429" s="153"/>
      <c r="EJ429" s="153"/>
      <c r="EK429" s="153"/>
      <c r="EL429" s="153"/>
      <c r="EM429" s="153"/>
    </row>
    <row r="430" spans="1:143" s="107" customFormat="1" ht="10.5" hidden="1" customHeight="1" outlineLevel="2">
      <c r="A430" s="1548">
        <v>405</v>
      </c>
      <c r="B430" s="1560" t="str">
        <f t="shared" si="8"/>
        <v/>
      </c>
      <c r="C430" s="161" t="str">
        <f>GasTime(GasAnalyser,'Horiba Data'!F423,'Horiba Data'!G423,'Testo, JUM &amp; MRU Data'!A424,'Thermo Data'!B423,HourOffset)</f>
        <v/>
      </c>
      <c r="D430" s="981" t="str">
        <f>IF(D$17=FALSE,"",GasData(GasAnalyser,'Horiba Data'!S423,'Testo, JUM &amp; MRU Data'!D424,'Thermo Data'!E423,'Testo, JUM &amp; MRU Data'!U424,GDF))</f>
        <v/>
      </c>
      <c r="E430" s="981" t="str">
        <f>IF(D430="","",Conc2(D430,D$9,MolVol,D$21,D$20,E$21,E$20))</f>
        <v/>
      </c>
      <c r="F430" s="981" t="str">
        <f>IF(F$17=FALSE,"",GasData(GasAnalyser,'Horiba Data'!AQ423,'Testo, JUM &amp; MRU Data'!E424,'Thermo Data'!F423,'Testo, JUM &amp; MRU Data'!V424,GDF))</f>
        <v/>
      </c>
      <c r="G430" s="981" t="str">
        <f>IF(F430="","",Conc2(F430,F$9,MolVol,F$21,F$20,G$21,G$20))</f>
        <v/>
      </c>
      <c r="H430" s="981" t="str">
        <f>IF(D$17=FALSE,"",IF(F$17=FALSE,"",GasData(GasAnalyser,'Horiba Data'!W423,'Testo, JUM &amp; MRU Data'!F424,'Thermo Data'!G423,'Testo, JUM &amp; MRU Data'!Y424,GDF)))</f>
        <v/>
      </c>
      <c r="I430" s="981" t="str">
        <f>IF(H430="","",Conc2(H430,H$9,MolVol,H$21,H$20,I$21,I$20))</f>
        <v/>
      </c>
      <c r="J430" s="981" t="str">
        <f>IF(J$17=FALSE,"",GasData(GasAnalyser,'Horiba Data'!AM423,'Testo, JUM &amp; MRU Data'!G424,'Thermo Data'!H423,'Testo, JUM &amp; MRU Data'!W424,GDF))</f>
        <v/>
      </c>
      <c r="K430" s="981" t="str">
        <f>IF(J430="","",Conc2(J430,J$9,MolVol,J$21,J$20,K$21,K$20))</f>
        <v/>
      </c>
      <c r="L430" s="981" t="str">
        <f>IF(L$17=FALSE,"",GasData(GasAnalyser,'Horiba Data'!AA423,'Testo, JUM &amp; MRU Data'!H424,'Thermo Data'!I423,'Testo, JUM &amp; MRU Data'!T424,GDF))</f>
        <v/>
      </c>
      <c r="M430" s="981" t="str">
        <f>IF(L430="","",Conc2(L430,L$9,MolVol,L$21,L$20,M$21,M$20))</f>
        <v/>
      </c>
      <c r="N430" s="981" t="str">
        <f>IF(N$17=FALSE,"",GasData(GasAnalyser,'Horiba Data'!AE423,'Testo, JUM &amp; MRU Data'!I424,'Thermo Data'!J423,'Testo, JUM &amp; MRU Data'!S424,GDF))</f>
        <v/>
      </c>
      <c r="O430" s="981" t="str">
        <f>IF(N430="","",Conc2(N430,N$9,MolVol,N$21,N$20,O$21,O$20))</f>
        <v/>
      </c>
      <c r="P430" s="981" t="str">
        <f>IF(P$17=FALSE,"",GasData(GasAnalyser,'Horiba Data'!AI423,'Testo, JUM &amp; MRU Data'!J424,'Thermo Data'!K423,'Testo, JUM &amp; MRU Data'!R424,GDF))</f>
        <v/>
      </c>
      <c r="Q430" s="981" t="str">
        <f>IF(P430="","",Conc2(P430,P$9,MolVol,P$21,P$20,Q$21,Q$20))</f>
        <v/>
      </c>
      <c r="R430" s="981" t="str">
        <f>IF(R$17=FALSE,"",JUMData('Testo, JUM &amp; MRU Data'!M424,$R$7))</f>
        <v/>
      </c>
      <c r="S430" s="982" t="str">
        <f>IF(R430="","",Conc2(R430,R$9,MolVol,R$21,R$20,S$21,S$20)/(1-Bws))</f>
        <v/>
      </c>
      <c r="T430" s="740"/>
      <c r="AR430" s="335"/>
      <c r="AS430" s="335"/>
      <c r="AT430" s="153"/>
      <c r="AU430" s="153"/>
      <c r="AV430" s="153"/>
      <c r="AW430" s="153"/>
      <c r="AX430" s="153"/>
      <c r="AY430" s="153"/>
      <c r="AZ430" s="153"/>
      <c r="BA430" s="153"/>
      <c r="BB430" s="153"/>
      <c r="BC430" s="153"/>
      <c r="BD430" s="153"/>
      <c r="BE430" s="153"/>
      <c r="BF430" s="153"/>
      <c r="BG430" s="153"/>
      <c r="BH430" s="153"/>
      <c r="BI430" s="153"/>
      <c r="BJ430" s="153"/>
      <c r="BK430" s="153"/>
      <c r="BL430" s="153"/>
      <c r="BM430" s="153"/>
      <c r="BN430" s="153"/>
      <c r="BO430" s="153"/>
      <c r="BP430" s="153"/>
      <c r="BQ430" s="153"/>
      <c r="BR430" s="153"/>
      <c r="BS430" s="153"/>
      <c r="BT430" s="153"/>
      <c r="BU430" s="153"/>
      <c r="BV430" s="153"/>
      <c r="BW430" s="153"/>
      <c r="BX430" s="153"/>
      <c r="BY430" s="153"/>
      <c r="BZ430" s="153"/>
      <c r="CA430" s="153"/>
      <c r="CB430" s="153"/>
      <c r="CC430" s="153"/>
      <c r="CD430" s="153"/>
      <c r="CE430" s="153"/>
      <c r="CF430" s="153"/>
      <c r="CG430" s="153"/>
      <c r="CH430" s="153"/>
      <c r="CI430" s="153"/>
      <c r="CJ430" s="153"/>
      <c r="CK430" s="153"/>
      <c r="CL430" s="153"/>
      <c r="CM430" s="153"/>
      <c r="CN430" s="153"/>
      <c r="CO430" s="153"/>
      <c r="CP430" s="153"/>
      <c r="CQ430" s="153"/>
      <c r="CR430" s="153"/>
      <c r="CS430" s="153"/>
      <c r="CT430" s="153"/>
      <c r="CU430" s="153"/>
      <c r="CV430" s="153"/>
      <c r="CW430" s="153"/>
      <c r="CX430" s="153"/>
      <c r="CY430" s="153"/>
      <c r="CZ430" s="153"/>
      <c r="DA430" s="153"/>
      <c r="DB430" s="153"/>
      <c r="DC430" s="153"/>
      <c r="DD430" s="153"/>
      <c r="DE430" s="153"/>
      <c r="DF430" s="153"/>
      <c r="DG430" s="153"/>
      <c r="DH430" s="153"/>
      <c r="DI430" s="153"/>
      <c r="DJ430" s="153"/>
      <c r="DK430" s="153"/>
      <c r="DL430" s="153"/>
      <c r="DM430" s="153"/>
      <c r="DN430" s="153"/>
      <c r="DO430" s="153"/>
      <c r="DP430" s="153"/>
      <c r="DQ430" s="153"/>
      <c r="DR430" s="153"/>
      <c r="DS430" s="153"/>
      <c r="DT430" s="153"/>
      <c r="DU430" s="153"/>
      <c r="DV430" s="153"/>
      <c r="DW430" s="153"/>
      <c r="DX430" s="153"/>
      <c r="DY430" s="153"/>
      <c r="DZ430" s="153"/>
      <c r="EA430" s="153"/>
      <c r="EB430" s="153"/>
      <c r="EC430" s="153"/>
      <c r="ED430" s="153"/>
      <c r="EE430" s="153"/>
      <c r="EF430" s="153"/>
      <c r="EG430" s="153"/>
      <c r="EH430" s="153"/>
      <c r="EI430" s="153"/>
      <c r="EJ430" s="153"/>
      <c r="EK430" s="153"/>
      <c r="EL430" s="153"/>
      <c r="EM430" s="153"/>
    </row>
    <row r="431" spans="1:143" s="107" customFormat="1" ht="10.5" hidden="1" customHeight="1" outlineLevel="2">
      <c r="A431" s="1548">
        <v>406</v>
      </c>
      <c r="B431" s="1560" t="str">
        <f t="shared" si="8"/>
        <v/>
      </c>
      <c r="C431" s="161" t="str">
        <f>GasTime(GasAnalyser,'Horiba Data'!F424,'Horiba Data'!G424,'Testo, JUM &amp; MRU Data'!A425,'Thermo Data'!B424,HourOffset)</f>
        <v/>
      </c>
      <c r="D431" s="981" t="str">
        <f>IF(D$17=FALSE,"",GasData(GasAnalyser,'Horiba Data'!S424,'Testo, JUM &amp; MRU Data'!D425,'Thermo Data'!E424,'Testo, JUM &amp; MRU Data'!U425,GDF))</f>
        <v/>
      </c>
      <c r="E431" s="981" t="str">
        <f>IF(D431="","",Conc2(D431,D$9,MolVol,D$21,D$20,E$21,E$20))</f>
        <v/>
      </c>
      <c r="F431" s="981" t="str">
        <f>IF(F$17=FALSE,"",GasData(GasAnalyser,'Horiba Data'!AQ424,'Testo, JUM &amp; MRU Data'!E425,'Thermo Data'!F424,'Testo, JUM &amp; MRU Data'!V425,GDF))</f>
        <v/>
      </c>
      <c r="G431" s="981" t="str">
        <f>IF(F431="","",Conc2(F431,F$9,MolVol,F$21,F$20,G$21,G$20))</f>
        <v/>
      </c>
      <c r="H431" s="981" t="str">
        <f>IF(D$17=FALSE,"",IF(F$17=FALSE,"",GasData(GasAnalyser,'Horiba Data'!W424,'Testo, JUM &amp; MRU Data'!F425,'Thermo Data'!G424,'Testo, JUM &amp; MRU Data'!Y425,GDF)))</f>
        <v/>
      </c>
      <c r="I431" s="981" t="str">
        <f>IF(H431="","",Conc2(H431,H$9,MolVol,H$21,H$20,I$21,I$20))</f>
        <v/>
      </c>
      <c r="J431" s="981" t="str">
        <f>IF(J$17=FALSE,"",GasData(GasAnalyser,'Horiba Data'!AM424,'Testo, JUM &amp; MRU Data'!G425,'Thermo Data'!H424,'Testo, JUM &amp; MRU Data'!W425,GDF))</f>
        <v/>
      </c>
      <c r="K431" s="981" t="str">
        <f>IF(J431="","",Conc2(J431,J$9,MolVol,J$21,J$20,K$21,K$20))</f>
        <v/>
      </c>
      <c r="L431" s="981" t="str">
        <f>IF(L$17=FALSE,"",GasData(GasAnalyser,'Horiba Data'!AA424,'Testo, JUM &amp; MRU Data'!H425,'Thermo Data'!I424,'Testo, JUM &amp; MRU Data'!T425,GDF))</f>
        <v/>
      </c>
      <c r="M431" s="981" t="str">
        <f>IF(L431="","",Conc2(L431,L$9,MolVol,L$21,L$20,M$21,M$20))</f>
        <v/>
      </c>
      <c r="N431" s="981" t="str">
        <f>IF(N$17=FALSE,"",GasData(GasAnalyser,'Horiba Data'!AE424,'Testo, JUM &amp; MRU Data'!I425,'Thermo Data'!J424,'Testo, JUM &amp; MRU Data'!S425,GDF))</f>
        <v/>
      </c>
      <c r="O431" s="981" t="str">
        <f>IF(N431="","",Conc2(N431,N$9,MolVol,N$21,N$20,O$21,O$20))</f>
        <v/>
      </c>
      <c r="P431" s="981" t="str">
        <f>IF(P$17=FALSE,"",GasData(GasAnalyser,'Horiba Data'!AI424,'Testo, JUM &amp; MRU Data'!J425,'Thermo Data'!K424,'Testo, JUM &amp; MRU Data'!R425,GDF))</f>
        <v/>
      </c>
      <c r="Q431" s="981" t="str">
        <f>IF(P431="","",Conc2(P431,P$9,MolVol,P$21,P$20,Q$21,Q$20))</f>
        <v/>
      </c>
      <c r="R431" s="981" t="str">
        <f>IF(R$17=FALSE,"",JUMData('Testo, JUM &amp; MRU Data'!M425,$R$7))</f>
        <v/>
      </c>
      <c r="S431" s="982" t="str">
        <f>IF(R431="","",Conc2(R431,R$9,MolVol,R$21,R$20,S$21,S$20)/(1-Bws))</f>
        <v/>
      </c>
      <c r="T431" s="740"/>
      <c r="AR431" s="335"/>
      <c r="AS431" s="335"/>
      <c r="AT431" s="153"/>
      <c r="AU431" s="153"/>
      <c r="AV431" s="153"/>
      <c r="AW431" s="153"/>
      <c r="AX431" s="153"/>
      <c r="AY431" s="153"/>
      <c r="AZ431" s="153"/>
      <c r="BA431" s="153"/>
      <c r="BB431" s="153"/>
      <c r="BC431" s="153"/>
      <c r="BD431" s="153"/>
      <c r="BE431" s="153"/>
      <c r="BF431" s="153"/>
      <c r="BG431" s="153"/>
      <c r="BH431" s="153"/>
      <c r="BI431" s="153"/>
      <c r="BJ431" s="153"/>
      <c r="BK431" s="153"/>
      <c r="BL431" s="153"/>
      <c r="BM431" s="153"/>
      <c r="BN431" s="153"/>
      <c r="BO431" s="153"/>
      <c r="BP431" s="153"/>
      <c r="BQ431" s="153"/>
      <c r="BR431" s="153"/>
      <c r="BS431" s="153"/>
      <c r="BT431" s="153"/>
      <c r="BU431" s="153"/>
      <c r="BV431" s="153"/>
      <c r="BW431" s="153"/>
      <c r="BX431" s="153"/>
      <c r="BY431" s="153"/>
      <c r="BZ431" s="153"/>
      <c r="CA431" s="153"/>
      <c r="CB431" s="153"/>
      <c r="CC431" s="153"/>
      <c r="CD431" s="153"/>
      <c r="CE431" s="153"/>
      <c r="CF431" s="153"/>
      <c r="CG431" s="153"/>
      <c r="CH431" s="153"/>
      <c r="CI431" s="153"/>
      <c r="CJ431" s="153"/>
      <c r="CK431" s="153"/>
      <c r="CL431" s="153"/>
      <c r="CM431" s="153"/>
      <c r="CN431" s="153"/>
      <c r="CO431" s="153"/>
      <c r="CP431" s="153"/>
      <c r="CQ431" s="153"/>
      <c r="CR431" s="153"/>
      <c r="CS431" s="153"/>
      <c r="CT431" s="153"/>
      <c r="CU431" s="153"/>
      <c r="CV431" s="153"/>
      <c r="CW431" s="153"/>
      <c r="CX431" s="153"/>
      <c r="CY431" s="153"/>
      <c r="CZ431" s="153"/>
      <c r="DA431" s="153"/>
      <c r="DB431" s="153"/>
      <c r="DC431" s="153"/>
      <c r="DD431" s="153"/>
      <c r="DE431" s="153"/>
      <c r="DF431" s="153"/>
      <c r="DG431" s="153"/>
      <c r="DH431" s="153"/>
      <c r="DI431" s="153"/>
      <c r="DJ431" s="153"/>
      <c r="DK431" s="153"/>
      <c r="DL431" s="153"/>
      <c r="DM431" s="153"/>
      <c r="DN431" s="153"/>
      <c r="DO431" s="153"/>
      <c r="DP431" s="153"/>
      <c r="DQ431" s="153"/>
      <c r="DR431" s="153"/>
      <c r="DS431" s="153"/>
      <c r="DT431" s="153"/>
      <c r="DU431" s="153"/>
      <c r="DV431" s="153"/>
      <c r="DW431" s="153"/>
      <c r="DX431" s="153"/>
      <c r="DY431" s="153"/>
      <c r="DZ431" s="153"/>
      <c r="EA431" s="153"/>
      <c r="EB431" s="153"/>
      <c r="EC431" s="153"/>
      <c r="ED431" s="153"/>
      <c r="EE431" s="153"/>
      <c r="EF431" s="153"/>
      <c r="EG431" s="153"/>
      <c r="EH431" s="153"/>
      <c r="EI431" s="153"/>
      <c r="EJ431" s="153"/>
      <c r="EK431" s="153"/>
      <c r="EL431" s="153"/>
      <c r="EM431" s="153"/>
    </row>
    <row r="432" spans="1:143" s="107" customFormat="1" ht="10.5" hidden="1" customHeight="1" outlineLevel="2">
      <c r="A432" s="1548">
        <v>407</v>
      </c>
      <c r="B432" s="1560" t="str">
        <f t="shared" si="8"/>
        <v/>
      </c>
      <c r="C432" s="161" t="str">
        <f>GasTime(GasAnalyser,'Horiba Data'!F425,'Horiba Data'!G425,'Testo, JUM &amp; MRU Data'!A426,'Thermo Data'!B425,HourOffset)</f>
        <v/>
      </c>
      <c r="D432" s="981" t="str">
        <f>IF(D$17=FALSE,"",GasData(GasAnalyser,'Horiba Data'!S425,'Testo, JUM &amp; MRU Data'!D426,'Thermo Data'!E425,'Testo, JUM &amp; MRU Data'!U426,GDF))</f>
        <v/>
      </c>
      <c r="E432" s="981" t="str">
        <f>IF(D432="","",Conc2(D432,D$9,MolVol,D$21,D$20,E$21,E$20))</f>
        <v/>
      </c>
      <c r="F432" s="981" t="str">
        <f>IF(F$17=FALSE,"",GasData(GasAnalyser,'Horiba Data'!AQ425,'Testo, JUM &amp; MRU Data'!E426,'Thermo Data'!F425,'Testo, JUM &amp; MRU Data'!V426,GDF))</f>
        <v/>
      </c>
      <c r="G432" s="981" t="str">
        <f>IF(F432="","",Conc2(F432,F$9,MolVol,F$21,F$20,G$21,G$20))</f>
        <v/>
      </c>
      <c r="H432" s="981" t="str">
        <f>IF(D$17=FALSE,"",IF(F$17=FALSE,"",GasData(GasAnalyser,'Horiba Data'!W425,'Testo, JUM &amp; MRU Data'!F426,'Thermo Data'!G425,'Testo, JUM &amp; MRU Data'!Y426,GDF)))</f>
        <v/>
      </c>
      <c r="I432" s="981" t="str">
        <f>IF(H432="","",Conc2(H432,H$9,MolVol,H$21,H$20,I$21,I$20))</f>
        <v/>
      </c>
      <c r="J432" s="981" t="str">
        <f>IF(J$17=FALSE,"",GasData(GasAnalyser,'Horiba Data'!AM425,'Testo, JUM &amp; MRU Data'!G426,'Thermo Data'!H425,'Testo, JUM &amp; MRU Data'!W426,GDF))</f>
        <v/>
      </c>
      <c r="K432" s="981" t="str">
        <f>IF(J432="","",Conc2(J432,J$9,MolVol,J$21,J$20,K$21,K$20))</f>
        <v/>
      </c>
      <c r="L432" s="981" t="str">
        <f>IF(L$17=FALSE,"",GasData(GasAnalyser,'Horiba Data'!AA425,'Testo, JUM &amp; MRU Data'!H426,'Thermo Data'!I425,'Testo, JUM &amp; MRU Data'!T426,GDF))</f>
        <v/>
      </c>
      <c r="M432" s="981" t="str">
        <f>IF(L432="","",Conc2(L432,L$9,MolVol,L$21,L$20,M$21,M$20))</f>
        <v/>
      </c>
      <c r="N432" s="981" t="str">
        <f>IF(N$17=FALSE,"",GasData(GasAnalyser,'Horiba Data'!AE425,'Testo, JUM &amp; MRU Data'!I426,'Thermo Data'!J425,'Testo, JUM &amp; MRU Data'!S426,GDF))</f>
        <v/>
      </c>
      <c r="O432" s="981" t="str">
        <f>IF(N432="","",Conc2(N432,N$9,MolVol,N$21,N$20,O$21,O$20))</f>
        <v/>
      </c>
      <c r="P432" s="981" t="str">
        <f>IF(P$17=FALSE,"",GasData(GasAnalyser,'Horiba Data'!AI425,'Testo, JUM &amp; MRU Data'!J426,'Thermo Data'!K425,'Testo, JUM &amp; MRU Data'!R426,GDF))</f>
        <v/>
      </c>
      <c r="Q432" s="981" t="str">
        <f>IF(P432="","",Conc2(P432,P$9,MolVol,P$21,P$20,Q$21,Q$20))</f>
        <v/>
      </c>
      <c r="R432" s="981" t="str">
        <f>IF(R$17=FALSE,"",JUMData('Testo, JUM &amp; MRU Data'!M426,$R$7))</f>
        <v/>
      </c>
      <c r="S432" s="982" t="str">
        <f>IF(R432="","",Conc2(R432,R$9,MolVol,R$21,R$20,S$21,S$20)/(1-Bws))</f>
        <v/>
      </c>
      <c r="T432" s="740"/>
      <c r="AR432" s="335"/>
      <c r="AS432" s="335"/>
      <c r="AT432" s="153"/>
      <c r="AU432" s="153"/>
      <c r="AV432" s="153"/>
      <c r="AW432" s="153"/>
      <c r="AX432" s="153"/>
      <c r="AY432" s="153"/>
      <c r="AZ432" s="153"/>
      <c r="BA432" s="153"/>
      <c r="BB432" s="153"/>
      <c r="BC432" s="153"/>
      <c r="BD432" s="153"/>
      <c r="BE432" s="153"/>
      <c r="BF432" s="153"/>
      <c r="BG432" s="153"/>
      <c r="BH432" s="153"/>
      <c r="BI432" s="153"/>
      <c r="BJ432" s="153"/>
      <c r="BK432" s="153"/>
      <c r="BL432" s="153"/>
      <c r="BM432" s="153"/>
      <c r="BN432" s="153"/>
      <c r="BO432" s="153"/>
      <c r="BP432" s="153"/>
      <c r="BQ432" s="153"/>
      <c r="BR432" s="153"/>
      <c r="BS432" s="153"/>
      <c r="BT432" s="153"/>
      <c r="BU432" s="153"/>
      <c r="BV432" s="153"/>
      <c r="BW432" s="153"/>
      <c r="BX432" s="153"/>
      <c r="BY432" s="153"/>
      <c r="BZ432" s="153"/>
      <c r="CA432" s="153"/>
      <c r="CB432" s="153"/>
      <c r="CC432" s="153"/>
      <c r="CD432" s="153"/>
      <c r="CE432" s="153"/>
      <c r="CF432" s="153"/>
      <c r="CG432" s="153"/>
      <c r="CH432" s="153"/>
      <c r="CI432" s="153"/>
      <c r="CJ432" s="153"/>
      <c r="CK432" s="153"/>
      <c r="CL432" s="153"/>
      <c r="CM432" s="153"/>
      <c r="CN432" s="153"/>
      <c r="CO432" s="153"/>
      <c r="CP432" s="153"/>
      <c r="CQ432" s="153"/>
      <c r="CR432" s="153"/>
      <c r="CS432" s="153"/>
      <c r="CT432" s="153"/>
      <c r="CU432" s="153"/>
      <c r="CV432" s="153"/>
      <c r="CW432" s="153"/>
      <c r="CX432" s="153"/>
      <c r="CY432" s="153"/>
      <c r="CZ432" s="153"/>
      <c r="DA432" s="153"/>
      <c r="DB432" s="153"/>
      <c r="DC432" s="153"/>
      <c r="DD432" s="153"/>
      <c r="DE432" s="153"/>
      <c r="DF432" s="153"/>
      <c r="DG432" s="153"/>
      <c r="DH432" s="153"/>
      <c r="DI432" s="153"/>
      <c r="DJ432" s="153"/>
      <c r="DK432" s="153"/>
      <c r="DL432" s="153"/>
      <c r="DM432" s="153"/>
      <c r="DN432" s="153"/>
      <c r="DO432" s="153"/>
      <c r="DP432" s="153"/>
      <c r="DQ432" s="153"/>
      <c r="DR432" s="153"/>
      <c r="DS432" s="153"/>
      <c r="DT432" s="153"/>
      <c r="DU432" s="153"/>
      <c r="DV432" s="153"/>
      <c r="DW432" s="153"/>
      <c r="DX432" s="153"/>
      <c r="DY432" s="153"/>
      <c r="DZ432" s="153"/>
      <c r="EA432" s="153"/>
      <c r="EB432" s="153"/>
      <c r="EC432" s="153"/>
      <c r="ED432" s="153"/>
      <c r="EE432" s="153"/>
      <c r="EF432" s="153"/>
      <c r="EG432" s="153"/>
      <c r="EH432" s="153"/>
      <c r="EI432" s="153"/>
      <c r="EJ432" s="153"/>
      <c r="EK432" s="153"/>
      <c r="EL432" s="153"/>
      <c r="EM432" s="153"/>
    </row>
    <row r="433" spans="1:143" s="107" customFormat="1" ht="10.5" hidden="1" customHeight="1" outlineLevel="2">
      <c r="A433" s="1548">
        <v>408</v>
      </c>
      <c r="B433" s="1560" t="str">
        <f t="shared" si="8"/>
        <v/>
      </c>
      <c r="C433" s="161" t="str">
        <f>GasTime(GasAnalyser,'Horiba Data'!F426,'Horiba Data'!G426,'Testo, JUM &amp; MRU Data'!A427,'Thermo Data'!B426,HourOffset)</f>
        <v/>
      </c>
      <c r="D433" s="981" t="str">
        <f>IF(D$17=FALSE,"",GasData(GasAnalyser,'Horiba Data'!S426,'Testo, JUM &amp; MRU Data'!D427,'Thermo Data'!E426,'Testo, JUM &amp; MRU Data'!U427,GDF))</f>
        <v/>
      </c>
      <c r="E433" s="981" t="str">
        <f>IF(D433="","",Conc2(D433,D$9,MolVol,D$21,D$20,E$21,E$20))</f>
        <v/>
      </c>
      <c r="F433" s="981" t="str">
        <f>IF(F$17=FALSE,"",GasData(GasAnalyser,'Horiba Data'!AQ426,'Testo, JUM &amp; MRU Data'!E427,'Thermo Data'!F426,'Testo, JUM &amp; MRU Data'!V427,GDF))</f>
        <v/>
      </c>
      <c r="G433" s="981" t="str">
        <f>IF(F433="","",Conc2(F433,F$9,MolVol,F$21,F$20,G$21,G$20))</f>
        <v/>
      </c>
      <c r="H433" s="981" t="str">
        <f>IF(D$17=FALSE,"",IF(F$17=FALSE,"",GasData(GasAnalyser,'Horiba Data'!W426,'Testo, JUM &amp; MRU Data'!F427,'Thermo Data'!G426,'Testo, JUM &amp; MRU Data'!Y427,GDF)))</f>
        <v/>
      </c>
      <c r="I433" s="981" t="str">
        <f>IF(H433="","",Conc2(H433,H$9,MolVol,H$21,H$20,I$21,I$20))</f>
        <v/>
      </c>
      <c r="J433" s="981" t="str">
        <f>IF(J$17=FALSE,"",GasData(GasAnalyser,'Horiba Data'!AM426,'Testo, JUM &amp; MRU Data'!G427,'Thermo Data'!H426,'Testo, JUM &amp; MRU Data'!W427,GDF))</f>
        <v/>
      </c>
      <c r="K433" s="981" t="str">
        <f>IF(J433="","",Conc2(J433,J$9,MolVol,J$21,J$20,K$21,K$20))</f>
        <v/>
      </c>
      <c r="L433" s="981" t="str">
        <f>IF(L$17=FALSE,"",GasData(GasAnalyser,'Horiba Data'!AA426,'Testo, JUM &amp; MRU Data'!H427,'Thermo Data'!I426,'Testo, JUM &amp; MRU Data'!T427,GDF))</f>
        <v/>
      </c>
      <c r="M433" s="981" t="str">
        <f>IF(L433="","",Conc2(L433,L$9,MolVol,L$21,L$20,M$21,M$20))</f>
        <v/>
      </c>
      <c r="N433" s="981" t="str">
        <f>IF(N$17=FALSE,"",GasData(GasAnalyser,'Horiba Data'!AE426,'Testo, JUM &amp; MRU Data'!I427,'Thermo Data'!J426,'Testo, JUM &amp; MRU Data'!S427,GDF))</f>
        <v/>
      </c>
      <c r="O433" s="981" t="str">
        <f>IF(N433="","",Conc2(N433,N$9,MolVol,N$21,N$20,O$21,O$20))</f>
        <v/>
      </c>
      <c r="P433" s="981" t="str">
        <f>IF(P$17=FALSE,"",GasData(GasAnalyser,'Horiba Data'!AI426,'Testo, JUM &amp; MRU Data'!J427,'Thermo Data'!K426,'Testo, JUM &amp; MRU Data'!R427,GDF))</f>
        <v/>
      </c>
      <c r="Q433" s="981" t="str">
        <f>IF(P433="","",Conc2(P433,P$9,MolVol,P$21,P$20,Q$21,Q$20))</f>
        <v/>
      </c>
      <c r="R433" s="981" t="str">
        <f>IF(R$17=FALSE,"",JUMData('Testo, JUM &amp; MRU Data'!M427,$R$7))</f>
        <v/>
      </c>
      <c r="S433" s="982" t="str">
        <f>IF(R433="","",Conc2(R433,R$9,MolVol,R$21,R$20,S$21,S$20)/(1-Bws))</f>
        <v/>
      </c>
      <c r="T433" s="740"/>
      <c r="AR433" s="335"/>
      <c r="AS433" s="335"/>
      <c r="AT433" s="153"/>
      <c r="AU433" s="153"/>
      <c r="AV433" s="153"/>
      <c r="AW433" s="153"/>
      <c r="AX433" s="153"/>
      <c r="AY433" s="153"/>
      <c r="AZ433" s="153"/>
      <c r="BA433" s="153"/>
      <c r="BB433" s="153"/>
      <c r="BC433" s="153"/>
      <c r="BD433" s="153"/>
      <c r="BE433" s="153"/>
      <c r="BF433" s="153"/>
      <c r="BG433" s="153"/>
      <c r="BH433" s="153"/>
      <c r="BI433" s="153"/>
      <c r="BJ433" s="153"/>
      <c r="BK433" s="153"/>
      <c r="BL433" s="153"/>
      <c r="BM433" s="153"/>
      <c r="BN433" s="153"/>
      <c r="BO433" s="153"/>
      <c r="BP433" s="153"/>
      <c r="BQ433" s="153"/>
      <c r="BR433" s="153"/>
      <c r="BS433" s="153"/>
      <c r="BT433" s="153"/>
      <c r="BU433" s="153"/>
      <c r="BV433" s="153"/>
      <c r="BW433" s="153"/>
      <c r="BX433" s="153"/>
      <c r="BY433" s="153"/>
      <c r="BZ433" s="153"/>
      <c r="CA433" s="153"/>
      <c r="CB433" s="153"/>
      <c r="CC433" s="153"/>
      <c r="CD433" s="153"/>
      <c r="CE433" s="153"/>
      <c r="CF433" s="153"/>
      <c r="CG433" s="153"/>
      <c r="CH433" s="153"/>
      <c r="CI433" s="153"/>
      <c r="CJ433" s="153"/>
      <c r="CK433" s="153"/>
      <c r="CL433" s="153"/>
      <c r="CM433" s="153"/>
      <c r="CN433" s="153"/>
      <c r="CO433" s="153"/>
      <c r="CP433" s="153"/>
      <c r="CQ433" s="153"/>
      <c r="CR433" s="153"/>
      <c r="CS433" s="153"/>
      <c r="CT433" s="153"/>
      <c r="CU433" s="153"/>
      <c r="CV433" s="153"/>
      <c r="CW433" s="153"/>
      <c r="CX433" s="153"/>
      <c r="CY433" s="153"/>
      <c r="CZ433" s="153"/>
      <c r="DA433" s="153"/>
      <c r="DB433" s="153"/>
      <c r="DC433" s="153"/>
      <c r="DD433" s="153"/>
      <c r="DE433" s="153"/>
      <c r="DF433" s="153"/>
      <c r="DG433" s="153"/>
      <c r="DH433" s="153"/>
      <c r="DI433" s="153"/>
      <c r="DJ433" s="153"/>
      <c r="DK433" s="153"/>
      <c r="DL433" s="153"/>
      <c r="DM433" s="153"/>
      <c r="DN433" s="153"/>
      <c r="DO433" s="153"/>
      <c r="DP433" s="153"/>
      <c r="DQ433" s="153"/>
      <c r="DR433" s="153"/>
      <c r="DS433" s="153"/>
      <c r="DT433" s="153"/>
      <c r="DU433" s="153"/>
      <c r="DV433" s="153"/>
      <c r="DW433" s="153"/>
      <c r="DX433" s="153"/>
      <c r="DY433" s="153"/>
      <c r="DZ433" s="153"/>
      <c r="EA433" s="153"/>
      <c r="EB433" s="153"/>
      <c r="EC433" s="153"/>
      <c r="ED433" s="153"/>
      <c r="EE433" s="153"/>
      <c r="EF433" s="153"/>
      <c r="EG433" s="153"/>
      <c r="EH433" s="153"/>
      <c r="EI433" s="153"/>
      <c r="EJ433" s="153"/>
      <c r="EK433" s="153"/>
      <c r="EL433" s="153"/>
      <c r="EM433" s="153"/>
    </row>
    <row r="434" spans="1:143" s="107" customFormat="1" ht="10.5" hidden="1" customHeight="1" outlineLevel="2">
      <c r="A434" s="1548">
        <v>409</v>
      </c>
      <c r="B434" s="1560" t="str">
        <f t="shared" si="8"/>
        <v/>
      </c>
      <c r="C434" s="161" t="str">
        <f>GasTime(GasAnalyser,'Horiba Data'!F427,'Horiba Data'!G427,'Testo, JUM &amp; MRU Data'!A428,'Thermo Data'!B427,HourOffset)</f>
        <v/>
      </c>
      <c r="D434" s="981" t="str">
        <f>IF(D$17=FALSE,"",GasData(GasAnalyser,'Horiba Data'!S427,'Testo, JUM &amp; MRU Data'!D428,'Thermo Data'!E427,'Testo, JUM &amp; MRU Data'!U428,GDF))</f>
        <v/>
      </c>
      <c r="E434" s="981" t="str">
        <f>IF(D434="","",Conc2(D434,D$9,MolVol,D$21,D$20,E$21,E$20))</f>
        <v/>
      </c>
      <c r="F434" s="981" t="str">
        <f>IF(F$17=FALSE,"",GasData(GasAnalyser,'Horiba Data'!AQ427,'Testo, JUM &amp; MRU Data'!E428,'Thermo Data'!F427,'Testo, JUM &amp; MRU Data'!V428,GDF))</f>
        <v/>
      </c>
      <c r="G434" s="981" t="str">
        <f>IF(F434="","",Conc2(F434,F$9,MolVol,F$21,F$20,G$21,G$20))</f>
        <v/>
      </c>
      <c r="H434" s="981" t="str">
        <f>IF(D$17=FALSE,"",IF(F$17=FALSE,"",GasData(GasAnalyser,'Horiba Data'!W427,'Testo, JUM &amp; MRU Data'!F428,'Thermo Data'!G427,'Testo, JUM &amp; MRU Data'!Y428,GDF)))</f>
        <v/>
      </c>
      <c r="I434" s="981" t="str">
        <f>IF(H434="","",Conc2(H434,H$9,MolVol,H$21,H$20,I$21,I$20))</f>
        <v/>
      </c>
      <c r="J434" s="981" t="str">
        <f>IF(J$17=FALSE,"",GasData(GasAnalyser,'Horiba Data'!AM427,'Testo, JUM &amp; MRU Data'!G428,'Thermo Data'!H427,'Testo, JUM &amp; MRU Data'!W428,GDF))</f>
        <v/>
      </c>
      <c r="K434" s="981" t="str">
        <f>IF(J434="","",Conc2(J434,J$9,MolVol,J$21,J$20,K$21,K$20))</f>
        <v/>
      </c>
      <c r="L434" s="981" t="str">
        <f>IF(L$17=FALSE,"",GasData(GasAnalyser,'Horiba Data'!AA427,'Testo, JUM &amp; MRU Data'!H428,'Thermo Data'!I427,'Testo, JUM &amp; MRU Data'!T428,GDF))</f>
        <v/>
      </c>
      <c r="M434" s="981" t="str">
        <f>IF(L434="","",Conc2(L434,L$9,MolVol,L$21,L$20,M$21,M$20))</f>
        <v/>
      </c>
      <c r="N434" s="981" t="str">
        <f>IF(N$17=FALSE,"",GasData(GasAnalyser,'Horiba Data'!AE427,'Testo, JUM &amp; MRU Data'!I428,'Thermo Data'!J427,'Testo, JUM &amp; MRU Data'!S428,GDF))</f>
        <v/>
      </c>
      <c r="O434" s="981" t="str">
        <f>IF(N434="","",Conc2(N434,N$9,MolVol,N$21,N$20,O$21,O$20))</f>
        <v/>
      </c>
      <c r="P434" s="981" t="str">
        <f>IF(P$17=FALSE,"",GasData(GasAnalyser,'Horiba Data'!AI427,'Testo, JUM &amp; MRU Data'!J428,'Thermo Data'!K427,'Testo, JUM &amp; MRU Data'!R428,GDF))</f>
        <v/>
      </c>
      <c r="Q434" s="981" t="str">
        <f>IF(P434="","",Conc2(P434,P$9,MolVol,P$21,P$20,Q$21,Q$20))</f>
        <v/>
      </c>
      <c r="R434" s="981" t="str">
        <f>IF(R$17=FALSE,"",JUMData('Testo, JUM &amp; MRU Data'!M428,$R$7))</f>
        <v/>
      </c>
      <c r="S434" s="982" t="str">
        <f>IF(R434="","",Conc2(R434,R$9,MolVol,R$21,R$20,S$21,S$20)/(1-Bws))</f>
        <v/>
      </c>
      <c r="T434" s="740"/>
      <c r="AR434" s="335"/>
      <c r="AS434" s="335"/>
      <c r="AT434" s="153"/>
      <c r="AU434" s="153"/>
      <c r="AV434" s="153"/>
      <c r="AW434" s="153"/>
      <c r="AX434" s="153"/>
      <c r="AY434" s="153"/>
      <c r="AZ434" s="153"/>
      <c r="BA434" s="153"/>
      <c r="BB434" s="153"/>
      <c r="BC434" s="153"/>
      <c r="BD434" s="153"/>
      <c r="BE434" s="153"/>
      <c r="BF434" s="153"/>
      <c r="BG434" s="153"/>
      <c r="BH434" s="153"/>
      <c r="BI434" s="153"/>
      <c r="BJ434" s="153"/>
      <c r="BK434" s="153"/>
      <c r="BL434" s="153"/>
      <c r="BM434" s="153"/>
      <c r="BN434" s="153"/>
      <c r="BO434" s="153"/>
      <c r="BP434" s="153"/>
      <c r="BQ434" s="153"/>
      <c r="BR434" s="153"/>
      <c r="BS434" s="153"/>
      <c r="BT434" s="153"/>
      <c r="BU434" s="153"/>
      <c r="BV434" s="153"/>
      <c r="BW434" s="153"/>
      <c r="BX434" s="153"/>
      <c r="BY434" s="153"/>
      <c r="BZ434" s="153"/>
      <c r="CA434" s="153"/>
      <c r="CB434" s="153"/>
      <c r="CC434" s="153"/>
      <c r="CD434" s="153"/>
      <c r="CE434" s="153"/>
      <c r="CF434" s="153"/>
      <c r="CG434" s="153"/>
      <c r="CH434" s="153"/>
      <c r="CI434" s="153"/>
      <c r="CJ434" s="153"/>
      <c r="CK434" s="153"/>
      <c r="CL434" s="153"/>
      <c r="CM434" s="153"/>
      <c r="CN434" s="153"/>
      <c r="CO434" s="153"/>
      <c r="CP434" s="153"/>
      <c r="CQ434" s="153"/>
      <c r="CR434" s="153"/>
      <c r="CS434" s="153"/>
      <c r="CT434" s="153"/>
      <c r="CU434" s="153"/>
      <c r="CV434" s="153"/>
      <c r="CW434" s="153"/>
      <c r="CX434" s="153"/>
      <c r="CY434" s="153"/>
      <c r="CZ434" s="153"/>
      <c r="DA434" s="153"/>
      <c r="DB434" s="153"/>
      <c r="DC434" s="153"/>
      <c r="DD434" s="153"/>
      <c r="DE434" s="153"/>
      <c r="DF434" s="153"/>
      <c r="DG434" s="153"/>
      <c r="DH434" s="153"/>
      <c r="DI434" s="153"/>
      <c r="DJ434" s="153"/>
      <c r="DK434" s="153"/>
      <c r="DL434" s="153"/>
      <c r="DM434" s="153"/>
      <c r="DN434" s="153"/>
      <c r="DO434" s="153"/>
      <c r="DP434" s="153"/>
      <c r="DQ434" s="153"/>
      <c r="DR434" s="153"/>
      <c r="DS434" s="153"/>
      <c r="DT434" s="153"/>
      <c r="DU434" s="153"/>
      <c r="DV434" s="153"/>
      <c r="DW434" s="153"/>
      <c r="DX434" s="153"/>
      <c r="DY434" s="153"/>
      <c r="DZ434" s="153"/>
      <c r="EA434" s="153"/>
      <c r="EB434" s="153"/>
      <c r="EC434" s="153"/>
      <c r="ED434" s="153"/>
      <c r="EE434" s="153"/>
      <c r="EF434" s="153"/>
      <c r="EG434" s="153"/>
      <c r="EH434" s="153"/>
      <c r="EI434" s="153"/>
      <c r="EJ434" s="153"/>
      <c r="EK434" s="153"/>
      <c r="EL434" s="153"/>
      <c r="EM434" s="153"/>
    </row>
    <row r="435" spans="1:143" s="107" customFormat="1" ht="10.5" hidden="1" customHeight="1" outlineLevel="2">
      <c r="A435" s="1548">
        <v>410</v>
      </c>
      <c r="B435" s="1560" t="str">
        <f t="shared" si="8"/>
        <v/>
      </c>
      <c r="C435" s="161" t="str">
        <f>GasTime(GasAnalyser,'Horiba Data'!F428,'Horiba Data'!G428,'Testo, JUM &amp; MRU Data'!A429,'Thermo Data'!B428,HourOffset)</f>
        <v/>
      </c>
      <c r="D435" s="981" t="str">
        <f>IF(D$17=FALSE,"",GasData(GasAnalyser,'Horiba Data'!S428,'Testo, JUM &amp; MRU Data'!D429,'Thermo Data'!E428,'Testo, JUM &amp; MRU Data'!U429,GDF))</f>
        <v/>
      </c>
      <c r="E435" s="981" t="str">
        <f>IF(D435="","",Conc2(D435,D$9,MolVol,D$21,D$20,E$21,E$20))</f>
        <v/>
      </c>
      <c r="F435" s="981" t="str">
        <f>IF(F$17=FALSE,"",GasData(GasAnalyser,'Horiba Data'!AQ428,'Testo, JUM &amp; MRU Data'!E429,'Thermo Data'!F428,'Testo, JUM &amp; MRU Data'!V429,GDF))</f>
        <v/>
      </c>
      <c r="G435" s="981" t="str">
        <f>IF(F435="","",Conc2(F435,F$9,MolVol,F$21,F$20,G$21,G$20))</f>
        <v/>
      </c>
      <c r="H435" s="981" t="str">
        <f>IF(D$17=FALSE,"",IF(F$17=FALSE,"",GasData(GasAnalyser,'Horiba Data'!W428,'Testo, JUM &amp; MRU Data'!F429,'Thermo Data'!G428,'Testo, JUM &amp; MRU Data'!Y429,GDF)))</f>
        <v/>
      </c>
      <c r="I435" s="981" t="str">
        <f>IF(H435="","",Conc2(H435,H$9,MolVol,H$21,H$20,I$21,I$20))</f>
        <v/>
      </c>
      <c r="J435" s="981" t="str">
        <f>IF(J$17=FALSE,"",GasData(GasAnalyser,'Horiba Data'!AM428,'Testo, JUM &amp; MRU Data'!G429,'Thermo Data'!H428,'Testo, JUM &amp; MRU Data'!W429,GDF))</f>
        <v/>
      </c>
      <c r="K435" s="981" t="str">
        <f>IF(J435="","",Conc2(J435,J$9,MolVol,J$21,J$20,K$21,K$20))</f>
        <v/>
      </c>
      <c r="L435" s="981" t="str">
        <f>IF(L$17=FALSE,"",GasData(GasAnalyser,'Horiba Data'!AA428,'Testo, JUM &amp; MRU Data'!H429,'Thermo Data'!I428,'Testo, JUM &amp; MRU Data'!T429,GDF))</f>
        <v/>
      </c>
      <c r="M435" s="981" t="str">
        <f>IF(L435="","",Conc2(L435,L$9,MolVol,L$21,L$20,M$21,M$20))</f>
        <v/>
      </c>
      <c r="N435" s="981" t="str">
        <f>IF(N$17=FALSE,"",GasData(GasAnalyser,'Horiba Data'!AE428,'Testo, JUM &amp; MRU Data'!I429,'Thermo Data'!J428,'Testo, JUM &amp; MRU Data'!S429,GDF))</f>
        <v/>
      </c>
      <c r="O435" s="981" t="str">
        <f>IF(N435="","",Conc2(N435,N$9,MolVol,N$21,N$20,O$21,O$20))</f>
        <v/>
      </c>
      <c r="P435" s="981" t="str">
        <f>IF(P$17=FALSE,"",GasData(GasAnalyser,'Horiba Data'!AI428,'Testo, JUM &amp; MRU Data'!J429,'Thermo Data'!K428,'Testo, JUM &amp; MRU Data'!R429,GDF))</f>
        <v/>
      </c>
      <c r="Q435" s="981" t="str">
        <f>IF(P435="","",Conc2(P435,P$9,MolVol,P$21,P$20,Q$21,Q$20))</f>
        <v/>
      </c>
      <c r="R435" s="981" t="str">
        <f>IF(R$17=FALSE,"",JUMData('Testo, JUM &amp; MRU Data'!M429,$R$7))</f>
        <v/>
      </c>
      <c r="S435" s="982" t="str">
        <f>IF(R435="","",Conc2(R435,R$9,MolVol,R$21,R$20,S$21,S$20)/(1-Bws))</f>
        <v/>
      </c>
      <c r="T435" s="740"/>
      <c r="AR435" s="335"/>
      <c r="AS435" s="335"/>
      <c r="AT435" s="153"/>
      <c r="AU435" s="153"/>
      <c r="AV435" s="153"/>
      <c r="AW435" s="153"/>
      <c r="AX435" s="153"/>
      <c r="AY435" s="153"/>
      <c r="AZ435" s="153"/>
      <c r="BA435" s="153"/>
      <c r="BB435" s="153"/>
      <c r="BC435" s="153"/>
      <c r="BD435" s="153"/>
      <c r="BE435" s="153"/>
      <c r="BF435" s="153"/>
      <c r="BG435" s="153"/>
      <c r="BH435" s="153"/>
      <c r="BI435" s="153"/>
      <c r="BJ435" s="153"/>
      <c r="BK435" s="153"/>
      <c r="BL435" s="153"/>
      <c r="BM435" s="153"/>
      <c r="BN435" s="153"/>
      <c r="BO435" s="153"/>
      <c r="BP435" s="153"/>
      <c r="BQ435" s="153"/>
      <c r="BR435" s="153"/>
      <c r="BS435" s="153"/>
      <c r="BT435" s="153"/>
      <c r="BU435" s="153"/>
      <c r="BV435" s="153"/>
      <c r="BW435" s="153"/>
      <c r="BX435" s="153"/>
      <c r="BY435" s="153"/>
      <c r="BZ435" s="153"/>
      <c r="CA435" s="153"/>
      <c r="CB435" s="153"/>
      <c r="CC435" s="153"/>
      <c r="CD435" s="153"/>
      <c r="CE435" s="153"/>
      <c r="CF435" s="153"/>
      <c r="CG435" s="153"/>
      <c r="CH435" s="153"/>
      <c r="CI435" s="153"/>
      <c r="CJ435" s="153"/>
      <c r="CK435" s="153"/>
      <c r="CL435" s="153"/>
      <c r="CM435" s="153"/>
      <c r="CN435" s="153"/>
      <c r="CO435" s="153"/>
      <c r="CP435" s="153"/>
      <c r="CQ435" s="153"/>
      <c r="CR435" s="153"/>
      <c r="CS435" s="153"/>
      <c r="CT435" s="153"/>
      <c r="CU435" s="153"/>
      <c r="CV435" s="153"/>
      <c r="CW435" s="153"/>
      <c r="CX435" s="153"/>
      <c r="CY435" s="153"/>
      <c r="CZ435" s="153"/>
      <c r="DA435" s="153"/>
      <c r="DB435" s="153"/>
      <c r="DC435" s="153"/>
      <c r="DD435" s="153"/>
      <c r="DE435" s="153"/>
      <c r="DF435" s="153"/>
      <c r="DG435" s="153"/>
      <c r="DH435" s="153"/>
      <c r="DI435" s="153"/>
      <c r="DJ435" s="153"/>
      <c r="DK435" s="153"/>
      <c r="DL435" s="153"/>
      <c r="DM435" s="153"/>
      <c r="DN435" s="153"/>
      <c r="DO435" s="153"/>
      <c r="DP435" s="153"/>
      <c r="DQ435" s="153"/>
      <c r="DR435" s="153"/>
      <c r="DS435" s="153"/>
      <c r="DT435" s="153"/>
      <c r="DU435" s="153"/>
      <c r="DV435" s="153"/>
      <c r="DW435" s="153"/>
      <c r="DX435" s="153"/>
      <c r="DY435" s="153"/>
      <c r="DZ435" s="153"/>
      <c r="EA435" s="153"/>
      <c r="EB435" s="153"/>
      <c r="EC435" s="153"/>
      <c r="ED435" s="153"/>
      <c r="EE435" s="153"/>
      <c r="EF435" s="153"/>
      <c r="EG435" s="153"/>
      <c r="EH435" s="153"/>
      <c r="EI435" s="153"/>
      <c r="EJ435" s="153"/>
      <c r="EK435" s="153"/>
      <c r="EL435" s="153"/>
      <c r="EM435" s="153"/>
    </row>
    <row r="436" spans="1:143" s="107" customFormat="1" ht="10.5" hidden="1" customHeight="1" outlineLevel="2">
      <c r="A436" s="1548">
        <v>411</v>
      </c>
      <c r="B436" s="1560" t="str">
        <f t="shared" si="8"/>
        <v/>
      </c>
      <c r="C436" s="161" t="str">
        <f>GasTime(GasAnalyser,'Horiba Data'!F429,'Horiba Data'!G429,'Testo, JUM &amp; MRU Data'!A430,'Thermo Data'!B429,HourOffset)</f>
        <v/>
      </c>
      <c r="D436" s="981" t="str">
        <f>IF(D$17=FALSE,"",GasData(GasAnalyser,'Horiba Data'!S429,'Testo, JUM &amp; MRU Data'!D430,'Thermo Data'!E429,'Testo, JUM &amp; MRU Data'!U430,GDF))</f>
        <v/>
      </c>
      <c r="E436" s="981" t="str">
        <f>IF(D436="","",Conc2(D436,D$9,MolVol,D$21,D$20,E$21,E$20))</f>
        <v/>
      </c>
      <c r="F436" s="981" t="str">
        <f>IF(F$17=FALSE,"",GasData(GasAnalyser,'Horiba Data'!AQ429,'Testo, JUM &amp; MRU Data'!E430,'Thermo Data'!F429,'Testo, JUM &amp; MRU Data'!V430,GDF))</f>
        <v/>
      </c>
      <c r="G436" s="981" t="str">
        <f>IF(F436="","",Conc2(F436,F$9,MolVol,F$21,F$20,G$21,G$20))</f>
        <v/>
      </c>
      <c r="H436" s="981" t="str">
        <f>IF(D$17=FALSE,"",IF(F$17=FALSE,"",GasData(GasAnalyser,'Horiba Data'!W429,'Testo, JUM &amp; MRU Data'!F430,'Thermo Data'!G429,'Testo, JUM &amp; MRU Data'!Y430,GDF)))</f>
        <v/>
      </c>
      <c r="I436" s="981" t="str">
        <f>IF(H436="","",Conc2(H436,H$9,MolVol,H$21,H$20,I$21,I$20))</f>
        <v/>
      </c>
      <c r="J436" s="981" t="str">
        <f>IF(J$17=FALSE,"",GasData(GasAnalyser,'Horiba Data'!AM429,'Testo, JUM &amp; MRU Data'!G430,'Thermo Data'!H429,'Testo, JUM &amp; MRU Data'!W430,GDF))</f>
        <v/>
      </c>
      <c r="K436" s="981" t="str">
        <f>IF(J436="","",Conc2(J436,J$9,MolVol,J$21,J$20,K$21,K$20))</f>
        <v/>
      </c>
      <c r="L436" s="981" t="str">
        <f>IF(L$17=FALSE,"",GasData(GasAnalyser,'Horiba Data'!AA429,'Testo, JUM &amp; MRU Data'!H430,'Thermo Data'!I429,'Testo, JUM &amp; MRU Data'!T430,GDF))</f>
        <v/>
      </c>
      <c r="M436" s="981" t="str">
        <f>IF(L436="","",Conc2(L436,L$9,MolVol,L$21,L$20,M$21,M$20))</f>
        <v/>
      </c>
      <c r="N436" s="981" t="str">
        <f>IF(N$17=FALSE,"",GasData(GasAnalyser,'Horiba Data'!AE429,'Testo, JUM &amp; MRU Data'!I430,'Thermo Data'!J429,'Testo, JUM &amp; MRU Data'!S430,GDF))</f>
        <v/>
      </c>
      <c r="O436" s="981" t="str">
        <f>IF(N436="","",Conc2(N436,N$9,MolVol,N$21,N$20,O$21,O$20))</f>
        <v/>
      </c>
      <c r="P436" s="981" t="str">
        <f>IF(P$17=FALSE,"",GasData(GasAnalyser,'Horiba Data'!AI429,'Testo, JUM &amp; MRU Data'!J430,'Thermo Data'!K429,'Testo, JUM &amp; MRU Data'!R430,GDF))</f>
        <v/>
      </c>
      <c r="Q436" s="981" t="str">
        <f>IF(P436="","",Conc2(P436,P$9,MolVol,P$21,P$20,Q$21,Q$20))</f>
        <v/>
      </c>
      <c r="R436" s="981" t="str">
        <f>IF(R$17=FALSE,"",JUMData('Testo, JUM &amp; MRU Data'!M430,$R$7))</f>
        <v/>
      </c>
      <c r="S436" s="982" t="str">
        <f>IF(R436="","",Conc2(R436,R$9,MolVol,R$21,R$20,S$21,S$20)/(1-Bws))</f>
        <v/>
      </c>
      <c r="T436" s="740"/>
      <c r="AR436" s="335"/>
      <c r="AS436" s="335"/>
      <c r="AT436" s="153"/>
      <c r="AU436" s="153"/>
      <c r="AV436" s="153"/>
      <c r="AW436" s="153"/>
      <c r="AX436" s="153"/>
      <c r="AY436" s="153"/>
      <c r="AZ436" s="153"/>
      <c r="BA436" s="153"/>
      <c r="BB436" s="153"/>
      <c r="BC436" s="153"/>
      <c r="BD436" s="153"/>
      <c r="BE436" s="153"/>
      <c r="BF436" s="153"/>
      <c r="BG436" s="153"/>
      <c r="BH436" s="153"/>
      <c r="BI436" s="153"/>
      <c r="BJ436" s="153"/>
      <c r="BK436" s="153"/>
      <c r="BL436" s="153"/>
      <c r="BM436" s="153"/>
      <c r="BN436" s="153"/>
      <c r="BO436" s="153"/>
      <c r="BP436" s="153"/>
      <c r="BQ436" s="153"/>
      <c r="BR436" s="153"/>
      <c r="BS436" s="153"/>
      <c r="BT436" s="153"/>
      <c r="BU436" s="153"/>
      <c r="BV436" s="153"/>
      <c r="BW436" s="153"/>
      <c r="BX436" s="153"/>
      <c r="BY436" s="153"/>
      <c r="BZ436" s="153"/>
      <c r="CA436" s="153"/>
      <c r="CB436" s="153"/>
      <c r="CC436" s="153"/>
      <c r="CD436" s="153"/>
      <c r="CE436" s="153"/>
      <c r="CF436" s="153"/>
      <c r="CG436" s="153"/>
      <c r="CH436" s="153"/>
      <c r="CI436" s="153"/>
      <c r="CJ436" s="153"/>
      <c r="CK436" s="153"/>
      <c r="CL436" s="153"/>
      <c r="CM436" s="153"/>
      <c r="CN436" s="153"/>
      <c r="CO436" s="153"/>
      <c r="CP436" s="153"/>
      <c r="CQ436" s="153"/>
      <c r="CR436" s="153"/>
      <c r="CS436" s="153"/>
      <c r="CT436" s="153"/>
      <c r="CU436" s="153"/>
      <c r="CV436" s="153"/>
      <c r="CW436" s="153"/>
      <c r="CX436" s="153"/>
      <c r="CY436" s="153"/>
      <c r="CZ436" s="153"/>
      <c r="DA436" s="153"/>
      <c r="DB436" s="153"/>
      <c r="DC436" s="153"/>
      <c r="DD436" s="153"/>
      <c r="DE436" s="153"/>
      <c r="DF436" s="153"/>
      <c r="DG436" s="153"/>
      <c r="DH436" s="153"/>
      <c r="DI436" s="153"/>
      <c r="DJ436" s="153"/>
      <c r="DK436" s="153"/>
      <c r="DL436" s="153"/>
      <c r="DM436" s="153"/>
      <c r="DN436" s="153"/>
      <c r="DO436" s="153"/>
      <c r="DP436" s="153"/>
      <c r="DQ436" s="153"/>
      <c r="DR436" s="153"/>
      <c r="DS436" s="153"/>
      <c r="DT436" s="153"/>
      <c r="DU436" s="153"/>
      <c r="DV436" s="153"/>
      <c r="DW436" s="153"/>
      <c r="DX436" s="153"/>
      <c r="DY436" s="153"/>
      <c r="DZ436" s="153"/>
      <c r="EA436" s="153"/>
      <c r="EB436" s="153"/>
      <c r="EC436" s="153"/>
      <c r="ED436" s="153"/>
      <c r="EE436" s="153"/>
      <c r="EF436" s="153"/>
      <c r="EG436" s="153"/>
      <c r="EH436" s="153"/>
      <c r="EI436" s="153"/>
      <c r="EJ436" s="153"/>
      <c r="EK436" s="153"/>
      <c r="EL436" s="153"/>
      <c r="EM436" s="153"/>
    </row>
    <row r="437" spans="1:143" s="107" customFormat="1" ht="10.5" hidden="1" customHeight="1" outlineLevel="2">
      <c r="A437" s="1548">
        <v>412</v>
      </c>
      <c r="B437" s="1560" t="str">
        <f t="shared" si="8"/>
        <v/>
      </c>
      <c r="C437" s="161" t="str">
        <f>GasTime(GasAnalyser,'Horiba Data'!F430,'Horiba Data'!G430,'Testo, JUM &amp; MRU Data'!A431,'Thermo Data'!B430,HourOffset)</f>
        <v/>
      </c>
      <c r="D437" s="981" t="str">
        <f>IF(D$17=FALSE,"",GasData(GasAnalyser,'Horiba Data'!S430,'Testo, JUM &amp; MRU Data'!D431,'Thermo Data'!E430,'Testo, JUM &amp; MRU Data'!U431,GDF))</f>
        <v/>
      </c>
      <c r="E437" s="981" t="str">
        <f>IF(D437="","",Conc2(D437,D$9,MolVol,D$21,D$20,E$21,E$20))</f>
        <v/>
      </c>
      <c r="F437" s="981" t="str">
        <f>IF(F$17=FALSE,"",GasData(GasAnalyser,'Horiba Data'!AQ430,'Testo, JUM &amp; MRU Data'!E431,'Thermo Data'!F430,'Testo, JUM &amp; MRU Data'!V431,GDF))</f>
        <v/>
      </c>
      <c r="G437" s="981" t="str">
        <f>IF(F437="","",Conc2(F437,F$9,MolVol,F$21,F$20,G$21,G$20))</f>
        <v/>
      </c>
      <c r="H437" s="981" t="str">
        <f>IF(D$17=FALSE,"",IF(F$17=FALSE,"",GasData(GasAnalyser,'Horiba Data'!W430,'Testo, JUM &amp; MRU Data'!F431,'Thermo Data'!G430,'Testo, JUM &amp; MRU Data'!Y431,GDF)))</f>
        <v/>
      </c>
      <c r="I437" s="981" t="str">
        <f>IF(H437="","",Conc2(H437,H$9,MolVol,H$21,H$20,I$21,I$20))</f>
        <v/>
      </c>
      <c r="J437" s="981" t="str">
        <f>IF(J$17=FALSE,"",GasData(GasAnalyser,'Horiba Data'!AM430,'Testo, JUM &amp; MRU Data'!G431,'Thermo Data'!H430,'Testo, JUM &amp; MRU Data'!W431,GDF))</f>
        <v/>
      </c>
      <c r="K437" s="981" t="str">
        <f>IF(J437="","",Conc2(J437,J$9,MolVol,J$21,J$20,K$21,K$20))</f>
        <v/>
      </c>
      <c r="L437" s="981" t="str">
        <f>IF(L$17=FALSE,"",GasData(GasAnalyser,'Horiba Data'!AA430,'Testo, JUM &amp; MRU Data'!H431,'Thermo Data'!I430,'Testo, JUM &amp; MRU Data'!T431,GDF))</f>
        <v/>
      </c>
      <c r="M437" s="981" t="str">
        <f>IF(L437="","",Conc2(L437,L$9,MolVol,L$21,L$20,M$21,M$20))</f>
        <v/>
      </c>
      <c r="N437" s="981" t="str">
        <f>IF(N$17=FALSE,"",GasData(GasAnalyser,'Horiba Data'!AE430,'Testo, JUM &amp; MRU Data'!I431,'Thermo Data'!J430,'Testo, JUM &amp; MRU Data'!S431,GDF))</f>
        <v/>
      </c>
      <c r="O437" s="981" t="str">
        <f>IF(N437="","",Conc2(N437,N$9,MolVol,N$21,N$20,O$21,O$20))</f>
        <v/>
      </c>
      <c r="P437" s="981" t="str">
        <f>IF(P$17=FALSE,"",GasData(GasAnalyser,'Horiba Data'!AI430,'Testo, JUM &amp; MRU Data'!J431,'Thermo Data'!K430,'Testo, JUM &amp; MRU Data'!R431,GDF))</f>
        <v/>
      </c>
      <c r="Q437" s="981" t="str">
        <f>IF(P437="","",Conc2(P437,P$9,MolVol,P$21,P$20,Q$21,Q$20))</f>
        <v/>
      </c>
      <c r="R437" s="981" t="str">
        <f>IF(R$17=FALSE,"",JUMData('Testo, JUM &amp; MRU Data'!M431,$R$7))</f>
        <v/>
      </c>
      <c r="S437" s="982" t="str">
        <f>IF(R437="","",Conc2(R437,R$9,MolVol,R$21,R$20,S$21,S$20)/(1-Bws))</f>
        <v/>
      </c>
      <c r="T437" s="740"/>
      <c r="AR437" s="335"/>
      <c r="AS437" s="335"/>
      <c r="AT437" s="153"/>
      <c r="AU437" s="153"/>
      <c r="AV437" s="153"/>
      <c r="AW437" s="153"/>
      <c r="AX437" s="153"/>
      <c r="AY437" s="153"/>
      <c r="AZ437" s="153"/>
      <c r="BA437" s="153"/>
      <c r="BB437" s="153"/>
      <c r="BC437" s="153"/>
      <c r="BD437" s="153"/>
      <c r="BE437" s="153"/>
      <c r="BF437" s="153"/>
      <c r="BG437" s="153"/>
      <c r="BH437" s="153"/>
      <c r="BI437" s="153"/>
      <c r="BJ437" s="153"/>
      <c r="BK437" s="153"/>
      <c r="BL437" s="153"/>
      <c r="BM437" s="153"/>
      <c r="BN437" s="153"/>
      <c r="BO437" s="153"/>
      <c r="BP437" s="153"/>
      <c r="BQ437" s="153"/>
      <c r="BR437" s="153"/>
      <c r="BS437" s="153"/>
      <c r="BT437" s="153"/>
      <c r="BU437" s="153"/>
      <c r="BV437" s="153"/>
      <c r="BW437" s="153"/>
      <c r="BX437" s="153"/>
      <c r="BY437" s="153"/>
      <c r="BZ437" s="153"/>
      <c r="CA437" s="153"/>
      <c r="CB437" s="153"/>
      <c r="CC437" s="153"/>
      <c r="CD437" s="153"/>
      <c r="CE437" s="153"/>
      <c r="CF437" s="153"/>
      <c r="CG437" s="153"/>
      <c r="CH437" s="153"/>
      <c r="CI437" s="153"/>
      <c r="CJ437" s="153"/>
      <c r="CK437" s="153"/>
      <c r="CL437" s="153"/>
      <c r="CM437" s="153"/>
      <c r="CN437" s="153"/>
      <c r="CO437" s="153"/>
      <c r="CP437" s="153"/>
      <c r="CQ437" s="153"/>
      <c r="CR437" s="153"/>
      <c r="CS437" s="153"/>
      <c r="CT437" s="153"/>
      <c r="CU437" s="153"/>
      <c r="CV437" s="153"/>
      <c r="CW437" s="153"/>
      <c r="CX437" s="153"/>
      <c r="CY437" s="153"/>
      <c r="CZ437" s="153"/>
      <c r="DA437" s="153"/>
      <c r="DB437" s="153"/>
      <c r="DC437" s="153"/>
      <c r="DD437" s="153"/>
      <c r="DE437" s="153"/>
      <c r="DF437" s="153"/>
      <c r="DG437" s="153"/>
      <c r="DH437" s="153"/>
      <c r="DI437" s="153"/>
      <c r="DJ437" s="153"/>
      <c r="DK437" s="153"/>
      <c r="DL437" s="153"/>
      <c r="DM437" s="153"/>
      <c r="DN437" s="153"/>
      <c r="DO437" s="153"/>
      <c r="DP437" s="153"/>
      <c r="DQ437" s="153"/>
      <c r="DR437" s="153"/>
      <c r="DS437" s="153"/>
      <c r="DT437" s="153"/>
      <c r="DU437" s="153"/>
      <c r="DV437" s="153"/>
      <c r="DW437" s="153"/>
      <c r="DX437" s="153"/>
      <c r="DY437" s="153"/>
      <c r="DZ437" s="153"/>
      <c r="EA437" s="153"/>
      <c r="EB437" s="153"/>
      <c r="EC437" s="153"/>
      <c r="ED437" s="153"/>
      <c r="EE437" s="153"/>
      <c r="EF437" s="153"/>
      <c r="EG437" s="153"/>
      <c r="EH437" s="153"/>
      <c r="EI437" s="153"/>
      <c r="EJ437" s="153"/>
      <c r="EK437" s="153"/>
      <c r="EL437" s="153"/>
      <c r="EM437" s="153"/>
    </row>
    <row r="438" spans="1:143" s="107" customFormat="1" ht="10.5" hidden="1" customHeight="1" outlineLevel="2">
      <c r="A438" s="1548">
        <v>413</v>
      </c>
      <c r="B438" s="1560" t="str">
        <f t="shared" si="8"/>
        <v/>
      </c>
      <c r="C438" s="161" t="str">
        <f>GasTime(GasAnalyser,'Horiba Data'!F431,'Horiba Data'!G431,'Testo, JUM &amp; MRU Data'!A432,'Thermo Data'!B431,HourOffset)</f>
        <v/>
      </c>
      <c r="D438" s="981" t="str">
        <f>IF(D$17=FALSE,"",GasData(GasAnalyser,'Horiba Data'!S431,'Testo, JUM &amp; MRU Data'!D432,'Thermo Data'!E431,'Testo, JUM &amp; MRU Data'!U432,GDF))</f>
        <v/>
      </c>
      <c r="E438" s="981" t="str">
        <f>IF(D438="","",Conc2(D438,D$9,MolVol,D$21,D$20,E$21,E$20))</f>
        <v/>
      </c>
      <c r="F438" s="981" t="str">
        <f>IF(F$17=FALSE,"",GasData(GasAnalyser,'Horiba Data'!AQ431,'Testo, JUM &amp; MRU Data'!E432,'Thermo Data'!F431,'Testo, JUM &amp; MRU Data'!V432,GDF))</f>
        <v/>
      </c>
      <c r="G438" s="981" t="str">
        <f>IF(F438="","",Conc2(F438,F$9,MolVol,F$21,F$20,G$21,G$20))</f>
        <v/>
      </c>
      <c r="H438" s="981" t="str">
        <f>IF(D$17=FALSE,"",IF(F$17=FALSE,"",GasData(GasAnalyser,'Horiba Data'!W431,'Testo, JUM &amp; MRU Data'!F432,'Thermo Data'!G431,'Testo, JUM &amp; MRU Data'!Y432,GDF)))</f>
        <v/>
      </c>
      <c r="I438" s="981" t="str">
        <f>IF(H438="","",Conc2(H438,H$9,MolVol,H$21,H$20,I$21,I$20))</f>
        <v/>
      </c>
      <c r="J438" s="981" t="str">
        <f>IF(J$17=FALSE,"",GasData(GasAnalyser,'Horiba Data'!AM431,'Testo, JUM &amp; MRU Data'!G432,'Thermo Data'!H431,'Testo, JUM &amp; MRU Data'!W432,GDF))</f>
        <v/>
      </c>
      <c r="K438" s="981" t="str">
        <f>IF(J438="","",Conc2(J438,J$9,MolVol,J$21,J$20,K$21,K$20))</f>
        <v/>
      </c>
      <c r="L438" s="981" t="str">
        <f>IF(L$17=FALSE,"",GasData(GasAnalyser,'Horiba Data'!AA431,'Testo, JUM &amp; MRU Data'!H432,'Thermo Data'!I431,'Testo, JUM &amp; MRU Data'!T432,GDF))</f>
        <v/>
      </c>
      <c r="M438" s="981" t="str">
        <f>IF(L438="","",Conc2(L438,L$9,MolVol,L$21,L$20,M$21,M$20))</f>
        <v/>
      </c>
      <c r="N438" s="981" t="str">
        <f>IF(N$17=FALSE,"",GasData(GasAnalyser,'Horiba Data'!AE431,'Testo, JUM &amp; MRU Data'!I432,'Thermo Data'!J431,'Testo, JUM &amp; MRU Data'!S432,GDF))</f>
        <v/>
      </c>
      <c r="O438" s="981" t="str">
        <f>IF(N438="","",Conc2(N438,N$9,MolVol,N$21,N$20,O$21,O$20))</f>
        <v/>
      </c>
      <c r="P438" s="981" t="str">
        <f>IF(P$17=FALSE,"",GasData(GasAnalyser,'Horiba Data'!AI431,'Testo, JUM &amp; MRU Data'!J432,'Thermo Data'!K431,'Testo, JUM &amp; MRU Data'!R432,GDF))</f>
        <v/>
      </c>
      <c r="Q438" s="981" t="str">
        <f>IF(P438="","",Conc2(P438,P$9,MolVol,P$21,P$20,Q$21,Q$20))</f>
        <v/>
      </c>
      <c r="R438" s="981" t="str">
        <f>IF(R$17=FALSE,"",JUMData('Testo, JUM &amp; MRU Data'!M432,$R$7))</f>
        <v/>
      </c>
      <c r="S438" s="982" t="str">
        <f>IF(R438="","",Conc2(R438,R$9,MolVol,R$21,R$20,S$21,S$20)/(1-Bws))</f>
        <v/>
      </c>
      <c r="T438" s="740"/>
      <c r="AR438" s="335"/>
      <c r="AS438" s="335"/>
      <c r="AT438" s="153"/>
      <c r="AU438" s="153"/>
      <c r="AV438" s="153"/>
      <c r="AW438" s="153"/>
      <c r="AX438" s="153"/>
      <c r="AY438" s="153"/>
      <c r="AZ438" s="153"/>
      <c r="BA438" s="153"/>
      <c r="BB438" s="153"/>
      <c r="BC438" s="153"/>
      <c r="BD438" s="153"/>
      <c r="BE438" s="153"/>
      <c r="BF438" s="153"/>
      <c r="BG438" s="153"/>
      <c r="BH438" s="153"/>
      <c r="BI438" s="153"/>
      <c r="BJ438" s="153"/>
      <c r="BK438" s="153"/>
      <c r="BL438" s="153"/>
      <c r="BM438" s="153"/>
      <c r="BN438" s="153"/>
      <c r="BO438" s="153"/>
      <c r="BP438" s="153"/>
      <c r="BQ438" s="153"/>
      <c r="BR438" s="153"/>
      <c r="BS438" s="153"/>
      <c r="BT438" s="153"/>
      <c r="BU438" s="153"/>
      <c r="BV438" s="153"/>
      <c r="BW438" s="153"/>
      <c r="BX438" s="153"/>
      <c r="BY438" s="153"/>
      <c r="BZ438" s="153"/>
      <c r="CA438" s="153"/>
      <c r="CB438" s="153"/>
      <c r="CC438" s="153"/>
      <c r="CD438" s="153"/>
      <c r="CE438" s="153"/>
      <c r="CF438" s="153"/>
      <c r="CG438" s="153"/>
      <c r="CH438" s="153"/>
      <c r="CI438" s="153"/>
      <c r="CJ438" s="153"/>
      <c r="CK438" s="153"/>
      <c r="CL438" s="153"/>
      <c r="CM438" s="153"/>
      <c r="CN438" s="153"/>
      <c r="CO438" s="153"/>
      <c r="CP438" s="153"/>
      <c r="CQ438" s="153"/>
      <c r="CR438" s="153"/>
      <c r="CS438" s="153"/>
      <c r="CT438" s="153"/>
      <c r="CU438" s="153"/>
      <c r="CV438" s="153"/>
      <c r="CW438" s="153"/>
      <c r="CX438" s="153"/>
      <c r="CY438" s="153"/>
      <c r="CZ438" s="153"/>
      <c r="DA438" s="153"/>
      <c r="DB438" s="153"/>
      <c r="DC438" s="153"/>
      <c r="DD438" s="153"/>
      <c r="DE438" s="153"/>
      <c r="DF438" s="153"/>
      <c r="DG438" s="153"/>
      <c r="DH438" s="153"/>
      <c r="DI438" s="153"/>
      <c r="DJ438" s="153"/>
      <c r="DK438" s="153"/>
      <c r="DL438" s="153"/>
      <c r="DM438" s="153"/>
      <c r="DN438" s="153"/>
      <c r="DO438" s="153"/>
      <c r="DP438" s="153"/>
      <c r="DQ438" s="153"/>
      <c r="DR438" s="153"/>
      <c r="DS438" s="153"/>
      <c r="DT438" s="153"/>
      <c r="DU438" s="153"/>
      <c r="DV438" s="153"/>
      <c r="DW438" s="153"/>
      <c r="DX438" s="153"/>
      <c r="DY438" s="153"/>
      <c r="DZ438" s="153"/>
      <c r="EA438" s="153"/>
      <c r="EB438" s="153"/>
      <c r="EC438" s="153"/>
      <c r="ED438" s="153"/>
      <c r="EE438" s="153"/>
      <c r="EF438" s="153"/>
      <c r="EG438" s="153"/>
      <c r="EH438" s="153"/>
      <c r="EI438" s="153"/>
      <c r="EJ438" s="153"/>
      <c r="EK438" s="153"/>
      <c r="EL438" s="153"/>
      <c r="EM438" s="153"/>
    </row>
    <row r="439" spans="1:143" s="107" customFormat="1" ht="10.5" hidden="1" customHeight="1" outlineLevel="2">
      <c r="A439" s="1548">
        <v>414</v>
      </c>
      <c r="B439" s="1560" t="str">
        <f t="shared" si="8"/>
        <v/>
      </c>
      <c r="C439" s="161" t="str">
        <f>GasTime(GasAnalyser,'Horiba Data'!F432,'Horiba Data'!G432,'Testo, JUM &amp; MRU Data'!A433,'Thermo Data'!B432,HourOffset)</f>
        <v/>
      </c>
      <c r="D439" s="981" t="str">
        <f>IF(D$17=FALSE,"",GasData(GasAnalyser,'Horiba Data'!S432,'Testo, JUM &amp; MRU Data'!D433,'Thermo Data'!E432,'Testo, JUM &amp; MRU Data'!U433,GDF))</f>
        <v/>
      </c>
      <c r="E439" s="981" t="str">
        <f>IF(D439="","",Conc2(D439,D$9,MolVol,D$21,D$20,E$21,E$20))</f>
        <v/>
      </c>
      <c r="F439" s="981" t="str">
        <f>IF(F$17=FALSE,"",GasData(GasAnalyser,'Horiba Data'!AQ432,'Testo, JUM &amp; MRU Data'!E433,'Thermo Data'!F432,'Testo, JUM &amp; MRU Data'!V433,GDF))</f>
        <v/>
      </c>
      <c r="G439" s="981" t="str">
        <f>IF(F439="","",Conc2(F439,F$9,MolVol,F$21,F$20,G$21,G$20))</f>
        <v/>
      </c>
      <c r="H439" s="981" t="str">
        <f>IF(D$17=FALSE,"",IF(F$17=FALSE,"",GasData(GasAnalyser,'Horiba Data'!W432,'Testo, JUM &amp; MRU Data'!F433,'Thermo Data'!G432,'Testo, JUM &amp; MRU Data'!Y433,GDF)))</f>
        <v/>
      </c>
      <c r="I439" s="981" t="str">
        <f>IF(H439="","",Conc2(H439,H$9,MolVol,H$21,H$20,I$21,I$20))</f>
        <v/>
      </c>
      <c r="J439" s="981" t="str">
        <f>IF(J$17=FALSE,"",GasData(GasAnalyser,'Horiba Data'!AM432,'Testo, JUM &amp; MRU Data'!G433,'Thermo Data'!H432,'Testo, JUM &amp; MRU Data'!W433,GDF))</f>
        <v/>
      </c>
      <c r="K439" s="981" t="str">
        <f>IF(J439="","",Conc2(J439,J$9,MolVol,J$21,J$20,K$21,K$20))</f>
        <v/>
      </c>
      <c r="L439" s="981" t="str">
        <f>IF(L$17=FALSE,"",GasData(GasAnalyser,'Horiba Data'!AA432,'Testo, JUM &amp; MRU Data'!H433,'Thermo Data'!I432,'Testo, JUM &amp; MRU Data'!T433,GDF))</f>
        <v/>
      </c>
      <c r="M439" s="981" t="str">
        <f>IF(L439="","",Conc2(L439,L$9,MolVol,L$21,L$20,M$21,M$20))</f>
        <v/>
      </c>
      <c r="N439" s="981" t="str">
        <f>IF(N$17=FALSE,"",GasData(GasAnalyser,'Horiba Data'!AE432,'Testo, JUM &amp; MRU Data'!I433,'Thermo Data'!J432,'Testo, JUM &amp; MRU Data'!S433,GDF))</f>
        <v/>
      </c>
      <c r="O439" s="981" t="str">
        <f>IF(N439="","",Conc2(N439,N$9,MolVol,N$21,N$20,O$21,O$20))</f>
        <v/>
      </c>
      <c r="P439" s="981" t="str">
        <f>IF(P$17=FALSE,"",GasData(GasAnalyser,'Horiba Data'!AI432,'Testo, JUM &amp; MRU Data'!J433,'Thermo Data'!K432,'Testo, JUM &amp; MRU Data'!R433,GDF))</f>
        <v/>
      </c>
      <c r="Q439" s="981" t="str">
        <f>IF(P439="","",Conc2(P439,P$9,MolVol,P$21,P$20,Q$21,Q$20))</f>
        <v/>
      </c>
      <c r="R439" s="981" t="str">
        <f>IF(R$17=FALSE,"",JUMData('Testo, JUM &amp; MRU Data'!M433,$R$7))</f>
        <v/>
      </c>
      <c r="S439" s="982" t="str">
        <f>IF(R439="","",Conc2(R439,R$9,MolVol,R$21,R$20,S$21,S$20)/(1-Bws))</f>
        <v/>
      </c>
      <c r="T439" s="740"/>
      <c r="AR439" s="335"/>
      <c r="AS439" s="335"/>
      <c r="AT439" s="153"/>
      <c r="AU439" s="153"/>
      <c r="AV439" s="153"/>
      <c r="AW439" s="153"/>
      <c r="AX439" s="153"/>
      <c r="AY439" s="153"/>
      <c r="AZ439" s="153"/>
      <c r="BA439" s="153"/>
      <c r="BB439" s="153"/>
      <c r="BC439" s="153"/>
      <c r="BD439" s="153"/>
      <c r="BE439" s="153"/>
      <c r="BF439" s="153"/>
      <c r="BG439" s="153"/>
      <c r="BH439" s="153"/>
      <c r="BI439" s="153"/>
      <c r="BJ439" s="153"/>
      <c r="BK439" s="153"/>
      <c r="BL439" s="153"/>
      <c r="BM439" s="153"/>
      <c r="BN439" s="153"/>
      <c r="BO439" s="153"/>
      <c r="BP439" s="153"/>
      <c r="BQ439" s="153"/>
      <c r="BR439" s="153"/>
      <c r="BS439" s="153"/>
      <c r="BT439" s="153"/>
      <c r="BU439" s="153"/>
      <c r="BV439" s="153"/>
      <c r="BW439" s="153"/>
      <c r="BX439" s="153"/>
      <c r="BY439" s="153"/>
      <c r="BZ439" s="153"/>
      <c r="CA439" s="153"/>
      <c r="CB439" s="153"/>
      <c r="CC439" s="153"/>
      <c r="CD439" s="153"/>
      <c r="CE439" s="153"/>
      <c r="CF439" s="153"/>
      <c r="CG439" s="153"/>
      <c r="CH439" s="153"/>
      <c r="CI439" s="153"/>
      <c r="CJ439" s="153"/>
      <c r="CK439" s="153"/>
      <c r="CL439" s="153"/>
      <c r="CM439" s="153"/>
      <c r="CN439" s="153"/>
      <c r="CO439" s="153"/>
      <c r="CP439" s="153"/>
      <c r="CQ439" s="153"/>
      <c r="CR439" s="153"/>
      <c r="CS439" s="153"/>
      <c r="CT439" s="153"/>
      <c r="CU439" s="153"/>
      <c r="CV439" s="153"/>
      <c r="CW439" s="153"/>
      <c r="CX439" s="153"/>
      <c r="CY439" s="153"/>
      <c r="CZ439" s="153"/>
      <c r="DA439" s="153"/>
      <c r="DB439" s="153"/>
      <c r="DC439" s="153"/>
      <c r="DD439" s="153"/>
      <c r="DE439" s="153"/>
      <c r="DF439" s="153"/>
      <c r="DG439" s="153"/>
      <c r="DH439" s="153"/>
      <c r="DI439" s="153"/>
      <c r="DJ439" s="153"/>
      <c r="DK439" s="153"/>
      <c r="DL439" s="153"/>
      <c r="DM439" s="153"/>
      <c r="DN439" s="153"/>
      <c r="DO439" s="153"/>
      <c r="DP439" s="153"/>
      <c r="DQ439" s="153"/>
      <c r="DR439" s="153"/>
      <c r="DS439" s="153"/>
      <c r="DT439" s="153"/>
      <c r="DU439" s="153"/>
      <c r="DV439" s="153"/>
      <c r="DW439" s="153"/>
      <c r="DX439" s="153"/>
      <c r="DY439" s="153"/>
      <c r="DZ439" s="153"/>
      <c r="EA439" s="153"/>
      <c r="EB439" s="153"/>
      <c r="EC439" s="153"/>
      <c r="ED439" s="153"/>
      <c r="EE439" s="153"/>
      <c r="EF439" s="153"/>
      <c r="EG439" s="153"/>
      <c r="EH439" s="153"/>
      <c r="EI439" s="153"/>
      <c r="EJ439" s="153"/>
      <c r="EK439" s="153"/>
      <c r="EL439" s="153"/>
      <c r="EM439" s="153"/>
    </row>
    <row r="440" spans="1:143" s="107" customFormat="1" ht="10.5" hidden="1" customHeight="1" outlineLevel="2">
      <c r="A440" s="1548">
        <v>415</v>
      </c>
      <c r="B440" s="1560" t="str">
        <f t="shared" si="8"/>
        <v/>
      </c>
      <c r="C440" s="161" t="str">
        <f>GasTime(GasAnalyser,'Horiba Data'!F433,'Horiba Data'!G433,'Testo, JUM &amp; MRU Data'!A434,'Thermo Data'!B433,HourOffset)</f>
        <v/>
      </c>
      <c r="D440" s="981" t="str">
        <f>IF(D$17=FALSE,"",GasData(GasAnalyser,'Horiba Data'!S433,'Testo, JUM &amp; MRU Data'!D434,'Thermo Data'!E433,'Testo, JUM &amp; MRU Data'!U434,GDF))</f>
        <v/>
      </c>
      <c r="E440" s="981" t="str">
        <f>IF(D440="","",Conc2(D440,D$9,MolVol,D$21,D$20,E$21,E$20))</f>
        <v/>
      </c>
      <c r="F440" s="981" t="str">
        <f>IF(F$17=FALSE,"",GasData(GasAnalyser,'Horiba Data'!AQ433,'Testo, JUM &amp; MRU Data'!E434,'Thermo Data'!F433,'Testo, JUM &amp; MRU Data'!V434,GDF))</f>
        <v/>
      </c>
      <c r="G440" s="981" t="str">
        <f>IF(F440="","",Conc2(F440,F$9,MolVol,F$21,F$20,G$21,G$20))</f>
        <v/>
      </c>
      <c r="H440" s="981" t="str">
        <f>IF(D$17=FALSE,"",IF(F$17=FALSE,"",GasData(GasAnalyser,'Horiba Data'!W433,'Testo, JUM &amp; MRU Data'!F434,'Thermo Data'!G433,'Testo, JUM &amp; MRU Data'!Y434,GDF)))</f>
        <v/>
      </c>
      <c r="I440" s="981" t="str">
        <f>IF(H440="","",Conc2(H440,H$9,MolVol,H$21,H$20,I$21,I$20))</f>
        <v/>
      </c>
      <c r="J440" s="981" t="str">
        <f>IF(J$17=FALSE,"",GasData(GasAnalyser,'Horiba Data'!AM433,'Testo, JUM &amp; MRU Data'!G434,'Thermo Data'!H433,'Testo, JUM &amp; MRU Data'!W434,GDF))</f>
        <v/>
      </c>
      <c r="K440" s="981" t="str">
        <f>IF(J440="","",Conc2(J440,J$9,MolVol,J$21,J$20,K$21,K$20))</f>
        <v/>
      </c>
      <c r="L440" s="981" t="str">
        <f>IF(L$17=FALSE,"",GasData(GasAnalyser,'Horiba Data'!AA433,'Testo, JUM &amp; MRU Data'!H434,'Thermo Data'!I433,'Testo, JUM &amp; MRU Data'!T434,GDF))</f>
        <v/>
      </c>
      <c r="M440" s="981" t="str">
        <f>IF(L440="","",Conc2(L440,L$9,MolVol,L$21,L$20,M$21,M$20))</f>
        <v/>
      </c>
      <c r="N440" s="981" t="str">
        <f>IF(N$17=FALSE,"",GasData(GasAnalyser,'Horiba Data'!AE433,'Testo, JUM &amp; MRU Data'!I434,'Thermo Data'!J433,'Testo, JUM &amp; MRU Data'!S434,GDF))</f>
        <v/>
      </c>
      <c r="O440" s="981" t="str">
        <f>IF(N440="","",Conc2(N440,N$9,MolVol,N$21,N$20,O$21,O$20))</f>
        <v/>
      </c>
      <c r="P440" s="981" t="str">
        <f>IF(P$17=FALSE,"",GasData(GasAnalyser,'Horiba Data'!AI433,'Testo, JUM &amp; MRU Data'!J434,'Thermo Data'!K433,'Testo, JUM &amp; MRU Data'!R434,GDF))</f>
        <v/>
      </c>
      <c r="Q440" s="981" t="str">
        <f>IF(P440="","",Conc2(P440,P$9,MolVol,P$21,P$20,Q$21,Q$20))</f>
        <v/>
      </c>
      <c r="R440" s="981" t="str">
        <f>IF(R$17=FALSE,"",JUMData('Testo, JUM &amp; MRU Data'!M434,$R$7))</f>
        <v/>
      </c>
      <c r="S440" s="982" t="str">
        <f>IF(R440="","",Conc2(R440,R$9,MolVol,R$21,R$20,S$21,S$20)/(1-Bws))</f>
        <v/>
      </c>
      <c r="T440" s="740"/>
      <c r="AR440" s="335"/>
      <c r="AS440" s="335"/>
      <c r="AT440" s="153"/>
      <c r="AU440" s="153"/>
      <c r="AV440" s="153"/>
      <c r="AW440" s="153"/>
      <c r="AX440" s="153"/>
      <c r="AY440" s="153"/>
      <c r="AZ440" s="153"/>
      <c r="BA440" s="153"/>
      <c r="BB440" s="153"/>
      <c r="BC440" s="153"/>
      <c r="BD440" s="153"/>
      <c r="BE440" s="153"/>
      <c r="BF440" s="153"/>
      <c r="BG440" s="153"/>
      <c r="BH440" s="153"/>
      <c r="BI440" s="153"/>
      <c r="BJ440" s="153"/>
      <c r="BK440" s="153"/>
      <c r="BL440" s="153"/>
      <c r="BM440" s="153"/>
      <c r="BN440" s="153"/>
      <c r="BO440" s="153"/>
      <c r="BP440" s="153"/>
      <c r="BQ440" s="153"/>
      <c r="BR440" s="153"/>
      <c r="BS440" s="153"/>
      <c r="BT440" s="153"/>
      <c r="BU440" s="153"/>
      <c r="BV440" s="153"/>
      <c r="BW440" s="153"/>
      <c r="BX440" s="153"/>
      <c r="BY440" s="153"/>
      <c r="BZ440" s="153"/>
      <c r="CA440" s="153"/>
      <c r="CB440" s="153"/>
      <c r="CC440" s="153"/>
      <c r="CD440" s="153"/>
      <c r="CE440" s="153"/>
      <c r="CF440" s="153"/>
      <c r="CG440" s="153"/>
      <c r="CH440" s="153"/>
      <c r="CI440" s="153"/>
      <c r="CJ440" s="153"/>
      <c r="CK440" s="153"/>
      <c r="CL440" s="153"/>
      <c r="CM440" s="153"/>
      <c r="CN440" s="153"/>
      <c r="CO440" s="153"/>
      <c r="CP440" s="153"/>
      <c r="CQ440" s="153"/>
      <c r="CR440" s="153"/>
      <c r="CS440" s="153"/>
      <c r="CT440" s="153"/>
      <c r="CU440" s="153"/>
      <c r="CV440" s="153"/>
      <c r="CW440" s="153"/>
      <c r="CX440" s="153"/>
      <c r="CY440" s="153"/>
      <c r="CZ440" s="153"/>
      <c r="DA440" s="153"/>
      <c r="DB440" s="153"/>
      <c r="DC440" s="153"/>
      <c r="DD440" s="153"/>
      <c r="DE440" s="153"/>
      <c r="DF440" s="153"/>
      <c r="DG440" s="153"/>
      <c r="DH440" s="153"/>
      <c r="DI440" s="153"/>
      <c r="DJ440" s="153"/>
      <c r="DK440" s="153"/>
      <c r="DL440" s="153"/>
      <c r="DM440" s="153"/>
      <c r="DN440" s="153"/>
      <c r="DO440" s="153"/>
      <c r="DP440" s="153"/>
      <c r="DQ440" s="153"/>
      <c r="DR440" s="153"/>
      <c r="DS440" s="153"/>
      <c r="DT440" s="153"/>
      <c r="DU440" s="153"/>
      <c r="DV440" s="153"/>
      <c r="DW440" s="153"/>
      <c r="DX440" s="153"/>
      <c r="DY440" s="153"/>
      <c r="DZ440" s="153"/>
      <c r="EA440" s="153"/>
      <c r="EB440" s="153"/>
      <c r="EC440" s="153"/>
      <c r="ED440" s="153"/>
      <c r="EE440" s="153"/>
      <c r="EF440" s="153"/>
      <c r="EG440" s="153"/>
      <c r="EH440" s="153"/>
      <c r="EI440" s="153"/>
      <c r="EJ440" s="153"/>
      <c r="EK440" s="153"/>
      <c r="EL440" s="153"/>
      <c r="EM440" s="153"/>
    </row>
    <row r="441" spans="1:143" s="107" customFormat="1" ht="10.5" hidden="1" customHeight="1" outlineLevel="2">
      <c r="A441" s="1548">
        <v>416</v>
      </c>
      <c r="B441" s="1560" t="str">
        <f t="shared" si="8"/>
        <v/>
      </c>
      <c r="C441" s="161" t="str">
        <f>GasTime(GasAnalyser,'Horiba Data'!F434,'Horiba Data'!G434,'Testo, JUM &amp; MRU Data'!A435,'Thermo Data'!B434,HourOffset)</f>
        <v/>
      </c>
      <c r="D441" s="981" t="str">
        <f>IF(D$17=FALSE,"",GasData(GasAnalyser,'Horiba Data'!S434,'Testo, JUM &amp; MRU Data'!D435,'Thermo Data'!E434,'Testo, JUM &amp; MRU Data'!U435,GDF))</f>
        <v/>
      </c>
      <c r="E441" s="981" t="str">
        <f>IF(D441="","",Conc2(D441,D$9,MolVol,D$21,D$20,E$21,E$20))</f>
        <v/>
      </c>
      <c r="F441" s="981" t="str">
        <f>IF(F$17=FALSE,"",GasData(GasAnalyser,'Horiba Data'!AQ434,'Testo, JUM &amp; MRU Data'!E435,'Thermo Data'!F434,'Testo, JUM &amp; MRU Data'!V435,GDF))</f>
        <v/>
      </c>
      <c r="G441" s="981" t="str">
        <f>IF(F441="","",Conc2(F441,F$9,MolVol,F$21,F$20,G$21,G$20))</f>
        <v/>
      </c>
      <c r="H441" s="981" t="str">
        <f>IF(D$17=FALSE,"",IF(F$17=FALSE,"",GasData(GasAnalyser,'Horiba Data'!W434,'Testo, JUM &amp; MRU Data'!F435,'Thermo Data'!G434,'Testo, JUM &amp; MRU Data'!Y435,GDF)))</f>
        <v/>
      </c>
      <c r="I441" s="981" t="str">
        <f>IF(H441="","",Conc2(H441,H$9,MolVol,H$21,H$20,I$21,I$20))</f>
        <v/>
      </c>
      <c r="J441" s="981" t="str">
        <f>IF(J$17=FALSE,"",GasData(GasAnalyser,'Horiba Data'!AM434,'Testo, JUM &amp; MRU Data'!G435,'Thermo Data'!H434,'Testo, JUM &amp; MRU Data'!W435,GDF))</f>
        <v/>
      </c>
      <c r="K441" s="981" t="str">
        <f>IF(J441="","",Conc2(J441,J$9,MolVol,J$21,J$20,K$21,K$20))</f>
        <v/>
      </c>
      <c r="L441" s="981" t="str">
        <f>IF(L$17=FALSE,"",GasData(GasAnalyser,'Horiba Data'!AA434,'Testo, JUM &amp; MRU Data'!H435,'Thermo Data'!I434,'Testo, JUM &amp; MRU Data'!T435,GDF))</f>
        <v/>
      </c>
      <c r="M441" s="981" t="str">
        <f>IF(L441="","",Conc2(L441,L$9,MolVol,L$21,L$20,M$21,M$20))</f>
        <v/>
      </c>
      <c r="N441" s="981" t="str">
        <f>IF(N$17=FALSE,"",GasData(GasAnalyser,'Horiba Data'!AE434,'Testo, JUM &amp; MRU Data'!I435,'Thermo Data'!J434,'Testo, JUM &amp; MRU Data'!S435,GDF))</f>
        <v/>
      </c>
      <c r="O441" s="981" t="str">
        <f>IF(N441="","",Conc2(N441,N$9,MolVol,N$21,N$20,O$21,O$20))</f>
        <v/>
      </c>
      <c r="P441" s="981" t="str">
        <f>IF(P$17=FALSE,"",GasData(GasAnalyser,'Horiba Data'!AI434,'Testo, JUM &amp; MRU Data'!J435,'Thermo Data'!K434,'Testo, JUM &amp; MRU Data'!R435,GDF))</f>
        <v/>
      </c>
      <c r="Q441" s="981" t="str">
        <f>IF(P441="","",Conc2(P441,P$9,MolVol,P$21,P$20,Q$21,Q$20))</f>
        <v/>
      </c>
      <c r="R441" s="981" t="str">
        <f>IF(R$17=FALSE,"",JUMData('Testo, JUM &amp; MRU Data'!M435,$R$7))</f>
        <v/>
      </c>
      <c r="S441" s="982" t="str">
        <f>IF(R441="","",Conc2(R441,R$9,MolVol,R$21,R$20,S$21,S$20)/(1-Bws))</f>
        <v/>
      </c>
      <c r="T441" s="740"/>
      <c r="AR441" s="335"/>
      <c r="AS441" s="335"/>
      <c r="AT441" s="153"/>
      <c r="AU441" s="153"/>
      <c r="AV441" s="153"/>
      <c r="AW441" s="153"/>
      <c r="AX441" s="153"/>
      <c r="AY441" s="153"/>
      <c r="AZ441" s="153"/>
      <c r="BA441" s="153"/>
      <c r="BB441" s="153"/>
      <c r="BC441" s="153"/>
      <c r="BD441" s="153"/>
      <c r="BE441" s="153"/>
      <c r="BF441" s="153"/>
      <c r="BG441" s="153"/>
      <c r="BH441" s="153"/>
      <c r="BI441" s="153"/>
      <c r="BJ441" s="153"/>
      <c r="BK441" s="153"/>
      <c r="BL441" s="153"/>
      <c r="BM441" s="153"/>
      <c r="BN441" s="153"/>
      <c r="BO441" s="153"/>
      <c r="BP441" s="153"/>
      <c r="BQ441" s="153"/>
      <c r="BR441" s="153"/>
      <c r="BS441" s="153"/>
      <c r="BT441" s="153"/>
      <c r="BU441" s="153"/>
      <c r="BV441" s="153"/>
      <c r="BW441" s="153"/>
      <c r="BX441" s="153"/>
      <c r="BY441" s="153"/>
      <c r="BZ441" s="153"/>
      <c r="CA441" s="153"/>
      <c r="CB441" s="153"/>
      <c r="CC441" s="153"/>
      <c r="CD441" s="153"/>
      <c r="CE441" s="153"/>
      <c r="CF441" s="153"/>
      <c r="CG441" s="153"/>
      <c r="CH441" s="153"/>
      <c r="CI441" s="153"/>
      <c r="CJ441" s="153"/>
      <c r="CK441" s="153"/>
      <c r="CL441" s="153"/>
      <c r="CM441" s="153"/>
      <c r="CN441" s="153"/>
      <c r="CO441" s="153"/>
      <c r="CP441" s="153"/>
      <c r="CQ441" s="153"/>
      <c r="CR441" s="153"/>
      <c r="CS441" s="153"/>
      <c r="CT441" s="153"/>
      <c r="CU441" s="153"/>
      <c r="CV441" s="153"/>
      <c r="CW441" s="153"/>
      <c r="CX441" s="153"/>
      <c r="CY441" s="153"/>
      <c r="CZ441" s="153"/>
      <c r="DA441" s="153"/>
      <c r="DB441" s="153"/>
      <c r="DC441" s="153"/>
      <c r="DD441" s="153"/>
      <c r="DE441" s="153"/>
      <c r="DF441" s="153"/>
      <c r="DG441" s="153"/>
      <c r="DH441" s="153"/>
      <c r="DI441" s="153"/>
      <c r="DJ441" s="153"/>
      <c r="DK441" s="153"/>
      <c r="DL441" s="153"/>
      <c r="DM441" s="153"/>
      <c r="DN441" s="153"/>
      <c r="DO441" s="153"/>
      <c r="DP441" s="153"/>
      <c r="DQ441" s="153"/>
      <c r="DR441" s="153"/>
      <c r="DS441" s="153"/>
      <c r="DT441" s="153"/>
      <c r="DU441" s="153"/>
      <c r="DV441" s="153"/>
      <c r="DW441" s="153"/>
      <c r="DX441" s="153"/>
      <c r="DY441" s="153"/>
      <c r="DZ441" s="153"/>
      <c r="EA441" s="153"/>
      <c r="EB441" s="153"/>
      <c r="EC441" s="153"/>
      <c r="ED441" s="153"/>
      <c r="EE441" s="153"/>
      <c r="EF441" s="153"/>
      <c r="EG441" s="153"/>
      <c r="EH441" s="153"/>
      <c r="EI441" s="153"/>
      <c r="EJ441" s="153"/>
      <c r="EK441" s="153"/>
      <c r="EL441" s="153"/>
      <c r="EM441" s="153"/>
    </row>
    <row r="442" spans="1:143" s="107" customFormat="1" ht="10.5" hidden="1" customHeight="1" outlineLevel="2">
      <c r="A442" s="1548">
        <v>417</v>
      </c>
      <c r="B442" s="1560" t="str">
        <f t="shared" si="8"/>
        <v/>
      </c>
      <c r="C442" s="161" t="str">
        <f>GasTime(GasAnalyser,'Horiba Data'!F435,'Horiba Data'!G435,'Testo, JUM &amp; MRU Data'!A436,'Thermo Data'!B435,HourOffset)</f>
        <v/>
      </c>
      <c r="D442" s="981" t="str">
        <f>IF(D$17=FALSE,"",GasData(GasAnalyser,'Horiba Data'!S435,'Testo, JUM &amp; MRU Data'!D436,'Thermo Data'!E435,'Testo, JUM &amp; MRU Data'!U436,GDF))</f>
        <v/>
      </c>
      <c r="E442" s="981" t="str">
        <f>IF(D442="","",Conc2(D442,D$9,MolVol,D$21,D$20,E$21,E$20))</f>
        <v/>
      </c>
      <c r="F442" s="981" t="str">
        <f>IF(F$17=FALSE,"",GasData(GasAnalyser,'Horiba Data'!AQ435,'Testo, JUM &amp; MRU Data'!E436,'Thermo Data'!F435,'Testo, JUM &amp; MRU Data'!V436,GDF))</f>
        <v/>
      </c>
      <c r="G442" s="981" t="str">
        <f>IF(F442="","",Conc2(F442,F$9,MolVol,F$21,F$20,G$21,G$20))</f>
        <v/>
      </c>
      <c r="H442" s="981" t="str">
        <f>IF(D$17=FALSE,"",IF(F$17=FALSE,"",GasData(GasAnalyser,'Horiba Data'!W435,'Testo, JUM &amp; MRU Data'!F436,'Thermo Data'!G435,'Testo, JUM &amp; MRU Data'!Y436,GDF)))</f>
        <v/>
      </c>
      <c r="I442" s="981" t="str">
        <f>IF(H442="","",Conc2(H442,H$9,MolVol,H$21,H$20,I$21,I$20))</f>
        <v/>
      </c>
      <c r="J442" s="981" t="str">
        <f>IF(J$17=FALSE,"",GasData(GasAnalyser,'Horiba Data'!AM435,'Testo, JUM &amp; MRU Data'!G436,'Thermo Data'!H435,'Testo, JUM &amp; MRU Data'!W436,GDF))</f>
        <v/>
      </c>
      <c r="K442" s="981" t="str">
        <f>IF(J442="","",Conc2(J442,J$9,MolVol,J$21,J$20,K$21,K$20))</f>
        <v/>
      </c>
      <c r="L442" s="981" t="str">
        <f>IF(L$17=FALSE,"",GasData(GasAnalyser,'Horiba Data'!AA435,'Testo, JUM &amp; MRU Data'!H436,'Thermo Data'!I435,'Testo, JUM &amp; MRU Data'!T436,GDF))</f>
        <v/>
      </c>
      <c r="M442" s="981" t="str">
        <f>IF(L442="","",Conc2(L442,L$9,MolVol,L$21,L$20,M$21,M$20))</f>
        <v/>
      </c>
      <c r="N442" s="981" t="str">
        <f>IF(N$17=FALSE,"",GasData(GasAnalyser,'Horiba Data'!AE435,'Testo, JUM &amp; MRU Data'!I436,'Thermo Data'!J435,'Testo, JUM &amp; MRU Data'!S436,GDF))</f>
        <v/>
      </c>
      <c r="O442" s="981" t="str">
        <f>IF(N442="","",Conc2(N442,N$9,MolVol,N$21,N$20,O$21,O$20))</f>
        <v/>
      </c>
      <c r="P442" s="981" t="str">
        <f>IF(P$17=FALSE,"",GasData(GasAnalyser,'Horiba Data'!AI435,'Testo, JUM &amp; MRU Data'!J436,'Thermo Data'!K435,'Testo, JUM &amp; MRU Data'!R436,GDF))</f>
        <v/>
      </c>
      <c r="Q442" s="981" t="str">
        <f>IF(P442="","",Conc2(P442,P$9,MolVol,P$21,P$20,Q$21,Q$20))</f>
        <v/>
      </c>
      <c r="R442" s="981" t="str">
        <f>IF(R$17=FALSE,"",JUMData('Testo, JUM &amp; MRU Data'!M436,$R$7))</f>
        <v/>
      </c>
      <c r="S442" s="982" t="str">
        <f>IF(R442="","",Conc2(R442,R$9,MolVol,R$21,R$20,S$21,S$20)/(1-Bws))</f>
        <v/>
      </c>
      <c r="T442" s="740"/>
      <c r="AR442" s="335"/>
      <c r="AS442" s="335"/>
      <c r="AT442" s="153"/>
      <c r="AU442" s="153"/>
      <c r="AV442" s="153"/>
      <c r="AW442" s="153"/>
      <c r="AX442" s="153"/>
      <c r="AY442" s="153"/>
      <c r="AZ442" s="153"/>
      <c r="BA442" s="153"/>
      <c r="BB442" s="153"/>
      <c r="BC442" s="153"/>
      <c r="BD442" s="153"/>
      <c r="BE442" s="153"/>
      <c r="BF442" s="153"/>
      <c r="BG442" s="153"/>
      <c r="BH442" s="153"/>
      <c r="BI442" s="153"/>
      <c r="BJ442" s="153"/>
      <c r="BK442" s="153"/>
      <c r="BL442" s="153"/>
      <c r="BM442" s="153"/>
      <c r="BN442" s="153"/>
      <c r="BO442" s="153"/>
      <c r="BP442" s="153"/>
      <c r="BQ442" s="153"/>
      <c r="BR442" s="153"/>
      <c r="BS442" s="153"/>
      <c r="BT442" s="153"/>
      <c r="BU442" s="153"/>
      <c r="BV442" s="153"/>
      <c r="BW442" s="153"/>
      <c r="BX442" s="153"/>
      <c r="BY442" s="153"/>
      <c r="BZ442" s="153"/>
      <c r="CA442" s="153"/>
      <c r="CB442" s="153"/>
      <c r="CC442" s="153"/>
      <c r="CD442" s="153"/>
      <c r="CE442" s="153"/>
      <c r="CF442" s="153"/>
      <c r="CG442" s="153"/>
      <c r="CH442" s="153"/>
      <c r="CI442" s="153"/>
      <c r="CJ442" s="153"/>
      <c r="CK442" s="153"/>
      <c r="CL442" s="153"/>
      <c r="CM442" s="153"/>
      <c r="CN442" s="153"/>
      <c r="CO442" s="153"/>
      <c r="CP442" s="153"/>
      <c r="CQ442" s="153"/>
      <c r="CR442" s="153"/>
      <c r="CS442" s="153"/>
      <c r="CT442" s="153"/>
      <c r="CU442" s="153"/>
      <c r="CV442" s="153"/>
      <c r="CW442" s="153"/>
      <c r="CX442" s="153"/>
      <c r="CY442" s="153"/>
      <c r="CZ442" s="153"/>
      <c r="DA442" s="153"/>
      <c r="DB442" s="153"/>
      <c r="DC442" s="153"/>
      <c r="DD442" s="153"/>
      <c r="DE442" s="153"/>
      <c r="DF442" s="153"/>
      <c r="DG442" s="153"/>
      <c r="DH442" s="153"/>
      <c r="DI442" s="153"/>
      <c r="DJ442" s="153"/>
      <c r="DK442" s="153"/>
      <c r="DL442" s="153"/>
      <c r="DM442" s="153"/>
      <c r="DN442" s="153"/>
      <c r="DO442" s="153"/>
      <c r="DP442" s="153"/>
      <c r="DQ442" s="153"/>
      <c r="DR442" s="153"/>
      <c r="DS442" s="153"/>
      <c r="DT442" s="153"/>
      <c r="DU442" s="153"/>
      <c r="DV442" s="153"/>
      <c r="DW442" s="153"/>
      <c r="DX442" s="153"/>
      <c r="DY442" s="153"/>
      <c r="DZ442" s="153"/>
      <c r="EA442" s="153"/>
      <c r="EB442" s="153"/>
      <c r="EC442" s="153"/>
      <c r="ED442" s="153"/>
      <c r="EE442" s="153"/>
      <c r="EF442" s="153"/>
      <c r="EG442" s="153"/>
      <c r="EH442" s="153"/>
      <c r="EI442" s="153"/>
      <c r="EJ442" s="153"/>
      <c r="EK442" s="153"/>
      <c r="EL442" s="153"/>
      <c r="EM442" s="153"/>
    </row>
    <row r="443" spans="1:143" s="107" customFormat="1" ht="10.5" hidden="1" customHeight="1" outlineLevel="2">
      <c r="A443" s="1548">
        <v>418</v>
      </c>
      <c r="B443" s="1560" t="str">
        <f t="shared" si="8"/>
        <v/>
      </c>
      <c r="C443" s="161" t="str">
        <f>GasTime(GasAnalyser,'Horiba Data'!F436,'Horiba Data'!G436,'Testo, JUM &amp; MRU Data'!A437,'Thermo Data'!B436,HourOffset)</f>
        <v/>
      </c>
      <c r="D443" s="981" t="str">
        <f>IF(D$17=FALSE,"",GasData(GasAnalyser,'Horiba Data'!S436,'Testo, JUM &amp; MRU Data'!D437,'Thermo Data'!E436,'Testo, JUM &amp; MRU Data'!U437,GDF))</f>
        <v/>
      </c>
      <c r="E443" s="981" t="str">
        <f>IF(D443="","",Conc2(D443,D$9,MolVol,D$21,D$20,E$21,E$20))</f>
        <v/>
      </c>
      <c r="F443" s="981" t="str">
        <f>IF(F$17=FALSE,"",GasData(GasAnalyser,'Horiba Data'!AQ436,'Testo, JUM &amp; MRU Data'!E437,'Thermo Data'!F436,'Testo, JUM &amp; MRU Data'!V437,GDF))</f>
        <v/>
      </c>
      <c r="G443" s="981" t="str">
        <f>IF(F443="","",Conc2(F443,F$9,MolVol,F$21,F$20,G$21,G$20))</f>
        <v/>
      </c>
      <c r="H443" s="981" t="str">
        <f>IF(D$17=FALSE,"",IF(F$17=FALSE,"",GasData(GasAnalyser,'Horiba Data'!W436,'Testo, JUM &amp; MRU Data'!F437,'Thermo Data'!G436,'Testo, JUM &amp; MRU Data'!Y437,GDF)))</f>
        <v/>
      </c>
      <c r="I443" s="981" t="str">
        <f>IF(H443="","",Conc2(H443,H$9,MolVol,H$21,H$20,I$21,I$20))</f>
        <v/>
      </c>
      <c r="J443" s="981" t="str">
        <f>IF(J$17=FALSE,"",GasData(GasAnalyser,'Horiba Data'!AM436,'Testo, JUM &amp; MRU Data'!G437,'Thermo Data'!H436,'Testo, JUM &amp; MRU Data'!W437,GDF))</f>
        <v/>
      </c>
      <c r="K443" s="981" t="str">
        <f>IF(J443="","",Conc2(J443,J$9,MolVol,J$21,J$20,K$21,K$20))</f>
        <v/>
      </c>
      <c r="L443" s="981" t="str">
        <f>IF(L$17=FALSE,"",GasData(GasAnalyser,'Horiba Data'!AA436,'Testo, JUM &amp; MRU Data'!H437,'Thermo Data'!I436,'Testo, JUM &amp; MRU Data'!T437,GDF))</f>
        <v/>
      </c>
      <c r="M443" s="981" t="str">
        <f>IF(L443="","",Conc2(L443,L$9,MolVol,L$21,L$20,M$21,M$20))</f>
        <v/>
      </c>
      <c r="N443" s="981" t="str">
        <f>IF(N$17=FALSE,"",GasData(GasAnalyser,'Horiba Data'!AE436,'Testo, JUM &amp; MRU Data'!I437,'Thermo Data'!J436,'Testo, JUM &amp; MRU Data'!S437,GDF))</f>
        <v/>
      </c>
      <c r="O443" s="981" t="str">
        <f>IF(N443="","",Conc2(N443,N$9,MolVol,N$21,N$20,O$21,O$20))</f>
        <v/>
      </c>
      <c r="P443" s="981" t="str">
        <f>IF(P$17=FALSE,"",GasData(GasAnalyser,'Horiba Data'!AI436,'Testo, JUM &amp; MRU Data'!J437,'Thermo Data'!K436,'Testo, JUM &amp; MRU Data'!R437,GDF))</f>
        <v/>
      </c>
      <c r="Q443" s="981" t="str">
        <f>IF(P443="","",Conc2(P443,P$9,MolVol,P$21,P$20,Q$21,Q$20))</f>
        <v/>
      </c>
      <c r="R443" s="981" t="str">
        <f>IF(R$17=FALSE,"",JUMData('Testo, JUM &amp; MRU Data'!M437,$R$7))</f>
        <v/>
      </c>
      <c r="S443" s="982" t="str">
        <f>IF(R443="","",Conc2(R443,R$9,MolVol,R$21,R$20,S$21,S$20)/(1-Bws))</f>
        <v/>
      </c>
      <c r="T443" s="740"/>
      <c r="AR443" s="335"/>
      <c r="AS443" s="335"/>
      <c r="AT443" s="153"/>
      <c r="AU443" s="153"/>
      <c r="AV443" s="153"/>
      <c r="AW443" s="153"/>
      <c r="AX443" s="153"/>
      <c r="AY443" s="153"/>
      <c r="AZ443" s="153"/>
      <c r="BA443" s="153"/>
      <c r="BB443" s="153"/>
      <c r="BC443" s="153"/>
      <c r="BD443" s="153"/>
      <c r="BE443" s="153"/>
      <c r="BF443" s="153"/>
      <c r="BG443" s="153"/>
      <c r="BH443" s="153"/>
      <c r="BI443" s="153"/>
      <c r="BJ443" s="153"/>
      <c r="BK443" s="153"/>
      <c r="BL443" s="153"/>
      <c r="BM443" s="153"/>
      <c r="BN443" s="153"/>
      <c r="BO443" s="153"/>
      <c r="BP443" s="153"/>
      <c r="BQ443" s="153"/>
      <c r="BR443" s="153"/>
      <c r="BS443" s="153"/>
      <c r="BT443" s="153"/>
      <c r="BU443" s="153"/>
      <c r="BV443" s="153"/>
      <c r="BW443" s="153"/>
      <c r="BX443" s="153"/>
      <c r="BY443" s="153"/>
      <c r="BZ443" s="153"/>
      <c r="CA443" s="153"/>
      <c r="CB443" s="153"/>
      <c r="CC443" s="153"/>
      <c r="CD443" s="153"/>
      <c r="CE443" s="153"/>
      <c r="CF443" s="153"/>
      <c r="CG443" s="153"/>
      <c r="CH443" s="153"/>
      <c r="CI443" s="153"/>
      <c r="CJ443" s="153"/>
      <c r="CK443" s="153"/>
      <c r="CL443" s="153"/>
      <c r="CM443" s="153"/>
      <c r="CN443" s="153"/>
      <c r="CO443" s="153"/>
      <c r="CP443" s="153"/>
      <c r="CQ443" s="153"/>
      <c r="CR443" s="153"/>
      <c r="CS443" s="153"/>
      <c r="CT443" s="153"/>
      <c r="CU443" s="153"/>
      <c r="CV443" s="153"/>
      <c r="CW443" s="153"/>
      <c r="CX443" s="153"/>
      <c r="CY443" s="153"/>
      <c r="CZ443" s="153"/>
      <c r="DA443" s="153"/>
      <c r="DB443" s="153"/>
      <c r="DC443" s="153"/>
      <c r="DD443" s="153"/>
      <c r="DE443" s="153"/>
      <c r="DF443" s="153"/>
      <c r="DG443" s="153"/>
      <c r="DH443" s="153"/>
      <c r="DI443" s="153"/>
      <c r="DJ443" s="153"/>
      <c r="DK443" s="153"/>
      <c r="DL443" s="153"/>
      <c r="DM443" s="153"/>
      <c r="DN443" s="153"/>
      <c r="DO443" s="153"/>
      <c r="DP443" s="153"/>
      <c r="DQ443" s="153"/>
      <c r="DR443" s="153"/>
      <c r="DS443" s="153"/>
      <c r="DT443" s="153"/>
      <c r="DU443" s="153"/>
      <c r="DV443" s="153"/>
      <c r="DW443" s="153"/>
      <c r="DX443" s="153"/>
      <c r="DY443" s="153"/>
      <c r="DZ443" s="153"/>
      <c r="EA443" s="153"/>
      <c r="EB443" s="153"/>
      <c r="EC443" s="153"/>
      <c r="ED443" s="153"/>
      <c r="EE443" s="153"/>
      <c r="EF443" s="153"/>
      <c r="EG443" s="153"/>
      <c r="EH443" s="153"/>
      <c r="EI443" s="153"/>
      <c r="EJ443" s="153"/>
      <c r="EK443" s="153"/>
      <c r="EL443" s="153"/>
      <c r="EM443" s="153"/>
    </row>
    <row r="444" spans="1:143" s="107" customFormat="1" ht="10.5" hidden="1" customHeight="1" outlineLevel="2">
      <c r="A444" s="1548">
        <v>419</v>
      </c>
      <c r="B444" s="1560" t="str">
        <f t="shared" si="8"/>
        <v/>
      </c>
      <c r="C444" s="161" t="str">
        <f>GasTime(GasAnalyser,'Horiba Data'!F437,'Horiba Data'!G437,'Testo, JUM &amp; MRU Data'!A438,'Thermo Data'!B437,HourOffset)</f>
        <v/>
      </c>
      <c r="D444" s="981" t="str">
        <f>IF(D$17=FALSE,"",GasData(GasAnalyser,'Horiba Data'!S437,'Testo, JUM &amp; MRU Data'!D438,'Thermo Data'!E437,'Testo, JUM &amp; MRU Data'!U438,GDF))</f>
        <v/>
      </c>
      <c r="E444" s="981" t="str">
        <f>IF(D444="","",Conc2(D444,D$9,MolVol,D$21,D$20,E$21,E$20))</f>
        <v/>
      </c>
      <c r="F444" s="981" t="str">
        <f>IF(F$17=FALSE,"",GasData(GasAnalyser,'Horiba Data'!AQ437,'Testo, JUM &amp; MRU Data'!E438,'Thermo Data'!F437,'Testo, JUM &amp; MRU Data'!V438,GDF))</f>
        <v/>
      </c>
      <c r="G444" s="981" t="str">
        <f>IF(F444="","",Conc2(F444,F$9,MolVol,F$21,F$20,G$21,G$20))</f>
        <v/>
      </c>
      <c r="H444" s="981" t="str">
        <f>IF(D$17=FALSE,"",IF(F$17=FALSE,"",GasData(GasAnalyser,'Horiba Data'!W437,'Testo, JUM &amp; MRU Data'!F438,'Thermo Data'!G437,'Testo, JUM &amp; MRU Data'!Y438,GDF)))</f>
        <v/>
      </c>
      <c r="I444" s="981" t="str">
        <f>IF(H444="","",Conc2(H444,H$9,MolVol,H$21,H$20,I$21,I$20))</f>
        <v/>
      </c>
      <c r="J444" s="981" t="str">
        <f>IF(J$17=FALSE,"",GasData(GasAnalyser,'Horiba Data'!AM437,'Testo, JUM &amp; MRU Data'!G438,'Thermo Data'!H437,'Testo, JUM &amp; MRU Data'!W438,GDF))</f>
        <v/>
      </c>
      <c r="K444" s="981" t="str">
        <f>IF(J444="","",Conc2(J444,J$9,MolVol,J$21,J$20,K$21,K$20))</f>
        <v/>
      </c>
      <c r="L444" s="981" t="str">
        <f>IF(L$17=FALSE,"",GasData(GasAnalyser,'Horiba Data'!AA437,'Testo, JUM &amp; MRU Data'!H438,'Thermo Data'!I437,'Testo, JUM &amp; MRU Data'!T438,GDF))</f>
        <v/>
      </c>
      <c r="M444" s="981" t="str">
        <f>IF(L444="","",Conc2(L444,L$9,MolVol,L$21,L$20,M$21,M$20))</f>
        <v/>
      </c>
      <c r="N444" s="981" t="str">
        <f>IF(N$17=FALSE,"",GasData(GasAnalyser,'Horiba Data'!AE437,'Testo, JUM &amp; MRU Data'!I438,'Thermo Data'!J437,'Testo, JUM &amp; MRU Data'!S438,GDF))</f>
        <v/>
      </c>
      <c r="O444" s="981" t="str">
        <f>IF(N444="","",Conc2(N444,N$9,MolVol,N$21,N$20,O$21,O$20))</f>
        <v/>
      </c>
      <c r="P444" s="981" t="str">
        <f>IF(P$17=FALSE,"",GasData(GasAnalyser,'Horiba Data'!AI437,'Testo, JUM &amp; MRU Data'!J438,'Thermo Data'!K437,'Testo, JUM &amp; MRU Data'!R438,GDF))</f>
        <v/>
      </c>
      <c r="Q444" s="981" t="str">
        <f>IF(P444="","",Conc2(P444,P$9,MolVol,P$21,P$20,Q$21,Q$20))</f>
        <v/>
      </c>
      <c r="R444" s="981" t="str">
        <f>IF(R$17=FALSE,"",JUMData('Testo, JUM &amp; MRU Data'!M438,$R$7))</f>
        <v/>
      </c>
      <c r="S444" s="982" t="str">
        <f>IF(R444="","",Conc2(R444,R$9,MolVol,R$21,R$20,S$21,S$20)/(1-Bws))</f>
        <v/>
      </c>
      <c r="T444" s="740"/>
      <c r="AR444" s="335"/>
      <c r="AS444" s="335"/>
      <c r="AT444" s="153"/>
      <c r="AU444" s="153"/>
      <c r="AV444" s="153"/>
      <c r="AW444" s="153"/>
      <c r="AX444" s="153"/>
      <c r="AY444" s="153"/>
      <c r="AZ444" s="153"/>
      <c r="BA444" s="153"/>
      <c r="BB444" s="153"/>
      <c r="BC444" s="153"/>
      <c r="BD444" s="153"/>
      <c r="BE444" s="153"/>
      <c r="BF444" s="153"/>
      <c r="BG444" s="153"/>
      <c r="BH444" s="153"/>
      <c r="BI444" s="153"/>
      <c r="BJ444" s="153"/>
      <c r="BK444" s="153"/>
      <c r="BL444" s="153"/>
      <c r="BM444" s="153"/>
      <c r="BN444" s="153"/>
      <c r="BO444" s="153"/>
      <c r="BP444" s="153"/>
      <c r="BQ444" s="153"/>
      <c r="BR444" s="153"/>
      <c r="BS444" s="153"/>
      <c r="BT444" s="153"/>
      <c r="BU444" s="153"/>
      <c r="BV444" s="153"/>
      <c r="BW444" s="153"/>
      <c r="BX444" s="153"/>
      <c r="BY444" s="153"/>
      <c r="BZ444" s="153"/>
      <c r="CA444" s="153"/>
      <c r="CB444" s="153"/>
      <c r="CC444" s="153"/>
      <c r="CD444" s="153"/>
      <c r="CE444" s="153"/>
      <c r="CF444" s="153"/>
      <c r="CG444" s="153"/>
      <c r="CH444" s="153"/>
      <c r="CI444" s="153"/>
      <c r="CJ444" s="153"/>
      <c r="CK444" s="153"/>
      <c r="CL444" s="153"/>
      <c r="CM444" s="153"/>
      <c r="CN444" s="153"/>
      <c r="CO444" s="153"/>
      <c r="CP444" s="153"/>
      <c r="CQ444" s="153"/>
      <c r="CR444" s="153"/>
      <c r="CS444" s="153"/>
      <c r="CT444" s="153"/>
      <c r="CU444" s="153"/>
      <c r="CV444" s="153"/>
      <c r="CW444" s="153"/>
      <c r="CX444" s="153"/>
      <c r="CY444" s="153"/>
      <c r="CZ444" s="153"/>
      <c r="DA444" s="153"/>
      <c r="DB444" s="153"/>
      <c r="DC444" s="153"/>
      <c r="DD444" s="153"/>
      <c r="DE444" s="153"/>
      <c r="DF444" s="153"/>
      <c r="DG444" s="153"/>
      <c r="DH444" s="153"/>
      <c r="DI444" s="153"/>
      <c r="DJ444" s="153"/>
      <c r="DK444" s="153"/>
      <c r="DL444" s="153"/>
      <c r="DM444" s="153"/>
      <c r="DN444" s="153"/>
      <c r="DO444" s="153"/>
      <c r="DP444" s="153"/>
      <c r="DQ444" s="153"/>
      <c r="DR444" s="153"/>
      <c r="DS444" s="153"/>
      <c r="DT444" s="153"/>
      <c r="DU444" s="153"/>
      <c r="DV444" s="153"/>
      <c r="DW444" s="153"/>
      <c r="DX444" s="153"/>
      <c r="DY444" s="153"/>
      <c r="DZ444" s="153"/>
      <c r="EA444" s="153"/>
      <c r="EB444" s="153"/>
      <c r="EC444" s="153"/>
      <c r="ED444" s="153"/>
      <c r="EE444" s="153"/>
      <c r="EF444" s="153"/>
      <c r="EG444" s="153"/>
      <c r="EH444" s="153"/>
      <c r="EI444" s="153"/>
      <c r="EJ444" s="153"/>
      <c r="EK444" s="153"/>
      <c r="EL444" s="153"/>
      <c r="EM444" s="153"/>
    </row>
    <row r="445" spans="1:143" s="107" customFormat="1" ht="10.5" hidden="1" customHeight="1" outlineLevel="2">
      <c r="A445" s="1548">
        <v>420</v>
      </c>
      <c r="B445" s="1560" t="str">
        <f t="shared" si="8"/>
        <v/>
      </c>
      <c r="C445" s="161" t="str">
        <f>GasTime(GasAnalyser,'Horiba Data'!F438,'Horiba Data'!G438,'Testo, JUM &amp; MRU Data'!A439,'Thermo Data'!B438,HourOffset)</f>
        <v/>
      </c>
      <c r="D445" s="981" t="str">
        <f>IF(D$17=FALSE,"",GasData(GasAnalyser,'Horiba Data'!S438,'Testo, JUM &amp; MRU Data'!D439,'Thermo Data'!E438,'Testo, JUM &amp; MRU Data'!U439,GDF))</f>
        <v/>
      </c>
      <c r="E445" s="981" t="str">
        <f>IF(D445="","",Conc2(D445,D$9,MolVol,D$21,D$20,E$21,E$20))</f>
        <v/>
      </c>
      <c r="F445" s="981" t="str">
        <f>IF(F$17=FALSE,"",GasData(GasAnalyser,'Horiba Data'!AQ438,'Testo, JUM &amp; MRU Data'!E439,'Thermo Data'!F438,'Testo, JUM &amp; MRU Data'!V439,GDF))</f>
        <v/>
      </c>
      <c r="G445" s="981" t="str">
        <f>IF(F445="","",Conc2(F445,F$9,MolVol,F$21,F$20,G$21,G$20))</f>
        <v/>
      </c>
      <c r="H445" s="981" t="str">
        <f>IF(D$17=FALSE,"",IF(F$17=FALSE,"",GasData(GasAnalyser,'Horiba Data'!W438,'Testo, JUM &amp; MRU Data'!F439,'Thermo Data'!G438,'Testo, JUM &amp; MRU Data'!Y439,GDF)))</f>
        <v/>
      </c>
      <c r="I445" s="981" t="str">
        <f>IF(H445="","",Conc2(H445,H$9,MolVol,H$21,H$20,I$21,I$20))</f>
        <v/>
      </c>
      <c r="J445" s="981" t="str">
        <f>IF(J$17=FALSE,"",GasData(GasAnalyser,'Horiba Data'!AM438,'Testo, JUM &amp; MRU Data'!G439,'Thermo Data'!H438,'Testo, JUM &amp; MRU Data'!W439,GDF))</f>
        <v/>
      </c>
      <c r="K445" s="981" t="str">
        <f>IF(J445="","",Conc2(J445,J$9,MolVol,J$21,J$20,K$21,K$20))</f>
        <v/>
      </c>
      <c r="L445" s="981" t="str">
        <f>IF(L$17=FALSE,"",GasData(GasAnalyser,'Horiba Data'!AA438,'Testo, JUM &amp; MRU Data'!H439,'Thermo Data'!I438,'Testo, JUM &amp; MRU Data'!T439,GDF))</f>
        <v/>
      </c>
      <c r="M445" s="981" t="str">
        <f>IF(L445="","",Conc2(L445,L$9,MolVol,L$21,L$20,M$21,M$20))</f>
        <v/>
      </c>
      <c r="N445" s="981" t="str">
        <f>IF(N$17=FALSE,"",GasData(GasAnalyser,'Horiba Data'!AE438,'Testo, JUM &amp; MRU Data'!I439,'Thermo Data'!J438,'Testo, JUM &amp; MRU Data'!S439,GDF))</f>
        <v/>
      </c>
      <c r="O445" s="981" t="str">
        <f>IF(N445="","",Conc2(N445,N$9,MolVol,N$21,N$20,O$21,O$20))</f>
        <v/>
      </c>
      <c r="P445" s="981" t="str">
        <f>IF(P$17=FALSE,"",GasData(GasAnalyser,'Horiba Data'!AI438,'Testo, JUM &amp; MRU Data'!J439,'Thermo Data'!K438,'Testo, JUM &amp; MRU Data'!R439,GDF))</f>
        <v/>
      </c>
      <c r="Q445" s="981" t="str">
        <f>IF(P445="","",Conc2(P445,P$9,MolVol,P$21,P$20,Q$21,Q$20))</f>
        <v/>
      </c>
      <c r="R445" s="981" t="str">
        <f>IF(R$17=FALSE,"",JUMData('Testo, JUM &amp; MRU Data'!M439,$R$7))</f>
        <v/>
      </c>
      <c r="S445" s="982" t="str">
        <f>IF(R445="","",Conc2(R445,R$9,MolVol,R$21,R$20,S$21,S$20)/(1-Bws))</f>
        <v/>
      </c>
      <c r="T445" s="740"/>
      <c r="AR445" s="335"/>
      <c r="AS445" s="335"/>
      <c r="AT445" s="153"/>
      <c r="AU445" s="153"/>
      <c r="AV445" s="153"/>
      <c r="AW445" s="153"/>
      <c r="AX445" s="153"/>
      <c r="AY445" s="153"/>
      <c r="AZ445" s="153"/>
      <c r="BA445" s="153"/>
      <c r="BB445" s="153"/>
      <c r="BC445" s="153"/>
      <c r="BD445" s="153"/>
      <c r="BE445" s="153"/>
      <c r="BF445" s="153"/>
      <c r="BG445" s="153"/>
      <c r="BH445" s="153"/>
      <c r="BI445" s="153"/>
      <c r="BJ445" s="153"/>
      <c r="BK445" s="153"/>
      <c r="BL445" s="153"/>
      <c r="BM445" s="153"/>
      <c r="BN445" s="153"/>
      <c r="BO445" s="153"/>
      <c r="BP445" s="153"/>
      <c r="BQ445" s="153"/>
      <c r="BR445" s="153"/>
      <c r="BS445" s="153"/>
      <c r="BT445" s="153"/>
      <c r="BU445" s="153"/>
      <c r="BV445" s="153"/>
      <c r="BW445" s="153"/>
      <c r="BX445" s="153"/>
      <c r="BY445" s="153"/>
      <c r="BZ445" s="153"/>
      <c r="CA445" s="153"/>
      <c r="CB445" s="153"/>
      <c r="CC445" s="153"/>
      <c r="CD445" s="153"/>
      <c r="CE445" s="153"/>
      <c r="CF445" s="153"/>
      <c r="CG445" s="153"/>
      <c r="CH445" s="153"/>
      <c r="CI445" s="153"/>
      <c r="CJ445" s="153"/>
      <c r="CK445" s="153"/>
      <c r="CL445" s="153"/>
      <c r="CM445" s="153"/>
      <c r="CN445" s="153"/>
      <c r="CO445" s="153"/>
      <c r="CP445" s="153"/>
      <c r="CQ445" s="153"/>
      <c r="CR445" s="153"/>
      <c r="CS445" s="153"/>
      <c r="CT445" s="153"/>
      <c r="CU445" s="153"/>
      <c r="CV445" s="153"/>
      <c r="CW445" s="153"/>
      <c r="CX445" s="153"/>
      <c r="CY445" s="153"/>
      <c r="CZ445" s="153"/>
      <c r="DA445" s="153"/>
      <c r="DB445" s="153"/>
      <c r="DC445" s="153"/>
      <c r="DD445" s="153"/>
      <c r="DE445" s="153"/>
      <c r="DF445" s="153"/>
      <c r="DG445" s="153"/>
      <c r="DH445" s="153"/>
      <c r="DI445" s="153"/>
      <c r="DJ445" s="153"/>
      <c r="DK445" s="153"/>
      <c r="DL445" s="153"/>
      <c r="DM445" s="153"/>
      <c r="DN445" s="153"/>
      <c r="DO445" s="153"/>
      <c r="DP445" s="153"/>
      <c r="DQ445" s="153"/>
      <c r="DR445" s="153"/>
      <c r="DS445" s="153"/>
      <c r="DT445" s="153"/>
      <c r="DU445" s="153"/>
      <c r="DV445" s="153"/>
      <c r="DW445" s="153"/>
      <c r="DX445" s="153"/>
      <c r="DY445" s="153"/>
      <c r="DZ445" s="153"/>
      <c r="EA445" s="153"/>
      <c r="EB445" s="153"/>
      <c r="EC445" s="153"/>
      <c r="ED445" s="153"/>
      <c r="EE445" s="153"/>
      <c r="EF445" s="153"/>
      <c r="EG445" s="153"/>
      <c r="EH445" s="153"/>
      <c r="EI445" s="153"/>
      <c r="EJ445" s="153"/>
      <c r="EK445" s="153"/>
      <c r="EL445" s="153"/>
      <c r="EM445" s="153"/>
    </row>
    <row r="446" spans="1:143" s="107" customFormat="1" ht="10.5" hidden="1" customHeight="1" outlineLevel="2">
      <c r="A446" s="1548">
        <v>421</v>
      </c>
      <c r="B446" s="1560" t="str">
        <f t="shared" si="8"/>
        <v/>
      </c>
      <c r="C446" s="161" t="str">
        <f>GasTime(GasAnalyser,'Horiba Data'!F439,'Horiba Data'!G439,'Testo, JUM &amp; MRU Data'!A440,'Thermo Data'!B439,HourOffset)</f>
        <v/>
      </c>
      <c r="D446" s="981" t="str">
        <f>IF(D$17=FALSE,"",GasData(GasAnalyser,'Horiba Data'!S439,'Testo, JUM &amp; MRU Data'!D440,'Thermo Data'!E439,'Testo, JUM &amp; MRU Data'!U440,GDF))</f>
        <v/>
      </c>
      <c r="E446" s="981" t="str">
        <f>IF(D446="","",Conc2(D446,D$9,MolVol,D$21,D$20,E$21,E$20))</f>
        <v/>
      </c>
      <c r="F446" s="981" t="str">
        <f>IF(F$17=FALSE,"",GasData(GasAnalyser,'Horiba Data'!AQ439,'Testo, JUM &amp; MRU Data'!E440,'Thermo Data'!F439,'Testo, JUM &amp; MRU Data'!V440,GDF))</f>
        <v/>
      </c>
      <c r="G446" s="981" t="str">
        <f>IF(F446="","",Conc2(F446,F$9,MolVol,F$21,F$20,G$21,G$20))</f>
        <v/>
      </c>
      <c r="H446" s="981" t="str">
        <f>IF(D$17=FALSE,"",IF(F$17=FALSE,"",GasData(GasAnalyser,'Horiba Data'!W439,'Testo, JUM &amp; MRU Data'!F440,'Thermo Data'!G439,'Testo, JUM &amp; MRU Data'!Y440,GDF)))</f>
        <v/>
      </c>
      <c r="I446" s="981" t="str">
        <f>IF(H446="","",Conc2(H446,H$9,MolVol,H$21,H$20,I$21,I$20))</f>
        <v/>
      </c>
      <c r="J446" s="981" t="str">
        <f>IF(J$17=FALSE,"",GasData(GasAnalyser,'Horiba Data'!AM439,'Testo, JUM &amp; MRU Data'!G440,'Thermo Data'!H439,'Testo, JUM &amp; MRU Data'!W440,GDF))</f>
        <v/>
      </c>
      <c r="K446" s="981" t="str">
        <f>IF(J446="","",Conc2(J446,J$9,MolVol,J$21,J$20,K$21,K$20))</f>
        <v/>
      </c>
      <c r="L446" s="981" t="str">
        <f>IF(L$17=FALSE,"",GasData(GasAnalyser,'Horiba Data'!AA439,'Testo, JUM &amp; MRU Data'!H440,'Thermo Data'!I439,'Testo, JUM &amp; MRU Data'!T440,GDF))</f>
        <v/>
      </c>
      <c r="M446" s="981" t="str">
        <f>IF(L446="","",Conc2(L446,L$9,MolVol,L$21,L$20,M$21,M$20))</f>
        <v/>
      </c>
      <c r="N446" s="981" t="str">
        <f>IF(N$17=FALSE,"",GasData(GasAnalyser,'Horiba Data'!AE439,'Testo, JUM &amp; MRU Data'!I440,'Thermo Data'!J439,'Testo, JUM &amp; MRU Data'!S440,GDF))</f>
        <v/>
      </c>
      <c r="O446" s="981" t="str">
        <f>IF(N446="","",Conc2(N446,N$9,MolVol,N$21,N$20,O$21,O$20))</f>
        <v/>
      </c>
      <c r="P446" s="981" t="str">
        <f>IF(P$17=FALSE,"",GasData(GasAnalyser,'Horiba Data'!AI439,'Testo, JUM &amp; MRU Data'!J440,'Thermo Data'!K439,'Testo, JUM &amp; MRU Data'!R440,GDF))</f>
        <v/>
      </c>
      <c r="Q446" s="981" t="str">
        <f>IF(P446="","",Conc2(P446,P$9,MolVol,P$21,P$20,Q$21,Q$20))</f>
        <v/>
      </c>
      <c r="R446" s="981" t="str">
        <f>IF(R$17=FALSE,"",JUMData('Testo, JUM &amp; MRU Data'!M440,$R$7))</f>
        <v/>
      </c>
      <c r="S446" s="982" t="str">
        <f>IF(R446="","",Conc2(R446,R$9,MolVol,R$21,R$20,S$21,S$20)/(1-Bws))</f>
        <v/>
      </c>
      <c r="T446" s="740"/>
      <c r="AR446" s="335"/>
      <c r="AS446" s="335"/>
      <c r="AT446" s="153"/>
      <c r="AU446" s="153"/>
      <c r="AV446" s="153"/>
      <c r="AW446" s="153"/>
      <c r="AX446" s="153"/>
      <c r="AY446" s="153"/>
      <c r="AZ446" s="153"/>
      <c r="BA446" s="153"/>
      <c r="BB446" s="153"/>
      <c r="BC446" s="153"/>
      <c r="BD446" s="153"/>
      <c r="BE446" s="153"/>
      <c r="BF446" s="153"/>
      <c r="BG446" s="153"/>
      <c r="BH446" s="153"/>
      <c r="BI446" s="153"/>
      <c r="BJ446" s="153"/>
      <c r="BK446" s="153"/>
      <c r="BL446" s="153"/>
      <c r="BM446" s="153"/>
      <c r="BN446" s="153"/>
      <c r="BO446" s="153"/>
      <c r="BP446" s="153"/>
      <c r="BQ446" s="153"/>
      <c r="BR446" s="153"/>
      <c r="BS446" s="153"/>
      <c r="BT446" s="153"/>
      <c r="BU446" s="153"/>
      <c r="BV446" s="153"/>
      <c r="BW446" s="153"/>
      <c r="BX446" s="153"/>
      <c r="BY446" s="153"/>
      <c r="BZ446" s="153"/>
      <c r="CA446" s="153"/>
      <c r="CB446" s="153"/>
      <c r="CC446" s="153"/>
      <c r="CD446" s="153"/>
      <c r="CE446" s="153"/>
      <c r="CF446" s="153"/>
      <c r="CG446" s="153"/>
      <c r="CH446" s="153"/>
      <c r="CI446" s="153"/>
      <c r="CJ446" s="153"/>
      <c r="CK446" s="153"/>
      <c r="CL446" s="153"/>
      <c r="CM446" s="153"/>
      <c r="CN446" s="153"/>
      <c r="CO446" s="153"/>
      <c r="CP446" s="153"/>
      <c r="CQ446" s="153"/>
      <c r="CR446" s="153"/>
      <c r="CS446" s="153"/>
      <c r="CT446" s="153"/>
      <c r="CU446" s="153"/>
      <c r="CV446" s="153"/>
      <c r="CW446" s="153"/>
      <c r="CX446" s="153"/>
      <c r="CY446" s="153"/>
      <c r="CZ446" s="153"/>
      <c r="DA446" s="153"/>
      <c r="DB446" s="153"/>
      <c r="DC446" s="153"/>
      <c r="DD446" s="153"/>
      <c r="DE446" s="153"/>
      <c r="DF446" s="153"/>
      <c r="DG446" s="153"/>
      <c r="DH446" s="153"/>
      <c r="DI446" s="153"/>
      <c r="DJ446" s="153"/>
      <c r="DK446" s="153"/>
      <c r="DL446" s="153"/>
      <c r="DM446" s="153"/>
      <c r="DN446" s="153"/>
      <c r="DO446" s="153"/>
      <c r="DP446" s="153"/>
      <c r="DQ446" s="153"/>
      <c r="DR446" s="153"/>
      <c r="DS446" s="153"/>
      <c r="DT446" s="153"/>
      <c r="DU446" s="153"/>
      <c r="DV446" s="153"/>
      <c r="DW446" s="153"/>
      <c r="DX446" s="153"/>
      <c r="DY446" s="153"/>
      <c r="DZ446" s="153"/>
      <c r="EA446" s="153"/>
      <c r="EB446" s="153"/>
      <c r="EC446" s="153"/>
      <c r="ED446" s="153"/>
      <c r="EE446" s="153"/>
      <c r="EF446" s="153"/>
      <c r="EG446" s="153"/>
      <c r="EH446" s="153"/>
      <c r="EI446" s="153"/>
      <c r="EJ446" s="153"/>
      <c r="EK446" s="153"/>
      <c r="EL446" s="153"/>
      <c r="EM446" s="153"/>
    </row>
    <row r="447" spans="1:143" s="107" customFormat="1" ht="10.5" hidden="1" customHeight="1" outlineLevel="2">
      <c r="A447" s="1548">
        <v>422</v>
      </c>
      <c r="B447" s="1560" t="str">
        <f t="shared" si="8"/>
        <v/>
      </c>
      <c r="C447" s="161" t="str">
        <f>GasTime(GasAnalyser,'Horiba Data'!F440,'Horiba Data'!G440,'Testo, JUM &amp; MRU Data'!A441,'Thermo Data'!B440,HourOffset)</f>
        <v/>
      </c>
      <c r="D447" s="981" t="str">
        <f>IF(D$17=FALSE,"",GasData(GasAnalyser,'Horiba Data'!S440,'Testo, JUM &amp; MRU Data'!D441,'Thermo Data'!E440,'Testo, JUM &amp; MRU Data'!U441,GDF))</f>
        <v/>
      </c>
      <c r="E447" s="981" t="str">
        <f>IF(D447="","",Conc2(D447,D$9,MolVol,D$21,D$20,E$21,E$20))</f>
        <v/>
      </c>
      <c r="F447" s="981" t="str">
        <f>IF(F$17=FALSE,"",GasData(GasAnalyser,'Horiba Data'!AQ440,'Testo, JUM &amp; MRU Data'!E441,'Thermo Data'!F440,'Testo, JUM &amp; MRU Data'!V441,GDF))</f>
        <v/>
      </c>
      <c r="G447" s="981" t="str">
        <f>IF(F447="","",Conc2(F447,F$9,MolVol,F$21,F$20,G$21,G$20))</f>
        <v/>
      </c>
      <c r="H447" s="981" t="str">
        <f>IF(D$17=FALSE,"",IF(F$17=FALSE,"",GasData(GasAnalyser,'Horiba Data'!W440,'Testo, JUM &amp; MRU Data'!F441,'Thermo Data'!G440,'Testo, JUM &amp; MRU Data'!Y441,GDF)))</f>
        <v/>
      </c>
      <c r="I447" s="981" t="str">
        <f>IF(H447="","",Conc2(H447,H$9,MolVol,H$21,H$20,I$21,I$20))</f>
        <v/>
      </c>
      <c r="J447" s="981" t="str">
        <f>IF(J$17=FALSE,"",GasData(GasAnalyser,'Horiba Data'!AM440,'Testo, JUM &amp; MRU Data'!G441,'Thermo Data'!H440,'Testo, JUM &amp; MRU Data'!W441,GDF))</f>
        <v/>
      </c>
      <c r="K447" s="981" t="str">
        <f>IF(J447="","",Conc2(J447,J$9,MolVol,J$21,J$20,K$21,K$20))</f>
        <v/>
      </c>
      <c r="L447" s="981" t="str">
        <f>IF(L$17=FALSE,"",GasData(GasAnalyser,'Horiba Data'!AA440,'Testo, JUM &amp; MRU Data'!H441,'Thermo Data'!I440,'Testo, JUM &amp; MRU Data'!T441,GDF))</f>
        <v/>
      </c>
      <c r="M447" s="981" t="str">
        <f>IF(L447="","",Conc2(L447,L$9,MolVol,L$21,L$20,M$21,M$20))</f>
        <v/>
      </c>
      <c r="N447" s="981" t="str">
        <f>IF(N$17=FALSE,"",GasData(GasAnalyser,'Horiba Data'!AE440,'Testo, JUM &amp; MRU Data'!I441,'Thermo Data'!J440,'Testo, JUM &amp; MRU Data'!S441,GDF))</f>
        <v/>
      </c>
      <c r="O447" s="981" t="str">
        <f>IF(N447="","",Conc2(N447,N$9,MolVol,N$21,N$20,O$21,O$20))</f>
        <v/>
      </c>
      <c r="P447" s="981" t="str">
        <f>IF(P$17=FALSE,"",GasData(GasAnalyser,'Horiba Data'!AI440,'Testo, JUM &amp; MRU Data'!J441,'Thermo Data'!K440,'Testo, JUM &amp; MRU Data'!R441,GDF))</f>
        <v/>
      </c>
      <c r="Q447" s="981" t="str">
        <f>IF(P447="","",Conc2(P447,P$9,MolVol,P$21,P$20,Q$21,Q$20))</f>
        <v/>
      </c>
      <c r="R447" s="981" t="str">
        <f>IF(R$17=FALSE,"",JUMData('Testo, JUM &amp; MRU Data'!M441,$R$7))</f>
        <v/>
      </c>
      <c r="S447" s="982" t="str">
        <f>IF(R447="","",Conc2(R447,R$9,MolVol,R$21,R$20,S$21,S$20)/(1-Bws))</f>
        <v/>
      </c>
      <c r="T447" s="740"/>
      <c r="AR447" s="335"/>
      <c r="AS447" s="335"/>
      <c r="AT447" s="153"/>
      <c r="AU447" s="153"/>
      <c r="AV447" s="153"/>
      <c r="AW447" s="153"/>
      <c r="AX447" s="153"/>
      <c r="AY447" s="153"/>
      <c r="AZ447" s="153"/>
      <c r="BA447" s="153"/>
      <c r="BB447" s="153"/>
      <c r="BC447" s="153"/>
      <c r="BD447" s="153"/>
      <c r="BE447" s="153"/>
      <c r="BF447" s="153"/>
      <c r="BG447" s="153"/>
      <c r="BH447" s="153"/>
      <c r="BI447" s="153"/>
      <c r="BJ447" s="153"/>
      <c r="BK447" s="153"/>
      <c r="BL447" s="153"/>
      <c r="BM447" s="153"/>
      <c r="BN447" s="153"/>
      <c r="BO447" s="153"/>
      <c r="BP447" s="153"/>
      <c r="BQ447" s="153"/>
      <c r="BR447" s="153"/>
      <c r="BS447" s="153"/>
      <c r="BT447" s="153"/>
      <c r="BU447" s="153"/>
      <c r="BV447" s="153"/>
      <c r="BW447" s="153"/>
      <c r="BX447" s="153"/>
      <c r="BY447" s="153"/>
      <c r="BZ447" s="153"/>
      <c r="CA447" s="153"/>
      <c r="CB447" s="153"/>
      <c r="CC447" s="153"/>
      <c r="CD447" s="153"/>
      <c r="CE447" s="153"/>
      <c r="CF447" s="153"/>
      <c r="CG447" s="153"/>
      <c r="CH447" s="153"/>
      <c r="CI447" s="153"/>
      <c r="CJ447" s="153"/>
      <c r="CK447" s="153"/>
      <c r="CL447" s="153"/>
      <c r="CM447" s="153"/>
      <c r="CN447" s="153"/>
      <c r="CO447" s="153"/>
      <c r="CP447" s="153"/>
      <c r="CQ447" s="153"/>
      <c r="CR447" s="153"/>
      <c r="CS447" s="153"/>
      <c r="CT447" s="153"/>
      <c r="CU447" s="153"/>
      <c r="CV447" s="153"/>
      <c r="CW447" s="153"/>
      <c r="CX447" s="153"/>
      <c r="CY447" s="153"/>
      <c r="CZ447" s="153"/>
      <c r="DA447" s="153"/>
      <c r="DB447" s="153"/>
      <c r="DC447" s="153"/>
      <c r="DD447" s="153"/>
      <c r="DE447" s="153"/>
      <c r="DF447" s="153"/>
      <c r="DG447" s="153"/>
      <c r="DH447" s="153"/>
      <c r="DI447" s="153"/>
      <c r="DJ447" s="153"/>
      <c r="DK447" s="153"/>
      <c r="DL447" s="153"/>
      <c r="DM447" s="153"/>
      <c r="DN447" s="153"/>
      <c r="DO447" s="153"/>
      <c r="DP447" s="153"/>
      <c r="DQ447" s="153"/>
      <c r="DR447" s="153"/>
      <c r="DS447" s="153"/>
      <c r="DT447" s="153"/>
      <c r="DU447" s="153"/>
      <c r="DV447" s="153"/>
      <c r="DW447" s="153"/>
      <c r="DX447" s="153"/>
      <c r="DY447" s="153"/>
      <c r="DZ447" s="153"/>
      <c r="EA447" s="153"/>
      <c r="EB447" s="153"/>
      <c r="EC447" s="153"/>
      <c r="ED447" s="153"/>
      <c r="EE447" s="153"/>
      <c r="EF447" s="153"/>
      <c r="EG447" s="153"/>
      <c r="EH447" s="153"/>
      <c r="EI447" s="153"/>
      <c r="EJ447" s="153"/>
      <c r="EK447" s="153"/>
      <c r="EL447" s="153"/>
      <c r="EM447" s="153"/>
    </row>
    <row r="448" spans="1:143" s="107" customFormat="1" ht="10.5" hidden="1" customHeight="1" outlineLevel="2">
      <c r="A448" s="1548">
        <v>423</v>
      </c>
      <c r="B448" s="1560" t="str">
        <f t="shared" si="8"/>
        <v/>
      </c>
      <c r="C448" s="161" t="str">
        <f>GasTime(GasAnalyser,'Horiba Data'!F441,'Horiba Data'!G441,'Testo, JUM &amp; MRU Data'!A442,'Thermo Data'!B441,HourOffset)</f>
        <v/>
      </c>
      <c r="D448" s="981" t="str">
        <f>IF(D$17=FALSE,"",GasData(GasAnalyser,'Horiba Data'!S441,'Testo, JUM &amp; MRU Data'!D442,'Thermo Data'!E441,'Testo, JUM &amp; MRU Data'!U442,GDF))</f>
        <v/>
      </c>
      <c r="E448" s="981" t="str">
        <f>IF(D448="","",Conc2(D448,D$9,MolVol,D$21,D$20,E$21,E$20))</f>
        <v/>
      </c>
      <c r="F448" s="981" t="str">
        <f>IF(F$17=FALSE,"",GasData(GasAnalyser,'Horiba Data'!AQ441,'Testo, JUM &amp; MRU Data'!E442,'Thermo Data'!F441,'Testo, JUM &amp; MRU Data'!V442,GDF))</f>
        <v/>
      </c>
      <c r="G448" s="981" t="str">
        <f>IF(F448="","",Conc2(F448,F$9,MolVol,F$21,F$20,G$21,G$20))</f>
        <v/>
      </c>
      <c r="H448" s="981" t="str">
        <f>IF(D$17=FALSE,"",IF(F$17=FALSE,"",GasData(GasAnalyser,'Horiba Data'!W441,'Testo, JUM &amp; MRU Data'!F442,'Thermo Data'!G441,'Testo, JUM &amp; MRU Data'!Y442,GDF)))</f>
        <v/>
      </c>
      <c r="I448" s="981" t="str">
        <f>IF(H448="","",Conc2(H448,H$9,MolVol,H$21,H$20,I$21,I$20))</f>
        <v/>
      </c>
      <c r="J448" s="981" t="str">
        <f>IF(J$17=FALSE,"",GasData(GasAnalyser,'Horiba Data'!AM441,'Testo, JUM &amp; MRU Data'!G442,'Thermo Data'!H441,'Testo, JUM &amp; MRU Data'!W442,GDF))</f>
        <v/>
      </c>
      <c r="K448" s="981" t="str">
        <f>IF(J448="","",Conc2(J448,J$9,MolVol,J$21,J$20,K$21,K$20))</f>
        <v/>
      </c>
      <c r="L448" s="981" t="str">
        <f>IF(L$17=FALSE,"",GasData(GasAnalyser,'Horiba Data'!AA441,'Testo, JUM &amp; MRU Data'!H442,'Thermo Data'!I441,'Testo, JUM &amp; MRU Data'!T442,GDF))</f>
        <v/>
      </c>
      <c r="M448" s="981" t="str">
        <f>IF(L448="","",Conc2(L448,L$9,MolVol,L$21,L$20,M$21,M$20))</f>
        <v/>
      </c>
      <c r="N448" s="981" t="str">
        <f>IF(N$17=FALSE,"",GasData(GasAnalyser,'Horiba Data'!AE441,'Testo, JUM &amp; MRU Data'!I442,'Thermo Data'!J441,'Testo, JUM &amp; MRU Data'!S442,GDF))</f>
        <v/>
      </c>
      <c r="O448" s="981" t="str">
        <f>IF(N448="","",Conc2(N448,N$9,MolVol,N$21,N$20,O$21,O$20))</f>
        <v/>
      </c>
      <c r="P448" s="981" t="str">
        <f>IF(P$17=FALSE,"",GasData(GasAnalyser,'Horiba Data'!AI441,'Testo, JUM &amp; MRU Data'!J442,'Thermo Data'!K441,'Testo, JUM &amp; MRU Data'!R442,GDF))</f>
        <v/>
      </c>
      <c r="Q448" s="981" t="str">
        <f>IF(P448="","",Conc2(P448,P$9,MolVol,P$21,P$20,Q$21,Q$20))</f>
        <v/>
      </c>
      <c r="R448" s="981" t="str">
        <f>IF(R$17=FALSE,"",JUMData('Testo, JUM &amp; MRU Data'!M442,$R$7))</f>
        <v/>
      </c>
      <c r="S448" s="982" t="str">
        <f>IF(R448="","",Conc2(R448,R$9,MolVol,R$21,R$20,S$21,S$20)/(1-Bws))</f>
        <v/>
      </c>
      <c r="T448" s="740"/>
      <c r="AR448" s="335"/>
      <c r="AS448" s="335"/>
      <c r="AT448" s="153"/>
      <c r="AU448" s="153"/>
      <c r="AV448" s="153"/>
      <c r="AW448" s="153"/>
      <c r="AX448" s="153"/>
      <c r="AY448" s="153"/>
      <c r="AZ448" s="153"/>
      <c r="BA448" s="153"/>
      <c r="BB448" s="153"/>
      <c r="BC448" s="153"/>
      <c r="BD448" s="153"/>
      <c r="BE448" s="153"/>
      <c r="BF448" s="153"/>
      <c r="BG448" s="153"/>
      <c r="BH448" s="153"/>
      <c r="BI448" s="153"/>
      <c r="BJ448" s="153"/>
      <c r="BK448" s="153"/>
      <c r="BL448" s="153"/>
      <c r="BM448" s="153"/>
      <c r="BN448" s="153"/>
      <c r="BO448" s="153"/>
      <c r="BP448" s="153"/>
      <c r="BQ448" s="153"/>
      <c r="BR448" s="153"/>
      <c r="BS448" s="153"/>
      <c r="BT448" s="153"/>
      <c r="BU448" s="153"/>
      <c r="BV448" s="153"/>
      <c r="BW448" s="153"/>
      <c r="BX448" s="153"/>
      <c r="BY448" s="153"/>
      <c r="BZ448" s="153"/>
      <c r="CA448" s="153"/>
      <c r="CB448" s="153"/>
      <c r="CC448" s="153"/>
      <c r="CD448" s="153"/>
      <c r="CE448" s="153"/>
      <c r="CF448" s="153"/>
      <c r="CG448" s="153"/>
      <c r="CH448" s="153"/>
      <c r="CI448" s="153"/>
      <c r="CJ448" s="153"/>
      <c r="CK448" s="153"/>
      <c r="CL448" s="153"/>
      <c r="CM448" s="153"/>
      <c r="CN448" s="153"/>
      <c r="CO448" s="153"/>
      <c r="CP448" s="153"/>
      <c r="CQ448" s="153"/>
      <c r="CR448" s="153"/>
      <c r="CS448" s="153"/>
      <c r="CT448" s="153"/>
      <c r="CU448" s="153"/>
      <c r="CV448" s="153"/>
      <c r="CW448" s="153"/>
      <c r="CX448" s="153"/>
      <c r="CY448" s="153"/>
      <c r="CZ448" s="153"/>
      <c r="DA448" s="153"/>
      <c r="DB448" s="153"/>
      <c r="DC448" s="153"/>
      <c r="DD448" s="153"/>
      <c r="DE448" s="153"/>
      <c r="DF448" s="153"/>
      <c r="DG448" s="153"/>
      <c r="DH448" s="153"/>
      <c r="DI448" s="153"/>
      <c r="DJ448" s="153"/>
      <c r="DK448" s="153"/>
      <c r="DL448" s="153"/>
      <c r="DM448" s="153"/>
      <c r="DN448" s="153"/>
      <c r="DO448" s="153"/>
      <c r="DP448" s="153"/>
      <c r="DQ448" s="153"/>
      <c r="DR448" s="153"/>
      <c r="DS448" s="153"/>
      <c r="DT448" s="153"/>
      <c r="DU448" s="153"/>
      <c r="DV448" s="153"/>
      <c r="DW448" s="153"/>
      <c r="DX448" s="153"/>
      <c r="DY448" s="153"/>
      <c r="DZ448" s="153"/>
      <c r="EA448" s="153"/>
      <c r="EB448" s="153"/>
      <c r="EC448" s="153"/>
      <c r="ED448" s="153"/>
      <c r="EE448" s="153"/>
      <c r="EF448" s="153"/>
      <c r="EG448" s="153"/>
      <c r="EH448" s="153"/>
      <c r="EI448" s="153"/>
      <c r="EJ448" s="153"/>
      <c r="EK448" s="153"/>
      <c r="EL448" s="153"/>
      <c r="EM448" s="153"/>
    </row>
    <row r="449" spans="1:143" s="107" customFormat="1" ht="10.5" hidden="1" customHeight="1" outlineLevel="2">
      <c r="A449" s="1548">
        <v>424</v>
      </c>
      <c r="B449" s="1560" t="str">
        <f t="shared" si="8"/>
        <v/>
      </c>
      <c r="C449" s="161" t="str">
        <f>GasTime(GasAnalyser,'Horiba Data'!F442,'Horiba Data'!G442,'Testo, JUM &amp; MRU Data'!A443,'Thermo Data'!B442,HourOffset)</f>
        <v/>
      </c>
      <c r="D449" s="981" t="str">
        <f>IF(D$17=FALSE,"",GasData(GasAnalyser,'Horiba Data'!S442,'Testo, JUM &amp; MRU Data'!D443,'Thermo Data'!E442,'Testo, JUM &amp; MRU Data'!U443,GDF))</f>
        <v/>
      </c>
      <c r="E449" s="981" t="str">
        <f>IF(D449="","",Conc2(D449,D$9,MolVol,D$21,D$20,E$21,E$20))</f>
        <v/>
      </c>
      <c r="F449" s="981" t="str">
        <f>IF(F$17=FALSE,"",GasData(GasAnalyser,'Horiba Data'!AQ442,'Testo, JUM &amp; MRU Data'!E443,'Thermo Data'!F442,'Testo, JUM &amp; MRU Data'!V443,GDF))</f>
        <v/>
      </c>
      <c r="G449" s="981" t="str">
        <f>IF(F449="","",Conc2(F449,F$9,MolVol,F$21,F$20,G$21,G$20))</f>
        <v/>
      </c>
      <c r="H449" s="981" t="str">
        <f>IF(D$17=FALSE,"",IF(F$17=FALSE,"",GasData(GasAnalyser,'Horiba Data'!W442,'Testo, JUM &amp; MRU Data'!F443,'Thermo Data'!G442,'Testo, JUM &amp; MRU Data'!Y443,GDF)))</f>
        <v/>
      </c>
      <c r="I449" s="981" t="str">
        <f>IF(H449="","",Conc2(H449,H$9,MolVol,H$21,H$20,I$21,I$20))</f>
        <v/>
      </c>
      <c r="J449" s="981" t="str">
        <f>IF(J$17=FALSE,"",GasData(GasAnalyser,'Horiba Data'!AM442,'Testo, JUM &amp; MRU Data'!G443,'Thermo Data'!H442,'Testo, JUM &amp; MRU Data'!W443,GDF))</f>
        <v/>
      </c>
      <c r="K449" s="981" t="str">
        <f>IF(J449="","",Conc2(J449,J$9,MolVol,J$21,J$20,K$21,K$20))</f>
        <v/>
      </c>
      <c r="L449" s="981" t="str">
        <f>IF(L$17=FALSE,"",GasData(GasAnalyser,'Horiba Data'!AA442,'Testo, JUM &amp; MRU Data'!H443,'Thermo Data'!I442,'Testo, JUM &amp; MRU Data'!T443,GDF))</f>
        <v/>
      </c>
      <c r="M449" s="981" t="str">
        <f>IF(L449="","",Conc2(L449,L$9,MolVol,L$21,L$20,M$21,M$20))</f>
        <v/>
      </c>
      <c r="N449" s="981" t="str">
        <f>IF(N$17=FALSE,"",GasData(GasAnalyser,'Horiba Data'!AE442,'Testo, JUM &amp; MRU Data'!I443,'Thermo Data'!J442,'Testo, JUM &amp; MRU Data'!S443,GDF))</f>
        <v/>
      </c>
      <c r="O449" s="981" t="str">
        <f>IF(N449="","",Conc2(N449,N$9,MolVol,N$21,N$20,O$21,O$20))</f>
        <v/>
      </c>
      <c r="P449" s="981" t="str">
        <f>IF(P$17=FALSE,"",GasData(GasAnalyser,'Horiba Data'!AI442,'Testo, JUM &amp; MRU Data'!J443,'Thermo Data'!K442,'Testo, JUM &amp; MRU Data'!R443,GDF))</f>
        <v/>
      </c>
      <c r="Q449" s="981" t="str">
        <f>IF(P449="","",Conc2(P449,P$9,MolVol,P$21,P$20,Q$21,Q$20))</f>
        <v/>
      </c>
      <c r="R449" s="981" t="str">
        <f>IF(R$17=FALSE,"",JUMData('Testo, JUM &amp; MRU Data'!M443,$R$7))</f>
        <v/>
      </c>
      <c r="S449" s="982" t="str">
        <f>IF(R449="","",Conc2(R449,R$9,MolVol,R$21,R$20,S$21,S$20)/(1-Bws))</f>
        <v/>
      </c>
      <c r="T449" s="740"/>
      <c r="AR449" s="335"/>
      <c r="AS449" s="335"/>
      <c r="AT449" s="153"/>
      <c r="AU449" s="153"/>
      <c r="AV449" s="153"/>
      <c r="AW449" s="153"/>
      <c r="AX449" s="153"/>
      <c r="AY449" s="153"/>
      <c r="AZ449" s="153"/>
      <c r="BA449" s="153"/>
      <c r="BB449" s="153"/>
      <c r="BC449" s="153"/>
      <c r="BD449" s="153"/>
      <c r="BE449" s="153"/>
      <c r="BF449" s="153"/>
      <c r="BG449" s="153"/>
      <c r="BH449" s="153"/>
      <c r="BI449" s="153"/>
      <c r="BJ449" s="153"/>
      <c r="BK449" s="153"/>
      <c r="BL449" s="153"/>
      <c r="BM449" s="153"/>
      <c r="BN449" s="153"/>
      <c r="BO449" s="153"/>
      <c r="BP449" s="153"/>
      <c r="BQ449" s="153"/>
      <c r="BR449" s="153"/>
      <c r="BS449" s="153"/>
      <c r="BT449" s="153"/>
      <c r="BU449" s="153"/>
      <c r="BV449" s="153"/>
      <c r="BW449" s="153"/>
      <c r="BX449" s="153"/>
      <c r="BY449" s="153"/>
      <c r="BZ449" s="153"/>
      <c r="CA449" s="153"/>
      <c r="CB449" s="153"/>
      <c r="CC449" s="153"/>
      <c r="CD449" s="153"/>
      <c r="CE449" s="153"/>
      <c r="CF449" s="153"/>
      <c r="CG449" s="153"/>
      <c r="CH449" s="153"/>
      <c r="CI449" s="153"/>
      <c r="CJ449" s="153"/>
      <c r="CK449" s="153"/>
      <c r="CL449" s="153"/>
      <c r="CM449" s="153"/>
      <c r="CN449" s="153"/>
      <c r="CO449" s="153"/>
      <c r="CP449" s="153"/>
      <c r="CQ449" s="153"/>
      <c r="CR449" s="153"/>
      <c r="CS449" s="153"/>
      <c r="CT449" s="153"/>
      <c r="CU449" s="153"/>
      <c r="CV449" s="153"/>
      <c r="CW449" s="153"/>
      <c r="CX449" s="153"/>
      <c r="CY449" s="153"/>
      <c r="CZ449" s="153"/>
      <c r="DA449" s="153"/>
      <c r="DB449" s="153"/>
      <c r="DC449" s="153"/>
      <c r="DD449" s="153"/>
      <c r="DE449" s="153"/>
      <c r="DF449" s="153"/>
      <c r="DG449" s="153"/>
      <c r="DH449" s="153"/>
      <c r="DI449" s="153"/>
      <c r="DJ449" s="153"/>
      <c r="DK449" s="153"/>
      <c r="DL449" s="153"/>
      <c r="DM449" s="153"/>
      <c r="DN449" s="153"/>
      <c r="DO449" s="153"/>
      <c r="DP449" s="153"/>
      <c r="DQ449" s="153"/>
      <c r="DR449" s="153"/>
      <c r="DS449" s="153"/>
      <c r="DT449" s="153"/>
      <c r="DU449" s="153"/>
      <c r="DV449" s="153"/>
      <c r="DW449" s="153"/>
      <c r="DX449" s="153"/>
      <c r="DY449" s="153"/>
      <c r="DZ449" s="153"/>
      <c r="EA449" s="153"/>
      <c r="EB449" s="153"/>
      <c r="EC449" s="153"/>
      <c r="ED449" s="153"/>
      <c r="EE449" s="153"/>
      <c r="EF449" s="153"/>
      <c r="EG449" s="153"/>
      <c r="EH449" s="153"/>
      <c r="EI449" s="153"/>
      <c r="EJ449" s="153"/>
      <c r="EK449" s="153"/>
      <c r="EL449" s="153"/>
      <c r="EM449" s="153"/>
    </row>
    <row r="450" spans="1:143" s="107" customFormat="1" ht="10.5" hidden="1" customHeight="1" outlineLevel="2">
      <c r="A450" s="1548">
        <v>425</v>
      </c>
      <c r="B450" s="1560" t="str">
        <f t="shared" si="8"/>
        <v/>
      </c>
      <c r="C450" s="161" t="str">
        <f>GasTime(GasAnalyser,'Horiba Data'!F443,'Horiba Data'!G443,'Testo, JUM &amp; MRU Data'!A444,'Thermo Data'!B443,HourOffset)</f>
        <v/>
      </c>
      <c r="D450" s="981" t="str">
        <f>IF(D$17=FALSE,"",GasData(GasAnalyser,'Horiba Data'!S443,'Testo, JUM &amp; MRU Data'!D444,'Thermo Data'!E443,'Testo, JUM &amp; MRU Data'!U444,GDF))</f>
        <v/>
      </c>
      <c r="E450" s="981" t="str">
        <f>IF(D450="","",Conc2(D450,D$9,MolVol,D$21,D$20,E$21,E$20))</f>
        <v/>
      </c>
      <c r="F450" s="981" t="str">
        <f>IF(F$17=FALSE,"",GasData(GasAnalyser,'Horiba Data'!AQ443,'Testo, JUM &amp; MRU Data'!E444,'Thermo Data'!F443,'Testo, JUM &amp; MRU Data'!V444,GDF))</f>
        <v/>
      </c>
      <c r="G450" s="981" t="str">
        <f>IF(F450="","",Conc2(F450,F$9,MolVol,F$21,F$20,G$21,G$20))</f>
        <v/>
      </c>
      <c r="H450" s="981" t="str">
        <f>IF(D$17=FALSE,"",IF(F$17=FALSE,"",GasData(GasAnalyser,'Horiba Data'!W443,'Testo, JUM &amp; MRU Data'!F444,'Thermo Data'!G443,'Testo, JUM &amp; MRU Data'!Y444,GDF)))</f>
        <v/>
      </c>
      <c r="I450" s="981" t="str">
        <f>IF(H450="","",Conc2(H450,H$9,MolVol,H$21,H$20,I$21,I$20))</f>
        <v/>
      </c>
      <c r="J450" s="981" t="str">
        <f>IF(J$17=FALSE,"",GasData(GasAnalyser,'Horiba Data'!AM443,'Testo, JUM &amp; MRU Data'!G444,'Thermo Data'!H443,'Testo, JUM &amp; MRU Data'!W444,GDF))</f>
        <v/>
      </c>
      <c r="K450" s="981" t="str">
        <f>IF(J450="","",Conc2(J450,J$9,MolVol,J$21,J$20,K$21,K$20))</f>
        <v/>
      </c>
      <c r="L450" s="981" t="str">
        <f>IF(L$17=FALSE,"",GasData(GasAnalyser,'Horiba Data'!AA443,'Testo, JUM &amp; MRU Data'!H444,'Thermo Data'!I443,'Testo, JUM &amp; MRU Data'!T444,GDF))</f>
        <v/>
      </c>
      <c r="M450" s="981" t="str">
        <f>IF(L450="","",Conc2(L450,L$9,MolVol,L$21,L$20,M$21,M$20))</f>
        <v/>
      </c>
      <c r="N450" s="981" t="str">
        <f>IF(N$17=FALSE,"",GasData(GasAnalyser,'Horiba Data'!AE443,'Testo, JUM &amp; MRU Data'!I444,'Thermo Data'!J443,'Testo, JUM &amp; MRU Data'!S444,GDF))</f>
        <v/>
      </c>
      <c r="O450" s="981" t="str">
        <f>IF(N450="","",Conc2(N450,N$9,MolVol,N$21,N$20,O$21,O$20))</f>
        <v/>
      </c>
      <c r="P450" s="981" t="str">
        <f>IF(P$17=FALSE,"",GasData(GasAnalyser,'Horiba Data'!AI443,'Testo, JUM &amp; MRU Data'!J444,'Thermo Data'!K443,'Testo, JUM &amp; MRU Data'!R444,GDF))</f>
        <v/>
      </c>
      <c r="Q450" s="981" t="str">
        <f>IF(P450="","",Conc2(P450,P$9,MolVol,P$21,P$20,Q$21,Q$20))</f>
        <v/>
      </c>
      <c r="R450" s="981" t="str">
        <f>IF(R$17=FALSE,"",JUMData('Testo, JUM &amp; MRU Data'!M444,$R$7))</f>
        <v/>
      </c>
      <c r="S450" s="982" t="str">
        <f>IF(R450="","",Conc2(R450,R$9,MolVol,R$21,R$20,S$21,S$20)/(1-Bws))</f>
        <v/>
      </c>
      <c r="T450" s="740"/>
      <c r="AR450" s="335"/>
      <c r="AS450" s="335"/>
      <c r="AT450" s="153"/>
      <c r="AU450" s="153"/>
      <c r="AV450" s="153"/>
      <c r="AW450" s="153"/>
      <c r="AX450" s="153"/>
      <c r="AY450" s="153"/>
      <c r="AZ450" s="153"/>
      <c r="BA450" s="153"/>
      <c r="BB450" s="153"/>
      <c r="BC450" s="153"/>
      <c r="BD450" s="153"/>
      <c r="BE450" s="153"/>
      <c r="BF450" s="153"/>
      <c r="BG450" s="153"/>
      <c r="BH450" s="153"/>
      <c r="BI450" s="153"/>
      <c r="BJ450" s="153"/>
      <c r="BK450" s="153"/>
      <c r="BL450" s="153"/>
      <c r="BM450" s="153"/>
      <c r="BN450" s="153"/>
      <c r="BO450" s="153"/>
      <c r="BP450" s="153"/>
      <c r="BQ450" s="153"/>
      <c r="BR450" s="153"/>
      <c r="BS450" s="153"/>
      <c r="BT450" s="153"/>
      <c r="BU450" s="153"/>
      <c r="BV450" s="153"/>
      <c r="BW450" s="153"/>
      <c r="BX450" s="153"/>
      <c r="BY450" s="153"/>
      <c r="BZ450" s="153"/>
      <c r="CA450" s="153"/>
      <c r="CB450" s="153"/>
      <c r="CC450" s="153"/>
      <c r="CD450" s="153"/>
      <c r="CE450" s="153"/>
      <c r="CF450" s="153"/>
      <c r="CG450" s="153"/>
      <c r="CH450" s="153"/>
      <c r="CI450" s="153"/>
      <c r="CJ450" s="153"/>
      <c r="CK450" s="153"/>
      <c r="CL450" s="153"/>
      <c r="CM450" s="153"/>
      <c r="CN450" s="153"/>
      <c r="CO450" s="153"/>
      <c r="CP450" s="153"/>
      <c r="CQ450" s="153"/>
      <c r="CR450" s="153"/>
      <c r="CS450" s="153"/>
      <c r="CT450" s="153"/>
      <c r="CU450" s="153"/>
      <c r="CV450" s="153"/>
      <c r="CW450" s="153"/>
      <c r="CX450" s="153"/>
      <c r="CY450" s="153"/>
      <c r="CZ450" s="153"/>
      <c r="DA450" s="153"/>
      <c r="DB450" s="153"/>
      <c r="DC450" s="153"/>
      <c r="DD450" s="153"/>
      <c r="DE450" s="153"/>
      <c r="DF450" s="153"/>
      <c r="DG450" s="153"/>
      <c r="DH450" s="153"/>
      <c r="DI450" s="153"/>
      <c r="DJ450" s="153"/>
      <c r="DK450" s="153"/>
      <c r="DL450" s="153"/>
      <c r="DM450" s="153"/>
      <c r="DN450" s="153"/>
      <c r="DO450" s="153"/>
      <c r="DP450" s="153"/>
      <c r="DQ450" s="153"/>
      <c r="DR450" s="153"/>
      <c r="DS450" s="153"/>
      <c r="DT450" s="153"/>
      <c r="DU450" s="153"/>
      <c r="DV450" s="153"/>
      <c r="DW450" s="153"/>
      <c r="DX450" s="153"/>
      <c r="DY450" s="153"/>
      <c r="DZ450" s="153"/>
      <c r="EA450" s="153"/>
      <c r="EB450" s="153"/>
      <c r="EC450" s="153"/>
      <c r="ED450" s="153"/>
      <c r="EE450" s="153"/>
      <c r="EF450" s="153"/>
      <c r="EG450" s="153"/>
      <c r="EH450" s="153"/>
      <c r="EI450" s="153"/>
      <c r="EJ450" s="153"/>
      <c r="EK450" s="153"/>
      <c r="EL450" s="153"/>
      <c r="EM450" s="153"/>
    </row>
    <row r="451" spans="1:143" s="107" customFormat="1" ht="10.5" hidden="1" customHeight="1" outlineLevel="2">
      <c r="A451" s="1548">
        <v>426</v>
      </c>
      <c r="B451" s="1560" t="str">
        <f t="shared" si="8"/>
        <v/>
      </c>
      <c r="C451" s="161" t="str">
        <f>GasTime(GasAnalyser,'Horiba Data'!F444,'Horiba Data'!G444,'Testo, JUM &amp; MRU Data'!A445,'Thermo Data'!B444,HourOffset)</f>
        <v/>
      </c>
      <c r="D451" s="981" t="str">
        <f>IF(D$17=FALSE,"",GasData(GasAnalyser,'Horiba Data'!S444,'Testo, JUM &amp; MRU Data'!D445,'Thermo Data'!E444,'Testo, JUM &amp; MRU Data'!U445,GDF))</f>
        <v/>
      </c>
      <c r="E451" s="981" t="str">
        <f>IF(D451="","",Conc2(D451,D$9,MolVol,D$21,D$20,E$21,E$20))</f>
        <v/>
      </c>
      <c r="F451" s="981" t="str">
        <f>IF(F$17=FALSE,"",GasData(GasAnalyser,'Horiba Data'!AQ444,'Testo, JUM &amp; MRU Data'!E445,'Thermo Data'!F444,'Testo, JUM &amp; MRU Data'!V445,GDF))</f>
        <v/>
      </c>
      <c r="G451" s="981" t="str">
        <f>IF(F451="","",Conc2(F451,F$9,MolVol,F$21,F$20,G$21,G$20))</f>
        <v/>
      </c>
      <c r="H451" s="981" t="str">
        <f>IF(D$17=FALSE,"",IF(F$17=FALSE,"",GasData(GasAnalyser,'Horiba Data'!W444,'Testo, JUM &amp; MRU Data'!F445,'Thermo Data'!G444,'Testo, JUM &amp; MRU Data'!Y445,GDF)))</f>
        <v/>
      </c>
      <c r="I451" s="981" t="str">
        <f>IF(H451="","",Conc2(H451,H$9,MolVol,H$21,H$20,I$21,I$20))</f>
        <v/>
      </c>
      <c r="J451" s="981" t="str">
        <f>IF(J$17=FALSE,"",GasData(GasAnalyser,'Horiba Data'!AM444,'Testo, JUM &amp; MRU Data'!G445,'Thermo Data'!H444,'Testo, JUM &amp; MRU Data'!W445,GDF))</f>
        <v/>
      </c>
      <c r="K451" s="981" t="str">
        <f>IF(J451="","",Conc2(J451,J$9,MolVol,J$21,J$20,K$21,K$20))</f>
        <v/>
      </c>
      <c r="L451" s="981" t="str">
        <f>IF(L$17=FALSE,"",GasData(GasAnalyser,'Horiba Data'!AA444,'Testo, JUM &amp; MRU Data'!H445,'Thermo Data'!I444,'Testo, JUM &amp; MRU Data'!T445,GDF))</f>
        <v/>
      </c>
      <c r="M451" s="981" t="str">
        <f>IF(L451="","",Conc2(L451,L$9,MolVol,L$21,L$20,M$21,M$20))</f>
        <v/>
      </c>
      <c r="N451" s="981" t="str">
        <f>IF(N$17=FALSE,"",GasData(GasAnalyser,'Horiba Data'!AE444,'Testo, JUM &amp; MRU Data'!I445,'Thermo Data'!J444,'Testo, JUM &amp; MRU Data'!S445,GDF))</f>
        <v/>
      </c>
      <c r="O451" s="981" t="str">
        <f>IF(N451="","",Conc2(N451,N$9,MolVol,N$21,N$20,O$21,O$20))</f>
        <v/>
      </c>
      <c r="P451" s="981" t="str">
        <f>IF(P$17=FALSE,"",GasData(GasAnalyser,'Horiba Data'!AI444,'Testo, JUM &amp; MRU Data'!J445,'Thermo Data'!K444,'Testo, JUM &amp; MRU Data'!R445,GDF))</f>
        <v/>
      </c>
      <c r="Q451" s="981" t="str">
        <f>IF(P451="","",Conc2(P451,P$9,MolVol,P$21,P$20,Q$21,Q$20))</f>
        <v/>
      </c>
      <c r="R451" s="981" t="str">
        <f>IF(R$17=FALSE,"",JUMData('Testo, JUM &amp; MRU Data'!M445,$R$7))</f>
        <v/>
      </c>
      <c r="S451" s="982" t="str">
        <f>IF(R451="","",Conc2(R451,R$9,MolVol,R$21,R$20,S$21,S$20)/(1-Bws))</f>
        <v/>
      </c>
      <c r="T451" s="740"/>
      <c r="AR451" s="335"/>
      <c r="AS451" s="335"/>
      <c r="AT451" s="153"/>
      <c r="AU451" s="153"/>
      <c r="AV451" s="153"/>
      <c r="AW451" s="153"/>
      <c r="AX451" s="153"/>
      <c r="AY451" s="153"/>
      <c r="AZ451" s="153"/>
      <c r="BA451" s="153"/>
      <c r="BB451" s="153"/>
      <c r="BC451" s="153"/>
      <c r="BD451" s="153"/>
      <c r="BE451" s="153"/>
      <c r="BF451" s="153"/>
      <c r="BG451" s="153"/>
      <c r="BH451" s="153"/>
      <c r="BI451" s="153"/>
      <c r="BJ451" s="153"/>
      <c r="BK451" s="153"/>
      <c r="BL451" s="153"/>
      <c r="BM451" s="153"/>
      <c r="BN451" s="153"/>
      <c r="BO451" s="153"/>
      <c r="BP451" s="153"/>
      <c r="BQ451" s="153"/>
      <c r="BR451" s="153"/>
      <c r="BS451" s="153"/>
      <c r="BT451" s="153"/>
      <c r="BU451" s="153"/>
      <c r="BV451" s="153"/>
      <c r="BW451" s="153"/>
      <c r="BX451" s="153"/>
      <c r="BY451" s="153"/>
      <c r="BZ451" s="153"/>
      <c r="CA451" s="153"/>
      <c r="CB451" s="153"/>
      <c r="CC451" s="153"/>
      <c r="CD451" s="153"/>
      <c r="CE451" s="153"/>
      <c r="CF451" s="153"/>
      <c r="CG451" s="153"/>
      <c r="CH451" s="153"/>
      <c r="CI451" s="153"/>
      <c r="CJ451" s="153"/>
      <c r="CK451" s="153"/>
      <c r="CL451" s="153"/>
      <c r="CM451" s="153"/>
      <c r="CN451" s="153"/>
      <c r="CO451" s="153"/>
      <c r="CP451" s="153"/>
      <c r="CQ451" s="153"/>
      <c r="CR451" s="153"/>
      <c r="CS451" s="153"/>
      <c r="CT451" s="153"/>
      <c r="CU451" s="153"/>
      <c r="CV451" s="153"/>
      <c r="CW451" s="153"/>
      <c r="CX451" s="153"/>
      <c r="CY451" s="153"/>
      <c r="CZ451" s="153"/>
      <c r="DA451" s="153"/>
      <c r="DB451" s="153"/>
      <c r="DC451" s="153"/>
      <c r="DD451" s="153"/>
      <c r="DE451" s="153"/>
      <c r="DF451" s="153"/>
      <c r="DG451" s="153"/>
      <c r="DH451" s="153"/>
      <c r="DI451" s="153"/>
      <c r="DJ451" s="153"/>
      <c r="DK451" s="153"/>
      <c r="DL451" s="153"/>
      <c r="DM451" s="153"/>
      <c r="DN451" s="153"/>
      <c r="DO451" s="153"/>
      <c r="DP451" s="153"/>
      <c r="DQ451" s="153"/>
      <c r="DR451" s="153"/>
      <c r="DS451" s="153"/>
      <c r="DT451" s="153"/>
      <c r="DU451" s="153"/>
      <c r="DV451" s="153"/>
      <c r="DW451" s="153"/>
      <c r="DX451" s="153"/>
      <c r="DY451" s="153"/>
      <c r="DZ451" s="153"/>
      <c r="EA451" s="153"/>
      <c r="EB451" s="153"/>
      <c r="EC451" s="153"/>
      <c r="ED451" s="153"/>
      <c r="EE451" s="153"/>
      <c r="EF451" s="153"/>
      <c r="EG451" s="153"/>
      <c r="EH451" s="153"/>
      <c r="EI451" s="153"/>
      <c r="EJ451" s="153"/>
      <c r="EK451" s="153"/>
      <c r="EL451" s="153"/>
      <c r="EM451" s="153"/>
    </row>
    <row r="452" spans="1:143" s="107" customFormat="1" ht="10.5" hidden="1" customHeight="1" outlineLevel="2">
      <c r="A452" s="1548">
        <v>427</v>
      </c>
      <c r="B452" s="1560" t="str">
        <f t="shared" si="8"/>
        <v/>
      </c>
      <c r="C452" s="161" t="str">
        <f>GasTime(GasAnalyser,'Horiba Data'!F445,'Horiba Data'!G445,'Testo, JUM &amp; MRU Data'!A446,'Thermo Data'!B445,HourOffset)</f>
        <v/>
      </c>
      <c r="D452" s="981" t="str">
        <f>IF(D$17=FALSE,"",GasData(GasAnalyser,'Horiba Data'!S445,'Testo, JUM &amp; MRU Data'!D446,'Thermo Data'!E445,'Testo, JUM &amp; MRU Data'!U446,GDF))</f>
        <v/>
      </c>
      <c r="E452" s="981" t="str">
        <f>IF(D452="","",Conc2(D452,D$9,MolVol,D$21,D$20,E$21,E$20))</f>
        <v/>
      </c>
      <c r="F452" s="981" t="str">
        <f>IF(F$17=FALSE,"",GasData(GasAnalyser,'Horiba Data'!AQ445,'Testo, JUM &amp; MRU Data'!E446,'Thermo Data'!F445,'Testo, JUM &amp; MRU Data'!V446,GDF))</f>
        <v/>
      </c>
      <c r="G452" s="981" t="str">
        <f>IF(F452="","",Conc2(F452,F$9,MolVol,F$21,F$20,G$21,G$20))</f>
        <v/>
      </c>
      <c r="H452" s="981" t="str">
        <f>IF(D$17=FALSE,"",IF(F$17=FALSE,"",GasData(GasAnalyser,'Horiba Data'!W445,'Testo, JUM &amp; MRU Data'!F446,'Thermo Data'!G445,'Testo, JUM &amp; MRU Data'!Y446,GDF)))</f>
        <v/>
      </c>
      <c r="I452" s="981" t="str">
        <f>IF(H452="","",Conc2(H452,H$9,MolVol,H$21,H$20,I$21,I$20))</f>
        <v/>
      </c>
      <c r="J452" s="981" t="str">
        <f>IF(J$17=FALSE,"",GasData(GasAnalyser,'Horiba Data'!AM445,'Testo, JUM &amp; MRU Data'!G446,'Thermo Data'!H445,'Testo, JUM &amp; MRU Data'!W446,GDF))</f>
        <v/>
      </c>
      <c r="K452" s="981" t="str">
        <f>IF(J452="","",Conc2(J452,J$9,MolVol,J$21,J$20,K$21,K$20))</f>
        <v/>
      </c>
      <c r="L452" s="981" t="str">
        <f>IF(L$17=FALSE,"",GasData(GasAnalyser,'Horiba Data'!AA445,'Testo, JUM &amp; MRU Data'!H446,'Thermo Data'!I445,'Testo, JUM &amp; MRU Data'!T446,GDF))</f>
        <v/>
      </c>
      <c r="M452" s="981" t="str">
        <f>IF(L452="","",Conc2(L452,L$9,MolVol,L$21,L$20,M$21,M$20))</f>
        <v/>
      </c>
      <c r="N452" s="981" t="str">
        <f>IF(N$17=FALSE,"",GasData(GasAnalyser,'Horiba Data'!AE445,'Testo, JUM &amp; MRU Data'!I446,'Thermo Data'!J445,'Testo, JUM &amp; MRU Data'!S446,GDF))</f>
        <v/>
      </c>
      <c r="O452" s="981" t="str">
        <f>IF(N452="","",Conc2(N452,N$9,MolVol,N$21,N$20,O$21,O$20))</f>
        <v/>
      </c>
      <c r="P452" s="981" t="str">
        <f>IF(P$17=FALSE,"",GasData(GasAnalyser,'Horiba Data'!AI445,'Testo, JUM &amp; MRU Data'!J446,'Thermo Data'!K445,'Testo, JUM &amp; MRU Data'!R446,GDF))</f>
        <v/>
      </c>
      <c r="Q452" s="981" t="str">
        <f>IF(P452="","",Conc2(P452,P$9,MolVol,P$21,P$20,Q$21,Q$20))</f>
        <v/>
      </c>
      <c r="R452" s="981" t="str">
        <f>IF(R$17=FALSE,"",JUMData('Testo, JUM &amp; MRU Data'!M446,$R$7))</f>
        <v/>
      </c>
      <c r="S452" s="982" t="str">
        <f>IF(R452="","",Conc2(R452,R$9,MolVol,R$21,R$20,S$21,S$20)/(1-Bws))</f>
        <v/>
      </c>
      <c r="T452" s="740"/>
      <c r="AR452" s="335"/>
      <c r="AS452" s="335"/>
      <c r="AT452" s="153"/>
      <c r="AU452" s="153"/>
      <c r="AV452" s="153"/>
      <c r="AW452" s="153"/>
      <c r="AX452" s="153"/>
      <c r="AY452" s="153"/>
      <c r="AZ452" s="153"/>
      <c r="BA452" s="153"/>
      <c r="BB452" s="153"/>
      <c r="BC452" s="153"/>
      <c r="BD452" s="153"/>
      <c r="BE452" s="153"/>
      <c r="BF452" s="153"/>
      <c r="BG452" s="153"/>
      <c r="BH452" s="153"/>
      <c r="BI452" s="153"/>
      <c r="BJ452" s="153"/>
      <c r="BK452" s="153"/>
      <c r="BL452" s="153"/>
      <c r="BM452" s="153"/>
      <c r="BN452" s="153"/>
      <c r="BO452" s="153"/>
      <c r="BP452" s="153"/>
      <c r="BQ452" s="153"/>
      <c r="BR452" s="153"/>
      <c r="BS452" s="153"/>
      <c r="BT452" s="153"/>
      <c r="BU452" s="153"/>
      <c r="BV452" s="153"/>
      <c r="BW452" s="153"/>
      <c r="BX452" s="153"/>
      <c r="BY452" s="153"/>
      <c r="BZ452" s="153"/>
      <c r="CA452" s="153"/>
      <c r="CB452" s="153"/>
      <c r="CC452" s="153"/>
      <c r="CD452" s="153"/>
      <c r="CE452" s="153"/>
      <c r="CF452" s="153"/>
      <c r="CG452" s="153"/>
      <c r="CH452" s="153"/>
      <c r="CI452" s="153"/>
      <c r="CJ452" s="153"/>
      <c r="CK452" s="153"/>
      <c r="CL452" s="153"/>
      <c r="CM452" s="153"/>
      <c r="CN452" s="153"/>
      <c r="CO452" s="153"/>
      <c r="CP452" s="153"/>
      <c r="CQ452" s="153"/>
      <c r="CR452" s="153"/>
      <c r="CS452" s="153"/>
      <c r="CT452" s="153"/>
      <c r="CU452" s="153"/>
      <c r="CV452" s="153"/>
      <c r="CW452" s="153"/>
      <c r="CX452" s="153"/>
      <c r="CY452" s="153"/>
      <c r="CZ452" s="153"/>
      <c r="DA452" s="153"/>
      <c r="DB452" s="153"/>
      <c r="DC452" s="153"/>
      <c r="DD452" s="153"/>
      <c r="DE452" s="153"/>
      <c r="DF452" s="153"/>
      <c r="DG452" s="153"/>
      <c r="DH452" s="153"/>
      <c r="DI452" s="153"/>
      <c r="DJ452" s="153"/>
      <c r="DK452" s="153"/>
      <c r="DL452" s="153"/>
      <c r="DM452" s="153"/>
      <c r="DN452" s="153"/>
      <c r="DO452" s="153"/>
      <c r="DP452" s="153"/>
      <c r="DQ452" s="153"/>
      <c r="DR452" s="153"/>
      <c r="DS452" s="153"/>
      <c r="DT452" s="153"/>
      <c r="DU452" s="153"/>
      <c r="DV452" s="153"/>
      <c r="DW452" s="153"/>
      <c r="DX452" s="153"/>
      <c r="DY452" s="153"/>
      <c r="DZ452" s="153"/>
      <c r="EA452" s="153"/>
      <c r="EB452" s="153"/>
      <c r="EC452" s="153"/>
      <c r="ED452" s="153"/>
      <c r="EE452" s="153"/>
      <c r="EF452" s="153"/>
      <c r="EG452" s="153"/>
      <c r="EH452" s="153"/>
      <c r="EI452" s="153"/>
      <c r="EJ452" s="153"/>
      <c r="EK452" s="153"/>
      <c r="EL452" s="153"/>
      <c r="EM452" s="153"/>
    </row>
    <row r="453" spans="1:143" s="107" customFormat="1" ht="10.5" hidden="1" customHeight="1" outlineLevel="2">
      <c r="A453" s="1548">
        <v>428</v>
      </c>
      <c r="B453" s="1560" t="str">
        <f t="shared" si="8"/>
        <v/>
      </c>
      <c r="C453" s="161" t="str">
        <f>GasTime(GasAnalyser,'Horiba Data'!F446,'Horiba Data'!G446,'Testo, JUM &amp; MRU Data'!A447,'Thermo Data'!B446,HourOffset)</f>
        <v/>
      </c>
      <c r="D453" s="981" t="str">
        <f>IF(D$17=FALSE,"",GasData(GasAnalyser,'Horiba Data'!S446,'Testo, JUM &amp; MRU Data'!D447,'Thermo Data'!E446,'Testo, JUM &amp; MRU Data'!U447,GDF))</f>
        <v/>
      </c>
      <c r="E453" s="981" t="str">
        <f>IF(D453="","",Conc2(D453,D$9,MolVol,D$21,D$20,E$21,E$20))</f>
        <v/>
      </c>
      <c r="F453" s="981" t="str">
        <f>IF(F$17=FALSE,"",GasData(GasAnalyser,'Horiba Data'!AQ446,'Testo, JUM &amp; MRU Data'!E447,'Thermo Data'!F446,'Testo, JUM &amp; MRU Data'!V447,GDF))</f>
        <v/>
      </c>
      <c r="G453" s="981" t="str">
        <f>IF(F453="","",Conc2(F453,F$9,MolVol,F$21,F$20,G$21,G$20))</f>
        <v/>
      </c>
      <c r="H453" s="981" t="str">
        <f>IF(D$17=FALSE,"",IF(F$17=FALSE,"",GasData(GasAnalyser,'Horiba Data'!W446,'Testo, JUM &amp; MRU Data'!F447,'Thermo Data'!G446,'Testo, JUM &amp; MRU Data'!Y447,GDF)))</f>
        <v/>
      </c>
      <c r="I453" s="981" t="str">
        <f>IF(H453="","",Conc2(H453,H$9,MolVol,H$21,H$20,I$21,I$20))</f>
        <v/>
      </c>
      <c r="J453" s="981" t="str">
        <f>IF(J$17=FALSE,"",GasData(GasAnalyser,'Horiba Data'!AM446,'Testo, JUM &amp; MRU Data'!G447,'Thermo Data'!H446,'Testo, JUM &amp; MRU Data'!W447,GDF))</f>
        <v/>
      </c>
      <c r="K453" s="981" t="str">
        <f>IF(J453="","",Conc2(J453,J$9,MolVol,J$21,J$20,K$21,K$20))</f>
        <v/>
      </c>
      <c r="L453" s="981" t="str">
        <f>IF(L$17=FALSE,"",GasData(GasAnalyser,'Horiba Data'!AA446,'Testo, JUM &amp; MRU Data'!H447,'Thermo Data'!I446,'Testo, JUM &amp; MRU Data'!T447,GDF))</f>
        <v/>
      </c>
      <c r="M453" s="981" t="str">
        <f>IF(L453="","",Conc2(L453,L$9,MolVol,L$21,L$20,M$21,M$20))</f>
        <v/>
      </c>
      <c r="N453" s="981" t="str">
        <f>IF(N$17=FALSE,"",GasData(GasAnalyser,'Horiba Data'!AE446,'Testo, JUM &amp; MRU Data'!I447,'Thermo Data'!J446,'Testo, JUM &amp; MRU Data'!S447,GDF))</f>
        <v/>
      </c>
      <c r="O453" s="981" t="str">
        <f>IF(N453="","",Conc2(N453,N$9,MolVol,N$21,N$20,O$21,O$20))</f>
        <v/>
      </c>
      <c r="P453" s="981" t="str">
        <f>IF(P$17=FALSE,"",GasData(GasAnalyser,'Horiba Data'!AI446,'Testo, JUM &amp; MRU Data'!J447,'Thermo Data'!K446,'Testo, JUM &amp; MRU Data'!R447,GDF))</f>
        <v/>
      </c>
      <c r="Q453" s="981" t="str">
        <f>IF(P453="","",Conc2(P453,P$9,MolVol,P$21,P$20,Q$21,Q$20))</f>
        <v/>
      </c>
      <c r="R453" s="981" t="str">
        <f>IF(R$17=FALSE,"",JUMData('Testo, JUM &amp; MRU Data'!M447,$R$7))</f>
        <v/>
      </c>
      <c r="S453" s="982" t="str">
        <f>IF(R453="","",Conc2(R453,R$9,MolVol,R$21,R$20,S$21,S$20)/(1-Bws))</f>
        <v/>
      </c>
      <c r="T453" s="740"/>
      <c r="AR453" s="335"/>
      <c r="AS453" s="335"/>
      <c r="AT453" s="153"/>
      <c r="AU453" s="153"/>
      <c r="AV453" s="153"/>
      <c r="AW453" s="153"/>
      <c r="AX453" s="153"/>
      <c r="AY453" s="153"/>
      <c r="AZ453" s="153"/>
      <c r="BA453" s="153"/>
      <c r="BB453" s="153"/>
      <c r="BC453" s="153"/>
      <c r="BD453" s="153"/>
      <c r="BE453" s="153"/>
      <c r="BF453" s="153"/>
      <c r="BG453" s="153"/>
      <c r="BH453" s="153"/>
      <c r="BI453" s="153"/>
      <c r="BJ453" s="153"/>
      <c r="BK453" s="153"/>
      <c r="BL453" s="153"/>
      <c r="BM453" s="153"/>
      <c r="BN453" s="153"/>
      <c r="BO453" s="153"/>
      <c r="BP453" s="153"/>
      <c r="BQ453" s="153"/>
      <c r="BR453" s="153"/>
      <c r="BS453" s="153"/>
      <c r="BT453" s="153"/>
      <c r="BU453" s="153"/>
      <c r="BV453" s="153"/>
      <c r="BW453" s="153"/>
      <c r="BX453" s="153"/>
      <c r="BY453" s="153"/>
      <c r="BZ453" s="153"/>
      <c r="CA453" s="153"/>
      <c r="CB453" s="153"/>
      <c r="CC453" s="153"/>
      <c r="CD453" s="153"/>
      <c r="CE453" s="153"/>
      <c r="CF453" s="153"/>
      <c r="CG453" s="153"/>
      <c r="CH453" s="153"/>
      <c r="CI453" s="153"/>
      <c r="CJ453" s="153"/>
      <c r="CK453" s="153"/>
      <c r="CL453" s="153"/>
      <c r="CM453" s="153"/>
      <c r="CN453" s="153"/>
      <c r="CO453" s="153"/>
      <c r="CP453" s="153"/>
      <c r="CQ453" s="153"/>
      <c r="CR453" s="153"/>
      <c r="CS453" s="153"/>
      <c r="CT453" s="153"/>
      <c r="CU453" s="153"/>
      <c r="CV453" s="153"/>
      <c r="CW453" s="153"/>
      <c r="CX453" s="153"/>
      <c r="CY453" s="153"/>
      <c r="CZ453" s="153"/>
      <c r="DA453" s="153"/>
      <c r="DB453" s="153"/>
      <c r="DC453" s="153"/>
      <c r="DD453" s="153"/>
      <c r="DE453" s="153"/>
      <c r="DF453" s="153"/>
      <c r="DG453" s="153"/>
      <c r="DH453" s="153"/>
      <c r="DI453" s="153"/>
      <c r="DJ453" s="153"/>
      <c r="DK453" s="153"/>
      <c r="DL453" s="153"/>
      <c r="DM453" s="153"/>
      <c r="DN453" s="153"/>
      <c r="DO453" s="153"/>
      <c r="DP453" s="153"/>
      <c r="DQ453" s="153"/>
      <c r="DR453" s="153"/>
      <c r="DS453" s="153"/>
      <c r="DT453" s="153"/>
      <c r="DU453" s="153"/>
      <c r="DV453" s="153"/>
      <c r="DW453" s="153"/>
      <c r="DX453" s="153"/>
      <c r="DY453" s="153"/>
      <c r="DZ453" s="153"/>
      <c r="EA453" s="153"/>
      <c r="EB453" s="153"/>
      <c r="EC453" s="153"/>
      <c r="ED453" s="153"/>
      <c r="EE453" s="153"/>
      <c r="EF453" s="153"/>
      <c r="EG453" s="153"/>
      <c r="EH453" s="153"/>
      <c r="EI453" s="153"/>
      <c r="EJ453" s="153"/>
      <c r="EK453" s="153"/>
      <c r="EL453" s="153"/>
      <c r="EM453" s="153"/>
    </row>
    <row r="454" spans="1:143" s="107" customFormat="1" ht="10.5" hidden="1" customHeight="1" outlineLevel="2">
      <c r="A454" s="1548">
        <v>429</v>
      </c>
      <c r="B454" s="1560" t="str">
        <f t="shared" si="8"/>
        <v/>
      </c>
      <c r="C454" s="161" t="str">
        <f>GasTime(GasAnalyser,'Horiba Data'!F447,'Horiba Data'!G447,'Testo, JUM &amp; MRU Data'!A448,'Thermo Data'!B447,HourOffset)</f>
        <v/>
      </c>
      <c r="D454" s="981" t="str">
        <f>IF(D$17=FALSE,"",GasData(GasAnalyser,'Horiba Data'!S447,'Testo, JUM &amp; MRU Data'!D448,'Thermo Data'!E447,'Testo, JUM &amp; MRU Data'!U448,GDF))</f>
        <v/>
      </c>
      <c r="E454" s="981" t="str">
        <f>IF(D454="","",Conc2(D454,D$9,MolVol,D$21,D$20,E$21,E$20))</f>
        <v/>
      </c>
      <c r="F454" s="981" t="str">
        <f>IF(F$17=FALSE,"",GasData(GasAnalyser,'Horiba Data'!AQ447,'Testo, JUM &amp; MRU Data'!E448,'Thermo Data'!F447,'Testo, JUM &amp; MRU Data'!V448,GDF))</f>
        <v/>
      </c>
      <c r="G454" s="981" t="str">
        <f>IF(F454="","",Conc2(F454,F$9,MolVol,F$21,F$20,G$21,G$20))</f>
        <v/>
      </c>
      <c r="H454" s="981" t="str">
        <f>IF(D$17=FALSE,"",IF(F$17=FALSE,"",GasData(GasAnalyser,'Horiba Data'!W447,'Testo, JUM &amp; MRU Data'!F448,'Thermo Data'!G447,'Testo, JUM &amp; MRU Data'!Y448,GDF)))</f>
        <v/>
      </c>
      <c r="I454" s="981" t="str">
        <f>IF(H454="","",Conc2(H454,H$9,MolVol,H$21,H$20,I$21,I$20))</f>
        <v/>
      </c>
      <c r="J454" s="981" t="str">
        <f>IF(J$17=FALSE,"",GasData(GasAnalyser,'Horiba Data'!AM447,'Testo, JUM &amp; MRU Data'!G448,'Thermo Data'!H447,'Testo, JUM &amp; MRU Data'!W448,GDF))</f>
        <v/>
      </c>
      <c r="K454" s="981" t="str">
        <f>IF(J454="","",Conc2(J454,J$9,MolVol,J$21,J$20,K$21,K$20))</f>
        <v/>
      </c>
      <c r="L454" s="981" t="str">
        <f>IF(L$17=FALSE,"",GasData(GasAnalyser,'Horiba Data'!AA447,'Testo, JUM &amp; MRU Data'!H448,'Thermo Data'!I447,'Testo, JUM &amp; MRU Data'!T448,GDF))</f>
        <v/>
      </c>
      <c r="M454" s="981" t="str">
        <f>IF(L454="","",Conc2(L454,L$9,MolVol,L$21,L$20,M$21,M$20))</f>
        <v/>
      </c>
      <c r="N454" s="981" t="str">
        <f>IF(N$17=FALSE,"",GasData(GasAnalyser,'Horiba Data'!AE447,'Testo, JUM &amp; MRU Data'!I448,'Thermo Data'!J447,'Testo, JUM &amp; MRU Data'!S448,GDF))</f>
        <v/>
      </c>
      <c r="O454" s="981" t="str">
        <f>IF(N454="","",Conc2(N454,N$9,MolVol,N$21,N$20,O$21,O$20))</f>
        <v/>
      </c>
      <c r="P454" s="981" t="str">
        <f>IF(P$17=FALSE,"",GasData(GasAnalyser,'Horiba Data'!AI447,'Testo, JUM &amp; MRU Data'!J448,'Thermo Data'!K447,'Testo, JUM &amp; MRU Data'!R448,GDF))</f>
        <v/>
      </c>
      <c r="Q454" s="981" t="str">
        <f>IF(P454="","",Conc2(P454,P$9,MolVol,P$21,P$20,Q$21,Q$20))</f>
        <v/>
      </c>
      <c r="R454" s="981" t="str">
        <f>IF(R$17=FALSE,"",JUMData('Testo, JUM &amp; MRU Data'!M448,$R$7))</f>
        <v/>
      </c>
      <c r="S454" s="982" t="str">
        <f>IF(R454="","",Conc2(R454,R$9,MolVol,R$21,R$20,S$21,S$20)/(1-Bws))</f>
        <v/>
      </c>
      <c r="T454" s="740"/>
      <c r="AR454" s="335"/>
      <c r="AS454" s="335"/>
      <c r="AT454" s="153"/>
      <c r="AU454" s="153"/>
      <c r="AV454" s="153"/>
      <c r="AW454" s="153"/>
      <c r="AX454" s="153"/>
      <c r="AY454" s="153"/>
      <c r="AZ454" s="153"/>
      <c r="BA454" s="153"/>
      <c r="BB454" s="153"/>
      <c r="BC454" s="153"/>
      <c r="BD454" s="153"/>
      <c r="BE454" s="153"/>
      <c r="BF454" s="153"/>
      <c r="BG454" s="153"/>
      <c r="BH454" s="153"/>
      <c r="BI454" s="153"/>
      <c r="BJ454" s="153"/>
      <c r="BK454" s="153"/>
      <c r="BL454" s="153"/>
      <c r="BM454" s="153"/>
      <c r="BN454" s="153"/>
      <c r="BO454" s="153"/>
      <c r="BP454" s="153"/>
      <c r="BQ454" s="153"/>
      <c r="BR454" s="153"/>
      <c r="BS454" s="153"/>
      <c r="BT454" s="153"/>
      <c r="BU454" s="153"/>
      <c r="BV454" s="153"/>
      <c r="BW454" s="153"/>
      <c r="BX454" s="153"/>
      <c r="BY454" s="153"/>
      <c r="BZ454" s="153"/>
      <c r="CA454" s="153"/>
      <c r="CB454" s="153"/>
      <c r="CC454" s="153"/>
      <c r="CD454" s="153"/>
      <c r="CE454" s="153"/>
      <c r="CF454" s="153"/>
      <c r="CG454" s="153"/>
      <c r="CH454" s="153"/>
      <c r="CI454" s="153"/>
      <c r="CJ454" s="153"/>
      <c r="CK454" s="153"/>
      <c r="CL454" s="153"/>
      <c r="CM454" s="153"/>
      <c r="CN454" s="153"/>
      <c r="CO454" s="153"/>
      <c r="CP454" s="153"/>
      <c r="CQ454" s="153"/>
      <c r="CR454" s="153"/>
      <c r="CS454" s="153"/>
      <c r="CT454" s="153"/>
      <c r="CU454" s="153"/>
      <c r="CV454" s="153"/>
      <c r="CW454" s="153"/>
      <c r="CX454" s="153"/>
      <c r="CY454" s="153"/>
      <c r="CZ454" s="153"/>
      <c r="DA454" s="153"/>
      <c r="DB454" s="153"/>
      <c r="DC454" s="153"/>
      <c r="DD454" s="153"/>
      <c r="DE454" s="153"/>
      <c r="DF454" s="153"/>
      <c r="DG454" s="153"/>
      <c r="DH454" s="153"/>
      <c r="DI454" s="153"/>
      <c r="DJ454" s="153"/>
      <c r="DK454" s="153"/>
      <c r="DL454" s="153"/>
      <c r="DM454" s="153"/>
      <c r="DN454" s="153"/>
      <c r="DO454" s="153"/>
      <c r="DP454" s="153"/>
      <c r="DQ454" s="153"/>
      <c r="DR454" s="153"/>
      <c r="DS454" s="153"/>
      <c r="DT454" s="153"/>
      <c r="DU454" s="153"/>
      <c r="DV454" s="153"/>
      <c r="DW454" s="153"/>
      <c r="DX454" s="153"/>
      <c r="DY454" s="153"/>
      <c r="DZ454" s="153"/>
      <c r="EA454" s="153"/>
      <c r="EB454" s="153"/>
      <c r="EC454" s="153"/>
      <c r="ED454" s="153"/>
      <c r="EE454" s="153"/>
      <c r="EF454" s="153"/>
      <c r="EG454" s="153"/>
      <c r="EH454" s="153"/>
      <c r="EI454" s="153"/>
      <c r="EJ454" s="153"/>
      <c r="EK454" s="153"/>
      <c r="EL454" s="153"/>
      <c r="EM454" s="153"/>
    </row>
    <row r="455" spans="1:143" s="107" customFormat="1" ht="10.5" hidden="1" customHeight="1" outlineLevel="2">
      <c r="A455" s="1548">
        <v>430</v>
      </c>
      <c r="B455" s="1560" t="str">
        <f t="shared" si="8"/>
        <v/>
      </c>
      <c r="C455" s="161" t="str">
        <f>GasTime(GasAnalyser,'Horiba Data'!F448,'Horiba Data'!G448,'Testo, JUM &amp; MRU Data'!A449,'Thermo Data'!B448,HourOffset)</f>
        <v/>
      </c>
      <c r="D455" s="981" t="str">
        <f>IF(D$17=FALSE,"",GasData(GasAnalyser,'Horiba Data'!S448,'Testo, JUM &amp; MRU Data'!D449,'Thermo Data'!E448,'Testo, JUM &amp; MRU Data'!U449,GDF))</f>
        <v/>
      </c>
      <c r="E455" s="981" t="str">
        <f>IF(D455="","",Conc2(D455,D$9,MolVol,D$21,D$20,E$21,E$20))</f>
        <v/>
      </c>
      <c r="F455" s="981" t="str">
        <f>IF(F$17=FALSE,"",GasData(GasAnalyser,'Horiba Data'!AQ448,'Testo, JUM &amp; MRU Data'!E449,'Thermo Data'!F448,'Testo, JUM &amp; MRU Data'!V449,GDF))</f>
        <v/>
      </c>
      <c r="G455" s="981" t="str">
        <f>IF(F455="","",Conc2(F455,F$9,MolVol,F$21,F$20,G$21,G$20))</f>
        <v/>
      </c>
      <c r="H455" s="981" t="str">
        <f>IF(D$17=FALSE,"",IF(F$17=FALSE,"",GasData(GasAnalyser,'Horiba Data'!W448,'Testo, JUM &amp; MRU Data'!F449,'Thermo Data'!G448,'Testo, JUM &amp; MRU Data'!Y449,GDF)))</f>
        <v/>
      </c>
      <c r="I455" s="981" t="str">
        <f>IF(H455="","",Conc2(H455,H$9,MolVol,H$21,H$20,I$21,I$20))</f>
        <v/>
      </c>
      <c r="J455" s="981" t="str">
        <f>IF(J$17=FALSE,"",GasData(GasAnalyser,'Horiba Data'!AM448,'Testo, JUM &amp; MRU Data'!G449,'Thermo Data'!H448,'Testo, JUM &amp; MRU Data'!W449,GDF))</f>
        <v/>
      </c>
      <c r="K455" s="981" t="str">
        <f>IF(J455="","",Conc2(J455,J$9,MolVol,J$21,J$20,K$21,K$20))</f>
        <v/>
      </c>
      <c r="L455" s="981" t="str">
        <f>IF(L$17=FALSE,"",GasData(GasAnalyser,'Horiba Data'!AA448,'Testo, JUM &amp; MRU Data'!H449,'Thermo Data'!I448,'Testo, JUM &amp; MRU Data'!T449,GDF))</f>
        <v/>
      </c>
      <c r="M455" s="981" t="str">
        <f>IF(L455="","",Conc2(L455,L$9,MolVol,L$21,L$20,M$21,M$20))</f>
        <v/>
      </c>
      <c r="N455" s="981" t="str">
        <f>IF(N$17=FALSE,"",GasData(GasAnalyser,'Horiba Data'!AE448,'Testo, JUM &amp; MRU Data'!I449,'Thermo Data'!J448,'Testo, JUM &amp; MRU Data'!S449,GDF))</f>
        <v/>
      </c>
      <c r="O455" s="981" t="str">
        <f>IF(N455="","",Conc2(N455,N$9,MolVol,N$21,N$20,O$21,O$20))</f>
        <v/>
      </c>
      <c r="P455" s="981" t="str">
        <f>IF(P$17=FALSE,"",GasData(GasAnalyser,'Horiba Data'!AI448,'Testo, JUM &amp; MRU Data'!J449,'Thermo Data'!K448,'Testo, JUM &amp; MRU Data'!R449,GDF))</f>
        <v/>
      </c>
      <c r="Q455" s="981" t="str">
        <f>IF(P455="","",Conc2(P455,P$9,MolVol,P$21,P$20,Q$21,Q$20))</f>
        <v/>
      </c>
      <c r="R455" s="981" t="str">
        <f>IF(R$17=FALSE,"",JUMData('Testo, JUM &amp; MRU Data'!M449,$R$7))</f>
        <v/>
      </c>
      <c r="S455" s="982" t="str">
        <f>IF(R455="","",Conc2(R455,R$9,MolVol,R$21,R$20,S$21,S$20)/(1-Bws))</f>
        <v/>
      </c>
      <c r="T455" s="740"/>
      <c r="AR455" s="335"/>
      <c r="AS455" s="335"/>
      <c r="AT455" s="153"/>
      <c r="AU455" s="153"/>
      <c r="AV455" s="153"/>
      <c r="AW455" s="153"/>
      <c r="AX455" s="153"/>
      <c r="AY455" s="153"/>
      <c r="AZ455" s="153"/>
      <c r="BA455" s="153"/>
      <c r="BB455" s="153"/>
      <c r="BC455" s="153"/>
      <c r="BD455" s="153"/>
      <c r="BE455" s="153"/>
      <c r="BF455" s="153"/>
      <c r="BG455" s="153"/>
      <c r="BH455" s="153"/>
      <c r="BI455" s="153"/>
      <c r="BJ455" s="153"/>
      <c r="BK455" s="153"/>
      <c r="BL455" s="153"/>
      <c r="BM455" s="153"/>
      <c r="BN455" s="153"/>
      <c r="BO455" s="153"/>
      <c r="BP455" s="153"/>
      <c r="BQ455" s="153"/>
      <c r="BR455" s="153"/>
      <c r="BS455" s="153"/>
      <c r="BT455" s="153"/>
      <c r="BU455" s="153"/>
      <c r="BV455" s="153"/>
      <c r="BW455" s="153"/>
      <c r="BX455" s="153"/>
      <c r="BY455" s="153"/>
      <c r="BZ455" s="153"/>
      <c r="CA455" s="153"/>
      <c r="CB455" s="153"/>
      <c r="CC455" s="153"/>
      <c r="CD455" s="153"/>
      <c r="CE455" s="153"/>
      <c r="CF455" s="153"/>
      <c r="CG455" s="153"/>
      <c r="CH455" s="153"/>
      <c r="CI455" s="153"/>
      <c r="CJ455" s="153"/>
      <c r="CK455" s="153"/>
      <c r="CL455" s="153"/>
      <c r="CM455" s="153"/>
      <c r="CN455" s="153"/>
      <c r="CO455" s="153"/>
      <c r="CP455" s="153"/>
      <c r="CQ455" s="153"/>
      <c r="CR455" s="153"/>
      <c r="CS455" s="153"/>
      <c r="CT455" s="153"/>
      <c r="CU455" s="153"/>
      <c r="CV455" s="153"/>
      <c r="CW455" s="153"/>
      <c r="CX455" s="153"/>
      <c r="CY455" s="153"/>
      <c r="CZ455" s="153"/>
      <c r="DA455" s="153"/>
      <c r="DB455" s="153"/>
      <c r="DC455" s="153"/>
      <c r="DD455" s="153"/>
      <c r="DE455" s="153"/>
      <c r="DF455" s="153"/>
      <c r="DG455" s="153"/>
      <c r="DH455" s="153"/>
      <c r="DI455" s="153"/>
      <c r="DJ455" s="153"/>
      <c r="DK455" s="153"/>
      <c r="DL455" s="153"/>
      <c r="DM455" s="153"/>
      <c r="DN455" s="153"/>
      <c r="DO455" s="153"/>
      <c r="DP455" s="153"/>
      <c r="DQ455" s="153"/>
      <c r="DR455" s="153"/>
      <c r="DS455" s="153"/>
      <c r="DT455" s="153"/>
      <c r="DU455" s="153"/>
      <c r="DV455" s="153"/>
      <c r="DW455" s="153"/>
      <c r="DX455" s="153"/>
      <c r="DY455" s="153"/>
      <c r="DZ455" s="153"/>
      <c r="EA455" s="153"/>
      <c r="EB455" s="153"/>
      <c r="EC455" s="153"/>
      <c r="ED455" s="153"/>
      <c r="EE455" s="153"/>
      <c r="EF455" s="153"/>
      <c r="EG455" s="153"/>
      <c r="EH455" s="153"/>
      <c r="EI455" s="153"/>
      <c r="EJ455" s="153"/>
      <c r="EK455" s="153"/>
      <c r="EL455" s="153"/>
      <c r="EM455" s="153"/>
    </row>
    <row r="456" spans="1:143" s="107" customFormat="1" ht="10.5" hidden="1" customHeight="1" outlineLevel="2">
      <c r="A456" s="1548">
        <v>431</v>
      </c>
      <c r="B456" s="1560" t="str">
        <f t="shared" si="8"/>
        <v/>
      </c>
      <c r="C456" s="161" t="str">
        <f>GasTime(GasAnalyser,'Horiba Data'!F449,'Horiba Data'!G449,'Testo, JUM &amp; MRU Data'!A450,'Thermo Data'!B449,HourOffset)</f>
        <v/>
      </c>
      <c r="D456" s="981" t="str">
        <f>IF(D$17=FALSE,"",GasData(GasAnalyser,'Horiba Data'!S449,'Testo, JUM &amp; MRU Data'!D450,'Thermo Data'!E449,'Testo, JUM &amp; MRU Data'!U450,GDF))</f>
        <v/>
      </c>
      <c r="E456" s="981" t="str">
        <f>IF(D456="","",Conc2(D456,D$9,MolVol,D$21,D$20,E$21,E$20))</f>
        <v/>
      </c>
      <c r="F456" s="981" t="str">
        <f>IF(F$17=FALSE,"",GasData(GasAnalyser,'Horiba Data'!AQ449,'Testo, JUM &amp; MRU Data'!E450,'Thermo Data'!F449,'Testo, JUM &amp; MRU Data'!V450,GDF))</f>
        <v/>
      </c>
      <c r="G456" s="981" t="str">
        <f>IF(F456="","",Conc2(F456,F$9,MolVol,F$21,F$20,G$21,G$20))</f>
        <v/>
      </c>
      <c r="H456" s="981" t="str">
        <f>IF(D$17=FALSE,"",IF(F$17=FALSE,"",GasData(GasAnalyser,'Horiba Data'!W449,'Testo, JUM &amp; MRU Data'!F450,'Thermo Data'!G449,'Testo, JUM &amp; MRU Data'!Y450,GDF)))</f>
        <v/>
      </c>
      <c r="I456" s="981" t="str">
        <f>IF(H456="","",Conc2(H456,H$9,MolVol,H$21,H$20,I$21,I$20))</f>
        <v/>
      </c>
      <c r="J456" s="981" t="str">
        <f>IF(J$17=FALSE,"",GasData(GasAnalyser,'Horiba Data'!AM449,'Testo, JUM &amp; MRU Data'!G450,'Thermo Data'!H449,'Testo, JUM &amp; MRU Data'!W450,GDF))</f>
        <v/>
      </c>
      <c r="K456" s="981" t="str">
        <f>IF(J456="","",Conc2(J456,J$9,MolVol,J$21,J$20,K$21,K$20))</f>
        <v/>
      </c>
      <c r="L456" s="981" t="str">
        <f>IF(L$17=FALSE,"",GasData(GasAnalyser,'Horiba Data'!AA449,'Testo, JUM &amp; MRU Data'!H450,'Thermo Data'!I449,'Testo, JUM &amp; MRU Data'!T450,GDF))</f>
        <v/>
      </c>
      <c r="M456" s="981" t="str">
        <f>IF(L456="","",Conc2(L456,L$9,MolVol,L$21,L$20,M$21,M$20))</f>
        <v/>
      </c>
      <c r="N456" s="981" t="str">
        <f>IF(N$17=FALSE,"",GasData(GasAnalyser,'Horiba Data'!AE449,'Testo, JUM &amp; MRU Data'!I450,'Thermo Data'!J449,'Testo, JUM &amp; MRU Data'!S450,GDF))</f>
        <v/>
      </c>
      <c r="O456" s="981" t="str">
        <f>IF(N456="","",Conc2(N456,N$9,MolVol,N$21,N$20,O$21,O$20))</f>
        <v/>
      </c>
      <c r="P456" s="981" t="str">
        <f>IF(P$17=FALSE,"",GasData(GasAnalyser,'Horiba Data'!AI449,'Testo, JUM &amp; MRU Data'!J450,'Thermo Data'!K449,'Testo, JUM &amp; MRU Data'!R450,GDF))</f>
        <v/>
      </c>
      <c r="Q456" s="981" t="str">
        <f>IF(P456="","",Conc2(P456,P$9,MolVol,P$21,P$20,Q$21,Q$20))</f>
        <v/>
      </c>
      <c r="R456" s="981" t="str">
        <f>IF(R$17=FALSE,"",JUMData('Testo, JUM &amp; MRU Data'!M450,$R$7))</f>
        <v/>
      </c>
      <c r="S456" s="982" t="str">
        <f>IF(R456="","",Conc2(R456,R$9,MolVol,R$21,R$20,S$21,S$20)/(1-Bws))</f>
        <v/>
      </c>
      <c r="T456" s="740"/>
      <c r="AR456" s="335"/>
      <c r="AS456" s="335"/>
      <c r="AT456" s="153"/>
      <c r="AU456" s="153"/>
      <c r="AV456" s="153"/>
      <c r="AW456" s="153"/>
      <c r="AX456" s="153"/>
      <c r="AY456" s="153"/>
      <c r="AZ456" s="153"/>
      <c r="BA456" s="153"/>
      <c r="BB456" s="153"/>
      <c r="BC456" s="153"/>
      <c r="BD456" s="153"/>
      <c r="BE456" s="153"/>
      <c r="BF456" s="153"/>
      <c r="BG456" s="153"/>
      <c r="BH456" s="153"/>
      <c r="BI456" s="153"/>
      <c r="BJ456" s="153"/>
      <c r="BK456" s="153"/>
      <c r="BL456" s="153"/>
      <c r="BM456" s="153"/>
      <c r="BN456" s="153"/>
      <c r="BO456" s="153"/>
      <c r="BP456" s="153"/>
      <c r="BQ456" s="153"/>
      <c r="BR456" s="153"/>
      <c r="BS456" s="153"/>
      <c r="BT456" s="153"/>
      <c r="BU456" s="153"/>
      <c r="BV456" s="153"/>
      <c r="BW456" s="153"/>
      <c r="BX456" s="153"/>
      <c r="BY456" s="153"/>
      <c r="BZ456" s="153"/>
      <c r="CA456" s="153"/>
      <c r="CB456" s="153"/>
      <c r="CC456" s="153"/>
      <c r="CD456" s="153"/>
      <c r="CE456" s="153"/>
      <c r="CF456" s="153"/>
      <c r="CG456" s="153"/>
      <c r="CH456" s="153"/>
      <c r="CI456" s="153"/>
      <c r="CJ456" s="153"/>
      <c r="CK456" s="153"/>
      <c r="CL456" s="153"/>
      <c r="CM456" s="153"/>
      <c r="CN456" s="153"/>
      <c r="CO456" s="153"/>
      <c r="CP456" s="153"/>
      <c r="CQ456" s="153"/>
      <c r="CR456" s="153"/>
      <c r="CS456" s="153"/>
      <c r="CT456" s="153"/>
      <c r="CU456" s="153"/>
      <c r="CV456" s="153"/>
      <c r="CW456" s="153"/>
      <c r="CX456" s="153"/>
      <c r="CY456" s="153"/>
      <c r="CZ456" s="153"/>
      <c r="DA456" s="153"/>
      <c r="DB456" s="153"/>
      <c r="DC456" s="153"/>
      <c r="DD456" s="153"/>
      <c r="DE456" s="153"/>
      <c r="DF456" s="153"/>
      <c r="DG456" s="153"/>
      <c r="DH456" s="153"/>
      <c r="DI456" s="153"/>
      <c r="DJ456" s="153"/>
      <c r="DK456" s="153"/>
      <c r="DL456" s="153"/>
      <c r="DM456" s="153"/>
      <c r="DN456" s="153"/>
      <c r="DO456" s="153"/>
      <c r="DP456" s="153"/>
      <c r="DQ456" s="153"/>
      <c r="DR456" s="153"/>
      <c r="DS456" s="153"/>
      <c r="DT456" s="153"/>
      <c r="DU456" s="153"/>
      <c r="DV456" s="153"/>
      <c r="DW456" s="153"/>
      <c r="DX456" s="153"/>
      <c r="DY456" s="153"/>
      <c r="DZ456" s="153"/>
      <c r="EA456" s="153"/>
      <c r="EB456" s="153"/>
      <c r="EC456" s="153"/>
      <c r="ED456" s="153"/>
      <c r="EE456" s="153"/>
      <c r="EF456" s="153"/>
      <c r="EG456" s="153"/>
      <c r="EH456" s="153"/>
      <c r="EI456" s="153"/>
      <c r="EJ456" s="153"/>
      <c r="EK456" s="153"/>
      <c r="EL456" s="153"/>
      <c r="EM456" s="153"/>
    </row>
    <row r="457" spans="1:143" s="107" customFormat="1" ht="10.5" hidden="1" customHeight="1" outlineLevel="2">
      <c r="A457" s="1548">
        <v>432</v>
      </c>
      <c r="B457" s="1560" t="str">
        <f t="shared" si="8"/>
        <v/>
      </c>
      <c r="C457" s="161" t="str">
        <f>GasTime(GasAnalyser,'Horiba Data'!F450,'Horiba Data'!G450,'Testo, JUM &amp; MRU Data'!A451,'Thermo Data'!B450,HourOffset)</f>
        <v/>
      </c>
      <c r="D457" s="981" t="str">
        <f>IF(D$17=FALSE,"",GasData(GasAnalyser,'Horiba Data'!S450,'Testo, JUM &amp; MRU Data'!D451,'Thermo Data'!E450,'Testo, JUM &amp; MRU Data'!U451,GDF))</f>
        <v/>
      </c>
      <c r="E457" s="981" t="str">
        <f>IF(D457="","",Conc2(D457,D$9,MolVol,D$21,D$20,E$21,E$20))</f>
        <v/>
      </c>
      <c r="F457" s="981" t="str">
        <f>IF(F$17=FALSE,"",GasData(GasAnalyser,'Horiba Data'!AQ450,'Testo, JUM &amp; MRU Data'!E451,'Thermo Data'!F450,'Testo, JUM &amp; MRU Data'!V451,GDF))</f>
        <v/>
      </c>
      <c r="G457" s="981" t="str">
        <f>IF(F457="","",Conc2(F457,F$9,MolVol,F$21,F$20,G$21,G$20))</f>
        <v/>
      </c>
      <c r="H457" s="981" t="str">
        <f>IF(D$17=FALSE,"",IF(F$17=FALSE,"",GasData(GasAnalyser,'Horiba Data'!W450,'Testo, JUM &amp; MRU Data'!F451,'Thermo Data'!G450,'Testo, JUM &amp; MRU Data'!Y451,GDF)))</f>
        <v/>
      </c>
      <c r="I457" s="981" t="str">
        <f>IF(H457="","",Conc2(H457,H$9,MolVol,H$21,H$20,I$21,I$20))</f>
        <v/>
      </c>
      <c r="J457" s="981" t="str">
        <f>IF(J$17=FALSE,"",GasData(GasAnalyser,'Horiba Data'!AM450,'Testo, JUM &amp; MRU Data'!G451,'Thermo Data'!H450,'Testo, JUM &amp; MRU Data'!W451,GDF))</f>
        <v/>
      </c>
      <c r="K457" s="981" t="str">
        <f>IF(J457="","",Conc2(J457,J$9,MolVol,J$21,J$20,K$21,K$20))</f>
        <v/>
      </c>
      <c r="L457" s="981" t="str">
        <f>IF(L$17=FALSE,"",GasData(GasAnalyser,'Horiba Data'!AA450,'Testo, JUM &amp; MRU Data'!H451,'Thermo Data'!I450,'Testo, JUM &amp; MRU Data'!T451,GDF))</f>
        <v/>
      </c>
      <c r="M457" s="981" t="str">
        <f>IF(L457="","",Conc2(L457,L$9,MolVol,L$21,L$20,M$21,M$20))</f>
        <v/>
      </c>
      <c r="N457" s="981" t="str">
        <f>IF(N$17=FALSE,"",GasData(GasAnalyser,'Horiba Data'!AE450,'Testo, JUM &amp; MRU Data'!I451,'Thermo Data'!J450,'Testo, JUM &amp; MRU Data'!S451,GDF))</f>
        <v/>
      </c>
      <c r="O457" s="981" t="str">
        <f>IF(N457="","",Conc2(N457,N$9,MolVol,N$21,N$20,O$21,O$20))</f>
        <v/>
      </c>
      <c r="P457" s="981" t="str">
        <f>IF(P$17=FALSE,"",GasData(GasAnalyser,'Horiba Data'!AI450,'Testo, JUM &amp; MRU Data'!J451,'Thermo Data'!K450,'Testo, JUM &amp; MRU Data'!R451,GDF))</f>
        <v/>
      </c>
      <c r="Q457" s="981" t="str">
        <f>IF(P457="","",Conc2(P457,P$9,MolVol,P$21,P$20,Q$21,Q$20))</f>
        <v/>
      </c>
      <c r="R457" s="981" t="str">
        <f>IF(R$17=FALSE,"",JUMData('Testo, JUM &amp; MRU Data'!M451,$R$7))</f>
        <v/>
      </c>
      <c r="S457" s="982" t="str">
        <f>IF(R457="","",Conc2(R457,R$9,MolVol,R$21,R$20,S$21,S$20)/(1-Bws))</f>
        <v/>
      </c>
      <c r="T457" s="740"/>
      <c r="AR457" s="335"/>
      <c r="AS457" s="335"/>
      <c r="AT457" s="153"/>
      <c r="AU457" s="153"/>
      <c r="AV457" s="153"/>
      <c r="AW457" s="153"/>
      <c r="AX457" s="153"/>
      <c r="AY457" s="153"/>
      <c r="AZ457" s="153"/>
      <c r="BA457" s="153"/>
      <c r="BB457" s="153"/>
      <c r="BC457" s="153"/>
      <c r="BD457" s="153"/>
      <c r="BE457" s="153"/>
      <c r="BF457" s="153"/>
      <c r="BG457" s="153"/>
      <c r="BH457" s="153"/>
      <c r="BI457" s="153"/>
      <c r="BJ457" s="153"/>
      <c r="BK457" s="153"/>
      <c r="BL457" s="153"/>
      <c r="BM457" s="153"/>
      <c r="BN457" s="153"/>
      <c r="BO457" s="153"/>
      <c r="BP457" s="153"/>
      <c r="BQ457" s="153"/>
      <c r="BR457" s="153"/>
      <c r="BS457" s="153"/>
      <c r="BT457" s="153"/>
      <c r="BU457" s="153"/>
      <c r="BV457" s="153"/>
      <c r="BW457" s="153"/>
      <c r="BX457" s="153"/>
      <c r="BY457" s="153"/>
      <c r="BZ457" s="153"/>
      <c r="CA457" s="153"/>
      <c r="CB457" s="153"/>
      <c r="CC457" s="153"/>
      <c r="CD457" s="153"/>
      <c r="CE457" s="153"/>
      <c r="CF457" s="153"/>
      <c r="CG457" s="153"/>
      <c r="CH457" s="153"/>
      <c r="CI457" s="153"/>
      <c r="CJ457" s="153"/>
      <c r="CK457" s="153"/>
      <c r="CL457" s="153"/>
      <c r="CM457" s="153"/>
      <c r="CN457" s="153"/>
      <c r="CO457" s="153"/>
      <c r="CP457" s="153"/>
      <c r="CQ457" s="153"/>
      <c r="CR457" s="153"/>
      <c r="CS457" s="153"/>
      <c r="CT457" s="153"/>
      <c r="CU457" s="153"/>
      <c r="CV457" s="153"/>
      <c r="CW457" s="153"/>
      <c r="CX457" s="153"/>
      <c r="CY457" s="153"/>
      <c r="CZ457" s="153"/>
      <c r="DA457" s="153"/>
      <c r="DB457" s="153"/>
      <c r="DC457" s="153"/>
      <c r="DD457" s="153"/>
      <c r="DE457" s="153"/>
      <c r="DF457" s="153"/>
      <c r="DG457" s="153"/>
      <c r="DH457" s="153"/>
      <c r="DI457" s="153"/>
      <c r="DJ457" s="153"/>
      <c r="DK457" s="153"/>
      <c r="DL457" s="153"/>
      <c r="DM457" s="153"/>
      <c r="DN457" s="153"/>
      <c r="DO457" s="153"/>
      <c r="DP457" s="153"/>
      <c r="DQ457" s="153"/>
      <c r="DR457" s="153"/>
      <c r="DS457" s="153"/>
      <c r="DT457" s="153"/>
      <c r="DU457" s="153"/>
      <c r="DV457" s="153"/>
      <c r="DW457" s="153"/>
      <c r="DX457" s="153"/>
      <c r="DY457" s="153"/>
      <c r="DZ457" s="153"/>
      <c r="EA457" s="153"/>
      <c r="EB457" s="153"/>
      <c r="EC457" s="153"/>
      <c r="ED457" s="153"/>
      <c r="EE457" s="153"/>
      <c r="EF457" s="153"/>
      <c r="EG457" s="153"/>
      <c r="EH457" s="153"/>
      <c r="EI457" s="153"/>
      <c r="EJ457" s="153"/>
      <c r="EK457" s="153"/>
      <c r="EL457" s="153"/>
      <c r="EM457" s="153"/>
    </row>
    <row r="458" spans="1:143" s="107" customFormat="1" ht="10.5" hidden="1" customHeight="1" outlineLevel="2">
      <c r="A458" s="1548">
        <v>433</v>
      </c>
      <c r="B458" s="1560" t="str">
        <f t="shared" si="8"/>
        <v/>
      </c>
      <c r="C458" s="161" t="str">
        <f>GasTime(GasAnalyser,'Horiba Data'!F451,'Horiba Data'!G451,'Testo, JUM &amp; MRU Data'!A452,'Thermo Data'!B451,HourOffset)</f>
        <v/>
      </c>
      <c r="D458" s="981" t="str">
        <f>IF(D$17=FALSE,"",GasData(GasAnalyser,'Horiba Data'!S451,'Testo, JUM &amp; MRU Data'!D452,'Thermo Data'!E451,'Testo, JUM &amp; MRU Data'!U452,GDF))</f>
        <v/>
      </c>
      <c r="E458" s="981" t="str">
        <f>IF(D458="","",Conc2(D458,D$9,MolVol,D$21,D$20,E$21,E$20))</f>
        <v/>
      </c>
      <c r="F458" s="981" t="str">
        <f>IF(F$17=FALSE,"",GasData(GasAnalyser,'Horiba Data'!AQ451,'Testo, JUM &amp; MRU Data'!E452,'Thermo Data'!F451,'Testo, JUM &amp; MRU Data'!V452,GDF))</f>
        <v/>
      </c>
      <c r="G458" s="981" t="str">
        <f>IF(F458="","",Conc2(F458,F$9,MolVol,F$21,F$20,G$21,G$20))</f>
        <v/>
      </c>
      <c r="H458" s="981" t="str">
        <f>IF(D$17=FALSE,"",IF(F$17=FALSE,"",GasData(GasAnalyser,'Horiba Data'!W451,'Testo, JUM &amp; MRU Data'!F452,'Thermo Data'!G451,'Testo, JUM &amp; MRU Data'!Y452,GDF)))</f>
        <v/>
      </c>
      <c r="I458" s="981" t="str">
        <f>IF(H458="","",Conc2(H458,H$9,MolVol,H$21,H$20,I$21,I$20))</f>
        <v/>
      </c>
      <c r="J458" s="981" t="str">
        <f>IF(J$17=FALSE,"",GasData(GasAnalyser,'Horiba Data'!AM451,'Testo, JUM &amp; MRU Data'!G452,'Thermo Data'!H451,'Testo, JUM &amp; MRU Data'!W452,GDF))</f>
        <v/>
      </c>
      <c r="K458" s="981" t="str">
        <f>IF(J458="","",Conc2(J458,J$9,MolVol,J$21,J$20,K$21,K$20))</f>
        <v/>
      </c>
      <c r="L458" s="981" t="str">
        <f>IF(L$17=FALSE,"",GasData(GasAnalyser,'Horiba Data'!AA451,'Testo, JUM &amp; MRU Data'!H452,'Thermo Data'!I451,'Testo, JUM &amp; MRU Data'!T452,GDF))</f>
        <v/>
      </c>
      <c r="M458" s="981" t="str">
        <f>IF(L458="","",Conc2(L458,L$9,MolVol,L$21,L$20,M$21,M$20))</f>
        <v/>
      </c>
      <c r="N458" s="981" t="str">
        <f>IF(N$17=FALSE,"",GasData(GasAnalyser,'Horiba Data'!AE451,'Testo, JUM &amp; MRU Data'!I452,'Thermo Data'!J451,'Testo, JUM &amp; MRU Data'!S452,GDF))</f>
        <v/>
      </c>
      <c r="O458" s="981" t="str">
        <f>IF(N458="","",Conc2(N458,N$9,MolVol,N$21,N$20,O$21,O$20))</f>
        <v/>
      </c>
      <c r="P458" s="981" t="str">
        <f>IF(P$17=FALSE,"",GasData(GasAnalyser,'Horiba Data'!AI451,'Testo, JUM &amp; MRU Data'!J452,'Thermo Data'!K451,'Testo, JUM &amp; MRU Data'!R452,GDF))</f>
        <v/>
      </c>
      <c r="Q458" s="981" t="str">
        <f>IF(P458="","",Conc2(P458,P$9,MolVol,P$21,P$20,Q$21,Q$20))</f>
        <v/>
      </c>
      <c r="R458" s="981" t="str">
        <f>IF(R$17=FALSE,"",JUMData('Testo, JUM &amp; MRU Data'!M452,$R$7))</f>
        <v/>
      </c>
      <c r="S458" s="982" t="str">
        <f>IF(R458="","",Conc2(R458,R$9,MolVol,R$21,R$20,S$21,S$20)/(1-Bws))</f>
        <v/>
      </c>
      <c r="T458" s="740"/>
      <c r="AR458" s="335"/>
      <c r="AS458" s="335"/>
      <c r="AT458" s="153"/>
      <c r="AU458" s="153"/>
      <c r="AV458" s="153"/>
      <c r="AW458" s="153"/>
      <c r="AX458" s="153"/>
      <c r="AY458" s="153"/>
      <c r="AZ458" s="153"/>
      <c r="BA458" s="153"/>
      <c r="BB458" s="153"/>
      <c r="BC458" s="153"/>
      <c r="BD458" s="153"/>
      <c r="BE458" s="153"/>
      <c r="BF458" s="153"/>
      <c r="BG458" s="153"/>
      <c r="BH458" s="153"/>
      <c r="BI458" s="153"/>
      <c r="BJ458" s="153"/>
      <c r="BK458" s="153"/>
      <c r="BL458" s="153"/>
      <c r="BM458" s="153"/>
      <c r="BN458" s="153"/>
      <c r="BO458" s="153"/>
      <c r="BP458" s="153"/>
      <c r="BQ458" s="153"/>
      <c r="BR458" s="153"/>
      <c r="BS458" s="153"/>
      <c r="BT458" s="153"/>
      <c r="BU458" s="153"/>
      <c r="BV458" s="153"/>
      <c r="BW458" s="153"/>
      <c r="BX458" s="153"/>
      <c r="BY458" s="153"/>
      <c r="BZ458" s="153"/>
      <c r="CA458" s="153"/>
      <c r="CB458" s="153"/>
      <c r="CC458" s="153"/>
      <c r="CD458" s="153"/>
      <c r="CE458" s="153"/>
      <c r="CF458" s="153"/>
      <c r="CG458" s="153"/>
      <c r="CH458" s="153"/>
      <c r="CI458" s="153"/>
      <c r="CJ458" s="153"/>
      <c r="CK458" s="153"/>
      <c r="CL458" s="153"/>
      <c r="CM458" s="153"/>
      <c r="CN458" s="153"/>
      <c r="CO458" s="153"/>
      <c r="CP458" s="153"/>
      <c r="CQ458" s="153"/>
      <c r="CR458" s="153"/>
      <c r="CS458" s="153"/>
      <c r="CT458" s="153"/>
      <c r="CU458" s="153"/>
      <c r="CV458" s="153"/>
      <c r="CW458" s="153"/>
      <c r="CX458" s="153"/>
      <c r="CY458" s="153"/>
      <c r="CZ458" s="153"/>
      <c r="DA458" s="153"/>
      <c r="DB458" s="153"/>
      <c r="DC458" s="153"/>
      <c r="DD458" s="153"/>
      <c r="DE458" s="153"/>
      <c r="DF458" s="153"/>
      <c r="DG458" s="153"/>
      <c r="DH458" s="153"/>
      <c r="DI458" s="153"/>
      <c r="DJ458" s="153"/>
      <c r="DK458" s="153"/>
      <c r="DL458" s="153"/>
      <c r="DM458" s="153"/>
      <c r="DN458" s="153"/>
      <c r="DO458" s="153"/>
      <c r="DP458" s="153"/>
      <c r="DQ458" s="153"/>
      <c r="DR458" s="153"/>
      <c r="DS458" s="153"/>
      <c r="DT458" s="153"/>
      <c r="DU458" s="153"/>
      <c r="DV458" s="153"/>
      <c r="DW458" s="153"/>
      <c r="DX458" s="153"/>
      <c r="DY458" s="153"/>
      <c r="DZ458" s="153"/>
      <c r="EA458" s="153"/>
      <c r="EB458" s="153"/>
      <c r="EC458" s="153"/>
      <c r="ED458" s="153"/>
      <c r="EE458" s="153"/>
      <c r="EF458" s="153"/>
      <c r="EG458" s="153"/>
      <c r="EH458" s="153"/>
      <c r="EI458" s="153"/>
      <c r="EJ458" s="153"/>
      <c r="EK458" s="153"/>
      <c r="EL458" s="153"/>
      <c r="EM458" s="153"/>
    </row>
    <row r="459" spans="1:143" s="107" customFormat="1" ht="10.5" hidden="1" customHeight="1" outlineLevel="2">
      <c r="A459" s="1548">
        <v>434</v>
      </c>
      <c r="B459" s="1560" t="str">
        <f t="shared" si="8"/>
        <v/>
      </c>
      <c r="C459" s="161" t="str">
        <f>GasTime(GasAnalyser,'Horiba Data'!F452,'Horiba Data'!G452,'Testo, JUM &amp; MRU Data'!A453,'Thermo Data'!B452,HourOffset)</f>
        <v/>
      </c>
      <c r="D459" s="981" t="str">
        <f>IF(D$17=FALSE,"",GasData(GasAnalyser,'Horiba Data'!S452,'Testo, JUM &amp; MRU Data'!D453,'Thermo Data'!E452,'Testo, JUM &amp; MRU Data'!U453,GDF))</f>
        <v/>
      </c>
      <c r="E459" s="981" t="str">
        <f>IF(D459="","",Conc2(D459,D$9,MolVol,D$21,D$20,E$21,E$20))</f>
        <v/>
      </c>
      <c r="F459" s="981" t="str">
        <f>IF(F$17=FALSE,"",GasData(GasAnalyser,'Horiba Data'!AQ452,'Testo, JUM &amp; MRU Data'!E453,'Thermo Data'!F452,'Testo, JUM &amp; MRU Data'!V453,GDF))</f>
        <v/>
      </c>
      <c r="G459" s="981" t="str">
        <f>IF(F459="","",Conc2(F459,F$9,MolVol,F$21,F$20,G$21,G$20))</f>
        <v/>
      </c>
      <c r="H459" s="981" t="str">
        <f>IF(D$17=FALSE,"",IF(F$17=FALSE,"",GasData(GasAnalyser,'Horiba Data'!W452,'Testo, JUM &amp; MRU Data'!F453,'Thermo Data'!G452,'Testo, JUM &amp; MRU Data'!Y453,GDF)))</f>
        <v/>
      </c>
      <c r="I459" s="981" t="str">
        <f>IF(H459="","",Conc2(H459,H$9,MolVol,H$21,H$20,I$21,I$20))</f>
        <v/>
      </c>
      <c r="J459" s="981" t="str">
        <f>IF(J$17=FALSE,"",GasData(GasAnalyser,'Horiba Data'!AM452,'Testo, JUM &amp; MRU Data'!G453,'Thermo Data'!H452,'Testo, JUM &amp; MRU Data'!W453,GDF))</f>
        <v/>
      </c>
      <c r="K459" s="981" t="str">
        <f>IF(J459="","",Conc2(J459,J$9,MolVol,J$21,J$20,K$21,K$20))</f>
        <v/>
      </c>
      <c r="L459" s="981" t="str">
        <f>IF(L$17=FALSE,"",GasData(GasAnalyser,'Horiba Data'!AA452,'Testo, JUM &amp; MRU Data'!H453,'Thermo Data'!I452,'Testo, JUM &amp; MRU Data'!T453,GDF))</f>
        <v/>
      </c>
      <c r="M459" s="981" t="str">
        <f>IF(L459="","",Conc2(L459,L$9,MolVol,L$21,L$20,M$21,M$20))</f>
        <v/>
      </c>
      <c r="N459" s="981" t="str">
        <f>IF(N$17=FALSE,"",GasData(GasAnalyser,'Horiba Data'!AE452,'Testo, JUM &amp; MRU Data'!I453,'Thermo Data'!J452,'Testo, JUM &amp; MRU Data'!S453,GDF))</f>
        <v/>
      </c>
      <c r="O459" s="981" t="str">
        <f>IF(N459="","",Conc2(N459,N$9,MolVol,N$21,N$20,O$21,O$20))</f>
        <v/>
      </c>
      <c r="P459" s="981" t="str">
        <f>IF(P$17=FALSE,"",GasData(GasAnalyser,'Horiba Data'!AI452,'Testo, JUM &amp; MRU Data'!J453,'Thermo Data'!K452,'Testo, JUM &amp; MRU Data'!R453,GDF))</f>
        <v/>
      </c>
      <c r="Q459" s="981" t="str">
        <f>IF(P459="","",Conc2(P459,P$9,MolVol,P$21,P$20,Q$21,Q$20))</f>
        <v/>
      </c>
      <c r="R459" s="981" t="str">
        <f>IF(R$17=FALSE,"",JUMData('Testo, JUM &amp; MRU Data'!M453,$R$7))</f>
        <v/>
      </c>
      <c r="S459" s="982" t="str">
        <f>IF(R459="","",Conc2(R459,R$9,MolVol,R$21,R$20,S$21,S$20)/(1-Bws))</f>
        <v/>
      </c>
      <c r="T459" s="740"/>
      <c r="AR459" s="335"/>
      <c r="AS459" s="335"/>
      <c r="AT459" s="153"/>
      <c r="AU459" s="153"/>
      <c r="AV459" s="153"/>
      <c r="AW459" s="153"/>
      <c r="AX459" s="153"/>
      <c r="AY459" s="153"/>
      <c r="AZ459" s="153"/>
      <c r="BA459" s="153"/>
      <c r="BB459" s="153"/>
      <c r="BC459" s="153"/>
      <c r="BD459" s="153"/>
      <c r="BE459" s="153"/>
      <c r="BF459" s="153"/>
      <c r="BG459" s="153"/>
      <c r="BH459" s="153"/>
      <c r="BI459" s="153"/>
      <c r="BJ459" s="153"/>
      <c r="BK459" s="153"/>
      <c r="BL459" s="153"/>
      <c r="BM459" s="153"/>
      <c r="BN459" s="153"/>
      <c r="BO459" s="153"/>
      <c r="BP459" s="153"/>
      <c r="BQ459" s="153"/>
      <c r="BR459" s="153"/>
      <c r="BS459" s="153"/>
      <c r="BT459" s="153"/>
      <c r="BU459" s="153"/>
      <c r="BV459" s="153"/>
      <c r="BW459" s="153"/>
      <c r="BX459" s="153"/>
      <c r="BY459" s="153"/>
      <c r="BZ459" s="153"/>
      <c r="CA459" s="153"/>
      <c r="CB459" s="153"/>
      <c r="CC459" s="153"/>
      <c r="CD459" s="153"/>
      <c r="CE459" s="153"/>
      <c r="CF459" s="153"/>
      <c r="CG459" s="153"/>
      <c r="CH459" s="153"/>
      <c r="CI459" s="153"/>
      <c r="CJ459" s="153"/>
      <c r="CK459" s="153"/>
      <c r="CL459" s="153"/>
      <c r="CM459" s="153"/>
      <c r="CN459" s="153"/>
      <c r="CO459" s="153"/>
      <c r="CP459" s="153"/>
      <c r="CQ459" s="153"/>
      <c r="CR459" s="153"/>
      <c r="CS459" s="153"/>
      <c r="CT459" s="153"/>
      <c r="CU459" s="153"/>
      <c r="CV459" s="153"/>
      <c r="CW459" s="153"/>
      <c r="CX459" s="153"/>
      <c r="CY459" s="153"/>
      <c r="CZ459" s="153"/>
      <c r="DA459" s="153"/>
      <c r="DB459" s="153"/>
      <c r="DC459" s="153"/>
      <c r="DD459" s="153"/>
      <c r="DE459" s="153"/>
      <c r="DF459" s="153"/>
      <c r="DG459" s="153"/>
      <c r="DH459" s="153"/>
      <c r="DI459" s="153"/>
      <c r="DJ459" s="153"/>
      <c r="DK459" s="153"/>
      <c r="DL459" s="153"/>
      <c r="DM459" s="153"/>
      <c r="DN459" s="153"/>
      <c r="DO459" s="153"/>
      <c r="DP459" s="153"/>
      <c r="DQ459" s="153"/>
      <c r="DR459" s="153"/>
      <c r="DS459" s="153"/>
      <c r="DT459" s="153"/>
      <c r="DU459" s="153"/>
      <c r="DV459" s="153"/>
      <c r="DW459" s="153"/>
      <c r="DX459" s="153"/>
      <c r="DY459" s="153"/>
      <c r="DZ459" s="153"/>
      <c r="EA459" s="153"/>
      <c r="EB459" s="153"/>
      <c r="EC459" s="153"/>
      <c r="ED459" s="153"/>
      <c r="EE459" s="153"/>
      <c r="EF459" s="153"/>
      <c r="EG459" s="153"/>
      <c r="EH459" s="153"/>
      <c r="EI459" s="153"/>
      <c r="EJ459" s="153"/>
      <c r="EK459" s="153"/>
      <c r="EL459" s="153"/>
      <c r="EM459" s="153"/>
    </row>
    <row r="460" spans="1:143" s="107" customFormat="1" ht="10.5" hidden="1" customHeight="1" outlineLevel="2">
      <c r="A460" s="1548">
        <v>435</v>
      </c>
      <c r="B460" s="1560" t="str">
        <f t="shared" si="8"/>
        <v/>
      </c>
      <c r="C460" s="161" t="str">
        <f>GasTime(GasAnalyser,'Horiba Data'!F453,'Horiba Data'!G453,'Testo, JUM &amp; MRU Data'!A454,'Thermo Data'!B453,HourOffset)</f>
        <v/>
      </c>
      <c r="D460" s="981" t="str">
        <f>IF(D$17=FALSE,"",GasData(GasAnalyser,'Horiba Data'!S453,'Testo, JUM &amp; MRU Data'!D454,'Thermo Data'!E453,'Testo, JUM &amp; MRU Data'!U454,GDF))</f>
        <v/>
      </c>
      <c r="E460" s="981" t="str">
        <f>IF(D460="","",Conc2(D460,D$9,MolVol,D$21,D$20,E$21,E$20))</f>
        <v/>
      </c>
      <c r="F460" s="981" t="str">
        <f>IF(F$17=FALSE,"",GasData(GasAnalyser,'Horiba Data'!AQ453,'Testo, JUM &amp; MRU Data'!E454,'Thermo Data'!F453,'Testo, JUM &amp; MRU Data'!V454,GDF))</f>
        <v/>
      </c>
      <c r="G460" s="981" t="str">
        <f>IF(F460="","",Conc2(F460,F$9,MolVol,F$21,F$20,G$21,G$20))</f>
        <v/>
      </c>
      <c r="H460" s="981" t="str">
        <f>IF(D$17=FALSE,"",IF(F$17=FALSE,"",GasData(GasAnalyser,'Horiba Data'!W453,'Testo, JUM &amp; MRU Data'!F454,'Thermo Data'!G453,'Testo, JUM &amp; MRU Data'!Y454,GDF)))</f>
        <v/>
      </c>
      <c r="I460" s="981" t="str">
        <f>IF(H460="","",Conc2(H460,H$9,MolVol,H$21,H$20,I$21,I$20))</f>
        <v/>
      </c>
      <c r="J460" s="981" t="str">
        <f>IF(J$17=FALSE,"",GasData(GasAnalyser,'Horiba Data'!AM453,'Testo, JUM &amp; MRU Data'!G454,'Thermo Data'!H453,'Testo, JUM &amp; MRU Data'!W454,GDF))</f>
        <v/>
      </c>
      <c r="K460" s="981" t="str">
        <f>IF(J460="","",Conc2(J460,J$9,MolVol,J$21,J$20,K$21,K$20))</f>
        <v/>
      </c>
      <c r="L460" s="981" t="str">
        <f>IF(L$17=FALSE,"",GasData(GasAnalyser,'Horiba Data'!AA453,'Testo, JUM &amp; MRU Data'!H454,'Thermo Data'!I453,'Testo, JUM &amp; MRU Data'!T454,GDF))</f>
        <v/>
      </c>
      <c r="M460" s="981" t="str">
        <f>IF(L460="","",Conc2(L460,L$9,MolVol,L$21,L$20,M$21,M$20))</f>
        <v/>
      </c>
      <c r="N460" s="981" t="str">
        <f>IF(N$17=FALSE,"",GasData(GasAnalyser,'Horiba Data'!AE453,'Testo, JUM &amp; MRU Data'!I454,'Thermo Data'!J453,'Testo, JUM &amp; MRU Data'!S454,GDF))</f>
        <v/>
      </c>
      <c r="O460" s="981" t="str">
        <f>IF(N460="","",Conc2(N460,N$9,MolVol,N$21,N$20,O$21,O$20))</f>
        <v/>
      </c>
      <c r="P460" s="981" t="str">
        <f>IF(P$17=FALSE,"",GasData(GasAnalyser,'Horiba Data'!AI453,'Testo, JUM &amp; MRU Data'!J454,'Thermo Data'!K453,'Testo, JUM &amp; MRU Data'!R454,GDF))</f>
        <v/>
      </c>
      <c r="Q460" s="981" t="str">
        <f>IF(P460="","",Conc2(P460,P$9,MolVol,P$21,P$20,Q$21,Q$20))</f>
        <v/>
      </c>
      <c r="R460" s="981" t="str">
        <f>IF(R$17=FALSE,"",JUMData('Testo, JUM &amp; MRU Data'!M454,$R$7))</f>
        <v/>
      </c>
      <c r="S460" s="982" t="str">
        <f>IF(R460="","",Conc2(R460,R$9,MolVol,R$21,R$20,S$21,S$20)/(1-Bws))</f>
        <v/>
      </c>
      <c r="T460" s="740"/>
      <c r="AR460" s="335"/>
      <c r="AS460" s="335"/>
      <c r="AT460" s="153"/>
      <c r="AU460" s="153"/>
      <c r="AV460" s="153"/>
      <c r="AW460" s="153"/>
      <c r="AX460" s="153"/>
      <c r="AY460" s="153"/>
      <c r="AZ460" s="153"/>
      <c r="BA460" s="153"/>
      <c r="BB460" s="153"/>
      <c r="BC460" s="153"/>
      <c r="BD460" s="153"/>
      <c r="BE460" s="153"/>
      <c r="BF460" s="153"/>
      <c r="BG460" s="153"/>
      <c r="BH460" s="153"/>
      <c r="BI460" s="153"/>
      <c r="BJ460" s="153"/>
      <c r="BK460" s="153"/>
      <c r="BL460" s="153"/>
      <c r="BM460" s="153"/>
      <c r="BN460" s="153"/>
      <c r="BO460" s="153"/>
      <c r="BP460" s="153"/>
      <c r="BQ460" s="153"/>
      <c r="BR460" s="153"/>
      <c r="BS460" s="153"/>
      <c r="BT460" s="153"/>
      <c r="BU460" s="153"/>
      <c r="BV460" s="153"/>
      <c r="BW460" s="153"/>
      <c r="BX460" s="153"/>
      <c r="BY460" s="153"/>
      <c r="BZ460" s="153"/>
      <c r="CA460" s="153"/>
      <c r="CB460" s="153"/>
      <c r="CC460" s="153"/>
      <c r="CD460" s="153"/>
      <c r="CE460" s="153"/>
      <c r="CF460" s="153"/>
      <c r="CG460" s="153"/>
      <c r="CH460" s="153"/>
      <c r="CI460" s="153"/>
      <c r="CJ460" s="153"/>
      <c r="CK460" s="153"/>
      <c r="CL460" s="153"/>
      <c r="CM460" s="153"/>
      <c r="CN460" s="153"/>
      <c r="CO460" s="153"/>
      <c r="CP460" s="153"/>
      <c r="CQ460" s="153"/>
      <c r="CR460" s="153"/>
      <c r="CS460" s="153"/>
      <c r="CT460" s="153"/>
      <c r="CU460" s="153"/>
      <c r="CV460" s="153"/>
      <c r="CW460" s="153"/>
      <c r="CX460" s="153"/>
      <c r="CY460" s="153"/>
      <c r="CZ460" s="153"/>
      <c r="DA460" s="153"/>
      <c r="DB460" s="153"/>
      <c r="DC460" s="153"/>
      <c r="DD460" s="153"/>
      <c r="DE460" s="153"/>
      <c r="DF460" s="153"/>
      <c r="DG460" s="153"/>
      <c r="DH460" s="153"/>
      <c r="DI460" s="153"/>
      <c r="DJ460" s="153"/>
      <c r="DK460" s="153"/>
      <c r="DL460" s="153"/>
      <c r="DM460" s="153"/>
      <c r="DN460" s="153"/>
      <c r="DO460" s="153"/>
      <c r="DP460" s="153"/>
      <c r="DQ460" s="153"/>
      <c r="DR460" s="153"/>
      <c r="DS460" s="153"/>
      <c r="DT460" s="153"/>
      <c r="DU460" s="153"/>
      <c r="DV460" s="153"/>
      <c r="DW460" s="153"/>
      <c r="DX460" s="153"/>
      <c r="DY460" s="153"/>
      <c r="DZ460" s="153"/>
      <c r="EA460" s="153"/>
      <c r="EB460" s="153"/>
      <c r="EC460" s="153"/>
      <c r="ED460" s="153"/>
      <c r="EE460" s="153"/>
      <c r="EF460" s="153"/>
      <c r="EG460" s="153"/>
      <c r="EH460" s="153"/>
      <c r="EI460" s="153"/>
      <c r="EJ460" s="153"/>
      <c r="EK460" s="153"/>
      <c r="EL460" s="153"/>
      <c r="EM460" s="153"/>
    </row>
    <row r="461" spans="1:143" s="107" customFormat="1" ht="10.5" hidden="1" customHeight="1" outlineLevel="2">
      <c r="A461" s="1548">
        <v>436</v>
      </c>
      <c r="B461" s="1560" t="str">
        <f t="shared" si="8"/>
        <v/>
      </c>
      <c r="C461" s="161" t="str">
        <f>GasTime(GasAnalyser,'Horiba Data'!F454,'Horiba Data'!G454,'Testo, JUM &amp; MRU Data'!A455,'Thermo Data'!B454,HourOffset)</f>
        <v/>
      </c>
      <c r="D461" s="981" t="str">
        <f>IF(D$17=FALSE,"",GasData(GasAnalyser,'Horiba Data'!S454,'Testo, JUM &amp; MRU Data'!D455,'Thermo Data'!E454,'Testo, JUM &amp; MRU Data'!U455,GDF))</f>
        <v/>
      </c>
      <c r="E461" s="981" t="str">
        <f>IF(D461="","",Conc2(D461,D$9,MolVol,D$21,D$20,E$21,E$20))</f>
        <v/>
      </c>
      <c r="F461" s="981" t="str">
        <f>IF(F$17=FALSE,"",GasData(GasAnalyser,'Horiba Data'!AQ454,'Testo, JUM &amp; MRU Data'!E455,'Thermo Data'!F454,'Testo, JUM &amp; MRU Data'!V455,GDF))</f>
        <v/>
      </c>
      <c r="G461" s="981" t="str">
        <f>IF(F461="","",Conc2(F461,F$9,MolVol,F$21,F$20,G$21,G$20))</f>
        <v/>
      </c>
      <c r="H461" s="981" t="str">
        <f>IF(D$17=FALSE,"",IF(F$17=FALSE,"",GasData(GasAnalyser,'Horiba Data'!W454,'Testo, JUM &amp; MRU Data'!F455,'Thermo Data'!G454,'Testo, JUM &amp; MRU Data'!Y455,GDF)))</f>
        <v/>
      </c>
      <c r="I461" s="981" t="str">
        <f>IF(H461="","",Conc2(H461,H$9,MolVol,H$21,H$20,I$21,I$20))</f>
        <v/>
      </c>
      <c r="J461" s="981" t="str">
        <f>IF(J$17=FALSE,"",GasData(GasAnalyser,'Horiba Data'!AM454,'Testo, JUM &amp; MRU Data'!G455,'Thermo Data'!H454,'Testo, JUM &amp; MRU Data'!W455,GDF))</f>
        <v/>
      </c>
      <c r="K461" s="981" t="str">
        <f>IF(J461="","",Conc2(J461,J$9,MolVol,J$21,J$20,K$21,K$20))</f>
        <v/>
      </c>
      <c r="L461" s="981" t="str">
        <f>IF(L$17=FALSE,"",GasData(GasAnalyser,'Horiba Data'!AA454,'Testo, JUM &amp; MRU Data'!H455,'Thermo Data'!I454,'Testo, JUM &amp; MRU Data'!T455,GDF))</f>
        <v/>
      </c>
      <c r="M461" s="981" t="str">
        <f>IF(L461="","",Conc2(L461,L$9,MolVol,L$21,L$20,M$21,M$20))</f>
        <v/>
      </c>
      <c r="N461" s="981" t="str">
        <f>IF(N$17=FALSE,"",GasData(GasAnalyser,'Horiba Data'!AE454,'Testo, JUM &amp; MRU Data'!I455,'Thermo Data'!J454,'Testo, JUM &amp; MRU Data'!S455,GDF))</f>
        <v/>
      </c>
      <c r="O461" s="981" t="str">
        <f>IF(N461="","",Conc2(N461,N$9,MolVol,N$21,N$20,O$21,O$20))</f>
        <v/>
      </c>
      <c r="P461" s="981" t="str">
        <f>IF(P$17=FALSE,"",GasData(GasAnalyser,'Horiba Data'!AI454,'Testo, JUM &amp; MRU Data'!J455,'Thermo Data'!K454,'Testo, JUM &amp; MRU Data'!R455,GDF))</f>
        <v/>
      </c>
      <c r="Q461" s="981" t="str">
        <f>IF(P461="","",Conc2(P461,P$9,MolVol,P$21,P$20,Q$21,Q$20))</f>
        <v/>
      </c>
      <c r="R461" s="981" t="str">
        <f>IF(R$17=FALSE,"",JUMData('Testo, JUM &amp; MRU Data'!M455,$R$7))</f>
        <v/>
      </c>
      <c r="S461" s="982" t="str">
        <f>IF(R461="","",Conc2(R461,R$9,MolVol,R$21,R$20,S$21,S$20)/(1-Bws))</f>
        <v/>
      </c>
      <c r="T461" s="740"/>
      <c r="AR461" s="335"/>
      <c r="AS461" s="335"/>
      <c r="AT461" s="153"/>
      <c r="AU461" s="153"/>
      <c r="AV461" s="153"/>
      <c r="AW461" s="153"/>
      <c r="AX461" s="153"/>
      <c r="AY461" s="153"/>
      <c r="AZ461" s="153"/>
      <c r="BA461" s="153"/>
      <c r="BB461" s="153"/>
      <c r="BC461" s="153"/>
      <c r="BD461" s="153"/>
      <c r="BE461" s="153"/>
      <c r="BF461" s="153"/>
      <c r="BG461" s="153"/>
      <c r="BH461" s="153"/>
      <c r="BI461" s="153"/>
      <c r="BJ461" s="153"/>
      <c r="BK461" s="153"/>
      <c r="BL461" s="153"/>
      <c r="BM461" s="153"/>
      <c r="BN461" s="153"/>
      <c r="BO461" s="153"/>
      <c r="BP461" s="153"/>
      <c r="BQ461" s="153"/>
      <c r="BR461" s="153"/>
      <c r="BS461" s="153"/>
      <c r="BT461" s="153"/>
      <c r="BU461" s="153"/>
      <c r="BV461" s="153"/>
      <c r="BW461" s="153"/>
      <c r="BX461" s="153"/>
      <c r="BY461" s="153"/>
      <c r="BZ461" s="153"/>
      <c r="CA461" s="153"/>
      <c r="CB461" s="153"/>
      <c r="CC461" s="153"/>
      <c r="CD461" s="153"/>
      <c r="CE461" s="153"/>
      <c r="CF461" s="153"/>
      <c r="CG461" s="153"/>
      <c r="CH461" s="153"/>
      <c r="CI461" s="153"/>
      <c r="CJ461" s="153"/>
      <c r="CK461" s="153"/>
      <c r="CL461" s="153"/>
      <c r="CM461" s="153"/>
      <c r="CN461" s="153"/>
      <c r="CO461" s="153"/>
      <c r="CP461" s="153"/>
      <c r="CQ461" s="153"/>
      <c r="CR461" s="153"/>
      <c r="CS461" s="153"/>
      <c r="CT461" s="153"/>
      <c r="CU461" s="153"/>
      <c r="CV461" s="153"/>
      <c r="CW461" s="153"/>
      <c r="CX461" s="153"/>
      <c r="CY461" s="153"/>
      <c r="CZ461" s="153"/>
      <c r="DA461" s="153"/>
      <c r="DB461" s="153"/>
      <c r="DC461" s="153"/>
      <c r="DD461" s="153"/>
      <c r="DE461" s="153"/>
      <c r="DF461" s="153"/>
      <c r="DG461" s="153"/>
      <c r="DH461" s="153"/>
      <c r="DI461" s="153"/>
      <c r="DJ461" s="153"/>
      <c r="DK461" s="153"/>
      <c r="DL461" s="153"/>
      <c r="DM461" s="153"/>
      <c r="DN461" s="153"/>
      <c r="DO461" s="153"/>
      <c r="DP461" s="153"/>
      <c r="DQ461" s="153"/>
      <c r="DR461" s="153"/>
      <c r="DS461" s="153"/>
      <c r="DT461" s="153"/>
      <c r="DU461" s="153"/>
      <c r="DV461" s="153"/>
      <c r="DW461" s="153"/>
      <c r="DX461" s="153"/>
      <c r="DY461" s="153"/>
      <c r="DZ461" s="153"/>
      <c r="EA461" s="153"/>
      <c r="EB461" s="153"/>
      <c r="EC461" s="153"/>
      <c r="ED461" s="153"/>
      <c r="EE461" s="153"/>
      <c r="EF461" s="153"/>
      <c r="EG461" s="153"/>
      <c r="EH461" s="153"/>
      <c r="EI461" s="153"/>
      <c r="EJ461" s="153"/>
      <c r="EK461" s="153"/>
      <c r="EL461" s="153"/>
      <c r="EM461" s="153"/>
    </row>
    <row r="462" spans="1:143" s="107" customFormat="1" ht="10.5" hidden="1" customHeight="1" outlineLevel="2">
      <c r="A462" s="1548">
        <v>437</v>
      </c>
      <c r="B462" s="1560" t="str">
        <f t="shared" si="8"/>
        <v/>
      </c>
      <c r="C462" s="161" t="str">
        <f>GasTime(GasAnalyser,'Horiba Data'!F455,'Horiba Data'!G455,'Testo, JUM &amp; MRU Data'!A456,'Thermo Data'!B455,HourOffset)</f>
        <v/>
      </c>
      <c r="D462" s="981" t="str">
        <f>IF(D$17=FALSE,"",GasData(GasAnalyser,'Horiba Data'!S455,'Testo, JUM &amp; MRU Data'!D456,'Thermo Data'!E455,'Testo, JUM &amp; MRU Data'!U456,GDF))</f>
        <v/>
      </c>
      <c r="E462" s="981" t="str">
        <f>IF(D462="","",Conc2(D462,D$9,MolVol,D$21,D$20,E$21,E$20))</f>
        <v/>
      </c>
      <c r="F462" s="981" t="str">
        <f>IF(F$17=FALSE,"",GasData(GasAnalyser,'Horiba Data'!AQ455,'Testo, JUM &amp; MRU Data'!E456,'Thermo Data'!F455,'Testo, JUM &amp; MRU Data'!V456,GDF))</f>
        <v/>
      </c>
      <c r="G462" s="981" t="str">
        <f>IF(F462="","",Conc2(F462,F$9,MolVol,F$21,F$20,G$21,G$20))</f>
        <v/>
      </c>
      <c r="H462" s="981" t="str">
        <f>IF(D$17=FALSE,"",IF(F$17=FALSE,"",GasData(GasAnalyser,'Horiba Data'!W455,'Testo, JUM &amp; MRU Data'!F456,'Thermo Data'!G455,'Testo, JUM &amp; MRU Data'!Y456,GDF)))</f>
        <v/>
      </c>
      <c r="I462" s="981" t="str">
        <f>IF(H462="","",Conc2(H462,H$9,MolVol,H$21,H$20,I$21,I$20))</f>
        <v/>
      </c>
      <c r="J462" s="981" t="str">
        <f>IF(J$17=FALSE,"",GasData(GasAnalyser,'Horiba Data'!AM455,'Testo, JUM &amp; MRU Data'!G456,'Thermo Data'!H455,'Testo, JUM &amp; MRU Data'!W456,GDF))</f>
        <v/>
      </c>
      <c r="K462" s="981" t="str">
        <f>IF(J462="","",Conc2(J462,J$9,MolVol,J$21,J$20,K$21,K$20))</f>
        <v/>
      </c>
      <c r="L462" s="981" t="str">
        <f>IF(L$17=FALSE,"",GasData(GasAnalyser,'Horiba Data'!AA455,'Testo, JUM &amp; MRU Data'!H456,'Thermo Data'!I455,'Testo, JUM &amp; MRU Data'!T456,GDF))</f>
        <v/>
      </c>
      <c r="M462" s="981" t="str">
        <f>IF(L462="","",Conc2(L462,L$9,MolVol,L$21,L$20,M$21,M$20))</f>
        <v/>
      </c>
      <c r="N462" s="981" t="str">
        <f>IF(N$17=FALSE,"",GasData(GasAnalyser,'Horiba Data'!AE455,'Testo, JUM &amp; MRU Data'!I456,'Thermo Data'!J455,'Testo, JUM &amp; MRU Data'!S456,GDF))</f>
        <v/>
      </c>
      <c r="O462" s="981" t="str">
        <f>IF(N462="","",Conc2(N462,N$9,MolVol,N$21,N$20,O$21,O$20))</f>
        <v/>
      </c>
      <c r="P462" s="981" t="str">
        <f>IF(P$17=FALSE,"",GasData(GasAnalyser,'Horiba Data'!AI455,'Testo, JUM &amp; MRU Data'!J456,'Thermo Data'!K455,'Testo, JUM &amp; MRU Data'!R456,GDF))</f>
        <v/>
      </c>
      <c r="Q462" s="981" t="str">
        <f>IF(P462="","",Conc2(P462,P$9,MolVol,P$21,P$20,Q$21,Q$20))</f>
        <v/>
      </c>
      <c r="R462" s="981" t="str">
        <f>IF(R$17=FALSE,"",JUMData('Testo, JUM &amp; MRU Data'!M456,$R$7))</f>
        <v/>
      </c>
      <c r="S462" s="982" t="str">
        <f>IF(R462="","",Conc2(R462,R$9,MolVol,R$21,R$20,S$21,S$20)/(1-Bws))</f>
        <v/>
      </c>
      <c r="T462" s="740"/>
      <c r="AR462" s="335"/>
      <c r="AS462" s="335"/>
      <c r="AT462" s="153"/>
      <c r="AU462" s="153"/>
      <c r="AV462" s="153"/>
      <c r="AW462" s="153"/>
      <c r="AX462" s="153"/>
      <c r="AY462" s="153"/>
      <c r="AZ462" s="153"/>
      <c r="BA462" s="153"/>
      <c r="BB462" s="153"/>
      <c r="BC462" s="153"/>
      <c r="BD462" s="153"/>
      <c r="BE462" s="153"/>
      <c r="BF462" s="153"/>
      <c r="BG462" s="153"/>
      <c r="BH462" s="153"/>
      <c r="BI462" s="153"/>
      <c r="BJ462" s="153"/>
      <c r="BK462" s="153"/>
      <c r="BL462" s="153"/>
      <c r="BM462" s="153"/>
      <c r="BN462" s="153"/>
      <c r="BO462" s="153"/>
      <c r="BP462" s="153"/>
      <c r="BQ462" s="153"/>
      <c r="BR462" s="153"/>
      <c r="BS462" s="153"/>
      <c r="BT462" s="153"/>
      <c r="BU462" s="153"/>
      <c r="BV462" s="153"/>
      <c r="BW462" s="153"/>
      <c r="BX462" s="153"/>
      <c r="BY462" s="153"/>
      <c r="BZ462" s="153"/>
      <c r="CA462" s="153"/>
      <c r="CB462" s="153"/>
      <c r="CC462" s="153"/>
      <c r="CD462" s="153"/>
      <c r="CE462" s="153"/>
      <c r="CF462" s="153"/>
      <c r="CG462" s="153"/>
      <c r="CH462" s="153"/>
      <c r="CI462" s="153"/>
      <c r="CJ462" s="153"/>
      <c r="CK462" s="153"/>
      <c r="CL462" s="153"/>
      <c r="CM462" s="153"/>
      <c r="CN462" s="153"/>
      <c r="CO462" s="153"/>
      <c r="CP462" s="153"/>
      <c r="CQ462" s="153"/>
      <c r="CR462" s="153"/>
      <c r="CS462" s="153"/>
      <c r="CT462" s="153"/>
      <c r="CU462" s="153"/>
      <c r="CV462" s="153"/>
      <c r="CW462" s="153"/>
      <c r="CX462" s="153"/>
      <c r="CY462" s="153"/>
      <c r="CZ462" s="153"/>
      <c r="DA462" s="153"/>
      <c r="DB462" s="153"/>
      <c r="DC462" s="153"/>
      <c r="DD462" s="153"/>
      <c r="DE462" s="153"/>
      <c r="DF462" s="153"/>
      <c r="DG462" s="153"/>
      <c r="DH462" s="153"/>
      <c r="DI462" s="153"/>
      <c r="DJ462" s="153"/>
      <c r="DK462" s="153"/>
      <c r="DL462" s="153"/>
      <c r="DM462" s="153"/>
      <c r="DN462" s="153"/>
      <c r="DO462" s="153"/>
      <c r="DP462" s="153"/>
      <c r="DQ462" s="153"/>
      <c r="DR462" s="153"/>
      <c r="DS462" s="153"/>
      <c r="DT462" s="153"/>
      <c r="DU462" s="153"/>
      <c r="DV462" s="153"/>
      <c r="DW462" s="153"/>
      <c r="DX462" s="153"/>
      <c r="DY462" s="153"/>
      <c r="DZ462" s="153"/>
      <c r="EA462" s="153"/>
      <c r="EB462" s="153"/>
      <c r="EC462" s="153"/>
      <c r="ED462" s="153"/>
      <c r="EE462" s="153"/>
      <c r="EF462" s="153"/>
      <c r="EG462" s="153"/>
      <c r="EH462" s="153"/>
      <c r="EI462" s="153"/>
      <c r="EJ462" s="153"/>
      <c r="EK462" s="153"/>
      <c r="EL462" s="153"/>
      <c r="EM462" s="153"/>
    </row>
    <row r="463" spans="1:143" s="107" customFormat="1" ht="10.5" hidden="1" customHeight="1" outlineLevel="2">
      <c r="A463" s="1548">
        <v>438</v>
      </c>
      <c r="B463" s="1560" t="str">
        <f t="shared" si="8"/>
        <v/>
      </c>
      <c r="C463" s="161" t="str">
        <f>GasTime(GasAnalyser,'Horiba Data'!F456,'Horiba Data'!G456,'Testo, JUM &amp; MRU Data'!A457,'Thermo Data'!B456,HourOffset)</f>
        <v/>
      </c>
      <c r="D463" s="981" t="str">
        <f>IF(D$17=FALSE,"",GasData(GasAnalyser,'Horiba Data'!S456,'Testo, JUM &amp; MRU Data'!D457,'Thermo Data'!E456,'Testo, JUM &amp; MRU Data'!U457,GDF))</f>
        <v/>
      </c>
      <c r="E463" s="981" t="str">
        <f>IF(D463="","",Conc2(D463,D$9,MolVol,D$21,D$20,E$21,E$20))</f>
        <v/>
      </c>
      <c r="F463" s="981" t="str">
        <f>IF(F$17=FALSE,"",GasData(GasAnalyser,'Horiba Data'!AQ456,'Testo, JUM &amp; MRU Data'!E457,'Thermo Data'!F456,'Testo, JUM &amp; MRU Data'!V457,GDF))</f>
        <v/>
      </c>
      <c r="G463" s="981" t="str">
        <f>IF(F463="","",Conc2(F463,F$9,MolVol,F$21,F$20,G$21,G$20))</f>
        <v/>
      </c>
      <c r="H463" s="981" t="str">
        <f>IF(D$17=FALSE,"",IF(F$17=FALSE,"",GasData(GasAnalyser,'Horiba Data'!W456,'Testo, JUM &amp; MRU Data'!F457,'Thermo Data'!G456,'Testo, JUM &amp; MRU Data'!Y457,GDF)))</f>
        <v/>
      </c>
      <c r="I463" s="981" t="str">
        <f>IF(H463="","",Conc2(H463,H$9,MolVol,H$21,H$20,I$21,I$20))</f>
        <v/>
      </c>
      <c r="J463" s="981" t="str">
        <f>IF(J$17=FALSE,"",GasData(GasAnalyser,'Horiba Data'!AM456,'Testo, JUM &amp; MRU Data'!G457,'Thermo Data'!H456,'Testo, JUM &amp; MRU Data'!W457,GDF))</f>
        <v/>
      </c>
      <c r="K463" s="981" t="str">
        <f>IF(J463="","",Conc2(J463,J$9,MolVol,J$21,J$20,K$21,K$20))</f>
        <v/>
      </c>
      <c r="L463" s="981" t="str">
        <f>IF(L$17=FALSE,"",GasData(GasAnalyser,'Horiba Data'!AA456,'Testo, JUM &amp; MRU Data'!H457,'Thermo Data'!I456,'Testo, JUM &amp; MRU Data'!T457,GDF))</f>
        <v/>
      </c>
      <c r="M463" s="981" t="str">
        <f>IF(L463="","",Conc2(L463,L$9,MolVol,L$21,L$20,M$21,M$20))</f>
        <v/>
      </c>
      <c r="N463" s="981" t="str">
        <f>IF(N$17=FALSE,"",GasData(GasAnalyser,'Horiba Data'!AE456,'Testo, JUM &amp; MRU Data'!I457,'Thermo Data'!J456,'Testo, JUM &amp; MRU Data'!S457,GDF))</f>
        <v/>
      </c>
      <c r="O463" s="981" t="str">
        <f>IF(N463="","",Conc2(N463,N$9,MolVol,N$21,N$20,O$21,O$20))</f>
        <v/>
      </c>
      <c r="P463" s="981" t="str">
        <f>IF(P$17=FALSE,"",GasData(GasAnalyser,'Horiba Data'!AI456,'Testo, JUM &amp; MRU Data'!J457,'Thermo Data'!K456,'Testo, JUM &amp; MRU Data'!R457,GDF))</f>
        <v/>
      </c>
      <c r="Q463" s="981" t="str">
        <f>IF(P463="","",Conc2(P463,P$9,MolVol,P$21,P$20,Q$21,Q$20))</f>
        <v/>
      </c>
      <c r="R463" s="981" t="str">
        <f>IF(R$17=FALSE,"",JUMData('Testo, JUM &amp; MRU Data'!M457,$R$7))</f>
        <v/>
      </c>
      <c r="S463" s="982" t="str">
        <f>IF(R463="","",Conc2(R463,R$9,MolVol,R$21,R$20,S$21,S$20)/(1-Bws))</f>
        <v/>
      </c>
      <c r="T463" s="740"/>
      <c r="AR463" s="335"/>
      <c r="AS463" s="335"/>
      <c r="AT463" s="153"/>
      <c r="AU463" s="153"/>
      <c r="AV463" s="153"/>
      <c r="AW463" s="153"/>
      <c r="AX463" s="153"/>
      <c r="AY463" s="153"/>
      <c r="AZ463" s="153"/>
      <c r="BA463" s="153"/>
      <c r="BB463" s="153"/>
      <c r="BC463" s="153"/>
      <c r="BD463" s="153"/>
      <c r="BE463" s="153"/>
      <c r="BF463" s="153"/>
      <c r="BG463" s="153"/>
      <c r="BH463" s="153"/>
      <c r="BI463" s="153"/>
      <c r="BJ463" s="153"/>
      <c r="BK463" s="153"/>
      <c r="BL463" s="153"/>
      <c r="BM463" s="153"/>
      <c r="BN463" s="153"/>
      <c r="BO463" s="153"/>
      <c r="BP463" s="153"/>
      <c r="BQ463" s="153"/>
      <c r="BR463" s="153"/>
      <c r="BS463" s="153"/>
      <c r="BT463" s="153"/>
      <c r="BU463" s="153"/>
      <c r="BV463" s="153"/>
      <c r="BW463" s="153"/>
      <c r="BX463" s="153"/>
      <c r="BY463" s="153"/>
      <c r="BZ463" s="153"/>
      <c r="CA463" s="153"/>
      <c r="CB463" s="153"/>
      <c r="CC463" s="153"/>
      <c r="CD463" s="153"/>
      <c r="CE463" s="153"/>
      <c r="CF463" s="153"/>
      <c r="CG463" s="153"/>
      <c r="CH463" s="153"/>
      <c r="CI463" s="153"/>
      <c r="CJ463" s="153"/>
      <c r="CK463" s="153"/>
      <c r="CL463" s="153"/>
      <c r="CM463" s="153"/>
      <c r="CN463" s="153"/>
      <c r="CO463" s="153"/>
      <c r="CP463" s="153"/>
      <c r="CQ463" s="153"/>
      <c r="CR463" s="153"/>
      <c r="CS463" s="153"/>
      <c r="CT463" s="153"/>
      <c r="CU463" s="153"/>
      <c r="CV463" s="153"/>
      <c r="CW463" s="153"/>
      <c r="CX463" s="153"/>
      <c r="CY463" s="153"/>
      <c r="CZ463" s="153"/>
      <c r="DA463" s="153"/>
      <c r="DB463" s="153"/>
      <c r="DC463" s="153"/>
      <c r="DD463" s="153"/>
      <c r="DE463" s="153"/>
      <c r="DF463" s="153"/>
      <c r="DG463" s="153"/>
      <c r="DH463" s="153"/>
      <c r="DI463" s="153"/>
      <c r="DJ463" s="153"/>
      <c r="DK463" s="153"/>
      <c r="DL463" s="153"/>
      <c r="DM463" s="153"/>
      <c r="DN463" s="153"/>
      <c r="DO463" s="153"/>
      <c r="DP463" s="153"/>
      <c r="DQ463" s="153"/>
      <c r="DR463" s="153"/>
      <c r="DS463" s="153"/>
      <c r="DT463" s="153"/>
      <c r="DU463" s="153"/>
      <c r="DV463" s="153"/>
      <c r="DW463" s="153"/>
      <c r="DX463" s="153"/>
      <c r="DY463" s="153"/>
      <c r="DZ463" s="153"/>
      <c r="EA463" s="153"/>
      <c r="EB463" s="153"/>
      <c r="EC463" s="153"/>
      <c r="ED463" s="153"/>
      <c r="EE463" s="153"/>
      <c r="EF463" s="153"/>
      <c r="EG463" s="153"/>
      <c r="EH463" s="153"/>
      <c r="EI463" s="153"/>
      <c r="EJ463" s="153"/>
      <c r="EK463" s="153"/>
      <c r="EL463" s="153"/>
      <c r="EM463" s="153"/>
    </row>
    <row r="464" spans="1:143" s="107" customFormat="1" ht="10.5" hidden="1" customHeight="1" outlineLevel="2">
      <c r="A464" s="1548">
        <v>439</v>
      </c>
      <c r="B464" s="1560" t="str">
        <f t="shared" si="8"/>
        <v/>
      </c>
      <c r="C464" s="161" t="str">
        <f>GasTime(GasAnalyser,'Horiba Data'!F457,'Horiba Data'!G457,'Testo, JUM &amp; MRU Data'!A458,'Thermo Data'!B457,HourOffset)</f>
        <v/>
      </c>
      <c r="D464" s="981" t="str">
        <f>IF(D$17=FALSE,"",GasData(GasAnalyser,'Horiba Data'!S457,'Testo, JUM &amp; MRU Data'!D458,'Thermo Data'!E457,'Testo, JUM &amp; MRU Data'!U458,GDF))</f>
        <v/>
      </c>
      <c r="E464" s="981" t="str">
        <f>IF(D464="","",Conc2(D464,D$9,MolVol,D$21,D$20,E$21,E$20))</f>
        <v/>
      </c>
      <c r="F464" s="981" t="str">
        <f>IF(F$17=FALSE,"",GasData(GasAnalyser,'Horiba Data'!AQ457,'Testo, JUM &amp; MRU Data'!E458,'Thermo Data'!F457,'Testo, JUM &amp; MRU Data'!V458,GDF))</f>
        <v/>
      </c>
      <c r="G464" s="981" t="str">
        <f>IF(F464="","",Conc2(F464,F$9,MolVol,F$21,F$20,G$21,G$20))</f>
        <v/>
      </c>
      <c r="H464" s="981" t="str">
        <f>IF(D$17=FALSE,"",IF(F$17=FALSE,"",GasData(GasAnalyser,'Horiba Data'!W457,'Testo, JUM &amp; MRU Data'!F458,'Thermo Data'!G457,'Testo, JUM &amp; MRU Data'!Y458,GDF)))</f>
        <v/>
      </c>
      <c r="I464" s="981" t="str">
        <f>IF(H464="","",Conc2(H464,H$9,MolVol,H$21,H$20,I$21,I$20))</f>
        <v/>
      </c>
      <c r="J464" s="981" t="str">
        <f>IF(J$17=FALSE,"",GasData(GasAnalyser,'Horiba Data'!AM457,'Testo, JUM &amp; MRU Data'!G458,'Thermo Data'!H457,'Testo, JUM &amp; MRU Data'!W458,GDF))</f>
        <v/>
      </c>
      <c r="K464" s="981" t="str">
        <f>IF(J464="","",Conc2(J464,J$9,MolVol,J$21,J$20,K$21,K$20))</f>
        <v/>
      </c>
      <c r="L464" s="981" t="str">
        <f>IF(L$17=FALSE,"",GasData(GasAnalyser,'Horiba Data'!AA457,'Testo, JUM &amp; MRU Data'!H458,'Thermo Data'!I457,'Testo, JUM &amp; MRU Data'!T458,GDF))</f>
        <v/>
      </c>
      <c r="M464" s="981" t="str">
        <f>IF(L464="","",Conc2(L464,L$9,MolVol,L$21,L$20,M$21,M$20))</f>
        <v/>
      </c>
      <c r="N464" s="981" t="str">
        <f>IF(N$17=FALSE,"",GasData(GasAnalyser,'Horiba Data'!AE457,'Testo, JUM &amp; MRU Data'!I458,'Thermo Data'!J457,'Testo, JUM &amp; MRU Data'!S458,GDF))</f>
        <v/>
      </c>
      <c r="O464" s="981" t="str">
        <f>IF(N464="","",Conc2(N464,N$9,MolVol,N$21,N$20,O$21,O$20))</f>
        <v/>
      </c>
      <c r="P464" s="981" t="str">
        <f>IF(P$17=FALSE,"",GasData(GasAnalyser,'Horiba Data'!AI457,'Testo, JUM &amp; MRU Data'!J458,'Thermo Data'!K457,'Testo, JUM &amp; MRU Data'!R458,GDF))</f>
        <v/>
      </c>
      <c r="Q464" s="981" t="str">
        <f>IF(P464="","",Conc2(P464,P$9,MolVol,P$21,P$20,Q$21,Q$20))</f>
        <v/>
      </c>
      <c r="R464" s="981" t="str">
        <f>IF(R$17=FALSE,"",JUMData('Testo, JUM &amp; MRU Data'!M458,$R$7))</f>
        <v/>
      </c>
      <c r="S464" s="982" t="str">
        <f>IF(R464="","",Conc2(R464,R$9,MolVol,R$21,R$20,S$21,S$20)/(1-Bws))</f>
        <v/>
      </c>
      <c r="T464" s="740"/>
      <c r="AR464" s="335"/>
      <c r="AS464" s="335"/>
      <c r="AT464" s="153"/>
      <c r="AU464" s="153"/>
      <c r="AV464" s="153"/>
      <c r="AW464" s="153"/>
      <c r="AX464" s="153"/>
      <c r="AY464" s="153"/>
      <c r="AZ464" s="153"/>
      <c r="BA464" s="153"/>
      <c r="BB464" s="153"/>
      <c r="BC464" s="153"/>
      <c r="BD464" s="153"/>
      <c r="BE464" s="153"/>
      <c r="BF464" s="153"/>
      <c r="BG464" s="153"/>
      <c r="BH464" s="153"/>
      <c r="BI464" s="153"/>
      <c r="BJ464" s="153"/>
      <c r="BK464" s="153"/>
      <c r="BL464" s="153"/>
      <c r="BM464" s="153"/>
      <c r="BN464" s="153"/>
      <c r="BO464" s="153"/>
      <c r="BP464" s="153"/>
      <c r="BQ464" s="153"/>
      <c r="BR464" s="153"/>
      <c r="BS464" s="153"/>
      <c r="BT464" s="153"/>
      <c r="BU464" s="153"/>
      <c r="BV464" s="153"/>
      <c r="BW464" s="153"/>
      <c r="BX464" s="153"/>
      <c r="BY464" s="153"/>
      <c r="BZ464" s="153"/>
      <c r="CA464" s="153"/>
      <c r="CB464" s="153"/>
      <c r="CC464" s="153"/>
      <c r="CD464" s="153"/>
      <c r="CE464" s="153"/>
      <c r="CF464" s="153"/>
      <c r="CG464" s="153"/>
      <c r="CH464" s="153"/>
      <c r="CI464" s="153"/>
      <c r="CJ464" s="153"/>
      <c r="CK464" s="153"/>
      <c r="CL464" s="153"/>
      <c r="CM464" s="153"/>
      <c r="CN464" s="153"/>
      <c r="CO464" s="153"/>
      <c r="CP464" s="153"/>
      <c r="CQ464" s="153"/>
      <c r="CR464" s="153"/>
      <c r="CS464" s="153"/>
      <c r="CT464" s="153"/>
      <c r="CU464" s="153"/>
      <c r="CV464" s="153"/>
      <c r="CW464" s="153"/>
      <c r="CX464" s="153"/>
      <c r="CY464" s="153"/>
      <c r="CZ464" s="153"/>
      <c r="DA464" s="153"/>
      <c r="DB464" s="153"/>
      <c r="DC464" s="153"/>
      <c r="DD464" s="153"/>
      <c r="DE464" s="153"/>
      <c r="DF464" s="153"/>
      <c r="DG464" s="153"/>
      <c r="DH464" s="153"/>
      <c r="DI464" s="153"/>
      <c r="DJ464" s="153"/>
      <c r="DK464" s="153"/>
      <c r="DL464" s="153"/>
      <c r="DM464" s="153"/>
      <c r="DN464" s="153"/>
      <c r="DO464" s="153"/>
      <c r="DP464" s="153"/>
      <c r="DQ464" s="153"/>
      <c r="DR464" s="153"/>
      <c r="DS464" s="153"/>
      <c r="DT464" s="153"/>
      <c r="DU464" s="153"/>
      <c r="DV464" s="153"/>
      <c r="DW464" s="153"/>
      <c r="DX464" s="153"/>
      <c r="DY464" s="153"/>
      <c r="DZ464" s="153"/>
      <c r="EA464" s="153"/>
      <c r="EB464" s="153"/>
      <c r="EC464" s="153"/>
      <c r="ED464" s="153"/>
      <c r="EE464" s="153"/>
      <c r="EF464" s="153"/>
      <c r="EG464" s="153"/>
      <c r="EH464" s="153"/>
      <c r="EI464" s="153"/>
      <c r="EJ464" s="153"/>
      <c r="EK464" s="153"/>
      <c r="EL464" s="153"/>
      <c r="EM464" s="153"/>
    </row>
    <row r="465" spans="1:143" s="107" customFormat="1" ht="10.5" hidden="1" customHeight="1" outlineLevel="2">
      <c r="A465" s="1548">
        <v>440</v>
      </c>
      <c r="B465" s="1560" t="str">
        <f t="shared" si="8"/>
        <v/>
      </c>
      <c r="C465" s="161" t="str">
        <f>GasTime(GasAnalyser,'Horiba Data'!F458,'Horiba Data'!G458,'Testo, JUM &amp; MRU Data'!A459,'Thermo Data'!B458,HourOffset)</f>
        <v/>
      </c>
      <c r="D465" s="981" t="str">
        <f>IF(D$17=FALSE,"",GasData(GasAnalyser,'Horiba Data'!S458,'Testo, JUM &amp; MRU Data'!D459,'Thermo Data'!E458,'Testo, JUM &amp; MRU Data'!U459,GDF))</f>
        <v/>
      </c>
      <c r="E465" s="981" t="str">
        <f>IF(D465="","",Conc2(D465,D$9,MolVol,D$21,D$20,E$21,E$20))</f>
        <v/>
      </c>
      <c r="F465" s="981" t="str">
        <f>IF(F$17=FALSE,"",GasData(GasAnalyser,'Horiba Data'!AQ458,'Testo, JUM &amp; MRU Data'!E459,'Thermo Data'!F458,'Testo, JUM &amp; MRU Data'!V459,GDF))</f>
        <v/>
      </c>
      <c r="G465" s="981" t="str">
        <f>IF(F465="","",Conc2(F465,F$9,MolVol,F$21,F$20,G$21,G$20))</f>
        <v/>
      </c>
      <c r="H465" s="981" t="str">
        <f>IF(D$17=FALSE,"",IF(F$17=FALSE,"",GasData(GasAnalyser,'Horiba Data'!W458,'Testo, JUM &amp; MRU Data'!F459,'Thermo Data'!G458,'Testo, JUM &amp; MRU Data'!Y459,GDF)))</f>
        <v/>
      </c>
      <c r="I465" s="981" t="str">
        <f>IF(H465="","",Conc2(H465,H$9,MolVol,H$21,H$20,I$21,I$20))</f>
        <v/>
      </c>
      <c r="J465" s="981" t="str">
        <f>IF(J$17=FALSE,"",GasData(GasAnalyser,'Horiba Data'!AM458,'Testo, JUM &amp; MRU Data'!G459,'Thermo Data'!H458,'Testo, JUM &amp; MRU Data'!W459,GDF))</f>
        <v/>
      </c>
      <c r="K465" s="981" t="str">
        <f>IF(J465="","",Conc2(J465,J$9,MolVol,J$21,J$20,K$21,K$20))</f>
        <v/>
      </c>
      <c r="L465" s="981" t="str">
        <f>IF(L$17=FALSE,"",GasData(GasAnalyser,'Horiba Data'!AA458,'Testo, JUM &amp; MRU Data'!H459,'Thermo Data'!I458,'Testo, JUM &amp; MRU Data'!T459,GDF))</f>
        <v/>
      </c>
      <c r="M465" s="981" t="str">
        <f>IF(L465="","",Conc2(L465,L$9,MolVol,L$21,L$20,M$21,M$20))</f>
        <v/>
      </c>
      <c r="N465" s="981" t="str">
        <f>IF(N$17=FALSE,"",GasData(GasAnalyser,'Horiba Data'!AE458,'Testo, JUM &amp; MRU Data'!I459,'Thermo Data'!J458,'Testo, JUM &amp; MRU Data'!S459,GDF))</f>
        <v/>
      </c>
      <c r="O465" s="981" t="str">
        <f>IF(N465="","",Conc2(N465,N$9,MolVol,N$21,N$20,O$21,O$20))</f>
        <v/>
      </c>
      <c r="P465" s="981" t="str">
        <f>IF(P$17=FALSE,"",GasData(GasAnalyser,'Horiba Data'!AI458,'Testo, JUM &amp; MRU Data'!J459,'Thermo Data'!K458,'Testo, JUM &amp; MRU Data'!R459,GDF))</f>
        <v/>
      </c>
      <c r="Q465" s="981" t="str">
        <f>IF(P465="","",Conc2(P465,P$9,MolVol,P$21,P$20,Q$21,Q$20))</f>
        <v/>
      </c>
      <c r="R465" s="981" t="str">
        <f>IF(R$17=FALSE,"",JUMData('Testo, JUM &amp; MRU Data'!M459,$R$7))</f>
        <v/>
      </c>
      <c r="S465" s="982" t="str">
        <f>IF(R465="","",Conc2(R465,R$9,MolVol,R$21,R$20,S$21,S$20)/(1-Bws))</f>
        <v/>
      </c>
      <c r="T465" s="740"/>
      <c r="AR465" s="335"/>
      <c r="AS465" s="335"/>
      <c r="AT465" s="153"/>
      <c r="AU465" s="153"/>
      <c r="AV465" s="153"/>
      <c r="AW465" s="153"/>
      <c r="AX465" s="153"/>
      <c r="AY465" s="153"/>
      <c r="AZ465" s="153"/>
      <c r="BA465" s="153"/>
      <c r="BB465" s="153"/>
      <c r="BC465" s="153"/>
      <c r="BD465" s="153"/>
      <c r="BE465" s="153"/>
      <c r="BF465" s="153"/>
      <c r="BG465" s="153"/>
      <c r="BH465" s="153"/>
      <c r="BI465" s="153"/>
      <c r="BJ465" s="153"/>
      <c r="BK465" s="153"/>
      <c r="BL465" s="153"/>
      <c r="BM465" s="153"/>
      <c r="BN465" s="153"/>
      <c r="BO465" s="153"/>
      <c r="BP465" s="153"/>
      <c r="BQ465" s="153"/>
      <c r="BR465" s="153"/>
      <c r="BS465" s="153"/>
      <c r="BT465" s="153"/>
      <c r="BU465" s="153"/>
      <c r="BV465" s="153"/>
      <c r="BW465" s="153"/>
      <c r="BX465" s="153"/>
      <c r="BY465" s="153"/>
      <c r="BZ465" s="153"/>
      <c r="CA465" s="153"/>
      <c r="CB465" s="153"/>
      <c r="CC465" s="153"/>
      <c r="CD465" s="153"/>
      <c r="CE465" s="153"/>
      <c r="CF465" s="153"/>
      <c r="CG465" s="153"/>
      <c r="CH465" s="153"/>
      <c r="CI465" s="153"/>
      <c r="CJ465" s="153"/>
      <c r="CK465" s="153"/>
      <c r="CL465" s="153"/>
      <c r="CM465" s="153"/>
      <c r="CN465" s="153"/>
      <c r="CO465" s="153"/>
      <c r="CP465" s="153"/>
      <c r="CQ465" s="153"/>
      <c r="CR465" s="153"/>
      <c r="CS465" s="153"/>
      <c r="CT465" s="153"/>
      <c r="CU465" s="153"/>
      <c r="CV465" s="153"/>
      <c r="CW465" s="153"/>
      <c r="CX465" s="153"/>
      <c r="CY465" s="153"/>
      <c r="CZ465" s="153"/>
      <c r="DA465" s="153"/>
      <c r="DB465" s="153"/>
      <c r="DC465" s="153"/>
      <c r="DD465" s="153"/>
      <c r="DE465" s="153"/>
      <c r="DF465" s="153"/>
      <c r="DG465" s="153"/>
      <c r="DH465" s="153"/>
      <c r="DI465" s="153"/>
      <c r="DJ465" s="153"/>
      <c r="DK465" s="153"/>
      <c r="DL465" s="153"/>
      <c r="DM465" s="153"/>
      <c r="DN465" s="153"/>
      <c r="DO465" s="153"/>
      <c r="DP465" s="153"/>
      <c r="DQ465" s="153"/>
      <c r="DR465" s="153"/>
      <c r="DS465" s="153"/>
      <c r="DT465" s="153"/>
      <c r="DU465" s="153"/>
      <c r="DV465" s="153"/>
      <c r="DW465" s="153"/>
      <c r="DX465" s="153"/>
      <c r="DY465" s="153"/>
      <c r="DZ465" s="153"/>
      <c r="EA465" s="153"/>
      <c r="EB465" s="153"/>
      <c r="EC465" s="153"/>
      <c r="ED465" s="153"/>
      <c r="EE465" s="153"/>
      <c r="EF465" s="153"/>
      <c r="EG465" s="153"/>
      <c r="EH465" s="153"/>
      <c r="EI465" s="153"/>
      <c r="EJ465" s="153"/>
      <c r="EK465" s="153"/>
      <c r="EL465" s="153"/>
      <c r="EM465" s="153"/>
    </row>
    <row r="466" spans="1:143" s="107" customFormat="1" ht="10.5" hidden="1" customHeight="1" outlineLevel="2">
      <c r="A466" s="1548">
        <v>441</v>
      </c>
      <c r="B466" s="1560" t="str">
        <f t="shared" si="8"/>
        <v/>
      </c>
      <c r="C466" s="161" t="str">
        <f>GasTime(GasAnalyser,'Horiba Data'!F459,'Horiba Data'!G459,'Testo, JUM &amp; MRU Data'!A460,'Thermo Data'!B459,HourOffset)</f>
        <v/>
      </c>
      <c r="D466" s="981" t="str">
        <f>IF(D$17=FALSE,"",GasData(GasAnalyser,'Horiba Data'!S459,'Testo, JUM &amp; MRU Data'!D460,'Thermo Data'!E459,'Testo, JUM &amp; MRU Data'!U460,GDF))</f>
        <v/>
      </c>
      <c r="E466" s="981" t="str">
        <f>IF(D466="","",Conc2(D466,D$9,MolVol,D$21,D$20,E$21,E$20))</f>
        <v/>
      </c>
      <c r="F466" s="981" t="str">
        <f>IF(F$17=FALSE,"",GasData(GasAnalyser,'Horiba Data'!AQ459,'Testo, JUM &amp; MRU Data'!E460,'Thermo Data'!F459,'Testo, JUM &amp; MRU Data'!V460,GDF))</f>
        <v/>
      </c>
      <c r="G466" s="981" t="str">
        <f>IF(F466="","",Conc2(F466,F$9,MolVol,F$21,F$20,G$21,G$20))</f>
        <v/>
      </c>
      <c r="H466" s="981" t="str">
        <f>IF(D$17=FALSE,"",IF(F$17=FALSE,"",GasData(GasAnalyser,'Horiba Data'!W459,'Testo, JUM &amp; MRU Data'!F460,'Thermo Data'!G459,'Testo, JUM &amp; MRU Data'!Y460,GDF)))</f>
        <v/>
      </c>
      <c r="I466" s="981" t="str">
        <f>IF(H466="","",Conc2(H466,H$9,MolVol,H$21,H$20,I$21,I$20))</f>
        <v/>
      </c>
      <c r="J466" s="981" t="str">
        <f>IF(J$17=FALSE,"",GasData(GasAnalyser,'Horiba Data'!AM459,'Testo, JUM &amp; MRU Data'!G460,'Thermo Data'!H459,'Testo, JUM &amp; MRU Data'!W460,GDF))</f>
        <v/>
      </c>
      <c r="K466" s="981" t="str">
        <f>IF(J466="","",Conc2(J466,J$9,MolVol,J$21,J$20,K$21,K$20))</f>
        <v/>
      </c>
      <c r="L466" s="981" t="str">
        <f>IF(L$17=FALSE,"",GasData(GasAnalyser,'Horiba Data'!AA459,'Testo, JUM &amp; MRU Data'!H460,'Thermo Data'!I459,'Testo, JUM &amp; MRU Data'!T460,GDF))</f>
        <v/>
      </c>
      <c r="M466" s="981" t="str">
        <f>IF(L466="","",Conc2(L466,L$9,MolVol,L$21,L$20,M$21,M$20))</f>
        <v/>
      </c>
      <c r="N466" s="981" t="str">
        <f>IF(N$17=FALSE,"",GasData(GasAnalyser,'Horiba Data'!AE459,'Testo, JUM &amp; MRU Data'!I460,'Thermo Data'!J459,'Testo, JUM &amp; MRU Data'!S460,GDF))</f>
        <v/>
      </c>
      <c r="O466" s="981" t="str">
        <f>IF(N466="","",Conc2(N466,N$9,MolVol,N$21,N$20,O$21,O$20))</f>
        <v/>
      </c>
      <c r="P466" s="981" t="str">
        <f>IF(P$17=FALSE,"",GasData(GasAnalyser,'Horiba Data'!AI459,'Testo, JUM &amp; MRU Data'!J460,'Thermo Data'!K459,'Testo, JUM &amp; MRU Data'!R460,GDF))</f>
        <v/>
      </c>
      <c r="Q466" s="981" t="str">
        <f>IF(P466="","",Conc2(P466,P$9,MolVol,P$21,P$20,Q$21,Q$20))</f>
        <v/>
      </c>
      <c r="R466" s="981" t="str">
        <f>IF(R$17=FALSE,"",JUMData('Testo, JUM &amp; MRU Data'!M460,$R$7))</f>
        <v/>
      </c>
      <c r="S466" s="982" t="str">
        <f>IF(R466="","",Conc2(R466,R$9,MolVol,R$21,R$20,S$21,S$20)/(1-Bws))</f>
        <v/>
      </c>
      <c r="T466" s="740"/>
      <c r="AR466" s="335"/>
      <c r="AS466" s="335"/>
      <c r="AT466" s="153"/>
      <c r="AU466" s="153"/>
      <c r="AV466" s="153"/>
      <c r="AW466" s="153"/>
      <c r="AX466" s="153"/>
      <c r="AY466" s="153"/>
      <c r="AZ466" s="153"/>
      <c r="BA466" s="153"/>
      <c r="BB466" s="153"/>
      <c r="BC466" s="153"/>
      <c r="BD466" s="153"/>
      <c r="BE466" s="153"/>
      <c r="BF466" s="153"/>
      <c r="BG466" s="153"/>
      <c r="BH466" s="153"/>
      <c r="BI466" s="153"/>
      <c r="BJ466" s="153"/>
      <c r="BK466" s="153"/>
      <c r="BL466" s="153"/>
      <c r="BM466" s="153"/>
      <c r="BN466" s="153"/>
      <c r="BO466" s="153"/>
      <c r="BP466" s="153"/>
      <c r="BQ466" s="153"/>
      <c r="BR466" s="153"/>
      <c r="BS466" s="153"/>
      <c r="BT466" s="153"/>
      <c r="BU466" s="153"/>
      <c r="BV466" s="153"/>
      <c r="BW466" s="153"/>
      <c r="BX466" s="153"/>
      <c r="BY466" s="153"/>
      <c r="BZ466" s="153"/>
      <c r="CA466" s="153"/>
      <c r="CB466" s="153"/>
      <c r="CC466" s="153"/>
      <c r="CD466" s="153"/>
      <c r="CE466" s="153"/>
      <c r="CF466" s="153"/>
      <c r="CG466" s="153"/>
      <c r="CH466" s="153"/>
      <c r="CI466" s="153"/>
      <c r="CJ466" s="153"/>
      <c r="CK466" s="153"/>
      <c r="CL466" s="153"/>
      <c r="CM466" s="153"/>
      <c r="CN466" s="153"/>
      <c r="CO466" s="153"/>
      <c r="CP466" s="153"/>
      <c r="CQ466" s="153"/>
      <c r="CR466" s="153"/>
      <c r="CS466" s="153"/>
      <c r="CT466" s="153"/>
      <c r="CU466" s="153"/>
      <c r="CV466" s="153"/>
      <c r="CW466" s="153"/>
      <c r="CX466" s="153"/>
      <c r="CY466" s="153"/>
      <c r="CZ466" s="153"/>
      <c r="DA466" s="153"/>
      <c r="DB466" s="153"/>
      <c r="DC466" s="153"/>
      <c r="DD466" s="153"/>
      <c r="DE466" s="153"/>
      <c r="DF466" s="153"/>
      <c r="DG466" s="153"/>
      <c r="DH466" s="153"/>
      <c r="DI466" s="153"/>
      <c r="DJ466" s="153"/>
      <c r="DK466" s="153"/>
      <c r="DL466" s="153"/>
      <c r="DM466" s="153"/>
      <c r="DN466" s="153"/>
      <c r="DO466" s="153"/>
      <c r="DP466" s="153"/>
      <c r="DQ466" s="153"/>
      <c r="DR466" s="153"/>
      <c r="DS466" s="153"/>
      <c r="DT466" s="153"/>
      <c r="DU466" s="153"/>
      <c r="DV466" s="153"/>
      <c r="DW466" s="153"/>
      <c r="DX466" s="153"/>
      <c r="DY466" s="153"/>
      <c r="DZ466" s="153"/>
      <c r="EA466" s="153"/>
      <c r="EB466" s="153"/>
      <c r="EC466" s="153"/>
      <c r="ED466" s="153"/>
      <c r="EE466" s="153"/>
      <c r="EF466" s="153"/>
      <c r="EG466" s="153"/>
      <c r="EH466" s="153"/>
      <c r="EI466" s="153"/>
      <c r="EJ466" s="153"/>
      <c r="EK466" s="153"/>
      <c r="EL466" s="153"/>
      <c r="EM466" s="153"/>
    </row>
    <row r="467" spans="1:143" s="107" customFormat="1" ht="10.5" hidden="1" customHeight="1" outlineLevel="2">
      <c r="A467" s="1548">
        <v>442</v>
      </c>
      <c r="B467" s="1560" t="str">
        <f t="shared" si="8"/>
        <v/>
      </c>
      <c r="C467" s="161" t="str">
        <f>GasTime(GasAnalyser,'Horiba Data'!F460,'Horiba Data'!G460,'Testo, JUM &amp; MRU Data'!A461,'Thermo Data'!B460,HourOffset)</f>
        <v/>
      </c>
      <c r="D467" s="981" t="str">
        <f>IF(D$17=FALSE,"",GasData(GasAnalyser,'Horiba Data'!S460,'Testo, JUM &amp; MRU Data'!D461,'Thermo Data'!E460,'Testo, JUM &amp; MRU Data'!U461,GDF))</f>
        <v/>
      </c>
      <c r="E467" s="981" t="str">
        <f>IF(D467="","",Conc2(D467,D$9,MolVol,D$21,D$20,E$21,E$20))</f>
        <v/>
      </c>
      <c r="F467" s="981" t="str">
        <f>IF(F$17=FALSE,"",GasData(GasAnalyser,'Horiba Data'!AQ460,'Testo, JUM &amp; MRU Data'!E461,'Thermo Data'!F460,'Testo, JUM &amp; MRU Data'!V461,GDF))</f>
        <v/>
      </c>
      <c r="G467" s="981" t="str">
        <f>IF(F467="","",Conc2(F467,F$9,MolVol,F$21,F$20,G$21,G$20))</f>
        <v/>
      </c>
      <c r="H467" s="981" t="str">
        <f>IF(D$17=FALSE,"",IF(F$17=FALSE,"",GasData(GasAnalyser,'Horiba Data'!W460,'Testo, JUM &amp; MRU Data'!F461,'Thermo Data'!G460,'Testo, JUM &amp; MRU Data'!Y461,GDF)))</f>
        <v/>
      </c>
      <c r="I467" s="981" t="str">
        <f>IF(H467="","",Conc2(H467,H$9,MolVol,H$21,H$20,I$21,I$20))</f>
        <v/>
      </c>
      <c r="J467" s="981" t="str">
        <f>IF(J$17=FALSE,"",GasData(GasAnalyser,'Horiba Data'!AM460,'Testo, JUM &amp; MRU Data'!G461,'Thermo Data'!H460,'Testo, JUM &amp; MRU Data'!W461,GDF))</f>
        <v/>
      </c>
      <c r="K467" s="981" t="str">
        <f>IF(J467="","",Conc2(J467,J$9,MolVol,J$21,J$20,K$21,K$20))</f>
        <v/>
      </c>
      <c r="L467" s="981" t="str">
        <f>IF(L$17=FALSE,"",GasData(GasAnalyser,'Horiba Data'!AA460,'Testo, JUM &amp; MRU Data'!H461,'Thermo Data'!I460,'Testo, JUM &amp; MRU Data'!T461,GDF))</f>
        <v/>
      </c>
      <c r="M467" s="981" t="str">
        <f>IF(L467="","",Conc2(L467,L$9,MolVol,L$21,L$20,M$21,M$20))</f>
        <v/>
      </c>
      <c r="N467" s="981" t="str">
        <f>IF(N$17=FALSE,"",GasData(GasAnalyser,'Horiba Data'!AE460,'Testo, JUM &amp; MRU Data'!I461,'Thermo Data'!J460,'Testo, JUM &amp; MRU Data'!S461,GDF))</f>
        <v/>
      </c>
      <c r="O467" s="981" t="str">
        <f>IF(N467="","",Conc2(N467,N$9,MolVol,N$21,N$20,O$21,O$20))</f>
        <v/>
      </c>
      <c r="P467" s="981" t="str">
        <f>IF(P$17=FALSE,"",GasData(GasAnalyser,'Horiba Data'!AI460,'Testo, JUM &amp; MRU Data'!J461,'Thermo Data'!K460,'Testo, JUM &amp; MRU Data'!R461,GDF))</f>
        <v/>
      </c>
      <c r="Q467" s="981" t="str">
        <f>IF(P467="","",Conc2(P467,P$9,MolVol,P$21,P$20,Q$21,Q$20))</f>
        <v/>
      </c>
      <c r="R467" s="981" t="str">
        <f>IF(R$17=FALSE,"",JUMData('Testo, JUM &amp; MRU Data'!M461,$R$7))</f>
        <v/>
      </c>
      <c r="S467" s="982" t="str">
        <f>IF(R467="","",Conc2(R467,R$9,MolVol,R$21,R$20,S$21,S$20)/(1-Bws))</f>
        <v/>
      </c>
      <c r="T467" s="740"/>
      <c r="AR467" s="335"/>
      <c r="AS467" s="335"/>
      <c r="AT467" s="153"/>
      <c r="AU467" s="153"/>
      <c r="AV467" s="153"/>
      <c r="AW467" s="153"/>
      <c r="AX467" s="153"/>
      <c r="AY467" s="153"/>
      <c r="AZ467" s="153"/>
      <c r="BA467" s="153"/>
      <c r="BB467" s="153"/>
      <c r="BC467" s="153"/>
      <c r="BD467" s="153"/>
      <c r="BE467" s="153"/>
      <c r="BF467" s="153"/>
      <c r="BG467" s="153"/>
      <c r="BH467" s="153"/>
      <c r="BI467" s="153"/>
      <c r="BJ467" s="153"/>
      <c r="BK467" s="153"/>
      <c r="BL467" s="153"/>
      <c r="BM467" s="153"/>
      <c r="BN467" s="153"/>
      <c r="BO467" s="153"/>
      <c r="BP467" s="153"/>
      <c r="BQ467" s="153"/>
      <c r="BR467" s="153"/>
      <c r="BS467" s="153"/>
      <c r="BT467" s="153"/>
      <c r="BU467" s="153"/>
      <c r="BV467" s="153"/>
      <c r="BW467" s="153"/>
      <c r="BX467" s="153"/>
      <c r="BY467" s="153"/>
      <c r="BZ467" s="153"/>
      <c r="CA467" s="153"/>
      <c r="CB467" s="153"/>
      <c r="CC467" s="153"/>
      <c r="CD467" s="153"/>
      <c r="CE467" s="153"/>
      <c r="CF467" s="153"/>
      <c r="CG467" s="153"/>
      <c r="CH467" s="153"/>
      <c r="CI467" s="153"/>
      <c r="CJ467" s="153"/>
      <c r="CK467" s="153"/>
      <c r="CL467" s="153"/>
      <c r="CM467" s="153"/>
      <c r="CN467" s="153"/>
      <c r="CO467" s="153"/>
      <c r="CP467" s="153"/>
      <c r="CQ467" s="153"/>
      <c r="CR467" s="153"/>
      <c r="CS467" s="153"/>
      <c r="CT467" s="153"/>
      <c r="CU467" s="153"/>
      <c r="CV467" s="153"/>
      <c r="CW467" s="153"/>
      <c r="CX467" s="153"/>
      <c r="CY467" s="153"/>
      <c r="CZ467" s="153"/>
      <c r="DA467" s="153"/>
      <c r="DB467" s="153"/>
      <c r="DC467" s="153"/>
      <c r="DD467" s="153"/>
      <c r="DE467" s="153"/>
      <c r="DF467" s="153"/>
      <c r="DG467" s="153"/>
      <c r="DH467" s="153"/>
      <c r="DI467" s="153"/>
      <c r="DJ467" s="153"/>
      <c r="DK467" s="153"/>
      <c r="DL467" s="153"/>
      <c r="DM467" s="153"/>
      <c r="DN467" s="153"/>
      <c r="DO467" s="153"/>
      <c r="DP467" s="153"/>
      <c r="DQ467" s="153"/>
      <c r="DR467" s="153"/>
      <c r="DS467" s="153"/>
      <c r="DT467" s="153"/>
      <c r="DU467" s="153"/>
      <c r="DV467" s="153"/>
      <c r="DW467" s="153"/>
      <c r="DX467" s="153"/>
      <c r="DY467" s="153"/>
      <c r="DZ467" s="153"/>
      <c r="EA467" s="153"/>
      <c r="EB467" s="153"/>
      <c r="EC467" s="153"/>
      <c r="ED467" s="153"/>
      <c r="EE467" s="153"/>
      <c r="EF467" s="153"/>
      <c r="EG467" s="153"/>
      <c r="EH467" s="153"/>
      <c r="EI467" s="153"/>
      <c r="EJ467" s="153"/>
      <c r="EK467" s="153"/>
      <c r="EL467" s="153"/>
      <c r="EM467" s="153"/>
    </row>
    <row r="468" spans="1:143" s="107" customFormat="1" ht="10.5" hidden="1" customHeight="1" outlineLevel="2">
      <c r="A468" s="1548">
        <v>443</v>
      </c>
      <c r="B468" s="1560" t="str">
        <f t="shared" si="8"/>
        <v/>
      </c>
      <c r="C468" s="161" t="str">
        <f>GasTime(GasAnalyser,'Horiba Data'!F461,'Horiba Data'!G461,'Testo, JUM &amp; MRU Data'!A462,'Thermo Data'!B461,HourOffset)</f>
        <v/>
      </c>
      <c r="D468" s="981" t="str">
        <f>IF(D$17=FALSE,"",GasData(GasAnalyser,'Horiba Data'!S461,'Testo, JUM &amp; MRU Data'!D462,'Thermo Data'!E461,'Testo, JUM &amp; MRU Data'!U462,GDF))</f>
        <v/>
      </c>
      <c r="E468" s="981" t="str">
        <f>IF(D468="","",Conc2(D468,D$9,MolVol,D$21,D$20,E$21,E$20))</f>
        <v/>
      </c>
      <c r="F468" s="981" t="str">
        <f>IF(F$17=FALSE,"",GasData(GasAnalyser,'Horiba Data'!AQ461,'Testo, JUM &amp; MRU Data'!E462,'Thermo Data'!F461,'Testo, JUM &amp; MRU Data'!V462,GDF))</f>
        <v/>
      </c>
      <c r="G468" s="981" t="str">
        <f>IF(F468="","",Conc2(F468,F$9,MolVol,F$21,F$20,G$21,G$20))</f>
        <v/>
      </c>
      <c r="H468" s="981" t="str">
        <f>IF(D$17=FALSE,"",IF(F$17=FALSE,"",GasData(GasAnalyser,'Horiba Data'!W461,'Testo, JUM &amp; MRU Data'!F462,'Thermo Data'!G461,'Testo, JUM &amp; MRU Data'!Y462,GDF)))</f>
        <v/>
      </c>
      <c r="I468" s="981" t="str">
        <f>IF(H468="","",Conc2(H468,H$9,MolVol,H$21,H$20,I$21,I$20))</f>
        <v/>
      </c>
      <c r="J468" s="981" t="str">
        <f>IF(J$17=FALSE,"",GasData(GasAnalyser,'Horiba Data'!AM461,'Testo, JUM &amp; MRU Data'!G462,'Thermo Data'!H461,'Testo, JUM &amp; MRU Data'!W462,GDF))</f>
        <v/>
      </c>
      <c r="K468" s="981" t="str">
        <f>IF(J468="","",Conc2(J468,J$9,MolVol,J$21,J$20,K$21,K$20))</f>
        <v/>
      </c>
      <c r="L468" s="981" t="str">
        <f>IF(L$17=FALSE,"",GasData(GasAnalyser,'Horiba Data'!AA461,'Testo, JUM &amp; MRU Data'!H462,'Thermo Data'!I461,'Testo, JUM &amp; MRU Data'!T462,GDF))</f>
        <v/>
      </c>
      <c r="M468" s="981" t="str">
        <f>IF(L468="","",Conc2(L468,L$9,MolVol,L$21,L$20,M$21,M$20))</f>
        <v/>
      </c>
      <c r="N468" s="981" t="str">
        <f>IF(N$17=FALSE,"",GasData(GasAnalyser,'Horiba Data'!AE461,'Testo, JUM &amp; MRU Data'!I462,'Thermo Data'!J461,'Testo, JUM &amp; MRU Data'!S462,GDF))</f>
        <v/>
      </c>
      <c r="O468" s="981" t="str">
        <f>IF(N468="","",Conc2(N468,N$9,MolVol,N$21,N$20,O$21,O$20))</f>
        <v/>
      </c>
      <c r="P468" s="981" t="str">
        <f>IF(P$17=FALSE,"",GasData(GasAnalyser,'Horiba Data'!AI461,'Testo, JUM &amp; MRU Data'!J462,'Thermo Data'!K461,'Testo, JUM &amp; MRU Data'!R462,GDF))</f>
        <v/>
      </c>
      <c r="Q468" s="981" t="str">
        <f>IF(P468="","",Conc2(P468,P$9,MolVol,P$21,P$20,Q$21,Q$20))</f>
        <v/>
      </c>
      <c r="R468" s="981" t="str">
        <f>IF(R$17=FALSE,"",JUMData('Testo, JUM &amp; MRU Data'!M462,$R$7))</f>
        <v/>
      </c>
      <c r="S468" s="982" t="str">
        <f>IF(R468="","",Conc2(R468,R$9,MolVol,R$21,R$20,S$21,S$20)/(1-Bws))</f>
        <v/>
      </c>
      <c r="T468" s="740"/>
      <c r="AR468" s="335"/>
      <c r="AS468" s="335"/>
      <c r="AT468" s="153"/>
      <c r="AU468" s="153"/>
      <c r="AV468" s="153"/>
      <c r="AW468" s="153"/>
      <c r="AX468" s="153"/>
      <c r="AY468" s="153"/>
      <c r="AZ468" s="153"/>
      <c r="BA468" s="153"/>
      <c r="BB468" s="153"/>
      <c r="BC468" s="153"/>
      <c r="BD468" s="153"/>
      <c r="BE468" s="153"/>
      <c r="BF468" s="153"/>
      <c r="BG468" s="153"/>
      <c r="BH468" s="153"/>
      <c r="BI468" s="153"/>
      <c r="BJ468" s="153"/>
      <c r="BK468" s="153"/>
      <c r="BL468" s="153"/>
      <c r="BM468" s="153"/>
      <c r="BN468" s="153"/>
      <c r="BO468" s="153"/>
      <c r="BP468" s="153"/>
      <c r="BQ468" s="153"/>
      <c r="BR468" s="153"/>
      <c r="BS468" s="153"/>
      <c r="BT468" s="153"/>
      <c r="BU468" s="153"/>
      <c r="BV468" s="153"/>
      <c r="BW468" s="153"/>
      <c r="BX468" s="153"/>
      <c r="BY468" s="153"/>
      <c r="BZ468" s="153"/>
      <c r="CA468" s="153"/>
      <c r="CB468" s="153"/>
      <c r="CC468" s="153"/>
      <c r="CD468" s="153"/>
      <c r="CE468" s="153"/>
      <c r="CF468" s="153"/>
      <c r="CG468" s="153"/>
      <c r="CH468" s="153"/>
      <c r="CI468" s="153"/>
      <c r="CJ468" s="153"/>
      <c r="CK468" s="153"/>
      <c r="CL468" s="153"/>
      <c r="CM468" s="153"/>
      <c r="CN468" s="153"/>
      <c r="CO468" s="153"/>
      <c r="CP468" s="153"/>
      <c r="CQ468" s="153"/>
      <c r="CR468" s="153"/>
      <c r="CS468" s="153"/>
      <c r="CT468" s="153"/>
      <c r="CU468" s="153"/>
      <c r="CV468" s="153"/>
      <c r="CW468" s="153"/>
      <c r="CX468" s="153"/>
      <c r="CY468" s="153"/>
      <c r="CZ468" s="153"/>
      <c r="DA468" s="153"/>
      <c r="DB468" s="153"/>
      <c r="DC468" s="153"/>
      <c r="DD468" s="153"/>
      <c r="DE468" s="153"/>
      <c r="DF468" s="153"/>
      <c r="DG468" s="153"/>
      <c r="DH468" s="153"/>
      <c r="DI468" s="153"/>
      <c r="DJ468" s="153"/>
      <c r="DK468" s="153"/>
      <c r="DL468" s="153"/>
      <c r="DM468" s="153"/>
      <c r="DN468" s="153"/>
      <c r="DO468" s="153"/>
      <c r="DP468" s="153"/>
      <c r="DQ468" s="153"/>
      <c r="DR468" s="153"/>
      <c r="DS468" s="153"/>
      <c r="DT468" s="153"/>
      <c r="DU468" s="153"/>
      <c r="DV468" s="153"/>
      <c r="DW468" s="153"/>
      <c r="DX468" s="153"/>
      <c r="DY468" s="153"/>
      <c r="DZ468" s="153"/>
      <c r="EA468" s="153"/>
      <c r="EB468" s="153"/>
      <c r="EC468" s="153"/>
      <c r="ED468" s="153"/>
      <c r="EE468" s="153"/>
      <c r="EF468" s="153"/>
      <c r="EG468" s="153"/>
      <c r="EH468" s="153"/>
      <c r="EI468" s="153"/>
      <c r="EJ468" s="153"/>
      <c r="EK468" s="153"/>
      <c r="EL468" s="153"/>
      <c r="EM468" s="153"/>
    </row>
    <row r="469" spans="1:143" s="107" customFormat="1" ht="10.5" hidden="1" customHeight="1" outlineLevel="2">
      <c r="A469" s="1548">
        <v>444</v>
      </c>
      <c r="B469" s="1560" t="str">
        <f t="shared" si="8"/>
        <v/>
      </c>
      <c r="C469" s="161" t="str">
        <f>GasTime(GasAnalyser,'Horiba Data'!F462,'Horiba Data'!G462,'Testo, JUM &amp; MRU Data'!A463,'Thermo Data'!B462,HourOffset)</f>
        <v/>
      </c>
      <c r="D469" s="981" t="str">
        <f>IF(D$17=FALSE,"",GasData(GasAnalyser,'Horiba Data'!S462,'Testo, JUM &amp; MRU Data'!D463,'Thermo Data'!E462,'Testo, JUM &amp; MRU Data'!U463,GDF))</f>
        <v/>
      </c>
      <c r="E469" s="981" t="str">
        <f>IF(D469="","",Conc2(D469,D$9,MolVol,D$21,D$20,E$21,E$20))</f>
        <v/>
      </c>
      <c r="F469" s="981" t="str">
        <f>IF(F$17=FALSE,"",GasData(GasAnalyser,'Horiba Data'!AQ462,'Testo, JUM &amp; MRU Data'!E463,'Thermo Data'!F462,'Testo, JUM &amp; MRU Data'!V463,GDF))</f>
        <v/>
      </c>
      <c r="G469" s="981" t="str">
        <f>IF(F469="","",Conc2(F469,F$9,MolVol,F$21,F$20,G$21,G$20))</f>
        <v/>
      </c>
      <c r="H469" s="981" t="str">
        <f>IF(D$17=FALSE,"",IF(F$17=FALSE,"",GasData(GasAnalyser,'Horiba Data'!W462,'Testo, JUM &amp; MRU Data'!F463,'Thermo Data'!G462,'Testo, JUM &amp; MRU Data'!Y463,GDF)))</f>
        <v/>
      </c>
      <c r="I469" s="981" t="str">
        <f>IF(H469="","",Conc2(H469,H$9,MolVol,H$21,H$20,I$21,I$20))</f>
        <v/>
      </c>
      <c r="J469" s="981" t="str">
        <f>IF(J$17=FALSE,"",GasData(GasAnalyser,'Horiba Data'!AM462,'Testo, JUM &amp; MRU Data'!G463,'Thermo Data'!H462,'Testo, JUM &amp; MRU Data'!W463,GDF))</f>
        <v/>
      </c>
      <c r="K469" s="981" t="str">
        <f>IF(J469="","",Conc2(J469,J$9,MolVol,J$21,J$20,K$21,K$20))</f>
        <v/>
      </c>
      <c r="L469" s="981" t="str">
        <f>IF(L$17=FALSE,"",GasData(GasAnalyser,'Horiba Data'!AA462,'Testo, JUM &amp; MRU Data'!H463,'Thermo Data'!I462,'Testo, JUM &amp; MRU Data'!T463,GDF))</f>
        <v/>
      </c>
      <c r="M469" s="981" t="str">
        <f>IF(L469="","",Conc2(L469,L$9,MolVol,L$21,L$20,M$21,M$20))</f>
        <v/>
      </c>
      <c r="N469" s="981" t="str">
        <f>IF(N$17=FALSE,"",GasData(GasAnalyser,'Horiba Data'!AE462,'Testo, JUM &amp; MRU Data'!I463,'Thermo Data'!J462,'Testo, JUM &amp; MRU Data'!S463,GDF))</f>
        <v/>
      </c>
      <c r="O469" s="981" t="str">
        <f>IF(N469="","",Conc2(N469,N$9,MolVol,N$21,N$20,O$21,O$20))</f>
        <v/>
      </c>
      <c r="P469" s="981" t="str">
        <f>IF(P$17=FALSE,"",GasData(GasAnalyser,'Horiba Data'!AI462,'Testo, JUM &amp; MRU Data'!J463,'Thermo Data'!K462,'Testo, JUM &amp; MRU Data'!R463,GDF))</f>
        <v/>
      </c>
      <c r="Q469" s="981" t="str">
        <f>IF(P469="","",Conc2(P469,P$9,MolVol,P$21,P$20,Q$21,Q$20))</f>
        <v/>
      </c>
      <c r="R469" s="981" t="str">
        <f>IF(R$17=FALSE,"",JUMData('Testo, JUM &amp; MRU Data'!M463,$R$7))</f>
        <v/>
      </c>
      <c r="S469" s="982" t="str">
        <f>IF(R469="","",Conc2(R469,R$9,MolVol,R$21,R$20,S$21,S$20)/(1-Bws))</f>
        <v/>
      </c>
      <c r="T469" s="740"/>
      <c r="AR469" s="335"/>
      <c r="AS469" s="335"/>
      <c r="AT469" s="153"/>
      <c r="AU469" s="153"/>
      <c r="AV469" s="153"/>
      <c r="AW469" s="153"/>
      <c r="AX469" s="153"/>
      <c r="AY469" s="153"/>
      <c r="AZ469" s="153"/>
      <c r="BA469" s="153"/>
      <c r="BB469" s="153"/>
      <c r="BC469" s="153"/>
      <c r="BD469" s="153"/>
      <c r="BE469" s="153"/>
      <c r="BF469" s="153"/>
      <c r="BG469" s="153"/>
      <c r="BH469" s="153"/>
      <c r="BI469" s="153"/>
      <c r="BJ469" s="153"/>
      <c r="BK469" s="153"/>
      <c r="BL469" s="153"/>
      <c r="BM469" s="153"/>
      <c r="BN469" s="153"/>
      <c r="BO469" s="153"/>
      <c r="BP469" s="153"/>
      <c r="BQ469" s="153"/>
      <c r="BR469" s="153"/>
      <c r="BS469" s="153"/>
      <c r="BT469" s="153"/>
      <c r="BU469" s="153"/>
      <c r="BV469" s="153"/>
      <c r="BW469" s="153"/>
      <c r="BX469" s="153"/>
      <c r="BY469" s="153"/>
      <c r="BZ469" s="153"/>
      <c r="CA469" s="153"/>
      <c r="CB469" s="153"/>
      <c r="CC469" s="153"/>
      <c r="CD469" s="153"/>
      <c r="CE469" s="153"/>
      <c r="CF469" s="153"/>
      <c r="CG469" s="153"/>
      <c r="CH469" s="153"/>
      <c r="CI469" s="153"/>
      <c r="CJ469" s="153"/>
      <c r="CK469" s="153"/>
      <c r="CL469" s="153"/>
      <c r="CM469" s="153"/>
      <c r="CN469" s="153"/>
      <c r="CO469" s="153"/>
      <c r="CP469" s="153"/>
      <c r="CQ469" s="153"/>
      <c r="CR469" s="153"/>
      <c r="CS469" s="153"/>
      <c r="CT469" s="153"/>
      <c r="CU469" s="153"/>
      <c r="CV469" s="153"/>
      <c r="CW469" s="153"/>
      <c r="CX469" s="153"/>
      <c r="CY469" s="153"/>
      <c r="CZ469" s="153"/>
      <c r="DA469" s="153"/>
      <c r="DB469" s="153"/>
      <c r="DC469" s="153"/>
      <c r="DD469" s="153"/>
      <c r="DE469" s="153"/>
      <c r="DF469" s="153"/>
      <c r="DG469" s="153"/>
      <c r="DH469" s="153"/>
      <c r="DI469" s="153"/>
      <c r="DJ469" s="153"/>
      <c r="DK469" s="153"/>
      <c r="DL469" s="153"/>
      <c r="DM469" s="153"/>
      <c r="DN469" s="153"/>
      <c r="DO469" s="153"/>
      <c r="DP469" s="153"/>
      <c r="DQ469" s="153"/>
      <c r="DR469" s="153"/>
      <c r="DS469" s="153"/>
      <c r="DT469" s="153"/>
      <c r="DU469" s="153"/>
      <c r="DV469" s="153"/>
      <c r="DW469" s="153"/>
      <c r="DX469" s="153"/>
      <c r="DY469" s="153"/>
      <c r="DZ469" s="153"/>
      <c r="EA469" s="153"/>
      <c r="EB469" s="153"/>
      <c r="EC469" s="153"/>
      <c r="ED469" s="153"/>
      <c r="EE469" s="153"/>
      <c r="EF469" s="153"/>
      <c r="EG469" s="153"/>
      <c r="EH469" s="153"/>
      <c r="EI469" s="153"/>
      <c r="EJ469" s="153"/>
      <c r="EK469" s="153"/>
      <c r="EL469" s="153"/>
      <c r="EM469" s="153"/>
    </row>
    <row r="470" spans="1:143" s="107" customFormat="1" ht="10.5" hidden="1" customHeight="1" outlineLevel="2">
      <c r="A470" s="1548">
        <v>445</v>
      </c>
      <c r="B470" s="1560" t="str">
        <f t="shared" si="8"/>
        <v/>
      </c>
      <c r="C470" s="161" t="str">
        <f>GasTime(GasAnalyser,'Horiba Data'!F463,'Horiba Data'!G463,'Testo, JUM &amp; MRU Data'!A464,'Thermo Data'!B463,HourOffset)</f>
        <v/>
      </c>
      <c r="D470" s="981" t="str">
        <f>IF(D$17=FALSE,"",GasData(GasAnalyser,'Horiba Data'!S463,'Testo, JUM &amp; MRU Data'!D464,'Thermo Data'!E463,'Testo, JUM &amp; MRU Data'!U464,GDF))</f>
        <v/>
      </c>
      <c r="E470" s="981" t="str">
        <f>IF(D470="","",Conc2(D470,D$9,MolVol,D$21,D$20,E$21,E$20))</f>
        <v/>
      </c>
      <c r="F470" s="981" t="str">
        <f>IF(F$17=FALSE,"",GasData(GasAnalyser,'Horiba Data'!AQ463,'Testo, JUM &amp; MRU Data'!E464,'Thermo Data'!F463,'Testo, JUM &amp; MRU Data'!V464,GDF))</f>
        <v/>
      </c>
      <c r="G470" s="981" t="str">
        <f>IF(F470="","",Conc2(F470,F$9,MolVol,F$21,F$20,G$21,G$20))</f>
        <v/>
      </c>
      <c r="H470" s="981" t="str">
        <f>IF(D$17=FALSE,"",IF(F$17=FALSE,"",GasData(GasAnalyser,'Horiba Data'!W463,'Testo, JUM &amp; MRU Data'!F464,'Thermo Data'!G463,'Testo, JUM &amp; MRU Data'!Y464,GDF)))</f>
        <v/>
      </c>
      <c r="I470" s="981" t="str">
        <f>IF(H470="","",Conc2(H470,H$9,MolVol,H$21,H$20,I$21,I$20))</f>
        <v/>
      </c>
      <c r="J470" s="981" t="str">
        <f>IF(J$17=FALSE,"",GasData(GasAnalyser,'Horiba Data'!AM463,'Testo, JUM &amp; MRU Data'!G464,'Thermo Data'!H463,'Testo, JUM &amp; MRU Data'!W464,GDF))</f>
        <v/>
      </c>
      <c r="K470" s="981" t="str">
        <f>IF(J470="","",Conc2(J470,J$9,MolVol,J$21,J$20,K$21,K$20))</f>
        <v/>
      </c>
      <c r="L470" s="981" t="str">
        <f>IF(L$17=FALSE,"",GasData(GasAnalyser,'Horiba Data'!AA463,'Testo, JUM &amp; MRU Data'!H464,'Thermo Data'!I463,'Testo, JUM &amp; MRU Data'!T464,GDF))</f>
        <v/>
      </c>
      <c r="M470" s="981" t="str">
        <f>IF(L470="","",Conc2(L470,L$9,MolVol,L$21,L$20,M$21,M$20))</f>
        <v/>
      </c>
      <c r="N470" s="981" t="str">
        <f>IF(N$17=FALSE,"",GasData(GasAnalyser,'Horiba Data'!AE463,'Testo, JUM &amp; MRU Data'!I464,'Thermo Data'!J463,'Testo, JUM &amp; MRU Data'!S464,GDF))</f>
        <v/>
      </c>
      <c r="O470" s="981" t="str">
        <f>IF(N470="","",Conc2(N470,N$9,MolVol,N$21,N$20,O$21,O$20))</f>
        <v/>
      </c>
      <c r="P470" s="981" t="str">
        <f>IF(P$17=FALSE,"",GasData(GasAnalyser,'Horiba Data'!AI463,'Testo, JUM &amp; MRU Data'!J464,'Thermo Data'!K463,'Testo, JUM &amp; MRU Data'!R464,GDF))</f>
        <v/>
      </c>
      <c r="Q470" s="981" t="str">
        <f>IF(P470="","",Conc2(P470,P$9,MolVol,P$21,P$20,Q$21,Q$20))</f>
        <v/>
      </c>
      <c r="R470" s="981" t="str">
        <f>IF(R$17=FALSE,"",JUMData('Testo, JUM &amp; MRU Data'!M464,$R$7))</f>
        <v/>
      </c>
      <c r="S470" s="982" t="str">
        <f>IF(R470="","",Conc2(R470,R$9,MolVol,R$21,R$20,S$21,S$20)/(1-Bws))</f>
        <v/>
      </c>
      <c r="T470" s="740"/>
      <c r="AR470" s="335"/>
      <c r="AS470" s="335"/>
      <c r="AT470" s="153"/>
      <c r="AU470" s="153"/>
      <c r="AV470" s="153"/>
      <c r="AW470" s="153"/>
      <c r="AX470" s="153"/>
      <c r="AY470" s="153"/>
      <c r="AZ470" s="153"/>
      <c r="BA470" s="153"/>
      <c r="BB470" s="153"/>
      <c r="BC470" s="153"/>
      <c r="BD470" s="153"/>
      <c r="BE470" s="153"/>
      <c r="BF470" s="153"/>
      <c r="BG470" s="153"/>
      <c r="BH470" s="153"/>
      <c r="BI470" s="153"/>
      <c r="BJ470" s="153"/>
      <c r="BK470" s="153"/>
      <c r="BL470" s="153"/>
      <c r="BM470" s="153"/>
      <c r="BN470" s="153"/>
      <c r="BO470" s="153"/>
      <c r="BP470" s="153"/>
      <c r="BQ470" s="153"/>
      <c r="BR470" s="153"/>
      <c r="BS470" s="153"/>
      <c r="BT470" s="153"/>
      <c r="BU470" s="153"/>
      <c r="BV470" s="153"/>
      <c r="BW470" s="153"/>
      <c r="BX470" s="153"/>
      <c r="BY470" s="153"/>
      <c r="BZ470" s="153"/>
      <c r="CA470" s="153"/>
      <c r="CB470" s="153"/>
      <c r="CC470" s="153"/>
      <c r="CD470" s="153"/>
      <c r="CE470" s="153"/>
      <c r="CF470" s="153"/>
      <c r="CG470" s="153"/>
      <c r="CH470" s="153"/>
      <c r="CI470" s="153"/>
      <c r="CJ470" s="153"/>
      <c r="CK470" s="153"/>
      <c r="CL470" s="153"/>
      <c r="CM470" s="153"/>
      <c r="CN470" s="153"/>
      <c r="CO470" s="153"/>
      <c r="CP470" s="153"/>
      <c r="CQ470" s="153"/>
      <c r="CR470" s="153"/>
      <c r="CS470" s="153"/>
      <c r="CT470" s="153"/>
      <c r="CU470" s="153"/>
      <c r="CV470" s="153"/>
      <c r="CW470" s="153"/>
      <c r="CX470" s="153"/>
      <c r="CY470" s="153"/>
      <c r="CZ470" s="153"/>
      <c r="DA470" s="153"/>
      <c r="DB470" s="153"/>
      <c r="DC470" s="153"/>
      <c r="DD470" s="153"/>
      <c r="DE470" s="153"/>
      <c r="DF470" s="153"/>
      <c r="DG470" s="153"/>
      <c r="DH470" s="153"/>
      <c r="DI470" s="153"/>
      <c r="DJ470" s="153"/>
      <c r="DK470" s="153"/>
      <c r="DL470" s="153"/>
      <c r="DM470" s="153"/>
      <c r="DN470" s="153"/>
      <c r="DO470" s="153"/>
      <c r="DP470" s="153"/>
      <c r="DQ470" s="153"/>
      <c r="DR470" s="153"/>
      <c r="DS470" s="153"/>
      <c r="DT470" s="153"/>
      <c r="DU470" s="153"/>
      <c r="DV470" s="153"/>
      <c r="DW470" s="153"/>
      <c r="DX470" s="153"/>
      <c r="DY470" s="153"/>
      <c r="DZ470" s="153"/>
      <c r="EA470" s="153"/>
      <c r="EB470" s="153"/>
      <c r="EC470" s="153"/>
      <c r="ED470" s="153"/>
      <c r="EE470" s="153"/>
      <c r="EF470" s="153"/>
      <c r="EG470" s="153"/>
      <c r="EH470" s="153"/>
      <c r="EI470" s="153"/>
      <c r="EJ470" s="153"/>
      <c r="EK470" s="153"/>
      <c r="EL470" s="153"/>
      <c r="EM470" s="153"/>
    </row>
    <row r="471" spans="1:143" s="107" customFormat="1" ht="10.5" hidden="1" customHeight="1" outlineLevel="2">
      <c r="A471" s="1548">
        <v>446</v>
      </c>
      <c r="B471" s="1560" t="str">
        <f t="shared" si="8"/>
        <v/>
      </c>
      <c r="C471" s="161" t="str">
        <f>GasTime(GasAnalyser,'Horiba Data'!F464,'Horiba Data'!G464,'Testo, JUM &amp; MRU Data'!A465,'Thermo Data'!B464,HourOffset)</f>
        <v/>
      </c>
      <c r="D471" s="981" t="str">
        <f>IF(D$17=FALSE,"",GasData(GasAnalyser,'Horiba Data'!S464,'Testo, JUM &amp; MRU Data'!D465,'Thermo Data'!E464,'Testo, JUM &amp; MRU Data'!U465,GDF))</f>
        <v/>
      </c>
      <c r="E471" s="981" t="str">
        <f>IF(D471="","",Conc2(D471,D$9,MolVol,D$21,D$20,E$21,E$20))</f>
        <v/>
      </c>
      <c r="F471" s="981" t="str">
        <f>IF(F$17=FALSE,"",GasData(GasAnalyser,'Horiba Data'!AQ464,'Testo, JUM &amp; MRU Data'!E465,'Thermo Data'!F464,'Testo, JUM &amp; MRU Data'!V465,GDF))</f>
        <v/>
      </c>
      <c r="G471" s="981" t="str">
        <f>IF(F471="","",Conc2(F471,F$9,MolVol,F$21,F$20,G$21,G$20))</f>
        <v/>
      </c>
      <c r="H471" s="981" t="str">
        <f>IF(D$17=FALSE,"",IF(F$17=FALSE,"",GasData(GasAnalyser,'Horiba Data'!W464,'Testo, JUM &amp; MRU Data'!F465,'Thermo Data'!G464,'Testo, JUM &amp; MRU Data'!Y465,GDF)))</f>
        <v/>
      </c>
      <c r="I471" s="981" t="str">
        <f>IF(H471="","",Conc2(H471,H$9,MolVol,H$21,H$20,I$21,I$20))</f>
        <v/>
      </c>
      <c r="J471" s="981" t="str">
        <f>IF(J$17=FALSE,"",GasData(GasAnalyser,'Horiba Data'!AM464,'Testo, JUM &amp; MRU Data'!G465,'Thermo Data'!H464,'Testo, JUM &amp; MRU Data'!W465,GDF))</f>
        <v/>
      </c>
      <c r="K471" s="981" t="str">
        <f>IF(J471="","",Conc2(J471,J$9,MolVol,J$21,J$20,K$21,K$20))</f>
        <v/>
      </c>
      <c r="L471" s="981" t="str">
        <f>IF(L$17=FALSE,"",GasData(GasAnalyser,'Horiba Data'!AA464,'Testo, JUM &amp; MRU Data'!H465,'Thermo Data'!I464,'Testo, JUM &amp; MRU Data'!T465,GDF))</f>
        <v/>
      </c>
      <c r="M471" s="981" t="str">
        <f>IF(L471="","",Conc2(L471,L$9,MolVol,L$21,L$20,M$21,M$20))</f>
        <v/>
      </c>
      <c r="N471" s="981" t="str">
        <f>IF(N$17=FALSE,"",GasData(GasAnalyser,'Horiba Data'!AE464,'Testo, JUM &amp; MRU Data'!I465,'Thermo Data'!J464,'Testo, JUM &amp; MRU Data'!S465,GDF))</f>
        <v/>
      </c>
      <c r="O471" s="981" t="str">
        <f>IF(N471="","",Conc2(N471,N$9,MolVol,N$21,N$20,O$21,O$20))</f>
        <v/>
      </c>
      <c r="P471" s="981" t="str">
        <f>IF(P$17=FALSE,"",GasData(GasAnalyser,'Horiba Data'!AI464,'Testo, JUM &amp; MRU Data'!J465,'Thermo Data'!K464,'Testo, JUM &amp; MRU Data'!R465,GDF))</f>
        <v/>
      </c>
      <c r="Q471" s="981" t="str">
        <f>IF(P471="","",Conc2(P471,P$9,MolVol,P$21,P$20,Q$21,Q$20))</f>
        <v/>
      </c>
      <c r="R471" s="981" t="str">
        <f>IF(R$17=FALSE,"",JUMData('Testo, JUM &amp; MRU Data'!M465,$R$7))</f>
        <v/>
      </c>
      <c r="S471" s="982" t="str">
        <f>IF(R471="","",Conc2(R471,R$9,MolVol,R$21,R$20,S$21,S$20)/(1-Bws))</f>
        <v/>
      </c>
      <c r="T471" s="740"/>
      <c r="AR471" s="335"/>
      <c r="AS471" s="335"/>
      <c r="AT471" s="153"/>
      <c r="AU471" s="153"/>
      <c r="AV471" s="153"/>
      <c r="AW471" s="153"/>
      <c r="AX471" s="153"/>
      <c r="AY471" s="153"/>
      <c r="AZ471" s="153"/>
      <c r="BA471" s="153"/>
      <c r="BB471" s="153"/>
      <c r="BC471" s="153"/>
      <c r="BD471" s="153"/>
      <c r="BE471" s="153"/>
      <c r="BF471" s="153"/>
      <c r="BG471" s="153"/>
      <c r="BH471" s="153"/>
      <c r="BI471" s="153"/>
      <c r="BJ471" s="153"/>
      <c r="BK471" s="153"/>
      <c r="BL471" s="153"/>
      <c r="BM471" s="153"/>
      <c r="BN471" s="153"/>
      <c r="BO471" s="153"/>
      <c r="BP471" s="153"/>
      <c r="BQ471" s="153"/>
      <c r="BR471" s="153"/>
      <c r="BS471" s="153"/>
      <c r="BT471" s="153"/>
      <c r="BU471" s="153"/>
      <c r="BV471" s="153"/>
      <c r="BW471" s="153"/>
      <c r="BX471" s="153"/>
      <c r="BY471" s="153"/>
      <c r="BZ471" s="153"/>
      <c r="CA471" s="153"/>
      <c r="CB471" s="153"/>
      <c r="CC471" s="153"/>
      <c r="CD471" s="153"/>
      <c r="CE471" s="153"/>
      <c r="CF471" s="153"/>
      <c r="CG471" s="153"/>
      <c r="CH471" s="153"/>
      <c r="CI471" s="153"/>
      <c r="CJ471" s="153"/>
      <c r="CK471" s="153"/>
      <c r="CL471" s="153"/>
      <c r="CM471" s="153"/>
      <c r="CN471" s="153"/>
      <c r="CO471" s="153"/>
      <c r="CP471" s="153"/>
      <c r="CQ471" s="153"/>
      <c r="CR471" s="153"/>
      <c r="CS471" s="153"/>
      <c r="CT471" s="153"/>
      <c r="CU471" s="153"/>
      <c r="CV471" s="153"/>
      <c r="CW471" s="153"/>
      <c r="CX471" s="153"/>
      <c r="CY471" s="153"/>
      <c r="CZ471" s="153"/>
      <c r="DA471" s="153"/>
      <c r="DB471" s="153"/>
      <c r="DC471" s="153"/>
      <c r="DD471" s="153"/>
      <c r="DE471" s="153"/>
      <c r="DF471" s="153"/>
      <c r="DG471" s="153"/>
      <c r="DH471" s="153"/>
      <c r="DI471" s="153"/>
      <c r="DJ471" s="153"/>
      <c r="DK471" s="153"/>
      <c r="DL471" s="153"/>
      <c r="DM471" s="153"/>
      <c r="DN471" s="153"/>
      <c r="DO471" s="153"/>
      <c r="DP471" s="153"/>
      <c r="DQ471" s="153"/>
      <c r="DR471" s="153"/>
      <c r="DS471" s="153"/>
      <c r="DT471" s="153"/>
      <c r="DU471" s="153"/>
      <c r="DV471" s="153"/>
      <c r="DW471" s="153"/>
      <c r="DX471" s="153"/>
      <c r="DY471" s="153"/>
      <c r="DZ471" s="153"/>
      <c r="EA471" s="153"/>
      <c r="EB471" s="153"/>
      <c r="EC471" s="153"/>
      <c r="ED471" s="153"/>
      <c r="EE471" s="153"/>
      <c r="EF471" s="153"/>
      <c r="EG471" s="153"/>
      <c r="EH471" s="153"/>
      <c r="EI471" s="153"/>
      <c r="EJ471" s="153"/>
      <c r="EK471" s="153"/>
      <c r="EL471" s="153"/>
      <c r="EM471" s="153"/>
    </row>
    <row r="472" spans="1:143" s="107" customFormat="1" ht="10.5" hidden="1" customHeight="1" outlineLevel="2">
      <c r="A472" s="1548">
        <v>447</v>
      </c>
      <c r="B472" s="1560" t="str">
        <f t="shared" si="8"/>
        <v/>
      </c>
      <c r="C472" s="161" t="str">
        <f>GasTime(GasAnalyser,'Horiba Data'!F465,'Horiba Data'!G465,'Testo, JUM &amp; MRU Data'!A466,'Thermo Data'!B465,HourOffset)</f>
        <v/>
      </c>
      <c r="D472" s="981" t="str">
        <f>IF(D$17=FALSE,"",GasData(GasAnalyser,'Horiba Data'!S465,'Testo, JUM &amp; MRU Data'!D466,'Thermo Data'!E465,'Testo, JUM &amp; MRU Data'!U466,GDF))</f>
        <v/>
      </c>
      <c r="E472" s="981" t="str">
        <f>IF(D472="","",Conc2(D472,D$9,MolVol,D$21,D$20,E$21,E$20))</f>
        <v/>
      </c>
      <c r="F472" s="981" t="str">
        <f>IF(F$17=FALSE,"",GasData(GasAnalyser,'Horiba Data'!AQ465,'Testo, JUM &amp; MRU Data'!E466,'Thermo Data'!F465,'Testo, JUM &amp; MRU Data'!V466,GDF))</f>
        <v/>
      </c>
      <c r="G472" s="981" t="str">
        <f>IF(F472="","",Conc2(F472,F$9,MolVol,F$21,F$20,G$21,G$20))</f>
        <v/>
      </c>
      <c r="H472" s="981" t="str">
        <f>IF(D$17=FALSE,"",IF(F$17=FALSE,"",GasData(GasAnalyser,'Horiba Data'!W465,'Testo, JUM &amp; MRU Data'!F466,'Thermo Data'!G465,'Testo, JUM &amp; MRU Data'!Y466,GDF)))</f>
        <v/>
      </c>
      <c r="I472" s="981" t="str">
        <f>IF(H472="","",Conc2(H472,H$9,MolVol,H$21,H$20,I$21,I$20))</f>
        <v/>
      </c>
      <c r="J472" s="981" t="str">
        <f>IF(J$17=FALSE,"",GasData(GasAnalyser,'Horiba Data'!AM465,'Testo, JUM &amp; MRU Data'!G466,'Thermo Data'!H465,'Testo, JUM &amp; MRU Data'!W466,GDF))</f>
        <v/>
      </c>
      <c r="K472" s="981" t="str">
        <f>IF(J472="","",Conc2(J472,J$9,MolVol,J$21,J$20,K$21,K$20))</f>
        <v/>
      </c>
      <c r="L472" s="981" t="str">
        <f>IF(L$17=FALSE,"",GasData(GasAnalyser,'Horiba Data'!AA465,'Testo, JUM &amp; MRU Data'!H466,'Thermo Data'!I465,'Testo, JUM &amp; MRU Data'!T466,GDF))</f>
        <v/>
      </c>
      <c r="M472" s="981" t="str">
        <f>IF(L472="","",Conc2(L472,L$9,MolVol,L$21,L$20,M$21,M$20))</f>
        <v/>
      </c>
      <c r="N472" s="981" t="str">
        <f>IF(N$17=FALSE,"",GasData(GasAnalyser,'Horiba Data'!AE465,'Testo, JUM &amp; MRU Data'!I466,'Thermo Data'!J465,'Testo, JUM &amp; MRU Data'!S466,GDF))</f>
        <v/>
      </c>
      <c r="O472" s="981" t="str">
        <f>IF(N472="","",Conc2(N472,N$9,MolVol,N$21,N$20,O$21,O$20))</f>
        <v/>
      </c>
      <c r="P472" s="981" t="str">
        <f>IF(P$17=FALSE,"",GasData(GasAnalyser,'Horiba Data'!AI465,'Testo, JUM &amp; MRU Data'!J466,'Thermo Data'!K465,'Testo, JUM &amp; MRU Data'!R466,GDF))</f>
        <v/>
      </c>
      <c r="Q472" s="981" t="str">
        <f>IF(P472="","",Conc2(P472,P$9,MolVol,P$21,P$20,Q$21,Q$20))</f>
        <v/>
      </c>
      <c r="R472" s="981" t="str">
        <f>IF(R$17=FALSE,"",JUMData('Testo, JUM &amp; MRU Data'!M466,$R$7))</f>
        <v/>
      </c>
      <c r="S472" s="982" t="str">
        <f>IF(R472="","",Conc2(R472,R$9,MolVol,R$21,R$20,S$21,S$20)/(1-Bws))</f>
        <v/>
      </c>
      <c r="T472" s="740"/>
      <c r="AR472" s="335"/>
      <c r="AS472" s="335"/>
      <c r="AT472" s="153"/>
      <c r="AU472" s="153"/>
      <c r="AV472" s="153"/>
      <c r="AW472" s="153"/>
      <c r="AX472" s="153"/>
      <c r="AY472" s="153"/>
      <c r="AZ472" s="153"/>
      <c r="BA472" s="153"/>
      <c r="BB472" s="153"/>
      <c r="BC472" s="153"/>
      <c r="BD472" s="153"/>
      <c r="BE472" s="153"/>
      <c r="BF472" s="153"/>
      <c r="BG472" s="153"/>
      <c r="BH472" s="153"/>
      <c r="BI472" s="153"/>
      <c r="BJ472" s="153"/>
      <c r="BK472" s="153"/>
      <c r="BL472" s="153"/>
      <c r="BM472" s="153"/>
      <c r="BN472" s="153"/>
      <c r="BO472" s="153"/>
      <c r="BP472" s="153"/>
      <c r="BQ472" s="153"/>
      <c r="BR472" s="153"/>
      <c r="BS472" s="153"/>
      <c r="BT472" s="153"/>
      <c r="BU472" s="153"/>
      <c r="BV472" s="153"/>
      <c r="BW472" s="153"/>
      <c r="BX472" s="153"/>
      <c r="BY472" s="153"/>
      <c r="BZ472" s="153"/>
      <c r="CA472" s="153"/>
      <c r="CB472" s="153"/>
      <c r="CC472" s="153"/>
      <c r="CD472" s="153"/>
      <c r="CE472" s="153"/>
      <c r="CF472" s="153"/>
      <c r="CG472" s="153"/>
      <c r="CH472" s="153"/>
      <c r="CI472" s="153"/>
      <c r="CJ472" s="153"/>
      <c r="CK472" s="153"/>
      <c r="CL472" s="153"/>
      <c r="CM472" s="153"/>
      <c r="CN472" s="153"/>
      <c r="CO472" s="153"/>
      <c r="CP472" s="153"/>
      <c r="CQ472" s="153"/>
      <c r="CR472" s="153"/>
      <c r="CS472" s="153"/>
      <c r="CT472" s="153"/>
      <c r="CU472" s="153"/>
      <c r="CV472" s="153"/>
      <c r="CW472" s="153"/>
      <c r="CX472" s="153"/>
      <c r="CY472" s="153"/>
      <c r="CZ472" s="153"/>
      <c r="DA472" s="153"/>
      <c r="DB472" s="153"/>
      <c r="DC472" s="153"/>
      <c r="DD472" s="153"/>
      <c r="DE472" s="153"/>
      <c r="DF472" s="153"/>
      <c r="DG472" s="153"/>
      <c r="DH472" s="153"/>
      <c r="DI472" s="153"/>
      <c r="DJ472" s="153"/>
      <c r="DK472" s="153"/>
      <c r="DL472" s="153"/>
      <c r="DM472" s="153"/>
      <c r="DN472" s="153"/>
      <c r="DO472" s="153"/>
      <c r="DP472" s="153"/>
      <c r="DQ472" s="153"/>
      <c r="DR472" s="153"/>
      <c r="DS472" s="153"/>
      <c r="DT472" s="153"/>
      <c r="DU472" s="153"/>
      <c r="DV472" s="153"/>
      <c r="DW472" s="153"/>
      <c r="DX472" s="153"/>
      <c r="DY472" s="153"/>
      <c r="DZ472" s="153"/>
      <c r="EA472" s="153"/>
      <c r="EB472" s="153"/>
      <c r="EC472" s="153"/>
      <c r="ED472" s="153"/>
      <c r="EE472" s="153"/>
      <c r="EF472" s="153"/>
      <c r="EG472" s="153"/>
      <c r="EH472" s="153"/>
      <c r="EI472" s="153"/>
      <c r="EJ472" s="153"/>
      <c r="EK472" s="153"/>
      <c r="EL472" s="153"/>
      <c r="EM472" s="153"/>
    </row>
    <row r="473" spans="1:143" s="107" customFormat="1" ht="10.5" hidden="1" customHeight="1" outlineLevel="2">
      <c r="A473" s="1548">
        <v>448</v>
      </c>
      <c r="B473" s="1560" t="str">
        <f t="shared" si="8"/>
        <v/>
      </c>
      <c r="C473" s="161" t="str">
        <f>GasTime(GasAnalyser,'Horiba Data'!F466,'Horiba Data'!G466,'Testo, JUM &amp; MRU Data'!A467,'Thermo Data'!B466,HourOffset)</f>
        <v/>
      </c>
      <c r="D473" s="981" t="str">
        <f>IF(D$17=FALSE,"",GasData(GasAnalyser,'Horiba Data'!S466,'Testo, JUM &amp; MRU Data'!D467,'Thermo Data'!E466,'Testo, JUM &amp; MRU Data'!U467,GDF))</f>
        <v/>
      </c>
      <c r="E473" s="981" t="str">
        <f>IF(D473="","",Conc2(D473,D$9,MolVol,D$21,D$20,E$21,E$20))</f>
        <v/>
      </c>
      <c r="F473" s="981" t="str">
        <f>IF(F$17=FALSE,"",GasData(GasAnalyser,'Horiba Data'!AQ466,'Testo, JUM &amp; MRU Data'!E467,'Thermo Data'!F466,'Testo, JUM &amp; MRU Data'!V467,GDF))</f>
        <v/>
      </c>
      <c r="G473" s="981" t="str">
        <f>IF(F473="","",Conc2(F473,F$9,MolVol,F$21,F$20,G$21,G$20))</f>
        <v/>
      </c>
      <c r="H473" s="981" t="str">
        <f>IF(D$17=FALSE,"",IF(F$17=FALSE,"",GasData(GasAnalyser,'Horiba Data'!W466,'Testo, JUM &amp; MRU Data'!F467,'Thermo Data'!G466,'Testo, JUM &amp; MRU Data'!Y467,GDF)))</f>
        <v/>
      </c>
      <c r="I473" s="981" t="str">
        <f>IF(H473="","",Conc2(H473,H$9,MolVol,H$21,H$20,I$21,I$20))</f>
        <v/>
      </c>
      <c r="J473" s="981" t="str">
        <f>IF(J$17=FALSE,"",GasData(GasAnalyser,'Horiba Data'!AM466,'Testo, JUM &amp; MRU Data'!G467,'Thermo Data'!H466,'Testo, JUM &amp; MRU Data'!W467,GDF))</f>
        <v/>
      </c>
      <c r="K473" s="981" t="str">
        <f>IF(J473="","",Conc2(J473,J$9,MolVol,J$21,J$20,K$21,K$20))</f>
        <v/>
      </c>
      <c r="L473" s="981" t="str">
        <f>IF(L$17=FALSE,"",GasData(GasAnalyser,'Horiba Data'!AA466,'Testo, JUM &amp; MRU Data'!H467,'Thermo Data'!I466,'Testo, JUM &amp; MRU Data'!T467,GDF))</f>
        <v/>
      </c>
      <c r="M473" s="981" t="str">
        <f>IF(L473="","",Conc2(L473,L$9,MolVol,L$21,L$20,M$21,M$20))</f>
        <v/>
      </c>
      <c r="N473" s="981" t="str">
        <f>IF(N$17=FALSE,"",GasData(GasAnalyser,'Horiba Data'!AE466,'Testo, JUM &amp; MRU Data'!I467,'Thermo Data'!J466,'Testo, JUM &amp; MRU Data'!S467,GDF))</f>
        <v/>
      </c>
      <c r="O473" s="981" t="str">
        <f>IF(N473="","",Conc2(N473,N$9,MolVol,N$21,N$20,O$21,O$20))</f>
        <v/>
      </c>
      <c r="P473" s="981" t="str">
        <f>IF(P$17=FALSE,"",GasData(GasAnalyser,'Horiba Data'!AI466,'Testo, JUM &amp; MRU Data'!J467,'Thermo Data'!K466,'Testo, JUM &amp; MRU Data'!R467,GDF))</f>
        <v/>
      </c>
      <c r="Q473" s="981" t="str">
        <f>IF(P473="","",Conc2(P473,P$9,MolVol,P$21,P$20,Q$21,Q$20))</f>
        <v/>
      </c>
      <c r="R473" s="981" t="str">
        <f>IF(R$17=FALSE,"",JUMData('Testo, JUM &amp; MRU Data'!M467,$R$7))</f>
        <v/>
      </c>
      <c r="S473" s="982" t="str">
        <f>IF(R473="","",Conc2(R473,R$9,MolVol,R$21,R$20,S$21,S$20)/(1-Bws))</f>
        <v/>
      </c>
      <c r="T473" s="740"/>
      <c r="AR473" s="335"/>
      <c r="AS473" s="335"/>
      <c r="AT473" s="153"/>
      <c r="AU473" s="153"/>
      <c r="AV473" s="153"/>
      <c r="AW473" s="153"/>
      <c r="AX473" s="153"/>
      <c r="AY473" s="153"/>
      <c r="AZ473" s="153"/>
      <c r="BA473" s="153"/>
      <c r="BB473" s="153"/>
      <c r="BC473" s="153"/>
      <c r="BD473" s="153"/>
      <c r="BE473" s="153"/>
      <c r="BF473" s="153"/>
      <c r="BG473" s="153"/>
      <c r="BH473" s="153"/>
      <c r="BI473" s="153"/>
      <c r="BJ473" s="153"/>
      <c r="BK473" s="153"/>
      <c r="BL473" s="153"/>
      <c r="BM473" s="153"/>
      <c r="BN473" s="153"/>
      <c r="BO473" s="153"/>
      <c r="BP473" s="153"/>
      <c r="BQ473" s="153"/>
      <c r="BR473" s="153"/>
      <c r="BS473" s="153"/>
      <c r="BT473" s="153"/>
      <c r="BU473" s="153"/>
      <c r="BV473" s="153"/>
      <c r="BW473" s="153"/>
      <c r="BX473" s="153"/>
      <c r="BY473" s="153"/>
      <c r="BZ473" s="153"/>
      <c r="CA473" s="153"/>
      <c r="CB473" s="153"/>
      <c r="CC473" s="153"/>
      <c r="CD473" s="153"/>
      <c r="CE473" s="153"/>
      <c r="CF473" s="153"/>
      <c r="CG473" s="153"/>
      <c r="CH473" s="153"/>
      <c r="CI473" s="153"/>
      <c r="CJ473" s="153"/>
      <c r="CK473" s="153"/>
      <c r="CL473" s="153"/>
      <c r="CM473" s="153"/>
      <c r="CN473" s="153"/>
      <c r="CO473" s="153"/>
      <c r="CP473" s="153"/>
      <c r="CQ473" s="153"/>
      <c r="CR473" s="153"/>
      <c r="CS473" s="153"/>
      <c r="CT473" s="153"/>
      <c r="CU473" s="153"/>
      <c r="CV473" s="153"/>
      <c r="CW473" s="153"/>
      <c r="CX473" s="153"/>
      <c r="CY473" s="153"/>
      <c r="CZ473" s="153"/>
      <c r="DA473" s="153"/>
      <c r="DB473" s="153"/>
      <c r="DC473" s="153"/>
      <c r="DD473" s="153"/>
      <c r="DE473" s="153"/>
      <c r="DF473" s="153"/>
      <c r="DG473" s="153"/>
      <c r="DH473" s="153"/>
      <c r="DI473" s="153"/>
      <c r="DJ473" s="153"/>
      <c r="DK473" s="153"/>
      <c r="DL473" s="153"/>
      <c r="DM473" s="153"/>
      <c r="DN473" s="153"/>
      <c r="DO473" s="153"/>
      <c r="DP473" s="153"/>
      <c r="DQ473" s="153"/>
      <c r="DR473" s="153"/>
      <c r="DS473" s="153"/>
      <c r="DT473" s="153"/>
      <c r="DU473" s="153"/>
      <c r="DV473" s="153"/>
      <c r="DW473" s="153"/>
      <c r="DX473" s="153"/>
      <c r="DY473" s="153"/>
      <c r="DZ473" s="153"/>
      <c r="EA473" s="153"/>
      <c r="EB473" s="153"/>
      <c r="EC473" s="153"/>
      <c r="ED473" s="153"/>
      <c r="EE473" s="153"/>
      <c r="EF473" s="153"/>
      <c r="EG473" s="153"/>
      <c r="EH473" s="153"/>
      <c r="EI473" s="153"/>
      <c r="EJ473" s="153"/>
      <c r="EK473" s="153"/>
      <c r="EL473" s="153"/>
      <c r="EM473" s="153"/>
    </row>
    <row r="474" spans="1:143" s="107" customFormat="1" ht="10.5" hidden="1" customHeight="1" outlineLevel="2">
      <c r="A474" s="1548">
        <v>449</v>
      </c>
      <c r="B474" s="1560" t="str">
        <f t="shared" si="8"/>
        <v/>
      </c>
      <c r="C474" s="161" t="str">
        <f>GasTime(GasAnalyser,'Horiba Data'!F467,'Horiba Data'!G467,'Testo, JUM &amp; MRU Data'!A468,'Thermo Data'!B467,HourOffset)</f>
        <v/>
      </c>
      <c r="D474" s="981" t="str">
        <f>IF(D$17=FALSE,"",GasData(GasAnalyser,'Horiba Data'!S467,'Testo, JUM &amp; MRU Data'!D468,'Thermo Data'!E467,'Testo, JUM &amp; MRU Data'!U468,GDF))</f>
        <v/>
      </c>
      <c r="E474" s="981" t="str">
        <f>IF(D474="","",Conc2(D474,D$9,MolVol,D$21,D$20,E$21,E$20))</f>
        <v/>
      </c>
      <c r="F474" s="981" t="str">
        <f>IF(F$17=FALSE,"",GasData(GasAnalyser,'Horiba Data'!AQ467,'Testo, JUM &amp; MRU Data'!E468,'Thermo Data'!F467,'Testo, JUM &amp; MRU Data'!V468,GDF))</f>
        <v/>
      </c>
      <c r="G474" s="981" t="str">
        <f>IF(F474="","",Conc2(F474,F$9,MolVol,F$21,F$20,G$21,G$20))</f>
        <v/>
      </c>
      <c r="H474" s="981" t="str">
        <f>IF(D$17=FALSE,"",IF(F$17=FALSE,"",GasData(GasAnalyser,'Horiba Data'!W467,'Testo, JUM &amp; MRU Data'!F468,'Thermo Data'!G467,'Testo, JUM &amp; MRU Data'!Y468,GDF)))</f>
        <v/>
      </c>
      <c r="I474" s="981" t="str">
        <f>IF(H474="","",Conc2(H474,H$9,MolVol,H$21,H$20,I$21,I$20))</f>
        <v/>
      </c>
      <c r="J474" s="981" t="str">
        <f>IF(J$17=FALSE,"",GasData(GasAnalyser,'Horiba Data'!AM467,'Testo, JUM &amp; MRU Data'!G468,'Thermo Data'!H467,'Testo, JUM &amp; MRU Data'!W468,GDF))</f>
        <v/>
      </c>
      <c r="K474" s="981" t="str">
        <f>IF(J474="","",Conc2(J474,J$9,MolVol,J$21,J$20,K$21,K$20))</f>
        <v/>
      </c>
      <c r="L474" s="981" t="str">
        <f>IF(L$17=FALSE,"",GasData(GasAnalyser,'Horiba Data'!AA467,'Testo, JUM &amp; MRU Data'!H468,'Thermo Data'!I467,'Testo, JUM &amp; MRU Data'!T468,GDF))</f>
        <v/>
      </c>
      <c r="M474" s="981" t="str">
        <f>IF(L474="","",Conc2(L474,L$9,MolVol,L$21,L$20,M$21,M$20))</f>
        <v/>
      </c>
      <c r="N474" s="981" t="str">
        <f>IF(N$17=FALSE,"",GasData(GasAnalyser,'Horiba Data'!AE467,'Testo, JUM &amp; MRU Data'!I468,'Thermo Data'!J467,'Testo, JUM &amp; MRU Data'!S468,GDF))</f>
        <v/>
      </c>
      <c r="O474" s="981" t="str">
        <f>IF(N474="","",Conc2(N474,N$9,MolVol,N$21,N$20,O$21,O$20))</f>
        <v/>
      </c>
      <c r="P474" s="981" t="str">
        <f>IF(P$17=FALSE,"",GasData(GasAnalyser,'Horiba Data'!AI467,'Testo, JUM &amp; MRU Data'!J468,'Thermo Data'!K467,'Testo, JUM &amp; MRU Data'!R468,GDF))</f>
        <v/>
      </c>
      <c r="Q474" s="981" t="str">
        <f>IF(P474="","",Conc2(P474,P$9,MolVol,P$21,P$20,Q$21,Q$20))</f>
        <v/>
      </c>
      <c r="R474" s="981" t="str">
        <f>IF(R$17=FALSE,"",JUMData('Testo, JUM &amp; MRU Data'!M468,$R$7))</f>
        <v/>
      </c>
      <c r="S474" s="982" t="str">
        <f>IF(R474="","",Conc2(R474,R$9,MolVol,R$21,R$20,S$21,S$20)/(1-Bws))</f>
        <v/>
      </c>
      <c r="T474" s="740"/>
      <c r="AR474" s="335"/>
      <c r="AS474" s="335"/>
      <c r="AT474" s="153"/>
      <c r="AU474" s="153"/>
      <c r="AV474" s="153"/>
      <c r="AW474" s="153"/>
      <c r="AX474" s="153"/>
      <c r="AY474" s="153"/>
      <c r="AZ474" s="153"/>
      <c r="BA474" s="153"/>
      <c r="BB474" s="153"/>
      <c r="BC474" s="153"/>
      <c r="BD474" s="153"/>
      <c r="BE474" s="153"/>
      <c r="BF474" s="153"/>
      <c r="BG474" s="153"/>
      <c r="BH474" s="153"/>
      <c r="BI474" s="153"/>
      <c r="BJ474" s="153"/>
      <c r="BK474" s="153"/>
      <c r="BL474" s="153"/>
      <c r="BM474" s="153"/>
      <c r="BN474" s="153"/>
      <c r="BO474" s="153"/>
      <c r="BP474" s="153"/>
      <c r="BQ474" s="153"/>
      <c r="BR474" s="153"/>
      <c r="BS474" s="153"/>
      <c r="BT474" s="153"/>
      <c r="BU474" s="153"/>
      <c r="BV474" s="153"/>
      <c r="BW474" s="153"/>
      <c r="BX474" s="153"/>
      <c r="BY474" s="153"/>
      <c r="BZ474" s="153"/>
      <c r="CA474" s="153"/>
      <c r="CB474" s="153"/>
      <c r="CC474" s="153"/>
      <c r="CD474" s="153"/>
      <c r="CE474" s="153"/>
      <c r="CF474" s="153"/>
      <c r="CG474" s="153"/>
      <c r="CH474" s="153"/>
      <c r="CI474" s="153"/>
      <c r="CJ474" s="153"/>
      <c r="CK474" s="153"/>
      <c r="CL474" s="153"/>
      <c r="CM474" s="153"/>
      <c r="CN474" s="153"/>
      <c r="CO474" s="153"/>
      <c r="CP474" s="153"/>
      <c r="CQ474" s="153"/>
      <c r="CR474" s="153"/>
      <c r="CS474" s="153"/>
      <c r="CT474" s="153"/>
      <c r="CU474" s="153"/>
      <c r="CV474" s="153"/>
      <c r="CW474" s="153"/>
      <c r="CX474" s="153"/>
      <c r="CY474" s="153"/>
      <c r="CZ474" s="153"/>
      <c r="DA474" s="153"/>
      <c r="DB474" s="153"/>
      <c r="DC474" s="153"/>
      <c r="DD474" s="153"/>
      <c r="DE474" s="153"/>
      <c r="DF474" s="153"/>
      <c r="DG474" s="153"/>
      <c r="DH474" s="153"/>
      <c r="DI474" s="153"/>
      <c r="DJ474" s="153"/>
      <c r="DK474" s="153"/>
      <c r="DL474" s="153"/>
      <c r="DM474" s="153"/>
      <c r="DN474" s="153"/>
      <c r="DO474" s="153"/>
      <c r="DP474" s="153"/>
      <c r="DQ474" s="153"/>
      <c r="DR474" s="153"/>
      <c r="DS474" s="153"/>
      <c r="DT474" s="153"/>
      <c r="DU474" s="153"/>
      <c r="DV474" s="153"/>
      <c r="DW474" s="153"/>
      <c r="DX474" s="153"/>
      <c r="DY474" s="153"/>
      <c r="DZ474" s="153"/>
      <c r="EA474" s="153"/>
      <c r="EB474" s="153"/>
      <c r="EC474" s="153"/>
      <c r="ED474" s="153"/>
      <c r="EE474" s="153"/>
      <c r="EF474" s="153"/>
      <c r="EG474" s="153"/>
      <c r="EH474" s="153"/>
      <c r="EI474" s="153"/>
      <c r="EJ474" s="153"/>
      <c r="EK474" s="153"/>
      <c r="EL474" s="153"/>
      <c r="EM474" s="153"/>
    </row>
    <row r="475" spans="1:143" s="107" customFormat="1" ht="10.5" hidden="1" customHeight="1" outlineLevel="2">
      <c r="A475" s="1548">
        <v>450</v>
      </c>
      <c r="B475" s="1560" t="str">
        <f t="shared" ref="B475:B505" si="9">IF(C475="","",VALUE(C475))</f>
        <v/>
      </c>
      <c r="C475" s="161" t="str">
        <f>GasTime(GasAnalyser,'Horiba Data'!F468,'Horiba Data'!G468,'Testo, JUM &amp; MRU Data'!A469,'Thermo Data'!B468,HourOffset)</f>
        <v/>
      </c>
      <c r="D475" s="981" t="str">
        <f>IF(D$17=FALSE,"",GasData(GasAnalyser,'Horiba Data'!S468,'Testo, JUM &amp; MRU Data'!D469,'Thermo Data'!E468,'Testo, JUM &amp; MRU Data'!U469,GDF))</f>
        <v/>
      </c>
      <c r="E475" s="981" t="str">
        <f>IF(D475="","",Conc2(D475,D$9,MolVol,D$21,D$20,E$21,E$20))</f>
        <v/>
      </c>
      <c r="F475" s="981" t="str">
        <f>IF(F$17=FALSE,"",GasData(GasAnalyser,'Horiba Data'!AQ468,'Testo, JUM &amp; MRU Data'!E469,'Thermo Data'!F468,'Testo, JUM &amp; MRU Data'!V469,GDF))</f>
        <v/>
      </c>
      <c r="G475" s="981" t="str">
        <f>IF(F475="","",Conc2(F475,F$9,MolVol,F$21,F$20,G$21,G$20))</f>
        <v/>
      </c>
      <c r="H475" s="981" t="str">
        <f>IF(D$17=FALSE,"",IF(F$17=FALSE,"",GasData(GasAnalyser,'Horiba Data'!W468,'Testo, JUM &amp; MRU Data'!F469,'Thermo Data'!G468,'Testo, JUM &amp; MRU Data'!Y469,GDF)))</f>
        <v/>
      </c>
      <c r="I475" s="981" t="str">
        <f>IF(H475="","",Conc2(H475,H$9,MolVol,H$21,H$20,I$21,I$20))</f>
        <v/>
      </c>
      <c r="J475" s="981" t="str">
        <f>IF(J$17=FALSE,"",GasData(GasAnalyser,'Horiba Data'!AM468,'Testo, JUM &amp; MRU Data'!G469,'Thermo Data'!H468,'Testo, JUM &amp; MRU Data'!W469,GDF))</f>
        <v/>
      </c>
      <c r="K475" s="981" t="str">
        <f>IF(J475="","",Conc2(J475,J$9,MolVol,J$21,J$20,K$21,K$20))</f>
        <v/>
      </c>
      <c r="L475" s="981" t="str">
        <f>IF(L$17=FALSE,"",GasData(GasAnalyser,'Horiba Data'!AA468,'Testo, JUM &amp; MRU Data'!H469,'Thermo Data'!I468,'Testo, JUM &amp; MRU Data'!T469,GDF))</f>
        <v/>
      </c>
      <c r="M475" s="981" t="str">
        <f>IF(L475="","",Conc2(L475,L$9,MolVol,L$21,L$20,M$21,M$20))</f>
        <v/>
      </c>
      <c r="N475" s="981" t="str">
        <f>IF(N$17=FALSE,"",GasData(GasAnalyser,'Horiba Data'!AE468,'Testo, JUM &amp; MRU Data'!I469,'Thermo Data'!J468,'Testo, JUM &amp; MRU Data'!S469,GDF))</f>
        <v/>
      </c>
      <c r="O475" s="981" t="str">
        <f>IF(N475="","",Conc2(N475,N$9,MolVol,N$21,N$20,O$21,O$20))</f>
        <v/>
      </c>
      <c r="P475" s="981" t="str">
        <f>IF(P$17=FALSE,"",GasData(GasAnalyser,'Horiba Data'!AI468,'Testo, JUM &amp; MRU Data'!J469,'Thermo Data'!K468,'Testo, JUM &amp; MRU Data'!R469,GDF))</f>
        <v/>
      </c>
      <c r="Q475" s="981" t="str">
        <f>IF(P475="","",Conc2(P475,P$9,MolVol,P$21,P$20,Q$21,Q$20))</f>
        <v/>
      </c>
      <c r="R475" s="981" t="str">
        <f>IF(R$17=FALSE,"",JUMData('Testo, JUM &amp; MRU Data'!M469,$R$7))</f>
        <v/>
      </c>
      <c r="S475" s="982" t="str">
        <f>IF(R475="","",Conc2(R475,R$9,MolVol,R$21,R$20,S$21,S$20)/(1-Bws))</f>
        <v/>
      </c>
      <c r="T475" s="740"/>
      <c r="AR475" s="335"/>
      <c r="AS475" s="335"/>
      <c r="AT475" s="153"/>
      <c r="AU475" s="153"/>
      <c r="AV475" s="153"/>
      <c r="AW475" s="153"/>
      <c r="AX475" s="153"/>
      <c r="AY475" s="153"/>
      <c r="AZ475" s="153"/>
      <c r="BA475" s="153"/>
      <c r="BB475" s="153"/>
      <c r="BC475" s="153"/>
      <c r="BD475" s="153"/>
      <c r="BE475" s="153"/>
      <c r="BF475" s="153"/>
      <c r="BG475" s="153"/>
      <c r="BH475" s="153"/>
      <c r="BI475" s="153"/>
      <c r="BJ475" s="153"/>
      <c r="BK475" s="153"/>
      <c r="BL475" s="153"/>
      <c r="BM475" s="153"/>
      <c r="BN475" s="153"/>
      <c r="BO475" s="153"/>
      <c r="BP475" s="153"/>
      <c r="BQ475" s="153"/>
      <c r="BR475" s="153"/>
      <c r="BS475" s="153"/>
      <c r="BT475" s="153"/>
      <c r="BU475" s="153"/>
      <c r="BV475" s="153"/>
      <c r="BW475" s="153"/>
      <c r="BX475" s="153"/>
      <c r="BY475" s="153"/>
      <c r="BZ475" s="153"/>
      <c r="CA475" s="153"/>
      <c r="CB475" s="153"/>
      <c r="CC475" s="153"/>
      <c r="CD475" s="153"/>
      <c r="CE475" s="153"/>
      <c r="CF475" s="153"/>
      <c r="CG475" s="153"/>
      <c r="CH475" s="153"/>
      <c r="CI475" s="153"/>
      <c r="CJ475" s="153"/>
      <c r="CK475" s="153"/>
      <c r="CL475" s="153"/>
      <c r="CM475" s="153"/>
      <c r="CN475" s="153"/>
      <c r="CO475" s="153"/>
      <c r="CP475" s="153"/>
      <c r="CQ475" s="153"/>
      <c r="CR475" s="153"/>
      <c r="CS475" s="153"/>
      <c r="CT475" s="153"/>
      <c r="CU475" s="153"/>
      <c r="CV475" s="153"/>
      <c r="CW475" s="153"/>
      <c r="CX475" s="153"/>
      <c r="CY475" s="153"/>
      <c r="CZ475" s="153"/>
      <c r="DA475" s="153"/>
      <c r="DB475" s="153"/>
      <c r="DC475" s="153"/>
      <c r="DD475" s="153"/>
      <c r="DE475" s="153"/>
      <c r="DF475" s="153"/>
      <c r="DG475" s="153"/>
      <c r="DH475" s="153"/>
      <c r="DI475" s="153"/>
      <c r="DJ475" s="153"/>
      <c r="DK475" s="153"/>
      <c r="DL475" s="153"/>
      <c r="DM475" s="153"/>
      <c r="DN475" s="153"/>
      <c r="DO475" s="153"/>
      <c r="DP475" s="153"/>
      <c r="DQ475" s="153"/>
      <c r="DR475" s="153"/>
      <c r="DS475" s="153"/>
      <c r="DT475" s="153"/>
      <c r="DU475" s="153"/>
      <c r="DV475" s="153"/>
      <c r="DW475" s="153"/>
      <c r="DX475" s="153"/>
      <c r="DY475" s="153"/>
      <c r="DZ475" s="153"/>
      <c r="EA475" s="153"/>
      <c r="EB475" s="153"/>
      <c r="EC475" s="153"/>
      <c r="ED475" s="153"/>
      <c r="EE475" s="153"/>
      <c r="EF475" s="153"/>
      <c r="EG475" s="153"/>
      <c r="EH475" s="153"/>
      <c r="EI475" s="153"/>
      <c r="EJ475" s="153"/>
      <c r="EK475" s="153"/>
      <c r="EL475" s="153"/>
      <c r="EM475" s="153"/>
    </row>
    <row r="476" spans="1:143" s="107" customFormat="1" ht="10.5" hidden="1" customHeight="1" outlineLevel="2">
      <c r="A476" s="1548">
        <v>451</v>
      </c>
      <c r="B476" s="1560" t="str">
        <f t="shared" si="9"/>
        <v/>
      </c>
      <c r="C476" s="161" t="str">
        <f>GasTime(GasAnalyser,'Horiba Data'!F469,'Horiba Data'!G469,'Testo, JUM &amp; MRU Data'!A470,'Thermo Data'!B469,HourOffset)</f>
        <v/>
      </c>
      <c r="D476" s="981" t="str">
        <f>IF(D$17=FALSE,"",GasData(GasAnalyser,'Horiba Data'!S469,'Testo, JUM &amp; MRU Data'!D470,'Thermo Data'!E469,'Testo, JUM &amp; MRU Data'!U470,GDF))</f>
        <v/>
      </c>
      <c r="E476" s="981" t="str">
        <f>IF(D476="","",Conc2(D476,D$9,MolVol,D$21,D$20,E$21,E$20))</f>
        <v/>
      </c>
      <c r="F476" s="981" t="str">
        <f>IF(F$17=FALSE,"",GasData(GasAnalyser,'Horiba Data'!AQ469,'Testo, JUM &amp; MRU Data'!E470,'Thermo Data'!F469,'Testo, JUM &amp; MRU Data'!V470,GDF))</f>
        <v/>
      </c>
      <c r="G476" s="981" t="str">
        <f>IF(F476="","",Conc2(F476,F$9,MolVol,F$21,F$20,G$21,G$20))</f>
        <v/>
      </c>
      <c r="H476" s="981" t="str">
        <f>IF(D$17=FALSE,"",IF(F$17=FALSE,"",GasData(GasAnalyser,'Horiba Data'!W469,'Testo, JUM &amp; MRU Data'!F470,'Thermo Data'!G469,'Testo, JUM &amp; MRU Data'!Y470,GDF)))</f>
        <v/>
      </c>
      <c r="I476" s="981" t="str">
        <f>IF(H476="","",Conc2(H476,H$9,MolVol,H$21,H$20,I$21,I$20))</f>
        <v/>
      </c>
      <c r="J476" s="981" t="str">
        <f>IF(J$17=FALSE,"",GasData(GasAnalyser,'Horiba Data'!AM469,'Testo, JUM &amp; MRU Data'!G470,'Thermo Data'!H469,'Testo, JUM &amp; MRU Data'!W470,GDF))</f>
        <v/>
      </c>
      <c r="K476" s="981" t="str">
        <f>IF(J476="","",Conc2(J476,J$9,MolVol,J$21,J$20,K$21,K$20))</f>
        <v/>
      </c>
      <c r="L476" s="981" t="str">
        <f>IF(L$17=FALSE,"",GasData(GasAnalyser,'Horiba Data'!AA469,'Testo, JUM &amp; MRU Data'!H470,'Thermo Data'!I469,'Testo, JUM &amp; MRU Data'!T470,GDF))</f>
        <v/>
      </c>
      <c r="M476" s="981" t="str">
        <f>IF(L476="","",Conc2(L476,L$9,MolVol,L$21,L$20,M$21,M$20))</f>
        <v/>
      </c>
      <c r="N476" s="981" t="str">
        <f>IF(N$17=FALSE,"",GasData(GasAnalyser,'Horiba Data'!AE469,'Testo, JUM &amp; MRU Data'!I470,'Thermo Data'!J469,'Testo, JUM &amp; MRU Data'!S470,GDF))</f>
        <v/>
      </c>
      <c r="O476" s="981" t="str">
        <f>IF(N476="","",Conc2(N476,N$9,MolVol,N$21,N$20,O$21,O$20))</f>
        <v/>
      </c>
      <c r="P476" s="981" t="str">
        <f>IF(P$17=FALSE,"",GasData(GasAnalyser,'Horiba Data'!AI469,'Testo, JUM &amp; MRU Data'!J470,'Thermo Data'!K469,'Testo, JUM &amp; MRU Data'!R470,GDF))</f>
        <v/>
      </c>
      <c r="Q476" s="981" t="str">
        <f>IF(P476="","",Conc2(P476,P$9,MolVol,P$21,P$20,Q$21,Q$20))</f>
        <v/>
      </c>
      <c r="R476" s="981" t="str">
        <f>IF(R$17=FALSE,"",JUMData('Testo, JUM &amp; MRU Data'!M470,$R$7))</f>
        <v/>
      </c>
      <c r="S476" s="982" t="str">
        <f>IF(R476="","",Conc2(R476,R$9,MolVol,R$21,R$20,S$21,S$20)/(1-Bws))</f>
        <v/>
      </c>
      <c r="T476" s="740"/>
      <c r="AR476" s="335"/>
      <c r="AS476" s="335"/>
      <c r="AT476" s="153"/>
      <c r="AU476" s="153"/>
      <c r="AV476" s="153"/>
      <c r="AW476" s="153"/>
      <c r="AX476" s="153"/>
      <c r="AY476" s="153"/>
      <c r="AZ476" s="153"/>
      <c r="BA476" s="153"/>
      <c r="BB476" s="153"/>
      <c r="BC476" s="153"/>
      <c r="BD476" s="153"/>
      <c r="BE476" s="153"/>
      <c r="BF476" s="153"/>
      <c r="BG476" s="153"/>
      <c r="BH476" s="153"/>
      <c r="BI476" s="153"/>
      <c r="BJ476" s="153"/>
      <c r="BK476" s="153"/>
      <c r="BL476" s="153"/>
      <c r="BM476" s="153"/>
      <c r="BN476" s="153"/>
      <c r="BO476" s="153"/>
      <c r="BP476" s="153"/>
      <c r="BQ476" s="153"/>
      <c r="BR476" s="153"/>
      <c r="BS476" s="153"/>
      <c r="BT476" s="153"/>
      <c r="BU476" s="153"/>
      <c r="BV476" s="153"/>
      <c r="BW476" s="153"/>
      <c r="BX476" s="153"/>
      <c r="BY476" s="153"/>
      <c r="BZ476" s="153"/>
      <c r="CA476" s="153"/>
      <c r="CB476" s="153"/>
      <c r="CC476" s="153"/>
      <c r="CD476" s="153"/>
      <c r="CE476" s="153"/>
      <c r="CF476" s="153"/>
      <c r="CG476" s="153"/>
      <c r="CH476" s="153"/>
      <c r="CI476" s="153"/>
      <c r="CJ476" s="153"/>
      <c r="CK476" s="153"/>
      <c r="CL476" s="153"/>
      <c r="CM476" s="153"/>
      <c r="CN476" s="153"/>
      <c r="CO476" s="153"/>
      <c r="CP476" s="153"/>
      <c r="CQ476" s="153"/>
      <c r="CR476" s="153"/>
      <c r="CS476" s="153"/>
      <c r="CT476" s="153"/>
      <c r="CU476" s="153"/>
      <c r="CV476" s="153"/>
      <c r="CW476" s="153"/>
      <c r="CX476" s="153"/>
      <c r="CY476" s="153"/>
      <c r="CZ476" s="153"/>
      <c r="DA476" s="153"/>
      <c r="DB476" s="153"/>
      <c r="DC476" s="153"/>
      <c r="DD476" s="153"/>
      <c r="DE476" s="153"/>
      <c r="DF476" s="153"/>
      <c r="DG476" s="153"/>
      <c r="DH476" s="153"/>
      <c r="DI476" s="153"/>
      <c r="DJ476" s="153"/>
      <c r="DK476" s="153"/>
      <c r="DL476" s="153"/>
      <c r="DM476" s="153"/>
      <c r="DN476" s="153"/>
      <c r="DO476" s="153"/>
      <c r="DP476" s="153"/>
      <c r="DQ476" s="153"/>
      <c r="DR476" s="153"/>
      <c r="DS476" s="153"/>
      <c r="DT476" s="153"/>
      <c r="DU476" s="153"/>
      <c r="DV476" s="153"/>
      <c r="DW476" s="153"/>
      <c r="DX476" s="153"/>
      <c r="DY476" s="153"/>
      <c r="DZ476" s="153"/>
      <c r="EA476" s="153"/>
      <c r="EB476" s="153"/>
      <c r="EC476" s="153"/>
      <c r="ED476" s="153"/>
      <c r="EE476" s="153"/>
      <c r="EF476" s="153"/>
      <c r="EG476" s="153"/>
      <c r="EH476" s="153"/>
      <c r="EI476" s="153"/>
      <c r="EJ476" s="153"/>
      <c r="EK476" s="153"/>
      <c r="EL476" s="153"/>
      <c r="EM476" s="153"/>
    </row>
    <row r="477" spans="1:143" s="107" customFormat="1" ht="10.5" hidden="1" customHeight="1" outlineLevel="2">
      <c r="A477" s="1548">
        <v>452</v>
      </c>
      <c r="B477" s="1560" t="str">
        <f t="shared" si="9"/>
        <v/>
      </c>
      <c r="C477" s="161" t="str">
        <f>GasTime(GasAnalyser,'Horiba Data'!F470,'Horiba Data'!G470,'Testo, JUM &amp; MRU Data'!A471,'Thermo Data'!B470,HourOffset)</f>
        <v/>
      </c>
      <c r="D477" s="981" t="str">
        <f>IF(D$17=FALSE,"",GasData(GasAnalyser,'Horiba Data'!S470,'Testo, JUM &amp; MRU Data'!D471,'Thermo Data'!E470,'Testo, JUM &amp; MRU Data'!U471,GDF))</f>
        <v/>
      </c>
      <c r="E477" s="981" t="str">
        <f>IF(D477="","",Conc2(D477,D$9,MolVol,D$21,D$20,E$21,E$20))</f>
        <v/>
      </c>
      <c r="F477" s="981" t="str">
        <f>IF(F$17=FALSE,"",GasData(GasAnalyser,'Horiba Data'!AQ470,'Testo, JUM &amp; MRU Data'!E471,'Thermo Data'!F470,'Testo, JUM &amp; MRU Data'!V471,GDF))</f>
        <v/>
      </c>
      <c r="G477" s="981" t="str">
        <f>IF(F477="","",Conc2(F477,F$9,MolVol,F$21,F$20,G$21,G$20))</f>
        <v/>
      </c>
      <c r="H477" s="981" t="str">
        <f>IF(D$17=FALSE,"",IF(F$17=FALSE,"",GasData(GasAnalyser,'Horiba Data'!W470,'Testo, JUM &amp; MRU Data'!F471,'Thermo Data'!G470,'Testo, JUM &amp; MRU Data'!Y471,GDF)))</f>
        <v/>
      </c>
      <c r="I477" s="981" t="str">
        <f>IF(H477="","",Conc2(H477,H$9,MolVol,H$21,H$20,I$21,I$20))</f>
        <v/>
      </c>
      <c r="J477" s="981" t="str">
        <f>IF(J$17=FALSE,"",GasData(GasAnalyser,'Horiba Data'!AM470,'Testo, JUM &amp; MRU Data'!G471,'Thermo Data'!H470,'Testo, JUM &amp; MRU Data'!W471,GDF))</f>
        <v/>
      </c>
      <c r="K477" s="981" t="str">
        <f>IF(J477="","",Conc2(J477,J$9,MolVol,J$21,J$20,K$21,K$20))</f>
        <v/>
      </c>
      <c r="L477" s="981" t="str">
        <f>IF(L$17=FALSE,"",GasData(GasAnalyser,'Horiba Data'!AA470,'Testo, JUM &amp; MRU Data'!H471,'Thermo Data'!I470,'Testo, JUM &amp; MRU Data'!T471,GDF))</f>
        <v/>
      </c>
      <c r="M477" s="981" t="str">
        <f>IF(L477="","",Conc2(L477,L$9,MolVol,L$21,L$20,M$21,M$20))</f>
        <v/>
      </c>
      <c r="N477" s="981" t="str">
        <f>IF(N$17=FALSE,"",GasData(GasAnalyser,'Horiba Data'!AE470,'Testo, JUM &amp; MRU Data'!I471,'Thermo Data'!J470,'Testo, JUM &amp; MRU Data'!S471,GDF))</f>
        <v/>
      </c>
      <c r="O477" s="981" t="str">
        <f>IF(N477="","",Conc2(N477,N$9,MolVol,N$21,N$20,O$21,O$20))</f>
        <v/>
      </c>
      <c r="P477" s="981" t="str">
        <f>IF(P$17=FALSE,"",GasData(GasAnalyser,'Horiba Data'!AI470,'Testo, JUM &amp; MRU Data'!J471,'Thermo Data'!K470,'Testo, JUM &amp; MRU Data'!R471,GDF))</f>
        <v/>
      </c>
      <c r="Q477" s="981" t="str">
        <f>IF(P477="","",Conc2(P477,P$9,MolVol,P$21,P$20,Q$21,Q$20))</f>
        <v/>
      </c>
      <c r="R477" s="981" t="str">
        <f>IF(R$17=FALSE,"",JUMData('Testo, JUM &amp; MRU Data'!M471,$R$7))</f>
        <v/>
      </c>
      <c r="S477" s="982" t="str">
        <f>IF(R477="","",Conc2(R477,R$9,MolVol,R$21,R$20,S$21,S$20)/(1-Bws))</f>
        <v/>
      </c>
      <c r="T477" s="740"/>
      <c r="AR477" s="335"/>
      <c r="AS477" s="335"/>
      <c r="AT477" s="153"/>
      <c r="AU477" s="153"/>
      <c r="AV477" s="153"/>
      <c r="AW477" s="153"/>
      <c r="AX477" s="153"/>
      <c r="AY477" s="153"/>
      <c r="AZ477" s="153"/>
      <c r="BA477" s="153"/>
      <c r="BB477" s="153"/>
      <c r="BC477" s="153"/>
      <c r="BD477" s="153"/>
      <c r="BE477" s="153"/>
      <c r="BF477" s="153"/>
      <c r="BG477" s="153"/>
      <c r="BH477" s="153"/>
      <c r="BI477" s="153"/>
      <c r="BJ477" s="153"/>
      <c r="BK477" s="153"/>
      <c r="BL477" s="153"/>
      <c r="BM477" s="153"/>
      <c r="BN477" s="153"/>
      <c r="BO477" s="153"/>
      <c r="BP477" s="153"/>
      <c r="BQ477" s="153"/>
      <c r="BR477" s="153"/>
      <c r="BS477" s="153"/>
      <c r="BT477" s="153"/>
      <c r="BU477" s="153"/>
      <c r="BV477" s="153"/>
      <c r="BW477" s="153"/>
      <c r="BX477" s="153"/>
      <c r="BY477" s="153"/>
      <c r="BZ477" s="153"/>
      <c r="CA477" s="153"/>
      <c r="CB477" s="153"/>
      <c r="CC477" s="153"/>
      <c r="CD477" s="153"/>
      <c r="CE477" s="153"/>
      <c r="CF477" s="153"/>
      <c r="CG477" s="153"/>
      <c r="CH477" s="153"/>
      <c r="CI477" s="153"/>
      <c r="CJ477" s="153"/>
      <c r="CK477" s="153"/>
      <c r="CL477" s="153"/>
      <c r="CM477" s="153"/>
      <c r="CN477" s="153"/>
      <c r="CO477" s="153"/>
      <c r="CP477" s="153"/>
      <c r="CQ477" s="153"/>
      <c r="CR477" s="153"/>
      <c r="CS477" s="153"/>
      <c r="CT477" s="153"/>
      <c r="CU477" s="153"/>
      <c r="CV477" s="153"/>
      <c r="CW477" s="153"/>
      <c r="CX477" s="153"/>
      <c r="CY477" s="153"/>
      <c r="CZ477" s="153"/>
      <c r="DA477" s="153"/>
      <c r="DB477" s="153"/>
      <c r="DC477" s="153"/>
      <c r="DD477" s="153"/>
      <c r="DE477" s="153"/>
      <c r="DF477" s="153"/>
      <c r="DG477" s="153"/>
      <c r="DH477" s="153"/>
      <c r="DI477" s="153"/>
      <c r="DJ477" s="153"/>
      <c r="DK477" s="153"/>
      <c r="DL477" s="153"/>
      <c r="DM477" s="153"/>
      <c r="DN477" s="153"/>
      <c r="DO477" s="153"/>
      <c r="DP477" s="153"/>
      <c r="DQ477" s="153"/>
      <c r="DR477" s="153"/>
      <c r="DS477" s="153"/>
      <c r="DT477" s="153"/>
      <c r="DU477" s="153"/>
      <c r="DV477" s="153"/>
      <c r="DW477" s="153"/>
      <c r="DX477" s="153"/>
      <c r="DY477" s="153"/>
      <c r="DZ477" s="153"/>
      <c r="EA477" s="153"/>
      <c r="EB477" s="153"/>
      <c r="EC477" s="153"/>
      <c r="ED477" s="153"/>
      <c r="EE477" s="153"/>
      <c r="EF477" s="153"/>
      <c r="EG477" s="153"/>
      <c r="EH477" s="153"/>
      <c r="EI477" s="153"/>
      <c r="EJ477" s="153"/>
      <c r="EK477" s="153"/>
      <c r="EL477" s="153"/>
      <c r="EM477" s="153"/>
    </row>
    <row r="478" spans="1:143" s="107" customFormat="1" ht="10.5" hidden="1" customHeight="1" outlineLevel="2">
      <c r="A478" s="1548">
        <v>453</v>
      </c>
      <c r="B478" s="1560" t="str">
        <f t="shared" si="9"/>
        <v/>
      </c>
      <c r="C478" s="161" t="str">
        <f>GasTime(GasAnalyser,'Horiba Data'!F471,'Horiba Data'!G471,'Testo, JUM &amp; MRU Data'!A472,'Thermo Data'!B471,HourOffset)</f>
        <v/>
      </c>
      <c r="D478" s="981" t="str">
        <f>IF(D$17=FALSE,"",GasData(GasAnalyser,'Horiba Data'!S471,'Testo, JUM &amp; MRU Data'!D472,'Thermo Data'!E471,'Testo, JUM &amp; MRU Data'!U472,GDF))</f>
        <v/>
      </c>
      <c r="E478" s="981" t="str">
        <f>IF(D478="","",Conc2(D478,D$9,MolVol,D$21,D$20,E$21,E$20))</f>
        <v/>
      </c>
      <c r="F478" s="981" t="str">
        <f>IF(F$17=FALSE,"",GasData(GasAnalyser,'Horiba Data'!AQ471,'Testo, JUM &amp; MRU Data'!E472,'Thermo Data'!F471,'Testo, JUM &amp; MRU Data'!V472,GDF))</f>
        <v/>
      </c>
      <c r="G478" s="981" t="str">
        <f>IF(F478="","",Conc2(F478,F$9,MolVol,F$21,F$20,G$21,G$20))</f>
        <v/>
      </c>
      <c r="H478" s="981" t="str">
        <f>IF(D$17=FALSE,"",IF(F$17=FALSE,"",GasData(GasAnalyser,'Horiba Data'!W471,'Testo, JUM &amp; MRU Data'!F472,'Thermo Data'!G471,'Testo, JUM &amp; MRU Data'!Y472,GDF)))</f>
        <v/>
      </c>
      <c r="I478" s="981" t="str">
        <f>IF(H478="","",Conc2(H478,H$9,MolVol,H$21,H$20,I$21,I$20))</f>
        <v/>
      </c>
      <c r="J478" s="981" t="str">
        <f>IF(J$17=FALSE,"",GasData(GasAnalyser,'Horiba Data'!AM471,'Testo, JUM &amp; MRU Data'!G472,'Thermo Data'!H471,'Testo, JUM &amp; MRU Data'!W472,GDF))</f>
        <v/>
      </c>
      <c r="K478" s="981" t="str">
        <f>IF(J478="","",Conc2(J478,J$9,MolVol,J$21,J$20,K$21,K$20))</f>
        <v/>
      </c>
      <c r="L478" s="981" t="str">
        <f>IF(L$17=FALSE,"",GasData(GasAnalyser,'Horiba Data'!AA471,'Testo, JUM &amp; MRU Data'!H472,'Thermo Data'!I471,'Testo, JUM &amp; MRU Data'!T472,GDF))</f>
        <v/>
      </c>
      <c r="M478" s="981" t="str">
        <f>IF(L478="","",Conc2(L478,L$9,MolVol,L$21,L$20,M$21,M$20))</f>
        <v/>
      </c>
      <c r="N478" s="981" t="str">
        <f>IF(N$17=FALSE,"",GasData(GasAnalyser,'Horiba Data'!AE471,'Testo, JUM &amp; MRU Data'!I472,'Thermo Data'!J471,'Testo, JUM &amp; MRU Data'!S472,GDF))</f>
        <v/>
      </c>
      <c r="O478" s="981" t="str">
        <f>IF(N478="","",Conc2(N478,N$9,MolVol,N$21,N$20,O$21,O$20))</f>
        <v/>
      </c>
      <c r="P478" s="981" t="str">
        <f>IF(P$17=FALSE,"",GasData(GasAnalyser,'Horiba Data'!AI471,'Testo, JUM &amp; MRU Data'!J472,'Thermo Data'!K471,'Testo, JUM &amp; MRU Data'!R472,GDF))</f>
        <v/>
      </c>
      <c r="Q478" s="981" t="str">
        <f>IF(P478="","",Conc2(P478,P$9,MolVol,P$21,P$20,Q$21,Q$20))</f>
        <v/>
      </c>
      <c r="R478" s="981" t="str">
        <f>IF(R$17=FALSE,"",JUMData('Testo, JUM &amp; MRU Data'!M472,$R$7))</f>
        <v/>
      </c>
      <c r="S478" s="982" t="str">
        <f>IF(R478="","",Conc2(R478,R$9,MolVol,R$21,R$20,S$21,S$20)/(1-Bws))</f>
        <v/>
      </c>
      <c r="T478" s="740"/>
      <c r="AR478" s="335"/>
      <c r="AS478" s="335"/>
      <c r="AT478" s="153"/>
      <c r="AU478" s="153"/>
      <c r="AV478" s="153"/>
      <c r="AW478" s="153"/>
      <c r="AX478" s="153"/>
      <c r="AY478" s="153"/>
      <c r="AZ478" s="153"/>
      <c r="BA478" s="153"/>
      <c r="BB478" s="153"/>
      <c r="BC478" s="153"/>
      <c r="BD478" s="153"/>
      <c r="BE478" s="153"/>
      <c r="BF478" s="153"/>
      <c r="BG478" s="153"/>
      <c r="BH478" s="153"/>
      <c r="BI478" s="153"/>
      <c r="BJ478" s="153"/>
      <c r="BK478" s="153"/>
      <c r="BL478" s="153"/>
      <c r="BM478" s="153"/>
      <c r="BN478" s="153"/>
      <c r="BO478" s="153"/>
      <c r="BP478" s="153"/>
      <c r="BQ478" s="153"/>
      <c r="BR478" s="153"/>
      <c r="BS478" s="153"/>
      <c r="BT478" s="153"/>
      <c r="BU478" s="153"/>
      <c r="BV478" s="153"/>
      <c r="BW478" s="153"/>
      <c r="BX478" s="153"/>
      <c r="BY478" s="153"/>
      <c r="BZ478" s="153"/>
      <c r="CA478" s="153"/>
      <c r="CB478" s="153"/>
      <c r="CC478" s="153"/>
      <c r="CD478" s="153"/>
      <c r="CE478" s="153"/>
      <c r="CF478" s="153"/>
      <c r="CG478" s="153"/>
      <c r="CH478" s="153"/>
      <c r="CI478" s="153"/>
      <c r="CJ478" s="153"/>
      <c r="CK478" s="153"/>
      <c r="CL478" s="153"/>
      <c r="CM478" s="153"/>
      <c r="CN478" s="153"/>
      <c r="CO478" s="153"/>
      <c r="CP478" s="153"/>
      <c r="CQ478" s="153"/>
      <c r="CR478" s="153"/>
      <c r="CS478" s="153"/>
      <c r="CT478" s="153"/>
      <c r="CU478" s="153"/>
      <c r="CV478" s="153"/>
      <c r="CW478" s="153"/>
      <c r="CX478" s="153"/>
      <c r="CY478" s="153"/>
      <c r="CZ478" s="153"/>
      <c r="DA478" s="153"/>
      <c r="DB478" s="153"/>
      <c r="DC478" s="153"/>
      <c r="DD478" s="153"/>
      <c r="DE478" s="153"/>
      <c r="DF478" s="153"/>
      <c r="DG478" s="153"/>
      <c r="DH478" s="153"/>
      <c r="DI478" s="153"/>
      <c r="DJ478" s="153"/>
      <c r="DK478" s="153"/>
      <c r="DL478" s="153"/>
      <c r="DM478" s="153"/>
      <c r="DN478" s="153"/>
      <c r="DO478" s="153"/>
      <c r="DP478" s="153"/>
      <c r="DQ478" s="153"/>
      <c r="DR478" s="153"/>
      <c r="DS478" s="153"/>
      <c r="DT478" s="153"/>
      <c r="DU478" s="153"/>
      <c r="DV478" s="153"/>
      <c r="DW478" s="153"/>
      <c r="DX478" s="153"/>
      <c r="DY478" s="153"/>
      <c r="DZ478" s="153"/>
      <c r="EA478" s="153"/>
      <c r="EB478" s="153"/>
      <c r="EC478" s="153"/>
      <c r="ED478" s="153"/>
      <c r="EE478" s="153"/>
      <c r="EF478" s="153"/>
      <c r="EG478" s="153"/>
      <c r="EH478" s="153"/>
      <c r="EI478" s="153"/>
      <c r="EJ478" s="153"/>
      <c r="EK478" s="153"/>
      <c r="EL478" s="153"/>
      <c r="EM478" s="153"/>
    </row>
    <row r="479" spans="1:143" s="107" customFormat="1" ht="10.5" hidden="1" customHeight="1" outlineLevel="2">
      <c r="A479" s="1548">
        <v>454</v>
      </c>
      <c r="B479" s="1560" t="str">
        <f t="shared" si="9"/>
        <v/>
      </c>
      <c r="C479" s="161" t="str">
        <f>GasTime(GasAnalyser,'Horiba Data'!F472,'Horiba Data'!G472,'Testo, JUM &amp; MRU Data'!A473,'Thermo Data'!B472,HourOffset)</f>
        <v/>
      </c>
      <c r="D479" s="981" t="str">
        <f>IF(D$17=FALSE,"",GasData(GasAnalyser,'Horiba Data'!S472,'Testo, JUM &amp; MRU Data'!D473,'Thermo Data'!E472,'Testo, JUM &amp; MRU Data'!U473,GDF))</f>
        <v/>
      </c>
      <c r="E479" s="981" t="str">
        <f>IF(D479="","",Conc2(D479,D$9,MolVol,D$21,D$20,E$21,E$20))</f>
        <v/>
      </c>
      <c r="F479" s="981" t="str">
        <f>IF(F$17=FALSE,"",GasData(GasAnalyser,'Horiba Data'!AQ472,'Testo, JUM &amp; MRU Data'!E473,'Thermo Data'!F472,'Testo, JUM &amp; MRU Data'!V473,GDF))</f>
        <v/>
      </c>
      <c r="G479" s="981" t="str">
        <f>IF(F479="","",Conc2(F479,F$9,MolVol,F$21,F$20,G$21,G$20))</f>
        <v/>
      </c>
      <c r="H479" s="981" t="str">
        <f>IF(D$17=FALSE,"",IF(F$17=FALSE,"",GasData(GasAnalyser,'Horiba Data'!W472,'Testo, JUM &amp; MRU Data'!F473,'Thermo Data'!G472,'Testo, JUM &amp; MRU Data'!Y473,GDF)))</f>
        <v/>
      </c>
      <c r="I479" s="981" t="str">
        <f>IF(H479="","",Conc2(H479,H$9,MolVol,H$21,H$20,I$21,I$20))</f>
        <v/>
      </c>
      <c r="J479" s="981" t="str">
        <f>IF(J$17=FALSE,"",GasData(GasAnalyser,'Horiba Data'!AM472,'Testo, JUM &amp; MRU Data'!G473,'Thermo Data'!H472,'Testo, JUM &amp; MRU Data'!W473,GDF))</f>
        <v/>
      </c>
      <c r="K479" s="981" t="str">
        <f>IF(J479="","",Conc2(J479,J$9,MolVol,J$21,J$20,K$21,K$20))</f>
        <v/>
      </c>
      <c r="L479" s="981" t="str">
        <f>IF(L$17=FALSE,"",GasData(GasAnalyser,'Horiba Data'!AA472,'Testo, JUM &amp; MRU Data'!H473,'Thermo Data'!I472,'Testo, JUM &amp; MRU Data'!T473,GDF))</f>
        <v/>
      </c>
      <c r="M479" s="981" t="str">
        <f>IF(L479="","",Conc2(L479,L$9,MolVol,L$21,L$20,M$21,M$20))</f>
        <v/>
      </c>
      <c r="N479" s="981" t="str">
        <f>IF(N$17=FALSE,"",GasData(GasAnalyser,'Horiba Data'!AE472,'Testo, JUM &amp; MRU Data'!I473,'Thermo Data'!J472,'Testo, JUM &amp; MRU Data'!S473,GDF))</f>
        <v/>
      </c>
      <c r="O479" s="981" t="str">
        <f>IF(N479="","",Conc2(N479,N$9,MolVol,N$21,N$20,O$21,O$20))</f>
        <v/>
      </c>
      <c r="P479" s="981" t="str">
        <f>IF(P$17=FALSE,"",GasData(GasAnalyser,'Horiba Data'!AI472,'Testo, JUM &amp; MRU Data'!J473,'Thermo Data'!K472,'Testo, JUM &amp; MRU Data'!R473,GDF))</f>
        <v/>
      </c>
      <c r="Q479" s="981" t="str">
        <f>IF(P479="","",Conc2(P479,P$9,MolVol,P$21,P$20,Q$21,Q$20))</f>
        <v/>
      </c>
      <c r="R479" s="981" t="str">
        <f>IF(R$17=FALSE,"",JUMData('Testo, JUM &amp; MRU Data'!M473,$R$7))</f>
        <v/>
      </c>
      <c r="S479" s="982" t="str">
        <f>IF(R479="","",Conc2(R479,R$9,MolVol,R$21,R$20,S$21,S$20)/(1-Bws))</f>
        <v/>
      </c>
      <c r="T479" s="740"/>
      <c r="AR479" s="335"/>
      <c r="AS479" s="335"/>
      <c r="AT479" s="153"/>
      <c r="AU479" s="153"/>
      <c r="AV479" s="153"/>
      <c r="AW479" s="153"/>
      <c r="AX479" s="153"/>
      <c r="AY479" s="153"/>
      <c r="AZ479" s="153"/>
      <c r="BA479" s="153"/>
      <c r="BB479" s="153"/>
      <c r="BC479" s="153"/>
      <c r="BD479" s="153"/>
      <c r="BE479" s="153"/>
      <c r="BF479" s="153"/>
      <c r="BG479" s="153"/>
      <c r="BH479" s="153"/>
      <c r="BI479" s="153"/>
      <c r="BJ479" s="153"/>
      <c r="BK479" s="153"/>
      <c r="BL479" s="153"/>
      <c r="BM479" s="153"/>
      <c r="BN479" s="153"/>
      <c r="BO479" s="153"/>
      <c r="BP479" s="153"/>
      <c r="BQ479" s="153"/>
      <c r="BR479" s="153"/>
      <c r="BS479" s="153"/>
      <c r="BT479" s="153"/>
      <c r="BU479" s="153"/>
      <c r="BV479" s="153"/>
      <c r="BW479" s="153"/>
      <c r="BX479" s="153"/>
      <c r="BY479" s="153"/>
      <c r="BZ479" s="153"/>
      <c r="CA479" s="153"/>
      <c r="CB479" s="153"/>
      <c r="CC479" s="153"/>
      <c r="CD479" s="153"/>
      <c r="CE479" s="153"/>
      <c r="CF479" s="153"/>
      <c r="CG479" s="153"/>
      <c r="CH479" s="153"/>
      <c r="CI479" s="153"/>
      <c r="CJ479" s="153"/>
      <c r="CK479" s="153"/>
      <c r="CL479" s="153"/>
      <c r="CM479" s="153"/>
      <c r="CN479" s="153"/>
      <c r="CO479" s="153"/>
      <c r="CP479" s="153"/>
      <c r="CQ479" s="153"/>
      <c r="CR479" s="153"/>
      <c r="CS479" s="153"/>
      <c r="CT479" s="153"/>
      <c r="CU479" s="153"/>
      <c r="CV479" s="153"/>
      <c r="CW479" s="153"/>
      <c r="CX479" s="153"/>
      <c r="CY479" s="153"/>
      <c r="CZ479" s="153"/>
      <c r="DA479" s="153"/>
      <c r="DB479" s="153"/>
      <c r="DC479" s="153"/>
      <c r="DD479" s="153"/>
      <c r="DE479" s="153"/>
      <c r="DF479" s="153"/>
      <c r="DG479" s="153"/>
      <c r="DH479" s="153"/>
      <c r="DI479" s="153"/>
      <c r="DJ479" s="153"/>
      <c r="DK479" s="153"/>
      <c r="DL479" s="153"/>
      <c r="DM479" s="153"/>
      <c r="DN479" s="153"/>
      <c r="DO479" s="153"/>
      <c r="DP479" s="153"/>
      <c r="DQ479" s="153"/>
      <c r="DR479" s="153"/>
      <c r="DS479" s="153"/>
      <c r="DT479" s="153"/>
      <c r="DU479" s="153"/>
      <c r="DV479" s="153"/>
      <c r="DW479" s="153"/>
      <c r="DX479" s="153"/>
      <c r="DY479" s="153"/>
      <c r="DZ479" s="153"/>
      <c r="EA479" s="153"/>
      <c r="EB479" s="153"/>
      <c r="EC479" s="153"/>
      <c r="ED479" s="153"/>
      <c r="EE479" s="153"/>
      <c r="EF479" s="153"/>
      <c r="EG479" s="153"/>
      <c r="EH479" s="153"/>
      <c r="EI479" s="153"/>
      <c r="EJ479" s="153"/>
      <c r="EK479" s="153"/>
      <c r="EL479" s="153"/>
      <c r="EM479" s="153"/>
    </row>
    <row r="480" spans="1:143" s="107" customFormat="1" ht="10.5" hidden="1" customHeight="1" outlineLevel="2">
      <c r="A480" s="1548">
        <v>455</v>
      </c>
      <c r="B480" s="1560" t="str">
        <f t="shared" si="9"/>
        <v/>
      </c>
      <c r="C480" s="161" t="str">
        <f>GasTime(GasAnalyser,'Horiba Data'!F473,'Horiba Data'!G473,'Testo, JUM &amp; MRU Data'!A474,'Thermo Data'!B473,HourOffset)</f>
        <v/>
      </c>
      <c r="D480" s="981" t="str">
        <f>IF(D$17=FALSE,"",GasData(GasAnalyser,'Horiba Data'!S473,'Testo, JUM &amp; MRU Data'!D474,'Thermo Data'!E473,'Testo, JUM &amp; MRU Data'!U474,GDF))</f>
        <v/>
      </c>
      <c r="E480" s="981" t="str">
        <f>IF(D480="","",Conc2(D480,D$9,MolVol,D$21,D$20,E$21,E$20))</f>
        <v/>
      </c>
      <c r="F480" s="981" t="str">
        <f>IF(F$17=FALSE,"",GasData(GasAnalyser,'Horiba Data'!AQ473,'Testo, JUM &amp; MRU Data'!E474,'Thermo Data'!F473,'Testo, JUM &amp; MRU Data'!V474,GDF))</f>
        <v/>
      </c>
      <c r="G480" s="981" t="str">
        <f>IF(F480="","",Conc2(F480,F$9,MolVol,F$21,F$20,G$21,G$20))</f>
        <v/>
      </c>
      <c r="H480" s="981" t="str">
        <f>IF(D$17=FALSE,"",IF(F$17=FALSE,"",GasData(GasAnalyser,'Horiba Data'!W473,'Testo, JUM &amp; MRU Data'!F474,'Thermo Data'!G473,'Testo, JUM &amp; MRU Data'!Y474,GDF)))</f>
        <v/>
      </c>
      <c r="I480" s="981" t="str">
        <f>IF(H480="","",Conc2(H480,H$9,MolVol,H$21,H$20,I$21,I$20))</f>
        <v/>
      </c>
      <c r="J480" s="981" t="str">
        <f>IF(J$17=FALSE,"",GasData(GasAnalyser,'Horiba Data'!AM473,'Testo, JUM &amp; MRU Data'!G474,'Thermo Data'!H473,'Testo, JUM &amp; MRU Data'!W474,GDF))</f>
        <v/>
      </c>
      <c r="K480" s="981" t="str">
        <f>IF(J480="","",Conc2(J480,J$9,MolVol,J$21,J$20,K$21,K$20))</f>
        <v/>
      </c>
      <c r="L480" s="981" t="str">
        <f>IF(L$17=FALSE,"",GasData(GasAnalyser,'Horiba Data'!AA473,'Testo, JUM &amp; MRU Data'!H474,'Thermo Data'!I473,'Testo, JUM &amp; MRU Data'!T474,GDF))</f>
        <v/>
      </c>
      <c r="M480" s="981" t="str">
        <f>IF(L480="","",Conc2(L480,L$9,MolVol,L$21,L$20,M$21,M$20))</f>
        <v/>
      </c>
      <c r="N480" s="981" t="str">
        <f>IF(N$17=FALSE,"",GasData(GasAnalyser,'Horiba Data'!AE473,'Testo, JUM &amp; MRU Data'!I474,'Thermo Data'!J473,'Testo, JUM &amp; MRU Data'!S474,GDF))</f>
        <v/>
      </c>
      <c r="O480" s="981" t="str">
        <f>IF(N480="","",Conc2(N480,N$9,MolVol,N$21,N$20,O$21,O$20))</f>
        <v/>
      </c>
      <c r="P480" s="981" t="str">
        <f>IF(P$17=FALSE,"",GasData(GasAnalyser,'Horiba Data'!AI473,'Testo, JUM &amp; MRU Data'!J474,'Thermo Data'!K473,'Testo, JUM &amp; MRU Data'!R474,GDF))</f>
        <v/>
      </c>
      <c r="Q480" s="981" t="str">
        <f>IF(P480="","",Conc2(P480,P$9,MolVol,P$21,P$20,Q$21,Q$20))</f>
        <v/>
      </c>
      <c r="R480" s="981" t="str">
        <f>IF(R$17=FALSE,"",JUMData('Testo, JUM &amp; MRU Data'!M474,$R$7))</f>
        <v/>
      </c>
      <c r="S480" s="982" t="str">
        <f>IF(R480="","",Conc2(R480,R$9,MolVol,R$21,R$20,S$21,S$20)/(1-Bws))</f>
        <v/>
      </c>
      <c r="T480" s="740"/>
      <c r="AR480" s="335"/>
      <c r="AS480" s="335"/>
      <c r="AT480" s="153"/>
      <c r="AU480" s="153"/>
      <c r="AV480" s="153"/>
      <c r="AW480" s="153"/>
      <c r="AX480" s="153"/>
      <c r="AY480" s="153"/>
      <c r="AZ480" s="153"/>
      <c r="BA480" s="153"/>
      <c r="BB480" s="153"/>
      <c r="BC480" s="153"/>
      <c r="BD480" s="153"/>
      <c r="BE480" s="153"/>
      <c r="BF480" s="153"/>
      <c r="BG480" s="153"/>
      <c r="BH480" s="153"/>
      <c r="BI480" s="153"/>
      <c r="BJ480" s="153"/>
      <c r="BK480" s="153"/>
      <c r="BL480" s="153"/>
      <c r="BM480" s="153"/>
      <c r="BN480" s="153"/>
      <c r="BO480" s="153"/>
      <c r="BP480" s="153"/>
      <c r="BQ480" s="153"/>
      <c r="BR480" s="153"/>
      <c r="BS480" s="153"/>
      <c r="BT480" s="153"/>
      <c r="BU480" s="153"/>
      <c r="BV480" s="153"/>
      <c r="BW480" s="153"/>
      <c r="BX480" s="153"/>
      <c r="BY480" s="153"/>
      <c r="BZ480" s="153"/>
      <c r="CA480" s="153"/>
      <c r="CB480" s="153"/>
      <c r="CC480" s="153"/>
      <c r="CD480" s="153"/>
      <c r="CE480" s="153"/>
      <c r="CF480" s="153"/>
      <c r="CG480" s="153"/>
      <c r="CH480" s="153"/>
      <c r="CI480" s="153"/>
      <c r="CJ480" s="153"/>
      <c r="CK480" s="153"/>
      <c r="CL480" s="153"/>
      <c r="CM480" s="153"/>
      <c r="CN480" s="153"/>
      <c r="CO480" s="153"/>
      <c r="CP480" s="153"/>
      <c r="CQ480" s="153"/>
      <c r="CR480" s="153"/>
      <c r="CS480" s="153"/>
      <c r="CT480" s="153"/>
      <c r="CU480" s="153"/>
      <c r="CV480" s="153"/>
      <c r="CW480" s="153"/>
      <c r="CX480" s="153"/>
      <c r="CY480" s="153"/>
      <c r="CZ480" s="153"/>
      <c r="DA480" s="153"/>
      <c r="DB480" s="153"/>
      <c r="DC480" s="153"/>
      <c r="DD480" s="153"/>
      <c r="DE480" s="153"/>
      <c r="DF480" s="153"/>
      <c r="DG480" s="153"/>
      <c r="DH480" s="153"/>
      <c r="DI480" s="153"/>
      <c r="DJ480" s="153"/>
      <c r="DK480" s="153"/>
      <c r="DL480" s="153"/>
      <c r="DM480" s="153"/>
      <c r="DN480" s="153"/>
      <c r="DO480" s="153"/>
      <c r="DP480" s="153"/>
      <c r="DQ480" s="153"/>
      <c r="DR480" s="153"/>
      <c r="DS480" s="153"/>
      <c r="DT480" s="153"/>
      <c r="DU480" s="153"/>
      <c r="DV480" s="153"/>
      <c r="DW480" s="153"/>
      <c r="DX480" s="153"/>
      <c r="DY480" s="153"/>
      <c r="DZ480" s="153"/>
      <c r="EA480" s="153"/>
      <c r="EB480" s="153"/>
      <c r="EC480" s="153"/>
      <c r="ED480" s="153"/>
      <c r="EE480" s="153"/>
      <c r="EF480" s="153"/>
      <c r="EG480" s="153"/>
      <c r="EH480" s="153"/>
      <c r="EI480" s="153"/>
      <c r="EJ480" s="153"/>
      <c r="EK480" s="153"/>
      <c r="EL480" s="153"/>
      <c r="EM480" s="153"/>
    </row>
    <row r="481" spans="1:143" s="107" customFormat="1" ht="10.5" hidden="1" customHeight="1" outlineLevel="2">
      <c r="A481" s="1548">
        <v>456</v>
      </c>
      <c r="B481" s="1560" t="str">
        <f t="shared" si="9"/>
        <v/>
      </c>
      <c r="C481" s="161" t="str">
        <f>GasTime(GasAnalyser,'Horiba Data'!F474,'Horiba Data'!G474,'Testo, JUM &amp; MRU Data'!A475,'Thermo Data'!B474,HourOffset)</f>
        <v/>
      </c>
      <c r="D481" s="981" t="str">
        <f>IF(D$17=FALSE,"",GasData(GasAnalyser,'Horiba Data'!S474,'Testo, JUM &amp; MRU Data'!D475,'Thermo Data'!E474,'Testo, JUM &amp; MRU Data'!U475,GDF))</f>
        <v/>
      </c>
      <c r="E481" s="981" t="str">
        <f>IF(D481="","",Conc2(D481,D$9,MolVol,D$21,D$20,E$21,E$20))</f>
        <v/>
      </c>
      <c r="F481" s="981" t="str">
        <f>IF(F$17=FALSE,"",GasData(GasAnalyser,'Horiba Data'!AQ474,'Testo, JUM &amp; MRU Data'!E475,'Thermo Data'!F474,'Testo, JUM &amp; MRU Data'!V475,GDF))</f>
        <v/>
      </c>
      <c r="G481" s="981" t="str">
        <f>IF(F481="","",Conc2(F481,F$9,MolVol,F$21,F$20,G$21,G$20))</f>
        <v/>
      </c>
      <c r="H481" s="981" t="str">
        <f>IF(D$17=FALSE,"",IF(F$17=FALSE,"",GasData(GasAnalyser,'Horiba Data'!W474,'Testo, JUM &amp; MRU Data'!F475,'Thermo Data'!G474,'Testo, JUM &amp; MRU Data'!Y475,GDF)))</f>
        <v/>
      </c>
      <c r="I481" s="981" t="str">
        <f>IF(H481="","",Conc2(H481,H$9,MolVol,H$21,H$20,I$21,I$20))</f>
        <v/>
      </c>
      <c r="J481" s="981" t="str">
        <f>IF(J$17=FALSE,"",GasData(GasAnalyser,'Horiba Data'!AM474,'Testo, JUM &amp; MRU Data'!G475,'Thermo Data'!H474,'Testo, JUM &amp; MRU Data'!W475,GDF))</f>
        <v/>
      </c>
      <c r="K481" s="981" t="str">
        <f>IF(J481="","",Conc2(J481,J$9,MolVol,J$21,J$20,K$21,K$20))</f>
        <v/>
      </c>
      <c r="L481" s="981" t="str">
        <f>IF(L$17=FALSE,"",GasData(GasAnalyser,'Horiba Data'!AA474,'Testo, JUM &amp; MRU Data'!H475,'Thermo Data'!I474,'Testo, JUM &amp; MRU Data'!T475,GDF))</f>
        <v/>
      </c>
      <c r="M481" s="981" t="str">
        <f>IF(L481="","",Conc2(L481,L$9,MolVol,L$21,L$20,M$21,M$20))</f>
        <v/>
      </c>
      <c r="N481" s="981" t="str">
        <f>IF(N$17=FALSE,"",GasData(GasAnalyser,'Horiba Data'!AE474,'Testo, JUM &amp; MRU Data'!I475,'Thermo Data'!J474,'Testo, JUM &amp; MRU Data'!S475,GDF))</f>
        <v/>
      </c>
      <c r="O481" s="981" t="str">
        <f>IF(N481="","",Conc2(N481,N$9,MolVol,N$21,N$20,O$21,O$20))</f>
        <v/>
      </c>
      <c r="P481" s="981" t="str">
        <f>IF(P$17=FALSE,"",GasData(GasAnalyser,'Horiba Data'!AI474,'Testo, JUM &amp; MRU Data'!J475,'Thermo Data'!K474,'Testo, JUM &amp; MRU Data'!R475,GDF))</f>
        <v/>
      </c>
      <c r="Q481" s="981" t="str">
        <f>IF(P481="","",Conc2(P481,P$9,MolVol,P$21,P$20,Q$21,Q$20))</f>
        <v/>
      </c>
      <c r="R481" s="981" t="str">
        <f>IF(R$17=FALSE,"",JUMData('Testo, JUM &amp; MRU Data'!M475,$R$7))</f>
        <v/>
      </c>
      <c r="S481" s="982" t="str">
        <f>IF(R481="","",Conc2(R481,R$9,MolVol,R$21,R$20,S$21,S$20)/(1-Bws))</f>
        <v/>
      </c>
      <c r="T481" s="740"/>
      <c r="AR481" s="335"/>
      <c r="AS481" s="335"/>
      <c r="AT481" s="153"/>
      <c r="AU481" s="153"/>
      <c r="AV481" s="153"/>
      <c r="AW481" s="153"/>
      <c r="AX481" s="153"/>
      <c r="AY481" s="153"/>
      <c r="AZ481" s="153"/>
      <c r="BA481" s="153"/>
      <c r="BB481" s="153"/>
      <c r="BC481" s="153"/>
      <c r="BD481" s="153"/>
      <c r="BE481" s="153"/>
      <c r="BF481" s="153"/>
      <c r="BG481" s="153"/>
      <c r="BH481" s="153"/>
      <c r="BI481" s="153"/>
      <c r="BJ481" s="153"/>
      <c r="BK481" s="153"/>
      <c r="BL481" s="153"/>
      <c r="BM481" s="153"/>
      <c r="BN481" s="153"/>
      <c r="BO481" s="153"/>
      <c r="BP481" s="153"/>
      <c r="BQ481" s="153"/>
      <c r="BR481" s="153"/>
      <c r="BS481" s="153"/>
      <c r="BT481" s="153"/>
      <c r="BU481" s="153"/>
      <c r="BV481" s="153"/>
      <c r="BW481" s="153"/>
      <c r="BX481" s="153"/>
      <c r="BY481" s="153"/>
      <c r="BZ481" s="153"/>
      <c r="CA481" s="153"/>
      <c r="CB481" s="153"/>
      <c r="CC481" s="153"/>
      <c r="CD481" s="153"/>
      <c r="CE481" s="153"/>
      <c r="CF481" s="153"/>
      <c r="CG481" s="153"/>
      <c r="CH481" s="153"/>
      <c r="CI481" s="153"/>
      <c r="CJ481" s="153"/>
      <c r="CK481" s="153"/>
      <c r="CL481" s="153"/>
      <c r="CM481" s="153"/>
      <c r="CN481" s="153"/>
      <c r="CO481" s="153"/>
      <c r="CP481" s="153"/>
      <c r="CQ481" s="153"/>
      <c r="CR481" s="153"/>
      <c r="CS481" s="153"/>
      <c r="CT481" s="153"/>
      <c r="CU481" s="153"/>
      <c r="CV481" s="153"/>
      <c r="CW481" s="153"/>
      <c r="CX481" s="153"/>
      <c r="CY481" s="153"/>
      <c r="CZ481" s="153"/>
      <c r="DA481" s="153"/>
      <c r="DB481" s="153"/>
      <c r="DC481" s="153"/>
      <c r="DD481" s="153"/>
      <c r="DE481" s="153"/>
      <c r="DF481" s="153"/>
      <c r="DG481" s="153"/>
      <c r="DH481" s="153"/>
      <c r="DI481" s="153"/>
      <c r="DJ481" s="153"/>
      <c r="DK481" s="153"/>
      <c r="DL481" s="153"/>
      <c r="DM481" s="153"/>
      <c r="DN481" s="153"/>
      <c r="DO481" s="153"/>
      <c r="DP481" s="153"/>
      <c r="DQ481" s="153"/>
      <c r="DR481" s="153"/>
      <c r="DS481" s="153"/>
      <c r="DT481" s="153"/>
      <c r="DU481" s="153"/>
      <c r="DV481" s="153"/>
      <c r="DW481" s="153"/>
      <c r="DX481" s="153"/>
      <c r="DY481" s="153"/>
      <c r="DZ481" s="153"/>
      <c r="EA481" s="153"/>
      <c r="EB481" s="153"/>
      <c r="EC481" s="153"/>
      <c r="ED481" s="153"/>
      <c r="EE481" s="153"/>
      <c r="EF481" s="153"/>
      <c r="EG481" s="153"/>
      <c r="EH481" s="153"/>
      <c r="EI481" s="153"/>
      <c r="EJ481" s="153"/>
      <c r="EK481" s="153"/>
      <c r="EL481" s="153"/>
      <c r="EM481" s="153"/>
    </row>
    <row r="482" spans="1:143" s="107" customFormat="1" ht="10.5" hidden="1" customHeight="1" outlineLevel="2">
      <c r="A482" s="1548">
        <v>457</v>
      </c>
      <c r="B482" s="1560" t="str">
        <f t="shared" si="9"/>
        <v/>
      </c>
      <c r="C482" s="161" t="str">
        <f>GasTime(GasAnalyser,'Horiba Data'!F475,'Horiba Data'!G475,'Testo, JUM &amp; MRU Data'!A476,'Thermo Data'!B475,HourOffset)</f>
        <v/>
      </c>
      <c r="D482" s="981" t="str">
        <f>IF(D$17=FALSE,"",GasData(GasAnalyser,'Horiba Data'!S475,'Testo, JUM &amp; MRU Data'!D476,'Thermo Data'!E475,'Testo, JUM &amp; MRU Data'!U476,GDF))</f>
        <v/>
      </c>
      <c r="E482" s="981" t="str">
        <f>IF(D482="","",Conc2(D482,D$9,MolVol,D$21,D$20,E$21,E$20))</f>
        <v/>
      </c>
      <c r="F482" s="981" t="str">
        <f>IF(F$17=FALSE,"",GasData(GasAnalyser,'Horiba Data'!AQ475,'Testo, JUM &amp; MRU Data'!E476,'Thermo Data'!F475,'Testo, JUM &amp; MRU Data'!V476,GDF))</f>
        <v/>
      </c>
      <c r="G482" s="981" t="str">
        <f>IF(F482="","",Conc2(F482,F$9,MolVol,F$21,F$20,G$21,G$20))</f>
        <v/>
      </c>
      <c r="H482" s="981" t="str">
        <f>IF(D$17=FALSE,"",IF(F$17=FALSE,"",GasData(GasAnalyser,'Horiba Data'!W475,'Testo, JUM &amp; MRU Data'!F476,'Thermo Data'!G475,'Testo, JUM &amp; MRU Data'!Y476,GDF)))</f>
        <v/>
      </c>
      <c r="I482" s="981" t="str">
        <f>IF(H482="","",Conc2(H482,H$9,MolVol,H$21,H$20,I$21,I$20))</f>
        <v/>
      </c>
      <c r="J482" s="981" t="str">
        <f>IF(J$17=FALSE,"",GasData(GasAnalyser,'Horiba Data'!AM475,'Testo, JUM &amp; MRU Data'!G476,'Thermo Data'!H475,'Testo, JUM &amp; MRU Data'!W476,GDF))</f>
        <v/>
      </c>
      <c r="K482" s="981" t="str">
        <f>IF(J482="","",Conc2(J482,J$9,MolVol,J$21,J$20,K$21,K$20))</f>
        <v/>
      </c>
      <c r="L482" s="981" t="str">
        <f>IF(L$17=FALSE,"",GasData(GasAnalyser,'Horiba Data'!AA475,'Testo, JUM &amp; MRU Data'!H476,'Thermo Data'!I475,'Testo, JUM &amp; MRU Data'!T476,GDF))</f>
        <v/>
      </c>
      <c r="M482" s="981" t="str">
        <f>IF(L482="","",Conc2(L482,L$9,MolVol,L$21,L$20,M$21,M$20))</f>
        <v/>
      </c>
      <c r="N482" s="981" t="str">
        <f>IF(N$17=FALSE,"",GasData(GasAnalyser,'Horiba Data'!AE475,'Testo, JUM &amp; MRU Data'!I476,'Thermo Data'!J475,'Testo, JUM &amp; MRU Data'!S476,GDF))</f>
        <v/>
      </c>
      <c r="O482" s="981" t="str">
        <f>IF(N482="","",Conc2(N482,N$9,MolVol,N$21,N$20,O$21,O$20))</f>
        <v/>
      </c>
      <c r="P482" s="981" t="str">
        <f>IF(P$17=FALSE,"",GasData(GasAnalyser,'Horiba Data'!AI475,'Testo, JUM &amp; MRU Data'!J476,'Thermo Data'!K475,'Testo, JUM &amp; MRU Data'!R476,GDF))</f>
        <v/>
      </c>
      <c r="Q482" s="981" t="str">
        <f>IF(P482="","",Conc2(P482,P$9,MolVol,P$21,P$20,Q$21,Q$20))</f>
        <v/>
      </c>
      <c r="R482" s="981" t="str">
        <f>IF(R$17=FALSE,"",JUMData('Testo, JUM &amp; MRU Data'!M476,$R$7))</f>
        <v/>
      </c>
      <c r="S482" s="982" t="str">
        <f>IF(R482="","",Conc2(R482,R$9,MolVol,R$21,R$20,S$21,S$20)/(1-Bws))</f>
        <v/>
      </c>
      <c r="T482" s="740"/>
      <c r="AR482" s="335"/>
      <c r="AS482" s="335"/>
      <c r="AT482" s="153"/>
      <c r="AU482" s="153"/>
      <c r="AV482" s="153"/>
      <c r="AW482" s="153"/>
      <c r="AX482" s="153"/>
      <c r="AY482" s="153"/>
      <c r="AZ482" s="153"/>
      <c r="BA482" s="153"/>
      <c r="BB482" s="153"/>
      <c r="BC482" s="153"/>
      <c r="BD482" s="153"/>
      <c r="BE482" s="153"/>
      <c r="BF482" s="153"/>
      <c r="BG482" s="153"/>
      <c r="BH482" s="153"/>
      <c r="BI482" s="153"/>
      <c r="BJ482" s="153"/>
      <c r="BK482" s="153"/>
      <c r="BL482" s="153"/>
      <c r="BM482" s="153"/>
      <c r="BN482" s="153"/>
      <c r="BO482" s="153"/>
      <c r="BP482" s="153"/>
      <c r="BQ482" s="153"/>
      <c r="BR482" s="153"/>
      <c r="BS482" s="153"/>
      <c r="BT482" s="153"/>
      <c r="BU482" s="153"/>
      <c r="BV482" s="153"/>
      <c r="BW482" s="153"/>
      <c r="BX482" s="153"/>
      <c r="BY482" s="153"/>
      <c r="BZ482" s="153"/>
      <c r="CA482" s="153"/>
      <c r="CB482" s="153"/>
      <c r="CC482" s="153"/>
      <c r="CD482" s="153"/>
      <c r="CE482" s="153"/>
      <c r="CF482" s="153"/>
      <c r="CG482" s="153"/>
      <c r="CH482" s="153"/>
      <c r="CI482" s="153"/>
      <c r="CJ482" s="153"/>
      <c r="CK482" s="153"/>
      <c r="CL482" s="153"/>
      <c r="CM482" s="153"/>
      <c r="CN482" s="153"/>
      <c r="CO482" s="153"/>
      <c r="CP482" s="153"/>
      <c r="CQ482" s="153"/>
      <c r="CR482" s="153"/>
      <c r="CS482" s="153"/>
      <c r="CT482" s="153"/>
      <c r="CU482" s="153"/>
      <c r="CV482" s="153"/>
      <c r="CW482" s="153"/>
      <c r="CX482" s="153"/>
      <c r="CY482" s="153"/>
      <c r="CZ482" s="153"/>
      <c r="DA482" s="153"/>
      <c r="DB482" s="153"/>
      <c r="DC482" s="153"/>
      <c r="DD482" s="153"/>
      <c r="DE482" s="153"/>
      <c r="DF482" s="153"/>
      <c r="DG482" s="153"/>
      <c r="DH482" s="153"/>
      <c r="DI482" s="153"/>
      <c r="DJ482" s="153"/>
      <c r="DK482" s="153"/>
      <c r="DL482" s="153"/>
      <c r="DM482" s="153"/>
      <c r="DN482" s="153"/>
      <c r="DO482" s="153"/>
      <c r="DP482" s="153"/>
      <c r="DQ482" s="153"/>
      <c r="DR482" s="153"/>
      <c r="DS482" s="153"/>
      <c r="DT482" s="153"/>
      <c r="DU482" s="153"/>
      <c r="DV482" s="153"/>
      <c r="DW482" s="153"/>
      <c r="DX482" s="153"/>
      <c r="DY482" s="153"/>
      <c r="DZ482" s="153"/>
      <c r="EA482" s="153"/>
      <c r="EB482" s="153"/>
      <c r="EC482" s="153"/>
      <c r="ED482" s="153"/>
      <c r="EE482" s="153"/>
      <c r="EF482" s="153"/>
      <c r="EG482" s="153"/>
      <c r="EH482" s="153"/>
      <c r="EI482" s="153"/>
      <c r="EJ482" s="153"/>
      <c r="EK482" s="153"/>
      <c r="EL482" s="153"/>
      <c r="EM482" s="153"/>
    </row>
    <row r="483" spans="1:143" s="107" customFormat="1" ht="10.5" hidden="1" customHeight="1" outlineLevel="2">
      <c r="A483" s="1548">
        <v>458</v>
      </c>
      <c r="B483" s="1560" t="str">
        <f t="shared" si="9"/>
        <v/>
      </c>
      <c r="C483" s="161" t="str">
        <f>GasTime(GasAnalyser,'Horiba Data'!F476,'Horiba Data'!G476,'Testo, JUM &amp; MRU Data'!A477,'Thermo Data'!B476,HourOffset)</f>
        <v/>
      </c>
      <c r="D483" s="981" t="str">
        <f>IF(D$17=FALSE,"",GasData(GasAnalyser,'Horiba Data'!S476,'Testo, JUM &amp; MRU Data'!D477,'Thermo Data'!E476,'Testo, JUM &amp; MRU Data'!U477,GDF))</f>
        <v/>
      </c>
      <c r="E483" s="981" t="str">
        <f>IF(D483="","",Conc2(D483,D$9,MolVol,D$21,D$20,E$21,E$20))</f>
        <v/>
      </c>
      <c r="F483" s="981" t="str">
        <f>IF(F$17=FALSE,"",GasData(GasAnalyser,'Horiba Data'!AQ476,'Testo, JUM &amp; MRU Data'!E477,'Thermo Data'!F476,'Testo, JUM &amp; MRU Data'!V477,GDF))</f>
        <v/>
      </c>
      <c r="G483" s="981" t="str">
        <f>IF(F483="","",Conc2(F483,F$9,MolVol,F$21,F$20,G$21,G$20))</f>
        <v/>
      </c>
      <c r="H483" s="981" t="str">
        <f>IF(D$17=FALSE,"",IF(F$17=FALSE,"",GasData(GasAnalyser,'Horiba Data'!W476,'Testo, JUM &amp; MRU Data'!F477,'Thermo Data'!G476,'Testo, JUM &amp; MRU Data'!Y477,GDF)))</f>
        <v/>
      </c>
      <c r="I483" s="981" t="str">
        <f>IF(H483="","",Conc2(H483,H$9,MolVol,H$21,H$20,I$21,I$20))</f>
        <v/>
      </c>
      <c r="J483" s="981" t="str">
        <f>IF(J$17=FALSE,"",GasData(GasAnalyser,'Horiba Data'!AM476,'Testo, JUM &amp; MRU Data'!G477,'Thermo Data'!H476,'Testo, JUM &amp; MRU Data'!W477,GDF))</f>
        <v/>
      </c>
      <c r="K483" s="981" t="str">
        <f>IF(J483="","",Conc2(J483,J$9,MolVol,J$21,J$20,K$21,K$20))</f>
        <v/>
      </c>
      <c r="L483" s="981" t="str">
        <f>IF(L$17=FALSE,"",GasData(GasAnalyser,'Horiba Data'!AA476,'Testo, JUM &amp; MRU Data'!H477,'Thermo Data'!I476,'Testo, JUM &amp; MRU Data'!T477,GDF))</f>
        <v/>
      </c>
      <c r="M483" s="981" t="str">
        <f>IF(L483="","",Conc2(L483,L$9,MolVol,L$21,L$20,M$21,M$20))</f>
        <v/>
      </c>
      <c r="N483" s="981" t="str">
        <f>IF(N$17=FALSE,"",GasData(GasAnalyser,'Horiba Data'!AE476,'Testo, JUM &amp; MRU Data'!I477,'Thermo Data'!J476,'Testo, JUM &amp; MRU Data'!S477,GDF))</f>
        <v/>
      </c>
      <c r="O483" s="981" t="str">
        <f>IF(N483="","",Conc2(N483,N$9,MolVol,N$21,N$20,O$21,O$20))</f>
        <v/>
      </c>
      <c r="P483" s="981" t="str">
        <f>IF(P$17=FALSE,"",GasData(GasAnalyser,'Horiba Data'!AI476,'Testo, JUM &amp; MRU Data'!J477,'Thermo Data'!K476,'Testo, JUM &amp; MRU Data'!R477,GDF))</f>
        <v/>
      </c>
      <c r="Q483" s="981" t="str">
        <f>IF(P483="","",Conc2(P483,P$9,MolVol,P$21,P$20,Q$21,Q$20))</f>
        <v/>
      </c>
      <c r="R483" s="981" t="str">
        <f>IF(R$17=FALSE,"",JUMData('Testo, JUM &amp; MRU Data'!M477,$R$7))</f>
        <v/>
      </c>
      <c r="S483" s="982" t="str">
        <f>IF(R483="","",Conc2(R483,R$9,MolVol,R$21,R$20,S$21,S$20)/(1-Bws))</f>
        <v/>
      </c>
      <c r="T483" s="740"/>
      <c r="AR483" s="335"/>
      <c r="AS483" s="335"/>
      <c r="AT483" s="153"/>
      <c r="AU483" s="153"/>
      <c r="AV483" s="153"/>
      <c r="AW483" s="153"/>
      <c r="AX483" s="153"/>
      <c r="AY483" s="153"/>
      <c r="AZ483" s="153"/>
      <c r="BA483" s="153"/>
      <c r="BB483" s="153"/>
      <c r="BC483" s="153"/>
      <c r="BD483" s="153"/>
      <c r="BE483" s="153"/>
      <c r="BF483" s="153"/>
      <c r="BG483" s="153"/>
      <c r="BH483" s="153"/>
      <c r="BI483" s="153"/>
      <c r="BJ483" s="153"/>
      <c r="BK483" s="153"/>
      <c r="BL483" s="153"/>
      <c r="BM483" s="153"/>
      <c r="BN483" s="153"/>
      <c r="BO483" s="153"/>
      <c r="BP483" s="153"/>
      <c r="BQ483" s="153"/>
      <c r="BR483" s="153"/>
      <c r="BS483" s="153"/>
      <c r="BT483" s="153"/>
      <c r="BU483" s="153"/>
      <c r="BV483" s="153"/>
      <c r="BW483" s="153"/>
      <c r="BX483" s="153"/>
      <c r="BY483" s="153"/>
      <c r="BZ483" s="153"/>
      <c r="CA483" s="153"/>
      <c r="CB483" s="153"/>
      <c r="CC483" s="153"/>
      <c r="CD483" s="153"/>
      <c r="CE483" s="153"/>
      <c r="CF483" s="153"/>
      <c r="CG483" s="153"/>
      <c r="CH483" s="153"/>
      <c r="CI483" s="153"/>
      <c r="CJ483" s="153"/>
      <c r="CK483" s="153"/>
      <c r="CL483" s="153"/>
      <c r="CM483" s="153"/>
      <c r="CN483" s="153"/>
      <c r="CO483" s="153"/>
      <c r="CP483" s="153"/>
      <c r="CQ483" s="153"/>
      <c r="CR483" s="153"/>
      <c r="CS483" s="153"/>
      <c r="CT483" s="153"/>
      <c r="CU483" s="153"/>
      <c r="CV483" s="153"/>
      <c r="CW483" s="153"/>
      <c r="CX483" s="153"/>
      <c r="CY483" s="153"/>
      <c r="CZ483" s="153"/>
      <c r="DA483" s="153"/>
      <c r="DB483" s="153"/>
      <c r="DC483" s="153"/>
      <c r="DD483" s="153"/>
      <c r="DE483" s="153"/>
      <c r="DF483" s="153"/>
      <c r="DG483" s="153"/>
      <c r="DH483" s="153"/>
      <c r="DI483" s="153"/>
      <c r="DJ483" s="153"/>
      <c r="DK483" s="153"/>
      <c r="DL483" s="153"/>
      <c r="DM483" s="153"/>
      <c r="DN483" s="153"/>
      <c r="DO483" s="153"/>
      <c r="DP483" s="153"/>
      <c r="DQ483" s="153"/>
      <c r="DR483" s="153"/>
      <c r="DS483" s="153"/>
      <c r="DT483" s="153"/>
      <c r="DU483" s="153"/>
      <c r="DV483" s="153"/>
      <c r="DW483" s="153"/>
      <c r="DX483" s="153"/>
      <c r="DY483" s="153"/>
      <c r="DZ483" s="153"/>
      <c r="EA483" s="153"/>
      <c r="EB483" s="153"/>
      <c r="EC483" s="153"/>
      <c r="ED483" s="153"/>
      <c r="EE483" s="153"/>
      <c r="EF483" s="153"/>
      <c r="EG483" s="153"/>
      <c r="EH483" s="153"/>
      <c r="EI483" s="153"/>
      <c r="EJ483" s="153"/>
      <c r="EK483" s="153"/>
      <c r="EL483" s="153"/>
      <c r="EM483" s="153"/>
    </row>
    <row r="484" spans="1:143" s="107" customFormat="1" ht="10.5" hidden="1" customHeight="1" outlineLevel="2">
      <c r="A484" s="1548">
        <v>459</v>
      </c>
      <c r="B484" s="1560" t="str">
        <f t="shared" si="9"/>
        <v/>
      </c>
      <c r="C484" s="161" t="str">
        <f>GasTime(GasAnalyser,'Horiba Data'!F477,'Horiba Data'!G477,'Testo, JUM &amp; MRU Data'!A478,'Thermo Data'!B477,HourOffset)</f>
        <v/>
      </c>
      <c r="D484" s="981" t="str">
        <f>IF(D$17=FALSE,"",GasData(GasAnalyser,'Horiba Data'!S477,'Testo, JUM &amp; MRU Data'!D478,'Thermo Data'!E477,'Testo, JUM &amp; MRU Data'!U478,GDF))</f>
        <v/>
      </c>
      <c r="E484" s="981" t="str">
        <f>IF(D484="","",Conc2(D484,D$9,MolVol,D$21,D$20,E$21,E$20))</f>
        <v/>
      </c>
      <c r="F484" s="981" t="str">
        <f>IF(F$17=FALSE,"",GasData(GasAnalyser,'Horiba Data'!AQ477,'Testo, JUM &amp; MRU Data'!E478,'Thermo Data'!F477,'Testo, JUM &amp; MRU Data'!V478,GDF))</f>
        <v/>
      </c>
      <c r="G484" s="981" t="str">
        <f>IF(F484="","",Conc2(F484,F$9,MolVol,F$21,F$20,G$21,G$20))</f>
        <v/>
      </c>
      <c r="H484" s="981" t="str">
        <f>IF(D$17=FALSE,"",IF(F$17=FALSE,"",GasData(GasAnalyser,'Horiba Data'!W477,'Testo, JUM &amp; MRU Data'!F478,'Thermo Data'!G477,'Testo, JUM &amp; MRU Data'!Y478,GDF)))</f>
        <v/>
      </c>
      <c r="I484" s="981" t="str">
        <f>IF(H484="","",Conc2(H484,H$9,MolVol,H$21,H$20,I$21,I$20))</f>
        <v/>
      </c>
      <c r="J484" s="981" t="str">
        <f>IF(J$17=FALSE,"",GasData(GasAnalyser,'Horiba Data'!AM477,'Testo, JUM &amp; MRU Data'!G478,'Thermo Data'!H477,'Testo, JUM &amp; MRU Data'!W478,GDF))</f>
        <v/>
      </c>
      <c r="K484" s="981" t="str">
        <f>IF(J484="","",Conc2(J484,J$9,MolVol,J$21,J$20,K$21,K$20))</f>
        <v/>
      </c>
      <c r="L484" s="981" t="str">
        <f>IF(L$17=FALSE,"",GasData(GasAnalyser,'Horiba Data'!AA477,'Testo, JUM &amp; MRU Data'!H478,'Thermo Data'!I477,'Testo, JUM &amp; MRU Data'!T478,GDF))</f>
        <v/>
      </c>
      <c r="M484" s="981" t="str">
        <f>IF(L484="","",Conc2(L484,L$9,MolVol,L$21,L$20,M$21,M$20))</f>
        <v/>
      </c>
      <c r="N484" s="981" t="str">
        <f>IF(N$17=FALSE,"",GasData(GasAnalyser,'Horiba Data'!AE477,'Testo, JUM &amp; MRU Data'!I478,'Thermo Data'!J477,'Testo, JUM &amp; MRU Data'!S478,GDF))</f>
        <v/>
      </c>
      <c r="O484" s="981" t="str">
        <f>IF(N484="","",Conc2(N484,N$9,MolVol,N$21,N$20,O$21,O$20))</f>
        <v/>
      </c>
      <c r="P484" s="981" t="str">
        <f>IF(P$17=FALSE,"",GasData(GasAnalyser,'Horiba Data'!AI477,'Testo, JUM &amp; MRU Data'!J478,'Thermo Data'!K477,'Testo, JUM &amp; MRU Data'!R478,GDF))</f>
        <v/>
      </c>
      <c r="Q484" s="981" t="str">
        <f>IF(P484="","",Conc2(P484,P$9,MolVol,P$21,P$20,Q$21,Q$20))</f>
        <v/>
      </c>
      <c r="R484" s="981" t="str">
        <f>IF(R$17=FALSE,"",JUMData('Testo, JUM &amp; MRU Data'!M478,$R$7))</f>
        <v/>
      </c>
      <c r="S484" s="982" t="str">
        <f>IF(R484="","",Conc2(R484,R$9,MolVol,R$21,R$20,S$21,S$20)/(1-Bws))</f>
        <v/>
      </c>
      <c r="T484" s="740"/>
      <c r="AR484" s="335"/>
      <c r="AS484" s="335"/>
      <c r="AT484" s="153"/>
      <c r="AU484" s="153"/>
      <c r="AV484" s="153"/>
      <c r="AW484" s="153"/>
      <c r="AX484" s="153"/>
      <c r="AY484" s="153"/>
      <c r="AZ484" s="153"/>
      <c r="BA484" s="153"/>
      <c r="BB484" s="153"/>
      <c r="BC484" s="153"/>
      <c r="BD484" s="153"/>
      <c r="BE484" s="153"/>
      <c r="BF484" s="153"/>
      <c r="BG484" s="153"/>
      <c r="BH484" s="153"/>
      <c r="BI484" s="153"/>
      <c r="BJ484" s="153"/>
      <c r="BK484" s="153"/>
      <c r="BL484" s="153"/>
      <c r="BM484" s="153"/>
      <c r="BN484" s="153"/>
      <c r="BO484" s="153"/>
      <c r="BP484" s="153"/>
      <c r="BQ484" s="153"/>
      <c r="BR484" s="153"/>
      <c r="BS484" s="153"/>
      <c r="BT484" s="153"/>
      <c r="BU484" s="153"/>
      <c r="BV484" s="153"/>
      <c r="BW484" s="153"/>
      <c r="BX484" s="153"/>
      <c r="BY484" s="153"/>
      <c r="BZ484" s="153"/>
      <c r="CA484" s="153"/>
      <c r="CB484" s="153"/>
      <c r="CC484" s="153"/>
      <c r="CD484" s="153"/>
      <c r="CE484" s="153"/>
      <c r="CF484" s="153"/>
      <c r="CG484" s="153"/>
      <c r="CH484" s="153"/>
      <c r="CI484" s="153"/>
      <c r="CJ484" s="153"/>
      <c r="CK484" s="153"/>
      <c r="CL484" s="153"/>
      <c r="CM484" s="153"/>
      <c r="CN484" s="153"/>
      <c r="CO484" s="153"/>
      <c r="CP484" s="153"/>
      <c r="CQ484" s="153"/>
      <c r="CR484" s="153"/>
      <c r="CS484" s="153"/>
      <c r="CT484" s="153"/>
      <c r="CU484" s="153"/>
      <c r="CV484" s="153"/>
      <c r="CW484" s="153"/>
      <c r="CX484" s="153"/>
      <c r="CY484" s="153"/>
      <c r="CZ484" s="153"/>
      <c r="DA484" s="153"/>
      <c r="DB484" s="153"/>
      <c r="DC484" s="153"/>
      <c r="DD484" s="153"/>
      <c r="DE484" s="153"/>
      <c r="DF484" s="153"/>
      <c r="DG484" s="153"/>
      <c r="DH484" s="153"/>
      <c r="DI484" s="153"/>
      <c r="DJ484" s="153"/>
      <c r="DK484" s="153"/>
      <c r="DL484" s="153"/>
      <c r="DM484" s="153"/>
      <c r="DN484" s="153"/>
      <c r="DO484" s="153"/>
      <c r="DP484" s="153"/>
      <c r="DQ484" s="153"/>
      <c r="DR484" s="153"/>
      <c r="DS484" s="153"/>
      <c r="DT484" s="153"/>
      <c r="DU484" s="153"/>
      <c r="DV484" s="153"/>
      <c r="DW484" s="153"/>
      <c r="DX484" s="153"/>
      <c r="DY484" s="153"/>
      <c r="DZ484" s="153"/>
      <c r="EA484" s="153"/>
      <c r="EB484" s="153"/>
      <c r="EC484" s="153"/>
      <c r="ED484" s="153"/>
      <c r="EE484" s="153"/>
      <c r="EF484" s="153"/>
      <c r="EG484" s="153"/>
      <c r="EH484" s="153"/>
      <c r="EI484" s="153"/>
      <c r="EJ484" s="153"/>
      <c r="EK484" s="153"/>
      <c r="EL484" s="153"/>
      <c r="EM484" s="153"/>
    </row>
    <row r="485" spans="1:143" s="107" customFormat="1" ht="10.5" hidden="1" customHeight="1" outlineLevel="2">
      <c r="A485" s="1548">
        <v>460</v>
      </c>
      <c r="B485" s="1560" t="str">
        <f t="shared" si="9"/>
        <v/>
      </c>
      <c r="C485" s="161" t="str">
        <f>GasTime(GasAnalyser,'Horiba Data'!F478,'Horiba Data'!G478,'Testo, JUM &amp; MRU Data'!A479,'Thermo Data'!B478,HourOffset)</f>
        <v/>
      </c>
      <c r="D485" s="981" t="str">
        <f>IF(D$17=FALSE,"",GasData(GasAnalyser,'Horiba Data'!S478,'Testo, JUM &amp; MRU Data'!D479,'Thermo Data'!E478,'Testo, JUM &amp; MRU Data'!U479,GDF))</f>
        <v/>
      </c>
      <c r="E485" s="981" t="str">
        <f>IF(D485="","",Conc2(D485,D$9,MolVol,D$21,D$20,E$21,E$20))</f>
        <v/>
      </c>
      <c r="F485" s="981" t="str">
        <f>IF(F$17=FALSE,"",GasData(GasAnalyser,'Horiba Data'!AQ478,'Testo, JUM &amp; MRU Data'!E479,'Thermo Data'!F478,'Testo, JUM &amp; MRU Data'!V479,GDF))</f>
        <v/>
      </c>
      <c r="G485" s="981" t="str">
        <f>IF(F485="","",Conc2(F485,F$9,MolVol,F$21,F$20,G$21,G$20))</f>
        <v/>
      </c>
      <c r="H485" s="981" t="str">
        <f>IF(D$17=FALSE,"",IF(F$17=FALSE,"",GasData(GasAnalyser,'Horiba Data'!W478,'Testo, JUM &amp; MRU Data'!F479,'Thermo Data'!G478,'Testo, JUM &amp; MRU Data'!Y479,GDF)))</f>
        <v/>
      </c>
      <c r="I485" s="981" t="str">
        <f>IF(H485="","",Conc2(H485,H$9,MolVol,H$21,H$20,I$21,I$20))</f>
        <v/>
      </c>
      <c r="J485" s="981" t="str">
        <f>IF(J$17=FALSE,"",GasData(GasAnalyser,'Horiba Data'!AM478,'Testo, JUM &amp; MRU Data'!G479,'Thermo Data'!H478,'Testo, JUM &amp; MRU Data'!W479,GDF))</f>
        <v/>
      </c>
      <c r="K485" s="981" t="str">
        <f>IF(J485="","",Conc2(J485,J$9,MolVol,J$21,J$20,K$21,K$20))</f>
        <v/>
      </c>
      <c r="L485" s="981" t="str">
        <f>IF(L$17=FALSE,"",GasData(GasAnalyser,'Horiba Data'!AA478,'Testo, JUM &amp; MRU Data'!H479,'Thermo Data'!I478,'Testo, JUM &amp; MRU Data'!T479,GDF))</f>
        <v/>
      </c>
      <c r="M485" s="981" t="str">
        <f>IF(L485="","",Conc2(L485,L$9,MolVol,L$21,L$20,M$21,M$20))</f>
        <v/>
      </c>
      <c r="N485" s="981" t="str">
        <f>IF(N$17=FALSE,"",GasData(GasAnalyser,'Horiba Data'!AE478,'Testo, JUM &amp; MRU Data'!I479,'Thermo Data'!J478,'Testo, JUM &amp; MRU Data'!S479,GDF))</f>
        <v/>
      </c>
      <c r="O485" s="981" t="str">
        <f>IF(N485="","",Conc2(N485,N$9,MolVol,N$21,N$20,O$21,O$20))</f>
        <v/>
      </c>
      <c r="P485" s="981" t="str">
        <f>IF(P$17=FALSE,"",GasData(GasAnalyser,'Horiba Data'!AI478,'Testo, JUM &amp; MRU Data'!J479,'Thermo Data'!K478,'Testo, JUM &amp; MRU Data'!R479,GDF))</f>
        <v/>
      </c>
      <c r="Q485" s="981" t="str">
        <f>IF(P485="","",Conc2(P485,P$9,MolVol,P$21,P$20,Q$21,Q$20))</f>
        <v/>
      </c>
      <c r="R485" s="981" t="str">
        <f>IF(R$17=FALSE,"",JUMData('Testo, JUM &amp; MRU Data'!M479,$R$7))</f>
        <v/>
      </c>
      <c r="S485" s="982" t="str">
        <f>IF(R485="","",Conc2(R485,R$9,MolVol,R$21,R$20,S$21,S$20)/(1-Bws))</f>
        <v/>
      </c>
      <c r="T485" s="740"/>
      <c r="AR485" s="335"/>
      <c r="AS485" s="335"/>
      <c r="AT485" s="153"/>
      <c r="AU485" s="153"/>
      <c r="AV485" s="153"/>
      <c r="AW485" s="153"/>
      <c r="AX485" s="153"/>
      <c r="AY485" s="153"/>
      <c r="AZ485" s="153"/>
      <c r="BA485" s="153"/>
      <c r="BB485" s="153"/>
      <c r="BC485" s="153"/>
      <c r="BD485" s="153"/>
      <c r="BE485" s="153"/>
      <c r="BF485" s="153"/>
      <c r="BG485" s="153"/>
      <c r="BH485" s="153"/>
      <c r="BI485" s="153"/>
      <c r="BJ485" s="153"/>
      <c r="BK485" s="153"/>
      <c r="BL485" s="153"/>
      <c r="BM485" s="153"/>
      <c r="BN485" s="153"/>
      <c r="BO485" s="153"/>
      <c r="BP485" s="153"/>
      <c r="BQ485" s="153"/>
      <c r="BR485" s="153"/>
      <c r="BS485" s="153"/>
      <c r="BT485" s="153"/>
      <c r="BU485" s="153"/>
      <c r="BV485" s="153"/>
      <c r="BW485" s="153"/>
      <c r="BX485" s="153"/>
      <c r="BY485" s="153"/>
      <c r="BZ485" s="153"/>
      <c r="CA485" s="153"/>
      <c r="CB485" s="153"/>
      <c r="CC485" s="153"/>
      <c r="CD485" s="153"/>
      <c r="CE485" s="153"/>
      <c r="CF485" s="153"/>
      <c r="CG485" s="153"/>
      <c r="CH485" s="153"/>
      <c r="CI485" s="153"/>
      <c r="CJ485" s="153"/>
      <c r="CK485" s="153"/>
      <c r="CL485" s="153"/>
      <c r="CM485" s="153"/>
      <c r="CN485" s="153"/>
      <c r="CO485" s="153"/>
      <c r="CP485" s="153"/>
      <c r="CQ485" s="153"/>
      <c r="CR485" s="153"/>
      <c r="CS485" s="153"/>
      <c r="CT485" s="153"/>
      <c r="CU485" s="153"/>
      <c r="CV485" s="153"/>
      <c r="CW485" s="153"/>
      <c r="CX485" s="153"/>
      <c r="CY485" s="153"/>
      <c r="CZ485" s="153"/>
      <c r="DA485" s="153"/>
      <c r="DB485" s="153"/>
      <c r="DC485" s="153"/>
      <c r="DD485" s="153"/>
      <c r="DE485" s="153"/>
      <c r="DF485" s="153"/>
      <c r="DG485" s="153"/>
      <c r="DH485" s="153"/>
      <c r="DI485" s="153"/>
      <c r="DJ485" s="153"/>
      <c r="DK485" s="153"/>
      <c r="DL485" s="153"/>
      <c r="DM485" s="153"/>
      <c r="DN485" s="153"/>
      <c r="DO485" s="153"/>
      <c r="DP485" s="153"/>
      <c r="DQ485" s="153"/>
      <c r="DR485" s="153"/>
      <c r="DS485" s="153"/>
      <c r="DT485" s="153"/>
      <c r="DU485" s="153"/>
      <c r="DV485" s="153"/>
      <c r="DW485" s="153"/>
      <c r="DX485" s="153"/>
      <c r="DY485" s="153"/>
      <c r="DZ485" s="153"/>
      <c r="EA485" s="153"/>
      <c r="EB485" s="153"/>
      <c r="EC485" s="153"/>
      <c r="ED485" s="153"/>
      <c r="EE485" s="153"/>
      <c r="EF485" s="153"/>
      <c r="EG485" s="153"/>
      <c r="EH485" s="153"/>
      <c r="EI485" s="153"/>
      <c r="EJ485" s="153"/>
      <c r="EK485" s="153"/>
      <c r="EL485" s="153"/>
      <c r="EM485" s="153"/>
    </row>
    <row r="486" spans="1:143" s="107" customFormat="1" ht="10.5" hidden="1" customHeight="1" outlineLevel="2">
      <c r="A486" s="1548">
        <v>461</v>
      </c>
      <c r="B486" s="1560" t="str">
        <f t="shared" si="9"/>
        <v/>
      </c>
      <c r="C486" s="161" t="str">
        <f>GasTime(GasAnalyser,'Horiba Data'!F479,'Horiba Data'!G479,'Testo, JUM &amp; MRU Data'!A480,'Thermo Data'!B479,HourOffset)</f>
        <v/>
      </c>
      <c r="D486" s="981" t="str">
        <f>IF(D$17=FALSE,"",GasData(GasAnalyser,'Horiba Data'!S479,'Testo, JUM &amp; MRU Data'!D480,'Thermo Data'!E479,'Testo, JUM &amp; MRU Data'!U480,GDF))</f>
        <v/>
      </c>
      <c r="E486" s="981" t="str">
        <f>IF(D486="","",Conc2(D486,D$9,MolVol,D$21,D$20,E$21,E$20))</f>
        <v/>
      </c>
      <c r="F486" s="981" t="str">
        <f>IF(F$17=FALSE,"",GasData(GasAnalyser,'Horiba Data'!AQ479,'Testo, JUM &amp; MRU Data'!E480,'Thermo Data'!F479,'Testo, JUM &amp; MRU Data'!V480,GDF))</f>
        <v/>
      </c>
      <c r="G486" s="981" t="str">
        <f>IF(F486="","",Conc2(F486,F$9,MolVol,F$21,F$20,G$21,G$20))</f>
        <v/>
      </c>
      <c r="H486" s="981" t="str">
        <f>IF(D$17=FALSE,"",IF(F$17=FALSE,"",GasData(GasAnalyser,'Horiba Data'!W479,'Testo, JUM &amp; MRU Data'!F480,'Thermo Data'!G479,'Testo, JUM &amp; MRU Data'!Y480,GDF)))</f>
        <v/>
      </c>
      <c r="I486" s="981" t="str">
        <f>IF(H486="","",Conc2(H486,H$9,MolVol,H$21,H$20,I$21,I$20))</f>
        <v/>
      </c>
      <c r="J486" s="981" t="str">
        <f>IF(J$17=FALSE,"",GasData(GasAnalyser,'Horiba Data'!AM479,'Testo, JUM &amp; MRU Data'!G480,'Thermo Data'!H479,'Testo, JUM &amp; MRU Data'!W480,GDF))</f>
        <v/>
      </c>
      <c r="K486" s="981" t="str">
        <f>IF(J486="","",Conc2(J486,J$9,MolVol,J$21,J$20,K$21,K$20))</f>
        <v/>
      </c>
      <c r="L486" s="981" t="str">
        <f>IF(L$17=FALSE,"",GasData(GasAnalyser,'Horiba Data'!AA479,'Testo, JUM &amp; MRU Data'!H480,'Thermo Data'!I479,'Testo, JUM &amp; MRU Data'!T480,GDF))</f>
        <v/>
      </c>
      <c r="M486" s="981" t="str">
        <f>IF(L486="","",Conc2(L486,L$9,MolVol,L$21,L$20,M$21,M$20))</f>
        <v/>
      </c>
      <c r="N486" s="981" t="str">
        <f>IF(N$17=FALSE,"",GasData(GasAnalyser,'Horiba Data'!AE479,'Testo, JUM &amp; MRU Data'!I480,'Thermo Data'!J479,'Testo, JUM &amp; MRU Data'!S480,GDF))</f>
        <v/>
      </c>
      <c r="O486" s="981" t="str">
        <f>IF(N486="","",Conc2(N486,N$9,MolVol,N$21,N$20,O$21,O$20))</f>
        <v/>
      </c>
      <c r="P486" s="981" t="str">
        <f>IF(P$17=FALSE,"",GasData(GasAnalyser,'Horiba Data'!AI479,'Testo, JUM &amp; MRU Data'!J480,'Thermo Data'!K479,'Testo, JUM &amp; MRU Data'!R480,GDF))</f>
        <v/>
      </c>
      <c r="Q486" s="981" t="str">
        <f>IF(P486="","",Conc2(P486,P$9,MolVol,P$21,P$20,Q$21,Q$20))</f>
        <v/>
      </c>
      <c r="R486" s="981" t="str">
        <f>IF(R$17=FALSE,"",JUMData('Testo, JUM &amp; MRU Data'!M480,$R$7))</f>
        <v/>
      </c>
      <c r="S486" s="982" t="str">
        <f>IF(R486="","",Conc2(R486,R$9,MolVol,R$21,R$20,S$21,S$20)/(1-Bws))</f>
        <v/>
      </c>
      <c r="T486" s="740"/>
      <c r="AR486" s="335"/>
      <c r="AS486" s="335"/>
      <c r="AT486" s="153"/>
      <c r="AU486" s="153"/>
      <c r="AV486" s="153"/>
      <c r="AW486" s="153"/>
      <c r="AX486" s="153"/>
      <c r="AY486" s="153"/>
      <c r="AZ486" s="153"/>
      <c r="BA486" s="153"/>
      <c r="BB486" s="153"/>
      <c r="BC486" s="153"/>
      <c r="BD486" s="153"/>
      <c r="BE486" s="153"/>
      <c r="BF486" s="153"/>
      <c r="BG486" s="153"/>
      <c r="BH486" s="153"/>
      <c r="BI486" s="153"/>
      <c r="BJ486" s="153"/>
      <c r="BK486" s="153"/>
      <c r="BL486" s="153"/>
      <c r="BM486" s="153"/>
      <c r="BN486" s="153"/>
      <c r="BO486" s="153"/>
      <c r="BP486" s="153"/>
      <c r="BQ486" s="153"/>
      <c r="BR486" s="153"/>
      <c r="BS486" s="153"/>
      <c r="BT486" s="153"/>
      <c r="BU486" s="153"/>
      <c r="BV486" s="153"/>
      <c r="BW486" s="153"/>
      <c r="BX486" s="153"/>
      <c r="BY486" s="153"/>
      <c r="BZ486" s="153"/>
      <c r="CA486" s="153"/>
      <c r="CB486" s="153"/>
      <c r="CC486" s="153"/>
      <c r="CD486" s="153"/>
      <c r="CE486" s="153"/>
      <c r="CF486" s="153"/>
      <c r="CG486" s="153"/>
      <c r="CH486" s="153"/>
      <c r="CI486" s="153"/>
      <c r="CJ486" s="153"/>
      <c r="CK486" s="153"/>
      <c r="CL486" s="153"/>
      <c r="CM486" s="153"/>
      <c r="CN486" s="153"/>
      <c r="CO486" s="153"/>
      <c r="CP486" s="153"/>
      <c r="CQ486" s="153"/>
      <c r="CR486" s="153"/>
      <c r="CS486" s="153"/>
      <c r="CT486" s="153"/>
      <c r="CU486" s="153"/>
      <c r="CV486" s="153"/>
      <c r="CW486" s="153"/>
      <c r="CX486" s="153"/>
      <c r="CY486" s="153"/>
      <c r="CZ486" s="153"/>
      <c r="DA486" s="153"/>
      <c r="DB486" s="153"/>
      <c r="DC486" s="153"/>
      <c r="DD486" s="153"/>
      <c r="DE486" s="153"/>
      <c r="DF486" s="153"/>
      <c r="DG486" s="153"/>
      <c r="DH486" s="153"/>
      <c r="DI486" s="153"/>
      <c r="DJ486" s="153"/>
      <c r="DK486" s="153"/>
      <c r="DL486" s="153"/>
      <c r="DM486" s="153"/>
      <c r="DN486" s="153"/>
      <c r="DO486" s="153"/>
      <c r="DP486" s="153"/>
      <c r="DQ486" s="153"/>
      <c r="DR486" s="153"/>
      <c r="DS486" s="153"/>
      <c r="DT486" s="153"/>
      <c r="DU486" s="153"/>
      <c r="DV486" s="153"/>
      <c r="DW486" s="153"/>
      <c r="DX486" s="153"/>
      <c r="DY486" s="153"/>
      <c r="DZ486" s="153"/>
      <c r="EA486" s="153"/>
      <c r="EB486" s="153"/>
      <c r="EC486" s="153"/>
      <c r="ED486" s="153"/>
      <c r="EE486" s="153"/>
      <c r="EF486" s="153"/>
      <c r="EG486" s="153"/>
      <c r="EH486" s="153"/>
      <c r="EI486" s="153"/>
      <c r="EJ486" s="153"/>
      <c r="EK486" s="153"/>
      <c r="EL486" s="153"/>
      <c r="EM486" s="153"/>
    </row>
    <row r="487" spans="1:143" s="107" customFormat="1" ht="10.5" hidden="1" customHeight="1" outlineLevel="2">
      <c r="A487" s="1548">
        <v>462</v>
      </c>
      <c r="B487" s="1560" t="str">
        <f t="shared" si="9"/>
        <v/>
      </c>
      <c r="C487" s="161" t="str">
        <f>GasTime(GasAnalyser,'Horiba Data'!F480,'Horiba Data'!G480,'Testo, JUM &amp; MRU Data'!A481,'Thermo Data'!B480,HourOffset)</f>
        <v/>
      </c>
      <c r="D487" s="981" t="str">
        <f>IF(D$17=FALSE,"",GasData(GasAnalyser,'Horiba Data'!S480,'Testo, JUM &amp; MRU Data'!D481,'Thermo Data'!E480,'Testo, JUM &amp; MRU Data'!U481,GDF))</f>
        <v/>
      </c>
      <c r="E487" s="981" t="str">
        <f>IF(D487="","",Conc2(D487,D$9,MolVol,D$21,D$20,E$21,E$20))</f>
        <v/>
      </c>
      <c r="F487" s="981" t="str">
        <f>IF(F$17=FALSE,"",GasData(GasAnalyser,'Horiba Data'!AQ480,'Testo, JUM &amp; MRU Data'!E481,'Thermo Data'!F480,'Testo, JUM &amp; MRU Data'!V481,GDF))</f>
        <v/>
      </c>
      <c r="G487" s="981" t="str">
        <f>IF(F487="","",Conc2(F487,F$9,MolVol,F$21,F$20,G$21,G$20))</f>
        <v/>
      </c>
      <c r="H487" s="981" t="str">
        <f>IF(D$17=FALSE,"",IF(F$17=FALSE,"",GasData(GasAnalyser,'Horiba Data'!W480,'Testo, JUM &amp; MRU Data'!F481,'Thermo Data'!G480,'Testo, JUM &amp; MRU Data'!Y481,GDF)))</f>
        <v/>
      </c>
      <c r="I487" s="981" t="str">
        <f>IF(H487="","",Conc2(H487,H$9,MolVol,H$21,H$20,I$21,I$20))</f>
        <v/>
      </c>
      <c r="J487" s="981" t="str">
        <f>IF(J$17=FALSE,"",GasData(GasAnalyser,'Horiba Data'!AM480,'Testo, JUM &amp; MRU Data'!G481,'Thermo Data'!H480,'Testo, JUM &amp; MRU Data'!W481,GDF))</f>
        <v/>
      </c>
      <c r="K487" s="981" t="str">
        <f>IF(J487="","",Conc2(J487,J$9,MolVol,J$21,J$20,K$21,K$20))</f>
        <v/>
      </c>
      <c r="L487" s="981" t="str">
        <f>IF(L$17=FALSE,"",GasData(GasAnalyser,'Horiba Data'!AA480,'Testo, JUM &amp; MRU Data'!H481,'Thermo Data'!I480,'Testo, JUM &amp; MRU Data'!T481,GDF))</f>
        <v/>
      </c>
      <c r="M487" s="981" t="str">
        <f>IF(L487="","",Conc2(L487,L$9,MolVol,L$21,L$20,M$21,M$20))</f>
        <v/>
      </c>
      <c r="N487" s="981" t="str">
        <f>IF(N$17=FALSE,"",GasData(GasAnalyser,'Horiba Data'!AE480,'Testo, JUM &amp; MRU Data'!I481,'Thermo Data'!J480,'Testo, JUM &amp; MRU Data'!S481,GDF))</f>
        <v/>
      </c>
      <c r="O487" s="981" t="str">
        <f>IF(N487="","",Conc2(N487,N$9,MolVol,N$21,N$20,O$21,O$20))</f>
        <v/>
      </c>
      <c r="P487" s="981" t="str">
        <f>IF(P$17=FALSE,"",GasData(GasAnalyser,'Horiba Data'!AI480,'Testo, JUM &amp; MRU Data'!J481,'Thermo Data'!K480,'Testo, JUM &amp; MRU Data'!R481,GDF))</f>
        <v/>
      </c>
      <c r="Q487" s="981" t="str">
        <f>IF(P487="","",Conc2(P487,P$9,MolVol,P$21,P$20,Q$21,Q$20))</f>
        <v/>
      </c>
      <c r="R487" s="981" t="str">
        <f>IF(R$17=FALSE,"",JUMData('Testo, JUM &amp; MRU Data'!M481,$R$7))</f>
        <v/>
      </c>
      <c r="S487" s="982" t="str">
        <f>IF(R487="","",Conc2(R487,R$9,MolVol,R$21,R$20,S$21,S$20)/(1-Bws))</f>
        <v/>
      </c>
      <c r="T487" s="740"/>
      <c r="AR487" s="335"/>
      <c r="AS487" s="335"/>
      <c r="AT487" s="153"/>
      <c r="AU487" s="153"/>
      <c r="AV487" s="153"/>
      <c r="AW487" s="153"/>
      <c r="AX487" s="153"/>
      <c r="AY487" s="153"/>
      <c r="AZ487" s="153"/>
      <c r="BA487" s="153"/>
      <c r="BB487" s="153"/>
      <c r="BC487" s="153"/>
      <c r="BD487" s="153"/>
      <c r="BE487" s="153"/>
      <c r="BF487" s="153"/>
      <c r="BG487" s="153"/>
      <c r="BH487" s="153"/>
      <c r="BI487" s="153"/>
      <c r="BJ487" s="153"/>
      <c r="BK487" s="153"/>
      <c r="BL487" s="153"/>
      <c r="BM487" s="153"/>
      <c r="BN487" s="153"/>
      <c r="BO487" s="153"/>
      <c r="BP487" s="153"/>
      <c r="BQ487" s="153"/>
      <c r="BR487" s="153"/>
      <c r="BS487" s="153"/>
      <c r="BT487" s="153"/>
      <c r="BU487" s="153"/>
      <c r="BV487" s="153"/>
      <c r="BW487" s="153"/>
      <c r="BX487" s="153"/>
      <c r="BY487" s="153"/>
      <c r="BZ487" s="153"/>
      <c r="CA487" s="153"/>
      <c r="CB487" s="153"/>
      <c r="CC487" s="153"/>
      <c r="CD487" s="153"/>
      <c r="CE487" s="153"/>
      <c r="CF487" s="153"/>
      <c r="CG487" s="153"/>
      <c r="CH487" s="153"/>
      <c r="CI487" s="153"/>
      <c r="CJ487" s="153"/>
      <c r="CK487" s="153"/>
      <c r="CL487" s="153"/>
      <c r="CM487" s="153"/>
      <c r="CN487" s="153"/>
      <c r="CO487" s="153"/>
      <c r="CP487" s="153"/>
      <c r="CQ487" s="153"/>
      <c r="CR487" s="153"/>
      <c r="CS487" s="153"/>
      <c r="CT487" s="153"/>
      <c r="CU487" s="153"/>
      <c r="CV487" s="153"/>
      <c r="CW487" s="153"/>
      <c r="CX487" s="153"/>
      <c r="CY487" s="153"/>
      <c r="CZ487" s="153"/>
      <c r="DA487" s="153"/>
      <c r="DB487" s="153"/>
      <c r="DC487" s="153"/>
      <c r="DD487" s="153"/>
      <c r="DE487" s="153"/>
      <c r="DF487" s="153"/>
      <c r="DG487" s="153"/>
      <c r="DH487" s="153"/>
      <c r="DI487" s="153"/>
      <c r="DJ487" s="153"/>
      <c r="DK487" s="153"/>
      <c r="DL487" s="153"/>
      <c r="DM487" s="153"/>
      <c r="DN487" s="153"/>
      <c r="DO487" s="153"/>
      <c r="DP487" s="153"/>
      <c r="DQ487" s="153"/>
      <c r="DR487" s="153"/>
      <c r="DS487" s="153"/>
      <c r="DT487" s="153"/>
      <c r="DU487" s="153"/>
      <c r="DV487" s="153"/>
      <c r="DW487" s="153"/>
      <c r="DX487" s="153"/>
      <c r="DY487" s="153"/>
      <c r="DZ487" s="153"/>
      <c r="EA487" s="153"/>
      <c r="EB487" s="153"/>
      <c r="EC487" s="153"/>
      <c r="ED487" s="153"/>
      <c r="EE487" s="153"/>
      <c r="EF487" s="153"/>
      <c r="EG487" s="153"/>
      <c r="EH487" s="153"/>
      <c r="EI487" s="153"/>
      <c r="EJ487" s="153"/>
      <c r="EK487" s="153"/>
      <c r="EL487" s="153"/>
      <c r="EM487" s="153"/>
    </row>
    <row r="488" spans="1:143" s="107" customFormat="1" ht="10.5" hidden="1" customHeight="1" outlineLevel="2">
      <c r="A488" s="1548">
        <v>463</v>
      </c>
      <c r="B488" s="1560" t="str">
        <f t="shared" si="9"/>
        <v/>
      </c>
      <c r="C488" s="161" t="str">
        <f>GasTime(GasAnalyser,'Horiba Data'!F481,'Horiba Data'!G481,'Testo, JUM &amp; MRU Data'!A482,'Thermo Data'!B481,HourOffset)</f>
        <v/>
      </c>
      <c r="D488" s="981" t="str">
        <f>IF(D$17=FALSE,"",GasData(GasAnalyser,'Horiba Data'!S481,'Testo, JUM &amp; MRU Data'!D482,'Thermo Data'!E481,'Testo, JUM &amp; MRU Data'!U482,GDF))</f>
        <v/>
      </c>
      <c r="E488" s="981" t="str">
        <f>IF(D488="","",Conc2(D488,D$9,MolVol,D$21,D$20,E$21,E$20))</f>
        <v/>
      </c>
      <c r="F488" s="981" t="str">
        <f>IF(F$17=FALSE,"",GasData(GasAnalyser,'Horiba Data'!AQ481,'Testo, JUM &amp; MRU Data'!E482,'Thermo Data'!F481,'Testo, JUM &amp; MRU Data'!V482,GDF))</f>
        <v/>
      </c>
      <c r="G488" s="981" t="str">
        <f>IF(F488="","",Conc2(F488,F$9,MolVol,F$21,F$20,G$21,G$20))</f>
        <v/>
      </c>
      <c r="H488" s="981" t="str">
        <f>IF(D$17=FALSE,"",IF(F$17=FALSE,"",GasData(GasAnalyser,'Horiba Data'!W481,'Testo, JUM &amp; MRU Data'!F482,'Thermo Data'!G481,'Testo, JUM &amp; MRU Data'!Y482,GDF)))</f>
        <v/>
      </c>
      <c r="I488" s="981" t="str">
        <f>IF(H488="","",Conc2(H488,H$9,MolVol,H$21,H$20,I$21,I$20))</f>
        <v/>
      </c>
      <c r="J488" s="981" t="str">
        <f>IF(J$17=FALSE,"",GasData(GasAnalyser,'Horiba Data'!AM481,'Testo, JUM &amp; MRU Data'!G482,'Thermo Data'!H481,'Testo, JUM &amp; MRU Data'!W482,GDF))</f>
        <v/>
      </c>
      <c r="K488" s="981" t="str">
        <f>IF(J488="","",Conc2(J488,J$9,MolVol,J$21,J$20,K$21,K$20))</f>
        <v/>
      </c>
      <c r="L488" s="981" t="str">
        <f>IF(L$17=FALSE,"",GasData(GasAnalyser,'Horiba Data'!AA481,'Testo, JUM &amp; MRU Data'!H482,'Thermo Data'!I481,'Testo, JUM &amp; MRU Data'!T482,GDF))</f>
        <v/>
      </c>
      <c r="M488" s="981" t="str">
        <f>IF(L488="","",Conc2(L488,L$9,MolVol,L$21,L$20,M$21,M$20))</f>
        <v/>
      </c>
      <c r="N488" s="981" t="str">
        <f>IF(N$17=FALSE,"",GasData(GasAnalyser,'Horiba Data'!AE481,'Testo, JUM &amp; MRU Data'!I482,'Thermo Data'!J481,'Testo, JUM &amp; MRU Data'!S482,GDF))</f>
        <v/>
      </c>
      <c r="O488" s="981" t="str">
        <f>IF(N488="","",Conc2(N488,N$9,MolVol,N$21,N$20,O$21,O$20))</f>
        <v/>
      </c>
      <c r="P488" s="981" t="str">
        <f>IF(P$17=FALSE,"",GasData(GasAnalyser,'Horiba Data'!AI481,'Testo, JUM &amp; MRU Data'!J482,'Thermo Data'!K481,'Testo, JUM &amp; MRU Data'!R482,GDF))</f>
        <v/>
      </c>
      <c r="Q488" s="981" t="str">
        <f>IF(P488="","",Conc2(P488,P$9,MolVol,P$21,P$20,Q$21,Q$20))</f>
        <v/>
      </c>
      <c r="R488" s="981" t="str">
        <f>IF(R$17=FALSE,"",JUMData('Testo, JUM &amp; MRU Data'!M482,$R$7))</f>
        <v/>
      </c>
      <c r="S488" s="982" t="str">
        <f>IF(R488="","",Conc2(R488,R$9,MolVol,R$21,R$20,S$21,S$20)/(1-Bws))</f>
        <v/>
      </c>
      <c r="T488" s="740"/>
      <c r="AR488" s="335"/>
      <c r="AS488" s="335"/>
      <c r="AT488" s="153"/>
      <c r="AU488" s="153"/>
      <c r="AV488" s="153"/>
      <c r="AW488" s="153"/>
      <c r="AX488" s="153"/>
      <c r="AY488" s="153"/>
      <c r="AZ488" s="153"/>
      <c r="BA488" s="153"/>
      <c r="BB488" s="153"/>
      <c r="BC488" s="153"/>
      <c r="BD488" s="153"/>
      <c r="BE488" s="153"/>
      <c r="BF488" s="153"/>
      <c r="BG488" s="153"/>
      <c r="BH488" s="153"/>
      <c r="BI488" s="153"/>
      <c r="BJ488" s="153"/>
      <c r="BK488" s="153"/>
      <c r="BL488" s="153"/>
      <c r="BM488" s="153"/>
      <c r="BN488" s="153"/>
      <c r="BO488" s="153"/>
      <c r="BP488" s="153"/>
      <c r="BQ488" s="153"/>
      <c r="BR488" s="153"/>
      <c r="BS488" s="153"/>
      <c r="BT488" s="153"/>
      <c r="BU488" s="153"/>
      <c r="BV488" s="153"/>
      <c r="BW488" s="153"/>
      <c r="BX488" s="153"/>
      <c r="BY488" s="153"/>
      <c r="BZ488" s="153"/>
      <c r="CA488" s="153"/>
      <c r="CB488" s="153"/>
      <c r="CC488" s="153"/>
      <c r="CD488" s="153"/>
      <c r="CE488" s="153"/>
      <c r="CF488" s="153"/>
      <c r="CG488" s="153"/>
      <c r="CH488" s="153"/>
      <c r="CI488" s="153"/>
      <c r="CJ488" s="153"/>
      <c r="CK488" s="153"/>
      <c r="CL488" s="153"/>
      <c r="CM488" s="153"/>
      <c r="CN488" s="153"/>
      <c r="CO488" s="153"/>
      <c r="CP488" s="153"/>
      <c r="CQ488" s="153"/>
      <c r="CR488" s="153"/>
      <c r="CS488" s="153"/>
      <c r="CT488" s="153"/>
      <c r="CU488" s="153"/>
      <c r="CV488" s="153"/>
      <c r="CW488" s="153"/>
      <c r="CX488" s="153"/>
      <c r="CY488" s="153"/>
      <c r="CZ488" s="153"/>
      <c r="DA488" s="153"/>
      <c r="DB488" s="153"/>
      <c r="DC488" s="153"/>
      <c r="DD488" s="153"/>
      <c r="DE488" s="153"/>
      <c r="DF488" s="153"/>
      <c r="DG488" s="153"/>
      <c r="DH488" s="153"/>
      <c r="DI488" s="153"/>
      <c r="DJ488" s="153"/>
      <c r="DK488" s="153"/>
      <c r="DL488" s="153"/>
      <c r="DM488" s="153"/>
      <c r="DN488" s="153"/>
      <c r="DO488" s="153"/>
      <c r="DP488" s="153"/>
      <c r="DQ488" s="153"/>
      <c r="DR488" s="153"/>
      <c r="DS488" s="153"/>
      <c r="DT488" s="153"/>
      <c r="DU488" s="153"/>
      <c r="DV488" s="153"/>
      <c r="DW488" s="153"/>
      <c r="DX488" s="153"/>
      <c r="DY488" s="153"/>
      <c r="DZ488" s="153"/>
      <c r="EA488" s="153"/>
      <c r="EB488" s="153"/>
      <c r="EC488" s="153"/>
      <c r="ED488" s="153"/>
      <c r="EE488" s="153"/>
      <c r="EF488" s="153"/>
      <c r="EG488" s="153"/>
      <c r="EH488" s="153"/>
      <c r="EI488" s="153"/>
      <c r="EJ488" s="153"/>
      <c r="EK488" s="153"/>
      <c r="EL488" s="153"/>
      <c r="EM488" s="153"/>
    </row>
    <row r="489" spans="1:143" s="107" customFormat="1" ht="10.5" hidden="1" customHeight="1" outlineLevel="2">
      <c r="A489" s="1548">
        <v>464</v>
      </c>
      <c r="B489" s="1560" t="str">
        <f t="shared" si="9"/>
        <v/>
      </c>
      <c r="C489" s="161" t="str">
        <f>GasTime(GasAnalyser,'Horiba Data'!F482,'Horiba Data'!G482,'Testo, JUM &amp; MRU Data'!A483,'Thermo Data'!B482,HourOffset)</f>
        <v/>
      </c>
      <c r="D489" s="981" t="str">
        <f>IF(D$17=FALSE,"",GasData(GasAnalyser,'Horiba Data'!S482,'Testo, JUM &amp; MRU Data'!D483,'Thermo Data'!E482,'Testo, JUM &amp; MRU Data'!U483,GDF))</f>
        <v/>
      </c>
      <c r="E489" s="981" t="str">
        <f>IF(D489="","",Conc2(D489,D$9,MolVol,D$21,D$20,E$21,E$20))</f>
        <v/>
      </c>
      <c r="F489" s="981" t="str">
        <f>IF(F$17=FALSE,"",GasData(GasAnalyser,'Horiba Data'!AQ482,'Testo, JUM &amp; MRU Data'!E483,'Thermo Data'!F482,'Testo, JUM &amp; MRU Data'!V483,GDF))</f>
        <v/>
      </c>
      <c r="G489" s="981" t="str">
        <f>IF(F489="","",Conc2(F489,F$9,MolVol,F$21,F$20,G$21,G$20))</f>
        <v/>
      </c>
      <c r="H489" s="981" t="str">
        <f>IF(D$17=FALSE,"",IF(F$17=FALSE,"",GasData(GasAnalyser,'Horiba Data'!W482,'Testo, JUM &amp; MRU Data'!F483,'Thermo Data'!G482,'Testo, JUM &amp; MRU Data'!Y483,GDF)))</f>
        <v/>
      </c>
      <c r="I489" s="981" t="str">
        <f>IF(H489="","",Conc2(H489,H$9,MolVol,H$21,H$20,I$21,I$20))</f>
        <v/>
      </c>
      <c r="J489" s="981" t="str">
        <f>IF(J$17=FALSE,"",GasData(GasAnalyser,'Horiba Data'!AM482,'Testo, JUM &amp; MRU Data'!G483,'Thermo Data'!H482,'Testo, JUM &amp; MRU Data'!W483,GDF))</f>
        <v/>
      </c>
      <c r="K489" s="981" t="str">
        <f>IF(J489="","",Conc2(J489,J$9,MolVol,J$21,J$20,K$21,K$20))</f>
        <v/>
      </c>
      <c r="L489" s="981" t="str">
        <f>IF(L$17=FALSE,"",GasData(GasAnalyser,'Horiba Data'!AA482,'Testo, JUM &amp; MRU Data'!H483,'Thermo Data'!I482,'Testo, JUM &amp; MRU Data'!T483,GDF))</f>
        <v/>
      </c>
      <c r="M489" s="981" t="str">
        <f>IF(L489="","",Conc2(L489,L$9,MolVol,L$21,L$20,M$21,M$20))</f>
        <v/>
      </c>
      <c r="N489" s="981" t="str">
        <f>IF(N$17=FALSE,"",GasData(GasAnalyser,'Horiba Data'!AE482,'Testo, JUM &amp; MRU Data'!I483,'Thermo Data'!J482,'Testo, JUM &amp; MRU Data'!S483,GDF))</f>
        <v/>
      </c>
      <c r="O489" s="981" t="str">
        <f>IF(N489="","",Conc2(N489,N$9,MolVol,N$21,N$20,O$21,O$20))</f>
        <v/>
      </c>
      <c r="P489" s="981" t="str">
        <f>IF(P$17=FALSE,"",GasData(GasAnalyser,'Horiba Data'!AI482,'Testo, JUM &amp; MRU Data'!J483,'Thermo Data'!K482,'Testo, JUM &amp; MRU Data'!R483,GDF))</f>
        <v/>
      </c>
      <c r="Q489" s="981" t="str">
        <f>IF(P489="","",Conc2(P489,P$9,MolVol,P$21,P$20,Q$21,Q$20))</f>
        <v/>
      </c>
      <c r="R489" s="981" t="str">
        <f>IF(R$17=FALSE,"",JUMData('Testo, JUM &amp; MRU Data'!M483,$R$7))</f>
        <v/>
      </c>
      <c r="S489" s="982" t="str">
        <f>IF(R489="","",Conc2(R489,R$9,MolVol,R$21,R$20,S$21,S$20)/(1-Bws))</f>
        <v/>
      </c>
      <c r="T489" s="740"/>
      <c r="AR489" s="335"/>
      <c r="AS489" s="335"/>
      <c r="AT489" s="153"/>
      <c r="AU489" s="153"/>
      <c r="AV489" s="153"/>
      <c r="AW489" s="153"/>
      <c r="AX489" s="153"/>
      <c r="AY489" s="153"/>
      <c r="AZ489" s="153"/>
      <c r="BA489" s="153"/>
      <c r="BB489" s="153"/>
      <c r="BC489" s="153"/>
      <c r="BD489" s="153"/>
      <c r="BE489" s="153"/>
      <c r="BF489" s="153"/>
      <c r="BG489" s="153"/>
      <c r="BH489" s="153"/>
      <c r="BI489" s="153"/>
      <c r="BJ489" s="153"/>
      <c r="BK489" s="153"/>
      <c r="BL489" s="153"/>
      <c r="BM489" s="153"/>
      <c r="BN489" s="153"/>
      <c r="BO489" s="153"/>
      <c r="BP489" s="153"/>
      <c r="BQ489" s="153"/>
      <c r="BR489" s="153"/>
      <c r="BS489" s="153"/>
      <c r="BT489" s="153"/>
      <c r="BU489" s="153"/>
      <c r="BV489" s="153"/>
      <c r="BW489" s="153"/>
      <c r="BX489" s="153"/>
      <c r="BY489" s="153"/>
      <c r="BZ489" s="153"/>
      <c r="CA489" s="153"/>
      <c r="CB489" s="153"/>
      <c r="CC489" s="153"/>
      <c r="CD489" s="153"/>
      <c r="CE489" s="153"/>
      <c r="CF489" s="153"/>
      <c r="CG489" s="153"/>
      <c r="CH489" s="153"/>
      <c r="CI489" s="153"/>
      <c r="CJ489" s="153"/>
      <c r="CK489" s="153"/>
      <c r="CL489" s="153"/>
      <c r="CM489" s="153"/>
      <c r="CN489" s="153"/>
      <c r="CO489" s="153"/>
      <c r="CP489" s="153"/>
      <c r="CQ489" s="153"/>
      <c r="CR489" s="153"/>
      <c r="CS489" s="153"/>
      <c r="CT489" s="153"/>
      <c r="CU489" s="153"/>
      <c r="CV489" s="153"/>
      <c r="CW489" s="153"/>
      <c r="CX489" s="153"/>
      <c r="CY489" s="153"/>
      <c r="CZ489" s="153"/>
      <c r="DA489" s="153"/>
      <c r="DB489" s="153"/>
      <c r="DC489" s="153"/>
      <c r="DD489" s="153"/>
      <c r="DE489" s="153"/>
      <c r="DF489" s="153"/>
      <c r="DG489" s="153"/>
      <c r="DH489" s="153"/>
      <c r="DI489" s="153"/>
      <c r="DJ489" s="153"/>
      <c r="DK489" s="153"/>
      <c r="DL489" s="153"/>
      <c r="DM489" s="153"/>
      <c r="DN489" s="153"/>
      <c r="DO489" s="153"/>
      <c r="DP489" s="153"/>
      <c r="DQ489" s="153"/>
      <c r="DR489" s="153"/>
      <c r="DS489" s="153"/>
      <c r="DT489" s="153"/>
      <c r="DU489" s="153"/>
      <c r="DV489" s="153"/>
      <c r="DW489" s="153"/>
      <c r="DX489" s="153"/>
      <c r="DY489" s="153"/>
      <c r="DZ489" s="153"/>
      <c r="EA489" s="153"/>
      <c r="EB489" s="153"/>
      <c r="EC489" s="153"/>
      <c r="ED489" s="153"/>
      <c r="EE489" s="153"/>
      <c r="EF489" s="153"/>
      <c r="EG489" s="153"/>
      <c r="EH489" s="153"/>
      <c r="EI489" s="153"/>
      <c r="EJ489" s="153"/>
      <c r="EK489" s="153"/>
      <c r="EL489" s="153"/>
      <c r="EM489" s="153"/>
    </row>
    <row r="490" spans="1:143" s="107" customFormat="1" ht="10.5" hidden="1" customHeight="1" outlineLevel="2">
      <c r="A490" s="1548">
        <v>465</v>
      </c>
      <c r="B490" s="1560" t="str">
        <f t="shared" si="9"/>
        <v/>
      </c>
      <c r="C490" s="161" t="str">
        <f>GasTime(GasAnalyser,'Horiba Data'!F483,'Horiba Data'!G483,'Testo, JUM &amp; MRU Data'!A484,'Thermo Data'!B483,HourOffset)</f>
        <v/>
      </c>
      <c r="D490" s="981" t="str">
        <f>IF(D$17=FALSE,"",GasData(GasAnalyser,'Horiba Data'!S483,'Testo, JUM &amp; MRU Data'!D484,'Thermo Data'!E483,'Testo, JUM &amp; MRU Data'!U484,GDF))</f>
        <v/>
      </c>
      <c r="E490" s="981" t="str">
        <f>IF(D490="","",Conc2(D490,D$9,MolVol,D$21,D$20,E$21,E$20))</f>
        <v/>
      </c>
      <c r="F490" s="981" t="str">
        <f>IF(F$17=FALSE,"",GasData(GasAnalyser,'Horiba Data'!AQ483,'Testo, JUM &amp; MRU Data'!E484,'Thermo Data'!F483,'Testo, JUM &amp; MRU Data'!V484,GDF))</f>
        <v/>
      </c>
      <c r="G490" s="981" t="str">
        <f>IF(F490="","",Conc2(F490,F$9,MolVol,F$21,F$20,G$21,G$20))</f>
        <v/>
      </c>
      <c r="H490" s="981" t="str">
        <f>IF(D$17=FALSE,"",IF(F$17=FALSE,"",GasData(GasAnalyser,'Horiba Data'!W483,'Testo, JUM &amp; MRU Data'!F484,'Thermo Data'!G483,'Testo, JUM &amp; MRU Data'!Y484,GDF)))</f>
        <v/>
      </c>
      <c r="I490" s="981" t="str">
        <f>IF(H490="","",Conc2(H490,H$9,MolVol,H$21,H$20,I$21,I$20))</f>
        <v/>
      </c>
      <c r="J490" s="981" t="str">
        <f>IF(J$17=FALSE,"",GasData(GasAnalyser,'Horiba Data'!AM483,'Testo, JUM &amp; MRU Data'!G484,'Thermo Data'!H483,'Testo, JUM &amp; MRU Data'!W484,GDF))</f>
        <v/>
      </c>
      <c r="K490" s="981" t="str">
        <f>IF(J490="","",Conc2(J490,J$9,MolVol,J$21,J$20,K$21,K$20))</f>
        <v/>
      </c>
      <c r="L490" s="981" t="str">
        <f>IF(L$17=FALSE,"",GasData(GasAnalyser,'Horiba Data'!AA483,'Testo, JUM &amp; MRU Data'!H484,'Thermo Data'!I483,'Testo, JUM &amp; MRU Data'!T484,GDF))</f>
        <v/>
      </c>
      <c r="M490" s="981" t="str">
        <f>IF(L490="","",Conc2(L490,L$9,MolVol,L$21,L$20,M$21,M$20))</f>
        <v/>
      </c>
      <c r="N490" s="981" t="str">
        <f>IF(N$17=FALSE,"",GasData(GasAnalyser,'Horiba Data'!AE483,'Testo, JUM &amp; MRU Data'!I484,'Thermo Data'!J483,'Testo, JUM &amp; MRU Data'!S484,GDF))</f>
        <v/>
      </c>
      <c r="O490" s="981" t="str">
        <f>IF(N490="","",Conc2(N490,N$9,MolVol,N$21,N$20,O$21,O$20))</f>
        <v/>
      </c>
      <c r="P490" s="981" t="str">
        <f>IF(P$17=FALSE,"",GasData(GasAnalyser,'Horiba Data'!AI483,'Testo, JUM &amp; MRU Data'!J484,'Thermo Data'!K483,'Testo, JUM &amp; MRU Data'!R484,GDF))</f>
        <v/>
      </c>
      <c r="Q490" s="981" t="str">
        <f>IF(P490="","",Conc2(P490,P$9,MolVol,P$21,P$20,Q$21,Q$20))</f>
        <v/>
      </c>
      <c r="R490" s="981" t="str">
        <f>IF(R$17=FALSE,"",JUMData('Testo, JUM &amp; MRU Data'!M484,$R$7))</f>
        <v/>
      </c>
      <c r="S490" s="982" t="str">
        <f>IF(R490="","",Conc2(R490,R$9,MolVol,R$21,R$20,S$21,S$20)/(1-Bws))</f>
        <v/>
      </c>
      <c r="T490" s="740"/>
      <c r="AR490" s="335"/>
      <c r="AS490" s="335"/>
      <c r="AT490" s="153"/>
      <c r="AU490" s="153"/>
      <c r="AV490" s="153"/>
      <c r="AW490" s="153"/>
      <c r="AX490" s="153"/>
      <c r="AY490" s="153"/>
      <c r="AZ490" s="153"/>
      <c r="BA490" s="153"/>
      <c r="BB490" s="153"/>
      <c r="BC490" s="153"/>
      <c r="BD490" s="153"/>
      <c r="BE490" s="153"/>
      <c r="BF490" s="153"/>
      <c r="BG490" s="153"/>
      <c r="BH490" s="153"/>
      <c r="BI490" s="153"/>
      <c r="BJ490" s="153"/>
      <c r="BK490" s="153"/>
      <c r="BL490" s="153"/>
      <c r="BM490" s="153"/>
      <c r="BN490" s="153"/>
      <c r="BO490" s="153"/>
      <c r="BP490" s="153"/>
      <c r="BQ490" s="153"/>
      <c r="BR490" s="153"/>
      <c r="BS490" s="153"/>
      <c r="BT490" s="153"/>
      <c r="BU490" s="153"/>
      <c r="BV490" s="153"/>
      <c r="BW490" s="153"/>
      <c r="BX490" s="153"/>
      <c r="BY490" s="153"/>
      <c r="BZ490" s="153"/>
      <c r="CA490" s="153"/>
      <c r="CB490" s="153"/>
      <c r="CC490" s="153"/>
      <c r="CD490" s="153"/>
      <c r="CE490" s="153"/>
      <c r="CF490" s="153"/>
      <c r="CG490" s="153"/>
      <c r="CH490" s="153"/>
      <c r="CI490" s="153"/>
      <c r="CJ490" s="153"/>
      <c r="CK490" s="153"/>
      <c r="CL490" s="153"/>
      <c r="CM490" s="153"/>
      <c r="CN490" s="153"/>
      <c r="CO490" s="153"/>
      <c r="CP490" s="153"/>
      <c r="CQ490" s="153"/>
      <c r="CR490" s="153"/>
      <c r="CS490" s="153"/>
      <c r="CT490" s="153"/>
      <c r="CU490" s="153"/>
      <c r="CV490" s="153"/>
      <c r="CW490" s="153"/>
      <c r="CX490" s="153"/>
      <c r="CY490" s="153"/>
      <c r="CZ490" s="153"/>
      <c r="DA490" s="153"/>
      <c r="DB490" s="153"/>
      <c r="DC490" s="153"/>
      <c r="DD490" s="153"/>
      <c r="DE490" s="153"/>
      <c r="DF490" s="153"/>
      <c r="DG490" s="153"/>
      <c r="DH490" s="153"/>
      <c r="DI490" s="153"/>
      <c r="DJ490" s="153"/>
      <c r="DK490" s="153"/>
      <c r="DL490" s="153"/>
      <c r="DM490" s="153"/>
      <c r="DN490" s="153"/>
      <c r="DO490" s="153"/>
      <c r="DP490" s="153"/>
      <c r="DQ490" s="153"/>
      <c r="DR490" s="153"/>
      <c r="DS490" s="153"/>
      <c r="DT490" s="153"/>
      <c r="DU490" s="153"/>
      <c r="DV490" s="153"/>
      <c r="DW490" s="153"/>
      <c r="DX490" s="153"/>
      <c r="DY490" s="153"/>
      <c r="DZ490" s="153"/>
      <c r="EA490" s="153"/>
      <c r="EB490" s="153"/>
      <c r="EC490" s="153"/>
      <c r="ED490" s="153"/>
      <c r="EE490" s="153"/>
      <c r="EF490" s="153"/>
      <c r="EG490" s="153"/>
      <c r="EH490" s="153"/>
      <c r="EI490" s="153"/>
      <c r="EJ490" s="153"/>
      <c r="EK490" s="153"/>
      <c r="EL490" s="153"/>
      <c r="EM490" s="153"/>
    </row>
    <row r="491" spans="1:143" s="107" customFormat="1" ht="10.5" hidden="1" customHeight="1" outlineLevel="2">
      <c r="A491" s="1548">
        <v>466</v>
      </c>
      <c r="B491" s="1560" t="str">
        <f t="shared" si="9"/>
        <v/>
      </c>
      <c r="C491" s="161" t="str">
        <f>GasTime(GasAnalyser,'Horiba Data'!F484,'Horiba Data'!G484,'Testo, JUM &amp; MRU Data'!A485,'Thermo Data'!B484,HourOffset)</f>
        <v/>
      </c>
      <c r="D491" s="981" t="str">
        <f>IF(D$17=FALSE,"",GasData(GasAnalyser,'Horiba Data'!S484,'Testo, JUM &amp; MRU Data'!D485,'Thermo Data'!E484,'Testo, JUM &amp; MRU Data'!U485,GDF))</f>
        <v/>
      </c>
      <c r="E491" s="981" t="str">
        <f>IF(D491="","",Conc2(D491,D$9,MolVol,D$21,D$20,E$21,E$20))</f>
        <v/>
      </c>
      <c r="F491" s="981" t="str">
        <f>IF(F$17=FALSE,"",GasData(GasAnalyser,'Horiba Data'!AQ484,'Testo, JUM &amp; MRU Data'!E485,'Thermo Data'!F484,'Testo, JUM &amp; MRU Data'!V485,GDF))</f>
        <v/>
      </c>
      <c r="G491" s="981" t="str">
        <f>IF(F491="","",Conc2(F491,F$9,MolVol,F$21,F$20,G$21,G$20))</f>
        <v/>
      </c>
      <c r="H491" s="981" t="str">
        <f>IF(D$17=FALSE,"",IF(F$17=FALSE,"",GasData(GasAnalyser,'Horiba Data'!W484,'Testo, JUM &amp; MRU Data'!F485,'Thermo Data'!G484,'Testo, JUM &amp; MRU Data'!Y485,GDF)))</f>
        <v/>
      </c>
      <c r="I491" s="981" t="str">
        <f>IF(H491="","",Conc2(H491,H$9,MolVol,H$21,H$20,I$21,I$20))</f>
        <v/>
      </c>
      <c r="J491" s="981" t="str">
        <f>IF(J$17=FALSE,"",GasData(GasAnalyser,'Horiba Data'!AM484,'Testo, JUM &amp; MRU Data'!G485,'Thermo Data'!H484,'Testo, JUM &amp; MRU Data'!W485,GDF))</f>
        <v/>
      </c>
      <c r="K491" s="981" t="str">
        <f>IF(J491="","",Conc2(J491,J$9,MolVol,J$21,J$20,K$21,K$20))</f>
        <v/>
      </c>
      <c r="L491" s="981" t="str">
        <f>IF(L$17=FALSE,"",GasData(GasAnalyser,'Horiba Data'!AA484,'Testo, JUM &amp; MRU Data'!H485,'Thermo Data'!I484,'Testo, JUM &amp; MRU Data'!T485,GDF))</f>
        <v/>
      </c>
      <c r="M491" s="981" t="str">
        <f>IF(L491="","",Conc2(L491,L$9,MolVol,L$21,L$20,M$21,M$20))</f>
        <v/>
      </c>
      <c r="N491" s="981" t="str">
        <f>IF(N$17=FALSE,"",GasData(GasAnalyser,'Horiba Data'!AE484,'Testo, JUM &amp; MRU Data'!I485,'Thermo Data'!J484,'Testo, JUM &amp; MRU Data'!S485,GDF))</f>
        <v/>
      </c>
      <c r="O491" s="981" t="str">
        <f>IF(N491="","",Conc2(N491,N$9,MolVol,N$21,N$20,O$21,O$20))</f>
        <v/>
      </c>
      <c r="P491" s="981" t="str">
        <f>IF(P$17=FALSE,"",GasData(GasAnalyser,'Horiba Data'!AI484,'Testo, JUM &amp; MRU Data'!J485,'Thermo Data'!K484,'Testo, JUM &amp; MRU Data'!R485,GDF))</f>
        <v/>
      </c>
      <c r="Q491" s="981" t="str">
        <f>IF(P491="","",Conc2(P491,P$9,MolVol,P$21,P$20,Q$21,Q$20))</f>
        <v/>
      </c>
      <c r="R491" s="981" t="str">
        <f>IF(R$17=FALSE,"",JUMData('Testo, JUM &amp; MRU Data'!M485,$R$7))</f>
        <v/>
      </c>
      <c r="S491" s="982" t="str">
        <f>IF(R491="","",Conc2(R491,R$9,MolVol,R$21,R$20,S$21,S$20)/(1-Bws))</f>
        <v/>
      </c>
      <c r="T491" s="740"/>
      <c r="AR491" s="335"/>
      <c r="AS491" s="335"/>
      <c r="AT491" s="153"/>
      <c r="AU491" s="153"/>
      <c r="AV491" s="153"/>
      <c r="AW491" s="153"/>
      <c r="AX491" s="153"/>
      <c r="AY491" s="153"/>
      <c r="AZ491" s="153"/>
      <c r="BA491" s="153"/>
      <c r="BB491" s="153"/>
      <c r="BC491" s="153"/>
      <c r="BD491" s="153"/>
      <c r="BE491" s="153"/>
      <c r="BF491" s="153"/>
      <c r="BG491" s="153"/>
      <c r="BH491" s="153"/>
      <c r="BI491" s="153"/>
      <c r="BJ491" s="153"/>
      <c r="BK491" s="153"/>
      <c r="BL491" s="153"/>
      <c r="BM491" s="153"/>
      <c r="BN491" s="153"/>
      <c r="BO491" s="153"/>
      <c r="BP491" s="153"/>
      <c r="BQ491" s="153"/>
      <c r="BR491" s="153"/>
      <c r="BS491" s="153"/>
      <c r="BT491" s="153"/>
      <c r="BU491" s="153"/>
      <c r="BV491" s="153"/>
      <c r="BW491" s="153"/>
      <c r="BX491" s="153"/>
      <c r="BY491" s="153"/>
      <c r="BZ491" s="153"/>
      <c r="CA491" s="153"/>
      <c r="CB491" s="153"/>
      <c r="CC491" s="153"/>
      <c r="CD491" s="153"/>
      <c r="CE491" s="153"/>
      <c r="CF491" s="153"/>
      <c r="CG491" s="153"/>
      <c r="CH491" s="153"/>
      <c r="CI491" s="153"/>
      <c r="CJ491" s="153"/>
      <c r="CK491" s="153"/>
      <c r="CL491" s="153"/>
      <c r="CM491" s="153"/>
      <c r="CN491" s="153"/>
      <c r="CO491" s="153"/>
      <c r="CP491" s="153"/>
      <c r="CQ491" s="153"/>
      <c r="CR491" s="153"/>
      <c r="CS491" s="153"/>
      <c r="CT491" s="153"/>
      <c r="CU491" s="153"/>
      <c r="CV491" s="153"/>
      <c r="CW491" s="153"/>
      <c r="CX491" s="153"/>
      <c r="CY491" s="153"/>
      <c r="CZ491" s="153"/>
      <c r="DA491" s="153"/>
      <c r="DB491" s="153"/>
      <c r="DC491" s="153"/>
      <c r="DD491" s="153"/>
      <c r="DE491" s="153"/>
      <c r="DF491" s="153"/>
      <c r="DG491" s="153"/>
      <c r="DH491" s="153"/>
      <c r="DI491" s="153"/>
      <c r="DJ491" s="153"/>
      <c r="DK491" s="153"/>
      <c r="DL491" s="153"/>
      <c r="DM491" s="153"/>
      <c r="DN491" s="153"/>
      <c r="DO491" s="153"/>
      <c r="DP491" s="153"/>
      <c r="DQ491" s="153"/>
      <c r="DR491" s="153"/>
      <c r="DS491" s="153"/>
      <c r="DT491" s="153"/>
      <c r="DU491" s="153"/>
      <c r="DV491" s="153"/>
      <c r="DW491" s="153"/>
      <c r="DX491" s="153"/>
      <c r="DY491" s="153"/>
      <c r="DZ491" s="153"/>
      <c r="EA491" s="153"/>
      <c r="EB491" s="153"/>
      <c r="EC491" s="153"/>
      <c r="ED491" s="153"/>
      <c r="EE491" s="153"/>
      <c r="EF491" s="153"/>
      <c r="EG491" s="153"/>
      <c r="EH491" s="153"/>
      <c r="EI491" s="153"/>
      <c r="EJ491" s="153"/>
      <c r="EK491" s="153"/>
      <c r="EL491" s="153"/>
      <c r="EM491" s="153"/>
    </row>
    <row r="492" spans="1:143" s="107" customFormat="1" ht="10.5" hidden="1" customHeight="1" outlineLevel="2">
      <c r="A492" s="1548">
        <v>467</v>
      </c>
      <c r="B492" s="1560" t="str">
        <f t="shared" si="9"/>
        <v/>
      </c>
      <c r="C492" s="161" t="str">
        <f>GasTime(GasAnalyser,'Horiba Data'!F485,'Horiba Data'!G485,'Testo, JUM &amp; MRU Data'!A486,'Thermo Data'!B485,HourOffset)</f>
        <v/>
      </c>
      <c r="D492" s="981" t="str">
        <f>IF(D$17=FALSE,"",GasData(GasAnalyser,'Horiba Data'!S485,'Testo, JUM &amp; MRU Data'!D486,'Thermo Data'!E485,'Testo, JUM &amp; MRU Data'!U486,GDF))</f>
        <v/>
      </c>
      <c r="E492" s="981" t="str">
        <f>IF(D492="","",Conc2(D492,D$9,MolVol,D$21,D$20,E$21,E$20))</f>
        <v/>
      </c>
      <c r="F492" s="981" t="str">
        <f>IF(F$17=FALSE,"",GasData(GasAnalyser,'Horiba Data'!AQ485,'Testo, JUM &amp; MRU Data'!E486,'Thermo Data'!F485,'Testo, JUM &amp; MRU Data'!V486,GDF))</f>
        <v/>
      </c>
      <c r="G492" s="981" t="str">
        <f>IF(F492="","",Conc2(F492,F$9,MolVol,F$21,F$20,G$21,G$20))</f>
        <v/>
      </c>
      <c r="H492" s="981" t="str">
        <f>IF(D$17=FALSE,"",IF(F$17=FALSE,"",GasData(GasAnalyser,'Horiba Data'!W485,'Testo, JUM &amp; MRU Data'!F486,'Thermo Data'!G485,'Testo, JUM &amp; MRU Data'!Y486,GDF)))</f>
        <v/>
      </c>
      <c r="I492" s="981" t="str">
        <f>IF(H492="","",Conc2(H492,H$9,MolVol,H$21,H$20,I$21,I$20))</f>
        <v/>
      </c>
      <c r="J492" s="981" t="str">
        <f>IF(J$17=FALSE,"",GasData(GasAnalyser,'Horiba Data'!AM485,'Testo, JUM &amp; MRU Data'!G486,'Thermo Data'!H485,'Testo, JUM &amp; MRU Data'!W486,GDF))</f>
        <v/>
      </c>
      <c r="K492" s="981" t="str">
        <f>IF(J492="","",Conc2(J492,J$9,MolVol,J$21,J$20,K$21,K$20))</f>
        <v/>
      </c>
      <c r="L492" s="981" t="str">
        <f>IF(L$17=FALSE,"",GasData(GasAnalyser,'Horiba Data'!AA485,'Testo, JUM &amp; MRU Data'!H486,'Thermo Data'!I485,'Testo, JUM &amp; MRU Data'!T486,GDF))</f>
        <v/>
      </c>
      <c r="M492" s="981" t="str">
        <f>IF(L492="","",Conc2(L492,L$9,MolVol,L$21,L$20,M$21,M$20))</f>
        <v/>
      </c>
      <c r="N492" s="981" t="str">
        <f>IF(N$17=FALSE,"",GasData(GasAnalyser,'Horiba Data'!AE485,'Testo, JUM &amp; MRU Data'!I486,'Thermo Data'!J485,'Testo, JUM &amp; MRU Data'!S486,GDF))</f>
        <v/>
      </c>
      <c r="O492" s="981" t="str">
        <f>IF(N492="","",Conc2(N492,N$9,MolVol,N$21,N$20,O$21,O$20))</f>
        <v/>
      </c>
      <c r="P492" s="981" t="str">
        <f>IF(P$17=FALSE,"",GasData(GasAnalyser,'Horiba Data'!AI485,'Testo, JUM &amp; MRU Data'!J486,'Thermo Data'!K485,'Testo, JUM &amp; MRU Data'!R486,GDF))</f>
        <v/>
      </c>
      <c r="Q492" s="981" t="str">
        <f>IF(P492="","",Conc2(P492,P$9,MolVol,P$21,P$20,Q$21,Q$20))</f>
        <v/>
      </c>
      <c r="R492" s="981" t="str">
        <f>IF(R$17=FALSE,"",JUMData('Testo, JUM &amp; MRU Data'!M486,$R$7))</f>
        <v/>
      </c>
      <c r="S492" s="982" t="str">
        <f>IF(R492="","",Conc2(R492,R$9,MolVol,R$21,R$20,S$21,S$20)/(1-Bws))</f>
        <v/>
      </c>
      <c r="T492" s="740"/>
      <c r="AR492" s="335"/>
      <c r="AS492" s="335"/>
      <c r="AT492" s="153"/>
      <c r="AU492" s="153"/>
      <c r="AV492" s="153"/>
      <c r="AW492" s="153"/>
      <c r="AX492" s="153"/>
      <c r="AY492" s="153"/>
      <c r="AZ492" s="153"/>
      <c r="BA492" s="153"/>
      <c r="BB492" s="153"/>
      <c r="BC492" s="153"/>
      <c r="BD492" s="153"/>
      <c r="BE492" s="153"/>
      <c r="BF492" s="153"/>
      <c r="BG492" s="153"/>
      <c r="BH492" s="153"/>
      <c r="BI492" s="153"/>
      <c r="BJ492" s="153"/>
      <c r="BK492" s="153"/>
      <c r="BL492" s="153"/>
      <c r="BM492" s="153"/>
      <c r="BN492" s="153"/>
      <c r="BO492" s="153"/>
      <c r="BP492" s="153"/>
      <c r="BQ492" s="153"/>
      <c r="BR492" s="153"/>
      <c r="BS492" s="153"/>
      <c r="BT492" s="153"/>
      <c r="BU492" s="153"/>
      <c r="BV492" s="153"/>
      <c r="BW492" s="153"/>
      <c r="BX492" s="153"/>
      <c r="BY492" s="153"/>
      <c r="BZ492" s="153"/>
      <c r="CA492" s="153"/>
      <c r="CB492" s="153"/>
      <c r="CC492" s="153"/>
      <c r="CD492" s="153"/>
      <c r="CE492" s="153"/>
      <c r="CF492" s="153"/>
      <c r="CG492" s="153"/>
      <c r="CH492" s="153"/>
      <c r="CI492" s="153"/>
      <c r="CJ492" s="153"/>
      <c r="CK492" s="153"/>
      <c r="CL492" s="153"/>
      <c r="CM492" s="153"/>
      <c r="CN492" s="153"/>
      <c r="CO492" s="153"/>
      <c r="CP492" s="153"/>
      <c r="CQ492" s="153"/>
      <c r="CR492" s="153"/>
      <c r="CS492" s="153"/>
      <c r="CT492" s="153"/>
      <c r="CU492" s="153"/>
      <c r="CV492" s="153"/>
      <c r="CW492" s="153"/>
      <c r="CX492" s="153"/>
      <c r="CY492" s="153"/>
      <c r="CZ492" s="153"/>
      <c r="DA492" s="153"/>
      <c r="DB492" s="153"/>
      <c r="DC492" s="153"/>
      <c r="DD492" s="153"/>
      <c r="DE492" s="153"/>
      <c r="DF492" s="153"/>
      <c r="DG492" s="153"/>
      <c r="DH492" s="153"/>
      <c r="DI492" s="153"/>
      <c r="DJ492" s="153"/>
      <c r="DK492" s="153"/>
      <c r="DL492" s="153"/>
      <c r="DM492" s="153"/>
      <c r="DN492" s="153"/>
      <c r="DO492" s="153"/>
      <c r="DP492" s="153"/>
      <c r="DQ492" s="153"/>
      <c r="DR492" s="153"/>
      <c r="DS492" s="153"/>
      <c r="DT492" s="153"/>
      <c r="DU492" s="153"/>
      <c r="DV492" s="153"/>
      <c r="DW492" s="153"/>
      <c r="DX492" s="153"/>
      <c r="DY492" s="153"/>
      <c r="DZ492" s="153"/>
      <c r="EA492" s="153"/>
      <c r="EB492" s="153"/>
      <c r="EC492" s="153"/>
      <c r="ED492" s="153"/>
      <c r="EE492" s="153"/>
      <c r="EF492" s="153"/>
      <c r="EG492" s="153"/>
      <c r="EH492" s="153"/>
      <c r="EI492" s="153"/>
      <c r="EJ492" s="153"/>
      <c r="EK492" s="153"/>
      <c r="EL492" s="153"/>
      <c r="EM492" s="153"/>
    </row>
    <row r="493" spans="1:143" s="107" customFormat="1" ht="10.5" hidden="1" customHeight="1" outlineLevel="2">
      <c r="A493" s="1548">
        <v>468</v>
      </c>
      <c r="B493" s="1560" t="str">
        <f t="shared" si="9"/>
        <v/>
      </c>
      <c r="C493" s="161" t="str">
        <f>GasTime(GasAnalyser,'Horiba Data'!F486,'Horiba Data'!G486,'Testo, JUM &amp; MRU Data'!A487,'Thermo Data'!B486,HourOffset)</f>
        <v/>
      </c>
      <c r="D493" s="981" t="str">
        <f>IF(D$17=FALSE,"",GasData(GasAnalyser,'Horiba Data'!S486,'Testo, JUM &amp; MRU Data'!D487,'Thermo Data'!E486,'Testo, JUM &amp; MRU Data'!U487,GDF))</f>
        <v/>
      </c>
      <c r="E493" s="981" t="str">
        <f>IF(D493="","",Conc2(D493,D$9,MolVol,D$21,D$20,E$21,E$20))</f>
        <v/>
      </c>
      <c r="F493" s="981" t="str">
        <f>IF(F$17=FALSE,"",GasData(GasAnalyser,'Horiba Data'!AQ486,'Testo, JUM &amp; MRU Data'!E487,'Thermo Data'!F486,'Testo, JUM &amp; MRU Data'!V487,GDF))</f>
        <v/>
      </c>
      <c r="G493" s="981" t="str">
        <f>IF(F493="","",Conc2(F493,F$9,MolVol,F$21,F$20,G$21,G$20))</f>
        <v/>
      </c>
      <c r="H493" s="981" t="str">
        <f>IF(D$17=FALSE,"",IF(F$17=FALSE,"",GasData(GasAnalyser,'Horiba Data'!W486,'Testo, JUM &amp; MRU Data'!F487,'Thermo Data'!G486,'Testo, JUM &amp; MRU Data'!Y487,GDF)))</f>
        <v/>
      </c>
      <c r="I493" s="981" t="str">
        <f>IF(H493="","",Conc2(H493,H$9,MolVol,H$21,H$20,I$21,I$20))</f>
        <v/>
      </c>
      <c r="J493" s="981" t="str">
        <f>IF(J$17=FALSE,"",GasData(GasAnalyser,'Horiba Data'!AM486,'Testo, JUM &amp; MRU Data'!G487,'Thermo Data'!H486,'Testo, JUM &amp; MRU Data'!W487,GDF))</f>
        <v/>
      </c>
      <c r="K493" s="981" t="str">
        <f>IF(J493="","",Conc2(J493,J$9,MolVol,J$21,J$20,K$21,K$20))</f>
        <v/>
      </c>
      <c r="L493" s="981" t="str">
        <f>IF(L$17=FALSE,"",GasData(GasAnalyser,'Horiba Data'!AA486,'Testo, JUM &amp; MRU Data'!H487,'Thermo Data'!I486,'Testo, JUM &amp; MRU Data'!T487,GDF))</f>
        <v/>
      </c>
      <c r="M493" s="981" t="str">
        <f>IF(L493="","",Conc2(L493,L$9,MolVol,L$21,L$20,M$21,M$20))</f>
        <v/>
      </c>
      <c r="N493" s="981" t="str">
        <f>IF(N$17=FALSE,"",GasData(GasAnalyser,'Horiba Data'!AE486,'Testo, JUM &amp; MRU Data'!I487,'Thermo Data'!J486,'Testo, JUM &amp; MRU Data'!S487,GDF))</f>
        <v/>
      </c>
      <c r="O493" s="981" t="str">
        <f>IF(N493="","",Conc2(N493,N$9,MolVol,N$21,N$20,O$21,O$20))</f>
        <v/>
      </c>
      <c r="P493" s="981" t="str">
        <f>IF(P$17=FALSE,"",GasData(GasAnalyser,'Horiba Data'!AI486,'Testo, JUM &amp; MRU Data'!J487,'Thermo Data'!K486,'Testo, JUM &amp; MRU Data'!R487,GDF))</f>
        <v/>
      </c>
      <c r="Q493" s="981" t="str">
        <f>IF(P493="","",Conc2(P493,P$9,MolVol,P$21,P$20,Q$21,Q$20))</f>
        <v/>
      </c>
      <c r="R493" s="981" t="str">
        <f>IF(R$17=FALSE,"",JUMData('Testo, JUM &amp; MRU Data'!M487,$R$7))</f>
        <v/>
      </c>
      <c r="S493" s="982" t="str">
        <f>IF(R493="","",Conc2(R493,R$9,MolVol,R$21,R$20,S$21,S$20)/(1-Bws))</f>
        <v/>
      </c>
      <c r="T493" s="740"/>
      <c r="AR493" s="335"/>
      <c r="AS493" s="335"/>
      <c r="AT493" s="153"/>
      <c r="AU493" s="153"/>
      <c r="AV493" s="153"/>
      <c r="AW493" s="153"/>
      <c r="AX493" s="153"/>
      <c r="AY493" s="153"/>
      <c r="AZ493" s="153"/>
      <c r="BA493" s="153"/>
      <c r="BB493" s="153"/>
      <c r="BC493" s="153"/>
      <c r="BD493" s="153"/>
      <c r="BE493" s="153"/>
      <c r="BF493" s="153"/>
      <c r="BG493" s="153"/>
      <c r="BH493" s="153"/>
      <c r="BI493" s="153"/>
      <c r="BJ493" s="153"/>
      <c r="BK493" s="153"/>
      <c r="BL493" s="153"/>
      <c r="BM493" s="153"/>
      <c r="BN493" s="153"/>
      <c r="BO493" s="153"/>
      <c r="BP493" s="153"/>
      <c r="BQ493" s="153"/>
      <c r="BR493" s="153"/>
      <c r="BS493" s="153"/>
      <c r="BT493" s="153"/>
      <c r="BU493" s="153"/>
      <c r="BV493" s="153"/>
      <c r="BW493" s="153"/>
      <c r="BX493" s="153"/>
      <c r="BY493" s="153"/>
      <c r="BZ493" s="153"/>
      <c r="CA493" s="153"/>
      <c r="CB493" s="153"/>
      <c r="CC493" s="153"/>
      <c r="CD493" s="153"/>
      <c r="CE493" s="153"/>
      <c r="CF493" s="153"/>
      <c r="CG493" s="153"/>
      <c r="CH493" s="153"/>
      <c r="CI493" s="153"/>
      <c r="CJ493" s="153"/>
      <c r="CK493" s="153"/>
      <c r="CL493" s="153"/>
      <c r="CM493" s="153"/>
      <c r="CN493" s="153"/>
      <c r="CO493" s="153"/>
      <c r="CP493" s="153"/>
      <c r="CQ493" s="153"/>
      <c r="CR493" s="153"/>
      <c r="CS493" s="153"/>
      <c r="CT493" s="153"/>
      <c r="CU493" s="153"/>
      <c r="CV493" s="153"/>
      <c r="CW493" s="153"/>
      <c r="CX493" s="153"/>
      <c r="CY493" s="153"/>
      <c r="CZ493" s="153"/>
      <c r="DA493" s="153"/>
      <c r="DB493" s="153"/>
      <c r="DC493" s="153"/>
      <c r="DD493" s="153"/>
      <c r="DE493" s="153"/>
      <c r="DF493" s="153"/>
      <c r="DG493" s="153"/>
      <c r="DH493" s="153"/>
      <c r="DI493" s="153"/>
      <c r="DJ493" s="153"/>
      <c r="DK493" s="153"/>
      <c r="DL493" s="153"/>
      <c r="DM493" s="153"/>
      <c r="DN493" s="153"/>
      <c r="DO493" s="153"/>
      <c r="DP493" s="153"/>
      <c r="DQ493" s="153"/>
      <c r="DR493" s="153"/>
      <c r="DS493" s="153"/>
      <c r="DT493" s="153"/>
      <c r="DU493" s="153"/>
      <c r="DV493" s="153"/>
      <c r="DW493" s="153"/>
      <c r="DX493" s="153"/>
      <c r="DY493" s="153"/>
      <c r="DZ493" s="153"/>
      <c r="EA493" s="153"/>
      <c r="EB493" s="153"/>
      <c r="EC493" s="153"/>
      <c r="ED493" s="153"/>
      <c r="EE493" s="153"/>
      <c r="EF493" s="153"/>
      <c r="EG493" s="153"/>
      <c r="EH493" s="153"/>
      <c r="EI493" s="153"/>
      <c r="EJ493" s="153"/>
      <c r="EK493" s="153"/>
      <c r="EL493" s="153"/>
      <c r="EM493" s="153"/>
    </row>
    <row r="494" spans="1:143" s="107" customFormat="1" ht="10.5" hidden="1" customHeight="1" outlineLevel="2">
      <c r="A494" s="1548">
        <v>469</v>
      </c>
      <c r="B494" s="1560" t="str">
        <f t="shared" si="9"/>
        <v/>
      </c>
      <c r="C494" s="161" t="str">
        <f>GasTime(GasAnalyser,'Horiba Data'!F487,'Horiba Data'!G487,'Testo, JUM &amp; MRU Data'!A488,'Thermo Data'!B487,HourOffset)</f>
        <v/>
      </c>
      <c r="D494" s="981" t="str">
        <f>IF(D$17=FALSE,"",GasData(GasAnalyser,'Horiba Data'!S487,'Testo, JUM &amp; MRU Data'!D488,'Thermo Data'!E487,'Testo, JUM &amp; MRU Data'!U488,GDF))</f>
        <v/>
      </c>
      <c r="E494" s="981" t="str">
        <f>IF(D494="","",Conc2(D494,D$9,MolVol,D$21,D$20,E$21,E$20))</f>
        <v/>
      </c>
      <c r="F494" s="981" t="str">
        <f>IF(F$17=FALSE,"",GasData(GasAnalyser,'Horiba Data'!AQ487,'Testo, JUM &amp; MRU Data'!E488,'Thermo Data'!F487,'Testo, JUM &amp; MRU Data'!V488,GDF))</f>
        <v/>
      </c>
      <c r="G494" s="981" t="str">
        <f>IF(F494="","",Conc2(F494,F$9,MolVol,F$21,F$20,G$21,G$20))</f>
        <v/>
      </c>
      <c r="H494" s="981" t="str">
        <f>IF(D$17=FALSE,"",IF(F$17=FALSE,"",GasData(GasAnalyser,'Horiba Data'!W487,'Testo, JUM &amp; MRU Data'!F488,'Thermo Data'!G487,'Testo, JUM &amp; MRU Data'!Y488,GDF)))</f>
        <v/>
      </c>
      <c r="I494" s="981" t="str">
        <f>IF(H494="","",Conc2(H494,H$9,MolVol,H$21,H$20,I$21,I$20))</f>
        <v/>
      </c>
      <c r="J494" s="981" t="str">
        <f>IF(J$17=FALSE,"",GasData(GasAnalyser,'Horiba Data'!AM487,'Testo, JUM &amp; MRU Data'!G488,'Thermo Data'!H487,'Testo, JUM &amp; MRU Data'!W488,GDF))</f>
        <v/>
      </c>
      <c r="K494" s="981" t="str">
        <f>IF(J494="","",Conc2(J494,J$9,MolVol,J$21,J$20,K$21,K$20))</f>
        <v/>
      </c>
      <c r="L494" s="981" t="str">
        <f>IF(L$17=FALSE,"",GasData(GasAnalyser,'Horiba Data'!AA487,'Testo, JUM &amp; MRU Data'!H488,'Thermo Data'!I487,'Testo, JUM &amp; MRU Data'!T488,GDF))</f>
        <v/>
      </c>
      <c r="M494" s="981" t="str">
        <f>IF(L494="","",Conc2(L494,L$9,MolVol,L$21,L$20,M$21,M$20))</f>
        <v/>
      </c>
      <c r="N494" s="981" t="str">
        <f>IF(N$17=FALSE,"",GasData(GasAnalyser,'Horiba Data'!AE487,'Testo, JUM &amp; MRU Data'!I488,'Thermo Data'!J487,'Testo, JUM &amp; MRU Data'!S488,GDF))</f>
        <v/>
      </c>
      <c r="O494" s="981" t="str">
        <f>IF(N494="","",Conc2(N494,N$9,MolVol,N$21,N$20,O$21,O$20))</f>
        <v/>
      </c>
      <c r="P494" s="981" t="str">
        <f>IF(P$17=FALSE,"",GasData(GasAnalyser,'Horiba Data'!AI487,'Testo, JUM &amp; MRU Data'!J488,'Thermo Data'!K487,'Testo, JUM &amp; MRU Data'!R488,GDF))</f>
        <v/>
      </c>
      <c r="Q494" s="981" t="str">
        <f>IF(P494="","",Conc2(P494,P$9,MolVol,P$21,P$20,Q$21,Q$20))</f>
        <v/>
      </c>
      <c r="R494" s="981" t="str">
        <f>IF(R$17=FALSE,"",JUMData('Testo, JUM &amp; MRU Data'!M488,$R$7))</f>
        <v/>
      </c>
      <c r="S494" s="982" t="str">
        <f>IF(R494="","",Conc2(R494,R$9,MolVol,R$21,R$20,S$21,S$20)/(1-Bws))</f>
        <v/>
      </c>
      <c r="T494" s="740"/>
      <c r="AR494" s="335"/>
      <c r="AS494" s="335"/>
      <c r="AT494" s="153"/>
      <c r="AU494" s="153"/>
      <c r="AV494" s="153"/>
      <c r="AW494" s="153"/>
      <c r="AX494" s="153"/>
      <c r="AY494" s="153"/>
      <c r="AZ494" s="153"/>
      <c r="BA494" s="153"/>
      <c r="BB494" s="153"/>
      <c r="BC494" s="153"/>
      <c r="BD494" s="153"/>
      <c r="BE494" s="153"/>
      <c r="BF494" s="153"/>
      <c r="BG494" s="153"/>
      <c r="BH494" s="153"/>
      <c r="BI494" s="153"/>
      <c r="BJ494" s="153"/>
      <c r="BK494" s="153"/>
      <c r="BL494" s="153"/>
      <c r="BM494" s="153"/>
      <c r="BN494" s="153"/>
      <c r="BO494" s="153"/>
      <c r="BP494" s="153"/>
      <c r="BQ494" s="153"/>
      <c r="BR494" s="153"/>
      <c r="BS494" s="153"/>
      <c r="BT494" s="153"/>
      <c r="BU494" s="153"/>
      <c r="BV494" s="153"/>
      <c r="BW494" s="153"/>
      <c r="BX494" s="153"/>
      <c r="BY494" s="153"/>
      <c r="BZ494" s="153"/>
      <c r="CA494" s="153"/>
      <c r="CB494" s="153"/>
      <c r="CC494" s="153"/>
      <c r="CD494" s="153"/>
      <c r="CE494" s="153"/>
      <c r="CF494" s="153"/>
      <c r="CG494" s="153"/>
      <c r="CH494" s="153"/>
      <c r="CI494" s="153"/>
      <c r="CJ494" s="153"/>
      <c r="CK494" s="153"/>
      <c r="CL494" s="153"/>
      <c r="CM494" s="153"/>
      <c r="CN494" s="153"/>
      <c r="CO494" s="153"/>
      <c r="CP494" s="153"/>
      <c r="CQ494" s="153"/>
      <c r="CR494" s="153"/>
      <c r="CS494" s="153"/>
      <c r="CT494" s="153"/>
      <c r="CU494" s="153"/>
      <c r="CV494" s="153"/>
      <c r="CW494" s="153"/>
      <c r="CX494" s="153"/>
      <c r="CY494" s="153"/>
      <c r="CZ494" s="153"/>
      <c r="DA494" s="153"/>
      <c r="DB494" s="153"/>
      <c r="DC494" s="153"/>
      <c r="DD494" s="153"/>
      <c r="DE494" s="153"/>
      <c r="DF494" s="153"/>
      <c r="DG494" s="153"/>
      <c r="DH494" s="153"/>
      <c r="DI494" s="153"/>
      <c r="DJ494" s="153"/>
      <c r="DK494" s="153"/>
      <c r="DL494" s="153"/>
      <c r="DM494" s="153"/>
      <c r="DN494" s="153"/>
      <c r="DO494" s="153"/>
      <c r="DP494" s="153"/>
      <c r="DQ494" s="153"/>
      <c r="DR494" s="153"/>
      <c r="DS494" s="153"/>
      <c r="DT494" s="153"/>
      <c r="DU494" s="153"/>
      <c r="DV494" s="153"/>
      <c r="DW494" s="153"/>
      <c r="DX494" s="153"/>
      <c r="DY494" s="153"/>
      <c r="DZ494" s="153"/>
      <c r="EA494" s="153"/>
      <c r="EB494" s="153"/>
      <c r="EC494" s="153"/>
      <c r="ED494" s="153"/>
      <c r="EE494" s="153"/>
      <c r="EF494" s="153"/>
      <c r="EG494" s="153"/>
      <c r="EH494" s="153"/>
      <c r="EI494" s="153"/>
      <c r="EJ494" s="153"/>
      <c r="EK494" s="153"/>
      <c r="EL494" s="153"/>
      <c r="EM494" s="153"/>
    </row>
    <row r="495" spans="1:143" s="107" customFormat="1" ht="10.5" hidden="1" customHeight="1" outlineLevel="2">
      <c r="A495" s="1548">
        <v>470</v>
      </c>
      <c r="B495" s="1560" t="str">
        <f t="shared" si="9"/>
        <v/>
      </c>
      <c r="C495" s="161" t="str">
        <f>GasTime(GasAnalyser,'Horiba Data'!F488,'Horiba Data'!G488,'Testo, JUM &amp; MRU Data'!A489,'Thermo Data'!B488,HourOffset)</f>
        <v/>
      </c>
      <c r="D495" s="981" t="str">
        <f>IF(D$17=FALSE,"",GasData(GasAnalyser,'Horiba Data'!S488,'Testo, JUM &amp; MRU Data'!D489,'Thermo Data'!E488,'Testo, JUM &amp; MRU Data'!U489,GDF))</f>
        <v/>
      </c>
      <c r="E495" s="981" t="str">
        <f>IF(D495="","",Conc2(D495,D$9,MolVol,D$21,D$20,E$21,E$20))</f>
        <v/>
      </c>
      <c r="F495" s="981" t="str">
        <f>IF(F$17=FALSE,"",GasData(GasAnalyser,'Horiba Data'!AQ488,'Testo, JUM &amp; MRU Data'!E489,'Thermo Data'!F488,'Testo, JUM &amp; MRU Data'!V489,GDF))</f>
        <v/>
      </c>
      <c r="G495" s="981" t="str">
        <f>IF(F495="","",Conc2(F495,F$9,MolVol,F$21,F$20,G$21,G$20))</f>
        <v/>
      </c>
      <c r="H495" s="981" t="str">
        <f>IF(D$17=FALSE,"",IF(F$17=FALSE,"",GasData(GasAnalyser,'Horiba Data'!W488,'Testo, JUM &amp; MRU Data'!F489,'Thermo Data'!G488,'Testo, JUM &amp; MRU Data'!Y489,GDF)))</f>
        <v/>
      </c>
      <c r="I495" s="981" t="str">
        <f>IF(H495="","",Conc2(H495,H$9,MolVol,H$21,H$20,I$21,I$20))</f>
        <v/>
      </c>
      <c r="J495" s="981" t="str">
        <f>IF(J$17=FALSE,"",GasData(GasAnalyser,'Horiba Data'!AM488,'Testo, JUM &amp; MRU Data'!G489,'Thermo Data'!H488,'Testo, JUM &amp; MRU Data'!W489,GDF))</f>
        <v/>
      </c>
      <c r="K495" s="981" t="str">
        <f>IF(J495="","",Conc2(J495,J$9,MolVol,J$21,J$20,K$21,K$20))</f>
        <v/>
      </c>
      <c r="L495" s="981" t="str">
        <f>IF(L$17=FALSE,"",GasData(GasAnalyser,'Horiba Data'!AA488,'Testo, JUM &amp; MRU Data'!H489,'Thermo Data'!I488,'Testo, JUM &amp; MRU Data'!T489,GDF))</f>
        <v/>
      </c>
      <c r="M495" s="981" t="str">
        <f>IF(L495="","",Conc2(L495,L$9,MolVol,L$21,L$20,M$21,M$20))</f>
        <v/>
      </c>
      <c r="N495" s="981" t="str">
        <f>IF(N$17=FALSE,"",GasData(GasAnalyser,'Horiba Data'!AE488,'Testo, JUM &amp; MRU Data'!I489,'Thermo Data'!J488,'Testo, JUM &amp; MRU Data'!S489,GDF))</f>
        <v/>
      </c>
      <c r="O495" s="981" t="str">
        <f>IF(N495="","",Conc2(N495,N$9,MolVol,N$21,N$20,O$21,O$20))</f>
        <v/>
      </c>
      <c r="P495" s="981" t="str">
        <f>IF(P$17=FALSE,"",GasData(GasAnalyser,'Horiba Data'!AI488,'Testo, JUM &amp; MRU Data'!J489,'Thermo Data'!K488,'Testo, JUM &amp; MRU Data'!R489,GDF))</f>
        <v/>
      </c>
      <c r="Q495" s="981" t="str">
        <f>IF(P495="","",Conc2(P495,P$9,MolVol,P$21,P$20,Q$21,Q$20))</f>
        <v/>
      </c>
      <c r="R495" s="981" t="str">
        <f>IF(R$17=FALSE,"",JUMData('Testo, JUM &amp; MRU Data'!M489,$R$7))</f>
        <v/>
      </c>
      <c r="S495" s="982" t="str">
        <f>IF(R495="","",Conc2(R495,R$9,MolVol,R$21,R$20,S$21,S$20)/(1-Bws))</f>
        <v/>
      </c>
      <c r="T495" s="740"/>
      <c r="AR495" s="335"/>
      <c r="AS495" s="335"/>
      <c r="AT495" s="153"/>
      <c r="AU495" s="153"/>
      <c r="AV495" s="153"/>
      <c r="AW495" s="153"/>
      <c r="AX495" s="153"/>
      <c r="AY495" s="153"/>
      <c r="AZ495" s="153"/>
      <c r="BA495" s="153"/>
      <c r="BB495" s="153"/>
      <c r="BC495" s="153"/>
      <c r="BD495" s="153"/>
      <c r="BE495" s="153"/>
      <c r="BF495" s="153"/>
      <c r="BG495" s="153"/>
      <c r="BH495" s="153"/>
      <c r="BI495" s="153"/>
      <c r="BJ495" s="153"/>
      <c r="BK495" s="153"/>
      <c r="BL495" s="153"/>
      <c r="BM495" s="153"/>
      <c r="BN495" s="153"/>
      <c r="BO495" s="153"/>
      <c r="BP495" s="153"/>
      <c r="BQ495" s="153"/>
      <c r="BR495" s="153"/>
      <c r="BS495" s="153"/>
      <c r="BT495" s="153"/>
      <c r="BU495" s="153"/>
      <c r="BV495" s="153"/>
      <c r="BW495" s="153"/>
      <c r="BX495" s="153"/>
      <c r="BY495" s="153"/>
      <c r="BZ495" s="153"/>
      <c r="CA495" s="153"/>
      <c r="CB495" s="153"/>
      <c r="CC495" s="153"/>
      <c r="CD495" s="153"/>
      <c r="CE495" s="153"/>
      <c r="CF495" s="153"/>
      <c r="CG495" s="153"/>
      <c r="CH495" s="153"/>
      <c r="CI495" s="153"/>
      <c r="CJ495" s="153"/>
      <c r="CK495" s="153"/>
      <c r="CL495" s="153"/>
      <c r="CM495" s="153"/>
      <c r="CN495" s="153"/>
      <c r="CO495" s="153"/>
      <c r="CP495" s="153"/>
      <c r="CQ495" s="153"/>
      <c r="CR495" s="153"/>
      <c r="CS495" s="153"/>
      <c r="CT495" s="153"/>
      <c r="CU495" s="153"/>
      <c r="CV495" s="153"/>
      <c r="CW495" s="153"/>
      <c r="CX495" s="153"/>
      <c r="CY495" s="153"/>
      <c r="CZ495" s="153"/>
      <c r="DA495" s="153"/>
      <c r="DB495" s="153"/>
      <c r="DC495" s="153"/>
      <c r="DD495" s="153"/>
      <c r="DE495" s="153"/>
      <c r="DF495" s="153"/>
      <c r="DG495" s="153"/>
      <c r="DH495" s="153"/>
      <c r="DI495" s="153"/>
      <c r="DJ495" s="153"/>
      <c r="DK495" s="153"/>
      <c r="DL495" s="153"/>
      <c r="DM495" s="153"/>
      <c r="DN495" s="153"/>
      <c r="DO495" s="153"/>
      <c r="DP495" s="153"/>
      <c r="DQ495" s="153"/>
      <c r="DR495" s="153"/>
      <c r="DS495" s="153"/>
      <c r="DT495" s="153"/>
      <c r="DU495" s="153"/>
      <c r="DV495" s="153"/>
      <c r="DW495" s="153"/>
      <c r="DX495" s="153"/>
      <c r="DY495" s="153"/>
      <c r="DZ495" s="153"/>
      <c r="EA495" s="153"/>
      <c r="EB495" s="153"/>
      <c r="EC495" s="153"/>
      <c r="ED495" s="153"/>
      <c r="EE495" s="153"/>
      <c r="EF495" s="153"/>
      <c r="EG495" s="153"/>
      <c r="EH495" s="153"/>
      <c r="EI495" s="153"/>
      <c r="EJ495" s="153"/>
      <c r="EK495" s="153"/>
      <c r="EL495" s="153"/>
      <c r="EM495" s="153"/>
    </row>
    <row r="496" spans="1:143" s="107" customFormat="1" ht="10.5" hidden="1" customHeight="1" outlineLevel="2">
      <c r="A496" s="1548">
        <v>471</v>
      </c>
      <c r="B496" s="1560" t="str">
        <f t="shared" si="9"/>
        <v/>
      </c>
      <c r="C496" s="161" t="str">
        <f>GasTime(GasAnalyser,'Horiba Data'!F489,'Horiba Data'!G489,'Testo, JUM &amp; MRU Data'!A490,'Thermo Data'!B489,HourOffset)</f>
        <v/>
      </c>
      <c r="D496" s="981" t="str">
        <f>IF(D$17=FALSE,"",GasData(GasAnalyser,'Horiba Data'!S489,'Testo, JUM &amp; MRU Data'!D490,'Thermo Data'!E489,'Testo, JUM &amp; MRU Data'!U490,GDF))</f>
        <v/>
      </c>
      <c r="E496" s="981" t="str">
        <f>IF(D496="","",Conc2(D496,D$9,MolVol,D$21,D$20,E$21,E$20))</f>
        <v/>
      </c>
      <c r="F496" s="981" t="str">
        <f>IF(F$17=FALSE,"",GasData(GasAnalyser,'Horiba Data'!AQ489,'Testo, JUM &amp; MRU Data'!E490,'Thermo Data'!F489,'Testo, JUM &amp; MRU Data'!V490,GDF))</f>
        <v/>
      </c>
      <c r="G496" s="981" t="str">
        <f>IF(F496="","",Conc2(F496,F$9,MolVol,F$21,F$20,G$21,G$20))</f>
        <v/>
      </c>
      <c r="H496" s="981" t="str">
        <f>IF(D$17=FALSE,"",IF(F$17=FALSE,"",GasData(GasAnalyser,'Horiba Data'!W489,'Testo, JUM &amp; MRU Data'!F490,'Thermo Data'!G489,'Testo, JUM &amp; MRU Data'!Y490,GDF)))</f>
        <v/>
      </c>
      <c r="I496" s="981" t="str">
        <f>IF(H496="","",Conc2(H496,H$9,MolVol,H$21,H$20,I$21,I$20))</f>
        <v/>
      </c>
      <c r="J496" s="981" t="str">
        <f>IF(J$17=FALSE,"",GasData(GasAnalyser,'Horiba Data'!AM489,'Testo, JUM &amp; MRU Data'!G490,'Thermo Data'!H489,'Testo, JUM &amp; MRU Data'!W490,GDF))</f>
        <v/>
      </c>
      <c r="K496" s="981" t="str">
        <f>IF(J496="","",Conc2(J496,J$9,MolVol,J$21,J$20,K$21,K$20))</f>
        <v/>
      </c>
      <c r="L496" s="981" t="str">
        <f>IF(L$17=FALSE,"",GasData(GasAnalyser,'Horiba Data'!AA489,'Testo, JUM &amp; MRU Data'!H490,'Thermo Data'!I489,'Testo, JUM &amp; MRU Data'!T490,GDF))</f>
        <v/>
      </c>
      <c r="M496" s="981" t="str">
        <f>IF(L496="","",Conc2(L496,L$9,MolVol,L$21,L$20,M$21,M$20))</f>
        <v/>
      </c>
      <c r="N496" s="981" t="str">
        <f>IF(N$17=FALSE,"",GasData(GasAnalyser,'Horiba Data'!AE489,'Testo, JUM &amp; MRU Data'!I490,'Thermo Data'!J489,'Testo, JUM &amp; MRU Data'!S490,GDF))</f>
        <v/>
      </c>
      <c r="O496" s="981" t="str">
        <f>IF(N496="","",Conc2(N496,N$9,MolVol,N$21,N$20,O$21,O$20))</f>
        <v/>
      </c>
      <c r="P496" s="981" t="str">
        <f>IF(P$17=FALSE,"",GasData(GasAnalyser,'Horiba Data'!AI489,'Testo, JUM &amp; MRU Data'!J490,'Thermo Data'!K489,'Testo, JUM &amp; MRU Data'!R490,GDF))</f>
        <v/>
      </c>
      <c r="Q496" s="981" t="str">
        <f>IF(P496="","",Conc2(P496,P$9,MolVol,P$21,P$20,Q$21,Q$20))</f>
        <v/>
      </c>
      <c r="R496" s="981" t="str">
        <f>IF(R$17=FALSE,"",JUMData('Testo, JUM &amp; MRU Data'!M490,$R$7))</f>
        <v/>
      </c>
      <c r="S496" s="982" t="str">
        <f>IF(R496="","",Conc2(R496,R$9,MolVol,R$21,R$20,S$21,S$20)/(1-Bws))</f>
        <v/>
      </c>
      <c r="T496" s="740"/>
      <c r="AR496" s="335"/>
      <c r="AS496" s="335"/>
      <c r="AT496" s="153"/>
      <c r="AU496" s="153"/>
      <c r="AV496" s="153"/>
      <c r="AW496" s="153"/>
      <c r="AX496" s="153"/>
      <c r="AY496" s="153"/>
      <c r="AZ496" s="153"/>
      <c r="BA496" s="153"/>
      <c r="BB496" s="153"/>
      <c r="BC496" s="153"/>
      <c r="BD496" s="153"/>
      <c r="BE496" s="153"/>
      <c r="BF496" s="153"/>
      <c r="BG496" s="153"/>
      <c r="BH496" s="153"/>
      <c r="BI496" s="153"/>
      <c r="BJ496" s="153"/>
      <c r="BK496" s="153"/>
      <c r="BL496" s="153"/>
      <c r="BM496" s="153"/>
      <c r="BN496" s="153"/>
      <c r="BO496" s="153"/>
      <c r="BP496" s="153"/>
      <c r="BQ496" s="153"/>
      <c r="BR496" s="153"/>
      <c r="BS496" s="153"/>
      <c r="BT496" s="153"/>
      <c r="BU496" s="153"/>
      <c r="BV496" s="153"/>
      <c r="BW496" s="153"/>
      <c r="BX496" s="153"/>
      <c r="BY496" s="153"/>
      <c r="BZ496" s="153"/>
      <c r="CA496" s="153"/>
      <c r="CB496" s="153"/>
      <c r="CC496" s="153"/>
      <c r="CD496" s="153"/>
      <c r="CE496" s="153"/>
      <c r="CF496" s="153"/>
      <c r="CG496" s="153"/>
      <c r="CH496" s="153"/>
      <c r="CI496" s="153"/>
      <c r="CJ496" s="153"/>
      <c r="CK496" s="153"/>
      <c r="CL496" s="153"/>
      <c r="CM496" s="153"/>
      <c r="CN496" s="153"/>
      <c r="CO496" s="153"/>
      <c r="CP496" s="153"/>
      <c r="CQ496" s="153"/>
      <c r="CR496" s="153"/>
      <c r="CS496" s="153"/>
      <c r="CT496" s="153"/>
      <c r="CU496" s="153"/>
      <c r="CV496" s="153"/>
      <c r="CW496" s="153"/>
      <c r="CX496" s="153"/>
      <c r="CY496" s="153"/>
      <c r="CZ496" s="153"/>
      <c r="DA496" s="153"/>
      <c r="DB496" s="153"/>
      <c r="DC496" s="153"/>
      <c r="DD496" s="153"/>
      <c r="DE496" s="153"/>
      <c r="DF496" s="153"/>
      <c r="DG496" s="153"/>
      <c r="DH496" s="153"/>
      <c r="DI496" s="153"/>
      <c r="DJ496" s="153"/>
      <c r="DK496" s="153"/>
      <c r="DL496" s="153"/>
      <c r="DM496" s="153"/>
      <c r="DN496" s="153"/>
      <c r="DO496" s="153"/>
      <c r="DP496" s="153"/>
      <c r="DQ496" s="153"/>
      <c r="DR496" s="153"/>
      <c r="DS496" s="153"/>
      <c r="DT496" s="153"/>
      <c r="DU496" s="153"/>
      <c r="DV496" s="153"/>
      <c r="DW496" s="153"/>
      <c r="DX496" s="153"/>
      <c r="DY496" s="153"/>
      <c r="DZ496" s="153"/>
      <c r="EA496" s="153"/>
      <c r="EB496" s="153"/>
      <c r="EC496" s="153"/>
      <c r="ED496" s="153"/>
      <c r="EE496" s="153"/>
      <c r="EF496" s="153"/>
      <c r="EG496" s="153"/>
      <c r="EH496" s="153"/>
      <c r="EI496" s="153"/>
      <c r="EJ496" s="153"/>
      <c r="EK496" s="153"/>
      <c r="EL496" s="153"/>
      <c r="EM496" s="153"/>
    </row>
    <row r="497" spans="1:143" s="107" customFormat="1" ht="10.5" hidden="1" customHeight="1" outlineLevel="2">
      <c r="A497" s="1548">
        <v>472</v>
      </c>
      <c r="B497" s="1560" t="str">
        <f t="shared" si="9"/>
        <v/>
      </c>
      <c r="C497" s="161" t="str">
        <f>GasTime(GasAnalyser,'Horiba Data'!F490,'Horiba Data'!G490,'Testo, JUM &amp; MRU Data'!A491,'Thermo Data'!B490,HourOffset)</f>
        <v/>
      </c>
      <c r="D497" s="981" t="str">
        <f>IF(D$17=FALSE,"",GasData(GasAnalyser,'Horiba Data'!S490,'Testo, JUM &amp; MRU Data'!D491,'Thermo Data'!E490,'Testo, JUM &amp; MRU Data'!U491,GDF))</f>
        <v/>
      </c>
      <c r="E497" s="981" t="str">
        <f>IF(D497="","",Conc2(D497,D$9,MolVol,D$21,D$20,E$21,E$20))</f>
        <v/>
      </c>
      <c r="F497" s="981" t="str">
        <f>IF(F$17=FALSE,"",GasData(GasAnalyser,'Horiba Data'!AQ490,'Testo, JUM &amp; MRU Data'!E491,'Thermo Data'!F490,'Testo, JUM &amp; MRU Data'!V491,GDF))</f>
        <v/>
      </c>
      <c r="G497" s="981" t="str">
        <f>IF(F497="","",Conc2(F497,F$9,MolVol,F$21,F$20,G$21,G$20))</f>
        <v/>
      </c>
      <c r="H497" s="981" t="str">
        <f>IF(D$17=FALSE,"",IF(F$17=FALSE,"",GasData(GasAnalyser,'Horiba Data'!W490,'Testo, JUM &amp; MRU Data'!F491,'Thermo Data'!G490,'Testo, JUM &amp; MRU Data'!Y491,GDF)))</f>
        <v/>
      </c>
      <c r="I497" s="981" t="str">
        <f>IF(H497="","",Conc2(H497,H$9,MolVol,H$21,H$20,I$21,I$20))</f>
        <v/>
      </c>
      <c r="J497" s="981" t="str">
        <f>IF(J$17=FALSE,"",GasData(GasAnalyser,'Horiba Data'!AM490,'Testo, JUM &amp; MRU Data'!G491,'Thermo Data'!H490,'Testo, JUM &amp; MRU Data'!W491,GDF))</f>
        <v/>
      </c>
      <c r="K497" s="981" t="str">
        <f>IF(J497="","",Conc2(J497,J$9,MolVol,J$21,J$20,K$21,K$20))</f>
        <v/>
      </c>
      <c r="L497" s="981" t="str">
        <f>IF(L$17=FALSE,"",GasData(GasAnalyser,'Horiba Data'!AA490,'Testo, JUM &amp; MRU Data'!H491,'Thermo Data'!I490,'Testo, JUM &amp; MRU Data'!T491,GDF))</f>
        <v/>
      </c>
      <c r="M497" s="981" t="str">
        <f>IF(L497="","",Conc2(L497,L$9,MolVol,L$21,L$20,M$21,M$20))</f>
        <v/>
      </c>
      <c r="N497" s="981" t="str">
        <f>IF(N$17=FALSE,"",GasData(GasAnalyser,'Horiba Data'!AE490,'Testo, JUM &amp; MRU Data'!I491,'Thermo Data'!J490,'Testo, JUM &amp; MRU Data'!S491,GDF))</f>
        <v/>
      </c>
      <c r="O497" s="981" t="str">
        <f>IF(N497="","",Conc2(N497,N$9,MolVol,N$21,N$20,O$21,O$20))</f>
        <v/>
      </c>
      <c r="P497" s="981" t="str">
        <f>IF(P$17=FALSE,"",GasData(GasAnalyser,'Horiba Data'!AI490,'Testo, JUM &amp; MRU Data'!J491,'Thermo Data'!K490,'Testo, JUM &amp; MRU Data'!R491,GDF))</f>
        <v/>
      </c>
      <c r="Q497" s="981" t="str">
        <f>IF(P497="","",Conc2(P497,P$9,MolVol,P$21,P$20,Q$21,Q$20))</f>
        <v/>
      </c>
      <c r="R497" s="981" t="str">
        <f>IF(R$17=FALSE,"",JUMData('Testo, JUM &amp; MRU Data'!M491,$R$7))</f>
        <v/>
      </c>
      <c r="S497" s="982" t="str">
        <f>IF(R497="","",Conc2(R497,R$9,MolVol,R$21,R$20,S$21,S$20)/(1-Bws))</f>
        <v/>
      </c>
      <c r="T497" s="740"/>
      <c r="AR497" s="335"/>
      <c r="AS497" s="335"/>
      <c r="AT497" s="153"/>
      <c r="AU497" s="153"/>
      <c r="AV497" s="153"/>
      <c r="AW497" s="153"/>
      <c r="AX497" s="153"/>
      <c r="AY497" s="153"/>
      <c r="AZ497" s="153"/>
      <c r="BA497" s="153"/>
      <c r="BB497" s="153"/>
      <c r="BC497" s="153"/>
      <c r="BD497" s="153"/>
      <c r="BE497" s="153"/>
      <c r="BF497" s="153"/>
      <c r="BG497" s="153"/>
      <c r="BH497" s="153"/>
      <c r="BI497" s="153"/>
      <c r="BJ497" s="153"/>
      <c r="BK497" s="153"/>
      <c r="BL497" s="153"/>
      <c r="BM497" s="153"/>
      <c r="BN497" s="153"/>
      <c r="BO497" s="153"/>
      <c r="BP497" s="153"/>
      <c r="BQ497" s="153"/>
      <c r="BR497" s="153"/>
      <c r="BS497" s="153"/>
      <c r="BT497" s="153"/>
      <c r="BU497" s="153"/>
      <c r="BV497" s="153"/>
      <c r="BW497" s="153"/>
      <c r="BX497" s="153"/>
      <c r="BY497" s="153"/>
      <c r="BZ497" s="153"/>
      <c r="CA497" s="153"/>
      <c r="CB497" s="153"/>
      <c r="CC497" s="153"/>
      <c r="CD497" s="153"/>
      <c r="CE497" s="153"/>
      <c r="CF497" s="153"/>
      <c r="CG497" s="153"/>
      <c r="CH497" s="153"/>
      <c r="CI497" s="153"/>
      <c r="CJ497" s="153"/>
      <c r="CK497" s="153"/>
      <c r="CL497" s="153"/>
      <c r="CM497" s="153"/>
      <c r="CN497" s="153"/>
      <c r="CO497" s="153"/>
      <c r="CP497" s="153"/>
      <c r="CQ497" s="153"/>
      <c r="CR497" s="153"/>
      <c r="CS497" s="153"/>
      <c r="CT497" s="153"/>
      <c r="CU497" s="153"/>
      <c r="CV497" s="153"/>
      <c r="CW497" s="153"/>
      <c r="CX497" s="153"/>
      <c r="CY497" s="153"/>
      <c r="CZ497" s="153"/>
      <c r="DA497" s="153"/>
      <c r="DB497" s="153"/>
      <c r="DC497" s="153"/>
      <c r="DD497" s="153"/>
      <c r="DE497" s="153"/>
      <c r="DF497" s="153"/>
      <c r="DG497" s="153"/>
      <c r="DH497" s="153"/>
      <c r="DI497" s="153"/>
      <c r="DJ497" s="153"/>
      <c r="DK497" s="153"/>
      <c r="DL497" s="153"/>
      <c r="DM497" s="153"/>
      <c r="DN497" s="153"/>
      <c r="DO497" s="153"/>
      <c r="DP497" s="153"/>
      <c r="DQ497" s="153"/>
      <c r="DR497" s="153"/>
      <c r="DS497" s="153"/>
      <c r="DT497" s="153"/>
      <c r="DU497" s="153"/>
      <c r="DV497" s="153"/>
      <c r="DW497" s="153"/>
      <c r="DX497" s="153"/>
      <c r="DY497" s="153"/>
      <c r="DZ497" s="153"/>
      <c r="EA497" s="153"/>
      <c r="EB497" s="153"/>
      <c r="EC497" s="153"/>
      <c r="ED497" s="153"/>
      <c r="EE497" s="153"/>
      <c r="EF497" s="153"/>
      <c r="EG497" s="153"/>
      <c r="EH497" s="153"/>
      <c r="EI497" s="153"/>
      <c r="EJ497" s="153"/>
      <c r="EK497" s="153"/>
      <c r="EL497" s="153"/>
      <c r="EM497" s="153"/>
    </row>
    <row r="498" spans="1:143" s="107" customFormat="1" ht="10.5" hidden="1" customHeight="1" outlineLevel="2">
      <c r="A498" s="1548">
        <v>473</v>
      </c>
      <c r="B498" s="1560" t="str">
        <f t="shared" si="9"/>
        <v/>
      </c>
      <c r="C498" s="161" t="str">
        <f>GasTime(GasAnalyser,'Horiba Data'!F491,'Horiba Data'!G491,'Testo, JUM &amp; MRU Data'!A492,'Thermo Data'!B491,HourOffset)</f>
        <v/>
      </c>
      <c r="D498" s="981" t="str">
        <f>IF(D$17=FALSE,"",GasData(GasAnalyser,'Horiba Data'!S491,'Testo, JUM &amp; MRU Data'!D492,'Thermo Data'!E491,'Testo, JUM &amp; MRU Data'!U492,GDF))</f>
        <v/>
      </c>
      <c r="E498" s="981" t="str">
        <f>IF(D498="","",Conc2(D498,D$9,MolVol,D$21,D$20,E$21,E$20))</f>
        <v/>
      </c>
      <c r="F498" s="981" t="str">
        <f>IF(F$17=FALSE,"",GasData(GasAnalyser,'Horiba Data'!AQ491,'Testo, JUM &amp; MRU Data'!E492,'Thermo Data'!F491,'Testo, JUM &amp; MRU Data'!V492,GDF))</f>
        <v/>
      </c>
      <c r="G498" s="981" t="str">
        <f>IF(F498="","",Conc2(F498,F$9,MolVol,F$21,F$20,G$21,G$20))</f>
        <v/>
      </c>
      <c r="H498" s="981" t="str">
        <f>IF(D$17=FALSE,"",IF(F$17=FALSE,"",GasData(GasAnalyser,'Horiba Data'!W491,'Testo, JUM &amp; MRU Data'!F492,'Thermo Data'!G491,'Testo, JUM &amp; MRU Data'!Y492,GDF)))</f>
        <v/>
      </c>
      <c r="I498" s="981" t="str">
        <f>IF(H498="","",Conc2(H498,H$9,MolVol,H$21,H$20,I$21,I$20))</f>
        <v/>
      </c>
      <c r="J498" s="981" t="str">
        <f>IF(J$17=FALSE,"",GasData(GasAnalyser,'Horiba Data'!AM491,'Testo, JUM &amp; MRU Data'!G492,'Thermo Data'!H491,'Testo, JUM &amp; MRU Data'!W492,GDF))</f>
        <v/>
      </c>
      <c r="K498" s="981" t="str">
        <f>IF(J498="","",Conc2(J498,J$9,MolVol,J$21,J$20,K$21,K$20))</f>
        <v/>
      </c>
      <c r="L498" s="981" t="str">
        <f>IF(L$17=FALSE,"",GasData(GasAnalyser,'Horiba Data'!AA491,'Testo, JUM &amp; MRU Data'!H492,'Thermo Data'!I491,'Testo, JUM &amp; MRU Data'!T492,GDF))</f>
        <v/>
      </c>
      <c r="M498" s="981" t="str">
        <f>IF(L498="","",Conc2(L498,L$9,MolVol,L$21,L$20,M$21,M$20))</f>
        <v/>
      </c>
      <c r="N498" s="981" t="str">
        <f>IF(N$17=FALSE,"",GasData(GasAnalyser,'Horiba Data'!AE491,'Testo, JUM &amp; MRU Data'!I492,'Thermo Data'!J491,'Testo, JUM &amp; MRU Data'!S492,GDF))</f>
        <v/>
      </c>
      <c r="O498" s="981" t="str">
        <f>IF(N498="","",Conc2(N498,N$9,MolVol,N$21,N$20,O$21,O$20))</f>
        <v/>
      </c>
      <c r="P498" s="981" t="str">
        <f>IF(P$17=FALSE,"",GasData(GasAnalyser,'Horiba Data'!AI491,'Testo, JUM &amp; MRU Data'!J492,'Thermo Data'!K491,'Testo, JUM &amp; MRU Data'!R492,GDF))</f>
        <v/>
      </c>
      <c r="Q498" s="981" t="str">
        <f>IF(P498="","",Conc2(P498,P$9,MolVol,P$21,P$20,Q$21,Q$20))</f>
        <v/>
      </c>
      <c r="R498" s="981" t="str">
        <f>IF(R$17=FALSE,"",JUMData('Testo, JUM &amp; MRU Data'!M492,$R$7))</f>
        <v/>
      </c>
      <c r="S498" s="982" t="str">
        <f>IF(R498="","",Conc2(R498,R$9,MolVol,R$21,R$20,S$21,S$20)/(1-Bws))</f>
        <v/>
      </c>
      <c r="T498" s="740"/>
      <c r="AR498" s="335"/>
      <c r="AS498" s="335"/>
      <c r="AT498" s="153"/>
      <c r="AU498" s="153"/>
      <c r="AV498" s="153"/>
      <c r="AW498" s="153"/>
      <c r="AX498" s="153"/>
      <c r="AY498" s="153"/>
      <c r="AZ498" s="153"/>
      <c r="BA498" s="153"/>
      <c r="BB498" s="153"/>
      <c r="BC498" s="153"/>
      <c r="BD498" s="153"/>
      <c r="BE498" s="153"/>
      <c r="BF498" s="153"/>
      <c r="BG498" s="153"/>
      <c r="BH498" s="153"/>
      <c r="BI498" s="153"/>
      <c r="BJ498" s="153"/>
      <c r="BK498" s="153"/>
      <c r="BL498" s="153"/>
      <c r="BM498" s="153"/>
      <c r="BN498" s="153"/>
      <c r="BO498" s="153"/>
      <c r="BP498" s="153"/>
      <c r="BQ498" s="153"/>
      <c r="BR498" s="153"/>
      <c r="BS498" s="153"/>
      <c r="BT498" s="153"/>
      <c r="BU498" s="153"/>
      <c r="BV498" s="153"/>
      <c r="BW498" s="153"/>
      <c r="BX498" s="153"/>
      <c r="BY498" s="153"/>
      <c r="BZ498" s="153"/>
      <c r="CA498" s="153"/>
      <c r="CB498" s="153"/>
      <c r="CC498" s="153"/>
      <c r="CD498" s="153"/>
      <c r="CE498" s="153"/>
      <c r="CF498" s="153"/>
      <c r="CG498" s="153"/>
      <c r="CH498" s="153"/>
      <c r="CI498" s="153"/>
      <c r="CJ498" s="153"/>
      <c r="CK498" s="153"/>
      <c r="CL498" s="153"/>
      <c r="CM498" s="153"/>
      <c r="CN498" s="153"/>
      <c r="CO498" s="153"/>
      <c r="CP498" s="153"/>
      <c r="CQ498" s="153"/>
      <c r="CR498" s="153"/>
      <c r="CS498" s="153"/>
      <c r="CT498" s="153"/>
      <c r="CU498" s="153"/>
      <c r="CV498" s="153"/>
      <c r="CW498" s="153"/>
      <c r="CX498" s="153"/>
      <c r="CY498" s="153"/>
      <c r="CZ498" s="153"/>
      <c r="DA498" s="153"/>
      <c r="DB498" s="153"/>
      <c r="DC498" s="153"/>
      <c r="DD498" s="153"/>
      <c r="DE498" s="153"/>
      <c r="DF498" s="153"/>
      <c r="DG498" s="153"/>
      <c r="DH498" s="153"/>
      <c r="DI498" s="153"/>
      <c r="DJ498" s="153"/>
      <c r="DK498" s="153"/>
      <c r="DL498" s="153"/>
      <c r="DM498" s="153"/>
      <c r="DN498" s="153"/>
      <c r="DO498" s="153"/>
      <c r="DP498" s="153"/>
      <c r="DQ498" s="153"/>
      <c r="DR498" s="153"/>
      <c r="DS498" s="153"/>
      <c r="DT498" s="153"/>
      <c r="DU498" s="153"/>
      <c r="DV498" s="153"/>
      <c r="DW498" s="153"/>
      <c r="DX498" s="153"/>
      <c r="DY498" s="153"/>
      <c r="DZ498" s="153"/>
      <c r="EA498" s="153"/>
      <c r="EB498" s="153"/>
      <c r="EC498" s="153"/>
      <c r="ED498" s="153"/>
      <c r="EE498" s="153"/>
      <c r="EF498" s="153"/>
      <c r="EG498" s="153"/>
      <c r="EH498" s="153"/>
      <c r="EI498" s="153"/>
      <c r="EJ498" s="153"/>
      <c r="EK498" s="153"/>
      <c r="EL498" s="153"/>
      <c r="EM498" s="153"/>
    </row>
    <row r="499" spans="1:143" s="107" customFormat="1" ht="10.5" hidden="1" customHeight="1" outlineLevel="2">
      <c r="A499" s="1548">
        <v>474</v>
      </c>
      <c r="B499" s="1560" t="str">
        <f t="shared" si="9"/>
        <v/>
      </c>
      <c r="C499" s="161" t="str">
        <f>GasTime(GasAnalyser,'Horiba Data'!F492,'Horiba Data'!G492,'Testo, JUM &amp; MRU Data'!A493,'Thermo Data'!B492,HourOffset)</f>
        <v/>
      </c>
      <c r="D499" s="981" t="str">
        <f>IF(D$17=FALSE,"",GasData(GasAnalyser,'Horiba Data'!S492,'Testo, JUM &amp; MRU Data'!D493,'Thermo Data'!E492,'Testo, JUM &amp; MRU Data'!U493,GDF))</f>
        <v/>
      </c>
      <c r="E499" s="981" t="str">
        <f>IF(D499="","",Conc2(D499,D$9,MolVol,D$21,D$20,E$21,E$20))</f>
        <v/>
      </c>
      <c r="F499" s="981" t="str">
        <f>IF(F$17=FALSE,"",GasData(GasAnalyser,'Horiba Data'!AQ492,'Testo, JUM &amp; MRU Data'!E493,'Thermo Data'!F492,'Testo, JUM &amp; MRU Data'!V493,GDF))</f>
        <v/>
      </c>
      <c r="G499" s="981" t="str">
        <f>IF(F499="","",Conc2(F499,F$9,MolVol,F$21,F$20,G$21,G$20))</f>
        <v/>
      </c>
      <c r="H499" s="981" t="str">
        <f>IF(D$17=FALSE,"",IF(F$17=FALSE,"",GasData(GasAnalyser,'Horiba Data'!W492,'Testo, JUM &amp; MRU Data'!F493,'Thermo Data'!G492,'Testo, JUM &amp; MRU Data'!Y493,GDF)))</f>
        <v/>
      </c>
      <c r="I499" s="981" t="str">
        <f>IF(H499="","",Conc2(H499,H$9,MolVol,H$21,H$20,I$21,I$20))</f>
        <v/>
      </c>
      <c r="J499" s="981" t="str">
        <f>IF(J$17=FALSE,"",GasData(GasAnalyser,'Horiba Data'!AM492,'Testo, JUM &amp; MRU Data'!G493,'Thermo Data'!H492,'Testo, JUM &amp; MRU Data'!W493,GDF))</f>
        <v/>
      </c>
      <c r="K499" s="981" t="str">
        <f>IF(J499="","",Conc2(J499,J$9,MolVol,J$21,J$20,K$21,K$20))</f>
        <v/>
      </c>
      <c r="L499" s="981" t="str">
        <f>IF(L$17=FALSE,"",GasData(GasAnalyser,'Horiba Data'!AA492,'Testo, JUM &amp; MRU Data'!H493,'Thermo Data'!I492,'Testo, JUM &amp; MRU Data'!T493,GDF))</f>
        <v/>
      </c>
      <c r="M499" s="981" t="str">
        <f>IF(L499="","",Conc2(L499,L$9,MolVol,L$21,L$20,M$21,M$20))</f>
        <v/>
      </c>
      <c r="N499" s="981" t="str">
        <f>IF(N$17=FALSE,"",GasData(GasAnalyser,'Horiba Data'!AE492,'Testo, JUM &amp; MRU Data'!I493,'Thermo Data'!J492,'Testo, JUM &amp; MRU Data'!S493,GDF))</f>
        <v/>
      </c>
      <c r="O499" s="981" t="str">
        <f>IF(N499="","",Conc2(N499,N$9,MolVol,N$21,N$20,O$21,O$20))</f>
        <v/>
      </c>
      <c r="P499" s="981" t="str">
        <f>IF(P$17=FALSE,"",GasData(GasAnalyser,'Horiba Data'!AI492,'Testo, JUM &amp; MRU Data'!J493,'Thermo Data'!K492,'Testo, JUM &amp; MRU Data'!R493,GDF))</f>
        <v/>
      </c>
      <c r="Q499" s="981" t="str">
        <f>IF(P499="","",Conc2(P499,P$9,MolVol,P$21,P$20,Q$21,Q$20))</f>
        <v/>
      </c>
      <c r="R499" s="981" t="str">
        <f>IF(R$17=FALSE,"",JUMData('Testo, JUM &amp; MRU Data'!M493,$R$7))</f>
        <v/>
      </c>
      <c r="S499" s="982" t="str">
        <f>IF(R499="","",Conc2(R499,R$9,MolVol,R$21,R$20,S$21,S$20)/(1-Bws))</f>
        <v/>
      </c>
      <c r="T499" s="740"/>
      <c r="AR499" s="335"/>
      <c r="AS499" s="335"/>
      <c r="AT499" s="153"/>
      <c r="AU499" s="153"/>
      <c r="AV499" s="153"/>
      <c r="AW499" s="153"/>
      <c r="AX499" s="153"/>
      <c r="AY499" s="153"/>
      <c r="AZ499" s="153"/>
      <c r="BA499" s="153"/>
      <c r="BB499" s="153"/>
      <c r="BC499" s="153"/>
      <c r="BD499" s="153"/>
      <c r="BE499" s="153"/>
      <c r="BF499" s="153"/>
      <c r="BG499" s="153"/>
      <c r="BH499" s="153"/>
      <c r="BI499" s="153"/>
      <c r="BJ499" s="153"/>
      <c r="BK499" s="153"/>
      <c r="BL499" s="153"/>
      <c r="BM499" s="153"/>
      <c r="BN499" s="153"/>
      <c r="BO499" s="153"/>
      <c r="BP499" s="153"/>
      <c r="BQ499" s="153"/>
      <c r="BR499" s="153"/>
      <c r="BS499" s="153"/>
      <c r="BT499" s="153"/>
      <c r="BU499" s="153"/>
      <c r="BV499" s="153"/>
      <c r="BW499" s="153"/>
      <c r="BX499" s="153"/>
      <c r="BY499" s="153"/>
      <c r="BZ499" s="153"/>
      <c r="CA499" s="153"/>
      <c r="CB499" s="153"/>
      <c r="CC499" s="153"/>
      <c r="CD499" s="153"/>
      <c r="CE499" s="153"/>
      <c r="CF499" s="153"/>
      <c r="CG499" s="153"/>
      <c r="CH499" s="153"/>
      <c r="CI499" s="153"/>
      <c r="CJ499" s="153"/>
      <c r="CK499" s="153"/>
      <c r="CL499" s="153"/>
      <c r="CM499" s="153"/>
      <c r="CN499" s="153"/>
      <c r="CO499" s="153"/>
      <c r="CP499" s="153"/>
      <c r="CQ499" s="153"/>
      <c r="CR499" s="153"/>
      <c r="CS499" s="153"/>
      <c r="CT499" s="153"/>
      <c r="CU499" s="153"/>
      <c r="CV499" s="153"/>
      <c r="CW499" s="153"/>
      <c r="CX499" s="153"/>
      <c r="CY499" s="153"/>
      <c r="CZ499" s="153"/>
      <c r="DA499" s="153"/>
      <c r="DB499" s="153"/>
      <c r="DC499" s="153"/>
      <c r="DD499" s="153"/>
      <c r="DE499" s="153"/>
      <c r="DF499" s="153"/>
      <c r="DG499" s="153"/>
      <c r="DH499" s="153"/>
      <c r="DI499" s="153"/>
      <c r="DJ499" s="153"/>
      <c r="DK499" s="153"/>
      <c r="DL499" s="153"/>
      <c r="DM499" s="153"/>
      <c r="DN499" s="153"/>
      <c r="DO499" s="153"/>
      <c r="DP499" s="153"/>
      <c r="DQ499" s="153"/>
      <c r="DR499" s="153"/>
      <c r="DS499" s="153"/>
      <c r="DT499" s="153"/>
      <c r="DU499" s="153"/>
      <c r="DV499" s="153"/>
      <c r="DW499" s="153"/>
      <c r="DX499" s="153"/>
      <c r="DY499" s="153"/>
      <c r="DZ499" s="153"/>
      <c r="EA499" s="153"/>
      <c r="EB499" s="153"/>
      <c r="EC499" s="153"/>
      <c r="ED499" s="153"/>
      <c r="EE499" s="153"/>
      <c r="EF499" s="153"/>
      <c r="EG499" s="153"/>
      <c r="EH499" s="153"/>
      <c r="EI499" s="153"/>
      <c r="EJ499" s="153"/>
      <c r="EK499" s="153"/>
      <c r="EL499" s="153"/>
      <c r="EM499" s="153"/>
    </row>
    <row r="500" spans="1:143" s="107" customFormat="1" ht="10.5" hidden="1" customHeight="1" outlineLevel="2">
      <c r="A500" s="1548">
        <v>475</v>
      </c>
      <c r="B500" s="1560" t="str">
        <f t="shared" si="9"/>
        <v/>
      </c>
      <c r="C500" s="161" t="str">
        <f>GasTime(GasAnalyser,'Horiba Data'!F493,'Horiba Data'!G493,'Testo, JUM &amp; MRU Data'!A494,'Thermo Data'!B493,HourOffset)</f>
        <v/>
      </c>
      <c r="D500" s="981" t="str">
        <f>IF(D$17=FALSE,"",GasData(GasAnalyser,'Horiba Data'!S493,'Testo, JUM &amp; MRU Data'!D494,'Thermo Data'!E493,'Testo, JUM &amp; MRU Data'!U494,GDF))</f>
        <v/>
      </c>
      <c r="E500" s="981" t="str">
        <f>IF(D500="","",Conc2(D500,D$9,MolVol,D$21,D$20,E$21,E$20))</f>
        <v/>
      </c>
      <c r="F500" s="981" t="str">
        <f>IF(F$17=FALSE,"",GasData(GasAnalyser,'Horiba Data'!AQ493,'Testo, JUM &amp; MRU Data'!E494,'Thermo Data'!F493,'Testo, JUM &amp; MRU Data'!V494,GDF))</f>
        <v/>
      </c>
      <c r="G500" s="981" t="str">
        <f>IF(F500="","",Conc2(F500,F$9,MolVol,F$21,F$20,G$21,G$20))</f>
        <v/>
      </c>
      <c r="H500" s="981" t="str">
        <f>IF(D$17=FALSE,"",IF(F$17=FALSE,"",GasData(GasAnalyser,'Horiba Data'!W493,'Testo, JUM &amp; MRU Data'!F494,'Thermo Data'!G493,'Testo, JUM &amp; MRU Data'!Y494,GDF)))</f>
        <v/>
      </c>
      <c r="I500" s="981" t="str">
        <f>IF(H500="","",Conc2(H500,H$9,MolVol,H$21,H$20,I$21,I$20))</f>
        <v/>
      </c>
      <c r="J500" s="981" t="str">
        <f>IF(J$17=FALSE,"",GasData(GasAnalyser,'Horiba Data'!AM493,'Testo, JUM &amp; MRU Data'!G494,'Thermo Data'!H493,'Testo, JUM &amp; MRU Data'!W494,GDF))</f>
        <v/>
      </c>
      <c r="K500" s="981" t="str">
        <f>IF(J500="","",Conc2(J500,J$9,MolVol,J$21,J$20,K$21,K$20))</f>
        <v/>
      </c>
      <c r="L500" s="981" t="str">
        <f>IF(L$17=FALSE,"",GasData(GasAnalyser,'Horiba Data'!AA493,'Testo, JUM &amp; MRU Data'!H494,'Thermo Data'!I493,'Testo, JUM &amp; MRU Data'!T494,GDF))</f>
        <v/>
      </c>
      <c r="M500" s="981" t="str">
        <f>IF(L500="","",Conc2(L500,L$9,MolVol,L$21,L$20,M$21,M$20))</f>
        <v/>
      </c>
      <c r="N500" s="981" t="str">
        <f>IF(N$17=FALSE,"",GasData(GasAnalyser,'Horiba Data'!AE493,'Testo, JUM &amp; MRU Data'!I494,'Thermo Data'!J493,'Testo, JUM &amp; MRU Data'!S494,GDF))</f>
        <v/>
      </c>
      <c r="O500" s="981" t="str">
        <f>IF(N500="","",Conc2(N500,N$9,MolVol,N$21,N$20,O$21,O$20))</f>
        <v/>
      </c>
      <c r="P500" s="981" t="str">
        <f>IF(P$17=FALSE,"",GasData(GasAnalyser,'Horiba Data'!AI493,'Testo, JUM &amp; MRU Data'!J494,'Thermo Data'!K493,'Testo, JUM &amp; MRU Data'!R494,GDF))</f>
        <v/>
      </c>
      <c r="Q500" s="981" t="str">
        <f>IF(P500="","",Conc2(P500,P$9,MolVol,P$21,P$20,Q$21,Q$20))</f>
        <v/>
      </c>
      <c r="R500" s="981" t="str">
        <f>IF(R$17=FALSE,"",JUMData('Testo, JUM &amp; MRU Data'!M494,$R$7))</f>
        <v/>
      </c>
      <c r="S500" s="982" t="str">
        <f>IF(R500="","",Conc2(R500,R$9,MolVol,R$21,R$20,S$21,S$20)/(1-Bws))</f>
        <v/>
      </c>
      <c r="T500" s="740"/>
      <c r="AR500" s="335"/>
      <c r="AS500" s="335"/>
      <c r="AT500" s="153"/>
      <c r="AU500" s="153"/>
      <c r="AV500" s="153"/>
      <c r="AW500" s="153"/>
      <c r="AX500" s="153"/>
      <c r="AY500" s="153"/>
      <c r="AZ500" s="153"/>
      <c r="BA500" s="153"/>
      <c r="BB500" s="153"/>
      <c r="BC500" s="153"/>
      <c r="BD500" s="153"/>
      <c r="BE500" s="153"/>
      <c r="BF500" s="153"/>
      <c r="BG500" s="153"/>
      <c r="BH500" s="153"/>
      <c r="BI500" s="153"/>
      <c r="BJ500" s="153"/>
      <c r="BK500" s="153"/>
      <c r="BL500" s="153"/>
      <c r="BM500" s="153"/>
      <c r="BN500" s="153"/>
      <c r="BO500" s="153"/>
      <c r="BP500" s="153"/>
      <c r="BQ500" s="153"/>
      <c r="BR500" s="153"/>
      <c r="BS500" s="153"/>
      <c r="BT500" s="153"/>
      <c r="BU500" s="153"/>
      <c r="BV500" s="153"/>
      <c r="BW500" s="153"/>
      <c r="BX500" s="153"/>
      <c r="BY500" s="153"/>
      <c r="BZ500" s="153"/>
      <c r="CA500" s="153"/>
      <c r="CB500" s="153"/>
      <c r="CC500" s="153"/>
      <c r="CD500" s="153"/>
      <c r="CE500" s="153"/>
      <c r="CF500" s="153"/>
      <c r="CG500" s="153"/>
      <c r="CH500" s="153"/>
      <c r="CI500" s="153"/>
      <c r="CJ500" s="153"/>
      <c r="CK500" s="153"/>
      <c r="CL500" s="153"/>
      <c r="CM500" s="153"/>
      <c r="CN500" s="153"/>
      <c r="CO500" s="153"/>
      <c r="CP500" s="153"/>
      <c r="CQ500" s="153"/>
      <c r="CR500" s="153"/>
      <c r="CS500" s="153"/>
      <c r="CT500" s="153"/>
      <c r="CU500" s="153"/>
      <c r="CV500" s="153"/>
      <c r="CW500" s="153"/>
      <c r="CX500" s="153"/>
      <c r="CY500" s="153"/>
      <c r="CZ500" s="153"/>
      <c r="DA500" s="153"/>
      <c r="DB500" s="153"/>
      <c r="DC500" s="153"/>
      <c r="DD500" s="153"/>
      <c r="DE500" s="153"/>
      <c r="DF500" s="153"/>
      <c r="DG500" s="153"/>
      <c r="DH500" s="153"/>
      <c r="DI500" s="153"/>
      <c r="DJ500" s="153"/>
      <c r="DK500" s="153"/>
      <c r="DL500" s="153"/>
      <c r="DM500" s="153"/>
      <c r="DN500" s="153"/>
      <c r="DO500" s="153"/>
      <c r="DP500" s="153"/>
      <c r="DQ500" s="153"/>
      <c r="DR500" s="153"/>
      <c r="DS500" s="153"/>
      <c r="DT500" s="153"/>
      <c r="DU500" s="153"/>
      <c r="DV500" s="153"/>
      <c r="DW500" s="153"/>
      <c r="DX500" s="153"/>
      <c r="DY500" s="153"/>
      <c r="DZ500" s="153"/>
      <c r="EA500" s="153"/>
      <c r="EB500" s="153"/>
      <c r="EC500" s="153"/>
      <c r="ED500" s="153"/>
      <c r="EE500" s="153"/>
      <c r="EF500" s="153"/>
      <c r="EG500" s="153"/>
      <c r="EH500" s="153"/>
      <c r="EI500" s="153"/>
      <c r="EJ500" s="153"/>
      <c r="EK500" s="153"/>
      <c r="EL500" s="153"/>
      <c r="EM500" s="153"/>
    </row>
    <row r="501" spans="1:143" s="107" customFormat="1" ht="10.5" hidden="1" customHeight="1" outlineLevel="2">
      <c r="A501" s="1548">
        <v>476</v>
      </c>
      <c r="B501" s="1560" t="str">
        <f t="shared" si="9"/>
        <v/>
      </c>
      <c r="C501" s="161" t="str">
        <f>GasTime(GasAnalyser,'Horiba Data'!F494,'Horiba Data'!G494,'Testo, JUM &amp; MRU Data'!A495,'Thermo Data'!B494,HourOffset)</f>
        <v/>
      </c>
      <c r="D501" s="981" t="str">
        <f>IF(D$17=FALSE,"",GasData(GasAnalyser,'Horiba Data'!S494,'Testo, JUM &amp; MRU Data'!D495,'Thermo Data'!E494,'Testo, JUM &amp; MRU Data'!U495,GDF))</f>
        <v/>
      </c>
      <c r="E501" s="981" t="str">
        <f>IF(D501="","",Conc2(D501,D$9,MolVol,D$21,D$20,E$21,E$20))</f>
        <v/>
      </c>
      <c r="F501" s="981" t="str">
        <f>IF(F$17=FALSE,"",GasData(GasAnalyser,'Horiba Data'!AQ494,'Testo, JUM &amp; MRU Data'!E495,'Thermo Data'!F494,'Testo, JUM &amp; MRU Data'!V495,GDF))</f>
        <v/>
      </c>
      <c r="G501" s="981" t="str">
        <f>IF(F501="","",Conc2(F501,F$9,MolVol,F$21,F$20,G$21,G$20))</f>
        <v/>
      </c>
      <c r="H501" s="981" t="str">
        <f>IF(D$17=FALSE,"",IF(F$17=FALSE,"",GasData(GasAnalyser,'Horiba Data'!W494,'Testo, JUM &amp; MRU Data'!F495,'Thermo Data'!G494,'Testo, JUM &amp; MRU Data'!Y495,GDF)))</f>
        <v/>
      </c>
      <c r="I501" s="981" t="str">
        <f>IF(H501="","",Conc2(H501,H$9,MolVol,H$21,H$20,I$21,I$20))</f>
        <v/>
      </c>
      <c r="J501" s="981" t="str">
        <f>IF(J$17=FALSE,"",GasData(GasAnalyser,'Horiba Data'!AM494,'Testo, JUM &amp; MRU Data'!G495,'Thermo Data'!H494,'Testo, JUM &amp; MRU Data'!W495,GDF))</f>
        <v/>
      </c>
      <c r="K501" s="981" t="str">
        <f>IF(J501="","",Conc2(J501,J$9,MolVol,J$21,J$20,K$21,K$20))</f>
        <v/>
      </c>
      <c r="L501" s="981" t="str">
        <f>IF(L$17=FALSE,"",GasData(GasAnalyser,'Horiba Data'!AA494,'Testo, JUM &amp; MRU Data'!H495,'Thermo Data'!I494,'Testo, JUM &amp; MRU Data'!T495,GDF))</f>
        <v/>
      </c>
      <c r="M501" s="981" t="str">
        <f>IF(L501="","",Conc2(L501,L$9,MolVol,L$21,L$20,M$21,M$20))</f>
        <v/>
      </c>
      <c r="N501" s="981" t="str">
        <f>IF(N$17=FALSE,"",GasData(GasAnalyser,'Horiba Data'!AE494,'Testo, JUM &amp; MRU Data'!I495,'Thermo Data'!J494,'Testo, JUM &amp; MRU Data'!S495,GDF))</f>
        <v/>
      </c>
      <c r="O501" s="981" t="str">
        <f>IF(N501="","",Conc2(N501,N$9,MolVol,N$21,N$20,O$21,O$20))</f>
        <v/>
      </c>
      <c r="P501" s="981" t="str">
        <f>IF(P$17=FALSE,"",GasData(GasAnalyser,'Horiba Data'!AI494,'Testo, JUM &amp; MRU Data'!J495,'Thermo Data'!K494,'Testo, JUM &amp; MRU Data'!R495,GDF))</f>
        <v/>
      </c>
      <c r="Q501" s="981" t="str">
        <f>IF(P501="","",Conc2(P501,P$9,MolVol,P$21,P$20,Q$21,Q$20))</f>
        <v/>
      </c>
      <c r="R501" s="981" t="str">
        <f>IF(R$17=FALSE,"",JUMData('Testo, JUM &amp; MRU Data'!M495,$R$7))</f>
        <v/>
      </c>
      <c r="S501" s="982" t="str">
        <f>IF(R501="","",Conc2(R501,R$9,MolVol,R$21,R$20,S$21,S$20)/(1-Bws))</f>
        <v/>
      </c>
      <c r="T501" s="740"/>
      <c r="AR501" s="335"/>
      <c r="AS501" s="335"/>
      <c r="AT501" s="153"/>
      <c r="AU501" s="153"/>
      <c r="AV501" s="153"/>
      <c r="AW501" s="153"/>
      <c r="AX501" s="153"/>
      <c r="AY501" s="153"/>
      <c r="AZ501" s="153"/>
      <c r="BA501" s="153"/>
      <c r="BB501" s="153"/>
      <c r="BC501" s="153"/>
      <c r="BD501" s="153"/>
      <c r="BE501" s="153"/>
      <c r="BF501" s="153"/>
      <c r="BG501" s="153"/>
      <c r="BH501" s="153"/>
      <c r="BI501" s="153"/>
      <c r="BJ501" s="153"/>
      <c r="BK501" s="153"/>
      <c r="BL501" s="153"/>
      <c r="BM501" s="153"/>
      <c r="BN501" s="153"/>
      <c r="BO501" s="153"/>
      <c r="BP501" s="153"/>
      <c r="BQ501" s="153"/>
      <c r="BR501" s="153"/>
      <c r="BS501" s="153"/>
      <c r="BT501" s="153"/>
      <c r="BU501" s="153"/>
      <c r="BV501" s="153"/>
      <c r="BW501" s="153"/>
      <c r="BX501" s="153"/>
      <c r="BY501" s="153"/>
      <c r="BZ501" s="153"/>
      <c r="CA501" s="153"/>
      <c r="CB501" s="153"/>
      <c r="CC501" s="153"/>
      <c r="CD501" s="153"/>
      <c r="CE501" s="153"/>
      <c r="CF501" s="153"/>
      <c r="CG501" s="153"/>
      <c r="CH501" s="153"/>
      <c r="CI501" s="153"/>
      <c r="CJ501" s="153"/>
      <c r="CK501" s="153"/>
      <c r="CL501" s="153"/>
      <c r="CM501" s="153"/>
      <c r="CN501" s="153"/>
      <c r="CO501" s="153"/>
      <c r="CP501" s="153"/>
      <c r="CQ501" s="153"/>
      <c r="CR501" s="153"/>
      <c r="CS501" s="153"/>
      <c r="CT501" s="153"/>
      <c r="CU501" s="153"/>
      <c r="CV501" s="153"/>
      <c r="CW501" s="153"/>
      <c r="CX501" s="153"/>
      <c r="CY501" s="153"/>
      <c r="CZ501" s="153"/>
      <c r="DA501" s="153"/>
      <c r="DB501" s="153"/>
      <c r="DC501" s="153"/>
      <c r="DD501" s="153"/>
      <c r="DE501" s="153"/>
      <c r="DF501" s="153"/>
      <c r="DG501" s="153"/>
      <c r="DH501" s="153"/>
      <c r="DI501" s="153"/>
      <c r="DJ501" s="153"/>
      <c r="DK501" s="153"/>
      <c r="DL501" s="153"/>
      <c r="DM501" s="153"/>
      <c r="DN501" s="153"/>
      <c r="DO501" s="153"/>
      <c r="DP501" s="153"/>
      <c r="DQ501" s="153"/>
      <c r="DR501" s="153"/>
      <c r="DS501" s="153"/>
      <c r="DT501" s="153"/>
      <c r="DU501" s="153"/>
      <c r="DV501" s="153"/>
      <c r="DW501" s="153"/>
      <c r="DX501" s="153"/>
      <c r="DY501" s="153"/>
      <c r="DZ501" s="153"/>
      <c r="EA501" s="153"/>
      <c r="EB501" s="153"/>
      <c r="EC501" s="153"/>
      <c r="ED501" s="153"/>
      <c r="EE501" s="153"/>
      <c r="EF501" s="153"/>
      <c r="EG501" s="153"/>
      <c r="EH501" s="153"/>
      <c r="EI501" s="153"/>
      <c r="EJ501" s="153"/>
      <c r="EK501" s="153"/>
      <c r="EL501" s="153"/>
      <c r="EM501" s="153"/>
    </row>
    <row r="502" spans="1:143" s="107" customFormat="1" ht="10.5" hidden="1" customHeight="1" outlineLevel="2">
      <c r="A502" s="1548">
        <v>477</v>
      </c>
      <c r="B502" s="1560" t="str">
        <f t="shared" si="9"/>
        <v/>
      </c>
      <c r="C502" s="161" t="str">
        <f>GasTime(GasAnalyser,'Horiba Data'!F495,'Horiba Data'!G495,'Testo, JUM &amp; MRU Data'!A496,'Thermo Data'!B495,HourOffset)</f>
        <v/>
      </c>
      <c r="D502" s="981" t="str">
        <f>IF(D$17=FALSE,"",GasData(GasAnalyser,'Horiba Data'!S495,'Testo, JUM &amp; MRU Data'!D496,'Thermo Data'!E495,'Testo, JUM &amp; MRU Data'!U496,GDF))</f>
        <v/>
      </c>
      <c r="E502" s="981" t="str">
        <f>IF(D502="","",Conc2(D502,D$9,MolVol,D$21,D$20,E$21,E$20))</f>
        <v/>
      </c>
      <c r="F502" s="981" t="str">
        <f>IF(F$17=FALSE,"",GasData(GasAnalyser,'Horiba Data'!AQ495,'Testo, JUM &amp; MRU Data'!E496,'Thermo Data'!F495,'Testo, JUM &amp; MRU Data'!V496,GDF))</f>
        <v/>
      </c>
      <c r="G502" s="981" t="str">
        <f>IF(F502="","",Conc2(F502,F$9,MolVol,F$21,F$20,G$21,G$20))</f>
        <v/>
      </c>
      <c r="H502" s="981" t="str">
        <f>IF(D$17=FALSE,"",IF(F$17=FALSE,"",GasData(GasAnalyser,'Horiba Data'!W495,'Testo, JUM &amp; MRU Data'!F496,'Thermo Data'!G495,'Testo, JUM &amp; MRU Data'!Y496,GDF)))</f>
        <v/>
      </c>
      <c r="I502" s="981" t="str">
        <f>IF(H502="","",Conc2(H502,H$9,MolVol,H$21,H$20,I$21,I$20))</f>
        <v/>
      </c>
      <c r="J502" s="981" t="str">
        <f>IF(J$17=FALSE,"",GasData(GasAnalyser,'Horiba Data'!AM495,'Testo, JUM &amp; MRU Data'!G496,'Thermo Data'!H495,'Testo, JUM &amp; MRU Data'!W496,GDF))</f>
        <v/>
      </c>
      <c r="K502" s="981" t="str">
        <f>IF(J502="","",Conc2(J502,J$9,MolVol,J$21,J$20,K$21,K$20))</f>
        <v/>
      </c>
      <c r="L502" s="981" t="str">
        <f>IF(L$17=FALSE,"",GasData(GasAnalyser,'Horiba Data'!AA495,'Testo, JUM &amp; MRU Data'!H496,'Thermo Data'!I495,'Testo, JUM &amp; MRU Data'!T496,GDF))</f>
        <v/>
      </c>
      <c r="M502" s="981" t="str">
        <f>IF(L502="","",Conc2(L502,L$9,MolVol,L$21,L$20,M$21,M$20))</f>
        <v/>
      </c>
      <c r="N502" s="981" t="str">
        <f>IF(N$17=FALSE,"",GasData(GasAnalyser,'Horiba Data'!AE495,'Testo, JUM &amp; MRU Data'!I496,'Thermo Data'!J495,'Testo, JUM &amp; MRU Data'!S496,GDF))</f>
        <v/>
      </c>
      <c r="O502" s="981" t="str">
        <f>IF(N502="","",Conc2(N502,N$9,MolVol,N$21,N$20,O$21,O$20))</f>
        <v/>
      </c>
      <c r="P502" s="981" t="str">
        <f>IF(P$17=FALSE,"",GasData(GasAnalyser,'Horiba Data'!AI495,'Testo, JUM &amp; MRU Data'!J496,'Thermo Data'!K495,'Testo, JUM &amp; MRU Data'!R496,GDF))</f>
        <v/>
      </c>
      <c r="Q502" s="981" t="str">
        <f>IF(P502="","",Conc2(P502,P$9,MolVol,P$21,P$20,Q$21,Q$20))</f>
        <v/>
      </c>
      <c r="R502" s="981" t="str">
        <f>IF(R$17=FALSE,"",JUMData('Testo, JUM &amp; MRU Data'!M496,$R$7))</f>
        <v/>
      </c>
      <c r="S502" s="982" t="str">
        <f>IF(R502="","",Conc2(R502,R$9,MolVol,R$21,R$20,S$21,S$20)/(1-Bws))</f>
        <v/>
      </c>
      <c r="T502" s="740"/>
      <c r="AR502" s="335"/>
      <c r="AS502" s="335"/>
      <c r="AT502" s="153"/>
      <c r="AU502" s="153"/>
      <c r="AV502" s="153"/>
      <c r="AW502" s="153"/>
      <c r="AX502" s="153"/>
      <c r="AY502" s="153"/>
      <c r="AZ502" s="153"/>
      <c r="BA502" s="153"/>
      <c r="BB502" s="153"/>
      <c r="BC502" s="153"/>
      <c r="BD502" s="153"/>
      <c r="BE502" s="153"/>
      <c r="BF502" s="153"/>
      <c r="BG502" s="153"/>
      <c r="BH502" s="153"/>
      <c r="BI502" s="153"/>
      <c r="BJ502" s="153"/>
      <c r="BK502" s="153"/>
      <c r="BL502" s="153"/>
      <c r="BM502" s="153"/>
      <c r="BN502" s="153"/>
      <c r="BO502" s="153"/>
      <c r="BP502" s="153"/>
      <c r="BQ502" s="153"/>
      <c r="BR502" s="153"/>
      <c r="BS502" s="153"/>
      <c r="BT502" s="153"/>
      <c r="BU502" s="153"/>
      <c r="BV502" s="153"/>
      <c r="BW502" s="153"/>
      <c r="BX502" s="153"/>
      <c r="BY502" s="153"/>
      <c r="BZ502" s="153"/>
      <c r="CA502" s="153"/>
      <c r="CB502" s="153"/>
      <c r="CC502" s="153"/>
      <c r="CD502" s="153"/>
      <c r="CE502" s="153"/>
      <c r="CF502" s="153"/>
      <c r="CG502" s="153"/>
      <c r="CH502" s="153"/>
      <c r="CI502" s="153"/>
      <c r="CJ502" s="153"/>
      <c r="CK502" s="153"/>
      <c r="CL502" s="153"/>
      <c r="CM502" s="153"/>
      <c r="CN502" s="153"/>
      <c r="CO502" s="153"/>
      <c r="CP502" s="153"/>
      <c r="CQ502" s="153"/>
      <c r="CR502" s="153"/>
      <c r="CS502" s="153"/>
      <c r="CT502" s="153"/>
      <c r="CU502" s="153"/>
      <c r="CV502" s="153"/>
      <c r="CW502" s="153"/>
      <c r="CX502" s="153"/>
      <c r="CY502" s="153"/>
      <c r="CZ502" s="153"/>
      <c r="DA502" s="153"/>
      <c r="DB502" s="153"/>
      <c r="DC502" s="153"/>
      <c r="DD502" s="153"/>
      <c r="DE502" s="153"/>
      <c r="DF502" s="153"/>
      <c r="DG502" s="153"/>
      <c r="DH502" s="153"/>
      <c r="DI502" s="153"/>
      <c r="DJ502" s="153"/>
      <c r="DK502" s="153"/>
      <c r="DL502" s="153"/>
      <c r="DM502" s="153"/>
      <c r="DN502" s="153"/>
      <c r="DO502" s="153"/>
      <c r="DP502" s="153"/>
      <c r="DQ502" s="153"/>
      <c r="DR502" s="153"/>
      <c r="DS502" s="153"/>
      <c r="DT502" s="153"/>
      <c r="DU502" s="153"/>
      <c r="DV502" s="153"/>
      <c r="DW502" s="153"/>
      <c r="DX502" s="153"/>
      <c r="DY502" s="153"/>
      <c r="DZ502" s="153"/>
      <c r="EA502" s="153"/>
      <c r="EB502" s="153"/>
      <c r="EC502" s="153"/>
      <c r="ED502" s="153"/>
      <c r="EE502" s="153"/>
      <c r="EF502" s="153"/>
      <c r="EG502" s="153"/>
      <c r="EH502" s="153"/>
      <c r="EI502" s="153"/>
      <c r="EJ502" s="153"/>
      <c r="EK502" s="153"/>
      <c r="EL502" s="153"/>
      <c r="EM502" s="153"/>
    </row>
    <row r="503" spans="1:143" s="107" customFormat="1" ht="10.5" hidden="1" customHeight="1" outlineLevel="2">
      <c r="A503" s="1548">
        <v>478</v>
      </c>
      <c r="B503" s="1560" t="str">
        <f t="shared" si="9"/>
        <v/>
      </c>
      <c r="C503" s="161" t="str">
        <f>GasTime(GasAnalyser,'Horiba Data'!F496,'Horiba Data'!G496,'Testo, JUM &amp; MRU Data'!A497,'Thermo Data'!B496,HourOffset)</f>
        <v/>
      </c>
      <c r="D503" s="981" t="str">
        <f>IF(D$17=FALSE,"",GasData(GasAnalyser,'Horiba Data'!S496,'Testo, JUM &amp; MRU Data'!D497,'Thermo Data'!E496,'Testo, JUM &amp; MRU Data'!U497,GDF))</f>
        <v/>
      </c>
      <c r="E503" s="981" t="str">
        <f>IF(D503="","",Conc2(D503,D$9,MolVol,D$21,D$20,E$21,E$20))</f>
        <v/>
      </c>
      <c r="F503" s="981" t="str">
        <f>IF(F$17=FALSE,"",GasData(GasAnalyser,'Horiba Data'!AQ496,'Testo, JUM &amp; MRU Data'!E497,'Thermo Data'!F496,'Testo, JUM &amp; MRU Data'!V497,GDF))</f>
        <v/>
      </c>
      <c r="G503" s="981" t="str">
        <f>IF(F503="","",Conc2(F503,F$9,MolVol,F$21,F$20,G$21,G$20))</f>
        <v/>
      </c>
      <c r="H503" s="981" t="str">
        <f>IF(D$17=FALSE,"",IF(F$17=FALSE,"",GasData(GasAnalyser,'Horiba Data'!W496,'Testo, JUM &amp; MRU Data'!F497,'Thermo Data'!G496,'Testo, JUM &amp; MRU Data'!Y497,GDF)))</f>
        <v/>
      </c>
      <c r="I503" s="981" t="str">
        <f>IF(H503="","",Conc2(H503,H$9,MolVol,H$21,H$20,I$21,I$20))</f>
        <v/>
      </c>
      <c r="J503" s="981" t="str">
        <f>IF(J$17=FALSE,"",GasData(GasAnalyser,'Horiba Data'!AM496,'Testo, JUM &amp; MRU Data'!G497,'Thermo Data'!H496,'Testo, JUM &amp; MRU Data'!W497,GDF))</f>
        <v/>
      </c>
      <c r="K503" s="981" t="str">
        <f>IF(J503="","",Conc2(J503,J$9,MolVol,J$21,J$20,K$21,K$20))</f>
        <v/>
      </c>
      <c r="L503" s="981" t="str">
        <f>IF(L$17=FALSE,"",GasData(GasAnalyser,'Horiba Data'!AA496,'Testo, JUM &amp; MRU Data'!H497,'Thermo Data'!I496,'Testo, JUM &amp; MRU Data'!T497,GDF))</f>
        <v/>
      </c>
      <c r="M503" s="981" t="str">
        <f>IF(L503="","",Conc2(L503,L$9,MolVol,L$21,L$20,M$21,M$20))</f>
        <v/>
      </c>
      <c r="N503" s="981" t="str">
        <f>IF(N$17=FALSE,"",GasData(GasAnalyser,'Horiba Data'!AE496,'Testo, JUM &amp; MRU Data'!I497,'Thermo Data'!J496,'Testo, JUM &amp; MRU Data'!S497,GDF))</f>
        <v/>
      </c>
      <c r="O503" s="981" t="str">
        <f>IF(N503="","",Conc2(N503,N$9,MolVol,N$21,N$20,O$21,O$20))</f>
        <v/>
      </c>
      <c r="P503" s="981" t="str">
        <f>IF(P$17=FALSE,"",GasData(GasAnalyser,'Horiba Data'!AI496,'Testo, JUM &amp; MRU Data'!J497,'Thermo Data'!K496,'Testo, JUM &amp; MRU Data'!R497,GDF))</f>
        <v/>
      </c>
      <c r="Q503" s="981" t="str">
        <f>IF(P503="","",Conc2(P503,P$9,MolVol,P$21,P$20,Q$21,Q$20))</f>
        <v/>
      </c>
      <c r="R503" s="981" t="str">
        <f>IF(R$17=FALSE,"",JUMData('Testo, JUM &amp; MRU Data'!M497,$R$7))</f>
        <v/>
      </c>
      <c r="S503" s="982" t="str">
        <f>IF(R503="","",Conc2(R503,R$9,MolVol,R$21,R$20,S$21,S$20)/(1-Bws))</f>
        <v/>
      </c>
      <c r="T503" s="740"/>
      <c r="AR503" s="335"/>
      <c r="AS503" s="335"/>
      <c r="AT503" s="153"/>
      <c r="AU503" s="153"/>
      <c r="AV503" s="153"/>
      <c r="AW503" s="153"/>
      <c r="AX503" s="153"/>
      <c r="AY503" s="153"/>
      <c r="AZ503" s="153"/>
      <c r="BA503" s="153"/>
      <c r="BB503" s="153"/>
      <c r="BC503" s="153"/>
      <c r="BD503" s="153"/>
      <c r="BE503" s="153"/>
      <c r="BF503" s="153"/>
      <c r="BG503" s="153"/>
      <c r="BH503" s="153"/>
      <c r="BI503" s="153"/>
      <c r="BJ503" s="153"/>
      <c r="BK503" s="153"/>
      <c r="BL503" s="153"/>
      <c r="BM503" s="153"/>
      <c r="BN503" s="153"/>
      <c r="BO503" s="153"/>
      <c r="BP503" s="153"/>
      <c r="BQ503" s="153"/>
      <c r="BR503" s="153"/>
      <c r="BS503" s="153"/>
      <c r="BT503" s="153"/>
      <c r="BU503" s="153"/>
      <c r="BV503" s="153"/>
      <c r="BW503" s="153"/>
      <c r="BX503" s="153"/>
      <c r="BY503" s="153"/>
      <c r="BZ503" s="153"/>
      <c r="CA503" s="153"/>
      <c r="CB503" s="153"/>
      <c r="CC503" s="153"/>
      <c r="CD503" s="153"/>
      <c r="CE503" s="153"/>
      <c r="CF503" s="153"/>
      <c r="CG503" s="153"/>
      <c r="CH503" s="153"/>
      <c r="CI503" s="153"/>
      <c r="CJ503" s="153"/>
      <c r="CK503" s="153"/>
      <c r="CL503" s="153"/>
      <c r="CM503" s="153"/>
      <c r="CN503" s="153"/>
      <c r="CO503" s="153"/>
      <c r="CP503" s="153"/>
      <c r="CQ503" s="153"/>
      <c r="CR503" s="153"/>
      <c r="CS503" s="153"/>
      <c r="CT503" s="153"/>
      <c r="CU503" s="153"/>
      <c r="CV503" s="153"/>
      <c r="CW503" s="153"/>
      <c r="CX503" s="153"/>
      <c r="CY503" s="153"/>
      <c r="CZ503" s="153"/>
      <c r="DA503" s="153"/>
      <c r="DB503" s="153"/>
      <c r="DC503" s="153"/>
      <c r="DD503" s="153"/>
      <c r="DE503" s="153"/>
      <c r="DF503" s="153"/>
      <c r="DG503" s="153"/>
      <c r="DH503" s="153"/>
      <c r="DI503" s="153"/>
      <c r="DJ503" s="153"/>
      <c r="DK503" s="153"/>
      <c r="DL503" s="153"/>
      <c r="DM503" s="153"/>
      <c r="DN503" s="153"/>
      <c r="DO503" s="153"/>
      <c r="DP503" s="153"/>
      <c r="DQ503" s="153"/>
      <c r="DR503" s="153"/>
      <c r="DS503" s="153"/>
      <c r="DT503" s="153"/>
      <c r="DU503" s="153"/>
      <c r="DV503" s="153"/>
      <c r="DW503" s="153"/>
      <c r="DX503" s="153"/>
      <c r="DY503" s="153"/>
      <c r="DZ503" s="153"/>
      <c r="EA503" s="153"/>
      <c r="EB503" s="153"/>
      <c r="EC503" s="153"/>
      <c r="ED503" s="153"/>
      <c r="EE503" s="153"/>
      <c r="EF503" s="153"/>
      <c r="EG503" s="153"/>
      <c r="EH503" s="153"/>
      <c r="EI503" s="153"/>
      <c r="EJ503" s="153"/>
      <c r="EK503" s="153"/>
      <c r="EL503" s="153"/>
      <c r="EM503" s="153"/>
    </row>
    <row r="504" spans="1:143" s="107" customFormat="1" ht="10.5" hidden="1" customHeight="1" outlineLevel="2">
      <c r="A504" s="1548">
        <v>479</v>
      </c>
      <c r="B504" s="1560" t="str">
        <f t="shared" si="9"/>
        <v/>
      </c>
      <c r="C504" s="161" t="str">
        <f>GasTime(GasAnalyser,'Horiba Data'!F497,'Horiba Data'!G497,'Testo, JUM &amp; MRU Data'!A498,'Thermo Data'!B497,HourOffset)</f>
        <v/>
      </c>
      <c r="D504" s="981" t="str">
        <f>IF(D$17=FALSE,"",GasData(GasAnalyser,'Horiba Data'!S497,'Testo, JUM &amp; MRU Data'!D498,'Thermo Data'!E497,'Testo, JUM &amp; MRU Data'!U498,GDF))</f>
        <v/>
      </c>
      <c r="E504" s="981" t="str">
        <f>IF(D504="","",Conc2(D504,D$9,MolVol,D$21,D$20,E$21,E$20))</f>
        <v/>
      </c>
      <c r="F504" s="981" t="str">
        <f>IF(F$17=FALSE,"",GasData(GasAnalyser,'Horiba Data'!AQ497,'Testo, JUM &amp; MRU Data'!E498,'Thermo Data'!F497,'Testo, JUM &amp; MRU Data'!V498,GDF))</f>
        <v/>
      </c>
      <c r="G504" s="981" t="str">
        <f>IF(F504="","",Conc2(F504,F$9,MolVol,F$21,F$20,G$21,G$20))</f>
        <v/>
      </c>
      <c r="H504" s="981" t="str">
        <f>IF(D$17=FALSE,"",IF(F$17=FALSE,"",GasData(GasAnalyser,'Horiba Data'!W497,'Testo, JUM &amp; MRU Data'!F498,'Thermo Data'!G497,'Testo, JUM &amp; MRU Data'!Y498,GDF)))</f>
        <v/>
      </c>
      <c r="I504" s="981" t="str">
        <f>IF(H504="","",Conc2(H504,H$9,MolVol,H$21,H$20,I$21,I$20))</f>
        <v/>
      </c>
      <c r="J504" s="981" t="str">
        <f>IF(J$17=FALSE,"",GasData(GasAnalyser,'Horiba Data'!AM497,'Testo, JUM &amp; MRU Data'!G498,'Thermo Data'!H497,'Testo, JUM &amp; MRU Data'!W498,GDF))</f>
        <v/>
      </c>
      <c r="K504" s="981" t="str">
        <f>IF(J504="","",Conc2(J504,J$9,MolVol,J$21,J$20,K$21,K$20))</f>
        <v/>
      </c>
      <c r="L504" s="981" t="str">
        <f>IF(L$17=FALSE,"",GasData(GasAnalyser,'Horiba Data'!AA497,'Testo, JUM &amp; MRU Data'!H498,'Thermo Data'!I497,'Testo, JUM &amp; MRU Data'!T498,GDF))</f>
        <v/>
      </c>
      <c r="M504" s="981" t="str">
        <f>IF(L504="","",Conc2(L504,L$9,MolVol,L$21,L$20,M$21,M$20))</f>
        <v/>
      </c>
      <c r="N504" s="981" t="str">
        <f>IF(N$17=FALSE,"",GasData(GasAnalyser,'Horiba Data'!AE497,'Testo, JUM &amp; MRU Data'!I498,'Thermo Data'!J497,'Testo, JUM &amp; MRU Data'!S498,GDF))</f>
        <v/>
      </c>
      <c r="O504" s="981" t="str">
        <f>IF(N504="","",Conc2(N504,N$9,MolVol,N$21,N$20,O$21,O$20))</f>
        <v/>
      </c>
      <c r="P504" s="981" t="str">
        <f>IF(P$17=FALSE,"",GasData(GasAnalyser,'Horiba Data'!AI497,'Testo, JUM &amp; MRU Data'!J498,'Thermo Data'!K497,'Testo, JUM &amp; MRU Data'!R498,GDF))</f>
        <v/>
      </c>
      <c r="Q504" s="981" t="str">
        <f>IF(P504="","",Conc2(P504,P$9,MolVol,P$21,P$20,Q$21,Q$20))</f>
        <v/>
      </c>
      <c r="R504" s="981" t="str">
        <f>IF(R$17=FALSE,"",JUMData('Testo, JUM &amp; MRU Data'!M498,$R$7))</f>
        <v/>
      </c>
      <c r="S504" s="982" t="str">
        <f>IF(R504="","",Conc2(R504,R$9,MolVol,R$21,R$20,S$21,S$20)/(1-Bws))</f>
        <v/>
      </c>
      <c r="T504" s="740"/>
      <c r="AR504" s="335"/>
      <c r="AS504" s="335"/>
      <c r="AT504" s="153"/>
      <c r="AU504" s="153"/>
      <c r="AV504" s="153"/>
      <c r="AW504" s="153"/>
      <c r="AX504" s="153"/>
      <c r="AY504" s="153"/>
      <c r="AZ504" s="153"/>
      <c r="BA504" s="153"/>
      <c r="BB504" s="153"/>
      <c r="BC504" s="153"/>
      <c r="BD504" s="153"/>
      <c r="BE504" s="153"/>
      <c r="BF504" s="153"/>
      <c r="BG504" s="153"/>
      <c r="BH504" s="153"/>
      <c r="BI504" s="153"/>
      <c r="BJ504" s="153"/>
      <c r="BK504" s="153"/>
      <c r="BL504" s="153"/>
      <c r="BM504" s="153"/>
      <c r="BN504" s="153"/>
      <c r="BO504" s="153"/>
      <c r="BP504" s="153"/>
      <c r="BQ504" s="153"/>
      <c r="BR504" s="153"/>
      <c r="BS504" s="153"/>
      <c r="BT504" s="153"/>
      <c r="BU504" s="153"/>
      <c r="BV504" s="153"/>
      <c r="BW504" s="153"/>
      <c r="BX504" s="153"/>
      <c r="BY504" s="153"/>
      <c r="BZ504" s="153"/>
      <c r="CA504" s="153"/>
      <c r="CB504" s="153"/>
      <c r="CC504" s="153"/>
      <c r="CD504" s="153"/>
      <c r="CE504" s="153"/>
      <c r="CF504" s="153"/>
      <c r="CG504" s="153"/>
      <c r="CH504" s="153"/>
      <c r="CI504" s="153"/>
      <c r="CJ504" s="153"/>
      <c r="CK504" s="153"/>
      <c r="CL504" s="153"/>
      <c r="CM504" s="153"/>
      <c r="CN504" s="153"/>
      <c r="CO504" s="153"/>
      <c r="CP504" s="153"/>
      <c r="CQ504" s="153"/>
      <c r="CR504" s="153"/>
      <c r="CS504" s="153"/>
      <c r="CT504" s="153"/>
      <c r="CU504" s="153"/>
      <c r="CV504" s="153"/>
      <c r="CW504" s="153"/>
      <c r="CX504" s="153"/>
      <c r="CY504" s="153"/>
      <c r="CZ504" s="153"/>
      <c r="DA504" s="153"/>
      <c r="DB504" s="153"/>
      <c r="DC504" s="153"/>
      <c r="DD504" s="153"/>
      <c r="DE504" s="153"/>
      <c r="DF504" s="153"/>
      <c r="DG504" s="153"/>
      <c r="DH504" s="153"/>
      <c r="DI504" s="153"/>
      <c r="DJ504" s="153"/>
      <c r="DK504" s="153"/>
      <c r="DL504" s="153"/>
      <c r="DM504" s="153"/>
      <c r="DN504" s="153"/>
      <c r="DO504" s="153"/>
      <c r="DP504" s="153"/>
      <c r="DQ504" s="153"/>
      <c r="DR504" s="153"/>
      <c r="DS504" s="153"/>
      <c r="DT504" s="153"/>
      <c r="DU504" s="153"/>
      <c r="DV504" s="153"/>
      <c r="DW504" s="153"/>
      <c r="DX504" s="153"/>
      <c r="DY504" s="153"/>
      <c r="DZ504" s="153"/>
      <c r="EA504" s="153"/>
      <c r="EB504" s="153"/>
      <c r="EC504" s="153"/>
      <c r="ED504" s="153"/>
      <c r="EE504" s="153"/>
      <c r="EF504" s="153"/>
      <c r="EG504" s="153"/>
      <c r="EH504" s="153"/>
      <c r="EI504" s="153"/>
      <c r="EJ504" s="153"/>
      <c r="EK504" s="153"/>
      <c r="EL504" s="153"/>
      <c r="EM504" s="153"/>
    </row>
    <row r="505" spans="1:143" s="107" customFormat="1" ht="10.5" hidden="1" customHeight="1" outlineLevel="2" thickBot="1">
      <c r="A505" s="1548">
        <v>480</v>
      </c>
      <c r="B505" s="1560" t="str">
        <f t="shared" si="9"/>
        <v/>
      </c>
      <c r="C505" s="161" t="str">
        <f>GasTime(GasAnalyser,'Horiba Data'!F498,'Horiba Data'!G498,'Testo, JUM &amp; MRU Data'!A499,'Thermo Data'!B498,HourOffset)</f>
        <v/>
      </c>
      <c r="D505" s="981" t="str">
        <f>IF(D$17=FALSE,"",GasData(GasAnalyser,'Horiba Data'!S498,'Testo, JUM &amp; MRU Data'!D499,'Thermo Data'!E498,'Testo, JUM &amp; MRU Data'!U499,GDF))</f>
        <v/>
      </c>
      <c r="E505" s="981" t="str">
        <f>IF(D505="","",Conc2(D505,D$9,MolVol,D$21,D$20,E$21,E$20))</f>
        <v/>
      </c>
      <c r="F505" s="981" t="str">
        <f>IF(F$17=FALSE,"",GasData(GasAnalyser,'Horiba Data'!AQ498,'Testo, JUM &amp; MRU Data'!E499,'Thermo Data'!F498,'Testo, JUM &amp; MRU Data'!V499,GDF))</f>
        <v/>
      </c>
      <c r="G505" s="981" t="str">
        <f>IF(F505="","",Conc2(F505,F$9,MolVol,F$21,F$20,G$21,G$20))</f>
        <v/>
      </c>
      <c r="H505" s="981" t="str">
        <f>IF(D$17=FALSE,"",IF(F$17=FALSE,"",GasData(GasAnalyser,'Horiba Data'!W498,'Testo, JUM &amp; MRU Data'!F499,'Thermo Data'!G498,'Testo, JUM &amp; MRU Data'!Y499,GDF)))</f>
        <v/>
      </c>
      <c r="I505" s="981" t="str">
        <f>IF(H505="","",Conc2(H505,H$9,MolVol,H$21,H$20,I$21,I$20))</f>
        <v/>
      </c>
      <c r="J505" s="981" t="str">
        <f>IF(J$17=FALSE,"",GasData(GasAnalyser,'Horiba Data'!AM498,'Testo, JUM &amp; MRU Data'!G499,'Thermo Data'!H498,'Testo, JUM &amp; MRU Data'!W499,GDF))</f>
        <v/>
      </c>
      <c r="K505" s="981" t="str">
        <f>IF(J505="","",Conc2(J505,J$9,MolVol,J$21,J$20,K$21,K$20))</f>
        <v/>
      </c>
      <c r="L505" s="981" t="str">
        <f>IF(L$17=FALSE,"",GasData(GasAnalyser,'Horiba Data'!AA498,'Testo, JUM &amp; MRU Data'!H499,'Thermo Data'!I498,'Testo, JUM &amp; MRU Data'!T499,GDF))</f>
        <v/>
      </c>
      <c r="M505" s="981" t="str">
        <f>IF(L505="","",Conc2(L505,L$9,MolVol,L$21,L$20,M$21,M$20))</f>
        <v/>
      </c>
      <c r="N505" s="981" t="str">
        <f>IF(N$17=FALSE,"",GasData(GasAnalyser,'Horiba Data'!AE498,'Testo, JUM &amp; MRU Data'!I499,'Thermo Data'!J498,'Testo, JUM &amp; MRU Data'!S499,GDF))</f>
        <v/>
      </c>
      <c r="O505" s="981" t="str">
        <f>IF(N505="","",Conc2(N505,N$9,MolVol,N$21,N$20,O$21,O$20))</f>
        <v/>
      </c>
      <c r="P505" s="981" t="str">
        <f>IF(P$17=FALSE,"",GasData(GasAnalyser,'Horiba Data'!AI498,'Testo, JUM &amp; MRU Data'!J499,'Thermo Data'!K498,'Testo, JUM &amp; MRU Data'!R499,GDF))</f>
        <v/>
      </c>
      <c r="Q505" s="981" t="str">
        <f>IF(P505="","",Conc2(P505,P$9,MolVol,P$21,P$20,Q$21,Q$20))</f>
        <v/>
      </c>
      <c r="R505" s="981" t="str">
        <f>IF(R$17=FALSE,"",JUMData('Testo, JUM &amp; MRU Data'!M499,$R$7))</f>
        <v/>
      </c>
      <c r="S505" s="982" t="str">
        <f>IF(R505="","",Conc2(R505,R$9,MolVol,R$21,R$20,S$21,S$20)/(1-Bws))</f>
        <v/>
      </c>
      <c r="T505" s="740"/>
      <c r="AR505" s="336"/>
      <c r="AS505" s="336"/>
      <c r="AT505" s="153"/>
      <c r="AU505" s="153"/>
      <c r="AV505" s="153"/>
      <c r="AW505" s="153"/>
      <c r="AX505" s="153"/>
      <c r="AY505" s="153"/>
      <c r="AZ505" s="153"/>
      <c r="BA505" s="153"/>
      <c r="BB505" s="153"/>
      <c r="BC505" s="153"/>
      <c r="BD505" s="153"/>
      <c r="BE505" s="153"/>
      <c r="BF505" s="153"/>
      <c r="BG505" s="153"/>
      <c r="BH505" s="153"/>
      <c r="BI505" s="153"/>
      <c r="BJ505" s="153"/>
      <c r="BK505" s="153"/>
      <c r="BL505" s="153"/>
      <c r="BM505" s="153"/>
      <c r="BN505" s="153"/>
      <c r="BO505" s="153"/>
      <c r="BP505" s="153"/>
      <c r="BQ505" s="153"/>
      <c r="BR505" s="153"/>
      <c r="BS505" s="153"/>
      <c r="BT505" s="153"/>
      <c r="BU505" s="153"/>
      <c r="BV505" s="153"/>
      <c r="BW505" s="153"/>
      <c r="BX505" s="153"/>
      <c r="BY505" s="153"/>
      <c r="BZ505" s="153"/>
      <c r="CA505" s="153"/>
      <c r="CB505" s="153"/>
      <c r="CC505" s="153"/>
      <c r="CD505" s="153"/>
      <c r="CE505" s="153"/>
      <c r="CF505" s="153"/>
      <c r="CG505" s="153"/>
      <c r="CH505" s="153"/>
      <c r="CI505" s="153"/>
      <c r="CJ505" s="153"/>
      <c r="CK505" s="153"/>
      <c r="CL505" s="153"/>
      <c r="CM505" s="153"/>
      <c r="CN505" s="153"/>
      <c r="CO505" s="153"/>
      <c r="CP505" s="153"/>
      <c r="CQ505" s="153"/>
      <c r="CR505" s="153"/>
      <c r="CS505" s="153"/>
      <c r="CT505" s="153"/>
      <c r="CU505" s="153"/>
      <c r="CV505" s="153"/>
      <c r="CW505" s="153"/>
      <c r="CX505" s="153"/>
      <c r="CY505" s="153"/>
      <c r="CZ505" s="153"/>
      <c r="DA505" s="153"/>
      <c r="DB505" s="153"/>
      <c r="DC505" s="153"/>
      <c r="DD505" s="153"/>
      <c r="DE505" s="153"/>
      <c r="DF505" s="153"/>
      <c r="DG505" s="153"/>
      <c r="DH505" s="153"/>
      <c r="DI505" s="153"/>
      <c r="DJ505" s="153"/>
      <c r="DK505" s="153"/>
      <c r="DL505" s="153"/>
      <c r="DM505" s="153"/>
      <c r="DN505" s="153"/>
      <c r="DO505" s="153"/>
      <c r="DP505" s="153"/>
      <c r="DQ505" s="153"/>
      <c r="DR505" s="153"/>
      <c r="DS505" s="153"/>
      <c r="DT505" s="153"/>
      <c r="DU505" s="153"/>
      <c r="DV505" s="153"/>
      <c r="DW505" s="153"/>
      <c r="DX505" s="153"/>
      <c r="DY505" s="153"/>
      <c r="DZ505" s="153"/>
      <c r="EA505" s="153"/>
      <c r="EB505" s="153"/>
      <c r="EC505" s="153"/>
      <c r="ED505" s="153"/>
      <c r="EE505" s="153"/>
      <c r="EF505" s="153"/>
      <c r="EG505" s="153"/>
      <c r="EH505" s="153"/>
      <c r="EI505" s="153"/>
      <c r="EJ505" s="153"/>
      <c r="EK505" s="153"/>
      <c r="EL505" s="153"/>
      <c r="EM505" s="153"/>
    </row>
    <row r="506" spans="1:143" s="107" customFormat="1" ht="10.5" customHeight="1" collapsed="1">
      <c r="A506" s="1123" t="s">
        <v>1280</v>
      </c>
      <c r="B506" s="1561"/>
      <c r="C506" s="1124"/>
      <c r="D506" s="2753" t="str">
        <f>D8</f>
        <v>NO as NO2</v>
      </c>
      <c r="E506" s="2753"/>
      <c r="F506" s="2753" t="str">
        <f>F8</f>
        <v>NO2</v>
      </c>
      <c r="G506" s="2753"/>
      <c r="H506" s="2753" t="str">
        <f>H8</f>
        <v>NOx as NO2</v>
      </c>
      <c r="I506" s="2753"/>
      <c r="J506" s="2753" t="str">
        <f>J8</f>
        <v>SO2</v>
      </c>
      <c r="K506" s="2753"/>
      <c r="L506" s="2753" t="str">
        <f>L8</f>
        <v>CO</v>
      </c>
      <c r="M506" s="2753"/>
      <c r="N506" s="2753" t="str">
        <f>N8</f>
        <v>CO2</v>
      </c>
      <c r="O506" s="2753"/>
      <c r="P506" s="2753" t="str">
        <f>P8</f>
        <v>O2</v>
      </c>
      <c r="Q506" s="2753"/>
      <c r="R506" s="2753" t="str">
        <f>R8</f>
        <v>TOC (as methane)</v>
      </c>
      <c r="S506" s="2754"/>
      <c r="T506" s="740"/>
      <c r="AR506" s="153"/>
      <c r="AS506" s="153"/>
      <c r="AT506" s="153"/>
      <c r="AU506" s="153"/>
      <c r="AV506" s="153"/>
      <c r="AW506" s="153"/>
      <c r="AX506" s="153"/>
      <c r="AY506" s="153"/>
      <c r="AZ506" s="153"/>
      <c r="BA506" s="153"/>
      <c r="BB506" s="153"/>
      <c r="BC506" s="153"/>
      <c r="BD506" s="153"/>
      <c r="BE506" s="153"/>
      <c r="BF506" s="153"/>
      <c r="BG506" s="153"/>
      <c r="BH506" s="153"/>
      <c r="BI506" s="153"/>
      <c r="BJ506" s="153"/>
      <c r="BK506" s="153"/>
      <c r="BL506" s="153"/>
      <c r="BM506" s="153"/>
      <c r="BN506" s="153"/>
      <c r="BO506" s="153"/>
      <c r="BP506" s="153"/>
      <c r="BQ506" s="153"/>
      <c r="BR506" s="153"/>
      <c r="BS506" s="153"/>
      <c r="BT506" s="153"/>
      <c r="BU506" s="153"/>
      <c r="BV506" s="153"/>
      <c r="BW506" s="153"/>
      <c r="BX506" s="153"/>
      <c r="BY506" s="153"/>
      <c r="BZ506" s="153"/>
      <c r="CA506" s="153"/>
      <c r="CB506" s="153"/>
      <c r="CC506" s="153"/>
      <c r="CD506" s="153"/>
      <c r="CE506" s="153"/>
      <c r="CF506" s="153"/>
      <c r="CG506" s="153"/>
      <c r="CH506" s="153"/>
      <c r="CI506" s="153"/>
      <c r="CJ506" s="153"/>
      <c r="CK506" s="153"/>
      <c r="CL506" s="153"/>
      <c r="CM506" s="153"/>
      <c r="CN506" s="153"/>
      <c r="CO506" s="153"/>
      <c r="CP506" s="153"/>
      <c r="CQ506" s="153"/>
      <c r="CR506" s="153"/>
      <c r="CS506" s="153"/>
      <c r="CT506" s="153"/>
      <c r="CU506" s="153"/>
      <c r="CV506" s="153"/>
      <c r="CW506" s="153"/>
      <c r="CX506" s="153"/>
      <c r="CY506" s="153"/>
      <c r="CZ506" s="153"/>
      <c r="DA506" s="153"/>
      <c r="DB506" s="153"/>
      <c r="DC506" s="153"/>
      <c r="DD506" s="153"/>
      <c r="DE506" s="153"/>
      <c r="DF506" s="153"/>
      <c r="DG506" s="153"/>
      <c r="DH506" s="153"/>
      <c r="DI506" s="153"/>
      <c r="DJ506" s="153"/>
      <c r="DK506" s="153"/>
      <c r="DL506" s="153"/>
      <c r="DM506" s="153"/>
      <c r="DN506" s="153"/>
      <c r="DO506" s="153"/>
      <c r="DP506" s="153"/>
      <c r="DQ506" s="153"/>
      <c r="DR506" s="153"/>
      <c r="DS506" s="153"/>
      <c r="DT506" s="153"/>
      <c r="DU506" s="153"/>
      <c r="DV506" s="153"/>
      <c r="DW506" s="153"/>
      <c r="DX506" s="153"/>
      <c r="DY506" s="153"/>
      <c r="DZ506" s="153"/>
      <c r="EA506" s="153"/>
      <c r="EB506" s="153"/>
      <c r="EC506" s="153"/>
      <c r="ED506" s="153"/>
      <c r="EE506" s="153"/>
      <c r="EF506" s="153"/>
      <c r="EG506" s="153"/>
      <c r="EH506" s="153"/>
      <c r="EI506" s="153"/>
      <c r="EJ506" s="153"/>
      <c r="EK506" s="153"/>
      <c r="EL506" s="153"/>
      <c r="EM506" s="153"/>
    </row>
    <row r="507" spans="1:143" s="107" customFormat="1" ht="10.5" customHeight="1">
      <c r="A507" s="1125"/>
      <c r="B507" s="1562"/>
      <c r="C507" s="1127" t="s">
        <v>588</v>
      </c>
      <c r="D507" s="163" t="s">
        <v>1200</v>
      </c>
      <c r="E507" s="163"/>
      <c r="F507" s="163" t="s">
        <v>1200</v>
      </c>
      <c r="G507" s="163"/>
      <c r="H507" s="163" t="s">
        <v>1200</v>
      </c>
      <c r="I507" s="163"/>
      <c r="J507" s="163" t="s">
        <v>1200</v>
      </c>
      <c r="K507" s="163"/>
      <c r="L507" s="163" t="s">
        <v>1200</v>
      </c>
      <c r="M507" s="163"/>
      <c r="N507" s="163" t="s">
        <v>1201</v>
      </c>
      <c r="O507" s="163"/>
      <c r="P507" s="163" t="s">
        <v>1201</v>
      </c>
      <c r="Q507" s="163"/>
      <c r="R507" s="163" t="str">
        <f>IF(GasAnalyser="MRU","%","ppm")</f>
        <v>ppm</v>
      </c>
      <c r="S507" s="163"/>
      <c r="T507" s="740"/>
      <c r="AR507" s="153"/>
      <c r="AS507" s="153"/>
      <c r="AT507" s="153"/>
      <c r="AU507" s="153"/>
      <c r="AV507" s="153"/>
      <c r="AW507" s="153"/>
      <c r="AX507" s="153"/>
      <c r="AY507" s="153"/>
      <c r="AZ507" s="153"/>
      <c r="BA507" s="153"/>
      <c r="BB507" s="153"/>
      <c r="BC507" s="153"/>
      <c r="BD507" s="153"/>
      <c r="BE507" s="153"/>
      <c r="BF507" s="153"/>
      <c r="BG507" s="153"/>
      <c r="BH507" s="153"/>
      <c r="BI507" s="153"/>
      <c r="BJ507" s="153"/>
      <c r="BK507" s="153"/>
      <c r="BL507" s="153"/>
      <c r="BM507" s="153"/>
      <c r="BN507" s="153"/>
      <c r="BO507" s="153"/>
      <c r="BP507" s="153"/>
      <c r="BQ507" s="153"/>
      <c r="BR507" s="153"/>
      <c r="BS507" s="153"/>
      <c r="BT507" s="153"/>
      <c r="BU507" s="153"/>
      <c r="BV507" s="153"/>
      <c r="BW507" s="153"/>
      <c r="BX507" s="153"/>
      <c r="BY507" s="153"/>
      <c r="BZ507" s="153"/>
      <c r="CA507" s="153"/>
      <c r="CB507" s="153"/>
      <c r="CC507" s="153"/>
      <c r="CD507" s="153"/>
      <c r="CE507" s="153"/>
      <c r="CF507" s="153"/>
      <c r="CG507" s="153"/>
      <c r="CH507" s="153"/>
      <c r="CI507" s="153"/>
      <c r="CJ507" s="153"/>
      <c r="CK507" s="153"/>
      <c r="CL507" s="153"/>
      <c r="CM507" s="153"/>
      <c r="CN507" s="153"/>
      <c r="CO507" s="153"/>
      <c r="CP507" s="153"/>
      <c r="CQ507" s="153"/>
      <c r="CR507" s="153"/>
      <c r="CS507" s="153"/>
      <c r="CT507" s="153"/>
      <c r="CU507" s="153"/>
      <c r="CV507" s="153"/>
      <c r="CW507" s="153"/>
      <c r="CX507" s="153"/>
      <c r="CY507" s="153"/>
      <c r="CZ507" s="153"/>
      <c r="DA507" s="153"/>
      <c r="DB507" s="153"/>
      <c r="DC507" s="153"/>
      <c r="DD507" s="153"/>
      <c r="DE507" s="153"/>
      <c r="DF507" s="153"/>
      <c r="DG507" s="153"/>
      <c r="DH507" s="153"/>
      <c r="DI507" s="153"/>
      <c r="DJ507" s="153"/>
      <c r="DK507" s="153"/>
      <c r="DL507" s="153"/>
      <c r="DM507" s="153"/>
      <c r="DN507" s="153"/>
      <c r="DO507" s="153"/>
      <c r="DP507" s="153"/>
      <c r="DQ507" s="153"/>
      <c r="DR507" s="153"/>
      <c r="DS507" s="153"/>
      <c r="DT507" s="153"/>
      <c r="DU507" s="153"/>
      <c r="DV507" s="153"/>
      <c r="DW507" s="153"/>
      <c r="DX507" s="153"/>
      <c r="DY507" s="153"/>
      <c r="DZ507" s="153"/>
      <c r="EA507" s="153"/>
      <c r="EB507" s="153"/>
      <c r="EC507" s="153"/>
      <c r="ED507" s="153"/>
      <c r="EE507" s="153"/>
      <c r="EF507" s="153"/>
      <c r="EG507" s="153"/>
      <c r="EH507" s="153"/>
      <c r="EI507" s="153"/>
      <c r="EJ507" s="153"/>
      <c r="EK507" s="153"/>
      <c r="EL507" s="153"/>
      <c r="EM507" s="153"/>
    </row>
    <row r="508" spans="1:143" s="107" customFormat="1" ht="10.5" customHeight="1">
      <c r="A508" s="1125"/>
      <c r="B508" s="1562"/>
      <c r="C508" s="1127" t="s">
        <v>587</v>
      </c>
      <c r="D508" s="164" t="str">
        <f t="shared" ref="D508:J508" si="10">CU</f>
        <v>mg/m³</v>
      </c>
      <c r="E508" s="164" t="str">
        <f t="shared" si="10"/>
        <v>mg/m³</v>
      </c>
      <c r="F508" s="164" t="str">
        <f t="shared" si="10"/>
        <v>mg/m³</v>
      </c>
      <c r="G508" s="164" t="str">
        <f t="shared" si="10"/>
        <v>mg/m³</v>
      </c>
      <c r="H508" s="164" t="str">
        <f t="shared" si="10"/>
        <v>mg/m³</v>
      </c>
      <c r="I508" s="164" t="str">
        <f t="shared" si="10"/>
        <v>mg/m³</v>
      </c>
      <c r="J508" s="164" t="str">
        <f t="shared" si="10"/>
        <v>mg/m³</v>
      </c>
      <c r="K508" s="738"/>
      <c r="L508" s="164" t="str">
        <f>CU</f>
        <v>mg/m³</v>
      </c>
      <c r="M508" s="204"/>
      <c r="N508" s="164" t="s">
        <v>1201</v>
      </c>
      <c r="O508" s="204"/>
      <c r="P508" s="164" t="str">
        <f>$N508</f>
        <v>%</v>
      </c>
      <c r="Q508" s="164"/>
      <c r="R508" s="164" t="str">
        <f>CU</f>
        <v>mg/m³</v>
      </c>
      <c r="S508" s="164"/>
      <c r="T508" s="740"/>
      <c r="AR508" s="153"/>
      <c r="AS508" s="153"/>
      <c r="AT508" s="153"/>
      <c r="AU508" s="153"/>
      <c r="AV508" s="153"/>
      <c r="AW508" s="153"/>
      <c r="AX508" s="153"/>
      <c r="AY508" s="153"/>
      <c r="AZ508" s="153"/>
      <c r="BA508" s="153"/>
      <c r="BB508" s="153"/>
      <c r="BC508" s="153"/>
      <c r="BD508" s="153"/>
      <c r="BE508" s="153"/>
      <c r="BF508" s="153"/>
      <c r="BG508" s="153"/>
      <c r="BH508" s="153"/>
      <c r="BI508" s="153"/>
      <c r="BJ508" s="153"/>
      <c r="BK508" s="153"/>
      <c r="BL508" s="153"/>
      <c r="BM508" s="153"/>
      <c r="BN508" s="153"/>
      <c r="BO508" s="153"/>
      <c r="BP508" s="153"/>
      <c r="BQ508" s="153"/>
      <c r="BR508" s="153"/>
      <c r="BS508" s="153"/>
      <c r="BT508" s="153"/>
      <c r="BU508" s="153"/>
      <c r="BV508" s="153"/>
      <c r="BW508" s="153"/>
      <c r="BX508" s="153"/>
      <c r="BY508" s="153"/>
      <c r="BZ508" s="153"/>
      <c r="CA508" s="153"/>
      <c r="CB508" s="153"/>
      <c r="CC508" s="153"/>
      <c r="CD508" s="153"/>
      <c r="CE508" s="153"/>
      <c r="CF508" s="153"/>
      <c r="CG508" s="153"/>
      <c r="CH508" s="153"/>
      <c r="CI508" s="153"/>
      <c r="CJ508" s="153"/>
      <c r="CK508" s="153"/>
      <c r="CL508" s="153"/>
      <c r="CM508" s="153"/>
      <c r="CN508" s="153"/>
      <c r="CO508" s="153"/>
      <c r="CP508" s="153"/>
      <c r="CQ508" s="153"/>
      <c r="CR508" s="153"/>
      <c r="CS508" s="153"/>
      <c r="CT508" s="153"/>
      <c r="CU508" s="153"/>
      <c r="CV508" s="153"/>
      <c r="CW508" s="153"/>
      <c r="CX508" s="153"/>
      <c r="CY508" s="153"/>
      <c r="CZ508" s="153"/>
      <c r="DA508" s="153"/>
      <c r="DB508" s="153"/>
      <c r="DC508" s="153"/>
      <c r="DD508" s="153"/>
      <c r="DE508" s="153"/>
      <c r="DF508" s="153"/>
      <c r="DG508" s="153"/>
      <c r="DH508" s="153"/>
      <c r="DI508" s="153"/>
      <c r="DJ508" s="153"/>
      <c r="DK508" s="153"/>
      <c r="DL508" s="153"/>
      <c r="DM508" s="153"/>
      <c r="DN508" s="153"/>
      <c r="DO508" s="153"/>
      <c r="DP508" s="153"/>
      <c r="DQ508" s="153"/>
      <c r="DR508" s="153"/>
      <c r="DS508" s="153"/>
      <c r="DT508" s="153"/>
      <c r="DU508" s="153"/>
      <c r="DV508" s="153"/>
      <c r="DW508" s="153"/>
      <c r="DX508" s="153"/>
      <c r="DY508" s="153"/>
      <c r="DZ508" s="153"/>
      <c r="EA508" s="153"/>
      <c r="EB508" s="153"/>
      <c r="EC508" s="153"/>
      <c r="ED508" s="153"/>
      <c r="EE508" s="153"/>
      <c r="EF508" s="153"/>
      <c r="EG508" s="153"/>
      <c r="EH508" s="153"/>
      <c r="EI508" s="153"/>
      <c r="EJ508" s="153"/>
      <c r="EK508" s="153"/>
      <c r="EL508" s="153"/>
      <c r="EM508" s="153"/>
    </row>
    <row r="509" spans="1:143" s="107" customFormat="1" ht="10.5" customHeight="1">
      <c r="A509" s="1111"/>
      <c r="B509" s="1563"/>
      <c r="C509" s="1128" t="s">
        <v>1267</v>
      </c>
      <c r="D509" s="162" t="str">
        <f>IF(COUNT(D$26:D$505)&gt;0,IF(MIN(D$26:D$505)&lt;D$10,D$10,MIN(D$26:D$505)),"")</f>
        <v/>
      </c>
      <c r="E509" s="162"/>
      <c r="F509" s="162" t="str">
        <f>IF(COUNT(F$26:F$505)&gt;0,IF(MIN(F$26:F$505)&lt;F$10,F$10,MIN(F$26:F$505)),"")</f>
        <v/>
      </c>
      <c r="G509" s="162"/>
      <c r="H509" s="162" t="str">
        <f>IF(COUNT(H$26:H$505)&gt;0,IF(MIN(H$26:H$505)&lt;H$10,H$10,MIN(H$26:H$505)),"")</f>
        <v/>
      </c>
      <c r="I509" s="162"/>
      <c r="J509" s="162" t="str">
        <f>IF(COUNT(J$26:J$505)&gt;0,IF(MIN(J$26:J$505)&lt;J$10,J$10,MIN(J$26:J$505)),"")</f>
        <v/>
      </c>
      <c r="K509" s="162"/>
      <c r="L509" s="162" t="str">
        <f>IF(COUNT(L$26:L$505)&gt;0,IF(MIN(L$26:L$505)&lt;L$10,L$10,MIN(L$26:L$505)),"")</f>
        <v/>
      </c>
      <c r="M509" s="162"/>
      <c r="N509" s="162" t="str">
        <f>IF(COUNT(N$26:N$505)&gt;0,IF(MIN(N$26:N$505)&lt;N$10,N$10,MIN(N$26:N$505)),"")</f>
        <v/>
      </c>
      <c r="O509" s="162"/>
      <c r="P509" s="162" t="str">
        <f>IF(COUNT(P$26:P$505)&gt;0,IF(MIN(P$26:P$505)&lt;P$10,P$10,MIN(P$26:P$505)),"")</f>
        <v/>
      </c>
      <c r="Q509" s="162"/>
      <c r="R509" s="162" t="str">
        <f>IF(COUNT(R$26:R$505)&gt;0,IF(MIN(R$26:R$505)&lt;R$10,R$10,MIN(R$26:R$505)),"")</f>
        <v/>
      </c>
      <c r="S509" s="162"/>
      <c r="T509" s="740"/>
      <c r="AR509" s="153"/>
      <c r="AS509" s="153"/>
      <c r="AT509" s="153"/>
      <c r="AU509" s="153"/>
      <c r="AV509" s="153"/>
      <c r="AW509" s="153"/>
      <c r="AX509" s="153"/>
      <c r="AY509" s="153"/>
      <c r="AZ509" s="153"/>
      <c r="BA509" s="153"/>
      <c r="BB509" s="153"/>
      <c r="BC509" s="153"/>
      <c r="BD509" s="153"/>
      <c r="BE509" s="153"/>
      <c r="BF509" s="153"/>
      <c r="BG509" s="153"/>
      <c r="BH509" s="153"/>
      <c r="BI509" s="153"/>
      <c r="BJ509" s="153"/>
      <c r="BK509" s="153"/>
      <c r="BL509" s="153"/>
      <c r="BM509" s="153"/>
      <c r="BN509" s="153"/>
      <c r="BO509" s="153"/>
      <c r="BP509" s="153"/>
      <c r="BQ509" s="153"/>
      <c r="BR509" s="153"/>
      <c r="BS509" s="153"/>
      <c r="BT509" s="153"/>
      <c r="BU509" s="153"/>
      <c r="BV509" s="153"/>
      <c r="BW509" s="153"/>
      <c r="BX509" s="153"/>
      <c r="BY509" s="153"/>
      <c r="BZ509" s="153"/>
      <c r="CA509" s="153"/>
      <c r="CB509" s="153"/>
      <c r="CC509" s="153"/>
      <c r="CD509" s="153"/>
      <c r="CE509" s="153"/>
      <c r="CF509" s="153"/>
      <c r="CG509" s="153"/>
      <c r="CH509" s="153"/>
      <c r="CI509" s="153"/>
      <c r="CJ509" s="153"/>
      <c r="CK509" s="153"/>
      <c r="CL509" s="153"/>
      <c r="CM509" s="153"/>
      <c r="CN509" s="153"/>
      <c r="CO509" s="153"/>
      <c r="CP509" s="153"/>
      <c r="CQ509" s="153"/>
      <c r="CR509" s="153"/>
      <c r="CS509" s="153"/>
      <c r="CT509" s="153"/>
      <c r="CU509" s="153"/>
      <c r="CV509" s="153"/>
      <c r="CW509" s="153"/>
      <c r="CX509" s="153"/>
      <c r="CY509" s="153"/>
      <c r="CZ509" s="153"/>
      <c r="DA509" s="153"/>
      <c r="DB509" s="153"/>
      <c r="DC509" s="153"/>
      <c r="DD509" s="153"/>
      <c r="DE509" s="153"/>
      <c r="DF509" s="153"/>
      <c r="DG509" s="153"/>
      <c r="DH509" s="153"/>
      <c r="DI509" s="153"/>
      <c r="DJ509" s="153"/>
      <c r="DK509" s="153"/>
      <c r="DL509" s="153"/>
      <c r="DM509" s="153"/>
      <c r="DN509" s="153"/>
      <c r="DO509" s="153"/>
      <c r="DP509" s="153"/>
      <c r="DQ509" s="153"/>
      <c r="DR509" s="153"/>
      <c r="DS509" s="153"/>
      <c r="DT509" s="153"/>
      <c r="DU509" s="153"/>
      <c r="DV509" s="153"/>
      <c r="DW509" s="153"/>
      <c r="DX509" s="153"/>
      <c r="DY509" s="153"/>
      <c r="DZ509" s="153"/>
      <c r="EA509" s="153"/>
      <c r="EB509" s="153"/>
      <c r="EC509" s="153"/>
      <c r="ED509" s="153"/>
      <c r="EE509" s="153"/>
      <c r="EF509" s="153"/>
      <c r="EG509" s="153"/>
      <c r="EH509" s="153"/>
      <c r="EI509" s="153"/>
      <c r="EJ509" s="153"/>
      <c r="EK509" s="153"/>
      <c r="EL509" s="153"/>
      <c r="EM509" s="153"/>
    </row>
    <row r="510" spans="1:143" s="107" customFormat="1" ht="10.5" customHeight="1">
      <c r="A510" s="1114" t="s">
        <v>588</v>
      </c>
      <c r="B510" s="1564"/>
      <c r="C510" s="1127" t="s">
        <v>1268</v>
      </c>
      <c r="D510" s="163" t="str">
        <f>IF(COUNT(D$26:D$505)&gt;0,IF(MAX(D$26:D$505)&lt;D$10,D$10,MAX(D$26:D$505)),"")</f>
        <v/>
      </c>
      <c r="E510" s="163"/>
      <c r="F510" s="163" t="str">
        <f>IF(COUNT(F$26:F$505)&gt;0,IF(MAX(F$26:F$505)&lt;F$10,F$10,MAX(F$26:F$505)),"")</f>
        <v/>
      </c>
      <c r="G510" s="163"/>
      <c r="H510" s="163" t="str">
        <f>IF(COUNT(H$26:H$505)&gt;0,IF(MAX(H$26:H$505)&lt;H$10,H$10,MAX(H$26:H$505)),"")</f>
        <v/>
      </c>
      <c r="I510" s="163"/>
      <c r="J510" s="163" t="str">
        <f>IF(COUNT(J$26:J$505)&gt;0,IF(MAX(J$26:J$505)&lt;J$10,J$10,MAX(J$26:J$505)),"")</f>
        <v/>
      </c>
      <c r="K510" s="163"/>
      <c r="L510" s="163" t="str">
        <f>IF(COUNT(L$26:L$505)&gt;0,IF(MAX(L$26:L$505)&lt;L$10,L$10,MAX(L$26:L$505)),"")</f>
        <v/>
      </c>
      <c r="M510" s="163"/>
      <c r="N510" s="163" t="str">
        <f>IF(COUNT(N$26:N$505)&gt;0,IF(MAX(N$26:N$505)&lt;N$10,N$10,MAX(N$26:N$505)),"")</f>
        <v/>
      </c>
      <c r="O510" s="163"/>
      <c r="P510" s="163" t="str">
        <f>IF(COUNT(P$26:P$505)&gt;0,IF(MAX(P$26:P$505)&lt;P$10,P$10,MAX(P$26:P$505)),"")</f>
        <v/>
      </c>
      <c r="Q510" s="163"/>
      <c r="R510" s="163" t="str">
        <f>IF(COUNT(R$26:R$505)&gt;0,IF(MAX(R$26:R$505)&lt;R$10,R$10,MAX(R$26:R$505)),"")</f>
        <v/>
      </c>
      <c r="S510" s="163"/>
      <c r="T510" s="740"/>
      <c r="AR510" s="153"/>
      <c r="AS510" s="153"/>
      <c r="AT510" s="153"/>
      <c r="AU510" s="153"/>
      <c r="AV510" s="153"/>
      <c r="AW510" s="153"/>
      <c r="AX510" s="153"/>
      <c r="AY510" s="153"/>
      <c r="AZ510" s="153"/>
      <c r="BA510" s="153"/>
      <c r="BB510" s="153"/>
      <c r="BC510" s="153"/>
      <c r="BD510" s="153"/>
      <c r="BE510" s="153"/>
      <c r="BF510" s="153"/>
      <c r="BG510" s="153"/>
      <c r="BH510" s="153"/>
      <c r="BI510" s="153"/>
      <c r="BJ510" s="153"/>
      <c r="BK510" s="153"/>
      <c r="BL510" s="153"/>
      <c r="BM510" s="153"/>
      <c r="BN510" s="153"/>
      <c r="BO510" s="153"/>
      <c r="BP510" s="153"/>
      <c r="BQ510" s="153"/>
      <c r="BR510" s="153"/>
      <c r="BS510" s="153"/>
      <c r="BT510" s="153"/>
      <c r="BU510" s="153"/>
      <c r="BV510" s="153"/>
      <c r="BW510" s="153"/>
      <c r="BX510" s="153"/>
      <c r="BY510" s="153"/>
      <c r="BZ510" s="153"/>
      <c r="CA510" s="153"/>
      <c r="CB510" s="153"/>
      <c r="CC510" s="153"/>
      <c r="CD510" s="153"/>
      <c r="CE510" s="153"/>
      <c r="CF510" s="153"/>
      <c r="CG510" s="153"/>
      <c r="CH510" s="153"/>
      <c r="CI510" s="153"/>
      <c r="CJ510" s="153"/>
      <c r="CK510" s="153"/>
      <c r="CL510" s="153"/>
      <c r="CM510" s="153"/>
      <c r="CN510" s="153"/>
      <c r="CO510" s="153"/>
      <c r="CP510" s="153"/>
      <c r="CQ510" s="153"/>
      <c r="CR510" s="153"/>
      <c r="CS510" s="153"/>
      <c r="CT510" s="153"/>
      <c r="CU510" s="153"/>
      <c r="CV510" s="153"/>
      <c r="CW510" s="153"/>
      <c r="CX510" s="153"/>
      <c r="CY510" s="153"/>
      <c r="CZ510" s="153"/>
      <c r="DA510" s="153"/>
      <c r="DB510" s="153"/>
      <c r="DC510" s="153"/>
      <c r="DD510" s="153"/>
      <c r="DE510" s="153"/>
      <c r="DF510" s="153"/>
      <c r="DG510" s="153"/>
      <c r="DH510" s="153"/>
      <c r="DI510" s="153"/>
      <c r="DJ510" s="153"/>
      <c r="DK510" s="153"/>
      <c r="DL510" s="153"/>
      <c r="DM510" s="153"/>
      <c r="DN510" s="153"/>
      <c r="DO510" s="153"/>
      <c r="DP510" s="153"/>
      <c r="DQ510" s="153"/>
      <c r="DR510" s="153"/>
      <c r="DS510" s="153"/>
      <c r="DT510" s="153"/>
      <c r="DU510" s="153"/>
      <c r="DV510" s="153"/>
      <c r="DW510" s="153"/>
      <c r="DX510" s="153"/>
      <c r="DY510" s="153"/>
      <c r="DZ510" s="153"/>
      <c r="EA510" s="153"/>
      <c r="EB510" s="153"/>
      <c r="EC510" s="153"/>
      <c r="ED510" s="153"/>
      <c r="EE510" s="153"/>
      <c r="EF510" s="153"/>
      <c r="EG510" s="153"/>
      <c r="EH510" s="153"/>
      <c r="EI510" s="153"/>
      <c r="EJ510" s="153"/>
      <c r="EK510" s="153"/>
      <c r="EL510" s="153"/>
      <c r="EM510" s="153"/>
    </row>
    <row r="511" spans="1:143" s="107" customFormat="1" ht="10.5" customHeight="1">
      <c r="A511" s="1117"/>
      <c r="B511" s="1565"/>
      <c r="C511" s="1129" t="s">
        <v>1279</v>
      </c>
      <c r="D511" s="164" t="str">
        <f>IF(COUNT(D$26:D$505)&gt;0,IF(AVERAGE(D$26:D$505)&lt;D$10,D$10,AVERAGE(D$26:D$505)),"")</f>
        <v/>
      </c>
      <c r="E511" s="164"/>
      <c r="F511" s="164" t="str">
        <f>IF(COUNT(F$26:F$505)&gt;0,IF(AVERAGE(F$26:F$505)&lt;F$10,F$10,AVERAGE(F$26:F$505)),"")</f>
        <v/>
      </c>
      <c r="G511" s="164"/>
      <c r="H511" s="164" t="str">
        <f>IF(COUNT(H$26:H$505)&gt;0,IF(AVERAGE(H$26:H$505)&lt;H$10,H$10,AVERAGE(H$26:H$505)),"")</f>
        <v/>
      </c>
      <c r="I511" s="164"/>
      <c r="J511" s="164" t="str">
        <f>IF(COUNT(J$26:J$505)&gt;0,IF(AVERAGE(J$26:J$505)&lt;J$10,J$10,AVERAGE(J$26:J$505)),"")</f>
        <v/>
      </c>
      <c r="K511" s="164"/>
      <c r="L511" s="164" t="str">
        <f>IF(COUNT(L$26:L$505)&gt;0,IF(AVERAGE(L$26:L$505)&lt;L$10,L$10,AVERAGE(L$26:L$505)),"")</f>
        <v/>
      </c>
      <c r="M511" s="164"/>
      <c r="N511" s="164" t="str">
        <f>IF(COUNT(N$26:N$505)&gt;0,IF(AVERAGE(N$26:N$505)&lt;N$10,N$10,AVERAGE(N$26:N$505)),"")</f>
        <v/>
      </c>
      <c r="O511" s="164"/>
      <c r="P511" s="164" t="str">
        <f>IF(COUNT(P$26:P$505)&gt;0,IF(AVERAGE(P$26:P$505)&lt;P$10,P$10,AVERAGE(P$26:P$505)),"")</f>
        <v/>
      </c>
      <c r="Q511" s="164"/>
      <c r="R511" s="164" t="str">
        <f>IF(COUNT(R$26:R$505)&gt;0,IF(AVERAGE(R$26:R$505)&lt;R$10,R$10,AVERAGE(R$26:R$505)),"")</f>
        <v/>
      </c>
      <c r="S511" s="164"/>
      <c r="T511" s="740"/>
      <c r="AR511" s="153"/>
      <c r="AS511" s="153"/>
      <c r="AT511" s="153"/>
      <c r="AU511" s="153"/>
      <c r="AV511" s="153"/>
      <c r="AW511" s="153"/>
      <c r="AX511" s="153"/>
      <c r="AY511" s="153"/>
      <c r="AZ511" s="153"/>
      <c r="BA511" s="153"/>
      <c r="BB511" s="153"/>
      <c r="BC511" s="153"/>
      <c r="BD511" s="153"/>
      <c r="BE511" s="153"/>
      <c r="BF511" s="153"/>
      <c r="BG511" s="153"/>
      <c r="BH511" s="153"/>
      <c r="BI511" s="153"/>
      <c r="BJ511" s="153"/>
      <c r="BK511" s="153"/>
      <c r="BL511" s="153"/>
      <c r="BM511" s="153"/>
      <c r="BN511" s="153"/>
      <c r="BO511" s="153"/>
      <c r="BP511" s="153"/>
      <c r="BQ511" s="153"/>
      <c r="BR511" s="153"/>
      <c r="BS511" s="153"/>
      <c r="BT511" s="153"/>
      <c r="BU511" s="153"/>
      <c r="BV511" s="153"/>
      <c r="BW511" s="153"/>
      <c r="BX511" s="153"/>
      <c r="BY511" s="153"/>
      <c r="BZ511" s="153"/>
      <c r="CA511" s="153"/>
      <c r="CB511" s="153"/>
      <c r="CC511" s="153"/>
      <c r="CD511" s="153"/>
      <c r="CE511" s="153"/>
      <c r="CF511" s="153"/>
      <c r="CG511" s="153"/>
      <c r="CH511" s="153"/>
      <c r="CI511" s="153"/>
      <c r="CJ511" s="153"/>
      <c r="CK511" s="153"/>
      <c r="CL511" s="153"/>
      <c r="CM511" s="153"/>
      <c r="CN511" s="153"/>
      <c r="CO511" s="153"/>
      <c r="CP511" s="153"/>
      <c r="CQ511" s="153"/>
      <c r="CR511" s="153"/>
      <c r="CS511" s="153"/>
      <c r="CT511" s="153"/>
      <c r="CU511" s="153"/>
      <c r="CV511" s="153"/>
      <c r="CW511" s="153"/>
      <c r="CX511" s="153"/>
      <c r="CY511" s="153"/>
      <c r="CZ511" s="153"/>
      <c r="DA511" s="153"/>
      <c r="DB511" s="153"/>
      <c r="DC511" s="153"/>
      <c r="DD511" s="153"/>
      <c r="DE511" s="153"/>
      <c r="DF511" s="153"/>
      <c r="DG511" s="153"/>
      <c r="DH511" s="153"/>
      <c r="DI511" s="153"/>
      <c r="DJ511" s="153"/>
      <c r="DK511" s="153"/>
      <c r="DL511" s="153"/>
      <c r="DM511" s="153"/>
      <c r="DN511" s="153"/>
      <c r="DO511" s="153"/>
      <c r="DP511" s="153"/>
      <c r="DQ511" s="153"/>
      <c r="DR511" s="153"/>
      <c r="DS511" s="153"/>
      <c r="DT511" s="153"/>
      <c r="DU511" s="153"/>
      <c r="DV511" s="153"/>
      <c r="DW511" s="153"/>
      <c r="DX511" s="153"/>
      <c r="DY511" s="153"/>
      <c r="DZ511" s="153"/>
      <c r="EA511" s="153"/>
      <c r="EB511" s="153"/>
      <c r="EC511" s="153"/>
      <c r="ED511" s="153"/>
      <c r="EE511" s="153"/>
      <c r="EF511" s="153"/>
      <c r="EG511" s="153"/>
      <c r="EH511" s="153"/>
      <c r="EI511" s="153"/>
      <c r="EJ511" s="153"/>
      <c r="EK511" s="153"/>
      <c r="EL511" s="153"/>
      <c r="EM511" s="153"/>
    </row>
    <row r="512" spans="1:143" s="107" customFormat="1" ht="10.5" customHeight="1">
      <c r="A512" s="1111"/>
      <c r="B512" s="1563"/>
      <c r="C512" s="1112" t="s">
        <v>1267</v>
      </c>
      <c r="D512" s="1113" t="str">
        <f>IF(D509="","",Conc2(D509,D$9,MolVol,D$21,D$20,E$21,E$20))</f>
        <v/>
      </c>
      <c r="E512" s="1113" t="e">
        <f>MIN(E$26:E$505)</f>
        <v>#VALUE!</v>
      </c>
      <c r="F512" s="1113" t="str">
        <f>IF(F509="","",Conc2(F509,F$9,MolVol,F$21,F$20,G$21,G$20))</f>
        <v/>
      </c>
      <c r="G512" s="1113" t="e">
        <f>MIN(G$26:G$505)</f>
        <v>#VALUE!</v>
      </c>
      <c r="H512" s="1113" t="str">
        <f>IF(H509="","",Conc2(H509,H$9,MolVol,H$21,H$20,I$21,I$20))</f>
        <v/>
      </c>
      <c r="I512" s="1113" t="e">
        <f>MIN(I$26:I$505)</f>
        <v>#VALUE!</v>
      </c>
      <c r="J512" s="1113" t="str">
        <f>IF(J509="","",Conc2(J509,J$9,MolVol,J$21,J$20,K$21,K$20))</f>
        <v/>
      </c>
      <c r="K512" s="1113" t="e">
        <f>MIN(K$26:K$505)</f>
        <v>#VALUE!</v>
      </c>
      <c r="L512" s="1113" t="str">
        <f>IF(L509="","",Conc2(L509,L$9,MolVol,L$21,L$20,M$21,M$20))</f>
        <v/>
      </c>
      <c r="M512" s="1113" t="e">
        <f>MIN(M$26:M$505)</f>
        <v>#VALUE!</v>
      </c>
      <c r="N512" s="1113" t="str">
        <f>IF(N509="","",Conc2(N509,N$9,MolVol,N$21,N$20,O$21,O$20))</f>
        <v/>
      </c>
      <c r="O512" s="1113" t="e">
        <f>MIN(O$26:O$505)</f>
        <v>#VALUE!</v>
      </c>
      <c r="P512" s="1113" t="str">
        <f>IF(P509="","",Conc2(P509,P$9,MolVol,P$21,P$20,Q$21,Q$20))</f>
        <v/>
      </c>
      <c r="Q512" s="1113" t="e">
        <f>MIN(Q$26:Q$505)</f>
        <v>#VALUE!</v>
      </c>
      <c r="R512" s="1113" t="str">
        <f>IF(R509="","",Conc2(R509,R$9,MolVol,R$21,R$20,S$21,S$20)/(1-Bws))</f>
        <v/>
      </c>
      <c r="S512" s="1113" t="e">
        <f>MIN(S$26:S$505)</f>
        <v>#VALUE!</v>
      </c>
      <c r="T512" s="740"/>
      <c r="AR512" s="153"/>
      <c r="AS512" s="153"/>
      <c r="AT512" s="153"/>
      <c r="AU512" s="153"/>
      <c r="AV512" s="153"/>
      <c r="AW512" s="153"/>
      <c r="AX512" s="153"/>
      <c r="AY512" s="153"/>
      <c r="AZ512" s="153"/>
      <c r="BA512" s="153"/>
      <c r="BB512" s="153"/>
      <c r="BC512" s="153"/>
      <c r="BD512" s="153"/>
      <c r="BE512" s="153"/>
      <c r="BF512" s="153"/>
      <c r="BG512" s="153"/>
      <c r="BH512" s="153"/>
      <c r="BI512" s="153"/>
      <c r="BJ512" s="153"/>
      <c r="BK512" s="153"/>
      <c r="BL512" s="153"/>
      <c r="BM512" s="153"/>
      <c r="BN512" s="153"/>
      <c r="BO512" s="153"/>
      <c r="BP512" s="153"/>
      <c r="BQ512" s="153"/>
      <c r="BR512" s="153"/>
      <c r="BS512" s="153"/>
      <c r="BT512" s="153"/>
      <c r="BU512" s="153"/>
      <c r="BV512" s="153"/>
      <c r="BW512" s="153"/>
      <c r="BX512" s="153"/>
      <c r="BY512" s="153"/>
      <c r="BZ512" s="153"/>
      <c r="CA512" s="153"/>
      <c r="CB512" s="153"/>
      <c r="CC512" s="153"/>
      <c r="CD512" s="153"/>
      <c r="CE512" s="153"/>
      <c r="CF512" s="153"/>
      <c r="CG512" s="153"/>
      <c r="CH512" s="153"/>
      <c r="CI512" s="153"/>
      <c r="CJ512" s="153"/>
      <c r="CK512" s="153"/>
      <c r="CL512" s="153"/>
      <c r="CM512" s="153"/>
      <c r="CN512" s="153"/>
      <c r="CO512" s="153"/>
      <c r="CP512" s="153"/>
      <c r="CQ512" s="153"/>
      <c r="CR512" s="153"/>
      <c r="CS512" s="153"/>
      <c r="CT512" s="153"/>
      <c r="CU512" s="153"/>
      <c r="CV512" s="153"/>
      <c r="CW512" s="153"/>
      <c r="CX512" s="153"/>
      <c r="CY512" s="153"/>
      <c r="CZ512" s="153"/>
      <c r="DA512" s="153"/>
      <c r="DB512" s="153"/>
      <c r="DC512" s="153"/>
      <c r="DD512" s="153"/>
      <c r="DE512" s="153"/>
      <c r="DF512" s="153"/>
      <c r="DG512" s="153"/>
      <c r="DH512" s="153"/>
      <c r="DI512" s="153"/>
      <c r="DJ512" s="153"/>
      <c r="DK512" s="153"/>
      <c r="DL512" s="153"/>
      <c r="DM512" s="153"/>
      <c r="DN512" s="153"/>
      <c r="DO512" s="153"/>
      <c r="DP512" s="153"/>
      <c r="DQ512" s="153"/>
      <c r="DR512" s="153"/>
      <c r="DS512" s="153"/>
      <c r="DT512" s="153"/>
      <c r="DU512" s="153"/>
      <c r="DV512" s="153"/>
      <c r="DW512" s="153"/>
      <c r="DX512" s="153"/>
      <c r="DY512" s="153"/>
      <c r="DZ512" s="153"/>
      <c r="EA512" s="153"/>
      <c r="EB512" s="153"/>
      <c r="EC512" s="153"/>
      <c r="ED512" s="153"/>
      <c r="EE512" s="153"/>
      <c r="EF512" s="153"/>
      <c r="EG512" s="153"/>
      <c r="EH512" s="153"/>
      <c r="EI512" s="153"/>
      <c r="EJ512" s="153"/>
      <c r="EK512" s="153"/>
      <c r="EL512" s="153"/>
      <c r="EM512" s="153"/>
    </row>
    <row r="513" spans="1:143" s="107" customFormat="1" ht="10.5" customHeight="1">
      <c r="A513" s="1114" t="s">
        <v>587</v>
      </c>
      <c r="B513" s="1564"/>
      <c r="C513" s="1115" t="s">
        <v>1268</v>
      </c>
      <c r="D513" s="1116" t="str">
        <f>IF(D510="","",Conc2(D510,D$9,MolVol,D$21,D$20,E$21,E$20))</f>
        <v/>
      </c>
      <c r="E513" s="1116" t="e">
        <f>MAX(E$26:E$505)</f>
        <v>#VALUE!</v>
      </c>
      <c r="F513" s="1116" t="str">
        <f>IF(F510="","",Conc2(F510,F$9,MolVol,F$21,F$20,G$21,G$20))</f>
        <v/>
      </c>
      <c r="G513" s="1116" t="e">
        <f>MAX(G$26:G$505)</f>
        <v>#VALUE!</v>
      </c>
      <c r="H513" s="1116" t="str">
        <f>IF(H510="","",Conc2(H510,H$9,MolVol,H$21,H$20,I$21,I$20))</f>
        <v/>
      </c>
      <c r="I513" s="1116" t="e">
        <f>MAX(I$26:I$505)</f>
        <v>#VALUE!</v>
      </c>
      <c r="J513" s="1116" t="str">
        <f>IF(J510="","",Conc2(J510,J$9,MolVol,J$21,J$20,K$21,K$20))</f>
        <v/>
      </c>
      <c r="K513" s="1116" t="e">
        <f>MAX(K$26:K$505)</f>
        <v>#VALUE!</v>
      </c>
      <c r="L513" s="1116" t="str">
        <f>IF(L510="","",Conc2(L510,L$9,MolVol,L$21,L$20,M$21,M$20))</f>
        <v/>
      </c>
      <c r="M513" s="1116" t="e">
        <f>MAX(M$26:M$505)</f>
        <v>#VALUE!</v>
      </c>
      <c r="N513" s="1116" t="str">
        <f>IF(N510="","",Conc2(N510,N$9,MolVol,N$21,N$20,O$21,O$20))</f>
        <v/>
      </c>
      <c r="O513" s="1116" t="e">
        <f>MAX(O$26:O$505)</f>
        <v>#VALUE!</v>
      </c>
      <c r="P513" s="1116" t="str">
        <f>IF(P510="","",Conc2(P510,P$9,MolVol,P$21,P$20,Q$21,Q$20))</f>
        <v/>
      </c>
      <c r="Q513" s="1116" t="e">
        <f>MAX(Q$26:Q$505)</f>
        <v>#VALUE!</v>
      </c>
      <c r="R513" s="1116" t="str">
        <f>IF(R510="","",Conc2(R510,R$9,MolVol,R$21,R$20,S$21,S$20)/(1-Bws))</f>
        <v/>
      </c>
      <c r="S513" s="1116" t="e">
        <f>MAX(S$26:S$505)</f>
        <v>#VALUE!</v>
      </c>
      <c r="T513" s="740"/>
      <c r="AR513" s="153"/>
      <c r="AS513" s="153"/>
      <c r="AT513" s="153"/>
      <c r="AU513" s="153"/>
      <c r="AV513" s="153"/>
      <c r="AW513" s="153"/>
      <c r="AX513" s="153"/>
      <c r="AY513" s="153"/>
      <c r="AZ513" s="153"/>
      <c r="BA513" s="153"/>
      <c r="BB513" s="153"/>
      <c r="BC513" s="153"/>
      <c r="BD513" s="153"/>
      <c r="BE513" s="153"/>
      <c r="BF513" s="153"/>
      <c r="BG513" s="153"/>
      <c r="BH513" s="153"/>
      <c r="BI513" s="153"/>
      <c r="BJ513" s="153"/>
      <c r="BK513" s="153"/>
      <c r="BL513" s="153"/>
      <c r="BM513" s="153"/>
      <c r="BN513" s="153"/>
      <c r="BO513" s="153"/>
      <c r="BP513" s="153"/>
      <c r="BQ513" s="153"/>
      <c r="BR513" s="153"/>
      <c r="BS513" s="153"/>
      <c r="BT513" s="153"/>
      <c r="BU513" s="153"/>
      <c r="BV513" s="153"/>
      <c r="BW513" s="153"/>
      <c r="BX513" s="153"/>
      <c r="BY513" s="153"/>
      <c r="BZ513" s="153"/>
      <c r="CA513" s="153"/>
      <c r="CB513" s="153"/>
      <c r="CC513" s="153"/>
      <c r="CD513" s="153"/>
      <c r="CE513" s="153"/>
      <c r="CF513" s="153"/>
      <c r="CG513" s="153"/>
      <c r="CH513" s="153"/>
      <c r="CI513" s="153"/>
      <c r="CJ513" s="153"/>
      <c r="CK513" s="153"/>
      <c r="CL513" s="153"/>
      <c r="CM513" s="153"/>
      <c r="CN513" s="153"/>
      <c r="CO513" s="153"/>
      <c r="CP513" s="153"/>
      <c r="CQ513" s="153"/>
      <c r="CR513" s="153"/>
      <c r="CS513" s="153"/>
      <c r="CT513" s="153"/>
      <c r="CU513" s="153"/>
      <c r="CV513" s="153"/>
      <c r="CW513" s="153"/>
      <c r="CX513" s="153"/>
      <c r="CY513" s="153"/>
      <c r="CZ513" s="153"/>
      <c r="DA513" s="153"/>
      <c r="DB513" s="153"/>
      <c r="DC513" s="153"/>
      <c r="DD513" s="153"/>
      <c r="DE513" s="153"/>
      <c r="DF513" s="153"/>
      <c r="DG513" s="153"/>
      <c r="DH513" s="153"/>
      <c r="DI513" s="153"/>
      <c r="DJ513" s="153"/>
      <c r="DK513" s="153"/>
      <c r="DL513" s="153"/>
      <c r="DM513" s="153"/>
      <c r="DN513" s="153"/>
      <c r="DO513" s="153"/>
      <c r="DP513" s="153"/>
      <c r="DQ513" s="153"/>
      <c r="DR513" s="153"/>
      <c r="DS513" s="153"/>
      <c r="DT513" s="153"/>
      <c r="DU513" s="153"/>
      <c r="DV513" s="153"/>
      <c r="DW513" s="153"/>
      <c r="DX513" s="153"/>
      <c r="DY513" s="153"/>
      <c r="DZ513" s="153"/>
      <c r="EA513" s="153"/>
      <c r="EB513" s="153"/>
      <c r="EC513" s="153"/>
      <c r="ED513" s="153"/>
      <c r="EE513" s="153"/>
      <c r="EF513" s="153"/>
      <c r="EG513" s="153"/>
      <c r="EH513" s="153"/>
      <c r="EI513" s="153"/>
      <c r="EJ513" s="153"/>
      <c r="EK513" s="153"/>
      <c r="EL513" s="153"/>
      <c r="EM513" s="153"/>
    </row>
    <row r="514" spans="1:143" s="107" customFormat="1" ht="10.5" customHeight="1">
      <c r="A514" s="1117"/>
      <c r="B514" s="1565"/>
      <c r="C514" s="1118" t="s">
        <v>1279</v>
      </c>
      <c r="D514" s="1119" t="str">
        <f>IF(D511="","",Conc2(D511,D$9,MolVol,D$21,D$20,E$21,E$20))</f>
        <v/>
      </c>
      <c r="E514" s="1119" t="e">
        <f>AVERAGE(E$26:E$505)</f>
        <v>#VALUE!</v>
      </c>
      <c r="F514" s="1119" t="str">
        <f>IF(F511="","",Conc2(F511,F$9,MolVol,F$21,F$20,G$21,G$20))</f>
        <v/>
      </c>
      <c r="G514" s="1119" t="e">
        <f>AVERAGE(G$26:G$505)</f>
        <v>#VALUE!</v>
      </c>
      <c r="H514" s="1119" t="str">
        <f>IF(H511="","",Conc2(H511,H$9,MolVol,H$21,H$20,I$21,I$20))</f>
        <v/>
      </c>
      <c r="I514" s="1119" t="e">
        <f>AVERAGE(I$26:I$505)</f>
        <v>#VALUE!</v>
      </c>
      <c r="J514" s="1119" t="str">
        <f>IF(J511="","",Conc2(J511,J$9,MolVol,J$21,J$20,K$21,K$20))</f>
        <v/>
      </c>
      <c r="K514" s="1119" t="e">
        <f>AVERAGE(K$26:K$505)</f>
        <v>#VALUE!</v>
      </c>
      <c r="L514" s="1119" t="str">
        <f>IF(L511="","",Conc2(L511,L$9,MolVol,L$21,L$20,M$21,M$20))</f>
        <v/>
      </c>
      <c r="M514" s="1119" t="e">
        <f>AVERAGE(M$26:M$505)</f>
        <v>#VALUE!</v>
      </c>
      <c r="N514" s="1119" t="str">
        <f>IF(N511="","",Conc2(N511,N$9,MolVol,N$21,N$20,O$21,O$20))</f>
        <v/>
      </c>
      <c r="O514" s="1119" t="e">
        <f>AVERAGE(O$26:O$505)</f>
        <v>#VALUE!</v>
      </c>
      <c r="P514" s="1119" t="str">
        <f>IF(P511="","",Conc2(P511,P$9,MolVol,P$21,P$20,Q$21,Q$20))</f>
        <v/>
      </c>
      <c r="Q514" s="1119" t="e">
        <f>AVERAGE(Q$26:Q$505)</f>
        <v>#VALUE!</v>
      </c>
      <c r="R514" s="1119" t="str">
        <f>IF(R511="","",Conc2(R511,R$9,MolVol,R$21,R$20,S$21,S$20)/(1-Bws))</f>
        <v/>
      </c>
      <c r="S514" s="1119" t="e">
        <f>AVERAGE(S$26:S$505)</f>
        <v>#VALUE!</v>
      </c>
      <c r="T514" s="740"/>
      <c r="AR514" s="153"/>
      <c r="AS514" s="153"/>
      <c r="AT514" s="153"/>
      <c r="AU514" s="153"/>
      <c r="AV514" s="153"/>
      <c r="AW514" s="153"/>
      <c r="AX514" s="153"/>
      <c r="AY514" s="153"/>
      <c r="AZ514" s="153"/>
      <c r="BA514" s="153"/>
      <c r="BB514" s="153"/>
      <c r="BC514" s="153"/>
      <c r="BD514" s="153"/>
      <c r="BE514" s="153"/>
      <c r="BF514" s="153"/>
      <c r="BG514" s="153"/>
      <c r="BH514" s="153"/>
      <c r="BI514" s="153"/>
      <c r="BJ514" s="153"/>
      <c r="BK514" s="153"/>
      <c r="BL514" s="153"/>
      <c r="BM514" s="153"/>
      <c r="BN514" s="153"/>
      <c r="BO514" s="153"/>
      <c r="BP514" s="153"/>
      <c r="BQ514" s="153"/>
      <c r="BR514" s="153"/>
      <c r="BS514" s="153"/>
      <c r="BT514" s="153"/>
      <c r="BU514" s="153"/>
      <c r="BV514" s="153"/>
      <c r="BW514" s="153"/>
      <c r="BX514" s="153"/>
      <c r="BY514" s="153"/>
      <c r="BZ514" s="153"/>
      <c r="CA514" s="153"/>
      <c r="CB514" s="153"/>
      <c r="CC514" s="153"/>
      <c r="CD514" s="153"/>
      <c r="CE514" s="153"/>
      <c r="CF514" s="153"/>
      <c r="CG514" s="153"/>
      <c r="CH514" s="153"/>
      <c r="CI514" s="153"/>
      <c r="CJ514" s="153"/>
      <c r="CK514" s="153"/>
      <c r="CL514" s="153"/>
      <c r="CM514" s="153"/>
      <c r="CN514" s="153"/>
      <c r="CO514" s="153"/>
      <c r="CP514" s="153"/>
      <c r="CQ514" s="153"/>
      <c r="CR514" s="153"/>
      <c r="CS514" s="153"/>
      <c r="CT514" s="153"/>
      <c r="CU514" s="153"/>
      <c r="CV514" s="153"/>
      <c r="CW514" s="153"/>
      <c r="CX514" s="153"/>
      <c r="CY514" s="153"/>
      <c r="CZ514" s="153"/>
      <c r="DA514" s="153"/>
      <c r="DB514" s="153"/>
      <c r="DC514" s="153"/>
      <c r="DD514" s="153"/>
      <c r="DE514" s="153"/>
      <c r="DF514" s="153"/>
      <c r="DG514" s="153"/>
      <c r="DH514" s="153"/>
      <c r="DI514" s="153"/>
      <c r="DJ514" s="153"/>
      <c r="DK514" s="153"/>
      <c r="DL514" s="153"/>
      <c r="DM514" s="153"/>
      <c r="DN514" s="153"/>
      <c r="DO514" s="153"/>
      <c r="DP514" s="153"/>
      <c r="DQ514" s="153"/>
      <c r="DR514" s="153"/>
      <c r="DS514" s="153"/>
      <c r="DT514" s="153"/>
      <c r="DU514" s="153"/>
      <c r="DV514" s="153"/>
      <c r="DW514" s="153"/>
      <c r="DX514" s="153"/>
      <c r="DY514" s="153"/>
      <c r="DZ514" s="153"/>
      <c r="EA514" s="153"/>
      <c r="EB514" s="153"/>
      <c r="EC514" s="153"/>
      <c r="ED514" s="153"/>
      <c r="EE514" s="153"/>
      <c r="EF514" s="153"/>
      <c r="EG514" s="153"/>
      <c r="EH514" s="153"/>
      <c r="EI514" s="153"/>
      <c r="EJ514" s="153"/>
      <c r="EK514" s="153"/>
      <c r="EL514" s="153"/>
      <c r="EM514" s="153"/>
    </row>
    <row r="515" spans="1:143" s="107" customFormat="1" ht="10.5" customHeight="1">
      <c r="A515" s="1111"/>
      <c r="B515" s="1563"/>
      <c r="C515" s="1112" t="s">
        <v>1267</v>
      </c>
      <c r="D515" s="1113" t="str">
        <f>IF(D509="","",D512*O2correction*CO2correction)</f>
        <v/>
      </c>
      <c r="E515" s="1113"/>
      <c r="F515" s="1113" t="str">
        <f>IF(F509="","",F512*O2correction*CO2correction)</f>
        <v/>
      </c>
      <c r="G515" s="1113"/>
      <c r="H515" s="1113" t="str">
        <f>IF(H509="","",H512*O2correction*CO2correction)</f>
        <v/>
      </c>
      <c r="I515" s="1113"/>
      <c r="J515" s="1113" t="str">
        <f>IF(J509="","",J512*O2correction*CO2correction)</f>
        <v/>
      </c>
      <c r="K515" s="1113"/>
      <c r="L515" s="1113" t="str">
        <f>IF(L509="","",L512*O2correction*CO2correction)</f>
        <v/>
      </c>
      <c r="M515" s="1113"/>
      <c r="N515" s="1113" t="str">
        <f>IF(N509="","",N512*O2correction*CO2correction)</f>
        <v/>
      </c>
      <c r="O515" s="1113"/>
      <c r="P515" s="1113" t="str">
        <f>IF(P509="","",P512*O2correction*CO2correction)</f>
        <v/>
      </c>
      <c r="Q515" s="1113"/>
      <c r="R515" s="1113" t="str">
        <f>IF(R509="","",R512*O2correction*CO2correction)</f>
        <v/>
      </c>
      <c r="S515" s="1113"/>
      <c r="T515" s="740"/>
      <c r="AR515" s="153"/>
      <c r="AS515" s="153"/>
      <c r="AT515" s="153"/>
      <c r="AU515" s="153"/>
      <c r="AV515" s="153"/>
      <c r="AW515" s="153"/>
      <c r="AX515" s="153"/>
      <c r="AY515" s="153"/>
      <c r="AZ515" s="153"/>
      <c r="BA515" s="153"/>
      <c r="BB515" s="153"/>
      <c r="BC515" s="153"/>
      <c r="BD515" s="153"/>
      <c r="BE515" s="153"/>
      <c r="BF515" s="153"/>
      <c r="BG515" s="153"/>
      <c r="BH515" s="153"/>
      <c r="BI515" s="153"/>
      <c r="BJ515" s="153"/>
      <c r="BK515" s="153"/>
      <c r="BL515" s="153"/>
      <c r="BM515" s="153"/>
      <c r="BN515" s="153"/>
      <c r="BO515" s="153"/>
      <c r="BP515" s="153"/>
      <c r="BQ515" s="153"/>
      <c r="BR515" s="153"/>
      <c r="BS515" s="153"/>
      <c r="BT515" s="153"/>
      <c r="BU515" s="153"/>
      <c r="BV515" s="153"/>
      <c r="BW515" s="153"/>
      <c r="BX515" s="153"/>
      <c r="BY515" s="153"/>
      <c r="BZ515" s="153"/>
      <c r="CA515" s="153"/>
      <c r="CB515" s="153"/>
      <c r="CC515" s="153"/>
      <c r="CD515" s="153"/>
      <c r="CE515" s="153"/>
      <c r="CF515" s="153"/>
      <c r="CG515" s="153"/>
      <c r="CH515" s="153"/>
      <c r="CI515" s="153"/>
      <c r="CJ515" s="153"/>
      <c r="CK515" s="153"/>
      <c r="CL515" s="153"/>
      <c r="CM515" s="153"/>
      <c r="CN515" s="153"/>
      <c r="CO515" s="153"/>
      <c r="CP515" s="153"/>
      <c r="CQ515" s="153"/>
      <c r="CR515" s="153"/>
      <c r="CS515" s="153"/>
      <c r="CT515" s="153"/>
      <c r="CU515" s="153"/>
      <c r="CV515" s="153"/>
      <c r="CW515" s="153"/>
      <c r="CX515" s="153"/>
      <c r="CY515" s="153"/>
      <c r="CZ515" s="153"/>
      <c r="DA515" s="153"/>
      <c r="DB515" s="153"/>
      <c r="DC515" s="153"/>
      <c r="DD515" s="153"/>
      <c r="DE515" s="153"/>
      <c r="DF515" s="153"/>
      <c r="DG515" s="153"/>
      <c r="DH515" s="153"/>
      <c r="DI515" s="153"/>
      <c r="DJ515" s="153"/>
      <c r="DK515" s="153"/>
      <c r="DL515" s="153"/>
      <c r="DM515" s="153"/>
      <c r="DN515" s="153"/>
      <c r="DO515" s="153"/>
      <c r="DP515" s="153"/>
      <c r="DQ515" s="153"/>
      <c r="DR515" s="153"/>
      <c r="DS515" s="153"/>
      <c r="DT515" s="153"/>
      <c r="DU515" s="153"/>
      <c r="DV515" s="153"/>
      <c r="DW515" s="153"/>
      <c r="DX515" s="153"/>
      <c r="DY515" s="153"/>
      <c r="DZ515" s="153"/>
      <c r="EA515" s="153"/>
      <c r="EB515" s="153"/>
      <c r="EC515" s="153"/>
      <c r="ED515" s="153"/>
      <c r="EE515" s="153"/>
      <c r="EF515" s="153"/>
      <c r="EG515" s="153"/>
      <c r="EH515" s="153"/>
      <c r="EI515" s="153"/>
      <c r="EJ515" s="153"/>
      <c r="EK515" s="153"/>
      <c r="EL515" s="153"/>
      <c r="EM515" s="153"/>
    </row>
    <row r="516" spans="1:143" s="107" customFormat="1" ht="10.5" customHeight="1">
      <c r="A516" s="1114" t="s">
        <v>97</v>
      </c>
      <c r="B516" s="1564"/>
      <c r="C516" s="1115" t="s">
        <v>1268</v>
      </c>
      <c r="D516" s="1116" t="str">
        <f>IF(D510="","",D513*O2correction*CO2correction)</f>
        <v/>
      </c>
      <c r="E516" s="1116"/>
      <c r="F516" s="1116" t="str">
        <f>IF(F510="","",F513*O2correction*CO2correction)</f>
        <v/>
      </c>
      <c r="G516" s="1116"/>
      <c r="H516" s="1116" t="str">
        <f>IF(H510="","",H513*O2correction*CO2correction)</f>
        <v/>
      </c>
      <c r="I516" s="1116"/>
      <c r="J516" s="1116" t="str">
        <f>IF(J510="","",J513*O2correction*CO2correction)</f>
        <v/>
      </c>
      <c r="K516" s="1116"/>
      <c r="L516" s="1116" t="str">
        <f>IF(L510="","",L513*O2correction*CO2correction)</f>
        <v/>
      </c>
      <c r="M516" s="1116"/>
      <c r="N516" s="1116" t="str">
        <f>IF(N510="","",N513*O2correction*CO2correction)</f>
        <v/>
      </c>
      <c r="O516" s="1116"/>
      <c r="P516" s="1116" t="str">
        <f>IF(P510="","",P513*O2correction*CO2correction)</f>
        <v/>
      </c>
      <c r="Q516" s="1116"/>
      <c r="R516" s="1116" t="str">
        <f>IF(R510="","",R513*O2correction*CO2correction)</f>
        <v/>
      </c>
      <c r="S516" s="1116"/>
      <c r="T516" s="740"/>
      <c r="AR516" s="153"/>
      <c r="AS516" s="153"/>
      <c r="AT516" s="153"/>
      <c r="AU516" s="153"/>
      <c r="AV516" s="153"/>
      <c r="AW516" s="153"/>
      <c r="AX516" s="153"/>
      <c r="AY516" s="153"/>
      <c r="AZ516" s="153"/>
      <c r="BA516" s="153"/>
      <c r="BB516" s="153"/>
      <c r="BC516" s="153"/>
      <c r="BD516" s="153"/>
      <c r="BE516" s="153"/>
      <c r="BF516" s="153"/>
      <c r="BG516" s="153"/>
      <c r="BH516" s="153"/>
      <c r="BI516" s="153"/>
      <c r="BJ516" s="153"/>
      <c r="BK516" s="153"/>
      <c r="BL516" s="153"/>
      <c r="BM516" s="153"/>
      <c r="BN516" s="153"/>
      <c r="BO516" s="153"/>
      <c r="BP516" s="153"/>
      <c r="BQ516" s="153"/>
      <c r="BR516" s="153"/>
      <c r="BS516" s="153"/>
      <c r="BT516" s="153"/>
      <c r="BU516" s="153"/>
      <c r="BV516" s="153"/>
      <c r="BW516" s="153"/>
      <c r="BX516" s="153"/>
      <c r="BY516" s="153"/>
      <c r="BZ516" s="153"/>
      <c r="CA516" s="153"/>
      <c r="CB516" s="153"/>
      <c r="CC516" s="153"/>
      <c r="CD516" s="153"/>
      <c r="CE516" s="153"/>
      <c r="CF516" s="153"/>
      <c r="CG516" s="153"/>
      <c r="CH516" s="153"/>
      <c r="CI516" s="153"/>
      <c r="CJ516" s="153"/>
      <c r="CK516" s="153"/>
      <c r="CL516" s="153"/>
      <c r="CM516" s="153"/>
      <c r="CN516" s="153"/>
      <c r="CO516" s="153"/>
      <c r="CP516" s="153"/>
      <c r="CQ516" s="153"/>
      <c r="CR516" s="153"/>
      <c r="CS516" s="153"/>
      <c r="CT516" s="153"/>
      <c r="CU516" s="153"/>
      <c r="CV516" s="153"/>
      <c r="CW516" s="153"/>
      <c r="CX516" s="153"/>
      <c r="CY516" s="153"/>
      <c r="CZ516" s="153"/>
      <c r="DA516" s="153"/>
      <c r="DB516" s="153"/>
      <c r="DC516" s="153"/>
      <c r="DD516" s="153"/>
      <c r="DE516" s="153"/>
      <c r="DF516" s="153"/>
      <c r="DG516" s="153"/>
      <c r="DH516" s="153"/>
      <c r="DI516" s="153"/>
      <c r="DJ516" s="153"/>
      <c r="DK516" s="153"/>
      <c r="DL516" s="153"/>
      <c r="DM516" s="153"/>
      <c r="DN516" s="153"/>
      <c r="DO516" s="153"/>
      <c r="DP516" s="153"/>
      <c r="DQ516" s="153"/>
      <c r="DR516" s="153"/>
      <c r="DS516" s="153"/>
      <c r="DT516" s="153"/>
      <c r="DU516" s="153"/>
      <c r="DV516" s="153"/>
      <c r="DW516" s="153"/>
      <c r="DX516" s="153"/>
      <c r="DY516" s="153"/>
      <c r="DZ516" s="153"/>
      <c r="EA516" s="153"/>
      <c r="EB516" s="153"/>
      <c r="EC516" s="153"/>
      <c r="ED516" s="153"/>
      <c r="EE516" s="153"/>
      <c r="EF516" s="153"/>
      <c r="EG516" s="153"/>
      <c r="EH516" s="153"/>
      <c r="EI516" s="153"/>
      <c r="EJ516" s="153"/>
      <c r="EK516" s="153"/>
      <c r="EL516" s="153"/>
      <c r="EM516" s="153"/>
    </row>
    <row r="517" spans="1:143" s="107" customFormat="1" ht="10.5" customHeight="1">
      <c r="A517" s="1117" t="str">
        <f>IF(ISNUMBER(H1),"to "&amp;H1&amp;"%","")</f>
        <v/>
      </c>
      <c r="B517" s="1565"/>
      <c r="C517" s="1118" t="s">
        <v>1279</v>
      </c>
      <c r="D517" s="1119" t="str">
        <f>IF(D511="","",D514*O2correction*CO2correction)</f>
        <v/>
      </c>
      <c r="E517" s="1119"/>
      <c r="F517" s="1119" t="str">
        <f>IF(F511="","",F514*O2correction*CO2correction)</f>
        <v/>
      </c>
      <c r="G517" s="1119"/>
      <c r="H517" s="1119" t="str">
        <f>IF(H511="","",H514*O2correction*CO2correction)</f>
        <v/>
      </c>
      <c r="I517" s="1119"/>
      <c r="J517" s="1119" t="str">
        <f>IF(J511="","",J514*O2correction*CO2correction)</f>
        <v/>
      </c>
      <c r="K517" s="1119"/>
      <c r="L517" s="1119" t="str">
        <f>IF(L511="","",L514*O2correction*CO2correction)</f>
        <v/>
      </c>
      <c r="M517" s="1119"/>
      <c r="N517" s="1119" t="str">
        <f>IF(N511="","",N514*O2correction*CO2correction)</f>
        <v/>
      </c>
      <c r="O517" s="1119"/>
      <c r="P517" s="1119" t="str">
        <f>IF(P511="","",P514*O2correction*CO2correction)</f>
        <v/>
      </c>
      <c r="Q517" s="1119"/>
      <c r="R517" s="1119" t="str">
        <f>IF(R511="","",R514*O2correction*CO2correction)</f>
        <v/>
      </c>
      <c r="S517" s="1119"/>
      <c r="T517" s="740"/>
      <c r="AR517" s="153"/>
      <c r="AS517" s="153"/>
      <c r="AT517" s="153"/>
      <c r="AU517" s="153"/>
      <c r="AV517" s="153"/>
      <c r="AW517" s="153"/>
      <c r="AX517" s="153"/>
      <c r="AY517" s="153"/>
      <c r="AZ517" s="153"/>
      <c r="BA517" s="153"/>
      <c r="BB517" s="153"/>
      <c r="BC517" s="153"/>
      <c r="BD517" s="153"/>
      <c r="BE517" s="153"/>
      <c r="BF517" s="153"/>
      <c r="BG517" s="153"/>
      <c r="BH517" s="153"/>
      <c r="BI517" s="153"/>
      <c r="BJ517" s="153"/>
      <c r="BK517" s="153"/>
      <c r="BL517" s="153"/>
      <c r="BM517" s="153"/>
      <c r="BN517" s="153"/>
      <c r="BO517" s="153"/>
      <c r="BP517" s="153"/>
      <c r="BQ517" s="153"/>
      <c r="BR517" s="153"/>
      <c r="BS517" s="153"/>
      <c r="BT517" s="153"/>
      <c r="BU517" s="153"/>
      <c r="BV517" s="153"/>
      <c r="BW517" s="153"/>
      <c r="BX517" s="153"/>
      <c r="BY517" s="153"/>
      <c r="BZ517" s="153"/>
      <c r="CA517" s="153"/>
      <c r="CB517" s="153"/>
      <c r="CC517" s="153"/>
      <c r="CD517" s="153"/>
      <c r="CE517" s="153"/>
      <c r="CF517" s="153"/>
      <c r="CG517" s="153"/>
      <c r="CH517" s="153"/>
      <c r="CI517" s="153"/>
      <c r="CJ517" s="153"/>
      <c r="CK517" s="153"/>
      <c r="CL517" s="153"/>
      <c r="CM517" s="153"/>
      <c r="CN517" s="153"/>
      <c r="CO517" s="153"/>
      <c r="CP517" s="153"/>
      <c r="CQ517" s="153"/>
      <c r="CR517" s="153"/>
      <c r="CS517" s="153"/>
      <c r="CT517" s="153"/>
      <c r="CU517" s="153"/>
      <c r="CV517" s="153"/>
      <c r="CW517" s="153"/>
      <c r="CX517" s="153"/>
      <c r="CY517" s="153"/>
      <c r="CZ517" s="153"/>
      <c r="DA517" s="153"/>
      <c r="DB517" s="153"/>
      <c r="DC517" s="153"/>
      <c r="DD517" s="153"/>
      <c r="DE517" s="153"/>
      <c r="DF517" s="153"/>
      <c r="DG517" s="153"/>
      <c r="DH517" s="153"/>
      <c r="DI517" s="153"/>
      <c r="DJ517" s="153"/>
      <c r="DK517" s="153"/>
      <c r="DL517" s="153"/>
      <c r="DM517" s="153"/>
      <c r="DN517" s="153"/>
      <c r="DO517" s="153"/>
      <c r="DP517" s="153"/>
      <c r="DQ517" s="153"/>
      <c r="DR517" s="153"/>
      <c r="DS517" s="153"/>
      <c r="DT517" s="153"/>
      <c r="DU517" s="153"/>
      <c r="DV517" s="153"/>
      <c r="DW517" s="153"/>
      <c r="DX517" s="153"/>
      <c r="DY517" s="153"/>
      <c r="DZ517" s="153"/>
      <c r="EA517" s="153"/>
      <c r="EB517" s="153"/>
      <c r="EC517" s="153"/>
      <c r="ED517" s="153"/>
      <c r="EE517" s="153"/>
      <c r="EF517" s="153"/>
      <c r="EG517" s="153"/>
      <c r="EH517" s="153"/>
      <c r="EI517" s="153"/>
      <c r="EJ517" s="153"/>
      <c r="EK517" s="153"/>
      <c r="EL517" s="153"/>
      <c r="EM517" s="153"/>
    </row>
    <row r="518" spans="1:143" s="107" customFormat="1" ht="10.5" customHeight="1">
      <c r="A518" s="1111"/>
      <c r="B518" s="1563"/>
      <c r="C518" s="1112" t="s">
        <v>1267</v>
      </c>
      <c r="D518" s="1113" t="str">
        <f>IF(D509="","",MassRate(D512,D$9,MolVol,D$508,E$20,MRU,MRF,AverageFlowDry,FF))</f>
        <v/>
      </c>
      <c r="E518" s="1113"/>
      <c r="F518" s="1113" t="str">
        <f>IF(F509="","",MassRate(F512,F$9,MolVol,F$508,G$20,MRU,MRF,AverageFlowDry,FF))</f>
        <v/>
      </c>
      <c r="G518" s="1113"/>
      <c r="H518" s="1113" t="str">
        <f>IF(H509="","",MassRate(H512,H$9,MolVol,H$508,I$20,MRU,MRF,AverageFlowDry,FF))</f>
        <v/>
      </c>
      <c r="I518" s="1113"/>
      <c r="J518" s="1113" t="str">
        <f>IF(J509="","",MassRate(J512,J$9,MolVol,J$508,K$20,MRU,MRF,AverageFlowDry,FF))</f>
        <v/>
      </c>
      <c r="K518" s="1113"/>
      <c r="L518" s="1113" t="str">
        <f>IF(L509="","",MassRate(L512,L$9,MolVol,L$508,M$20,MRU,MRF,AverageFlowDry,FF))</f>
        <v/>
      </c>
      <c r="M518" s="1113"/>
      <c r="N518" s="1113" t="str">
        <f>IF(N509="","",MassRate(N512,N$9,MolVol,N$508,O$20,MRU,MRF,AverageFlowDry,FF))</f>
        <v/>
      </c>
      <c r="O518" s="1113"/>
      <c r="P518" s="1113" t="str">
        <f>IF(P509="","",MassRate(P512,P$9,MolVol,P$508,Q$20,MRU,MRF,AverageFlowDry,FF))</f>
        <v/>
      </c>
      <c r="Q518" s="1113"/>
      <c r="R518" s="1113" t="str">
        <f>IF(R509="","",MassRate(R512,R$9,MolVol,R$508,S$20,MRU,MRF,AverageFlowDry,FF))</f>
        <v/>
      </c>
      <c r="S518" s="1113"/>
      <c r="T518" s="740"/>
      <c r="AR518" s="153"/>
      <c r="AS518" s="153"/>
      <c r="AT518" s="153"/>
      <c r="AU518" s="153"/>
      <c r="AV518" s="153"/>
      <c r="AW518" s="153"/>
      <c r="AX518" s="153"/>
      <c r="AY518" s="153"/>
      <c r="AZ518" s="153"/>
      <c r="BA518" s="153"/>
      <c r="BB518" s="153"/>
      <c r="BC518" s="153"/>
      <c r="BD518" s="153"/>
      <c r="BE518" s="153"/>
      <c r="BF518" s="153"/>
      <c r="BG518" s="153"/>
      <c r="BH518" s="153"/>
      <c r="BI518" s="153"/>
      <c r="BJ518" s="153"/>
      <c r="BK518" s="153"/>
      <c r="BL518" s="153"/>
      <c r="BM518" s="153"/>
      <c r="BN518" s="153"/>
      <c r="BO518" s="153"/>
      <c r="BP518" s="153"/>
      <c r="BQ518" s="153"/>
      <c r="BR518" s="153"/>
      <c r="BS518" s="153"/>
      <c r="BT518" s="153"/>
      <c r="BU518" s="153"/>
      <c r="BV518" s="153"/>
      <c r="BW518" s="153"/>
      <c r="BX518" s="153"/>
      <c r="BY518" s="153"/>
      <c r="BZ518" s="153"/>
      <c r="CA518" s="153"/>
      <c r="CB518" s="153"/>
      <c r="CC518" s="153"/>
      <c r="CD518" s="153"/>
      <c r="CE518" s="153"/>
      <c r="CF518" s="153"/>
      <c r="CG518" s="153"/>
      <c r="CH518" s="153"/>
      <c r="CI518" s="153"/>
      <c r="CJ518" s="153"/>
      <c r="CK518" s="153"/>
      <c r="CL518" s="153"/>
      <c r="CM518" s="153"/>
      <c r="CN518" s="153"/>
      <c r="CO518" s="153"/>
      <c r="CP518" s="153"/>
      <c r="CQ518" s="153"/>
      <c r="CR518" s="153"/>
      <c r="CS518" s="153"/>
      <c r="CT518" s="153"/>
      <c r="CU518" s="153"/>
      <c r="CV518" s="153"/>
      <c r="CW518" s="153"/>
      <c r="CX518" s="153"/>
      <c r="CY518" s="153"/>
      <c r="CZ518" s="153"/>
      <c r="DA518" s="153"/>
      <c r="DB518" s="153"/>
      <c r="DC518" s="153"/>
      <c r="DD518" s="153"/>
      <c r="DE518" s="153"/>
      <c r="DF518" s="153"/>
      <c r="DG518" s="153"/>
      <c r="DH518" s="153"/>
      <c r="DI518" s="153"/>
      <c r="DJ518" s="153"/>
      <c r="DK518" s="153"/>
      <c r="DL518" s="153"/>
      <c r="DM518" s="153"/>
      <c r="DN518" s="153"/>
      <c r="DO518" s="153"/>
      <c r="DP518" s="153"/>
      <c r="DQ518" s="153"/>
      <c r="DR518" s="153"/>
      <c r="DS518" s="153"/>
      <c r="DT518" s="153"/>
      <c r="DU518" s="153"/>
      <c r="DV518" s="153"/>
      <c r="DW518" s="153"/>
      <c r="DX518" s="153"/>
      <c r="DY518" s="153"/>
      <c r="DZ518" s="153"/>
      <c r="EA518" s="153"/>
      <c r="EB518" s="153"/>
      <c r="EC518" s="153"/>
      <c r="ED518" s="153"/>
      <c r="EE518" s="153"/>
      <c r="EF518" s="153"/>
      <c r="EG518" s="153"/>
      <c r="EH518" s="153"/>
      <c r="EI518" s="153"/>
      <c r="EJ518" s="153"/>
      <c r="EK518" s="153"/>
      <c r="EL518" s="153"/>
      <c r="EM518" s="153"/>
    </row>
    <row r="519" spans="1:143" s="107" customFormat="1" ht="10.5" customHeight="1">
      <c r="A519" s="1114" t="s">
        <v>1202</v>
      </c>
      <c r="B519" s="1564"/>
      <c r="C519" s="1115" t="s">
        <v>1268</v>
      </c>
      <c r="D519" s="1116" t="str">
        <f>IF(D510="","",MassRate(D513,D$9,MolVol,D$508,E$20,MRU,MRF,AverageFlowDry,FF))</f>
        <v/>
      </c>
      <c r="E519" s="1116"/>
      <c r="F519" s="1116" t="str">
        <f>IF(F510="","",MassRate(F513,F$9,MolVol,F$508,G$20,MRU,MRF,AverageFlowDry,FF))</f>
        <v/>
      </c>
      <c r="G519" s="1116"/>
      <c r="H519" s="1116" t="str">
        <f>IF(H510="","",MassRate(H513,H$9,MolVol,H$508,I$20,MRU,MRF,AverageFlowDry,FF))</f>
        <v/>
      </c>
      <c r="I519" s="1116"/>
      <c r="J519" s="1116" t="str">
        <f>IF(J510="","",MassRate(J513,J$9,MolVol,J$508,K$20,MRU,MRF,AverageFlowDry,FF))</f>
        <v/>
      </c>
      <c r="K519" s="1116"/>
      <c r="L519" s="1116" t="str">
        <f>IF(L510="","",MassRate(L513,L$9,MolVol,L$508,M$20,MRU,MRF,AverageFlowDry,FF))</f>
        <v/>
      </c>
      <c r="M519" s="1116"/>
      <c r="N519" s="1116" t="str">
        <f>IF(N510="","",MassRate(N513,N$9,MolVol,N$508,O$20,MRU,MRF,AverageFlowDry,FF))</f>
        <v/>
      </c>
      <c r="O519" s="1116"/>
      <c r="P519" s="1116" t="str">
        <f>IF(P510="","",MassRate(P513,P$9,MolVol,P$508,Q$20,MRU,MRF,AverageFlowDry,FF))</f>
        <v/>
      </c>
      <c r="Q519" s="1116"/>
      <c r="R519" s="1116" t="str">
        <f>IF(R510="","",MassRate(R513,R$9,MolVol,R$508,S$20,MRU,MRF,AverageFlowDry,FF))</f>
        <v/>
      </c>
      <c r="S519" s="1116"/>
      <c r="T519" s="740"/>
      <c r="AR519" s="153"/>
      <c r="AS519" s="153"/>
      <c r="AT519" s="153"/>
      <c r="AU519" s="153"/>
      <c r="AV519" s="153"/>
      <c r="AW519" s="153"/>
      <c r="AX519" s="153"/>
      <c r="AY519" s="153"/>
      <c r="AZ519" s="153"/>
      <c r="BA519" s="153"/>
      <c r="BB519" s="153"/>
      <c r="BC519" s="153"/>
      <c r="BD519" s="153"/>
      <c r="BE519" s="153"/>
      <c r="BF519" s="153"/>
      <c r="BG519" s="153"/>
      <c r="BH519" s="153"/>
      <c r="BI519" s="153"/>
      <c r="BJ519" s="153"/>
      <c r="BK519" s="153"/>
      <c r="BL519" s="153"/>
      <c r="BM519" s="153"/>
      <c r="BN519" s="153"/>
      <c r="BO519" s="153"/>
      <c r="BP519" s="153"/>
      <c r="BQ519" s="153"/>
      <c r="BR519" s="153"/>
      <c r="BS519" s="153"/>
      <c r="BT519" s="153"/>
      <c r="BU519" s="153"/>
      <c r="BV519" s="153"/>
      <c r="BW519" s="153"/>
      <c r="BX519" s="153"/>
      <c r="BY519" s="153"/>
      <c r="BZ519" s="153"/>
      <c r="CA519" s="153"/>
      <c r="CB519" s="153"/>
      <c r="CC519" s="153"/>
      <c r="CD519" s="153"/>
      <c r="CE519" s="153"/>
      <c r="CF519" s="153"/>
      <c r="CG519" s="153"/>
      <c r="CH519" s="153"/>
      <c r="CI519" s="153"/>
      <c r="CJ519" s="153"/>
      <c r="CK519" s="153"/>
      <c r="CL519" s="153"/>
      <c r="CM519" s="153"/>
      <c r="CN519" s="153"/>
      <c r="CO519" s="153"/>
      <c r="CP519" s="153"/>
      <c r="CQ519" s="153"/>
      <c r="CR519" s="153"/>
      <c r="CS519" s="153"/>
      <c r="CT519" s="153"/>
      <c r="CU519" s="153"/>
      <c r="CV519" s="153"/>
      <c r="CW519" s="153"/>
      <c r="CX519" s="153"/>
      <c r="CY519" s="153"/>
      <c r="CZ519" s="153"/>
      <c r="DA519" s="153"/>
      <c r="DB519" s="153"/>
      <c r="DC519" s="153"/>
      <c r="DD519" s="153"/>
      <c r="DE519" s="153"/>
      <c r="DF519" s="153"/>
      <c r="DG519" s="153"/>
      <c r="DH519" s="153"/>
      <c r="DI519" s="153"/>
      <c r="DJ519" s="153"/>
      <c r="DK519" s="153"/>
      <c r="DL519" s="153"/>
      <c r="DM519" s="153"/>
      <c r="DN519" s="153"/>
      <c r="DO519" s="153"/>
      <c r="DP519" s="153"/>
      <c r="DQ519" s="153"/>
      <c r="DR519" s="153"/>
      <c r="DS519" s="153"/>
      <c r="DT519" s="153"/>
      <c r="DU519" s="153"/>
      <c r="DV519" s="153"/>
      <c r="DW519" s="153"/>
      <c r="DX519" s="153"/>
      <c r="DY519" s="153"/>
      <c r="DZ519" s="153"/>
      <c r="EA519" s="153"/>
      <c r="EB519" s="153"/>
      <c r="EC519" s="153"/>
      <c r="ED519" s="153"/>
      <c r="EE519" s="153"/>
      <c r="EF519" s="153"/>
      <c r="EG519" s="153"/>
      <c r="EH519" s="153"/>
      <c r="EI519" s="153"/>
      <c r="EJ519" s="153"/>
      <c r="EK519" s="153"/>
      <c r="EL519" s="153"/>
      <c r="EM519" s="153"/>
    </row>
    <row r="520" spans="1:143" s="107" customFormat="1" ht="10.5" customHeight="1" thickBot="1">
      <c r="A520" s="1120" t="str">
        <f>MRU</f>
        <v>g/min</v>
      </c>
      <c r="B520" s="1566"/>
      <c r="C520" s="1121" t="s">
        <v>1279</v>
      </c>
      <c r="D520" s="1122" t="str">
        <f>IF(D511="","",MassRate(D514,D$9,MolVol,D$508,E$20,MRU,MRF,AverageFlowDry,FF))</f>
        <v/>
      </c>
      <c r="E520" s="1122"/>
      <c r="F520" s="1122" t="str">
        <f>IF(F511="","",MassRate(F514,F$9,MolVol,F$508,G$20,MRU,MRF,AverageFlowDry,FF))</f>
        <v/>
      </c>
      <c r="G520" s="1122"/>
      <c r="H520" s="1122" t="str">
        <f>IF(H511="","",MassRate(H514,H$9,MolVol,H$508,I$20,MRU,MRF,AverageFlowDry,FF))</f>
        <v/>
      </c>
      <c r="I520" s="1122"/>
      <c r="J520" s="1122" t="str">
        <f>IF(J511="","",MassRate(J514,J$9,MolVol,J$508,K$20,MRU,MRF,AverageFlowDry,FF))</f>
        <v/>
      </c>
      <c r="K520" s="1122"/>
      <c r="L520" s="1122" t="str">
        <f>IF(L511="","",MassRate(L514,L$9,MolVol,L$508,M$20,MRU,MRF,AverageFlowDry,FF))</f>
        <v/>
      </c>
      <c r="M520" s="1122"/>
      <c r="N520" s="1122" t="str">
        <f>IF(N511="","",MassRate(N514,N$9,MolVol,N$508,O$20,MRU,MRF,AverageFlowDry,FF))</f>
        <v/>
      </c>
      <c r="O520" s="1122"/>
      <c r="P520" s="1122" t="str">
        <f>IF(P511="","",MassRate(P514,P$9,MolVol,P$508,Q$20,MRU,MRF,AverageFlowDry,FF))</f>
        <v/>
      </c>
      <c r="Q520" s="1122"/>
      <c r="R520" s="1122" t="str">
        <f>IF(R511="","",MassRate(R514,R$9,MolVol,R$508,S$20,MRU,MRF,AverageFlowDry,FF))</f>
        <v/>
      </c>
      <c r="S520" s="1122"/>
      <c r="T520" s="740"/>
      <c r="AR520" s="153"/>
      <c r="AS520" s="153"/>
      <c r="AT520" s="153"/>
      <c r="AU520" s="153"/>
      <c r="AV520" s="153"/>
      <c r="AW520" s="153"/>
      <c r="AX520" s="153"/>
      <c r="AY520" s="153"/>
      <c r="AZ520" s="153"/>
      <c r="BA520" s="153"/>
      <c r="BB520" s="153"/>
      <c r="BC520" s="153"/>
      <c r="BD520" s="153"/>
      <c r="BE520" s="153"/>
      <c r="BF520" s="153"/>
      <c r="BG520" s="153"/>
      <c r="BH520" s="153"/>
      <c r="BI520" s="153"/>
      <c r="BJ520" s="153"/>
      <c r="BK520" s="153"/>
      <c r="BL520" s="153"/>
      <c r="BM520" s="153"/>
      <c r="BN520" s="153"/>
      <c r="BO520" s="153"/>
      <c r="BP520" s="153"/>
      <c r="BQ520" s="153"/>
      <c r="BR520" s="153"/>
      <c r="BS520" s="153"/>
      <c r="BT520" s="153"/>
      <c r="BU520" s="153"/>
      <c r="BV520" s="153"/>
      <c r="BW520" s="153"/>
      <c r="BX520" s="153"/>
      <c r="BY520" s="153"/>
      <c r="BZ520" s="153"/>
      <c r="CA520" s="153"/>
      <c r="CB520" s="153"/>
      <c r="CC520" s="153"/>
      <c r="CD520" s="153"/>
      <c r="CE520" s="153"/>
      <c r="CF520" s="153"/>
      <c r="CG520" s="153"/>
      <c r="CH520" s="153"/>
      <c r="CI520" s="153"/>
      <c r="CJ520" s="153"/>
      <c r="CK520" s="153"/>
      <c r="CL520" s="153"/>
      <c r="CM520" s="153"/>
      <c r="CN520" s="153"/>
      <c r="CO520" s="153"/>
      <c r="CP520" s="153"/>
      <c r="CQ520" s="153"/>
      <c r="CR520" s="153"/>
      <c r="CS520" s="153"/>
      <c r="CT520" s="153"/>
      <c r="CU520" s="153"/>
      <c r="CV520" s="153"/>
      <c r="CW520" s="153"/>
      <c r="CX520" s="153"/>
      <c r="CY520" s="153"/>
      <c r="CZ520" s="153"/>
      <c r="DA520" s="153"/>
      <c r="DB520" s="153"/>
      <c r="DC520" s="153"/>
      <c r="DD520" s="153"/>
      <c r="DE520" s="153"/>
      <c r="DF520" s="153"/>
      <c r="DG520" s="153"/>
      <c r="DH520" s="153"/>
      <c r="DI520" s="153"/>
      <c r="DJ520" s="153"/>
      <c r="DK520" s="153"/>
      <c r="DL520" s="153"/>
      <c r="DM520" s="153"/>
      <c r="DN520" s="153"/>
      <c r="DO520" s="153"/>
      <c r="DP520" s="153"/>
      <c r="DQ520" s="153"/>
      <c r="DR520" s="153"/>
      <c r="DS520" s="153"/>
      <c r="DT520" s="153"/>
      <c r="DU520" s="153"/>
      <c r="DV520" s="153"/>
      <c r="DW520" s="153"/>
      <c r="DX520" s="153"/>
      <c r="DY520" s="153"/>
      <c r="DZ520" s="153"/>
      <c r="EA520" s="153"/>
      <c r="EB520" s="153"/>
      <c r="EC520" s="153"/>
      <c r="ED520" s="153"/>
      <c r="EE520" s="153"/>
      <c r="EF520" s="153"/>
      <c r="EG520" s="153"/>
      <c r="EH520" s="153"/>
      <c r="EI520" s="153"/>
      <c r="EJ520" s="153"/>
      <c r="EK520" s="153"/>
      <c r="EL520" s="153"/>
      <c r="EM520" s="153"/>
    </row>
    <row r="521" spans="1:143" s="107" customFormat="1" ht="10.5" customHeight="1">
      <c r="B521" s="1549"/>
      <c r="D521" s="107" t="str">
        <f>IF(ISNUMBER(D$26),IF(MIN(D$26:D$505)&lt;D$10,"&lt;",""),"")</f>
        <v/>
      </c>
      <c r="F521" s="107" t="str">
        <f>IF(ISNUMBER(F$26),IF(MIN(F$26:F$505)&lt;F$10,"&lt;",""),"")</f>
        <v/>
      </c>
      <c r="H521" s="107" t="str">
        <f>IF(ISNUMBER(H$26),IF(MIN(H$26:H$505)&lt;H$10,"&lt;",""),"")</f>
        <v/>
      </c>
      <c r="J521" s="107" t="str">
        <f>IF(ISNUMBER(J$26),IF(MIN(J$26:J$505)&lt;J$10,"&lt;",""),"")</f>
        <v/>
      </c>
      <c r="L521" s="107" t="str">
        <f>IF(ISNUMBER(L$26),IF(MIN(L$26:L$505)&lt;L$10,"&lt;",""),"")</f>
        <v/>
      </c>
      <c r="N521" s="107" t="str">
        <f>IF(ISNUMBER(N$26),IF(MIN(N$26:N$505)&lt;N$10,"&lt;",""),"")</f>
        <v/>
      </c>
      <c r="P521" s="107" t="str">
        <f>IF(ISNUMBER(P$26),IF(MIN(P$26:P$505)&lt;P$10,"&lt;",""),"")</f>
        <v/>
      </c>
      <c r="R521" s="107" t="str">
        <f>IF(ISNUMBER(R$26),IF(MIN(R$26:R$505)&lt;R$10,"&lt;",""),"")</f>
        <v/>
      </c>
      <c r="T521" s="156"/>
      <c r="AR521" s="153"/>
      <c r="AS521" s="153"/>
      <c r="AT521" s="153"/>
      <c r="AU521" s="153"/>
      <c r="AV521" s="153"/>
      <c r="AW521" s="153"/>
      <c r="AX521" s="153"/>
      <c r="AY521" s="153"/>
      <c r="AZ521" s="153"/>
      <c r="BA521" s="153"/>
      <c r="BB521" s="153"/>
      <c r="BC521" s="153"/>
      <c r="BD521" s="153"/>
      <c r="BE521" s="153"/>
      <c r="BF521" s="153"/>
      <c r="BG521" s="153"/>
      <c r="BH521" s="153"/>
      <c r="BI521" s="153"/>
      <c r="BJ521" s="153"/>
      <c r="BK521" s="153"/>
      <c r="BL521" s="153"/>
      <c r="BM521" s="153"/>
      <c r="BN521" s="153"/>
      <c r="BO521" s="153"/>
      <c r="BP521" s="153"/>
      <c r="BQ521" s="153"/>
      <c r="BR521" s="153"/>
      <c r="BS521" s="153"/>
      <c r="BT521" s="153"/>
      <c r="BU521" s="153"/>
      <c r="BV521" s="153"/>
      <c r="BW521" s="153"/>
      <c r="BX521" s="153"/>
      <c r="BY521" s="153"/>
      <c r="BZ521" s="153"/>
      <c r="CA521" s="153"/>
      <c r="CB521" s="153"/>
      <c r="CC521" s="153"/>
      <c r="CD521" s="153"/>
      <c r="CE521" s="153"/>
      <c r="CF521" s="153"/>
      <c r="CG521" s="153"/>
      <c r="CH521" s="153"/>
      <c r="CI521" s="153"/>
      <c r="CJ521" s="153"/>
      <c r="CK521" s="153"/>
      <c r="CL521" s="153"/>
      <c r="CM521" s="153"/>
      <c r="CN521" s="153"/>
      <c r="CO521" s="153"/>
      <c r="CP521" s="153"/>
      <c r="CQ521" s="153"/>
      <c r="CR521" s="153"/>
      <c r="CS521" s="153"/>
      <c r="CT521" s="153"/>
      <c r="CU521" s="153"/>
      <c r="CV521" s="153"/>
      <c r="CW521" s="153"/>
      <c r="CX521" s="153"/>
      <c r="CY521" s="153"/>
      <c r="CZ521" s="153"/>
      <c r="DA521" s="153"/>
      <c r="DB521" s="153"/>
      <c r="DC521" s="153"/>
      <c r="DD521" s="153"/>
      <c r="DE521" s="153"/>
      <c r="DF521" s="153"/>
      <c r="DG521" s="153"/>
      <c r="DH521" s="153"/>
      <c r="DI521" s="153"/>
      <c r="DJ521" s="153"/>
      <c r="DK521" s="153"/>
      <c r="DL521" s="153"/>
      <c r="DM521" s="153"/>
      <c r="DN521" s="153"/>
      <c r="DO521" s="153"/>
      <c r="DP521" s="153"/>
      <c r="DQ521" s="153"/>
      <c r="DR521" s="153"/>
      <c r="DS521" s="153"/>
      <c r="DT521" s="153"/>
      <c r="DU521" s="153"/>
      <c r="DV521" s="153"/>
      <c r="DW521" s="153"/>
      <c r="DX521" s="153"/>
      <c r="DY521" s="153"/>
      <c r="DZ521" s="153"/>
      <c r="EA521" s="153"/>
      <c r="EB521" s="153"/>
      <c r="EC521" s="153"/>
      <c r="ED521" s="153"/>
      <c r="EE521" s="153"/>
      <c r="EF521" s="153"/>
      <c r="EG521" s="153"/>
      <c r="EH521" s="153"/>
      <c r="EI521" s="153"/>
      <c r="EJ521" s="153"/>
      <c r="EK521" s="153"/>
      <c r="EL521" s="153"/>
      <c r="EM521" s="153"/>
    </row>
    <row r="522" spans="1:143" s="107" customFormat="1" ht="10.5" customHeight="1">
      <c r="B522" s="1549"/>
      <c r="D522" s="107" t="str">
        <f>IF(ISNUMBER(D$26),IF(MAX(D$26:D$505)&lt;D$10,"&lt;",""),"")</f>
        <v/>
      </c>
      <c r="F522" s="107" t="str">
        <f>IF(ISNUMBER(F$26),IF(MAX(F$26:F$505)&lt;F$10,"&lt;",""),"")</f>
        <v/>
      </c>
      <c r="H522" s="107" t="str">
        <f>IF(ISNUMBER(H$26),IF(MAX(H$26:H$505)&lt;H$10,"&lt;",""),"")</f>
        <v/>
      </c>
      <c r="J522" s="107" t="str">
        <f>IF(ISNUMBER(J$26),IF(MAX(J$26:J$505)&lt;J$10,"&lt;",""),"")</f>
        <v/>
      </c>
      <c r="L522" s="107" t="str">
        <f>IF(ISNUMBER(L$26),IF(MAX(L$26:L$505)&lt;L$10,"&lt;",""),"")</f>
        <v/>
      </c>
      <c r="N522" s="107" t="str">
        <f>IF(ISNUMBER(N$26),IF(MAX(N$26:N$505)&lt;N$10,"&lt;",""),"")</f>
        <v/>
      </c>
      <c r="P522" s="107" t="str">
        <f>IF(ISNUMBER(P$26),IF(MAX(P$26:P$505)&lt;P$10,"&lt;",""),"")</f>
        <v/>
      </c>
      <c r="R522" s="107" t="str">
        <f>IF(ISNUMBER(R$26),IF(MAX(R$26:R$505)&lt;R$10,"&lt;",""),"")</f>
        <v/>
      </c>
      <c r="T522" s="156"/>
      <c r="AR522" s="153"/>
      <c r="AS522" s="153"/>
      <c r="AT522" s="153"/>
      <c r="AU522" s="153"/>
      <c r="AV522" s="153"/>
      <c r="AW522" s="153"/>
      <c r="AX522" s="153"/>
      <c r="AY522" s="153"/>
      <c r="AZ522" s="153"/>
      <c r="BA522" s="153"/>
      <c r="BB522" s="153"/>
      <c r="BC522" s="153"/>
      <c r="BD522" s="153"/>
      <c r="BE522" s="153"/>
      <c r="BF522" s="153"/>
      <c r="BG522" s="153"/>
      <c r="BH522" s="153"/>
      <c r="BI522" s="153"/>
      <c r="BJ522" s="153"/>
      <c r="BK522" s="153"/>
      <c r="BL522" s="153"/>
      <c r="BM522" s="153"/>
      <c r="BN522" s="153"/>
      <c r="BO522" s="153"/>
      <c r="BP522" s="153"/>
      <c r="BQ522" s="153"/>
      <c r="BR522" s="153"/>
      <c r="BS522" s="153"/>
      <c r="BT522" s="153"/>
      <c r="BU522" s="153"/>
      <c r="BV522" s="153"/>
      <c r="BW522" s="153"/>
      <c r="BX522" s="153"/>
      <c r="BY522" s="153"/>
      <c r="BZ522" s="153"/>
      <c r="CA522" s="153"/>
      <c r="CB522" s="153"/>
      <c r="CC522" s="153"/>
      <c r="CD522" s="153"/>
      <c r="CE522" s="153"/>
      <c r="CF522" s="153"/>
      <c r="CG522" s="153"/>
      <c r="CH522" s="153"/>
      <c r="CI522" s="153"/>
      <c r="CJ522" s="153"/>
      <c r="CK522" s="153"/>
      <c r="CL522" s="153"/>
      <c r="CM522" s="153"/>
      <c r="CN522" s="153"/>
      <c r="CO522" s="153"/>
      <c r="CP522" s="153"/>
      <c r="CQ522" s="153"/>
      <c r="CR522" s="153"/>
      <c r="CS522" s="153"/>
      <c r="CT522" s="153"/>
      <c r="CU522" s="153"/>
      <c r="CV522" s="153"/>
      <c r="CW522" s="153"/>
      <c r="CX522" s="153"/>
      <c r="CY522" s="153"/>
      <c r="CZ522" s="153"/>
      <c r="DA522" s="153"/>
      <c r="DB522" s="153"/>
      <c r="DC522" s="153"/>
      <c r="DD522" s="153"/>
      <c r="DE522" s="153"/>
      <c r="DF522" s="153"/>
      <c r="DG522" s="153"/>
      <c r="DH522" s="153"/>
      <c r="DI522" s="153"/>
      <c r="DJ522" s="153"/>
      <c r="DK522" s="153"/>
      <c r="DL522" s="153"/>
      <c r="DM522" s="153"/>
      <c r="DN522" s="153"/>
      <c r="DO522" s="153"/>
      <c r="DP522" s="153"/>
      <c r="DQ522" s="153"/>
      <c r="DR522" s="153"/>
      <c r="DS522" s="153"/>
      <c r="DT522" s="153"/>
      <c r="DU522" s="153"/>
      <c r="DV522" s="153"/>
      <c r="DW522" s="153"/>
      <c r="DX522" s="153"/>
      <c r="DY522" s="153"/>
      <c r="DZ522" s="153"/>
      <c r="EA522" s="153"/>
      <c r="EB522" s="153"/>
      <c r="EC522" s="153"/>
      <c r="ED522" s="153"/>
      <c r="EE522" s="153"/>
      <c r="EF522" s="153"/>
      <c r="EG522" s="153"/>
      <c r="EH522" s="153"/>
      <c r="EI522" s="153"/>
      <c r="EJ522" s="153"/>
      <c r="EK522" s="153"/>
      <c r="EL522" s="153"/>
      <c r="EM522" s="153"/>
    </row>
    <row r="523" spans="1:143" s="107" customFormat="1" ht="10.5" customHeight="1">
      <c r="B523" s="1549"/>
      <c r="D523" s="107" t="str">
        <f>IF(ISNUMBER(D$26),IF(AVERAGE(D$26:D$505)&lt;D$10,"&lt;",""),"")</f>
        <v/>
      </c>
      <c r="F523" s="107" t="str">
        <f>IF(ISNUMBER(F$26),IF(AVERAGE(F$26:F$505)&lt;F$10,"&lt;",""),"")</f>
        <v/>
      </c>
      <c r="H523" s="107" t="str">
        <f>IF(ISNUMBER(H$26),IF(AVERAGE(H$26:H$505)&lt;H$10,"&lt;",""),"")</f>
        <v/>
      </c>
      <c r="J523" s="107" t="str">
        <f>IF(ISNUMBER(J$26),IF(AVERAGE(J$26:J$505)&lt;J$10,"&lt;",""),"")</f>
        <v/>
      </c>
      <c r="L523" s="107" t="str">
        <f>IF(ISNUMBER(L$26),IF(AVERAGE(L$26:L$505)&lt;L$10,"&lt;",""),"")</f>
        <v/>
      </c>
      <c r="N523" s="107" t="str">
        <f>IF(ISNUMBER(N$26),IF(AVERAGE(N$26:N$505)&lt;N$10,"&lt;",""),"")</f>
        <v/>
      </c>
      <c r="P523" s="107" t="str">
        <f>IF(ISNUMBER(P$26),IF(AVERAGE(P$26:P$505)&lt;P$10,"&lt;",""),"")</f>
        <v/>
      </c>
      <c r="R523" s="107" t="str">
        <f>IF(ISNUMBER(R$26),IF(AVERAGE(R$26:R$505)&lt;R$10,"&lt;",""),"")</f>
        <v/>
      </c>
      <c r="T523" s="156"/>
      <c r="AR523" s="153"/>
      <c r="AS523" s="153"/>
      <c r="AT523" s="153"/>
      <c r="AU523" s="153"/>
      <c r="AV523" s="153"/>
      <c r="AW523" s="153"/>
      <c r="AX523" s="153"/>
      <c r="AY523" s="153"/>
      <c r="AZ523" s="153"/>
      <c r="BA523" s="153"/>
      <c r="BB523" s="153"/>
      <c r="BC523" s="153"/>
      <c r="BD523" s="153"/>
      <c r="BE523" s="153"/>
      <c r="BF523" s="153"/>
      <c r="BG523" s="153"/>
      <c r="BH523" s="153"/>
      <c r="BI523" s="153"/>
      <c r="BJ523" s="153"/>
      <c r="BK523" s="153"/>
      <c r="BL523" s="153"/>
      <c r="BM523" s="153"/>
      <c r="BN523" s="153"/>
      <c r="BO523" s="153"/>
      <c r="BP523" s="153"/>
      <c r="BQ523" s="153"/>
      <c r="BR523" s="153"/>
      <c r="BS523" s="153"/>
      <c r="BT523" s="153"/>
      <c r="BU523" s="153"/>
      <c r="BV523" s="153"/>
      <c r="BW523" s="153"/>
      <c r="BX523" s="153"/>
      <c r="BY523" s="153"/>
      <c r="BZ523" s="153"/>
      <c r="CA523" s="153"/>
      <c r="CB523" s="153"/>
      <c r="CC523" s="153"/>
      <c r="CD523" s="153"/>
      <c r="CE523" s="153"/>
      <c r="CF523" s="153"/>
      <c r="CG523" s="153"/>
      <c r="CH523" s="153"/>
      <c r="CI523" s="153"/>
      <c r="CJ523" s="153"/>
      <c r="CK523" s="153"/>
      <c r="CL523" s="153"/>
      <c r="CM523" s="153"/>
      <c r="CN523" s="153"/>
      <c r="CO523" s="153"/>
      <c r="CP523" s="153"/>
      <c r="CQ523" s="153"/>
      <c r="CR523" s="153"/>
      <c r="CS523" s="153"/>
      <c r="CT523" s="153"/>
      <c r="CU523" s="153"/>
      <c r="CV523" s="153"/>
      <c r="CW523" s="153"/>
      <c r="CX523" s="153"/>
      <c r="CY523" s="153"/>
      <c r="CZ523" s="153"/>
      <c r="DA523" s="153"/>
      <c r="DB523" s="153"/>
      <c r="DC523" s="153"/>
      <c r="DD523" s="153"/>
      <c r="DE523" s="153"/>
      <c r="DF523" s="153"/>
      <c r="DG523" s="153"/>
      <c r="DH523" s="153"/>
      <c r="DI523" s="153"/>
      <c r="DJ523" s="153"/>
      <c r="DK523" s="153"/>
      <c r="DL523" s="153"/>
      <c r="DM523" s="153"/>
      <c r="DN523" s="153"/>
      <c r="DO523" s="153"/>
      <c r="DP523" s="153"/>
      <c r="DQ523" s="153"/>
      <c r="DR523" s="153"/>
      <c r="DS523" s="153"/>
      <c r="DT523" s="153"/>
      <c r="DU523" s="153"/>
      <c r="DV523" s="153"/>
      <c r="DW523" s="153"/>
      <c r="DX523" s="153"/>
      <c r="DY523" s="153"/>
      <c r="DZ523" s="153"/>
      <c r="EA523" s="153"/>
      <c r="EB523" s="153"/>
      <c r="EC523" s="153"/>
      <c r="ED523" s="153"/>
      <c r="EE523" s="153"/>
      <c r="EF523" s="153"/>
      <c r="EG523" s="153"/>
      <c r="EH523" s="153"/>
      <c r="EI523" s="153"/>
      <c r="EJ523" s="153"/>
      <c r="EK523" s="153"/>
      <c r="EL523" s="153"/>
      <c r="EM523" s="153"/>
    </row>
    <row r="524" spans="1:143" s="107" customFormat="1" ht="10.5" customHeight="1">
      <c r="B524" s="1549"/>
      <c r="D524" s="201" t="s">
        <v>1198</v>
      </c>
      <c r="E524" s="711"/>
      <c r="F524" s="656"/>
      <c r="G524" s="65"/>
      <c r="L524" s="201" t="s">
        <v>1199</v>
      </c>
      <c r="M524" s="711"/>
      <c r="N524" s="656"/>
      <c r="T524" s="156"/>
      <c r="AR524" s="153"/>
      <c r="AS524" s="153"/>
      <c r="AT524" s="153"/>
      <c r="AU524" s="153"/>
      <c r="AV524" s="153"/>
      <c r="AW524" s="153"/>
      <c r="AX524" s="153"/>
      <c r="AY524" s="153"/>
      <c r="AZ524" s="153"/>
      <c r="BA524" s="153"/>
      <c r="BB524" s="153"/>
      <c r="BC524" s="153"/>
      <c r="BD524" s="153"/>
      <c r="BE524" s="153"/>
      <c r="BF524" s="153"/>
      <c r="BG524" s="153"/>
      <c r="BH524" s="153"/>
      <c r="BI524" s="153"/>
      <c r="BJ524" s="153"/>
      <c r="BK524" s="153"/>
      <c r="BL524" s="153"/>
      <c r="BM524" s="153"/>
      <c r="BN524" s="153"/>
      <c r="BO524" s="153"/>
      <c r="BP524" s="153"/>
      <c r="BQ524" s="153"/>
      <c r="BR524" s="153"/>
      <c r="BS524" s="153"/>
      <c r="BT524" s="153"/>
      <c r="BU524" s="153"/>
      <c r="BV524" s="153"/>
      <c r="BW524" s="153"/>
      <c r="BX524" s="153"/>
      <c r="BY524" s="153"/>
      <c r="BZ524" s="153"/>
      <c r="CA524" s="153"/>
      <c r="CB524" s="153"/>
      <c r="CC524" s="153"/>
      <c r="CD524" s="153"/>
      <c r="CE524" s="153"/>
      <c r="CF524" s="153"/>
      <c r="CG524" s="153"/>
      <c r="CH524" s="153"/>
      <c r="CI524" s="153"/>
      <c r="CJ524" s="153"/>
      <c r="CK524" s="153"/>
      <c r="CL524" s="153"/>
      <c r="CM524" s="153"/>
      <c r="CN524" s="153"/>
      <c r="CO524" s="153"/>
      <c r="CP524" s="153"/>
      <c r="CQ524" s="153"/>
      <c r="CR524" s="153"/>
      <c r="CS524" s="153"/>
      <c r="CT524" s="153"/>
      <c r="CU524" s="153"/>
      <c r="CV524" s="153"/>
      <c r="CW524" s="153"/>
      <c r="CX524" s="153"/>
      <c r="CY524" s="153"/>
      <c r="CZ524" s="153"/>
      <c r="DA524" s="153"/>
      <c r="DB524" s="153"/>
      <c r="DC524" s="153"/>
      <c r="DD524" s="153"/>
      <c r="DE524" s="153"/>
      <c r="DF524" s="153"/>
      <c r="DG524" s="153"/>
      <c r="DH524" s="153"/>
      <c r="DI524" s="153"/>
      <c r="DJ524" s="153"/>
      <c r="DK524" s="153"/>
      <c r="DL524" s="153"/>
      <c r="DM524" s="153"/>
      <c r="DN524" s="153"/>
      <c r="DO524" s="153"/>
      <c r="DP524" s="153"/>
      <c r="DQ524" s="153"/>
      <c r="DR524" s="153"/>
      <c r="DS524" s="153"/>
      <c r="DT524" s="153"/>
      <c r="DU524" s="153"/>
      <c r="DV524" s="153"/>
      <c r="DW524" s="153"/>
      <c r="DX524" s="153"/>
      <c r="DY524" s="153"/>
      <c r="DZ524" s="153"/>
      <c r="EA524" s="153"/>
      <c r="EB524" s="153"/>
      <c r="EC524" s="153"/>
      <c r="ED524" s="153"/>
      <c r="EE524" s="153"/>
      <c r="EF524" s="153"/>
      <c r="EG524" s="153"/>
      <c r="EH524" s="153"/>
      <c r="EI524" s="153"/>
      <c r="EJ524" s="153"/>
      <c r="EK524" s="153"/>
      <c r="EL524" s="153"/>
      <c r="EM524" s="153"/>
    </row>
    <row r="525" spans="1:143" s="107" customFormat="1" ht="10.5" customHeight="1">
      <c r="B525" s="1549"/>
      <c r="D525" s="2597"/>
      <c r="E525" s="2676"/>
      <c r="F525" s="2598"/>
      <c r="L525" s="2597"/>
      <c r="M525" s="2676"/>
      <c r="N525" s="2598"/>
      <c r="T525" s="156"/>
      <c r="AR525" s="153"/>
      <c r="AS525" s="153"/>
      <c r="AT525" s="153"/>
      <c r="AU525" s="153"/>
      <c r="AV525" s="153"/>
      <c r="AW525" s="153"/>
      <c r="AX525" s="153"/>
      <c r="AY525" s="153"/>
      <c r="AZ525" s="153"/>
      <c r="BA525" s="153"/>
      <c r="BB525" s="153"/>
      <c r="BC525" s="153"/>
      <c r="BD525" s="153"/>
      <c r="BE525" s="153"/>
      <c r="BF525" s="153"/>
      <c r="BG525" s="153"/>
      <c r="BH525" s="153"/>
      <c r="BI525" s="153"/>
      <c r="BJ525" s="153"/>
      <c r="BK525" s="153"/>
      <c r="BL525" s="153"/>
      <c r="BM525" s="153"/>
      <c r="BN525" s="153"/>
      <c r="BO525" s="153"/>
      <c r="BP525" s="153"/>
      <c r="BQ525" s="153"/>
      <c r="BR525" s="153"/>
      <c r="BS525" s="153"/>
      <c r="BT525" s="153"/>
      <c r="BU525" s="153"/>
      <c r="BV525" s="153"/>
      <c r="BW525" s="153"/>
      <c r="BX525" s="153"/>
      <c r="BY525" s="153"/>
      <c r="BZ525" s="153"/>
      <c r="CA525" s="153"/>
      <c r="CB525" s="153"/>
      <c r="CC525" s="153"/>
      <c r="CD525" s="153"/>
      <c r="CE525" s="153"/>
      <c r="CF525" s="153"/>
      <c r="CG525" s="153"/>
      <c r="CH525" s="153"/>
      <c r="CI525" s="153"/>
      <c r="CJ525" s="153"/>
      <c r="CK525" s="153"/>
      <c r="CL525" s="153"/>
      <c r="CM525" s="153"/>
      <c r="CN525" s="153"/>
      <c r="CO525" s="153"/>
      <c r="CP525" s="153"/>
      <c r="CQ525" s="153"/>
      <c r="CR525" s="153"/>
      <c r="CS525" s="153"/>
      <c r="CT525" s="153"/>
      <c r="CU525" s="153"/>
      <c r="CV525" s="153"/>
      <c r="CW525" s="153"/>
      <c r="CX525" s="153"/>
      <c r="CY525" s="153"/>
      <c r="CZ525" s="153"/>
      <c r="DA525" s="153"/>
      <c r="DB525" s="153"/>
      <c r="DC525" s="153"/>
      <c r="DD525" s="153"/>
      <c r="DE525" s="153"/>
      <c r="DF525" s="153"/>
      <c r="DG525" s="153"/>
      <c r="DH525" s="153"/>
      <c r="DI525" s="153"/>
      <c r="DJ525" s="153"/>
      <c r="DK525" s="153"/>
      <c r="DL525" s="153"/>
      <c r="DM525" s="153"/>
      <c r="DN525" s="153"/>
      <c r="DO525" s="153"/>
      <c r="DP525" s="153"/>
      <c r="DQ525" s="153"/>
      <c r="DR525" s="153"/>
      <c r="DS525" s="153"/>
      <c r="DT525" s="153"/>
      <c r="DU525" s="153"/>
      <c r="DV525" s="153"/>
      <c r="DW525" s="153"/>
      <c r="DX525" s="153"/>
      <c r="DY525" s="153"/>
      <c r="DZ525" s="153"/>
      <c r="EA525" s="153"/>
      <c r="EB525" s="153"/>
      <c r="EC525" s="153"/>
      <c r="ED525" s="153"/>
      <c r="EE525" s="153"/>
      <c r="EF525" s="153"/>
      <c r="EG525" s="153"/>
      <c r="EH525" s="153"/>
      <c r="EI525" s="153"/>
      <c r="EJ525" s="153"/>
      <c r="EK525" s="153"/>
      <c r="EL525" s="153"/>
      <c r="EM525" s="153"/>
    </row>
    <row r="526" spans="1:143" s="107" customFormat="1" ht="10.5" customHeight="1">
      <c r="B526" s="1549"/>
      <c r="D526" s="2599"/>
      <c r="E526" s="2677"/>
      <c r="F526" s="2600"/>
      <c r="L526" s="2599"/>
      <c r="M526" s="2677"/>
      <c r="N526" s="2600"/>
      <c r="T526" s="156"/>
      <c r="AR526" s="153"/>
      <c r="AS526" s="153"/>
      <c r="AT526" s="153"/>
      <c r="AU526" s="153"/>
      <c r="AV526" s="153"/>
      <c r="AW526" s="153"/>
      <c r="AX526" s="153"/>
      <c r="AY526" s="153"/>
      <c r="AZ526" s="153"/>
      <c r="BA526" s="153"/>
      <c r="BB526" s="153"/>
      <c r="BC526" s="153"/>
      <c r="BD526" s="153"/>
      <c r="BE526" s="153"/>
      <c r="BF526" s="153"/>
      <c r="BG526" s="153"/>
      <c r="BH526" s="153"/>
      <c r="BI526" s="153"/>
      <c r="BJ526" s="153"/>
      <c r="BK526" s="153"/>
      <c r="BL526" s="153"/>
      <c r="BM526" s="153"/>
      <c r="BN526" s="153"/>
      <c r="BO526" s="153"/>
      <c r="BP526" s="153"/>
      <c r="BQ526" s="153"/>
      <c r="BR526" s="153"/>
      <c r="BS526" s="153"/>
      <c r="BT526" s="153"/>
      <c r="BU526" s="153"/>
      <c r="BV526" s="153"/>
      <c r="BW526" s="153"/>
      <c r="BX526" s="153"/>
      <c r="BY526" s="153"/>
      <c r="BZ526" s="153"/>
      <c r="CA526" s="153"/>
      <c r="CB526" s="153"/>
      <c r="CC526" s="153"/>
      <c r="CD526" s="153"/>
      <c r="CE526" s="153"/>
      <c r="CF526" s="153"/>
      <c r="CG526" s="153"/>
      <c r="CH526" s="153"/>
      <c r="CI526" s="153"/>
      <c r="CJ526" s="153"/>
      <c r="CK526" s="153"/>
      <c r="CL526" s="153"/>
      <c r="CM526" s="153"/>
      <c r="CN526" s="153"/>
      <c r="CO526" s="153"/>
      <c r="CP526" s="153"/>
      <c r="CQ526" s="153"/>
      <c r="CR526" s="153"/>
      <c r="CS526" s="153"/>
      <c r="CT526" s="153"/>
      <c r="CU526" s="153"/>
      <c r="CV526" s="153"/>
      <c r="CW526" s="153"/>
      <c r="CX526" s="153"/>
      <c r="CY526" s="153"/>
      <c r="CZ526" s="153"/>
      <c r="DA526" s="153"/>
      <c r="DB526" s="153"/>
      <c r="DC526" s="153"/>
      <c r="DD526" s="153"/>
      <c r="DE526" s="153"/>
      <c r="DF526" s="153"/>
      <c r="DG526" s="153"/>
      <c r="DH526" s="153"/>
      <c r="DI526" s="153"/>
      <c r="DJ526" s="153"/>
      <c r="DK526" s="153"/>
      <c r="DL526" s="153"/>
      <c r="DM526" s="153"/>
      <c r="DN526" s="153"/>
      <c r="DO526" s="153"/>
      <c r="DP526" s="153"/>
      <c r="DQ526" s="153"/>
      <c r="DR526" s="153"/>
      <c r="DS526" s="153"/>
      <c r="DT526" s="153"/>
      <c r="DU526" s="153"/>
      <c r="DV526" s="153"/>
      <c r="DW526" s="153"/>
      <c r="DX526" s="153"/>
      <c r="DY526" s="153"/>
      <c r="DZ526" s="153"/>
      <c r="EA526" s="153"/>
      <c r="EB526" s="153"/>
      <c r="EC526" s="153"/>
      <c r="ED526" s="153"/>
      <c r="EE526" s="153"/>
      <c r="EF526" s="153"/>
      <c r="EG526" s="153"/>
      <c r="EH526" s="153"/>
      <c r="EI526" s="153"/>
      <c r="EJ526" s="153"/>
      <c r="EK526" s="153"/>
      <c r="EL526" s="153"/>
      <c r="EM526" s="153"/>
    </row>
    <row r="527" spans="1:143" s="107" customFormat="1" ht="10.5" customHeight="1">
      <c r="B527" s="1549"/>
      <c r="T527" s="156"/>
      <c r="AR527" s="153"/>
      <c r="AS527" s="153"/>
      <c r="AT527" s="153"/>
      <c r="AU527" s="153"/>
      <c r="AV527" s="153"/>
      <c r="AW527" s="153"/>
      <c r="AX527" s="153"/>
      <c r="AY527" s="153"/>
      <c r="AZ527" s="153"/>
      <c r="BA527" s="153"/>
      <c r="BB527" s="153"/>
      <c r="BC527" s="153"/>
      <c r="BD527" s="153"/>
      <c r="BE527" s="153"/>
      <c r="BF527" s="153"/>
      <c r="BG527" s="153"/>
      <c r="BH527" s="153"/>
      <c r="BI527" s="153"/>
      <c r="BJ527" s="153"/>
      <c r="BK527" s="153"/>
      <c r="BL527" s="153"/>
      <c r="BM527" s="153"/>
      <c r="BN527" s="153"/>
      <c r="BO527" s="153"/>
      <c r="BP527" s="153"/>
      <c r="BQ527" s="153"/>
      <c r="BR527" s="153"/>
      <c r="BS527" s="153"/>
      <c r="BT527" s="153"/>
      <c r="BU527" s="153"/>
      <c r="BV527" s="153"/>
      <c r="BW527" s="153"/>
      <c r="BX527" s="153"/>
      <c r="BY527" s="153"/>
      <c r="BZ527" s="153"/>
      <c r="CA527" s="153"/>
      <c r="CB527" s="153"/>
      <c r="CC527" s="153"/>
      <c r="CD527" s="153"/>
      <c r="CE527" s="153"/>
      <c r="CF527" s="153"/>
      <c r="CG527" s="153"/>
      <c r="CH527" s="153"/>
      <c r="CI527" s="153"/>
      <c r="CJ527" s="153"/>
      <c r="CK527" s="153"/>
      <c r="CL527" s="153"/>
      <c r="CM527" s="153"/>
      <c r="CN527" s="153"/>
      <c r="CO527" s="153"/>
      <c r="CP527" s="153"/>
      <c r="CQ527" s="153"/>
      <c r="CR527" s="153"/>
      <c r="CS527" s="153"/>
      <c r="CT527" s="153"/>
      <c r="CU527" s="153"/>
      <c r="CV527" s="153"/>
      <c r="CW527" s="153"/>
      <c r="CX527" s="153"/>
      <c r="CY527" s="153"/>
      <c r="CZ527" s="153"/>
      <c r="DA527" s="153"/>
      <c r="DB527" s="153"/>
      <c r="DC527" s="153"/>
      <c r="DD527" s="153"/>
      <c r="DE527" s="153"/>
      <c r="DF527" s="153"/>
      <c r="DG527" s="153"/>
      <c r="DH527" s="153"/>
      <c r="DI527" s="153"/>
      <c r="DJ527" s="153"/>
      <c r="DK527" s="153"/>
      <c r="DL527" s="153"/>
      <c r="DM527" s="153"/>
      <c r="DN527" s="153"/>
      <c r="DO527" s="153"/>
      <c r="DP527" s="153"/>
      <c r="DQ527" s="153"/>
      <c r="DR527" s="153"/>
      <c r="DS527" s="153"/>
      <c r="DT527" s="153"/>
      <c r="DU527" s="153"/>
      <c r="DV527" s="153"/>
      <c r="DW527" s="153"/>
      <c r="DX527" s="153"/>
      <c r="DY527" s="153"/>
      <c r="DZ527" s="153"/>
      <c r="EA527" s="153"/>
      <c r="EB527" s="153"/>
      <c r="EC527" s="153"/>
      <c r="ED527" s="153"/>
      <c r="EE527" s="153"/>
      <c r="EF527" s="153"/>
      <c r="EG527" s="153"/>
      <c r="EH527" s="153"/>
      <c r="EI527" s="153"/>
      <c r="EJ527" s="153"/>
      <c r="EK527" s="153"/>
      <c r="EL527" s="153"/>
      <c r="EM527" s="153"/>
    </row>
    <row r="528" spans="1:143" s="107" customFormat="1" ht="10.5" customHeight="1">
      <c r="B528" s="1549"/>
      <c r="T528" s="156"/>
      <c r="AR528" s="153"/>
      <c r="AS528" s="153"/>
      <c r="AT528" s="153"/>
      <c r="AU528" s="153"/>
      <c r="AV528" s="153"/>
      <c r="AW528" s="153"/>
      <c r="AX528" s="153"/>
      <c r="AY528" s="153"/>
      <c r="AZ528" s="153"/>
      <c r="BA528" s="153"/>
      <c r="BB528" s="153"/>
      <c r="BC528" s="153"/>
      <c r="BD528" s="153"/>
      <c r="BE528" s="153"/>
      <c r="BF528" s="153"/>
      <c r="BG528" s="153"/>
      <c r="BH528" s="153"/>
      <c r="BI528" s="153"/>
      <c r="BJ528" s="153"/>
      <c r="BK528" s="153"/>
      <c r="BL528" s="153"/>
      <c r="BM528" s="153"/>
      <c r="BN528" s="153"/>
      <c r="BO528" s="153"/>
      <c r="BP528" s="153"/>
      <c r="BQ528" s="153"/>
      <c r="BR528" s="153"/>
      <c r="BS528" s="153"/>
      <c r="BT528" s="153"/>
      <c r="BU528" s="153"/>
      <c r="BV528" s="153"/>
      <c r="BW528" s="153"/>
      <c r="BX528" s="153"/>
      <c r="BY528" s="153"/>
      <c r="BZ528" s="153"/>
      <c r="CA528" s="153"/>
      <c r="CB528" s="153"/>
      <c r="CC528" s="153"/>
      <c r="CD528" s="153"/>
      <c r="CE528" s="153"/>
      <c r="CF528" s="153"/>
      <c r="CG528" s="153"/>
      <c r="CH528" s="153"/>
      <c r="CI528" s="153"/>
      <c r="CJ528" s="153"/>
      <c r="CK528" s="153"/>
      <c r="CL528" s="153"/>
      <c r="CM528" s="153"/>
      <c r="CN528" s="153"/>
      <c r="CO528" s="153"/>
      <c r="CP528" s="153"/>
      <c r="CQ528" s="153"/>
      <c r="CR528" s="153"/>
      <c r="CS528" s="153"/>
      <c r="CT528" s="153"/>
      <c r="CU528" s="153"/>
      <c r="CV528" s="153"/>
      <c r="CW528" s="153"/>
      <c r="CX528" s="153"/>
      <c r="CY528" s="153"/>
      <c r="CZ528" s="153"/>
      <c r="DA528" s="153"/>
      <c r="DB528" s="153"/>
      <c r="DC528" s="153"/>
      <c r="DD528" s="153"/>
      <c r="DE528" s="153"/>
      <c r="DF528" s="153"/>
      <c r="DG528" s="153"/>
      <c r="DH528" s="153"/>
      <c r="DI528" s="153"/>
      <c r="DJ528" s="153"/>
      <c r="DK528" s="153"/>
      <c r="DL528" s="153"/>
      <c r="DM528" s="153"/>
      <c r="DN528" s="153"/>
      <c r="DO528" s="153"/>
      <c r="DP528" s="153"/>
      <c r="DQ528" s="153"/>
      <c r="DR528" s="153"/>
      <c r="DS528" s="153"/>
      <c r="DT528" s="153"/>
      <c r="DU528" s="153"/>
      <c r="DV528" s="153"/>
      <c r="DW528" s="153"/>
      <c r="DX528" s="153"/>
      <c r="DY528" s="153"/>
      <c r="DZ528" s="153"/>
      <c r="EA528" s="153"/>
      <c r="EB528" s="153"/>
      <c r="EC528" s="153"/>
      <c r="ED528" s="153"/>
      <c r="EE528" s="153"/>
      <c r="EF528" s="153"/>
      <c r="EG528" s="153"/>
      <c r="EH528" s="153"/>
      <c r="EI528" s="153"/>
      <c r="EJ528" s="153"/>
      <c r="EK528" s="153"/>
      <c r="EL528" s="153"/>
      <c r="EM528" s="153"/>
    </row>
    <row r="529" spans="2:143" s="107" customFormat="1" ht="10.5" customHeight="1">
      <c r="B529" s="1549"/>
      <c r="T529" s="156"/>
      <c r="AR529" s="153"/>
      <c r="AS529" s="153"/>
      <c r="AT529" s="153"/>
      <c r="AU529" s="153"/>
      <c r="AV529" s="153"/>
      <c r="AW529" s="153"/>
      <c r="AX529" s="153"/>
      <c r="AY529" s="153"/>
      <c r="AZ529" s="153"/>
      <c r="BA529" s="153"/>
      <c r="BB529" s="153"/>
      <c r="BC529" s="153"/>
      <c r="BD529" s="153"/>
      <c r="BE529" s="153"/>
      <c r="BF529" s="153"/>
      <c r="BG529" s="153"/>
      <c r="BH529" s="153"/>
      <c r="BI529" s="153"/>
      <c r="BJ529" s="153"/>
      <c r="BK529" s="153"/>
      <c r="BL529" s="153"/>
      <c r="BM529" s="153"/>
      <c r="BN529" s="153"/>
      <c r="BO529" s="153"/>
      <c r="BP529" s="153"/>
      <c r="BQ529" s="153"/>
      <c r="BR529" s="153"/>
      <c r="BS529" s="153"/>
      <c r="BT529" s="153"/>
      <c r="BU529" s="153"/>
      <c r="BV529" s="153"/>
      <c r="BW529" s="153"/>
      <c r="BX529" s="153"/>
      <c r="BY529" s="153"/>
      <c r="BZ529" s="153"/>
      <c r="CA529" s="153"/>
      <c r="CB529" s="153"/>
      <c r="CC529" s="153"/>
      <c r="CD529" s="153"/>
      <c r="CE529" s="153"/>
      <c r="CF529" s="153"/>
      <c r="CG529" s="153"/>
      <c r="CH529" s="153"/>
      <c r="CI529" s="153"/>
      <c r="CJ529" s="153"/>
      <c r="CK529" s="153"/>
      <c r="CL529" s="153"/>
      <c r="CM529" s="153"/>
      <c r="CN529" s="153"/>
      <c r="CO529" s="153"/>
      <c r="CP529" s="153"/>
      <c r="CQ529" s="153"/>
      <c r="CR529" s="153"/>
      <c r="CS529" s="153"/>
      <c r="CT529" s="153"/>
      <c r="CU529" s="153"/>
      <c r="CV529" s="153"/>
      <c r="CW529" s="153"/>
      <c r="CX529" s="153"/>
      <c r="CY529" s="153"/>
      <c r="CZ529" s="153"/>
      <c r="DA529" s="153"/>
      <c r="DB529" s="153"/>
      <c r="DC529" s="153"/>
      <c r="DD529" s="153"/>
      <c r="DE529" s="153"/>
      <c r="DF529" s="153"/>
      <c r="DG529" s="153"/>
      <c r="DH529" s="153"/>
      <c r="DI529" s="153"/>
      <c r="DJ529" s="153"/>
      <c r="DK529" s="153"/>
      <c r="DL529" s="153"/>
      <c r="DM529" s="153"/>
      <c r="DN529" s="153"/>
      <c r="DO529" s="153"/>
      <c r="DP529" s="153"/>
      <c r="DQ529" s="153"/>
      <c r="DR529" s="153"/>
      <c r="DS529" s="153"/>
      <c r="DT529" s="153"/>
      <c r="DU529" s="153"/>
      <c r="DV529" s="153"/>
      <c r="DW529" s="153"/>
      <c r="DX529" s="153"/>
      <c r="DY529" s="153"/>
      <c r="DZ529" s="153"/>
      <c r="EA529" s="153"/>
      <c r="EB529" s="153"/>
      <c r="EC529" s="153"/>
      <c r="ED529" s="153"/>
      <c r="EE529" s="153"/>
      <c r="EF529" s="153"/>
      <c r="EG529" s="153"/>
      <c r="EH529" s="153"/>
      <c r="EI529" s="153"/>
      <c r="EJ529" s="153"/>
      <c r="EK529" s="153"/>
      <c r="EL529" s="153"/>
      <c r="EM529" s="153"/>
    </row>
    <row r="530" spans="2:143" s="107" customFormat="1" ht="10.5" customHeight="1">
      <c r="B530" s="1549"/>
      <c r="T530" s="156"/>
      <c r="AR530" s="153"/>
      <c r="AS530" s="153"/>
      <c r="AT530" s="153"/>
      <c r="AU530" s="153"/>
      <c r="AV530" s="153"/>
      <c r="AW530" s="153"/>
      <c r="AX530" s="153"/>
      <c r="AY530" s="153"/>
      <c r="AZ530" s="153"/>
      <c r="BA530" s="153"/>
      <c r="BB530" s="153"/>
      <c r="BC530" s="153"/>
      <c r="BD530" s="153"/>
      <c r="BE530" s="153"/>
      <c r="BF530" s="153"/>
      <c r="BG530" s="153"/>
      <c r="BH530" s="153"/>
      <c r="BI530" s="153"/>
      <c r="BJ530" s="153"/>
      <c r="BK530" s="153"/>
      <c r="BL530" s="153"/>
      <c r="BM530" s="153"/>
      <c r="BN530" s="153"/>
      <c r="BO530" s="153"/>
      <c r="BP530" s="153"/>
      <c r="BQ530" s="153"/>
      <c r="BR530" s="153"/>
      <c r="BS530" s="153"/>
      <c r="BT530" s="153"/>
      <c r="BU530" s="153"/>
      <c r="BV530" s="153"/>
      <c r="BW530" s="153"/>
      <c r="BX530" s="153"/>
      <c r="BY530" s="153"/>
      <c r="BZ530" s="153"/>
      <c r="CA530" s="153"/>
      <c r="CB530" s="153"/>
      <c r="CC530" s="153"/>
      <c r="CD530" s="153"/>
      <c r="CE530" s="153"/>
      <c r="CF530" s="153"/>
      <c r="CG530" s="153"/>
      <c r="CH530" s="153"/>
      <c r="CI530" s="153"/>
      <c r="CJ530" s="153"/>
      <c r="CK530" s="153"/>
      <c r="CL530" s="153"/>
      <c r="CM530" s="153"/>
      <c r="CN530" s="153"/>
      <c r="CO530" s="153"/>
      <c r="CP530" s="153"/>
      <c r="CQ530" s="153"/>
      <c r="CR530" s="153"/>
      <c r="CS530" s="153"/>
      <c r="CT530" s="153"/>
      <c r="CU530" s="153"/>
      <c r="CV530" s="153"/>
      <c r="CW530" s="153"/>
      <c r="CX530" s="153"/>
      <c r="CY530" s="153"/>
      <c r="CZ530" s="153"/>
      <c r="DA530" s="153"/>
      <c r="DB530" s="153"/>
      <c r="DC530" s="153"/>
      <c r="DD530" s="153"/>
      <c r="DE530" s="153"/>
      <c r="DF530" s="153"/>
      <c r="DG530" s="153"/>
      <c r="DH530" s="153"/>
      <c r="DI530" s="153"/>
      <c r="DJ530" s="153"/>
      <c r="DK530" s="153"/>
      <c r="DL530" s="153"/>
      <c r="DM530" s="153"/>
      <c r="DN530" s="153"/>
      <c r="DO530" s="153"/>
      <c r="DP530" s="153"/>
      <c r="DQ530" s="153"/>
      <c r="DR530" s="153"/>
      <c r="DS530" s="153"/>
      <c r="DT530" s="153"/>
      <c r="DU530" s="153"/>
      <c r="DV530" s="153"/>
      <c r="DW530" s="153"/>
      <c r="DX530" s="153"/>
      <c r="DY530" s="153"/>
      <c r="DZ530" s="153"/>
      <c r="EA530" s="153"/>
      <c r="EB530" s="153"/>
      <c r="EC530" s="153"/>
      <c r="ED530" s="153"/>
      <c r="EE530" s="153"/>
      <c r="EF530" s="153"/>
      <c r="EG530" s="153"/>
      <c r="EH530" s="153"/>
      <c r="EI530" s="153"/>
      <c r="EJ530" s="153"/>
      <c r="EK530" s="153"/>
      <c r="EL530" s="153"/>
      <c r="EM530" s="153"/>
    </row>
    <row r="531" spans="2:143" s="107" customFormat="1" ht="10.5" customHeight="1">
      <c r="B531" s="1549"/>
      <c r="T531" s="156"/>
      <c r="AR531" s="153"/>
      <c r="AS531" s="153"/>
      <c r="AT531" s="153"/>
      <c r="AU531" s="153"/>
      <c r="AV531" s="153"/>
      <c r="AW531" s="153"/>
      <c r="AX531" s="153"/>
      <c r="AY531" s="153"/>
      <c r="AZ531" s="153"/>
      <c r="BA531" s="153"/>
      <c r="BB531" s="153"/>
      <c r="BC531" s="153"/>
      <c r="BD531" s="153"/>
      <c r="BE531" s="153"/>
      <c r="BF531" s="153"/>
      <c r="BG531" s="153"/>
      <c r="BH531" s="153"/>
      <c r="BI531" s="153"/>
      <c r="BJ531" s="153"/>
      <c r="BK531" s="153"/>
      <c r="BL531" s="153"/>
      <c r="BM531" s="153"/>
      <c r="BN531" s="153"/>
      <c r="BO531" s="153"/>
      <c r="BP531" s="153"/>
      <c r="BQ531" s="153"/>
      <c r="BR531" s="153"/>
      <c r="BS531" s="153"/>
      <c r="BT531" s="153"/>
      <c r="BU531" s="153"/>
      <c r="BV531" s="153"/>
      <c r="BW531" s="153"/>
      <c r="BX531" s="153"/>
      <c r="BY531" s="153"/>
      <c r="BZ531" s="153"/>
      <c r="CA531" s="153"/>
      <c r="CB531" s="153"/>
      <c r="CC531" s="153"/>
      <c r="CD531" s="153"/>
      <c r="CE531" s="153"/>
      <c r="CF531" s="153"/>
      <c r="CG531" s="153"/>
      <c r="CH531" s="153"/>
      <c r="CI531" s="153"/>
      <c r="CJ531" s="153"/>
      <c r="CK531" s="153"/>
      <c r="CL531" s="153"/>
      <c r="CM531" s="153"/>
      <c r="CN531" s="153"/>
      <c r="CO531" s="153"/>
      <c r="CP531" s="153"/>
      <c r="CQ531" s="153"/>
      <c r="CR531" s="153"/>
      <c r="CS531" s="153"/>
      <c r="CT531" s="153"/>
      <c r="CU531" s="153"/>
      <c r="CV531" s="153"/>
      <c r="CW531" s="153"/>
      <c r="CX531" s="153"/>
      <c r="CY531" s="153"/>
      <c r="CZ531" s="153"/>
      <c r="DA531" s="153"/>
      <c r="DB531" s="153"/>
      <c r="DC531" s="153"/>
      <c r="DD531" s="153"/>
      <c r="DE531" s="153"/>
      <c r="DF531" s="153"/>
      <c r="DG531" s="153"/>
      <c r="DH531" s="153"/>
      <c r="DI531" s="153"/>
      <c r="DJ531" s="153"/>
      <c r="DK531" s="153"/>
      <c r="DL531" s="153"/>
      <c r="DM531" s="153"/>
      <c r="DN531" s="153"/>
      <c r="DO531" s="153"/>
      <c r="DP531" s="153"/>
      <c r="DQ531" s="153"/>
      <c r="DR531" s="153"/>
      <c r="DS531" s="153"/>
      <c r="DT531" s="153"/>
      <c r="DU531" s="153"/>
      <c r="DV531" s="153"/>
      <c r="DW531" s="153"/>
      <c r="DX531" s="153"/>
      <c r="DY531" s="153"/>
      <c r="DZ531" s="153"/>
      <c r="EA531" s="153"/>
      <c r="EB531" s="153"/>
      <c r="EC531" s="153"/>
      <c r="ED531" s="153"/>
      <c r="EE531" s="153"/>
      <c r="EF531" s="153"/>
      <c r="EG531" s="153"/>
      <c r="EH531" s="153"/>
      <c r="EI531" s="153"/>
      <c r="EJ531" s="153"/>
      <c r="EK531" s="153"/>
      <c r="EL531" s="153"/>
      <c r="EM531" s="153"/>
    </row>
    <row r="532" spans="2:143" s="107" customFormat="1" ht="10.5" customHeight="1">
      <c r="B532" s="1549"/>
      <c r="T532" s="156"/>
      <c r="AR532" s="153"/>
      <c r="AS532" s="153"/>
      <c r="AT532" s="153"/>
      <c r="AU532" s="153"/>
      <c r="AV532" s="153"/>
      <c r="AW532" s="153"/>
      <c r="AX532" s="153"/>
      <c r="AY532" s="153"/>
      <c r="AZ532" s="153"/>
      <c r="BA532" s="153"/>
      <c r="BB532" s="153"/>
      <c r="BC532" s="153"/>
      <c r="BD532" s="153"/>
      <c r="BE532" s="153"/>
      <c r="BF532" s="153"/>
      <c r="BG532" s="153"/>
      <c r="BH532" s="153"/>
      <c r="BI532" s="153"/>
      <c r="BJ532" s="153"/>
      <c r="BK532" s="153"/>
      <c r="BL532" s="153"/>
      <c r="BM532" s="153"/>
      <c r="BN532" s="153"/>
      <c r="BO532" s="153"/>
      <c r="BP532" s="153"/>
      <c r="BQ532" s="153"/>
      <c r="BR532" s="153"/>
      <c r="BS532" s="153"/>
      <c r="BT532" s="153"/>
      <c r="BU532" s="153"/>
      <c r="BV532" s="153"/>
      <c r="BW532" s="153"/>
      <c r="BX532" s="153"/>
      <c r="BY532" s="153"/>
      <c r="BZ532" s="153"/>
      <c r="CA532" s="153"/>
      <c r="CB532" s="153"/>
      <c r="CC532" s="153"/>
      <c r="CD532" s="153"/>
      <c r="CE532" s="153"/>
      <c r="CF532" s="153"/>
      <c r="CG532" s="153"/>
      <c r="CH532" s="153"/>
      <c r="CI532" s="153"/>
      <c r="CJ532" s="153"/>
      <c r="CK532" s="153"/>
      <c r="CL532" s="153"/>
      <c r="CM532" s="153"/>
      <c r="CN532" s="153"/>
      <c r="CO532" s="153"/>
      <c r="CP532" s="153"/>
      <c r="CQ532" s="153"/>
      <c r="CR532" s="153"/>
      <c r="CS532" s="153"/>
      <c r="CT532" s="153"/>
      <c r="CU532" s="153"/>
      <c r="CV532" s="153"/>
      <c r="CW532" s="153"/>
      <c r="CX532" s="153"/>
      <c r="CY532" s="153"/>
      <c r="CZ532" s="153"/>
      <c r="DA532" s="153"/>
      <c r="DB532" s="153"/>
      <c r="DC532" s="153"/>
      <c r="DD532" s="153"/>
      <c r="DE532" s="153"/>
      <c r="DF532" s="153"/>
      <c r="DG532" s="153"/>
      <c r="DH532" s="153"/>
      <c r="DI532" s="153"/>
      <c r="DJ532" s="153"/>
      <c r="DK532" s="153"/>
      <c r="DL532" s="153"/>
      <c r="DM532" s="153"/>
      <c r="DN532" s="153"/>
      <c r="DO532" s="153"/>
      <c r="DP532" s="153"/>
      <c r="DQ532" s="153"/>
      <c r="DR532" s="153"/>
      <c r="DS532" s="153"/>
      <c r="DT532" s="153"/>
      <c r="DU532" s="153"/>
      <c r="DV532" s="153"/>
      <c r="DW532" s="153"/>
      <c r="DX532" s="153"/>
      <c r="DY532" s="153"/>
      <c r="DZ532" s="153"/>
      <c r="EA532" s="153"/>
      <c r="EB532" s="153"/>
      <c r="EC532" s="153"/>
      <c r="ED532" s="153"/>
      <c r="EE532" s="153"/>
      <c r="EF532" s="153"/>
      <c r="EG532" s="153"/>
      <c r="EH532" s="153"/>
      <c r="EI532" s="153"/>
      <c r="EJ532" s="153"/>
      <c r="EK532" s="153"/>
      <c r="EL532" s="153"/>
      <c r="EM532" s="153"/>
    </row>
    <row r="533" spans="2:143" s="107" customFormat="1" ht="10.5" customHeight="1">
      <c r="B533" s="1549"/>
      <c r="T533" s="156"/>
      <c r="AR533" s="153"/>
      <c r="AS533" s="153"/>
      <c r="AT533" s="153"/>
      <c r="AU533" s="153"/>
      <c r="AV533" s="153"/>
      <c r="AW533" s="153"/>
      <c r="AX533" s="153"/>
      <c r="AY533" s="153"/>
      <c r="AZ533" s="153"/>
      <c r="BA533" s="153"/>
      <c r="BB533" s="153"/>
      <c r="BC533" s="153"/>
      <c r="BD533" s="153"/>
      <c r="BE533" s="153"/>
      <c r="BF533" s="153"/>
      <c r="BG533" s="153"/>
      <c r="BH533" s="153"/>
      <c r="BI533" s="153"/>
      <c r="BJ533" s="153"/>
      <c r="BK533" s="153"/>
      <c r="BL533" s="153"/>
      <c r="BM533" s="153"/>
      <c r="BN533" s="153"/>
      <c r="BO533" s="153"/>
      <c r="BP533" s="153"/>
      <c r="BQ533" s="153"/>
      <c r="BR533" s="153"/>
      <c r="BS533" s="153"/>
      <c r="BT533" s="153"/>
      <c r="BU533" s="153"/>
      <c r="BV533" s="153"/>
      <c r="BW533" s="153"/>
      <c r="BX533" s="153"/>
      <c r="BY533" s="153"/>
      <c r="BZ533" s="153"/>
      <c r="CA533" s="153"/>
      <c r="CB533" s="153"/>
      <c r="CC533" s="153"/>
      <c r="CD533" s="153"/>
      <c r="CE533" s="153"/>
      <c r="CF533" s="153"/>
      <c r="CG533" s="153"/>
      <c r="CH533" s="153"/>
      <c r="CI533" s="153"/>
      <c r="CJ533" s="153"/>
      <c r="CK533" s="153"/>
      <c r="CL533" s="153"/>
      <c r="CM533" s="153"/>
      <c r="CN533" s="153"/>
      <c r="CO533" s="153"/>
      <c r="CP533" s="153"/>
      <c r="CQ533" s="153"/>
      <c r="CR533" s="153"/>
      <c r="CS533" s="153"/>
      <c r="CT533" s="153"/>
      <c r="CU533" s="153"/>
      <c r="CV533" s="153"/>
      <c r="CW533" s="153"/>
      <c r="CX533" s="153"/>
      <c r="CY533" s="153"/>
      <c r="CZ533" s="153"/>
      <c r="DA533" s="153"/>
      <c r="DB533" s="153"/>
      <c r="DC533" s="153"/>
      <c r="DD533" s="153"/>
      <c r="DE533" s="153"/>
      <c r="DF533" s="153"/>
      <c r="DG533" s="153"/>
      <c r="DH533" s="153"/>
      <c r="DI533" s="153"/>
      <c r="DJ533" s="153"/>
      <c r="DK533" s="153"/>
      <c r="DL533" s="153"/>
      <c r="DM533" s="153"/>
      <c r="DN533" s="153"/>
      <c r="DO533" s="153"/>
      <c r="DP533" s="153"/>
      <c r="DQ533" s="153"/>
      <c r="DR533" s="153"/>
      <c r="DS533" s="153"/>
      <c r="DT533" s="153"/>
      <c r="DU533" s="153"/>
      <c r="DV533" s="153"/>
      <c r="DW533" s="153"/>
      <c r="DX533" s="153"/>
      <c r="DY533" s="153"/>
      <c r="DZ533" s="153"/>
      <c r="EA533" s="153"/>
      <c r="EB533" s="153"/>
      <c r="EC533" s="153"/>
      <c r="ED533" s="153"/>
      <c r="EE533" s="153"/>
      <c r="EF533" s="153"/>
      <c r="EG533" s="153"/>
      <c r="EH533" s="153"/>
      <c r="EI533" s="153"/>
      <c r="EJ533" s="153"/>
      <c r="EK533" s="153"/>
      <c r="EL533" s="153"/>
      <c r="EM533" s="153"/>
    </row>
    <row r="534" spans="2:143" s="107" customFormat="1" ht="10.5" customHeight="1">
      <c r="B534" s="1549"/>
      <c r="T534" s="156"/>
      <c r="AR534" s="153"/>
      <c r="AS534" s="153"/>
      <c r="AT534" s="153"/>
      <c r="AU534" s="153"/>
      <c r="AV534" s="153"/>
      <c r="AW534" s="153"/>
      <c r="AX534" s="153"/>
      <c r="AY534" s="153"/>
      <c r="AZ534" s="153"/>
      <c r="BA534" s="153"/>
      <c r="BB534" s="153"/>
      <c r="BC534" s="153"/>
      <c r="BD534" s="153"/>
      <c r="BE534" s="153"/>
      <c r="BF534" s="153"/>
      <c r="BG534" s="153"/>
      <c r="BH534" s="153"/>
      <c r="BI534" s="153"/>
      <c r="BJ534" s="153"/>
      <c r="BK534" s="153"/>
      <c r="BL534" s="153"/>
      <c r="BM534" s="153"/>
      <c r="BN534" s="153"/>
      <c r="BO534" s="153"/>
      <c r="BP534" s="153"/>
      <c r="BQ534" s="153"/>
      <c r="BR534" s="153"/>
      <c r="BS534" s="153"/>
      <c r="BT534" s="153"/>
      <c r="BU534" s="153"/>
      <c r="BV534" s="153"/>
      <c r="BW534" s="153"/>
      <c r="BX534" s="153"/>
      <c r="BY534" s="153"/>
      <c r="BZ534" s="153"/>
      <c r="CA534" s="153"/>
      <c r="CB534" s="153"/>
      <c r="CC534" s="153"/>
      <c r="CD534" s="153"/>
      <c r="CE534" s="153"/>
      <c r="CF534" s="153"/>
      <c r="CG534" s="153"/>
      <c r="CH534" s="153"/>
      <c r="CI534" s="153"/>
      <c r="CJ534" s="153"/>
      <c r="CK534" s="153"/>
      <c r="CL534" s="153"/>
      <c r="CM534" s="153"/>
      <c r="CN534" s="153"/>
      <c r="CO534" s="153"/>
      <c r="CP534" s="153"/>
      <c r="CQ534" s="153"/>
      <c r="CR534" s="153"/>
      <c r="CS534" s="153"/>
      <c r="CT534" s="153"/>
      <c r="CU534" s="153"/>
      <c r="CV534" s="153"/>
      <c r="CW534" s="153"/>
      <c r="CX534" s="153"/>
      <c r="CY534" s="153"/>
      <c r="CZ534" s="153"/>
      <c r="DA534" s="153"/>
      <c r="DB534" s="153"/>
      <c r="DC534" s="153"/>
      <c r="DD534" s="153"/>
      <c r="DE534" s="153"/>
      <c r="DF534" s="153"/>
      <c r="DG534" s="153"/>
      <c r="DH534" s="153"/>
      <c r="DI534" s="153"/>
      <c r="DJ534" s="153"/>
      <c r="DK534" s="153"/>
      <c r="DL534" s="153"/>
      <c r="DM534" s="153"/>
      <c r="DN534" s="153"/>
      <c r="DO534" s="153"/>
      <c r="DP534" s="153"/>
      <c r="DQ534" s="153"/>
      <c r="DR534" s="153"/>
      <c r="DS534" s="153"/>
      <c r="DT534" s="153"/>
      <c r="DU534" s="153"/>
      <c r="DV534" s="153"/>
      <c r="DW534" s="153"/>
      <c r="DX534" s="153"/>
      <c r="DY534" s="153"/>
      <c r="DZ534" s="153"/>
      <c r="EA534" s="153"/>
      <c r="EB534" s="153"/>
      <c r="EC534" s="153"/>
      <c r="ED534" s="153"/>
      <c r="EE534" s="153"/>
      <c r="EF534" s="153"/>
      <c r="EG534" s="153"/>
      <c r="EH534" s="153"/>
      <c r="EI534" s="153"/>
      <c r="EJ534" s="153"/>
      <c r="EK534" s="153"/>
      <c r="EL534" s="153"/>
      <c r="EM534" s="153"/>
    </row>
    <row r="535" spans="2:143" s="107" customFormat="1" ht="10.5" customHeight="1">
      <c r="B535" s="1549"/>
      <c r="T535" s="156"/>
      <c r="AR535" s="153"/>
      <c r="AS535" s="153"/>
      <c r="AT535" s="153"/>
      <c r="AU535" s="153"/>
      <c r="AV535" s="153"/>
      <c r="AW535" s="153"/>
      <c r="AX535" s="153"/>
      <c r="AY535" s="153"/>
      <c r="AZ535" s="153"/>
      <c r="BA535" s="153"/>
      <c r="BB535" s="153"/>
      <c r="BC535" s="153"/>
      <c r="BD535" s="153"/>
      <c r="BE535" s="153"/>
      <c r="BF535" s="153"/>
      <c r="BG535" s="153"/>
      <c r="BH535" s="153"/>
      <c r="BI535" s="153"/>
      <c r="BJ535" s="153"/>
      <c r="BK535" s="153"/>
      <c r="BL535" s="153"/>
      <c r="BM535" s="153"/>
      <c r="BN535" s="153"/>
      <c r="BO535" s="153"/>
      <c r="BP535" s="153"/>
      <c r="BQ535" s="153"/>
      <c r="BR535" s="153"/>
      <c r="BS535" s="153"/>
      <c r="BT535" s="153"/>
      <c r="BU535" s="153"/>
      <c r="BV535" s="153"/>
      <c r="BW535" s="153"/>
      <c r="BX535" s="153"/>
      <c r="BY535" s="153"/>
      <c r="BZ535" s="153"/>
      <c r="CA535" s="153"/>
      <c r="CB535" s="153"/>
      <c r="CC535" s="153"/>
      <c r="CD535" s="153"/>
      <c r="CE535" s="153"/>
      <c r="CF535" s="153"/>
      <c r="CG535" s="153"/>
      <c r="CH535" s="153"/>
      <c r="CI535" s="153"/>
      <c r="CJ535" s="153"/>
      <c r="CK535" s="153"/>
      <c r="CL535" s="153"/>
      <c r="CM535" s="153"/>
      <c r="CN535" s="153"/>
      <c r="CO535" s="153"/>
      <c r="CP535" s="153"/>
      <c r="CQ535" s="153"/>
      <c r="CR535" s="153"/>
      <c r="CS535" s="153"/>
      <c r="CT535" s="153"/>
      <c r="CU535" s="153"/>
      <c r="CV535" s="153"/>
      <c r="CW535" s="153"/>
      <c r="CX535" s="153"/>
      <c r="CY535" s="153"/>
      <c r="CZ535" s="153"/>
      <c r="DA535" s="153"/>
      <c r="DB535" s="153"/>
      <c r="DC535" s="153"/>
      <c r="DD535" s="153"/>
      <c r="DE535" s="153"/>
      <c r="DF535" s="153"/>
      <c r="DG535" s="153"/>
      <c r="DH535" s="153"/>
      <c r="DI535" s="153"/>
      <c r="DJ535" s="153"/>
      <c r="DK535" s="153"/>
      <c r="DL535" s="153"/>
      <c r="DM535" s="153"/>
      <c r="DN535" s="153"/>
      <c r="DO535" s="153"/>
      <c r="DP535" s="153"/>
      <c r="DQ535" s="153"/>
      <c r="DR535" s="153"/>
      <c r="DS535" s="153"/>
      <c r="DT535" s="153"/>
      <c r="DU535" s="153"/>
      <c r="DV535" s="153"/>
      <c r="DW535" s="153"/>
      <c r="DX535" s="153"/>
      <c r="DY535" s="153"/>
      <c r="DZ535" s="153"/>
      <c r="EA535" s="153"/>
      <c r="EB535" s="153"/>
      <c r="EC535" s="153"/>
      <c r="ED535" s="153"/>
      <c r="EE535" s="153"/>
      <c r="EF535" s="153"/>
      <c r="EG535" s="153"/>
      <c r="EH535" s="153"/>
      <c r="EI535" s="153"/>
      <c r="EJ535" s="153"/>
      <c r="EK535" s="153"/>
      <c r="EL535" s="153"/>
      <c r="EM535" s="153"/>
    </row>
    <row r="536" spans="2:143" s="107" customFormat="1" ht="10.5" customHeight="1">
      <c r="B536" s="1549"/>
      <c r="T536" s="156"/>
      <c r="AR536" s="153"/>
      <c r="AS536" s="153"/>
      <c r="AT536" s="153"/>
      <c r="AU536" s="153"/>
      <c r="AV536" s="153"/>
      <c r="AW536" s="153"/>
      <c r="AX536" s="153"/>
      <c r="AY536" s="153"/>
      <c r="AZ536" s="153"/>
      <c r="BA536" s="153"/>
      <c r="BB536" s="153"/>
      <c r="BC536" s="153"/>
      <c r="BD536" s="153"/>
      <c r="BE536" s="153"/>
      <c r="BF536" s="153"/>
      <c r="BG536" s="153"/>
      <c r="BH536" s="153"/>
      <c r="BI536" s="153"/>
      <c r="BJ536" s="153"/>
      <c r="BK536" s="153"/>
      <c r="BL536" s="153"/>
      <c r="BM536" s="153"/>
      <c r="BN536" s="153"/>
      <c r="BO536" s="153"/>
      <c r="BP536" s="153"/>
      <c r="BQ536" s="153"/>
      <c r="BR536" s="153"/>
      <c r="BS536" s="153"/>
      <c r="BT536" s="153"/>
      <c r="BU536" s="153"/>
      <c r="BV536" s="153"/>
      <c r="BW536" s="153"/>
      <c r="BX536" s="153"/>
      <c r="BY536" s="153"/>
      <c r="BZ536" s="153"/>
      <c r="CA536" s="153"/>
      <c r="CB536" s="153"/>
      <c r="CC536" s="153"/>
      <c r="CD536" s="153"/>
      <c r="CE536" s="153"/>
      <c r="CF536" s="153"/>
      <c r="CG536" s="153"/>
      <c r="CH536" s="153"/>
      <c r="CI536" s="153"/>
      <c r="CJ536" s="153"/>
      <c r="CK536" s="153"/>
      <c r="CL536" s="153"/>
      <c r="CM536" s="153"/>
      <c r="CN536" s="153"/>
      <c r="CO536" s="153"/>
      <c r="CP536" s="153"/>
      <c r="CQ536" s="153"/>
      <c r="CR536" s="153"/>
      <c r="CS536" s="153"/>
      <c r="CT536" s="153"/>
      <c r="CU536" s="153"/>
      <c r="CV536" s="153"/>
      <c r="CW536" s="153"/>
      <c r="CX536" s="153"/>
      <c r="CY536" s="153"/>
      <c r="CZ536" s="153"/>
      <c r="DA536" s="153"/>
      <c r="DB536" s="153"/>
      <c r="DC536" s="153"/>
      <c r="DD536" s="153"/>
      <c r="DE536" s="153"/>
      <c r="DF536" s="153"/>
      <c r="DG536" s="153"/>
      <c r="DH536" s="153"/>
      <c r="DI536" s="153"/>
      <c r="DJ536" s="153"/>
      <c r="DK536" s="153"/>
      <c r="DL536" s="153"/>
      <c r="DM536" s="153"/>
      <c r="DN536" s="153"/>
      <c r="DO536" s="153"/>
      <c r="DP536" s="153"/>
      <c r="DQ536" s="153"/>
      <c r="DR536" s="153"/>
      <c r="DS536" s="153"/>
      <c r="DT536" s="153"/>
      <c r="DU536" s="153"/>
      <c r="DV536" s="153"/>
      <c r="DW536" s="153"/>
      <c r="DX536" s="153"/>
      <c r="DY536" s="153"/>
      <c r="DZ536" s="153"/>
      <c r="EA536" s="153"/>
      <c r="EB536" s="153"/>
      <c r="EC536" s="153"/>
      <c r="ED536" s="153"/>
      <c r="EE536" s="153"/>
      <c r="EF536" s="153"/>
      <c r="EG536" s="153"/>
      <c r="EH536" s="153"/>
      <c r="EI536" s="153"/>
      <c r="EJ536" s="153"/>
      <c r="EK536" s="153"/>
      <c r="EL536" s="153"/>
      <c r="EM536" s="153"/>
    </row>
    <row r="537" spans="2:143" s="107" customFormat="1" ht="10.5" customHeight="1">
      <c r="B537" s="1549"/>
      <c r="T537" s="156"/>
      <c r="AR537" s="153"/>
      <c r="AS537" s="153"/>
      <c r="AT537" s="153"/>
      <c r="AU537" s="153"/>
      <c r="AV537" s="153"/>
      <c r="AW537" s="153"/>
      <c r="AX537" s="153"/>
      <c r="AY537" s="153"/>
      <c r="AZ537" s="153"/>
      <c r="BA537" s="153"/>
      <c r="BB537" s="153"/>
      <c r="BC537" s="153"/>
      <c r="BD537" s="153"/>
      <c r="BE537" s="153"/>
      <c r="BF537" s="153"/>
      <c r="BG537" s="153"/>
      <c r="BH537" s="153"/>
      <c r="BI537" s="153"/>
      <c r="BJ537" s="153"/>
      <c r="BK537" s="153"/>
      <c r="BL537" s="153"/>
      <c r="BM537" s="153"/>
      <c r="BN537" s="153"/>
      <c r="BO537" s="153"/>
      <c r="BP537" s="153"/>
      <c r="BQ537" s="153"/>
      <c r="BR537" s="153"/>
      <c r="BS537" s="153"/>
      <c r="BT537" s="153"/>
      <c r="BU537" s="153"/>
      <c r="BV537" s="153"/>
      <c r="BW537" s="153"/>
      <c r="BX537" s="153"/>
      <c r="BY537" s="153"/>
      <c r="BZ537" s="153"/>
      <c r="CA537" s="153"/>
      <c r="CB537" s="153"/>
      <c r="CC537" s="153"/>
      <c r="CD537" s="153"/>
      <c r="CE537" s="153"/>
      <c r="CF537" s="153"/>
      <c r="CG537" s="153"/>
      <c r="CH537" s="153"/>
      <c r="CI537" s="153"/>
      <c r="CJ537" s="153"/>
      <c r="CK537" s="153"/>
      <c r="CL537" s="153"/>
      <c r="CM537" s="153"/>
      <c r="CN537" s="153"/>
      <c r="CO537" s="153"/>
      <c r="CP537" s="153"/>
      <c r="CQ537" s="153"/>
      <c r="CR537" s="153"/>
      <c r="CS537" s="153"/>
      <c r="CT537" s="153"/>
      <c r="CU537" s="153"/>
      <c r="CV537" s="153"/>
      <c r="CW537" s="153"/>
      <c r="CX537" s="153"/>
      <c r="CY537" s="153"/>
      <c r="CZ537" s="153"/>
      <c r="DA537" s="153"/>
      <c r="DB537" s="153"/>
      <c r="DC537" s="153"/>
      <c r="DD537" s="153"/>
      <c r="DE537" s="153"/>
      <c r="DF537" s="153"/>
      <c r="DG537" s="153"/>
      <c r="DH537" s="153"/>
      <c r="DI537" s="153"/>
      <c r="DJ537" s="153"/>
      <c r="DK537" s="153"/>
      <c r="DL537" s="153"/>
      <c r="DM537" s="153"/>
      <c r="DN537" s="153"/>
      <c r="DO537" s="153"/>
      <c r="DP537" s="153"/>
      <c r="DQ537" s="153"/>
      <c r="DR537" s="153"/>
      <c r="DS537" s="153"/>
      <c r="DT537" s="153"/>
      <c r="DU537" s="153"/>
      <c r="DV537" s="153"/>
      <c r="DW537" s="153"/>
      <c r="DX537" s="153"/>
      <c r="DY537" s="153"/>
      <c r="DZ537" s="153"/>
      <c r="EA537" s="153"/>
      <c r="EB537" s="153"/>
      <c r="EC537" s="153"/>
      <c r="ED537" s="153"/>
      <c r="EE537" s="153"/>
      <c r="EF537" s="153"/>
      <c r="EG537" s="153"/>
      <c r="EH537" s="153"/>
      <c r="EI537" s="153"/>
      <c r="EJ537" s="153"/>
      <c r="EK537" s="153"/>
      <c r="EL537" s="153"/>
      <c r="EM537" s="153"/>
    </row>
    <row r="538" spans="2:143" s="107" customFormat="1" ht="10.5" customHeight="1">
      <c r="B538" s="1549"/>
      <c r="T538" s="156"/>
      <c r="AR538" s="153"/>
      <c r="AS538" s="153"/>
      <c r="AT538" s="153"/>
      <c r="AU538" s="153"/>
      <c r="AV538" s="153"/>
      <c r="AW538" s="153"/>
      <c r="AX538" s="153"/>
      <c r="AY538" s="153"/>
      <c r="AZ538" s="153"/>
      <c r="BA538" s="153"/>
      <c r="BB538" s="153"/>
      <c r="BC538" s="153"/>
      <c r="BD538" s="153"/>
      <c r="BE538" s="153"/>
      <c r="BF538" s="153"/>
      <c r="BG538" s="153"/>
      <c r="BH538" s="153"/>
      <c r="BI538" s="153"/>
      <c r="BJ538" s="153"/>
      <c r="BK538" s="153"/>
      <c r="BL538" s="153"/>
      <c r="BM538" s="153"/>
      <c r="BN538" s="153"/>
      <c r="BO538" s="153"/>
      <c r="BP538" s="153"/>
      <c r="BQ538" s="153"/>
      <c r="BR538" s="153"/>
      <c r="BS538" s="153"/>
      <c r="BT538" s="153"/>
      <c r="BU538" s="153"/>
      <c r="BV538" s="153"/>
      <c r="BW538" s="153"/>
      <c r="BX538" s="153"/>
      <c r="BY538" s="153"/>
      <c r="BZ538" s="153"/>
      <c r="CA538" s="153"/>
      <c r="CB538" s="153"/>
      <c r="CC538" s="153"/>
      <c r="CD538" s="153"/>
      <c r="CE538" s="153"/>
      <c r="CF538" s="153"/>
      <c r="CG538" s="153"/>
      <c r="CH538" s="153"/>
      <c r="CI538" s="153"/>
      <c r="CJ538" s="153"/>
      <c r="CK538" s="153"/>
      <c r="CL538" s="153"/>
      <c r="CM538" s="153"/>
      <c r="CN538" s="153"/>
      <c r="CO538" s="153"/>
      <c r="CP538" s="153"/>
      <c r="CQ538" s="153"/>
      <c r="CR538" s="153"/>
      <c r="CS538" s="153"/>
      <c r="CT538" s="153"/>
      <c r="CU538" s="153"/>
      <c r="CV538" s="153"/>
      <c r="CW538" s="153"/>
      <c r="CX538" s="153"/>
      <c r="CY538" s="153"/>
      <c r="CZ538" s="153"/>
      <c r="DA538" s="153"/>
      <c r="DB538" s="153"/>
      <c r="DC538" s="153"/>
      <c r="DD538" s="153"/>
      <c r="DE538" s="153"/>
      <c r="DF538" s="153"/>
      <c r="DG538" s="153"/>
      <c r="DH538" s="153"/>
      <c r="DI538" s="153"/>
      <c r="DJ538" s="153"/>
      <c r="DK538" s="153"/>
      <c r="DL538" s="153"/>
      <c r="DM538" s="153"/>
      <c r="DN538" s="153"/>
      <c r="DO538" s="153"/>
      <c r="DP538" s="153"/>
      <c r="DQ538" s="153"/>
      <c r="DR538" s="153"/>
      <c r="DS538" s="153"/>
      <c r="DT538" s="153"/>
      <c r="DU538" s="153"/>
      <c r="DV538" s="153"/>
      <c r="DW538" s="153"/>
      <c r="DX538" s="153"/>
      <c r="DY538" s="153"/>
      <c r="DZ538" s="153"/>
      <c r="EA538" s="153"/>
      <c r="EB538" s="153"/>
      <c r="EC538" s="153"/>
      <c r="ED538" s="153"/>
      <c r="EE538" s="153"/>
      <c r="EF538" s="153"/>
      <c r="EG538" s="153"/>
      <c r="EH538" s="153"/>
      <c r="EI538" s="153"/>
      <c r="EJ538" s="153"/>
      <c r="EK538" s="153"/>
      <c r="EL538" s="153"/>
      <c r="EM538" s="153"/>
    </row>
    <row r="539" spans="2:143" s="107" customFormat="1" ht="10.5" customHeight="1">
      <c r="B539" s="1549"/>
      <c r="T539" s="156"/>
      <c r="AR539" s="153"/>
      <c r="AS539" s="153"/>
      <c r="AT539" s="153"/>
      <c r="AU539" s="153"/>
      <c r="AV539" s="153"/>
      <c r="AW539" s="153"/>
      <c r="AX539" s="153"/>
      <c r="AY539" s="153"/>
      <c r="AZ539" s="153"/>
      <c r="BA539" s="153"/>
      <c r="BB539" s="153"/>
      <c r="BC539" s="153"/>
      <c r="BD539" s="153"/>
      <c r="BE539" s="153"/>
      <c r="BF539" s="153"/>
      <c r="BG539" s="153"/>
      <c r="BH539" s="153"/>
      <c r="BI539" s="153"/>
      <c r="BJ539" s="153"/>
      <c r="BK539" s="153"/>
      <c r="BL539" s="153"/>
      <c r="BM539" s="153"/>
      <c r="BN539" s="153"/>
      <c r="BO539" s="153"/>
      <c r="BP539" s="153"/>
      <c r="BQ539" s="153"/>
      <c r="BR539" s="153"/>
      <c r="BS539" s="153"/>
      <c r="BT539" s="153"/>
      <c r="BU539" s="153"/>
      <c r="BV539" s="153"/>
      <c r="BW539" s="153"/>
      <c r="BX539" s="153"/>
      <c r="BY539" s="153"/>
      <c r="BZ539" s="153"/>
      <c r="CA539" s="153"/>
      <c r="CB539" s="153"/>
      <c r="CC539" s="153"/>
      <c r="CD539" s="153"/>
      <c r="CE539" s="153"/>
      <c r="CF539" s="153"/>
      <c r="CG539" s="153"/>
      <c r="CH539" s="153"/>
      <c r="CI539" s="153"/>
      <c r="CJ539" s="153"/>
      <c r="CK539" s="153"/>
      <c r="CL539" s="153"/>
      <c r="CM539" s="153"/>
      <c r="CN539" s="153"/>
      <c r="CO539" s="153"/>
      <c r="CP539" s="153"/>
      <c r="CQ539" s="153"/>
      <c r="CR539" s="153"/>
      <c r="CS539" s="153"/>
      <c r="CT539" s="153"/>
      <c r="CU539" s="153"/>
      <c r="CV539" s="153"/>
      <c r="CW539" s="153"/>
      <c r="CX539" s="153"/>
      <c r="CY539" s="153"/>
      <c r="CZ539" s="153"/>
      <c r="DA539" s="153"/>
      <c r="DB539" s="153"/>
      <c r="DC539" s="153"/>
      <c r="DD539" s="153"/>
      <c r="DE539" s="153"/>
      <c r="DF539" s="153"/>
      <c r="DG539" s="153"/>
      <c r="DH539" s="153"/>
      <c r="DI539" s="153"/>
      <c r="DJ539" s="153"/>
      <c r="DK539" s="153"/>
      <c r="DL539" s="153"/>
      <c r="DM539" s="153"/>
      <c r="DN539" s="153"/>
      <c r="DO539" s="153"/>
      <c r="DP539" s="153"/>
      <c r="DQ539" s="153"/>
      <c r="DR539" s="153"/>
      <c r="DS539" s="153"/>
      <c r="DT539" s="153"/>
      <c r="DU539" s="153"/>
      <c r="DV539" s="153"/>
      <c r="DW539" s="153"/>
      <c r="DX539" s="153"/>
      <c r="DY539" s="153"/>
      <c r="DZ539" s="153"/>
      <c r="EA539" s="153"/>
      <c r="EB539" s="153"/>
      <c r="EC539" s="153"/>
      <c r="ED539" s="153"/>
      <c r="EE539" s="153"/>
      <c r="EF539" s="153"/>
      <c r="EG539" s="153"/>
      <c r="EH539" s="153"/>
      <c r="EI539" s="153"/>
      <c r="EJ539" s="153"/>
      <c r="EK539" s="153"/>
      <c r="EL539" s="153"/>
      <c r="EM539" s="153"/>
    </row>
    <row r="540" spans="2:143" s="107" customFormat="1" ht="10.5" customHeight="1">
      <c r="B540" s="1549"/>
      <c r="T540" s="156"/>
      <c r="AR540" s="153"/>
      <c r="AS540" s="153"/>
      <c r="AT540" s="153"/>
      <c r="AU540" s="153"/>
      <c r="AV540" s="153"/>
      <c r="AW540" s="153"/>
      <c r="AX540" s="153"/>
      <c r="AY540" s="153"/>
      <c r="AZ540" s="153"/>
      <c r="BA540" s="153"/>
      <c r="BB540" s="153"/>
      <c r="BC540" s="153"/>
      <c r="BD540" s="153"/>
      <c r="BE540" s="153"/>
      <c r="BF540" s="153"/>
      <c r="BG540" s="153"/>
      <c r="BH540" s="153"/>
      <c r="BI540" s="153"/>
      <c r="BJ540" s="153"/>
      <c r="BK540" s="153"/>
      <c r="BL540" s="153"/>
      <c r="BM540" s="153"/>
      <c r="BN540" s="153"/>
      <c r="BO540" s="153"/>
      <c r="BP540" s="153"/>
      <c r="BQ540" s="153"/>
      <c r="BR540" s="153"/>
      <c r="BS540" s="153"/>
      <c r="BT540" s="153"/>
      <c r="BU540" s="153"/>
      <c r="BV540" s="153"/>
      <c r="BW540" s="153"/>
      <c r="BX540" s="153"/>
      <c r="BY540" s="153"/>
      <c r="BZ540" s="153"/>
      <c r="CA540" s="153"/>
      <c r="CB540" s="153"/>
      <c r="CC540" s="153"/>
      <c r="CD540" s="153"/>
      <c r="CE540" s="153"/>
      <c r="CF540" s="153"/>
      <c r="CG540" s="153"/>
      <c r="CH540" s="153"/>
      <c r="CI540" s="153"/>
      <c r="CJ540" s="153"/>
      <c r="CK540" s="153"/>
      <c r="CL540" s="153"/>
      <c r="CM540" s="153"/>
      <c r="CN540" s="153"/>
      <c r="CO540" s="153"/>
      <c r="CP540" s="153"/>
      <c r="CQ540" s="153"/>
      <c r="CR540" s="153"/>
      <c r="CS540" s="153"/>
      <c r="CT540" s="153"/>
      <c r="CU540" s="153"/>
      <c r="CV540" s="153"/>
      <c r="CW540" s="153"/>
      <c r="CX540" s="153"/>
      <c r="CY540" s="153"/>
      <c r="CZ540" s="153"/>
      <c r="DA540" s="153"/>
      <c r="DB540" s="153"/>
      <c r="DC540" s="153"/>
      <c r="DD540" s="153"/>
      <c r="DE540" s="153"/>
      <c r="DF540" s="153"/>
      <c r="DG540" s="153"/>
      <c r="DH540" s="153"/>
      <c r="DI540" s="153"/>
      <c r="DJ540" s="153"/>
      <c r="DK540" s="153"/>
      <c r="DL540" s="153"/>
      <c r="DM540" s="153"/>
      <c r="DN540" s="153"/>
      <c r="DO540" s="153"/>
      <c r="DP540" s="153"/>
      <c r="DQ540" s="153"/>
      <c r="DR540" s="153"/>
      <c r="DS540" s="153"/>
      <c r="DT540" s="153"/>
      <c r="DU540" s="153"/>
      <c r="DV540" s="153"/>
      <c r="DW540" s="153"/>
      <c r="DX540" s="153"/>
      <c r="DY540" s="153"/>
      <c r="DZ540" s="153"/>
      <c r="EA540" s="153"/>
      <c r="EB540" s="153"/>
      <c r="EC540" s="153"/>
      <c r="ED540" s="153"/>
      <c r="EE540" s="153"/>
      <c r="EF540" s="153"/>
      <c r="EG540" s="153"/>
      <c r="EH540" s="153"/>
      <c r="EI540" s="153"/>
      <c r="EJ540" s="153"/>
      <c r="EK540" s="153"/>
      <c r="EL540" s="153"/>
      <c r="EM540" s="153"/>
    </row>
    <row r="541" spans="2:143" s="107" customFormat="1" ht="10.5" customHeight="1">
      <c r="B541" s="1549"/>
      <c r="T541" s="156"/>
      <c r="AR541" s="153"/>
      <c r="AS541" s="153"/>
      <c r="AT541" s="153"/>
      <c r="AU541" s="153"/>
      <c r="AV541" s="153"/>
      <c r="AW541" s="153"/>
      <c r="AX541" s="153"/>
      <c r="AY541" s="153"/>
      <c r="AZ541" s="153"/>
      <c r="BA541" s="153"/>
      <c r="BB541" s="153"/>
      <c r="BC541" s="153"/>
      <c r="BD541" s="153"/>
      <c r="BE541" s="153"/>
      <c r="BF541" s="153"/>
      <c r="BG541" s="153"/>
      <c r="BH541" s="153"/>
      <c r="BI541" s="153"/>
      <c r="BJ541" s="153"/>
      <c r="BK541" s="153"/>
      <c r="BL541" s="153"/>
      <c r="BM541" s="153"/>
      <c r="BN541" s="153"/>
      <c r="BO541" s="153"/>
      <c r="BP541" s="153"/>
      <c r="BQ541" s="153"/>
      <c r="BR541" s="153"/>
      <c r="BS541" s="153"/>
      <c r="BT541" s="153"/>
      <c r="BU541" s="153"/>
      <c r="BV541" s="153"/>
      <c r="BW541" s="153"/>
      <c r="BX541" s="153"/>
      <c r="BY541" s="153"/>
      <c r="BZ541" s="153"/>
      <c r="CA541" s="153"/>
      <c r="CB541" s="153"/>
      <c r="CC541" s="153"/>
      <c r="CD541" s="153"/>
      <c r="CE541" s="153"/>
      <c r="CF541" s="153"/>
      <c r="CG541" s="153"/>
      <c r="CH541" s="153"/>
      <c r="CI541" s="153"/>
      <c r="CJ541" s="153"/>
      <c r="CK541" s="153"/>
      <c r="CL541" s="153"/>
      <c r="CM541" s="153"/>
      <c r="CN541" s="153"/>
      <c r="CO541" s="153"/>
      <c r="CP541" s="153"/>
      <c r="CQ541" s="153"/>
      <c r="CR541" s="153"/>
      <c r="CS541" s="153"/>
      <c r="CT541" s="153"/>
      <c r="CU541" s="153"/>
      <c r="CV541" s="153"/>
      <c r="CW541" s="153"/>
      <c r="CX541" s="153"/>
      <c r="CY541" s="153"/>
      <c r="CZ541" s="153"/>
      <c r="DA541" s="153"/>
      <c r="DB541" s="153"/>
      <c r="DC541" s="153"/>
      <c r="DD541" s="153"/>
      <c r="DE541" s="153"/>
      <c r="DF541" s="153"/>
      <c r="DG541" s="153"/>
      <c r="DH541" s="153"/>
      <c r="DI541" s="153"/>
      <c r="DJ541" s="153"/>
      <c r="DK541" s="153"/>
      <c r="DL541" s="153"/>
      <c r="DM541" s="153"/>
      <c r="DN541" s="153"/>
      <c r="DO541" s="153"/>
      <c r="DP541" s="153"/>
      <c r="DQ541" s="153"/>
      <c r="DR541" s="153"/>
      <c r="DS541" s="153"/>
      <c r="DT541" s="153"/>
      <c r="DU541" s="153"/>
      <c r="DV541" s="153"/>
      <c r="DW541" s="153"/>
      <c r="DX541" s="153"/>
      <c r="DY541" s="153"/>
      <c r="DZ541" s="153"/>
      <c r="EA541" s="153"/>
      <c r="EB541" s="153"/>
      <c r="EC541" s="153"/>
      <c r="ED541" s="153"/>
      <c r="EE541" s="153"/>
      <c r="EF541" s="153"/>
      <c r="EG541" s="153"/>
      <c r="EH541" s="153"/>
      <c r="EI541" s="153"/>
      <c r="EJ541" s="153"/>
      <c r="EK541" s="153"/>
      <c r="EL541" s="153"/>
      <c r="EM541" s="153"/>
    </row>
    <row r="542" spans="2:143" s="107" customFormat="1" ht="10.5" customHeight="1">
      <c r="B542" s="1549"/>
      <c r="T542" s="156"/>
      <c r="AR542" s="153"/>
      <c r="AS542" s="153"/>
      <c r="AT542" s="153"/>
      <c r="AU542" s="153"/>
      <c r="AV542" s="153"/>
      <c r="AW542" s="153"/>
      <c r="AX542" s="153"/>
      <c r="AY542" s="153"/>
      <c r="AZ542" s="153"/>
      <c r="BA542" s="153"/>
      <c r="BB542" s="153"/>
      <c r="BC542" s="153"/>
      <c r="BD542" s="153"/>
      <c r="BE542" s="153"/>
      <c r="BF542" s="153"/>
      <c r="BG542" s="153"/>
      <c r="BH542" s="153"/>
      <c r="BI542" s="153"/>
      <c r="BJ542" s="153"/>
      <c r="BK542" s="153"/>
      <c r="BL542" s="153"/>
      <c r="BM542" s="153"/>
      <c r="BN542" s="153"/>
      <c r="BO542" s="153"/>
      <c r="BP542" s="153"/>
      <c r="BQ542" s="153"/>
      <c r="BR542" s="153"/>
      <c r="BS542" s="153"/>
      <c r="BT542" s="153"/>
      <c r="BU542" s="153"/>
      <c r="BV542" s="153"/>
      <c r="BW542" s="153"/>
      <c r="BX542" s="153"/>
      <c r="BY542" s="153"/>
      <c r="BZ542" s="153"/>
      <c r="CA542" s="153"/>
      <c r="CB542" s="153"/>
      <c r="CC542" s="153"/>
      <c r="CD542" s="153"/>
      <c r="CE542" s="153"/>
      <c r="CF542" s="153"/>
      <c r="CG542" s="153"/>
      <c r="CH542" s="153"/>
      <c r="CI542" s="153"/>
      <c r="CJ542" s="153"/>
      <c r="CK542" s="153"/>
      <c r="CL542" s="153"/>
      <c r="CM542" s="153"/>
      <c r="CN542" s="153"/>
      <c r="CO542" s="153"/>
      <c r="CP542" s="153"/>
      <c r="CQ542" s="153"/>
      <c r="CR542" s="153"/>
      <c r="CS542" s="153"/>
      <c r="CT542" s="153"/>
      <c r="CU542" s="153"/>
      <c r="CV542" s="153"/>
      <c r="CW542" s="153"/>
      <c r="CX542" s="153"/>
      <c r="CY542" s="153"/>
      <c r="CZ542" s="153"/>
      <c r="DA542" s="153"/>
      <c r="DB542" s="153"/>
      <c r="DC542" s="153"/>
      <c r="DD542" s="153"/>
      <c r="DE542" s="153"/>
      <c r="DF542" s="153"/>
      <c r="DG542" s="153"/>
      <c r="DH542" s="153"/>
      <c r="DI542" s="153"/>
      <c r="DJ542" s="153"/>
      <c r="DK542" s="153"/>
      <c r="DL542" s="153"/>
      <c r="DM542" s="153"/>
      <c r="DN542" s="153"/>
      <c r="DO542" s="153"/>
      <c r="DP542" s="153"/>
      <c r="DQ542" s="153"/>
      <c r="DR542" s="153"/>
      <c r="DS542" s="153"/>
      <c r="DT542" s="153"/>
      <c r="DU542" s="153"/>
      <c r="DV542" s="153"/>
      <c r="DW542" s="153"/>
      <c r="DX542" s="153"/>
      <c r="DY542" s="153"/>
      <c r="DZ542" s="153"/>
      <c r="EA542" s="153"/>
      <c r="EB542" s="153"/>
      <c r="EC542" s="153"/>
      <c r="ED542" s="153"/>
      <c r="EE542" s="153"/>
      <c r="EF542" s="153"/>
      <c r="EG542" s="153"/>
      <c r="EH542" s="153"/>
      <c r="EI542" s="153"/>
      <c r="EJ542" s="153"/>
      <c r="EK542" s="153"/>
      <c r="EL542" s="153"/>
      <c r="EM542" s="153"/>
    </row>
    <row r="543" spans="2:143" s="107" customFormat="1" ht="10.5" customHeight="1">
      <c r="B543" s="1549"/>
      <c r="T543" s="156"/>
      <c r="AR543" s="153"/>
      <c r="AS543" s="153"/>
      <c r="AT543" s="153"/>
      <c r="AU543" s="153"/>
      <c r="AV543" s="153"/>
      <c r="AW543" s="153"/>
      <c r="AX543" s="153"/>
      <c r="AY543" s="153"/>
      <c r="AZ543" s="153"/>
      <c r="BA543" s="153"/>
      <c r="BB543" s="153"/>
      <c r="BC543" s="153"/>
      <c r="BD543" s="153"/>
      <c r="BE543" s="153"/>
      <c r="BF543" s="153"/>
      <c r="BG543" s="153"/>
      <c r="BH543" s="153"/>
      <c r="BI543" s="153"/>
      <c r="BJ543" s="153"/>
      <c r="BK543" s="153"/>
      <c r="BL543" s="153"/>
      <c r="BM543" s="153"/>
      <c r="BN543" s="153"/>
      <c r="BO543" s="153"/>
      <c r="BP543" s="153"/>
      <c r="BQ543" s="153"/>
      <c r="BR543" s="153"/>
      <c r="BS543" s="153"/>
      <c r="BT543" s="153"/>
      <c r="BU543" s="153"/>
      <c r="BV543" s="153"/>
      <c r="BW543" s="153"/>
      <c r="BX543" s="153"/>
      <c r="BY543" s="153"/>
      <c r="BZ543" s="153"/>
      <c r="CA543" s="153"/>
      <c r="CB543" s="153"/>
      <c r="CC543" s="153"/>
      <c r="CD543" s="153"/>
      <c r="CE543" s="153"/>
      <c r="CF543" s="153"/>
      <c r="CG543" s="153"/>
      <c r="CH543" s="153"/>
      <c r="CI543" s="153"/>
      <c r="CJ543" s="153"/>
      <c r="CK543" s="153"/>
      <c r="CL543" s="153"/>
      <c r="CM543" s="153"/>
      <c r="CN543" s="153"/>
      <c r="CO543" s="153"/>
      <c r="CP543" s="153"/>
      <c r="CQ543" s="153"/>
      <c r="CR543" s="153"/>
      <c r="CS543" s="153"/>
      <c r="CT543" s="153"/>
      <c r="CU543" s="153"/>
      <c r="CV543" s="153"/>
      <c r="CW543" s="153"/>
      <c r="CX543" s="153"/>
      <c r="CY543" s="153"/>
      <c r="CZ543" s="153"/>
      <c r="DA543" s="153"/>
      <c r="DB543" s="153"/>
      <c r="DC543" s="153"/>
      <c r="DD543" s="153"/>
      <c r="DE543" s="153"/>
      <c r="DF543" s="153"/>
      <c r="DG543" s="153"/>
      <c r="DH543" s="153"/>
      <c r="DI543" s="153"/>
      <c r="DJ543" s="153"/>
      <c r="DK543" s="153"/>
      <c r="DL543" s="153"/>
      <c r="DM543" s="153"/>
      <c r="DN543" s="153"/>
      <c r="DO543" s="153"/>
      <c r="DP543" s="153"/>
      <c r="DQ543" s="153"/>
      <c r="DR543" s="153"/>
      <c r="DS543" s="153"/>
      <c r="DT543" s="153"/>
      <c r="DU543" s="153"/>
      <c r="DV543" s="153"/>
      <c r="DW543" s="153"/>
      <c r="DX543" s="153"/>
      <c r="DY543" s="153"/>
      <c r="DZ543" s="153"/>
      <c r="EA543" s="153"/>
      <c r="EB543" s="153"/>
      <c r="EC543" s="153"/>
      <c r="ED543" s="153"/>
      <c r="EE543" s="153"/>
      <c r="EF543" s="153"/>
      <c r="EG543" s="153"/>
      <c r="EH543" s="153"/>
      <c r="EI543" s="153"/>
      <c r="EJ543" s="153"/>
      <c r="EK543" s="153"/>
      <c r="EL543" s="153"/>
      <c r="EM543" s="153"/>
    </row>
    <row r="544" spans="2:143" s="107" customFormat="1" ht="10.5" customHeight="1">
      <c r="B544" s="1549"/>
      <c r="T544" s="156"/>
      <c r="AR544" s="153"/>
      <c r="AS544" s="153"/>
      <c r="AT544" s="153"/>
      <c r="AU544" s="153"/>
      <c r="AV544" s="153"/>
      <c r="AW544" s="153"/>
      <c r="AX544" s="153"/>
      <c r="AY544" s="153"/>
      <c r="AZ544" s="153"/>
      <c r="BA544" s="153"/>
      <c r="BB544" s="153"/>
      <c r="BC544" s="153"/>
      <c r="BD544" s="153"/>
      <c r="BE544" s="153"/>
      <c r="BF544" s="153"/>
      <c r="BG544" s="153"/>
      <c r="BH544" s="153"/>
      <c r="BI544" s="153"/>
      <c r="BJ544" s="153"/>
      <c r="BK544" s="153"/>
      <c r="BL544" s="153"/>
      <c r="BM544" s="153"/>
      <c r="BN544" s="153"/>
      <c r="BO544" s="153"/>
      <c r="BP544" s="153"/>
      <c r="BQ544" s="153"/>
      <c r="BR544" s="153"/>
      <c r="BS544" s="153"/>
      <c r="BT544" s="153"/>
      <c r="BU544" s="153"/>
      <c r="BV544" s="153"/>
      <c r="BW544" s="153"/>
      <c r="BX544" s="153"/>
      <c r="BY544" s="153"/>
      <c r="BZ544" s="153"/>
      <c r="CA544" s="153"/>
      <c r="CB544" s="153"/>
      <c r="CC544" s="153"/>
      <c r="CD544" s="153"/>
      <c r="CE544" s="153"/>
      <c r="CF544" s="153"/>
      <c r="CG544" s="153"/>
      <c r="CH544" s="153"/>
      <c r="CI544" s="153"/>
      <c r="CJ544" s="153"/>
      <c r="CK544" s="153"/>
      <c r="CL544" s="153"/>
      <c r="CM544" s="153"/>
      <c r="CN544" s="153"/>
      <c r="CO544" s="153"/>
      <c r="CP544" s="153"/>
      <c r="CQ544" s="153"/>
      <c r="CR544" s="153"/>
      <c r="CS544" s="153"/>
      <c r="CT544" s="153"/>
      <c r="CU544" s="153"/>
      <c r="CV544" s="153"/>
      <c r="CW544" s="153"/>
      <c r="CX544" s="153"/>
      <c r="CY544" s="153"/>
      <c r="CZ544" s="153"/>
      <c r="DA544" s="153"/>
      <c r="DB544" s="153"/>
      <c r="DC544" s="153"/>
      <c r="DD544" s="153"/>
      <c r="DE544" s="153"/>
      <c r="DF544" s="153"/>
      <c r="DG544" s="153"/>
      <c r="DH544" s="153"/>
      <c r="DI544" s="153"/>
      <c r="DJ544" s="153"/>
      <c r="DK544" s="153"/>
      <c r="DL544" s="153"/>
      <c r="DM544" s="153"/>
      <c r="DN544" s="153"/>
      <c r="DO544" s="153"/>
      <c r="DP544" s="153"/>
      <c r="DQ544" s="153"/>
      <c r="DR544" s="153"/>
      <c r="DS544" s="153"/>
      <c r="DT544" s="153"/>
      <c r="DU544" s="153"/>
      <c r="DV544" s="153"/>
      <c r="DW544" s="153"/>
      <c r="DX544" s="153"/>
      <c r="DY544" s="153"/>
      <c r="DZ544" s="153"/>
      <c r="EA544" s="153"/>
      <c r="EB544" s="153"/>
      <c r="EC544" s="153"/>
      <c r="ED544" s="153"/>
      <c r="EE544" s="153"/>
      <c r="EF544" s="153"/>
      <c r="EG544" s="153"/>
      <c r="EH544" s="153"/>
      <c r="EI544" s="153"/>
      <c r="EJ544" s="153"/>
      <c r="EK544" s="153"/>
      <c r="EL544" s="153"/>
      <c r="EM544" s="153"/>
    </row>
    <row r="545" spans="2:143" s="107" customFormat="1" ht="10.5" customHeight="1">
      <c r="B545" s="1549"/>
      <c r="T545" s="156"/>
      <c r="AR545" s="153"/>
      <c r="AS545" s="153"/>
      <c r="AT545" s="153"/>
      <c r="AU545" s="153"/>
      <c r="AV545" s="153"/>
      <c r="AW545" s="153"/>
      <c r="AX545" s="153"/>
      <c r="AY545" s="153"/>
      <c r="AZ545" s="153"/>
      <c r="BA545" s="153"/>
      <c r="BB545" s="153"/>
      <c r="BC545" s="153"/>
      <c r="BD545" s="153"/>
      <c r="BE545" s="153"/>
      <c r="BF545" s="153"/>
      <c r="BG545" s="153"/>
      <c r="BH545" s="153"/>
      <c r="BI545" s="153"/>
      <c r="BJ545" s="153"/>
      <c r="BK545" s="153"/>
      <c r="BL545" s="153"/>
      <c r="BM545" s="153"/>
      <c r="BN545" s="153"/>
      <c r="BO545" s="153"/>
      <c r="BP545" s="153"/>
      <c r="BQ545" s="153"/>
      <c r="BR545" s="153"/>
      <c r="BS545" s="153"/>
      <c r="BT545" s="153"/>
      <c r="BU545" s="153"/>
      <c r="BV545" s="153"/>
      <c r="BW545" s="153"/>
      <c r="BX545" s="153"/>
      <c r="BY545" s="153"/>
      <c r="BZ545" s="153"/>
      <c r="CA545" s="153"/>
      <c r="CB545" s="153"/>
      <c r="CC545" s="153"/>
      <c r="CD545" s="153"/>
      <c r="CE545" s="153"/>
      <c r="CF545" s="153"/>
      <c r="CG545" s="153"/>
      <c r="CH545" s="153"/>
      <c r="CI545" s="153"/>
      <c r="CJ545" s="153"/>
      <c r="CK545" s="153"/>
      <c r="CL545" s="153"/>
      <c r="CM545" s="153"/>
      <c r="CN545" s="153"/>
      <c r="CO545" s="153"/>
      <c r="CP545" s="153"/>
      <c r="CQ545" s="153"/>
      <c r="CR545" s="153"/>
      <c r="CS545" s="153"/>
      <c r="CT545" s="153"/>
      <c r="CU545" s="153"/>
      <c r="CV545" s="153"/>
      <c r="CW545" s="153"/>
      <c r="CX545" s="153"/>
      <c r="CY545" s="153"/>
      <c r="CZ545" s="153"/>
      <c r="DA545" s="153"/>
      <c r="DB545" s="153"/>
      <c r="DC545" s="153"/>
      <c r="DD545" s="153"/>
      <c r="DE545" s="153"/>
      <c r="DF545" s="153"/>
      <c r="DG545" s="153"/>
      <c r="DH545" s="153"/>
      <c r="DI545" s="153"/>
      <c r="DJ545" s="153"/>
      <c r="DK545" s="153"/>
      <c r="DL545" s="153"/>
      <c r="DM545" s="153"/>
      <c r="DN545" s="153"/>
      <c r="DO545" s="153"/>
      <c r="DP545" s="153"/>
      <c r="DQ545" s="153"/>
      <c r="DR545" s="153"/>
      <c r="DS545" s="153"/>
      <c r="DT545" s="153"/>
      <c r="DU545" s="153"/>
      <c r="DV545" s="153"/>
      <c r="DW545" s="153"/>
      <c r="DX545" s="153"/>
      <c r="DY545" s="153"/>
      <c r="DZ545" s="153"/>
      <c r="EA545" s="153"/>
      <c r="EB545" s="153"/>
      <c r="EC545" s="153"/>
      <c r="ED545" s="153"/>
      <c r="EE545" s="153"/>
      <c r="EF545" s="153"/>
      <c r="EG545" s="153"/>
      <c r="EH545" s="153"/>
      <c r="EI545" s="153"/>
      <c r="EJ545" s="153"/>
      <c r="EK545" s="153"/>
      <c r="EL545" s="153"/>
      <c r="EM545" s="153"/>
    </row>
    <row r="546" spans="2:143" s="107" customFormat="1" ht="10.5" customHeight="1">
      <c r="B546" s="1549"/>
      <c r="T546" s="156"/>
      <c r="AR546" s="153"/>
      <c r="AS546" s="153"/>
      <c r="AT546" s="153"/>
      <c r="AU546" s="153"/>
      <c r="AV546" s="153"/>
      <c r="AW546" s="153"/>
      <c r="AX546" s="153"/>
      <c r="AY546" s="153"/>
      <c r="AZ546" s="153"/>
      <c r="BA546" s="153"/>
      <c r="BB546" s="153"/>
      <c r="BC546" s="153"/>
      <c r="BD546" s="153"/>
      <c r="BE546" s="153"/>
      <c r="BF546" s="153"/>
      <c r="BG546" s="153"/>
      <c r="BH546" s="153"/>
      <c r="BI546" s="153"/>
      <c r="BJ546" s="153"/>
      <c r="BK546" s="153"/>
      <c r="BL546" s="153"/>
      <c r="BM546" s="153"/>
      <c r="BN546" s="153"/>
      <c r="BO546" s="153"/>
      <c r="BP546" s="153"/>
      <c r="BQ546" s="153"/>
      <c r="BR546" s="153"/>
      <c r="BS546" s="153"/>
      <c r="BT546" s="153"/>
      <c r="BU546" s="153"/>
      <c r="BV546" s="153"/>
      <c r="BW546" s="153"/>
      <c r="BX546" s="153"/>
      <c r="BY546" s="153"/>
      <c r="BZ546" s="153"/>
      <c r="CA546" s="153"/>
      <c r="CB546" s="153"/>
      <c r="CC546" s="153"/>
      <c r="CD546" s="153"/>
      <c r="CE546" s="153"/>
      <c r="CF546" s="153"/>
      <c r="CG546" s="153"/>
      <c r="CH546" s="153"/>
      <c r="CI546" s="153"/>
      <c r="CJ546" s="153"/>
      <c r="CK546" s="153"/>
      <c r="CL546" s="153"/>
      <c r="CM546" s="153"/>
      <c r="CN546" s="153"/>
      <c r="CO546" s="153"/>
      <c r="CP546" s="153"/>
      <c r="CQ546" s="153"/>
      <c r="CR546" s="153"/>
      <c r="CS546" s="153"/>
      <c r="CT546" s="153"/>
      <c r="CU546" s="153"/>
      <c r="CV546" s="153"/>
      <c r="CW546" s="153"/>
      <c r="CX546" s="153"/>
      <c r="CY546" s="153"/>
      <c r="CZ546" s="153"/>
      <c r="DA546" s="153"/>
      <c r="DB546" s="153"/>
      <c r="DC546" s="153"/>
      <c r="DD546" s="153"/>
      <c r="DE546" s="153"/>
      <c r="DF546" s="153"/>
      <c r="DG546" s="153"/>
      <c r="DH546" s="153"/>
      <c r="DI546" s="153"/>
      <c r="DJ546" s="153"/>
      <c r="DK546" s="153"/>
      <c r="DL546" s="153"/>
      <c r="DM546" s="153"/>
      <c r="DN546" s="153"/>
      <c r="DO546" s="153"/>
      <c r="DP546" s="153"/>
      <c r="DQ546" s="153"/>
      <c r="DR546" s="153"/>
      <c r="DS546" s="153"/>
      <c r="DT546" s="153"/>
      <c r="DU546" s="153"/>
      <c r="DV546" s="153"/>
      <c r="DW546" s="153"/>
      <c r="DX546" s="153"/>
      <c r="DY546" s="153"/>
      <c r="DZ546" s="153"/>
      <c r="EA546" s="153"/>
      <c r="EB546" s="153"/>
      <c r="EC546" s="153"/>
      <c r="ED546" s="153"/>
      <c r="EE546" s="153"/>
      <c r="EF546" s="153"/>
      <c r="EG546" s="153"/>
      <c r="EH546" s="153"/>
      <c r="EI546" s="153"/>
      <c r="EJ546" s="153"/>
      <c r="EK546" s="153"/>
      <c r="EL546" s="153"/>
      <c r="EM546" s="153"/>
    </row>
    <row r="547" spans="2:143" s="107" customFormat="1" ht="10.5" customHeight="1">
      <c r="B547" s="1549"/>
      <c r="T547" s="156"/>
      <c r="AR547" s="153"/>
      <c r="AS547" s="153"/>
      <c r="AT547" s="153"/>
      <c r="AU547" s="153"/>
      <c r="AV547" s="153"/>
      <c r="AW547" s="153"/>
      <c r="AX547" s="153"/>
      <c r="AY547" s="153"/>
      <c r="AZ547" s="153"/>
      <c r="BA547" s="153"/>
      <c r="BB547" s="153"/>
      <c r="BC547" s="153"/>
      <c r="BD547" s="153"/>
      <c r="BE547" s="153"/>
      <c r="BF547" s="153"/>
      <c r="BG547" s="153"/>
      <c r="BH547" s="153"/>
      <c r="BI547" s="153"/>
      <c r="BJ547" s="153"/>
      <c r="BK547" s="153"/>
      <c r="BL547" s="153"/>
      <c r="BM547" s="153"/>
      <c r="BN547" s="153"/>
      <c r="BO547" s="153"/>
      <c r="BP547" s="153"/>
      <c r="BQ547" s="153"/>
      <c r="BR547" s="153"/>
      <c r="BS547" s="153"/>
      <c r="BT547" s="153"/>
      <c r="BU547" s="153"/>
      <c r="BV547" s="153"/>
      <c r="BW547" s="153"/>
      <c r="BX547" s="153"/>
      <c r="BY547" s="153"/>
      <c r="BZ547" s="153"/>
      <c r="CA547" s="153"/>
      <c r="CB547" s="153"/>
      <c r="CC547" s="153"/>
      <c r="CD547" s="153"/>
      <c r="CE547" s="153"/>
      <c r="CF547" s="153"/>
      <c r="CG547" s="153"/>
      <c r="CH547" s="153"/>
      <c r="CI547" s="153"/>
      <c r="CJ547" s="153"/>
      <c r="CK547" s="153"/>
      <c r="CL547" s="153"/>
      <c r="CM547" s="153"/>
      <c r="CN547" s="153"/>
      <c r="CO547" s="153"/>
      <c r="CP547" s="153"/>
      <c r="CQ547" s="153"/>
      <c r="CR547" s="153"/>
      <c r="CS547" s="153"/>
      <c r="CT547" s="153"/>
      <c r="CU547" s="153"/>
      <c r="CV547" s="153"/>
      <c r="CW547" s="153"/>
      <c r="CX547" s="153"/>
      <c r="CY547" s="153"/>
      <c r="CZ547" s="153"/>
      <c r="DA547" s="153"/>
      <c r="DB547" s="153"/>
      <c r="DC547" s="153"/>
      <c r="DD547" s="153"/>
      <c r="DE547" s="153"/>
      <c r="DF547" s="153"/>
      <c r="DG547" s="153"/>
      <c r="DH547" s="153"/>
      <c r="DI547" s="153"/>
      <c r="DJ547" s="153"/>
      <c r="DK547" s="153"/>
      <c r="DL547" s="153"/>
      <c r="DM547" s="153"/>
      <c r="DN547" s="153"/>
      <c r="DO547" s="153"/>
      <c r="DP547" s="153"/>
      <c r="DQ547" s="153"/>
      <c r="DR547" s="153"/>
      <c r="DS547" s="153"/>
      <c r="DT547" s="153"/>
      <c r="DU547" s="153"/>
      <c r="DV547" s="153"/>
      <c r="DW547" s="153"/>
      <c r="DX547" s="153"/>
      <c r="DY547" s="153"/>
      <c r="DZ547" s="153"/>
      <c r="EA547" s="153"/>
      <c r="EB547" s="153"/>
      <c r="EC547" s="153"/>
      <c r="ED547" s="153"/>
      <c r="EE547" s="153"/>
      <c r="EF547" s="153"/>
      <c r="EG547" s="153"/>
      <c r="EH547" s="153"/>
      <c r="EI547" s="153"/>
      <c r="EJ547" s="153"/>
      <c r="EK547" s="153"/>
      <c r="EL547" s="153"/>
      <c r="EM547" s="153"/>
    </row>
    <row r="548" spans="2:143" s="107" customFormat="1" ht="10.5" customHeight="1">
      <c r="B548" s="1549"/>
      <c r="T548" s="156"/>
      <c r="AR548" s="153"/>
      <c r="AS548" s="153"/>
      <c r="AT548" s="153"/>
      <c r="AU548" s="153"/>
      <c r="AV548" s="153"/>
      <c r="AW548" s="153"/>
      <c r="AX548" s="153"/>
      <c r="AY548" s="153"/>
      <c r="AZ548" s="153"/>
      <c r="BA548" s="153"/>
      <c r="BB548" s="153"/>
      <c r="BC548" s="153"/>
      <c r="BD548" s="153"/>
      <c r="BE548" s="153"/>
      <c r="BF548" s="153"/>
      <c r="BG548" s="153"/>
      <c r="BH548" s="153"/>
      <c r="BI548" s="153"/>
      <c r="BJ548" s="153"/>
      <c r="BK548" s="153"/>
      <c r="BL548" s="153"/>
      <c r="BM548" s="153"/>
      <c r="BN548" s="153"/>
      <c r="BO548" s="153"/>
      <c r="BP548" s="153"/>
      <c r="BQ548" s="153"/>
      <c r="BR548" s="153"/>
      <c r="BS548" s="153"/>
      <c r="BT548" s="153"/>
      <c r="BU548" s="153"/>
      <c r="BV548" s="153"/>
      <c r="BW548" s="153"/>
      <c r="BX548" s="153"/>
      <c r="BY548" s="153"/>
      <c r="BZ548" s="153"/>
      <c r="CA548" s="153"/>
      <c r="CB548" s="153"/>
      <c r="CC548" s="153"/>
      <c r="CD548" s="153"/>
      <c r="CE548" s="153"/>
      <c r="CF548" s="153"/>
      <c r="CG548" s="153"/>
      <c r="CH548" s="153"/>
      <c r="CI548" s="153"/>
      <c r="CJ548" s="153"/>
      <c r="CK548" s="153"/>
      <c r="CL548" s="153"/>
      <c r="CM548" s="153"/>
      <c r="CN548" s="153"/>
      <c r="CO548" s="153"/>
      <c r="CP548" s="153"/>
      <c r="CQ548" s="153"/>
      <c r="CR548" s="153"/>
      <c r="CS548" s="153"/>
      <c r="CT548" s="153"/>
      <c r="CU548" s="153"/>
      <c r="CV548" s="153"/>
      <c r="CW548" s="153"/>
      <c r="CX548" s="153"/>
      <c r="CY548" s="153"/>
      <c r="CZ548" s="153"/>
      <c r="DA548" s="153"/>
      <c r="DB548" s="153"/>
      <c r="DC548" s="153"/>
      <c r="DD548" s="153"/>
      <c r="DE548" s="153"/>
      <c r="DF548" s="153"/>
      <c r="DG548" s="153"/>
      <c r="DH548" s="153"/>
      <c r="DI548" s="153"/>
      <c r="DJ548" s="153"/>
      <c r="DK548" s="153"/>
      <c r="DL548" s="153"/>
      <c r="DM548" s="153"/>
      <c r="DN548" s="153"/>
      <c r="DO548" s="153"/>
      <c r="DP548" s="153"/>
      <c r="DQ548" s="153"/>
      <c r="DR548" s="153"/>
      <c r="DS548" s="153"/>
      <c r="DT548" s="153"/>
      <c r="DU548" s="153"/>
      <c r="DV548" s="153"/>
      <c r="DW548" s="153"/>
      <c r="DX548" s="153"/>
      <c r="DY548" s="153"/>
      <c r="DZ548" s="153"/>
      <c r="EA548" s="153"/>
      <c r="EB548" s="153"/>
      <c r="EC548" s="153"/>
      <c r="ED548" s="153"/>
      <c r="EE548" s="153"/>
      <c r="EF548" s="153"/>
      <c r="EG548" s="153"/>
      <c r="EH548" s="153"/>
      <c r="EI548" s="153"/>
      <c r="EJ548" s="153"/>
      <c r="EK548" s="153"/>
      <c r="EL548" s="153"/>
      <c r="EM548" s="153"/>
    </row>
    <row r="549" spans="2:143" s="107" customFormat="1" ht="10.5" customHeight="1">
      <c r="B549" s="1549"/>
      <c r="T549" s="156"/>
      <c r="AR549" s="153"/>
      <c r="AS549" s="153"/>
      <c r="AT549" s="153"/>
      <c r="AU549" s="153"/>
      <c r="AV549" s="153"/>
      <c r="AW549" s="153"/>
      <c r="AX549" s="153"/>
      <c r="AY549" s="153"/>
      <c r="AZ549" s="153"/>
      <c r="BA549" s="153"/>
      <c r="BB549" s="153"/>
      <c r="BC549" s="153"/>
      <c r="BD549" s="153"/>
      <c r="BE549" s="153"/>
      <c r="BF549" s="153"/>
      <c r="BG549" s="153"/>
      <c r="BH549" s="153"/>
      <c r="BI549" s="153"/>
      <c r="BJ549" s="153"/>
      <c r="BK549" s="153"/>
      <c r="BL549" s="153"/>
      <c r="BM549" s="153"/>
      <c r="BN549" s="153"/>
      <c r="BO549" s="153"/>
      <c r="BP549" s="153"/>
      <c r="BQ549" s="153"/>
      <c r="BR549" s="153"/>
      <c r="BS549" s="153"/>
      <c r="BT549" s="153"/>
      <c r="BU549" s="153"/>
      <c r="BV549" s="153"/>
      <c r="BW549" s="153"/>
      <c r="BX549" s="153"/>
      <c r="BY549" s="153"/>
      <c r="BZ549" s="153"/>
      <c r="CA549" s="153"/>
      <c r="CB549" s="153"/>
      <c r="CC549" s="153"/>
      <c r="CD549" s="153"/>
      <c r="CE549" s="153"/>
      <c r="CF549" s="153"/>
      <c r="CG549" s="153"/>
      <c r="CH549" s="153"/>
      <c r="CI549" s="153"/>
      <c r="CJ549" s="153"/>
      <c r="CK549" s="153"/>
      <c r="CL549" s="153"/>
      <c r="CM549" s="153"/>
      <c r="CN549" s="153"/>
      <c r="CO549" s="153"/>
      <c r="CP549" s="153"/>
      <c r="CQ549" s="153"/>
      <c r="CR549" s="153"/>
      <c r="CS549" s="153"/>
      <c r="CT549" s="153"/>
      <c r="CU549" s="153"/>
      <c r="CV549" s="153"/>
      <c r="CW549" s="153"/>
      <c r="CX549" s="153"/>
      <c r="CY549" s="153"/>
      <c r="CZ549" s="153"/>
      <c r="DA549" s="153"/>
      <c r="DB549" s="153"/>
      <c r="DC549" s="153"/>
      <c r="DD549" s="153"/>
      <c r="DE549" s="153"/>
      <c r="DF549" s="153"/>
      <c r="DG549" s="153"/>
      <c r="DH549" s="153"/>
      <c r="DI549" s="153"/>
      <c r="DJ549" s="153"/>
      <c r="DK549" s="153"/>
      <c r="DL549" s="153"/>
      <c r="DM549" s="153"/>
      <c r="DN549" s="153"/>
      <c r="DO549" s="153"/>
      <c r="DP549" s="153"/>
      <c r="DQ549" s="153"/>
      <c r="DR549" s="153"/>
      <c r="DS549" s="153"/>
      <c r="DT549" s="153"/>
      <c r="DU549" s="153"/>
      <c r="DV549" s="153"/>
      <c r="DW549" s="153"/>
      <c r="DX549" s="153"/>
      <c r="DY549" s="153"/>
      <c r="DZ549" s="153"/>
      <c r="EA549" s="153"/>
      <c r="EB549" s="153"/>
      <c r="EC549" s="153"/>
      <c r="ED549" s="153"/>
      <c r="EE549" s="153"/>
      <c r="EF549" s="153"/>
      <c r="EG549" s="153"/>
      <c r="EH549" s="153"/>
      <c r="EI549" s="153"/>
      <c r="EJ549" s="153"/>
      <c r="EK549" s="153"/>
      <c r="EL549" s="153"/>
      <c r="EM549" s="153"/>
    </row>
    <row r="550" spans="2:143" s="107" customFormat="1" ht="10.5" customHeight="1">
      <c r="B550" s="1549"/>
      <c r="T550" s="156"/>
      <c r="AR550" s="153"/>
      <c r="AS550" s="153"/>
      <c r="AT550" s="153"/>
      <c r="AU550" s="153"/>
      <c r="AV550" s="153"/>
      <c r="AW550" s="153"/>
      <c r="AX550" s="153"/>
      <c r="AY550" s="153"/>
      <c r="AZ550" s="153"/>
      <c r="BA550" s="153"/>
      <c r="BB550" s="153"/>
      <c r="BC550" s="153"/>
      <c r="BD550" s="153"/>
      <c r="BE550" s="153"/>
      <c r="BF550" s="153"/>
      <c r="BG550" s="153"/>
      <c r="BH550" s="153"/>
      <c r="BI550" s="153"/>
      <c r="BJ550" s="153"/>
      <c r="BK550" s="153"/>
      <c r="BL550" s="153"/>
      <c r="BM550" s="153"/>
      <c r="BN550" s="153"/>
      <c r="BO550" s="153"/>
      <c r="BP550" s="153"/>
      <c r="BQ550" s="153"/>
      <c r="BR550" s="153"/>
      <c r="BS550" s="153"/>
      <c r="BT550" s="153"/>
      <c r="BU550" s="153"/>
      <c r="BV550" s="153"/>
      <c r="BW550" s="153"/>
      <c r="BX550" s="153"/>
      <c r="BY550" s="153"/>
      <c r="BZ550" s="153"/>
      <c r="CA550" s="153"/>
      <c r="CB550" s="153"/>
      <c r="CC550" s="153"/>
      <c r="CD550" s="153"/>
      <c r="CE550" s="153"/>
      <c r="CF550" s="153"/>
      <c r="CG550" s="153"/>
      <c r="CH550" s="153"/>
      <c r="CI550" s="153"/>
      <c r="CJ550" s="153"/>
      <c r="CK550" s="153"/>
      <c r="CL550" s="153"/>
      <c r="CM550" s="153"/>
      <c r="CN550" s="153"/>
      <c r="CO550" s="153"/>
      <c r="CP550" s="153"/>
      <c r="CQ550" s="153"/>
      <c r="CR550" s="153"/>
      <c r="CS550" s="153"/>
      <c r="CT550" s="153"/>
      <c r="CU550" s="153"/>
      <c r="CV550" s="153"/>
      <c r="CW550" s="153"/>
      <c r="CX550" s="153"/>
      <c r="CY550" s="153"/>
      <c r="CZ550" s="153"/>
      <c r="DA550" s="153"/>
      <c r="DB550" s="153"/>
      <c r="DC550" s="153"/>
      <c r="DD550" s="153"/>
      <c r="DE550" s="153"/>
      <c r="DF550" s="153"/>
      <c r="DG550" s="153"/>
      <c r="DH550" s="153"/>
      <c r="DI550" s="153"/>
      <c r="DJ550" s="153"/>
      <c r="DK550" s="153"/>
      <c r="DL550" s="153"/>
      <c r="DM550" s="153"/>
      <c r="DN550" s="153"/>
      <c r="DO550" s="153"/>
      <c r="DP550" s="153"/>
      <c r="DQ550" s="153"/>
      <c r="DR550" s="153"/>
      <c r="DS550" s="153"/>
      <c r="DT550" s="153"/>
      <c r="DU550" s="153"/>
      <c r="DV550" s="153"/>
      <c r="DW550" s="153"/>
      <c r="DX550" s="153"/>
      <c r="DY550" s="153"/>
      <c r="DZ550" s="153"/>
      <c r="EA550" s="153"/>
      <c r="EB550" s="153"/>
      <c r="EC550" s="153"/>
      <c r="ED550" s="153"/>
      <c r="EE550" s="153"/>
      <c r="EF550" s="153"/>
      <c r="EG550" s="153"/>
      <c r="EH550" s="153"/>
      <c r="EI550" s="153"/>
      <c r="EJ550" s="153"/>
      <c r="EK550" s="153"/>
      <c r="EL550" s="153"/>
      <c r="EM550" s="153"/>
    </row>
    <row r="551" spans="2:143" s="107" customFormat="1" ht="10.5" customHeight="1">
      <c r="B551" s="1549"/>
      <c r="T551" s="156"/>
      <c r="AR551" s="153"/>
      <c r="AS551" s="153"/>
      <c r="AT551" s="153"/>
      <c r="AU551" s="153"/>
      <c r="AV551" s="153"/>
      <c r="AW551" s="153"/>
      <c r="AX551" s="153"/>
      <c r="AY551" s="153"/>
      <c r="AZ551" s="153"/>
      <c r="BA551" s="153"/>
      <c r="BB551" s="153"/>
      <c r="BC551" s="153"/>
      <c r="BD551" s="153"/>
      <c r="BE551" s="153"/>
      <c r="BF551" s="153"/>
      <c r="BG551" s="153"/>
      <c r="BH551" s="153"/>
      <c r="BI551" s="153"/>
      <c r="BJ551" s="153"/>
      <c r="BK551" s="153"/>
      <c r="BL551" s="153"/>
      <c r="BM551" s="153"/>
      <c r="BN551" s="153"/>
      <c r="BO551" s="153"/>
      <c r="BP551" s="153"/>
      <c r="BQ551" s="153"/>
      <c r="BR551" s="153"/>
      <c r="BS551" s="153"/>
      <c r="BT551" s="153"/>
      <c r="BU551" s="153"/>
      <c r="BV551" s="153"/>
      <c r="BW551" s="153"/>
      <c r="BX551" s="153"/>
      <c r="BY551" s="153"/>
      <c r="BZ551" s="153"/>
      <c r="CA551" s="153"/>
      <c r="CB551" s="153"/>
      <c r="CC551" s="153"/>
      <c r="CD551" s="153"/>
      <c r="CE551" s="153"/>
      <c r="CF551" s="153"/>
      <c r="CG551" s="153"/>
      <c r="CH551" s="153"/>
      <c r="CI551" s="153"/>
      <c r="CJ551" s="153"/>
      <c r="CK551" s="153"/>
      <c r="CL551" s="153"/>
      <c r="CM551" s="153"/>
      <c r="CN551" s="153"/>
      <c r="CO551" s="153"/>
      <c r="CP551" s="153"/>
      <c r="CQ551" s="153"/>
      <c r="CR551" s="153"/>
      <c r="CS551" s="153"/>
      <c r="CT551" s="153"/>
      <c r="CU551" s="153"/>
      <c r="CV551" s="153"/>
      <c r="CW551" s="153"/>
      <c r="CX551" s="153"/>
      <c r="CY551" s="153"/>
      <c r="CZ551" s="153"/>
      <c r="DA551" s="153"/>
      <c r="DB551" s="153"/>
      <c r="DC551" s="153"/>
      <c r="DD551" s="153"/>
      <c r="DE551" s="153"/>
      <c r="DF551" s="153"/>
      <c r="DG551" s="153"/>
      <c r="DH551" s="153"/>
      <c r="DI551" s="153"/>
      <c r="DJ551" s="153"/>
      <c r="DK551" s="153"/>
      <c r="DL551" s="153"/>
      <c r="DM551" s="153"/>
      <c r="DN551" s="153"/>
      <c r="DO551" s="153"/>
      <c r="DP551" s="153"/>
      <c r="DQ551" s="153"/>
      <c r="DR551" s="153"/>
      <c r="DS551" s="153"/>
      <c r="DT551" s="153"/>
      <c r="DU551" s="153"/>
      <c r="DV551" s="153"/>
      <c r="DW551" s="153"/>
      <c r="DX551" s="153"/>
      <c r="DY551" s="153"/>
      <c r="DZ551" s="153"/>
      <c r="EA551" s="153"/>
      <c r="EB551" s="153"/>
      <c r="EC551" s="153"/>
      <c r="ED551" s="153"/>
      <c r="EE551" s="153"/>
      <c r="EF551" s="153"/>
      <c r="EG551" s="153"/>
      <c r="EH551" s="153"/>
      <c r="EI551" s="153"/>
      <c r="EJ551" s="153"/>
      <c r="EK551" s="153"/>
      <c r="EL551" s="153"/>
      <c r="EM551" s="153"/>
    </row>
    <row r="552" spans="2:143" s="107" customFormat="1" ht="10.5" customHeight="1">
      <c r="B552" s="1549"/>
      <c r="T552" s="156"/>
      <c r="AR552" s="153"/>
      <c r="AS552" s="153"/>
      <c r="AT552" s="153"/>
      <c r="AU552" s="153"/>
      <c r="AV552" s="153"/>
      <c r="AW552" s="153"/>
      <c r="AX552" s="153"/>
      <c r="AY552" s="153"/>
      <c r="AZ552" s="153"/>
      <c r="BA552" s="153"/>
      <c r="BB552" s="153"/>
      <c r="BC552" s="153"/>
      <c r="BD552" s="153"/>
      <c r="BE552" s="153"/>
      <c r="BF552" s="153"/>
      <c r="BG552" s="153"/>
      <c r="BH552" s="153"/>
      <c r="BI552" s="153"/>
      <c r="BJ552" s="153"/>
      <c r="BK552" s="153"/>
      <c r="BL552" s="153"/>
      <c r="BM552" s="153"/>
      <c r="BN552" s="153"/>
      <c r="BO552" s="153"/>
      <c r="BP552" s="153"/>
      <c r="BQ552" s="153"/>
      <c r="BR552" s="153"/>
      <c r="BS552" s="153"/>
      <c r="BT552" s="153"/>
      <c r="BU552" s="153"/>
      <c r="BV552" s="153"/>
      <c r="BW552" s="153"/>
      <c r="BX552" s="153"/>
      <c r="BY552" s="153"/>
      <c r="BZ552" s="153"/>
      <c r="CA552" s="153"/>
      <c r="CB552" s="153"/>
      <c r="CC552" s="153"/>
      <c r="CD552" s="153"/>
      <c r="CE552" s="153"/>
      <c r="CF552" s="153"/>
      <c r="CG552" s="153"/>
      <c r="CH552" s="153"/>
      <c r="CI552" s="153"/>
      <c r="CJ552" s="153"/>
      <c r="CK552" s="153"/>
      <c r="CL552" s="153"/>
      <c r="CM552" s="153"/>
      <c r="CN552" s="153"/>
      <c r="CO552" s="153"/>
      <c r="CP552" s="153"/>
      <c r="CQ552" s="153"/>
      <c r="CR552" s="153"/>
      <c r="CS552" s="153"/>
      <c r="CT552" s="153"/>
      <c r="CU552" s="153"/>
      <c r="CV552" s="153"/>
      <c r="CW552" s="153"/>
      <c r="CX552" s="153"/>
      <c r="CY552" s="153"/>
      <c r="CZ552" s="153"/>
      <c r="DA552" s="153"/>
      <c r="DB552" s="153"/>
      <c r="DC552" s="153"/>
      <c r="DD552" s="153"/>
      <c r="DE552" s="153"/>
      <c r="DF552" s="153"/>
      <c r="DG552" s="153"/>
      <c r="DH552" s="153"/>
      <c r="DI552" s="153"/>
      <c r="DJ552" s="153"/>
      <c r="DK552" s="153"/>
      <c r="DL552" s="153"/>
      <c r="DM552" s="153"/>
      <c r="DN552" s="153"/>
      <c r="DO552" s="153"/>
      <c r="DP552" s="153"/>
      <c r="DQ552" s="153"/>
      <c r="DR552" s="153"/>
      <c r="DS552" s="153"/>
      <c r="DT552" s="153"/>
      <c r="DU552" s="153"/>
      <c r="DV552" s="153"/>
      <c r="DW552" s="153"/>
      <c r="DX552" s="153"/>
      <c r="DY552" s="153"/>
      <c r="DZ552" s="153"/>
      <c r="EA552" s="153"/>
      <c r="EB552" s="153"/>
      <c r="EC552" s="153"/>
      <c r="ED552" s="153"/>
      <c r="EE552" s="153"/>
      <c r="EF552" s="153"/>
      <c r="EG552" s="153"/>
      <c r="EH552" s="153"/>
      <c r="EI552" s="153"/>
      <c r="EJ552" s="153"/>
      <c r="EK552" s="153"/>
      <c r="EL552" s="153"/>
      <c r="EM552" s="153"/>
    </row>
    <row r="553" spans="2:143" s="107" customFormat="1" ht="10.5" customHeight="1">
      <c r="B553" s="1549"/>
      <c r="T553" s="156"/>
      <c r="AR553" s="153"/>
      <c r="AS553" s="153"/>
      <c r="AT553" s="153"/>
      <c r="AU553" s="153"/>
      <c r="AV553" s="153"/>
      <c r="AW553" s="153"/>
      <c r="AX553" s="153"/>
      <c r="AY553" s="153"/>
      <c r="AZ553" s="153"/>
      <c r="BA553" s="153"/>
      <c r="BB553" s="153"/>
      <c r="BC553" s="153"/>
      <c r="BD553" s="153"/>
      <c r="BE553" s="153"/>
      <c r="BF553" s="153"/>
      <c r="BG553" s="153"/>
      <c r="BH553" s="153"/>
      <c r="BI553" s="153"/>
      <c r="BJ553" s="153"/>
      <c r="BK553" s="153"/>
      <c r="BL553" s="153"/>
      <c r="BM553" s="153"/>
      <c r="BN553" s="153"/>
      <c r="BO553" s="153"/>
      <c r="BP553" s="153"/>
      <c r="BQ553" s="153"/>
      <c r="BR553" s="153"/>
      <c r="BS553" s="153"/>
      <c r="BT553" s="153"/>
      <c r="BU553" s="153"/>
      <c r="BV553" s="153"/>
      <c r="BW553" s="153"/>
      <c r="BX553" s="153"/>
      <c r="BY553" s="153"/>
      <c r="BZ553" s="153"/>
      <c r="CA553" s="153"/>
      <c r="CB553" s="153"/>
      <c r="CC553" s="153"/>
      <c r="CD553" s="153"/>
      <c r="CE553" s="153"/>
      <c r="CF553" s="153"/>
      <c r="CG553" s="153"/>
      <c r="CH553" s="153"/>
      <c r="CI553" s="153"/>
      <c r="CJ553" s="153"/>
      <c r="CK553" s="153"/>
      <c r="CL553" s="153"/>
      <c r="CM553" s="153"/>
      <c r="CN553" s="153"/>
      <c r="CO553" s="153"/>
      <c r="CP553" s="153"/>
      <c r="CQ553" s="153"/>
      <c r="CR553" s="153"/>
      <c r="CS553" s="153"/>
      <c r="CT553" s="153"/>
      <c r="CU553" s="153"/>
      <c r="CV553" s="153"/>
      <c r="CW553" s="153"/>
      <c r="CX553" s="153"/>
      <c r="CY553" s="153"/>
      <c r="CZ553" s="153"/>
      <c r="DA553" s="153"/>
      <c r="DB553" s="153"/>
      <c r="DC553" s="153"/>
      <c r="DD553" s="153"/>
      <c r="DE553" s="153"/>
      <c r="DF553" s="153"/>
      <c r="DG553" s="153"/>
      <c r="DH553" s="153"/>
      <c r="DI553" s="153"/>
      <c r="DJ553" s="153"/>
      <c r="DK553" s="153"/>
      <c r="DL553" s="153"/>
      <c r="DM553" s="153"/>
      <c r="DN553" s="153"/>
      <c r="DO553" s="153"/>
      <c r="DP553" s="153"/>
      <c r="DQ553" s="153"/>
      <c r="DR553" s="153"/>
      <c r="DS553" s="153"/>
      <c r="DT553" s="153"/>
      <c r="DU553" s="153"/>
      <c r="DV553" s="153"/>
      <c r="DW553" s="153"/>
      <c r="DX553" s="153"/>
      <c r="DY553" s="153"/>
      <c r="DZ553" s="153"/>
      <c r="EA553" s="153"/>
      <c r="EB553" s="153"/>
      <c r="EC553" s="153"/>
      <c r="ED553" s="153"/>
      <c r="EE553" s="153"/>
      <c r="EF553" s="153"/>
      <c r="EG553" s="153"/>
      <c r="EH553" s="153"/>
      <c r="EI553" s="153"/>
      <c r="EJ553" s="153"/>
      <c r="EK553" s="153"/>
      <c r="EL553" s="153"/>
      <c r="EM553" s="153"/>
    </row>
    <row r="554" spans="2:143" s="107" customFormat="1" ht="10.5" customHeight="1">
      <c r="B554" s="1549"/>
      <c r="T554" s="156"/>
      <c r="AR554" s="153"/>
      <c r="AS554" s="153"/>
      <c r="AT554" s="153"/>
      <c r="AU554" s="153"/>
      <c r="AV554" s="153"/>
      <c r="AW554" s="153"/>
      <c r="AX554" s="153"/>
      <c r="AY554" s="153"/>
      <c r="AZ554" s="153"/>
      <c r="BA554" s="153"/>
      <c r="BB554" s="153"/>
      <c r="BC554" s="153"/>
      <c r="BD554" s="153"/>
      <c r="BE554" s="153"/>
      <c r="BF554" s="153"/>
      <c r="BG554" s="153"/>
      <c r="BH554" s="153"/>
      <c r="BI554" s="153"/>
      <c r="BJ554" s="153"/>
      <c r="BK554" s="153"/>
      <c r="BL554" s="153"/>
      <c r="BM554" s="153"/>
      <c r="BN554" s="153"/>
      <c r="BO554" s="153"/>
      <c r="BP554" s="153"/>
      <c r="BQ554" s="153"/>
      <c r="BR554" s="153"/>
      <c r="BS554" s="153"/>
      <c r="BT554" s="153"/>
      <c r="BU554" s="153"/>
      <c r="BV554" s="153"/>
      <c r="BW554" s="153"/>
      <c r="BX554" s="153"/>
      <c r="BY554" s="153"/>
      <c r="BZ554" s="153"/>
      <c r="CA554" s="153"/>
      <c r="CB554" s="153"/>
      <c r="CC554" s="153"/>
      <c r="CD554" s="153"/>
      <c r="CE554" s="153"/>
      <c r="CF554" s="153"/>
      <c r="CG554" s="153"/>
      <c r="CH554" s="153"/>
      <c r="CI554" s="153"/>
      <c r="CJ554" s="153"/>
      <c r="CK554" s="153"/>
      <c r="CL554" s="153"/>
      <c r="CM554" s="153"/>
      <c r="CN554" s="153"/>
      <c r="CO554" s="153"/>
      <c r="CP554" s="153"/>
      <c r="CQ554" s="153"/>
      <c r="CR554" s="153"/>
      <c r="CS554" s="153"/>
      <c r="CT554" s="153"/>
      <c r="CU554" s="153"/>
      <c r="CV554" s="153"/>
      <c r="CW554" s="153"/>
      <c r="CX554" s="153"/>
      <c r="CY554" s="153"/>
      <c r="CZ554" s="153"/>
      <c r="DA554" s="153"/>
      <c r="DB554" s="153"/>
      <c r="DC554" s="153"/>
      <c r="DD554" s="153"/>
      <c r="DE554" s="153"/>
      <c r="DF554" s="153"/>
      <c r="DG554" s="153"/>
      <c r="DH554" s="153"/>
      <c r="DI554" s="153"/>
      <c r="DJ554" s="153"/>
      <c r="DK554" s="153"/>
      <c r="DL554" s="153"/>
      <c r="DM554" s="153"/>
      <c r="DN554" s="153"/>
      <c r="DO554" s="153"/>
      <c r="DP554" s="153"/>
      <c r="DQ554" s="153"/>
      <c r="DR554" s="153"/>
      <c r="DS554" s="153"/>
      <c r="DT554" s="153"/>
      <c r="DU554" s="153"/>
      <c r="DV554" s="153"/>
      <c r="DW554" s="153"/>
      <c r="DX554" s="153"/>
      <c r="DY554" s="153"/>
      <c r="DZ554" s="153"/>
      <c r="EA554" s="153"/>
      <c r="EB554" s="153"/>
      <c r="EC554" s="153"/>
      <c r="ED554" s="153"/>
      <c r="EE554" s="153"/>
      <c r="EF554" s="153"/>
      <c r="EG554" s="153"/>
      <c r="EH554" s="153"/>
      <c r="EI554" s="153"/>
      <c r="EJ554" s="153"/>
      <c r="EK554" s="153"/>
      <c r="EL554" s="153"/>
      <c r="EM554" s="153"/>
    </row>
    <row r="555" spans="2:143" s="107" customFormat="1" ht="10.5" customHeight="1">
      <c r="B555" s="1549"/>
      <c r="T555" s="156"/>
      <c r="AR555" s="153"/>
      <c r="AS555" s="153"/>
      <c r="AT555" s="153"/>
      <c r="AU555" s="153"/>
      <c r="AV555" s="153"/>
      <c r="AW555" s="153"/>
      <c r="AX555" s="153"/>
      <c r="AY555" s="153"/>
      <c r="AZ555" s="153"/>
      <c r="BA555" s="153"/>
      <c r="BB555" s="153"/>
      <c r="BC555" s="153"/>
      <c r="BD555" s="153"/>
      <c r="BE555" s="153"/>
      <c r="BF555" s="153"/>
      <c r="BG555" s="153"/>
      <c r="BH555" s="153"/>
      <c r="BI555" s="153"/>
      <c r="BJ555" s="153"/>
      <c r="BK555" s="153"/>
      <c r="BL555" s="153"/>
      <c r="BM555" s="153"/>
      <c r="BN555" s="153"/>
      <c r="BO555" s="153"/>
      <c r="BP555" s="153"/>
      <c r="BQ555" s="153"/>
      <c r="BR555" s="153"/>
      <c r="BS555" s="153"/>
      <c r="BT555" s="153"/>
      <c r="BU555" s="153"/>
      <c r="BV555" s="153"/>
      <c r="BW555" s="153"/>
      <c r="BX555" s="153"/>
      <c r="BY555" s="153"/>
      <c r="BZ555" s="153"/>
      <c r="CA555" s="153"/>
      <c r="CB555" s="153"/>
      <c r="CC555" s="153"/>
      <c r="CD555" s="153"/>
      <c r="CE555" s="153"/>
      <c r="CF555" s="153"/>
      <c r="CG555" s="153"/>
      <c r="CH555" s="153"/>
      <c r="CI555" s="153"/>
      <c r="CJ555" s="153"/>
      <c r="CK555" s="153"/>
      <c r="CL555" s="153"/>
      <c r="CM555" s="153"/>
      <c r="CN555" s="153"/>
      <c r="CO555" s="153"/>
      <c r="CP555" s="153"/>
      <c r="CQ555" s="153"/>
      <c r="CR555" s="153"/>
      <c r="CS555" s="153"/>
      <c r="CT555" s="153"/>
      <c r="CU555" s="153"/>
      <c r="CV555" s="153"/>
      <c r="CW555" s="153"/>
      <c r="CX555" s="153"/>
      <c r="CY555" s="153"/>
      <c r="CZ555" s="153"/>
      <c r="DA555" s="153"/>
      <c r="DB555" s="153"/>
      <c r="DC555" s="153"/>
      <c r="DD555" s="153"/>
      <c r="DE555" s="153"/>
      <c r="DF555" s="153"/>
      <c r="DG555" s="153"/>
      <c r="DH555" s="153"/>
      <c r="DI555" s="153"/>
      <c r="DJ555" s="153"/>
      <c r="DK555" s="153"/>
      <c r="DL555" s="153"/>
      <c r="DM555" s="153"/>
      <c r="DN555" s="153"/>
      <c r="DO555" s="153"/>
      <c r="DP555" s="153"/>
      <c r="DQ555" s="153"/>
      <c r="DR555" s="153"/>
      <c r="DS555" s="153"/>
      <c r="DT555" s="153"/>
      <c r="DU555" s="153"/>
      <c r="DV555" s="153"/>
      <c r="DW555" s="153"/>
      <c r="DX555" s="153"/>
      <c r="DY555" s="153"/>
      <c r="DZ555" s="153"/>
      <c r="EA555" s="153"/>
      <c r="EB555" s="153"/>
      <c r="EC555" s="153"/>
      <c r="ED555" s="153"/>
      <c r="EE555" s="153"/>
      <c r="EF555" s="153"/>
      <c r="EG555" s="153"/>
      <c r="EH555" s="153"/>
      <c r="EI555" s="153"/>
      <c r="EJ555" s="153"/>
      <c r="EK555" s="153"/>
      <c r="EL555" s="153"/>
      <c r="EM555" s="153"/>
    </row>
    <row r="556" spans="2:143" s="107" customFormat="1" ht="10.5" customHeight="1">
      <c r="B556" s="1549"/>
      <c r="T556" s="156"/>
      <c r="AR556" s="153"/>
      <c r="AS556" s="153"/>
      <c r="AT556" s="153"/>
      <c r="AU556" s="153"/>
      <c r="AV556" s="153"/>
      <c r="AW556" s="153"/>
      <c r="AX556" s="153"/>
      <c r="AY556" s="153"/>
      <c r="AZ556" s="153"/>
      <c r="BA556" s="153"/>
      <c r="BB556" s="153"/>
      <c r="BC556" s="153"/>
      <c r="BD556" s="153"/>
      <c r="BE556" s="153"/>
      <c r="BF556" s="153"/>
      <c r="BG556" s="153"/>
      <c r="BH556" s="153"/>
      <c r="BI556" s="153"/>
      <c r="BJ556" s="153"/>
      <c r="BK556" s="153"/>
      <c r="BL556" s="153"/>
      <c r="BM556" s="153"/>
      <c r="BN556" s="153"/>
      <c r="BO556" s="153"/>
      <c r="BP556" s="153"/>
      <c r="BQ556" s="153"/>
      <c r="BR556" s="153"/>
      <c r="BS556" s="153"/>
      <c r="BT556" s="153"/>
      <c r="BU556" s="153"/>
      <c r="BV556" s="153"/>
      <c r="BW556" s="153"/>
      <c r="BX556" s="153"/>
      <c r="BY556" s="153"/>
      <c r="BZ556" s="153"/>
      <c r="CA556" s="153"/>
      <c r="CB556" s="153"/>
      <c r="CC556" s="153"/>
      <c r="CD556" s="153"/>
      <c r="CE556" s="153"/>
      <c r="CF556" s="153"/>
      <c r="CG556" s="153"/>
      <c r="CH556" s="153"/>
      <c r="CI556" s="153"/>
      <c r="CJ556" s="153"/>
      <c r="CK556" s="153"/>
      <c r="CL556" s="153"/>
      <c r="CM556" s="153"/>
      <c r="CN556" s="153"/>
      <c r="CO556" s="153"/>
      <c r="CP556" s="153"/>
      <c r="CQ556" s="153"/>
      <c r="CR556" s="153"/>
      <c r="CS556" s="153"/>
      <c r="CT556" s="153"/>
      <c r="CU556" s="153"/>
      <c r="CV556" s="153"/>
      <c r="CW556" s="153"/>
      <c r="CX556" s="153"/>
      <c r="CY556" s="153"/>
      <c r="CZ556" s="153"/>
      <c r="DA556" s="153"/>
      <c r="DB556" s="153"/>
      <c r="DC556" s="153"/>
      <c r="DD556" s="153"/>
      <c r="DE556" s="153"/>
      <c r="DF556" s="153"/>
      <c r="DG556" s="153"/>
      <c r="DH556" s="153"/>
      <c r="DI556" s="153"/>
      <c r="DJ556" s="153"/>
      <c r="DK556" s="153"/>
      <c r="DL556" s="153"/>
      <c r="DM556" s="153"/>
      <c r="DN556" s="153"/>
      <c r="DO556" s="153"/>
      <c r="DP556" s="153"/>
      <c r="DQ556" s="153"/>
      <c r="DR556" s="153"/>
      <c r="DS556" s="153"/>
      <c r="DT556" s="153"/>
      <c r="DU556" s="153"/>
      <c r="DV556" s="153"/>
      <c r="DW556" s="153"/>
      <c r="DX556" s="153"/>
      <c r="DY556" s="153"/>
      <c r="DZ556" s="153"/>
      <c r="EA556" s="153"/>
      <c r="EB556" s="153"/>
      <c r="EC556" s="153"/>
      <c r="ED556" s="153"/>
      <c r="EE556" s="153"/>
      <c r="EF556" s="153"/>
      <c r="EG556" s="153"/>
      <c r="EH556" s="153"/>
      <c r="EI556" s="153"/>
      <c r="EJ556" s="153"/>
      <c r="EK556" s="153"/>
      <c r="EL556" s="153"/>
      <c r="EM556" s="153"/>
    </row>
    <row r="557" spans="2:143" s="107" customFormat="1" ht="10.5" customHeight="1">
      <c r="B557" s="1549"/>
      <c r="T557" s="156"/>
      <c r="AR557" s="153"/>
      <c r="AS557" s="153"/>
      <c r="AT557" s="153"/>
      <c r="AU557" s="153"/>
      <c r="AV557" s="153"/>
      <c r="AW557" s="153"/>
      <c r="AX557" s="153"/>
      <c r="AY557" s="153"/>
      <c r="AZ557" s="153"/>
      <c r="BA557" s="153"/>
      <c r="BB557" s="153"/>
      <c r="BC557" s="153"/>
      <c r="BD557" s="153"/>
      <c r="BE557" s="153"/>
      <c r="BF557" s="153"/>
      <c r="BG557" s="153"/>
      <c r="BH557" s="153"/>
      <c r="BI557" s="153"/>
      <c r="BJ557" s="153"/>
      <c r="BK557" s="153"/>
      <c r="BL557" s="153"/>
      <c r="BM557" s="153"/>
      <c r="BN557" s="153"/>
      <c r="BO557" s="153"/>
      <c r="BP557" s="153"/>
      <c r="BQ557" s="153"/>
      <c r="BR557" s="153"/>
      <c r="BS557" s="153"/>
      <c r="BT557" s="153"/>
      <c r="BU557" s="153"/>
      <c r="BV557" s="153"/>
      <c r="BW557" s="153"/>
      <c r="BX557" s="153"/>
      <c r="BY557" s="153"/>
      <c r="BZ557" s="153"/>
      <c r="CA557" s="153"/>
      <c r="CB557" s="153"/>
      <c r="CC557" s="153"/>
      <c r="CD557" s="153"/>
      <c r="CE557" s="153"/>
      <c r="CF557" s="153"/>
      <c r="CG557" s="153"/>
      <c r="CH557" s="153"/>
      <c r="CI557" s="153"/>
      <c r="CJ557" s="153"/>
      <c r="CK557" s="153"/>
      <c r="CL557" s="153"/>
      <c r="CM557" s="153"/>
      <c r="CN557" s="153"/>
      <c r="CO557" s="153"/>
      <c r="CP557" s="153"/>
      <c r="CQ557" s="153"/>
      <c r="CR557" s="153"/>
      <c r="CS557" s="153"/>
      <c r="CT557" s="153"/>
      <c r="CU557" s="153"/>
      <c r="CV557" s="153"/>
      <c r="CW557" s="153"/>
      <c r="CX557" s="153"/>
      <c r="CY557" s="153"/>
      <c r="CZ557" s="153"/>
      <c r="DA557" s="153"/>
      <c r="DB557" s="153"/>
      <c r="DC557" s="153"/>
      <c r="DD557" s="153"/>
      <c r="DE557" s="153"/>
      <c r="DF557" s="153"/>
      <c r="DG557" s="153"/>
      <c r="DH557" s="153"/>
      <c r="DI557" s="153"/>
      <c r="DJ557" s="153"/>
      <c r="DK557" s="153"/>
      <c r="DL557" s="153"/>
      <c r="DM557" s="153"/>
      <c r="DN557" s="153"/>
      <c r="DO557" s="153"/>
      <c r="DP557" s="153"/>
      <c r="DQ557" s="153"/>
      <c r="DR557" s="153"/>
      <c r="DS557" s="153"/>
      <c r="DT557" s="153"/>
      <c r="DU557" s="153"/>
      <c r="DV557" s="153"/>
      <c r="DW557" s="153"/>
      <c r="DX557" s="153"/>
      <c r="DY557" s="153"/>
      <c r="DZ557" s="153"/>
      <c r="EA557" s="153"/>
      <c r="EB557" s="153"/>
      <c r="EC557" s="153"/>
      <c r="ED557" s="153"/>
      <c r="EE557" s="153"/>
      <c r="EF557" s="153"/>
      <c r="EG557" s="153"/>
      <c r="EH557" s="153"/>
      <c r="EI557" s="153"/>
      <c r="EJ557" s="153"/>
      <c r="EK557" s="153"/>
      <c r="EL557" s="153"/>
      <c r="EM557" s="153"/>
    </row>
    <row r="558" spans="2:143" s="107" customFormat="1" ht="10.5" customHeight="1">
      <c r="B558" s="1549"/>
      <c r="T558" s="156"/>
      <c r="AR558" s="153"/>
      <c r="AS558" s="153"/>
      <c r="AT558" s="153"/>
      <c r="AU558" s="153"/>
      <c r="AV558" s="153"/>
      <c r="AW558" s="153"/>
      <c r="AX558" s="153"/>
      <c r="AY558" s="153"/>
      <c r="AZ558" s="153"/>
      <c r="BA558" s="153"/>
      <c r="BB558" s="153"/>
      <c r="BC558" s="153"/>
      <c r="BD558" s="153"/>
      <c r="BE558" s="153"/>
      <c r="BF558" s="153"/>
      <c r="BG558" s="153"/>
      <c r="BH558" s="153"/>
      <c r="BI558" s="153"/>
      <c r="BJ558" s="153"/>
      <c r="BK558" s="153"/>
      <c r="BL558" s="153"/>
      <c r="BM558" s="153"/>
      <c r="BN558" s="153"/>
      <c r="BO558" s="153"/>
      <c r="BP558" s="153"/>
      <c r="BQ558" s="153"/>
      <c r="BR558" s="153"/>
      <c r="BS558" s="153"/>
      <c r="BT558" s="153"/>
      <c r="BU558" s="153"/>
      <c r="BV558" s="153"/>
      <c r="BW558" s="153"/>
      <c r="BX558" s="153"/>
      <c r="BY558" s="153"/>
      <c r="BZ558" s="153"/>
      <c r="CA558" s="153"/>
      <c r="CB558" s="153"/>
      <c r="CC558" s="153"/>
      <c r="CD558" s="153"/>
      <c r="CE558" s="153"/>
      <c r="CF558" s="153"/>
      <c r="CG558" s="153"/>
      <c r="CH558" s="153"/>
      <c r="CI558" s="153"/>
      <c r="CJ558" s="153"/>
      <c r="CK558" s="153"/>
      <c r="CL558" s="153"/>
      <c r="CM558" s="153"/>
      <c r="CN558" s="153"/>
      <c r="CO558" s="153"/>
      <c r="CP558" s="153"/>
      <c r="CQ558" s="153"/>
      <c r="CR558" s="153"/>
      <c r="CS558" s="153"/>
      <c r="CT558" s="153"/>
      <c r="CU558" s="153"/>
      <c r="CV558" s="153"/>
      <c r="CW558" s="153"/>
      <c r="CX558" s="153"/>
      <c r="CY558" s="153"/>
      <c r="CZ558" s="153"/>
      <c r="DA558" s="153"/>
      <c r="DB558" s="153"/>
      <c r="DC558" s="153"/>
      <c r="DD558" s="153"/>
      <c r="DE558" s="153"/>
      <c r="DF558" s="153"/>
      <c r="DG558" s="153"/>
      <c r="DH558" s="153"/>
      <c r="DI558" s="153"/>
      <c r="DJ558" s="153"/>
      <c r="DK558" s="153"/>
      <c r="DL558" s="153"/>
      <c r="DM558" s="153"/>
      <c r="DN558" s="153"/>
      <c r="DO558" s="153"/>
      <c r="DP558" s="153"/>
      <c r="DQ558" s="153"/>
      <c r="DR558" s="153"/>
      <c r="DS558" s="153"/>
      <c r="DT558" s="153"/>
      <c r="DU558" s="153"/>
      <c r="DV558" s="153"/>
      <c r="DW558" s="153"/>
      <c r="DX558" s="153"/>
      <c r="DY558" s="153"/>
      <c r="DZ558" s="153"/>
      <c r="EA558" s="153"/>
      <c r="EB558" s="153"/>
      <c r="EC558" s="153"/>
      <c r="ED558" s="153"/>
      <c r="EE558" s="153"/>
      <c r="EF558" s="153"/>
      <c r="EG558" s="153"/>
      <c r="EH558" s="153"/>
      <c r="EI558" s="153"/>
      <c r="EJ558" s="153"/>
      <c r="EK558" s="153"/>
      <c r="EL558" s="153"/>
      <c r="EM558" s="153"/>
    </row>
    <row r="559" spans="2:143" s="107" customFormat="1" ht="10.5" customHeight="1">
      <c r="B559" s="1549"/>
      <c r="T559" s="156"/>
      <c r="AR559" s="153"/>
      <c r="AS559" s="153"/>
      <c r="AT559" s="153"/>
      <c r="AU559" s="153"/>
      <c r="AV559" s="153"/>
      <c r="AW559" s="153"/>
      <c r="AX559" s="153"/>
      <c r="AY559" s="153"/>
      <c r="AZ559" s="153"/>
      <c r="BA559" s="153"/>
      <c r="BB559" s="153"/>
      <c r="BC559" s="153"/>
      <c r="BD559" s="153"/>
      <c r="BE559" s="153"/>
      <c r="BF559" s="153"/>
      <c r="BG559" s="153"/>
      <c r="BH559" s="153"/>
      <c r="BI559" s="153"/>
      <c r="BJ559" s="153"/>
      <c r="BK559" s="153"/>
      <c r="BL559" s="153"/>
      <c r="BM559" s="153"/>
      <c r="BN559" s="153"/>
      <c r="BO559" s="153"/>
      <c r="BP559" s="153"/>
      <c r="BQ559" s="153"/>
      <c r="BR559" s="153"/>
      <c r="BS559" s="153"/>
      <c r="BT559" s="153"/>
      <c r="BU559" s="153"/>
      <c r="BV559" s="153"/>
      <c r="BW559" s="153"/>
      <c r="BX559" s="153"/>
      <c r="BY559" s="153"/>
      <c r="BZ559" s="153"/>
      <c r="CA559" s="153"/>
      <c r="CB559" s="153"/>
      <c r="CC559" s="153"/>
      <c r="CD559" s="153"/>
      <c r="CE559" s="153"/>
      <c r="CF559" s="153"/>
      <c r="CG559" s="153"/>
      <c r="CH559" s="153"/>
      <c r="CI559" s="153"/>
      <c r="CJ559" s="153"/>
      <c r="CK559" s="153"/>
      <c r="CL559" s="153"/>
      <c r="CM559" s="153"/>
      <c r="CN559" s="153"/>
      <c r="CO559" s="153"/>
      <c r="CP559" s="153"/>
      <c r="CQ559" s="153"/>
      <c r="CR559" s="153"/>
      <c r="CS559" s="153"/>
      <c r="CT559" s="153"/>
      <c r="CU559" s="153"/>
      <c r="CV559" s="153"/>
      <c r="CW559" s="153"/>
      <c r="CX559" s="153"/>
      <c r="CY559" s="153"/>
      <c r="CZ559" s="153"/>
      <c r="DA559" s="153"/>
      <c r="DB559" s="153"/>
      <c r="DC559" s="153"/>
      <c r="DD559" s="153"/>
      <c r="DE559" s="153"/>
      <c r="DF559" s="153"/>
      <c r="DG559" s="153"/>
      <c r="DH559" s="153"/>
      <c r="DI559" s="153"/>
      <c r="DJ559" s="153"/>
      <c r="DK559" s="153"/>
      <c r="DL559" s="153"/>
      <c r="DM559" s="153"/>
      <c r="DN559" s="153"/>
      <c r="DO559" s="153"/>
      <c r="DP559" s="153"/>
      <c r="DQ559" s="153"/>
      <c r="DR559" s="153"/>
      <c r="DS559" s="153"/>
      <c r="DT559" s="153"/>
      <c r="DU559" s="153"/>
      <c r="DV559" s="153"/>
      <c r="DW559" s="153"/>
      <c r="DX559" s="153"/>
      <c r="DY559" s="153"/>
      <c r="DZ559" s="153"/>
      <c r="EA559" s="153"/>
      <c r="EB559" s="153"/>
      <c r="EC559" s="153"/>
      <c r="ED559" s="153"/>
      <c r="EE559" s="153"/>
      <c r="EF559" s="153"/>
      <c r="EG559" s="153"/>
      <c r="EH559" s="153"/>
      <c r="EI559" s="153"/>
      <c r="EJ559" s="153"/>
      <c r="EK559" s="153"/>
      <c r="EL559" s="153"/>
      <c r="EM559" s="153"/>
    </row>
    <row r="560" spans="2:143" s="107" customFormat="1" ht="10.5" customHeight="1">
      <c r="B560" s="1549"/>
      <c r="T560" s="156"/>
      <c r="AR560" s="153"/>
      <c r="AS560" s="153"/>
      <c r="AT560" s="153"/>
      <c r="AU560" s="153"/>
      <c r="AV560" s="153"/>
      <c r="AW560" s="153"/>
      <c r="AX560" s="153"/>
      <c r="AY560" s="153"/>
      <c r="AZ560" s="153"/>
      <c r="BA560" s="153"/>
      <c r="BB560" s="153"/>
      <c r="BC560" s="153"/>
      <c r="BD560" s="153"/>
      <c r="BE560" s="153"/>
      <c r="BF560" s="153"/>
      <c r="BG560" s="153"/>
      <c r="BH560" s="153"/>
      <c r="BI560" s="153"/>
      <c r="BJ560" s="153"/>
      <c r="BK560" s="153"/>
      <c r="BL560" s="153"/>
      <c r="BM560" s="153"/>
      <c r="BN560" s="153"/>
      <c r="BO560" s="153"/>
      <c r="BP560" s="153"/>
      <c r="BQ560" s="153"/>
      <c r="BR560" s="153"/>
      <c r="BS560" s="153"/>
      <c r="BT560" s="153"/>
      <c r="BU560" s="153"/>
      <c r="BV560" s="153"/>
      <c r="BW560" s="153"/>
      <c r="BX560" s="153"/>
      <c r="BY560" s="153"/>
      <c r="BZ560" s="153"/>
      <c r="CA560" s="153"/>
      <c r="CB560" s="153"/>
      <c r="CC560" s="153"/>
      <c r="CD560" s="153"/>
      <c r="CE560" s="153"/>
      <c r="CF560" s="153"/>
      <c r="CG560" s="153"/>
      <c r="CH560" s="153"/>
      <c r="CI560" s="153"/>
      <c r="CJ560" s="153"/>
      <c r="CK560" s="153"/>
      <c r="CL560" s="153"/>
      <c r="CM560" s="153"/>
      <c r="CN560" s="153"/>
      <c r="CO560" s="153"/>
      <c r="CP560" s="153"/>
      <c r="CQ560" s="153"/>
      <c r="CR560" s="153"/>
      <c r="CS560" s="153"/>
      <c r="CT560" s="153"/>
      <c r="CU560" s="153"/>
      <c r="CV560" s="153"/>
      <c r="CW560" s="153"/>
      <c r="CX560" s="153"/>
      <c r="CY560" s="153"/>
      <c r="CZ560" s="153"/>
      <c r="DA560" s="153"/>
      <c r="DB560" s="153"/>
      <c r="DC560" s="153"/>
      <c r="DD560" s="153"/>
      <c r="DE560" s="153"/>
      <c r="DF560" s="153"/>
      <c r="DG560" s="153"/>
      <c r="DH560" s="153"/>
      <c r="DI560" s="153"/>
      <c r="DJ560" s="153"/>
      <c r="DK560" s="153"/>
      <c r="DL560" s="153"/>
      <c r="DM560" s="153"/>
      <c r="DN560" s="153"/>
      <c r="DO560" s="153"/>
      <c r="DP560" s="153"/>
      <c r="DQ560" s="153"/>
      <c r="DR560" s="153"/>
      <c r="DS560" s="153"/>
      <c r="DT560" s="153"/>
      <c r="DU560" s="153"/>
      <c r="DV560" s="153"/>
      <c r="DW560" s="153"/>
      <c r="DX560" s="153"/>
      <c r="DY560" s="153"/>
      <c r="DZ560" s="153"/>
      <c r="EA560" s="153"/>
      <c r="EB560" s="153"/>
      <c r="EC560" s="153"/>
      <c r="ED560" s="153"/>
      <c r="EE560" s="153"/>
      <c r="EF560" s="153"/>
      <c r="EG560" s="153"/>
      <c r="EH560" s="153"/>
      <c r="EI560" s="153"/>
      <c r="EJ560" s="153"/>
      <c r="EK560" s="153"/>
      <c r="EL560" s="153"/>
      <c r="EM560" s="153"/>
    </row>
    <row r="561" spans="2:143" s="107" customFormat="1" ht="10.5" customHeight="1">
      <c r="B561" s="1549"/>
      <c r="T561" s="156"/>
      <c r="AR561" s="153"/>
      <c r="AS561" s="153"/>
      <c r="AT561" s="153"/>
      <c r="AU561" s="153"/>
      <c r="AV561" s="153"/>
      <c r="AW561" s="153"/>
      <c r="AX561" s="153"/>
      <c r="AY561" s="153"/>
      <c r="AZ561" s="153"/>
      <c r="BA561" s="153"/>
      <c r="BB561" s="153"/>
      <c r="BC561" s="153"/>
      <c r="BD561" s="153"/>
      <c r="BE561" s="153"/>
      <c r="BF561" s="153"/>
      <c r="BG561" s="153"/>
      <c r="BH561" s="153"/>
      <c r="BI561" s="153"/>
      <c r="BJ561" s="153"/>
      <c r="BK561" s="153"/>
      <c r="BL561" s="153"/>
      <c r="BM561" s="153"/>
      <c r="BN561" s="153"/>
      <c r="BO561" s="153"/>
      <c r="BP561" s="153"/>
      <c r="BQ561" s="153"/>
      <c r="BR561" s="153"/>
      <c r="BS561" s="153"/>
      <c r="BT561" s="153"/>
      <c r="BU561" s="153"/>
      <c r="BV561" s="153"/>
      <c r="BW561" s="153"/>
      <c r="BX561" s="153"/>
      <c r="BY561" s="153"/>
      <c r="BZ561" s="153"/>
      <c r="CA561" s="153"/>
      <c r="CB561" s="153"/>
      <c r="CC561" s="153"/>
      <c r="CD561" s="153"/>
      <c r="CE561" s="153"/>
      <c r="CF561" s="153"/>
      <c r="CG561" s="153"/>
      <c r="CH561" s="153"/>
      <c r="CI561" s="153"/>
      <c r="CJ561" s="153"/>
      <c r="CK561" s="153"/>
      <c r="CL561" s="153"/>
      <c r="CM561" s="153"/>
      <c r="CN561" s="153"/>
      <c r="CO561" s="153"/>
      <c r="CP561" s="153"/>
      <c r="CQ561" s="153"/>
      <c r="CR561" s="153"/>
      <c r="CS561" s="153"/>
      <c r="CT561" s="153"/>
      <c r="CU561" s="153"/>
      <c r="CV561" s="153"/>
      <c r="CW561" s="153"/>
      <c r="CX561" s="153"/>
      <c r="CY561" s="153"/>
      <c r="CZ561" s="153"/>
      <c r="DA561" s="153"/>
      <c r="DB561" s="153"/>
      <c r="DC561" s="153"/>
      <c r="DD561" s="153"/>
      <c r="DE561" s="153"/>
      <c r="DF561" s="153"/>
      <c r="DG561" s="153"/>
      <c r="DH561" s="153"/>
      <c r="DI561" s="153"/>
      <c r="DJ561" s="153"/>
      <c r="DK561" s="153"/>
      <c r="DL561" s="153"/>
      <c r="DM561" s="153"/>
      <c r="DN561" s="153"/>
      <c r="DO561" s="153"/>
      <c r="DP561" s="153"/>
      <c r="DQ561" s="153"/>
      <c r="DR561" s="153"/>
      <c r="DS561" s="153"/>
      <c r="DT561" s="153"/>
      <c r="DU561" s="153"/>
      <c r="DV561" s="153"/>
      <c r="DW561" s="153"/>
      <c r="DX561" s="153"/>
      <c r="DY561" s="153"/>
      <c r="DZ561" s="153"/>
      <c r="EA561" s="153"/>
      <c r="EB561" s="153"/>
      <c r="EC561" s="153"/>
      <c r="ED561" s="153"/>
      <c r="EE561" s="153"/>
      <c r="EF561" s="153"/>
      <c r="EG561" s="153"/>
      <c r="EH561" s="153"/>
      <c r="EI561" s="153"/>
      <c r="EJ561" s="153"/>
      <c r="EK561" s="153"/>
      <c r="EL561" s="153"/>
      <c r="EM561" s="153"/>
    </row>
    <row r="562" spans="2:143" s="107" customFormat="1" ht="10.5" customHeight="1">
      <c r="B562" s="1549"/>
      <c r="T562" s="156"/>
      <c r="AR562" s="153"/>
      <c r="AS562" s="153"/>
      <c r="AT562" s="153"/>
      <c r="AU562" s="153"/>
      <c r="AV562" s="153"/>
      <c r="AW562" s="153"/>
      <c r="AX562" s="153"/>
      <c r="AY562" s="153"/>
      <c r="AZ562" s="153"/>
      <c r="BA562" s="153"/>
      <c r="BB562" s="153"/>
      <c r="BC562" s="153"/>
      <c r="BD562" s="153"/>
      <c r="BE562" s="153"/>
      <c r="BF562" s="153"/>
      <c r="BG562" s="153"/>
      <c r="BH562" s="153"/>
      <c r="BI562" s="153"/>
      <c r="BJ562" s="153"/>
      <c r="BK562" s="153"/>
      <c r="BL562" s="153"/>
      <c r="BM562" s="153"/>
      <c r="BN562" s="153"/>
      <c r="BO562" s="153"/>
      <c r="BP562" s="153"/>
      <c r="BQ562" s="153"/>
      <c r="BR562" s="153"/>
      <c r="BS562" s="153"/>
      <c r="BT562" s="153"/>
      <c r="BU562" s="153"/>
      <c r="BV562" s="153"/>
      <c r="BW562" s="153"/>
      <c r="BX562" s="153"/>
      <c r="BY562" s="153"/>
      <c r="BZ562" s="153"/>
      <c r="CA562" s="153"/>
      <c r="CB562" s="153"/>
      <c r="CC562" s="153"/>
      <c r="CD562" s="153"/>
      <c r="CE562" s="153"/>
      <c r="CF562" s="153"/>
      <c r="CG562" s="153"/>
      <c r="CH562" s="153"/>
      <c r="CI562" s="153"/>
      <c r="CJ562" s="153"/>
      <c r="CK562" s="153"/>
      <c r="CL562" s="153"/>
      <c r="CM562" s="153"/>
      <c r="CN562" s="153"/>
      <c r="CO562" s="153"/>
      <c r="CP562" s="153"/>
      <c r="CQ562" s="153"/>
      <c r="CR562" s="153"/>
      <c r="CS562" s="153"/>
      <c r="CT562" s="153"/>
      <c r="CU562" s="153"/>
      <c r="CV562" s="153"/>
      <c r="CW562" s="153"/>
      <c r="CX562" s="153"/>
      <c r="CY562" s="153"/>
      <c r="CZ562" s="153"/>
      <c r="DA562" s="153"/>
      <c r="DB562" s="153"/>
      <c r="DC562" s="153"/>
      <c r="DD562" s="153"/>
      <c r="DE562" s="153"/>
      <c r="DF562" s="153"/>
      <c r="DG562" s="153"/>
      <c r="DH562" s="153"/>
      <c r="DI562" s="153"/>
      <c r="DJ562" s="153"/>
      <c r="DK562" s="153"/>
      <c r="DL562" s="153"/>
      <c r="DM562" s="153"/>
      <c r="DN562" s="153"/>
      <c r="DO562" s="153"/>
      <c r="DP562" s="153"/>
      <c r="DQ562" s="153"/>
      <c r="DR562" s="153"/>
      <c r="DS562" s="153"/>
      <c r="DT562" s="153"/>
      <c r="DU562" s="153"/>
      <c r="DV562" s="153"/>
      <c r="DW562" s="153"/>
      <c r="DX562" s="153"/>
      <c r="DY562" s="153"/>
      <c r="DZ562" s="153"/>
      <c r="EA562" s="153"/>
      <c r="EB562" s="153"/>
      <c r="EC562" s="153"/>
      <c r="ED562" s="153"/>
      <c r="EE562" s="153"/>
      <c r="EF562" s="153"/>
      <c r="EG562" s="153"/>
      <c r="EH562" s="153"/>
      <c r="EI562" s="153"/>
      <c r="EJ562" s="153"/>
      <c r="EK562" s="153"/>
      <c r="EL562" s="153"/>
      <c r="EM562" s="153"/>
    </row>
    <row r="563" spans="2:143" s="107" customFormat="1" ht="10.5" customHeight="1">
      <c r="B563" s="1549"/>
      <c r="T563" s="156"/>
      <c r="AR563" s="153"/>
      <c r="AS563" s="153"/>
      <c r="AT563" s="153"/>
      <c r="AU563" s="153"/>
      <c r="AV563" s="153"/>
      <c r="AW563" s="153"/>
      <c r="AX563" s="153"/>
      <c r="AY563" s="153"/>
      <c r="AZ563" s="153"/>
      <c r="BA563" s="153"/>
      <c r="BB563" s="153"/>
      <c r="BC563" s="153"/>
      <c r="BD563" s="153"/>
      <c r="BE563" s="153"/>
      <c r="BF563" s="153"/>
      <c r="BG563" s="153"/>
      <c r="BH563" s="153"/>
      <c r="BI563" s="153"/>
      <c r="BJ563" s="153"/>
      <c r="BK563" s="153"/>
      <c r="BL563" s="153"/>
      <c r="BM563" s="153"/>
      <c r="BN563" s="153"/>
      <c r="BO563" s="153"/>
      <c r="BP563" s="153"/>
      <c r="BQ563" s="153"/>
      <c r="BR563" s="153"/>
      <c r="BS563" s="153"/>
      <c r="BT563" s="153"/>
      <c r="BU563" s="153"/>
      <c r="BV563" s="153"/>
      <c r="BW563" s="153"/>
      <c r="BX563" s="153"/>
      <c r="BY563" s="153"/>
      <c r="BZ563" s="153"/>
      <c r="CA563" s="153"/>
      <c r="CB563" s="153"/>
      <c r="CC563" s="153"/>
      <c r="CD563" s="153"/>
      <c r="CE563" s="153"/>
      <c r="CF563" s="153"/>
      <c r="CG563" s="153"/>
      <c r="CH563" s="153"/>
      <c r="CI563" s="153"/>
      <c r="CJ563" s="153"/>
      <c r="CK563" s="153"/>
      <c r="CL563" s="153"/>
      <c r="CM563" s="153"/>
      <c r="CN563" s="153"/>
      <c r="CO563" s="153"/>
      <c r="CP563" s="153"/>
      <c r="CQ563" s="153"/>
      <c r="CR563" s="153"/>
      <c r="CS563" s="153"/>
      <c r="CT563" s="153"/>
      <c r="CU563" s="153"/>
      <c r="CV563" s="153"/>
      <c r="CW563" s="153"/>
      <c r="CX563" s="153"/>
      <c r="CY563" s="153"/>
      <c r="CZ563" s="153"/>
      <c r="DA563" s="153"/>
      <c r="DB563" s="153"/>
      <c r="DC563" s="153"/>
      <c r="DD563" s="153"/>
      <c r="DE563" s="153"/>
      <c r="DF563" s="153"/>
      <c r="DG563" s="153"/>
      <c r="DH563" s="153"/>
      <c r="DI563" s="153"/>
      <c r="DJ563" s="153"/>
      <c r="DK563" s="153"/>
      <c r="DL563" s="153"/>
      <c r="DM563" s="153"/>
      <c r="DN563" s="153"/>
      <c r="DO563" s="153"/>
      <c r="DP563" s="153"/>
      <c r="DQ563" s="153"/>
      <c r="DR563" s="153"/>
      <c r="DS563" s="153"/>
      <c r="DT563" s="153"/>
      <c r="DU563" s="153"/>
      <c r="DV563" s="153"/>
      <c r="DW563" s="153"/>
      <c r="DX563" s="153"/>
      <c r="DY563" s="153"/>
      <c r="DZ563" s="153"/>
      <c r="EA563" s="153"/>
      <c r="EB563" s="153"/>
      <c r="EC563" s="153"/>
      <c r="ED563" s="153"/>
      <c r="EE563" s="153"/>
      <c r="EF563" s="153"/>
      <c r="EG563" s="153"/>
      <c r="EH563" s="153"/>
      <c r="EI563" s="153"/>
      <c r="EJ563" s="153"/>
      <c r="EK563" s="153"/>
      <c r="EL563" s="153"/>
      <c r="EM563" s="153"/>
    </row>
    <row r="564" spans="2:143" s="107" customFormat="1" ht="10.5" customHeight="1">
      <c r="B564" s="1549"/>
      <c r="T564" s="156"/>
      <c r="AR564" s="153"/>
      <c r="AS564" s="153"/>
      <c r="AT564" s="153"/>
      <c r="AU564" s="153"/>
      <c r="AV564" s="153"/>
      <c r="AW564" s="153"/>
      <c r="AX564" s="153"/>
      <c r="AY564" s="153"/>
      <c r="AZ564" s="153"/>
      <c r="BA564" s="153"/>
      <c r="BB564" s="153"/>
      <c r="BC564" s="153"/>
      <c r="BD564" s="153"/>
      <c r="BE564" s="153"/>
      <c r="BF564" s="153"/>
      <c r="BG564" s="153"/>
      <c r="BH564" s="153"/>
      <c r="BI564" s="153"/>
      <c r="BJ564" s="153"/>
      <c r="BK564" s="153"/>
      <c r="BL564" s="153"/>
      <c r="BM564" s="153"/>
      <c r="BN564" s="153"/>
      <c r="BO564" s="153"/>
      <c r="BP564" s="153"/>
      <c r="BQ564" s="153"/>
      <c r="BR564" s="153"/>
      <c r="BS564" s="153"/>
      <c r="BT564" s="153"/>
      <c r="BU564" s="153"/>
      <c r="BV564" s="153"/>
      <c r="BW564" s="153"/>
      <c r="BX564" s="153"/>
      <c r="BY564" s="153"/>
      <c r="BZ564" s="153"/>
      <c r="CA564" s="153"/>
      <c r="CB564" s="153"/>
      <c r="CC564" s="153"/>
      <c r="CD564" s="153"/>
      <c r="CE564" s="153"/>
      <c r="CF564" s="153"/>
      <c r="CG564" s="153"/>
      <c r="CH564" s="153"/>
      <c r="CI564" s="153"/>
      <c r="CJ564" s="153"/>
      <c r="CK564" s="153"/>
      <c r="CL564" s="153"/>
      <c r="CM564" s="153"/>
      <c r="CN564" s="153"/>
      <c r="CO564" s="153"/>
      <c r="CP564" s="153"/>
      <c r="CQ564" s="153"/>
      <c r="CR564" s="153"/>
      <c r="CS564" s="153"/>
      <c r="CT564" s="153"/>
      <c r="CU564" s="153"/>
      <c r="CV564" s="153"/>
      <c r="CW564" s="153"/>
      <c r="CX564" s="153"/>
      <c r="CY564" s="153"/>
      <c r="CZ564" s="153"/>
      <c r="DA564" s="153"/>
      <c r="DB564" s="153"/>
      <c r="DC564" s="153"/>
      <c r="DD564" s="153"/>
      <c r="DE564" s="153"/>
      <c r="DF564" s="153"/>
      <c r="DG564" s="153"/>
      <c r="DH564" s="153"/>
      <c r="DI564" s="153"/>
      <c r="DJ564" s="153"/>
      <c r="DK564" s="153"/>
      <c r="DL564" s="153"/>
      <c r="DM564" s="153"/>
      <c r="DN564" s="153"/>
      <c r="DO564" s="153"/>
      <c r="DP564" s="153"/>
      <c r="DQ564" s="153"/>
      <c r="DR564" s="153"/>
      <c r="DS564" s="153"/>
      <c r="DT564" s="153"/>
      <c r="DU564" s="153"/>
      <c r="DV564" s="153"/>
      <c r="DW564" s="153"/>
      <c r="DX564" s="153"/>
      <c r="DY564" s="153"/>
      <c r="DZ564" s="153"/>
      <c r="EA564" s="153"/>
      <c r="EB564" s="153"/>
      <c r="EC564" s="153"/>
      <c r="ED564" s="153"/>
      <c r="EE564" s="153"/>
      <c r="EF564" s="153"/>
      <c r="EG564" s="153"/>
      <c r="EH564" s="153"/>
      <c r="EI564" s="153"/>
      <c r="EJ564" s="153"/>
      <c r="EK564" s="153"/>
      <c r="EL564" s="153"/>
      <c r="EM564" s="153"/>
    </row>
    <row r="565" spans="2:143" s="107" customFormat="1" ht="10.5" customHeight="1">
      <c r="B565" s="1549"/>
      <c r="T565" s="156"/>
      <c r="AR565" s="153"/>
      <c r="AS565" s="153"/>
      <c r="AT565" s="153"/>
      <c r="AU565" s="153"/>
      <c r="AV565" s="153"/>
      <c r="AW565" s="153"/>
      <c r="AX565" s="153"/>
      <c r="AY565" s="153"/>
      <c r="AZ565" s="153"/>
      <c r="BA565" s="153"/>
      <c r="BB565" s="153"/>
      <c r="BC565" s="153"/>
      <c r="BD565" s="153"/>
      <c r="BE565" s="153"/>
      <c r="BF565" s="153"/>
      <c r="BG565" s="153"/>
      <c r="BH565" s="153"/>
      <c r="BI565" s="153"/>
      <c r="BJ565" s="153"/>
      <c r="BK565" s="153"/>
      <c r="BL565" s="153"/>
      <c r="BM565" s="153"/>
      <c r="BN565" s="153"/>
      <c r="BO565" s="153"/>
      <c r="BP565" s="153"/>
      <c r="BQ565" s="153"/>
      <c r="BR565" s="153"/>
      <c r="BS565" s="153"/>
      <c r="BT565" s="153"/>
      <c r="BU565" s="153"/>
      <c r="BV565" s="153"/>
      <c r="BW565" s="153"/>
      <c r="BX565" s="153"/>
      <c r="BY565" s="153"/>
      <c r="BZ565" s="153"/>
      <c r="CA565" s="153"/>
      <c r="CB565" s="153"/>
      <c r="CC565" s="153"/>
      <c r="CD565" s="153"/>
      <c r="CE565" s="153"/>
      <c r="CF565" s="153"/>
      <c r="CG565" s="153"/>
      <c r="CH565" s="153"/>
      <c r="CI565" s="153"/>
      <c r="CJ565" s="153"/>
      <c r="CK565" s="153"/>
      <c r="CL565" s="153"/>
      <c r="CM565" s="153"/>
      <c r="CN565" s="153"/>
      <c r="CO565" s="153"/>
      <c r="CP565" s="153"/>
      <c r="CQ565" s="153"/>
      <c r="CR565" s="153"/>
      <c r="CS565" s="153"/>
      <c r="CT565" s="153"/>
      <c r="CU565" s="153"/>
      <c r="CV565" s="153"/>
      <c r="CW565" s="153"/>
      <c r="CX565" s="153"/>
      <c r="CY565" s="153"/>
      <c r="CZ565" s="153"/>
      <c r="DA565" s="153"/>
      <c r="DB565" s="153"/>
      <c r="DC565" s="153"/>
      <c r="DD565" s="153"/>
      <c r="DE565" s="153"/>
      <c r="DF565" s="153"/>
      <c r="DG565" s="153"/>
      <c r="DH565" s="153"/>
      <c r="DI565" s="153"/>
      <c r="DJ565" s="153"/>
      <c r="DK565" s="153"/>
      <c r="DL565" s="153"/>
      <c r="DM565" s="153"/>
      <c r="DN565" s="153"/>
      <c r="DO565" s="153"/>
      <c r="DP565" s="153"/>
      <c r="DQ565" s="153"/>
      <c r="DR565" s="153"/>
      <c r="DS565" s="153"/>
      <c r="DT565" s="153"/>
      <c r="DU565" s="153"/>
      <c r="DV565" s="153"/>
      <c r="DW565" s="153"/>
      <c r="DX565" s="153"/>
      <c r="DY565" s="153"/>
      <c r="DZ565" s="153"/>
      <c r="EA565" s="153"/>
      <c r="EB565" s="153"/>
      <c r="EC565" s="153"/>
      <c r="ED565" s="153"/>
      <c r="EE565" s="153"/>
      <c r="EF565" s="153"/>
      <c r="EG565" s="153"/>
      <c r="EH565" s="153"/>
      <c r="EI565" s="153"/>
      <c r="EJ565" s="153"/>
      <c r="EK565" s="153"/>
      <c r="EL565" s="153"/>
      <c r="EM565" s="153"/>
    </row>
    <row r="566" spans="2:143" s="107" customFormat="1" ht="10.5" customHeight="1">
      <c r="B566" s="1549"/>
      <c r="T566" s="156"/>
      <c r="AR566" s="153"/>
      <c r="AS566" s="153"/>
      <c r="AT566" s="153"/>
      <c r="AU566" s="153"/>
      <c r="AV566" s="153"/>
      <c r="AW566" s="153"/>
      <c r="AX566" s="153"/>
      <c r="AY566" s="153"/>
      <c r="AZ566" s="153"/>
      <c r="BA566" s="153"/>
      <c r="BB566" s="153"/>
      <c r="BC566" s="153"/>
      <c r="BD566" s="153"/>
      <c r="BE566" s="153"/>
      <c r="BF566" s="153"/>
      <c r="BG566" s="153"/>
      <c r="BH566" s="153"/>
      <c r="BI566" s="153"/>
      <c r="BJ566" s="153"/>
      <c r="BK566" s="153"/>
      <c r="BL566" s="153"/>
      <c r="BM566" s="153"/>
      <c r="BN566" s="153"/>
      <c r="BO566" s="153"/>
      <c r="BP566" s="153"/>
      <c r="BQ566" s="153"/>
      <c r="BR566" s="153"/>
      <c r="BS566" s="153"/>
      <c r="BT566" s="153"/>
      <c r="BU566" s="153"/>
      <c r="BV566" s="153"/>
      <c r="BW566" s="153"/>
      <c r="BX566" s="153"/>
      <c r="BY566" s="153"/>
      <c r="BZ566" s="153"/>
      <c r="CA566" s="153"/>
      <c r="CB566" s="153"/>
      <c r="CC566" s="153"/>
      <c r="CD566" s="153"/>
      <c r="CE566" s="153"/>
      <c r="CF566" s="153"/>
      <c r="CG566" s="153"/>
      <c r="CH566" s="153"/>
      <c r="CI566" s="153"/>
      <c r="CJ566" s="153"/>
      <c r="CK566" s="153"/>
      <c r="CL566" s="153"/>
      <c r="CM566" s="153"/>
      <c r="CN566" s="153"/>
      <c r="CO566" s="153"/>
      <c r="CP566" s="153"/>
      <c r="CQ566" s="153"/>
      <c r="CR566" s="153"/>
      <c r="CS566" s="153"/>
      <c r="CT566" s="153"/>
      <c r="CU566" s="153"/>
      <c r="CV566" s="153"/>
      <c r="CW566" s="153"/>
      <c r="CX566" s="153"/>
      <c r="CY566" s="153"/>
      <c r="CZ566" s="153"/>
      <c r="DA566" s="153"/>
      <c r="DB566" s="153"/>
      <c r="DC566" s="153"/>
      <c r="DD566" s="153"/>
      <c r="DE566" s="153"/>
      <c r="DF566" s="153"/>
      <c r="DG566" s="153"/>
      <c r="DH566" s="153"/>
      <c r="DI566" s="153"/>
      <c r="DJ566" s="153"/>
      <c r="DK566" s="153"/>
      <c r="DL566" s="153"/>
      <c r="DM566" s="153"/>
      <c r="DN566" s="153"/>
      <c r="DO566" s="153"/>
      <c r="DP566" s="153"/>
      <c r="DQ566" s="153"/>
      <c r="DR566" s="153"/>
      <c r="DS566" s="153"/>
      <c r="DT566" s="153"/>
      <c r="DU566" s="153"/>
      <c r="DV566" s="153"/>
      <c r="DW566" s="153"/>
      <c r="DX566" s="153"/>
      <c r="DY566" s="153"/>
      <c r="DZ566" s="153"/>
      <c r="EA566" s="153"/>
      <c r="EB566" s="153"/>
      <c r="EC566" s="153"/>
      <c r="ED566" s="153"/>
      <c r="EE566" s="153"/>
      <c r="EF566" s="153"/>
      <c r="EG566" s="153"/>
      <c r="EH566" s="153"/>
      <c r="EI566" s="153"/>
      <c r="EJ566" s="153"/>
      <c r="EK566" s="153"/>
      <c r="EL566" s="153"/>
      <c r="EM566" s="153"/>
    </row>
    <row r="567" spans="2:143" s="107" customFormat="1" ht="10.5" customHeight="1">
      <c r="B567" s="1549"/>
      <c r="T567" s="156"/>
      <c r="AR567" s="153"/>
      <c r="AS567" s="153"/>
      <c r="AT567" s="153"/>
      <c r="AU567" s="153"/>
      <c r="AV567" s="153"/>
      <c r="AW567" s="153"/>
      <c r="AX567" s="153"/>
      <c r="AY567" s="153"/>
      <c r="AZ567" s="153"/>
      <c r="BA567" s="153"/>
      <c r="BB567" s="153"/>
      <c r="BC567" s="153"/>
      <c r="BD567" s="153"/>
      <c r="BE567" s="153"/>
      <c r="BF567" s="153"/>
      <c r="BG567" s="153"/>
      <c r="BH567" s="153"/>
      <c r="BI567" s="153"/>
      <c r="BJ567" s="153"/>
      <c r="BK567" s="153"/>
      <c r="BL567" s="153"/>
      <c r="BM567" s="153"/>
      <c r="BN567" s="153"/>
      <c r="BO567" s="153"/>
      <c r="BP567" s="153"/>
      <c r="BQ567" s="153"/>
      <c r="BR567" s="153"/>
      <c r="BS567" s="153"/>
      <c r="BT567" s="153"/>
      <c r="BU567" s="153"/>
      <c r="BV567" s="153"/>
      <c r="BW567" s="153"/>
      <c r="BX567" s="153"/>
      <c r="BY567" s="153"/>
      <c r="BZ567" s="153"/>
      <c r="CA567" s="153"/>
      <c r="CB567" s="153"/>
      <c r="CC567" s="153"/>
      <c r="CD567" s="153"/>
      <c r="CE567" s="153"/>
      <c r="CF567" s="153"/>
      <c r="CG567" s="153"/>
      <c r="CH567" s="153"/>
      <c r="CI567" s="153"/>
      <c r="CJ567" s="153"/>
      <c r="CK567" s="153"/>
      <c r="CL567" s="153"/>
      <c r="CM567" s="153"/>
      <c r="CN567" s="153"/>
      <c r="CO567" s="153"/>
      <c r="CP567" s="153"/>
      <c r="CQ567" s="153"/>
      <c r="CR567" s="153"/>
      <c r="CS567" s="153"/>
      <c r="CT567" s="153"/>
      <c r="CU567" s="153"/>
      <c r="CV567" s="153"/>
      <c r="CW567" s="153"/>
      <c r="CX567" s="153"/>
      <c r="CY567" s="153"/>
      <c r="CZ567" s="153"/>
      <c r="DA567" s="153"/>
      <c r="DB567" s="153"/>
      <c r="DC567" s="153"/>
      <c r="DD567" s="153"/>
      <c r="DE567" s="153"/>
      <c r="DF567" s="153"/>
      <c r="DG567" s="153"/>
      <c r="DH567" s="153"/>
      <c r="DI567" s="153"/>
      <c r="DJ567" s="153"/>
      <c r="DK567" s="153"/>
      <c r="DL567" s="153"/>
      <c r="DM567" s="153"/>
      <c r="DN567" s="153"/>
      <c r="DO567" s="153"/>
      <c r="DP567" s="153"/>
      <c r="DQ567" s="153"/>
      <c r="DR567" s="153"/>
      <c r="DS567" s="153"/>
      <c r="DT567" s="153"/>
      <c r="DU567" s="153"/>
      <c r="DV567" s="153"/>
      <c r="DW567" s="153"/>
      <c r="DX567" s="153"/>
      <c r="DY567" s="153"/>
      <c r="DZ567" s="153"/>
      <c r="EA567" s="153"/>
      <c r="EB567" s="153"/>
      <c r="EC567" s="153"/>
      <c r="ED567" s="153"/>
      <c r="EE567" s="153"/>
      <c r="EF567" s="153"/>
      <c r="EG567" s="153"/>
      <c r="EH567" s="153"/>
      <c r="EI567" s="153"/>
      <c r="EJ567" s="153"/>
      <c r="EK567" s="153"/>
      <c r="EL567" s="153"/>
      <c r="EM567" s="153"/>
    </row>
    <row r="568" spans="2:143" s="107" customFormat="1" ht="10.5" customHeight="1">
      <c r="B568" s="1549"/>
      <c r="T568" s="156"/>
      <c r="AR568" s="153"/>
      <c r="AS568" s="153"/>
      <c r="AT568" s="153"/>
      <c r="AU568" s="153"/>
      <c r="AV568" s="153"/>
      <c r="AW568" s="153"/>
      <c r="AX568" s="153"/>
      <c r="AY568" s="153"/>
      <c r="AZ568" s="153"/>
      <c r="BA568" s="153"/>
      <c r="BB568" s="153"/>
      <c r="BC568" s="153"/>
      <c r="BD568" s="153"/>
      <c r="BE568" s="153"/>
      <c r="BF568" s="153"/>
      <c r="BG568" s="153"/>
      <c r="BH568" s="153"/>
      <c r="BI568" s="153"/>
      <c r="BJ568" s="153"/>
      <c r="BK568" s="153"/>
      <c r="BL568" s="153"/>
      <c r="BM568" s="153"/>
      <c r="BN568" s="153"/>
      <c r="BO568" s="153"/>
      <c r="BP568" s="153"/>
      <c r="BQ568" s="153"/>
      <c r="BR568" s="153"/>
      <c r="BS568" s="153"/>
      <c r="BT568" s="153"/>
      <c r="BU568" s="153"/>
      <c r="BV568" s="153"/>
      <c r="BW568" s="153"/>
      <c r="BX568" s="153"/>
      <c r="BY568" s="153"/>
      <c r="BZ568" s="153"/>
      <c r="CA568" s="153"/>
      <c r="CB568" s="153"/>
      <c r="CC568" s="153"/>
      <c r="CD568" s="153"/>
      <c r="CE568" s="153"/>
      <c r="CF568" s="153"/>
      <c r="CG568" s="153"/>
      <c r="CH568" s="153"/>
      <c r="CI568" s="153"/>
      <c r="CJ568" s="153"/>
      <c r="CK568" s="153"/>
      <c r="CL568" s="153"/>
      <c r="CM568" s="153"/>
      <c r="CN568" s="153"/>
      <c r="CO568" s="153"/>
      <c r="CP568" s="153"/>
      <c r="CQ568" s="153"/>
      <c r="CR568" s="153"/>
      <c r="CS568" s="153"/>
      <c r="CT568" s="153"/>
      <c r="CU568" s="153"/>
      <c r="CV568" s="153"/>
      <c r="CW568" s="153"/>
      <c r="CX568" s="153"/>
      <c r="CY568" s="153"/>
      <c r="CZ568" s="153"/>
      <c r="DA568" s="153"/>
      <c r="DB568" s="153"/>
      <c r="DC568" s="153"/>
      <c r="DD568" s="153"/>
      <c r="DE568" s="153"/>
      <c r="DF568" s="153"/>
      <c r="DG568" s="153"/>
      <c r="DH568" s="153"/>
      <c r="DI568" s="153"/>
      <c r="DJ568" s="153"/>
      <c r="DK568" s="153"/>
      <c r="DL568" s="153"/>
      <c r="DM568" s="153"/>
      <c r="DN568" s="153"/>
      <c r="DO568" s="153"/>
      <c r="DP568" s="153"/>
      <c r="DQ568" s="153"/>
      <c r="DR568" s="153"/>
      <c r="DS568" s="153"/>
      <c r="DT568" s="153"/>
      <c r="DU568" s="153"/>
      <c r="DV568" s="153"/>
      <c r="DW568" s="153"/>
      <c r="DX568" s="153"/>
      <c r="DY568" s="153"/>
      <c r="DZ568" s="153"/>
      <c r="EA568" s="153"/>
      <c r="EB568" s="153"/>
      <c r="EC568" s="153"/>
      <c r="ED568" s="153"/>
      <c r="EE568" s="153"/>
      <c r="EF568" s="153"/>
      <c r="EG568" s="153"/>
      <c r="EH568" s="153"/>
      <c r="EI568" s="153"/>
      <c r="EJ568" s="153"/>
      <c r="EK568" s="153"/>
      <c r="EL568" s="153"/>
      <c r="EM568" s="153"/>
    </row>
    <row r="569" spans="2:143" s="107" customFormat="1" ht="10.5" customHeight="1">
      <c r="B569" s="1549"/>
      <c r="T569" s="156"/>
      <c r="AR569" s="153"/>
      <c r="AS569" s="153"/>
      <c r="AT569" s="153"/>
      <c r="AU569" s="153"/>
      <c r="AV569" s="153"/>
      <c r="AW569" s="153"/>
      <c r="AX569" s="153"/>
      <c r="AY569" s="153"/>
      <c r="AZ569" s="153"/>
      <c r="BA569" s="153"/>
      <c r="BB569" s="153"/>
      <c r="BC569" s="153"/>
      <c r="BD569" s="153"/>
      <c r="BE569" s="153"/>
      <c r="BF569" s="153"/>
      <c r="BG569" s="153"/>
      <c r="BH569" s="153"/>
      <c r="BI569" s="153"/>
      <c r="BJ569" s="153"/>
      <c r="BK569" s="153"/>
      <c r="BL569" s="153"/>
      <c r="BM569" s="153"/>
      <c r="BN569" s="153"/>
      <c r="BO569" s="153"/>
      <c r="BP569" s="153"/>
      <c r="BQ569" s="153"/>
      <c r="BR569" s="153"/>
      <c r="BS569" s="153"/>
      <c r="BT569" s="153"/>
      <c r="BU569" s="153"/>
      <c r="BV569" s="153"/>
      <c r="BW569" s="153"/>
      <c r="BX569" s="153"/>
      <c r="BY569" s="153"/>
      <c r="BZ569" s="153"/>
      <c r="CA569" s="153"/>
      <c r="CB569" s="153"/>
      <c r="CC569" s="153"/>
      <c r="CD569" s="153"/>
      <c r="CE569" s="153"/>
      <c r="CF569" s="153"/>
      <c r="CG569" s="153"/>
      <c r="CH569" s="153"/>
      <c r="CI569" s="153"/>
      <c r="CJ569" s="153"/>
      <c r="CK569" s="153"/>
      <c r="CL569" s="153"/>
      <c r="CM569" s="153"/>
      <c r="CN569" s="153"/>
      <c r="CO569" s="153"/>
      <c r="CP569" s="153"/>
      <c r="CQ569" s="153"/>
      <c r="CR569" s="153"/>
      <c r="CS569" s="153"/>
      <c r="CT569" s="153"/>
      <c r="CU569" s="153"/>
      <c r="CV569" s="153"/>
      <c r="CW569" s="153"/>
      <c r="CX569" s="153"/>
      <c r="CY569" s="153"/>
      <c r="CZ569" s="153"/>
      <c r="DA569" s="153"/>
      <c r="DB569" s="153"/>
      <c r="DC569" s="153"/>
      <c r="DD569" s="153"/>
      <c r="DE569" s="153"/>
      <c r="DF569" s="153"/>
      <c r="DG569" s="153"/>
      <c r="DH569" s="153"/>
      <c r="DI569" s="153"/>
      <c r="DJ569" s="153"/>
      <c r="DK569" s="153"/>
      <c r="DL569" s="153"/>
      <c r="DM569" s="153"/>
      <c r="DN569" s="153"/>
      <c r="DO569" s="153"/>
      <c r="DP569" s="153"/>
      <c r="DQ569" s="153"/>
      <c r="DR569" s="153"/>
      <c r="DS569" s="153"/>
      <c r="DT569" s="153"/>
      <c r="DU569" s="153"/>
      <c r="DV569" s="153"/>
      <c r="DW569" s="153"/>
      <c r="DX569" s="153"/>
      <c r="DY569" s="153"/>
      <c r="DZ569" s="153"/>
      <c r="EA569" s="153"/>
      <c r="EB569" s="153"/>
      <c r="EC569" s="153"/>
      <c r="ED569" s="153"/>
      <c r="EE569" s="153"/>
      <c r="EF569" s="153"/>
      <c r="EG569" s="153"/>
      <c r="EH569" s="153"/>
      <c r="EI569" s="153"/>
      <c r="EJ569" s="153"/>
      <c r="EK569" s="153"/>
      <c r="EL569" s="153"/>
      <c r="EM569" s="153"/>
    </row>
    <row r="570" spans="2:143" s="107" customFormat="1" ht="10.5" customHeight="1">
      <c r="B570" s="1549"/>
      <c r="T570" s="156"/>
      <c r="AR570" s="153"/>
      <c r="AS570" s="153"/>
      <c r="AT570" s="153"/>
      <c r="AU570" s="153"/>
      <c r="AV570" s="153"/>
      <c r="AW570" s="153"/>
      <c r="AX570" s="153"/>
      <c r="AY570" s="153"/>
      <c r="AZ570" s="153"/>
      <c r="BA570" s="153"/>
      <c r="BB570" s="153"/>
      <c r="BC570" s="153"/>
      <c r="BD570" s="153"/>
      <c r="BE570" s="153"/>
      <c r="BF570" s="153"/>
      <c r="BG570" s="153"/>
      <c r="BH570" s="153"/>
      <c r="BI570" s="153"/>
      <c r="BJ570" s="153"/>
      <c r="BK570" s="153"/>
      <c r="BL570" s="153"/>
      <c r="BM570" s="153"/>
      <c r="BN570" s="153"/>
      <c r="BO570" s="153"/>
      <c r="BP570" s="153"/>
      <c r="BQ570" s="153"/>
      <c r="BR570" s="153"/>
      <c r="BS570" s="153"/>
      <c r="BT570" s="153"/>
      <c r="BU570" s="153"/>
      <c r="BV570" s="153"/>
      <c r="BW570" s="153"/>
      <c r="BX570" s="153"/>
      <c r="BY570" s="153"/>
      <c r="BZ570" s="153"/>
      <c r="CA570" s="153"/>
      <c r="CB570" s="153"/>
      <c r="CC570" s="153"/>
      <c r="CD570" s="153"/>
      <c r="CE570" s="153"/>
      <c r="CF570" s="153"/>
      <c r="CG570" s="153"/>
      <c r="CH570" s="153"/>
      <c r="CI570" s="153"/>
      <c r="CJ570" s="153"/>
      <c r="CK570" s="153"/>
      <c r="CL570" s="153"/>
      <c r="CM570" s="153"/>
      <c r="CN570" s="153"/>
      <c r="CO570" s="153"/>
      <c r="CP570" s="153"/>
      <c r="CQ570" s="153"/>
      <c r="CR570" s="153"/>
      <c r="CS570" s="153"/>
      <c r="CT570" s="153"/>
      <c r="CU570" s="153"/>
      <c r="CV570" s="153"/>
      <c r="CW570" s="153"/>
      <c r="CX570" s="153"/>
      <c r="CY570" s="153"/>
      <c r="CZ570" s="153"/>
      <c r="DA570" s="153"/>
      <c r="DB570" s="153"/>
      <c r="DC570" s="153"/>
      <c r="DD570" s="153"/>
      <c r="DE570" s="153"/>
      <c r="DF570" s="153"/>
      <c r="DG570" s="153"/>
      <c r="DH570" s="153"/>
      <c r="DI570" s="153"/>
      <c r="DJ570" s="153"/>
      <c r="DK570" s="153"/>
      <c r="DL570" s="153"/>
      <c r="DM570" s="153"/>
      <c r="DN570" s="153"/>
      <c r="DO570" s="153"/>
      <c r="DP570" s="153"/>
      <c r="DQ570" s="153"/>
      <c r="DR570" s="153"/>
      <c r="DS570" s="153"/>
      <c r="DT570" s="153"/>
      <c r="DU570" s="153"/>
      <c r="DV570" s="153"/>
      <c r="DW570" s="153"/>
      <c r="DX570" s="153"/>
      <c r="DY570" s="153"/>
      <c r="DZ570" s="153"/>
      <c r="EA570" s="153"/>
      <c r="EB570" s="153"/>
      <c r="EC570" s="153"/>
      <c r="ED570" s="153"/>
      <c r="EE570" s="153"/>
      <c r="EF570" s="153"/>
      <c r="EG570" s="153"/>
      <c r="EH570" s="153"/>
      <c r="EI570" s="153"/>
      <c r="EJ570" s="153"/>
      <c r="EK570" s="153"/>
      <c r="EL570" s="153"/>
      <c r="EM570" s="153"/>
    </row>
    <row r="571" spans="2:143" s="107" customFormat="1" ht="10.5" customHeight="1">
      <c r="B571" s="1549"/>
      <c r="T571" s="156"/>
      <c r="AR571" s="153"/>
      <c r="AS571" s="153"/>
      <c r="AT571" s="153"/>
      <c r="AU571" s="153"/>
      <c r="AV571" s="153"/>
      <c r="AW571" s="153"/>
      <c r="AX571" s="153"/>
      <c r="AY571" s="153"/>
      <c r="AZ571" s="153"/>
      <c r="BA571" s="153"/>
      <c r="BB571" s="153"/>
      <c r="BC571" s="153"/>
      <c r="BD571" s="153"/>
      <c r="BE571" s="153"/>
      <c r="BF571" s="153"/>
      <c r="BG571" s="153"/>
      <c r="BH571" s="153"/>
      <c r="BI571" s="153"/>
      <c r="BJ571" s="153"/>
      <c r="BK571" s="153"/>
      <c r="BL571" s="153"/>
      <c r="BM571" s="153"/>
      <c r="BN571" s="153"/>
      <c r="BO571" s="153"/>
      <c r="BP571" s="153"/>
      <c r="BQ571" s="153"/>
      <c r="BR571" s="153"/>
      <c r="BS571" s="153"/>
      <c r="BT571" s="153"/>
      <c r="BU571" s="153"/>
      <c r="BV571" s="153"/>
      <c r="BW571" s="153"/>
      <c r="BX571" s="153"/>
      <c r="BY571" s="153"/>
      <c r="BZ571" s="153"/>
      <c r="CA571" s="153"/>
      <c r="CB571" s="153"/>
      <c r="CC571" s="153"/>
      <c r="CD571" s="153"/>
      <c r="CE571" s="153"/>
      <c r="CF571" s="153"/>
      <c r="CG571" s="153"/>
      <c r="CH571" s="153"/>
      <c r="CI571" s="153"/>
      <c r="CJ571" s="153"/>
      <c r="CK571" s="153"/>
      <c r="CL571" s="153"/>
      <c r="CM571" s="153"/>
      <c r="CN571" s="153"/>
      <c r="CO571" s="153"/>
      <c r="CP571" s="153"/>
      <c r="CQ571" s="153"/>
      <c r="CR571" s="153"/>
      <c r="CS571" s="153"/>
      <c r="CT571" s="153"/>
      <c r="CU571" s="153"/>
      <c r="CV571" s="153"/>
      <c r="CW571" s="153"/>
      <c r="CX571" s="153"/>
      <c r="CY571" s="153"/>
      <c r="CZ571" s="153"/>
      <c r="DA571" s="153"/>
      <c r="DB571" s="153"/>
      <c r="DC571" s="153"/>
      <c r="DD571" s="153"/>
      <c r="DE571" s="153"/>
      <c r="DF571" s="153"/>
      <c r="DG571" s="153"/>
      <c r="DH571" s="153"/>
      <c r="DI571" s="153"/>
      <c r="DJ571" s="153"/>
      <c r="DK571" s="153"/>
      <c r="DL571" s="153"/>
      <c r="DM571" s="153"/>
      <c r="DN571" s="153"/>
      <c r="DO571" s="153"/>
      <c r="DP571" s="153"/>
      <c r="DQ571" s="153"/>
      <c r="DR571" s="153"/>
      <c r="DS571" s="153"/>
      <c r="DT571" s="153"/>
      <c r="DU571" s="153"/>
      <c r="DV571" s="153"/>
      <c r="DW571" s="153"/>
      <c r="DX571" s="153"/>
      <c r="DY571" s="153"/>
      <c r="DZ571" s="153"/>
      <c r="EA571" s="153"/>
      <c r="EB571" s="153"/>
      <c r="EC571" s="153"/>
      <c r="ED571" s="153"/>
      <c r="EE571" s="153"/>
      <c r="EF571" s="153"/>
      <c r="EG571" s="153"/>
      <c r="EH571" s="153"/>
      <c r="EI571" s="153"/>
      <c r="EJ571" s="153"/>
      <c r="EK571" s="153"/>
      <c r="EL571" s="153"/>
      <c r="EM571" s="153"/>
    </row>
    <row r="572" spans="2:143" s="107" customFormat="1" ht="10.5" customHeight="1">
      <c r="B572" s="1549"/>
      <c r="T572" s="156"/>
      <c r="AR572" s="153"/>
      <c r="AS572" s="153"/>
      <c r="AT572" s="153"/>
      <c r="AU572" s="153"/>
      <c r="AV572" s="153"/>
      <c r="AW572" s="153"/>
      <c r="AX572" s="153"/>
      <c r="AY572" s="153"/>
      <c r="AZ572" s="153"/>
      <c r="BA572" s="153"/>
      <c r="BB572" s="153"/>
      <c r="BC572" s="153"/>
      <c r="BD572" s="153"/>
      <c r="BE572" s="153"/>
      <c r="BF572" s="153"/>
      <c r="BG572" s="153"/>
      <c r="BH572" s="153"/>
      <c r="BI572" s="153"/>
      <c r="BJ572" s="153"/>
      <c r="BK572" s="153"/>
      <c r="BL572" s="153"/>
      <c r="BM572" s="153"/>
      <c r="BN572" s="153"/>
      <c r="BO572" s="153"/>
      <c r="BP572" s="153"/>
      <c r="BQ572" s="153"/>
      <c r="BR572" s="153"/>
      <c r="BS572" s="153"/>
      <c r="BT572" s="153"/>
      <c r="BU572" s="153"/>
      <c r="BV572" s="153"/>
      <c r="BW572" s="153"/>
      <c r="BX572" s="153"/>
      <c r="BY572" s="153"/>
      <c r="BZ572" s="153"/>
      <c r="CA572" s="153"/>
      <c r="CB572" s="153"/>
      <c r="CC572" s="153"/>
      <c r="CD572" s="153"/>
      <c r="CE572" s="153"/>
      <c r="CF572" s="153"/>
      <c r="CG572" s="153"/>
      <c r="CH572" s="153"/>
      <c r="CI572" s="153"/>
      <c r="CJ572" s="153"/>
      <c r="CK572" s="153"/>
      <c r="CL572" s="153"/>
      <c r="CM572" s="153"/>
      <c r="CN572" s="153"/>
      <c r="CO572" s="153"/>
      <c r="CP572" s="153"/>
      <c r="CQ572" s="153"/>
      <c r="CR572" s="153"/>
      <c r="CS572" s="153"/>
      <c r="CT572" s="153"/>
      <c r="CU572" s="153"/>
      <c r="CV572" s="153"/>
      <c r="CW572" s="153"/>
      <c r="CX572" s="153"/>
      <c r="CY572" s="153"/>
      <c r="CZ572" s="153"/>
      <c r="DA572" s="153"/>
      <c r="DB572" s="153"/>
      <c r="DC572" s="153"/>
      <c r="DD572" s="153"/>
      <c r="DE572" s="153"/>
      <c r="DF572" s="153"/>
      <c r="DG572" s="153"/>
      <c r="DH572" s="153"/>
      <c r="DI572" s="153"/>
      <c r="DJ572" s="153"/>
      <c r="DK572" s="153"/>
      <c r="DL572" s="153"/>
      <c r="DM572" s="153"/>
      <c r="DN572" s="153"/>
      <c r="DO572" s="153"/>
      <c r="DP572" s="153"/>
      <c r="DQ572" s="153"/>
      <c r="DR572" s="153"/>
      <c r="DS572" s="153"/>
      <c r="DT572" s="153"/>
      <c r="DU572" s="153"/>
      <c r="DV572" s="153"/>
      <c r="DW572" s="153"/>
      <c r="DX572" s="153"/>
      <c r="DY572" s="153"/>
      <c r="DZ572" s="153"/>
      <c r="EA572" s="153"/>
      <c r="EB572" s="153"/>
      <c r="EC572" s="153"/>
      <c r="ED572" s="153"/>
      <c r="EE572" s="153"/>
      <c r="EF572" s="153"/>
      <c r="EG572" s="153"/>
      <c r="EH572" s="153"/>
      <c r="EI572" s="153"/>
      <c r="EJ572" s="153"/>
      <c r="EK572" s="153"/>
      <c r="EL572" s="153"/>
      <c r="EM572" s="153"/>
    </row>
    <row r="573" spans="2:143" s="107" customFormat="1" ht="10.5" customHeight="1">
      <c r="B573" s="1549"/>
      <c r="T573" s="156"/>
      <c r="AR573" s="153"/>
      <c r="AS573" s="153"/>
      <c r="AT573" s="153"/>
      <c r="AU573" s="153"/>
      <c r="AV573" s="153"/>
      <c r="AW573" s="153"/>
      <c r="AX573" s="153"/>
      <c r="AY573" s="153"/>
      <c r="AZ573" s="153"/>
      <c r="BA573" s="153"/>
      <c r="BB573" s="153"/>
      <c r="BC573" s="153"/>
      <c r="BD573" s="153"/>
      <c r="BE573" s="153"/>
      <c r="BF573" s="153"/>
      <c r="BG573" s="153"/>
      <c r="BH573" s="153"/>
      <c r="BI573" s="153"/>
      <c r="BJ573" s="153"/>
      <c r="BK573" s="153"/>
      <c r="BL573" s="153"/>
      <c r="BM573" s="153"/>
      <c r="BN573" s="153"/>
      <c r="BO573" s="153"/>
      <c r="BP573" s="153"/>
      <c r="BQ573" s="153"/>
      <c r="BR573" s="153"/>
      <c r="BS573" s="153"/>
      <c r="BT573" s="153"/>
      <c r="BU573" s="153"/>
      <c r="BV573" s="153"/>
      <c r="BW573" s="153"/>
      <c r="BX573" s="153"/>
      <c r="BY573" s="153"/>
      <c r="BZ573" s="153"/>
      <c r="CA573" s="153"/>
      <c r="CB573" s="153"/>
      <c r="CC573" s="153"/>
      <c r="CD573" s="153"/>
      <c r="CE573" s="153"/>
      <c r="CF573" s="153"/>
      <c r="CG573" s="153"/>
      <c r="CH573" s="153"/>
      <c r="CI573" s="153"/>
      <c r="CJ573" s="153"/>
      <c r="CK573" s="153"/>
      <c r="CL573" s="153"/>
      <c r="CM573" s="153"/>
      <c r="CN573" s="153"/>
      <c r="CO573" s="153"/>
      <c r="CP573" s="153"/>
      <c r="CQ573" s="153"/>
      <c r="CR573" s="153"/>
      <c r="CS573" s="153"/>
      <c r="CT573" s="153"/>
      <c r="CU573" s="153"/>
      <c r="CV573" s="153"/>
      <c r="CW573" s="153"/>
      <c r="CX573" s="153"/>
      <c r="CY573" s="153"/>
      <c r="CZ573" s="153"/>
      <c r="DA573" s="153"/>
      <c r="DB573" s="153"/>
      <c r="DC573" s="153"/>
      <c r="DD573" s="153"/>
      <c r="DE573" s="153"/>
      <c r="DF573" s="153"/>
      <c r="DG573" s="153"/>
      <c r="DH573" s="153"/>
      <c r="DI573" s="153"/>
      <c r="DJ573" s="153"/>
      <c r="DK573" s="153"/>
      <c r="DL573" s="153"/>
      <c r="DM573" s="153"/>
      <c r="DN573" s="153"/>
      <c r="DO573" s="153"/>
      <c r="DP573" s="153"/>
      <c r="DQ573" s="153"/>
      <c r="DR573" s="153"/>
      <c r="DS573" s="153"/>
      <c r="DT573" s="153"/>
      <c r="DU573" s="153"/>
      <c r="DV573" s="153"/>
      <c r="DW573" s="153"/>
      <c r="DX573" s="153"/>
      <c r="DY573" s="153"/>
      <c r="DZ573" s="153"/>
      <c r="EA573" s="153"/>
      <c r="EB573" s="153"/>
      <c r="EC573" s="153"/>
      <c r="ED573" s="153"/>
      <c r="EE573" s="153"/>
      <c r="EF573" s="153"/>
      <c r="EG573" s="153"/>
      <c r="EH573" s="153"/>
      <c r="EI573" s="153"/>
      <c r="EJ573" s="153"/>
      <c r="EK573" s="153"/>
      <c r="EL573" s="153"/>
      <c r="EM573" s="153"/>
    </row>
    <row r="574" spans="2:143" s="107" customFormat="1" ht="10.5" customHeight="1">
      <c r="B574" s="1549"/>
      <c r="T574" s="156"/>
      <c r="AR574" s="153"/>
      <c r="AS574" s="153"/>
      <c r="AT574" s="153"/>
      <c r="AU574" s="153"/>
      <c r="AV574" s="153"/>
      <c r="AW574" s="153"/>
      <c r="AX574" s="153"/>
      <c r="AY574" s="153"/>
      <c r="AZ574" s="153"/>
      <c r="BA574" s="153"/>
      <c r="BB574" s="153"/>
      <c r="BC574" s="153"/>
      <c r="BD574" s="153"/>
      <c r="BE574" s="153"/>
      <c r="BF574" s="153"/>
      <c r="BG574" s="153"/>
      <c r="BH574" s="153"/>
      <c r="BI574" s="153"/>
      <c r="BJ574" s="153"/>
      <c r="BK574" s="153"/>
      <c r="BL574" s="153"/>
      <c r="BM574" s="153"/>
      <c r="BN574" s="153"/>
      <c r="BO574" s="153"/>
      <c r="BP574" s="153"/>
      <c r="BQ574" s="153"/>
      <c r="BR574" s="153"/>
      <c r="BS574" s="153"/>
      <c r="BT574" s="153"/>
      <c r="BU574" s="153"/>
      <c r="BV574" s="153"/>
      <c r="BW574" s="153"/>
      <c r="BX574" s="153"/>
      <c r="BY574" s="153"/>
      <c r="BZ574" s="153"/>
      <c r="CA574" s="153"/>
      <c r="CB574" s="153"/>
      <c r="CC574" s="153"/>
      <c r="CD574" s="153"/>
      <c r="CE574" s="153"/>
      <c r="CF574" s="153"/>
      <c r="CG574" s="153"/>
      <c r="CH574" s="153"/>
      <c r="CI574" s="153"/>
      <c r="CJ574" s="153"/>
      <c r="CK574" s="153"/>
      <c r="CL574" s="153"/>
      <c r="CM574" s="153"/>
      <c r="CN574" s="153"/>
      <c r="CO574" s="153"/>
      <c r="CP574" s="153"/>
      <c r="CQ574" s="153"/>
      <c r="CR574" s="153"/>
      <c r="CS574" s="153"/>
      <c r="CT574" s="153"/>
      <c r="CU574" s="153"/>
      <c r="CV574" s="153"/>
      <c r="CW574" s="153"/>
      <c r="CX574" s="153"/>
      <c r="CY574" s="153"/>
      <c r="CZ574" s="153"/>
      <c r="DA574" s="153"/>
      <c r="DB574" s="153"/>
      <c r="DC574" s="153"/>
      <c r="DD574" s="153"/>
      <c r="DE574" s="153"/>
      <c r="DF574" s="153"/>
      <c r="DG574" s="153"/>
      <c r="DH574" s="153"/>
      <c r="DI574" s="153"/>
      <c r="DJ574" s="153"/>
      <c r="DK574" s="153"/>
      <c r="DL574" s="153"/>
      <c r="DM574" s="153"/>
      <c r="DN574" s="153"/>
      <c r="DO574" s="153"/>
      <c r="DP574" s="153"/>
      <c r="DQ574" s="153"/>
      <c r="DR574" s="153"/>
      <c r="DS574" s="153"/>
      <c r="DT574" s="153"/>
      <c r="DU574" s="153"/>
      <c r="DV574" s="153"/>
      <c r="DW574" s="153"/>
      <c r="DX574" s="153"/>
      <c r="DY574" s="153"/>
      <c r="DZ574" s="153"/>
      <c r="EA574" s="153"/>
      <c r="EB574" s="153"/>
      <c r="EC574" s="153"/>
      <c r="ED574" s="153"/>
      <c r="EE574" s="153"/>
      <c r="EF574" s="153"/>
      <c r="EG574" s="153"/>
      <c r="EH574" s="153"/>
      <c r="EI574" s="153"/>
      <c r="EJ574" s="153"/>
      <c r="EK574" s="153"/>
      <c r="EL574" s="153"/>
      <c r="EM574" s="153"/>
    </row>
    <row r="575" spans="2:143" s="107" customFormat="1" ht="10.5" customHeight="1">
      <c r="B575" s="1549"/>
      <c r="T575" s="156"/>
      <c r="AR575" s="153"/>
      <c r="AS575" s="153"/>
      <c r="AT575" s="153"/>
      <c r="AU575" s="153"/>
      <c r="AV575" s="153"/>
      <c r="AW575" s="153"/>
      <c r="AX575" s="153"/>
      <c r="AY575" s="153"/>
      <c r="AZ575" s="153"/>
      <c r="BA575" s="153"/>
      <c r="BB575" s="153"/>
      <c r="BC575" s="153"/>
      <c r="BD575" s="153"/>
      <c r="BE575" s="153"/>
      <c r="BF575" s="153"/>
      <c r="BG575" s="153"/>
      <c r="BH575" s="153"/>
      <c r="BI575" s="153"/>
      <c r="BJ575" s="153"/>
      <c r="BK575" s="153"/>
      <c r="BL575" s="153"/>
      <c r="BM575" s="153"/>
      <c r="BN575" s="153"/>
      <c r="BO575" s="153"/>
      <c r="BP575" s="153"/>
      <c r="BQ575" s="153"/>
      <c r="BR575" s="153"/>
      <c r="BS575" s="153"/>
      <c r="BT575" s="153"/>
      <c r="BU575" s="153"/>
      <c r="BV575" s="153"/>
      <c r="BW575" s="153"/>
      <c r="BX575" s="153"/>
      <c r="BY575" s="153"/>
      <c r="BZ575" s="153"/>
      <c r="CA575" s="153"/>
      <c r="CB575" s="153"/>
      <c r="CC575" s="153"/>
      <c r="CD575" s="153"/>
      <c r="CE575" s="153"/>
      <c r="CF575" s="153"/>
      <c r="CG575" s="153"/>
      <c r="CH575" s="153"/>
      <c r="CI575" s="153"/>
      <c r="CJ575" s="153"/>
      <c r="CK575" s="153"/>
      <c r="CL575" s="153"/>
      <c r="CM575" s="153"/>
      <c r="CN575" s="153"/>
      <c r="CO575" s="153"/>
      <c r="CP575" s="153"/>
      <c r="CQ575" s="153"/>
      <c r="CR575" s="153"/>
      <c r="CS575" s="153"/>
      <c r="CT575" s="153"/>
      <c r="CU575" s="153"/>
      <c r="CV575" s="153"/>
      <c r="CW575" s="153"/>
      <c r="CX575" s="153"/>
      <c r="CY575" s="153"/>
      <c r="CZ575" s="153"/>
      <c r="DA575" s="153"/>
      <c r="DB575" s="153"/>
      <c r="DC575" s="153"/>
      <c r="DD575" s="153"/>
      <c r="DE575" s="153"/>
      <c r="DF575" s="153"/>
      <c r="DG575" s="153"/>
      <c r="DH575" s="153"/>
      <c r="DI575" s="153"/>
      <c r="DJ575" s="153"/>
      <c r="DK575" s="153"/>
      <c r="DL575" s="153"/>
      <c r="DM575" s="153"/>
      <c r="DN575" s="153"/>
      <c r="DO575" s="153"/>
      <c r="DP575" s="153"/>
      <c r="DQ575" s="153"/>
      <c r="DR575" s="153"/>
      <c r="DS575" s="153"/>
      <c r="DT575" s="153"/>
      <c r="DU575" s="153"/>
      <c r="DV575" s="153"/>
      <c r="DW575" s="153"/>
      <c r="DX575" s="153"/>
      <c r="DY575" s="153"/>
      <c r="DZ575" s="153"/>
      <c r="EA575" s="153"/>
      <c r="EB575" s="153"/>
      <c r="EC575" s="153"/>
      <c r="ED575" s="153"/>
      <c r="EE575" s="153"/>
      <c r="EF575" s="153"/>
      <c r="EG575" s="153"/>
      <c r="EH575" s="153"/>
      <c r="EI575" s="153"/>
      <c r="EJ575" s="153"/>
      <c r="EK575" s="153"/>
      <c r="EL575" s="153"/>
      <c r="EM575" s="153"/>
    </row>
    <row r="576" spans="2:143" s="107" customFormat="1" ht="10.5" customHeight="1">
      <c r="B576" s="1549"/>
      <c r="T576" s="156"/>
      <c r="AR576" s="153"/>
      <c r="AS576" s="153"/>
      <c r="AT576" s="153"/>
      <c r="AU576" s="153"/>
      <c r="AV576" s="153"/>
      <c r="AW576" s="153"/>
      <c r="AX576" s="153"/>
      <c r="AY576" s="153"/>
      <c r="AZ576" s="153"/>
      <c r="BA576" s="153"/>
      <c r="BB576" s="153"/>
      <c r="BC576" s="153"/>
      <c r="BD576" s="153"/>
      <c r="BE576" s="153"/>
      <c r="BF576" s="153"/>
      <c r="BG576" s="153"/>
      <c r="BH576" s="153"/>
      <c r="BI576" s="153"/>
      <c r="BJ576" s="153"/>
      <c r="BK576" s="153"/>
      <c r="BL576" s="153"/>
      <c r="BM576" s="153"/>
      <c r="BN576" s="153"/>
      <c r="BO576" s="153"/>
      <c r="BP576" s="153"/>
      <c r="BQ576" s="153"/>
      <c r="BR576" s="153"/>
      <c r="BS576" s="153"/>
      <c r="BT576" s="153"/>
      <c r="BU576" s="153"/>
      <c r="BV576" s="153"/>
      <c r="BW576" s="153"/>
      <c r="BX576" s="153"/>
      <c r="BY576" s="153"/>
      <c r="BZ576" s="153"/>
      <c r="CA576" s="153"/>
      <c r="CB576" s="153"/>
      <c r="CC576" s="153"/>
      <c r="CD576" s="153"/>
      <c r="CE576" s="153"/>
      <c r="CF576" s="153"/>
      <c r="CG576" s="153"/>
      <c r="CH576" s="153"/>
      <c r="CI576" s="153"/>
      <c r="CJ576" s="153"/>
      <c r="CK576" s="153"/>
      <c r="CL576" s="153"/>
      <c r="CM576" s="153"/>
      <c r="CN576" s="153"/>
      <c r="CO576" s="153"/>
      <c r="CP576" s="153"/>
      <c r="CQ576" s="153"/>
      <c r="CR576" s="153"/>
      <c r="CS576" s="153"/>
      <c r="CT576" s="153"/>
      <c r="CU576" s="153"/>
      <c r="CV576" s="153"/>
      <c r="CW576" s="153"/>
      <c r="CX576" s="153"/>
      <c r="CY576" s="153"/>
      <c r="CZ576" s="153"/>
      <c r="DA576" s="153"/>
      <c r="DB576" s="153"/>
      <c r="DC576" s="153"/>
      <c r="DD576" s="153"/>
      <c r="DE576" s="153"/>
      <c r="DF576" s="153"/>
      <c r="DG576" s="153"/>
      <c r="DH576" s="153"/>
      <c r="DI576" s="153"/>
      <c r="DJ576" s="153"/>
      <c r="DK576" s="153"/>
      <c r="DL576" s="153"/>
      <c r="DM576" s="153"/>
      <c r="DN576" s="153"/>
      <c r="DO576" s="153"/>
      <c r="DP576" s="153"/>
      <c r="DQ576" s="153"/>
      <c r="DR576" s="153"/>
      <c r="DS576" s="153"/>
      <c r="DT576" s="153"/>
      <c r="DU576" s="153"/>
      <c r="DV576" s="153"/>
      <c r="DW576" s="153"/>
      <c r="DX576" s="153"/>
      <c r="DY576" s="153"/>
      <c r="DZ576" s="153"/>
      <c r="EA576" s="153"/>
      <c r="EB576" s="153"/>
      <c r="EC576" s="153"/>
      <c r="ED576" s="153"/>
      <c r="EE576" s="153"/>
      <c r="EF576" s="153"/>
      <c r="EG576" s="153"/>
      <c r="EH576" s="153"/>
      <c r="EI576" s="153"/>
      <c r="EJ576" s="153"/>
      <c r="EK576" s="153"/>
      <c r="EL576" s="153"/>
      <c r="EM576" s="153"/>
    </row>
    <row r="577" spans="2:143" s="107" customFormat="1" ht="10.5" customHeight="1">
      <c r="B577" s="1549"/>
      <c r="T577" s="156"/>
      <c r="AR577" s="153"/>
      <c r="AS577" s="153"/>
      <c r="AT577" s="153"/>
      <c r="AU577" s="153"/>
      <c r="AV577" s="153"/>
      <c r="AW577" s="153"/>
      <c r="AX577" s="153"/>
      <c r="AY577" s="153"/>
      <c r="AZ577" s="153"/>
      <c r="BA577" s="153"/>
      <c r="BB577" s="153"/>
      <c r="BC577" s="153"/>
      <c r="BD577" s="153"/>
      <c r="BE577" s="153"/>
      <c r="BF577" s="153"/>
      <c r="BG577" s="153"/>
      <c r="BH577" s="153"/>
      <c r="BI577" s="153"/>
      <c r="BJ577" s="153"/>
      <c r="BK577" s="153"/>
      <c r="BL577" s="153"/>
      <c r="BM577" s="153"/>
      <c r="BN577" s="153"/>
      <c r="BO577" s="153"/>
      <c r="BP577" s="153"/>
      <c r="BQ577" s="153"/>
      <c r="BR577" s="153"/>
      <c r="BS577" s="153"/>
      <c r="BT577" s="153"/>
      <c r="BU577" s="153"/>
      <c r="BV577" s="153"/>
      <c r="BW577" s="153"/>
      <c r="BX577" s="153"/>
      <c r="BY577" s="153"/>
      <c r="BZ577" s="153"/>
      <c r="CA577" s="153"/>
      <c r="CB577" s="153"/>
      <c r="CC577" s="153"/>
      <c r="CD577" s="153"/>
      <c r="CE577" s="153"/>
      <c r="CF577" s="153"/>
      <c r="CG577" s="153"/>
      <c r="CH577" s="153"/>
      <c r="CI577" s="153"/>
      <c r="CJ577" s="153"/>
      <c r="CK577" s="153"/>
      <c r="CL577" s="153"/>
      <c r="CM577" s="153"/>
      <c r="CN577" s="153"/>
      <c r="CO577" s="153"/>
      <c r="CP577" s="153"/>
      <c r="CQ577" s="153"/>
      <c r="CR577" s="153"/>
      <c r="CS577" s="153"/>
      <c r="CT577" s="153"/>
      <c r="CU577" s="153"/>
      <c r="CV577" s="153"/>
      <c r="CW577" s="153"/>
      <c r="CX577" s="153"/>
      <c r="CY577" s="153"/>
      <c r="CZ577" s="153"/>
      <c r="DA577" s="153"/>
      <c r="DB577" s="153"/>
      <c r="DC577" s="153"/>
      <c r="DD577" s="153"/>
      <c r="DE577" s="153"/>
      <c r="DF577" s="153"/>
      <c r="DG577" s="153"/>
      <c r="DH577" s="153"/>
      <c r="DI577" s="153"/>
      <c r="DJ577" s="153"/>
      <c r="DK577" s="153"/>
      <c r="DL577" s="153"/>
      <c r="DM577" s="153"/>
      <c r="DN577" s="153"/>
      <c r="DO577" s="153"/>
      <c r="DP577" s="153"/>
      <c r="DQ577" s="153"/>
      <c r="DR577" s="153"/>
      <c r="DS577" s="153"/>
      <c r="DT577" s="153"/>
      <c r="DU577" s="153"/>
      <c r="DV577" s="153"/>
      <c r="DW577" s="153"/>
      <c r="DX577" s="153"/>
      <c r="DY577" s="153"/>
      <c r="DZ577" s="153"/>
      <c r="EA577" s="153"/>
      <c r="EB577" s="153"/>
      <c r="EC577" s="153"/>
      <c r="ED577" s="153"/>
      <c r="EE577" s="153"/>
      <c r="EF577" s="153"/>
      <c r="EG577" s="153"/>
      <c r="EH577" s="153"/>
      <c r="EI577" s="153"/>
      <c r="EJ577" s="153"/>
      <c r="EK577" s="153"/>
      <c r="EL577" s="153"/>
      <c r="EM577" s="153"/>
    </row>
    <row r="578" spans="2:143" s="107" customFormat="1" ht="10.5" customHeight="1">
      <c r="B578" s="1549"/>
      <c r="T578" s="156"/>
      <c r="AR578" s="153"/>
      <c r="AS578" s="153"/>
      <c r="AT578" s="153"/>
      <c r="AU578" s="153"/>
      <c r="AV578" s="153"/>
      <c r="AW578" s="153"/>
      <c r="AX578" s="153"/>
      <c r="AY578" s="153"/>
      <c r="AZ578" s="153"/>
      <c r="BA578" s="153"/>
      <c r="BB578" s="153"/>
      <c r="BC578" s="153"/>
      <c r="BD578" s="153"/>
      <c r="BE578" s="153"/>
      <c r="BF578" s="153"/>
      <c r="BG578" s="153"/>
      <c r="BH578" s="153"/>
      <c r="BI578" s="153"/>
      <c r="BJ578" s="153"/>
      <c r="BK578" s="153"/>
      <c r="BL578" s="153"/>
      <c r="BM578" s="153"/>
      <c r="BN578" s="153"/>
      <c r="BO578" s="153"/>
      <c r="BP578" s="153"/>
      <c r="BQ578" s="153"/>
      <c r="BR578" s="153"/>
      <c r="BS578" s="153"/>
      <c r="BT578" s="153"/>
      <c r="BU578" s="153"/>
      <c r="BV578" s="153"/>
      <c r="BW578" s="153"/>
      <c r="BX578" s="153"/>
      <c r="BY578" s="153"/>
      <c r="BZ578" s="153"/>
      <c r="CA578" s="153"/>
      <c r="CB578" s="153"/>
      <c r="CC578" s="153"/>
      <c r="CD578" s="153"/>
      <c r="CE578" s="153"/>
      <c r="CF578" s="153"/>
      <c r="CG578" s="153"/>
      <c r="CH578" s="153"/>
      <c r="CI578" s="153"/>
      <c r="CJ578" s="153"/>
      <c r="CK578" s="153"/>
      <c r="CL578" s="153"/>
      <c r="CM578" s="153"/>
      <c r="CN578" s="153"/>
      <c r="CO578" s="153"/>
      <c r="CP578" s="153"/>
      <c r="CQ578" s="153"/>
      <c r="CR578" s="153"/>
      <c r="CS578" s="153"/>
      <c r="CT578" s="153"/>
      <c r="CU578" s="153"/>
      <c r="CV578" s="153"/>
      <c r="CW578" s="153"/>
      <c r="CX578" s="153"/>
      <c r="CY578" s="153"/>
      <c r="CZ578" s="153"/>
      <c r="DA578" s="153"/>
      <c r="DB578" s="153"/>
      <c r="DC578" s="153"/>
      <c r="DD578" s="153"/>
      <c r="DE578" s="153"/>
      <c r="DF578" s="153"/>
      <c r="DG578" s="153"/>
      <c r="DH578" s="153"/>
      <c r="DI578" s="153"/>
      <c r="DJ578" s="153"/>
      <c r="DK578" s="153"/>
      <c r="DL578" s="153"/>
      <c r="DM578" s="153"/>
      <c r="DN578" s="153"/>
      <c r="DO578" s="153"/>
      <c r="DP578" s="153"/>
      <c r="DQ578" s="153"/>
      <c r="DR578" s="153"/>
      <c r="DS578" s="153"/>
      <c r="DT578" s="153"/>
      <c r="DU578" s="153"/>
      <c r="DV578" s="153"/>
      <c r="DW578" s="153"/>
      <c r="DX578" s="153"/>
      <c r="DY578" s="153"/>
      <c r="DZ578" s="153"/>
      <c r="EA578" s="153"/>
      <c r="EB578" s="153"/>
      <c r="EC578" s="153"/>
      <c r="ED578" s="153"/>
      <c r="EE578" s="153"/>
      <c r="EF578" s="153"/>
      <c r="EG578" s="153"/>
      <c r="EH578" s="153"/>
      <c r="EI578" s="153"/>
      <c r="EJ578" s="153"/>
      <c r="EK578" s="153"/>
      <c r="EL578" s="153"/>
      <c r="EM578" s="153"/>
    </row>
    <row r="579" spans="2:143" ht="10.5" customHeight="1">
      <c r="T579" s="156"/>
      <c r="U579" s="107"/>
      <c r="V579" s="107"/>
      <c r="W579" s="107"/>
      <c r="X579" s="107"/>
      <c r="Y579" s="107"/>
      <c r="Z579" s="107"/>
      <c r="AA579" s="107"/>
      <c r="AB579" s="107"/>
      <c r="AR579" s="166"/>
      <c r="AS579" s="166"/>
      <c r="AT579" s="166"/>
      <c r="AU579" s="166"/>
      <c r="AV579" s="166"/>
      <c r="AW579" s="166"/>
      <c r="AX579" s="166"/>
      <c r="AZ579" s="156"/>
      <c r="BA579" s="156"/>
      <c r="BB579" s="156"/>
      <c r="BC579" s="156"/>
      <c r="BD579" s="156"/>
      <c r="BE579" s="156"/>
      <c r="BF579" s="156"/>
      <c r="BG579" s="156"/>
      <c r="BH579" s="156"/>
      <c r="BI579" s="156"/>
      <c r="BJ579" s="156"/>
      <c r="BK579" s="156"/>
      <c r="BL579" s="156"/>
      <c r="BM579" s="156"/>
      <c r="BN579" s="156"/>
      <c r="BO579" s="156"/>
      <c r="BP579" s="156"/>
      <c r="BQ579" s="156"/>
      <c r="BR579" s="156"/>
      <c r="BS579" s="156"/>
      <c r="BT579" s="156"/>
      <c r="BU579" s="156"/>
      <c r="BV579" s="156"/>
      <c r="BW579" s="156"/>
      <c r="BX579" s="156"/>
      <c r="BY579" s="156"/>
      <c r="BZ579" s="156"/>
      <c r="CA579" s="156"/>
      <c r="CB579" s="156"/>
      <c r="CC579" s="156"/>
      <c r="CD579" s="156"/>
      <c r="CE579" s="156"/>
      <c r="CF579" s="156"/>
      <c r="CG579" s="156"/>
      <c r="CH579" s="156"/>
      <c r="CI579" s="156"/>
      <c r="CJ579" s="156"/>
      <c r="CK579" s="156"/>
      <c r="CL579" s="156"/>
      <c r="CM579" s="156"/>
      <c r="CN579" s="156"/>
      <c r="CO579" s="156"/>
      <c r="CP579" s="156"/>
      <c r="CQ579" s="156"/>
      <c r="CR579" s="156"/>
      <c r="CS579" s="156"/>
      <c r="CT579" s="156"/>
      <c r="CU579" s="156"/>
      <c r="CV579" s="156"/>
      <c r="CW579" s="156"/>
      <c r="CX579" s="156"/>
      <c r="CY579" s="156"/>
      <c r="CZ579" s="156"/>
      <c r="DA579" s="156"/>
      <c r="DB579" s="156"/>
      <c r="DC579" s="156"/>
      <c r="DD579" s="156"/>
      <c r="DE579" s="156"/>
      <c r="DF579" s="156"/>
      <c r="DG579" s="156"/>
      <c r="DH579" s="156"/>
      <c r="DI579" s="156"/>
      <c r="DJ579" s="156"/>
      <c r="DK579" s="156"/>
      <c r="DL579" s="156"/>
      <c r="DM579" s="156"/>
      <c r="DN579" s="156"/>
      <c r="DO579" s="156"/>
      <c r="DP579" s="156"/>
      <c r="DQ579" s="156"/>
      <c r="DR579" s="156"/>
      <c r="DS579" s="156"/>
      <c r="DT579" s="156"/>
      <c r="DU579" s="156"/>
      <c r="DV579" s="156"/>
      <c r="DW579" s="156"/>
      <c r="DX579" s="156"/>
      <c r="DY579" s="156"/>
      <c r="DZ579" s="156"/>
      <c r="EA579" s="156"/>
      <c r="EB579" s="156"/>
      <c r="EC579" s="156"/>
      <c r="ED579" s="156"/>
      <c r="EE579" s="156"/>
      <c r="EF579" s="156"/>
      <c r="EG579" s="156"/>
      <c r="EH579" s="156"/>
      <c r="EI579" s="156"/>
      <c r="EJ579" s="156"/>
      <c r="EK579" s="156"/>
      <c r="EL579" s="156"/>
      <c r="EM579" s="156"/>
    </row>
    <row r="580" spans="2:143" ht="10.5" customHeight="1">
      <c r="T580" s="156"/>
      <c r="AR580" s="166"/>
      <c r="AS580" s="166"/>
      <c r="AT580" s="166"/>
      <c r="AU580" s="166"/>
      <c r="AV580" s="166"/>
      <c r="AW580" s="166"/>
      <c r="AX580" s="166"/>
      <c r="AZ580" s="156"/>
      <c r="BA580" s="156"/>
      <c r="BB580" s="156"/>
      <c r="BC580" s="156"/>
      <c r="BD580" s="156"/>
      <c r="BE580" s="156"/>
      <c r="BF580" s="156"/>
      <c r="BG580" s="156"/>
      <c r="BH580" s="156"/>
      <c r="BI580" s="156"/>
      <c r="BJ580" s="156"/>
      <c r="BK580" s="156"/>
      <c r="BL580" s="156"/>
      <c r="BM580" s="156"/>
      <c r="BN580" s="156"/>
      <c r="BO580" s="156"/>
      <c r="BP580" s="156"/>
      <c r="BQ580" s="156"/>
      <c r="BR580" s="156"/>
      <c r="BS580" s="156"/>
      <c r="BT580" s="156"/>
      <c r="BU580" s="156"/>
      <c r="BV580" s="156"/>
      <c r="BW580" s="156"/>
      <c r="BX580" s="156"/>
      <c r="BY580" s="156"/>
      <c r="BZ580" s="156"/>
      <c r="CA580" s="156"/>
      <c r="CB580" s="156"/>
      <c r="CC580" s="156"/>
      <c r="CD580" s="156"/>
      <c r="CE580" s="156"/>
      <c r="CF580" s="156"/>
      <c r="CG580" s="156"/>
      <c r="CH580" s="156"/>
      <c r="CI580" s="156"/>
      <c r="CJ580" s="156"/>
      <c r="CK580" s="156"/>
      <c r="CL580" s="156"/>
      <c r="CM580" s="156"/>
      <c r="CN580" s="156"/>
      <c r="CO580" s="156"/>
      <c r="CP580" s="156"/>
      <c r="CQ580" s="156"/>
      <c r="CR580" s="156"/>
      <c r="CS580" s="156"/>
      <c r="CT580" s="156"/>
      <c r="CU580" s="156"/>
      <c r="CV580" s="156"/>
      <c r="CW580" s="156"/>
      <c r="CX580" s="156"/>
      <c r="CY580" s="156"/>
      <c r="CZ580" s="156"/>
      <c r="DA580" s="156"/>
      <c r="DB580" s="156"/>
      <c r="DC580" s="156"/>
      <c r="DD580" s="156"/>
      <c r="DE580" s="156"/>
      <c r="DF580" s="156"/>
      <c r="DG580" s="156"/>
      <c r="DH580" s="156"/>
      <c r="DI580" s="156"/>
      <c r="DJ580" s="156"/>
      <c r="DK580" s="156"/>
      <c r="DL580" s="156"/>
      <c r="DM580" s="156"/>
      <c r="DN580" s="156"/>
      <c r="DO580" s="156"/>
      <c r="DP580" s="156"/>
      <c r="DQ580" s="156"/>
      <c r="DR580" s="156"/>
      <c r="DS580" s="156"/>
      <c r="DT580" s="156"/>
      <c r="DU580" s="156"/>
      <c r="DV580" s="156"/>
      <c r="DW580" s="156"/>
      <c r="DX580" s="156"/>
      <c r="DY580" s="156"/>
      <c r="DZ580" s="156"/>
      <c r="EA580" s="156"/>
      <c r="EB580" s="156"/>
      <c r="EC580" s="156"/>
      <c r="ED580" s="156"/>
      <c r="EE580" s="156"/>
      <c r="EF580" s="156"/>
      <c r="EG580" s="156"/>
      <c r="EH580" s="156"/>
      <c r="EI580" s="156"/>
      <c r="EJ580" s="156"/>
      <c r="EK580" s="156"/>
      <c r="EL580" s="156"/>
      <c r="EM580" s="156"/>
    </row>
    <row r="581" spans="2:143" ht="10.5" customHeight="1">
      <c r="T581" s="156"/>
      <c r="AR581" s="166"/>
      <c r="AS581" s="166"/>
      <c r="AT581" s="166"/>
      <c r="AU581" s="166"/>
      <c r="AV581" s="166"/>
      <c r="AW581" s="166"/>
      <c r="AX581" s="166"/>
      <c r="AZ581" s="156"/>
      <c r="BA581" s="156"/>
      <c r="BB581" s="156"/>
      <c r="BC581" s="156"/>
      <c r="BD581" s="156"/>
      <c r="BE581" s="156"/>
      <c r="BF581" s="156"/>
      <c r="BG581" s="156"/>
      <c r="BH581" s="156"/>
      <c r="BI581" s="156"/>
      <c r="BJ581" s="156"/>
      <c r="BK581" s="156"/>
      <c r="BL581" s="156"/>
      <c r="BM581" s="156"/>
      <c r="BN581" s="156"/>
      <c r="BO581" s="156"/>
      <c r="BP581" s="156"/>
      <c r="BQ581" s="156"/>
      <c r="BR581" s="156"/>
      <c r="BS581" s="156"/>
      <c r="BT581" s="156"/>
      <c r="BU581" s="156"/>
      <c r="BV581" s="156"/>
      <c r="BW581" s="156"/>
      <c r="BX581" s="156"/>
      <c r="BY581" s="156"/>
      <c r="BZ581" s="156"/>
      <c r="CA581" s="156"/>
      <c r="CB581" s="156"/>
      <c r="CC581" s="156"/>
      <c r="CD581" s="156"/>
      <c r="CE581" s="156"/>
      <c r="CF581" s="156"/>
      <c r="CG581" s="156"/>
      <c r="CH581" s="156"/>
      <c r="CI581" s="156"/>
      <c r="CJ581" s="156"/>
      <c r="CK581" s="156"/>
      <c r="CL581" s="156"/>
      <c r="CM581" s="156"/>
      <c r="CN581" s="156"/>
      <c r="CO581" s="156"/>
      <c r="CP581" s="156"/>
      <c r="CQ581" s="156"/>
      <c r="CR581" s="156"/>
      <c r="CS581" s="156"/>
      <c r="CT581" s="156"/>
      <c r="CU581" s="156"/>
      <c r="CV581" s="156"/>
      <c r="CW581" s="156"/>
      <c r="CX581" s="156"/>
      <c r="CY581" s="156"/>
      <c r="CZ581" s="156"/>
      <c r="DA581" s="156"/>
      <c r="DB581" s="156"/>
      <c r="DC581" s="156"/>
      <c r="DD581" s="156"/>
      <c r="DE581" s="156"/>
      <c r="DF581" s="156"/>
      <c r="DG581" s="156"/>
      <c r="DH581" s="156"/>
      <c r="DI581" s="156"/>
      <c r="DJ581" s="156"/>
      <c r="DK581" s="156"/>
      <c r="DL581" s="156"/>
      <c r="DM581" s="156"/>
      <c r="DN581" s="156"/>
      <c r="DO581" s="156"/>
      <c r="DP581" s="156"/>
      <c r="DQ581" s="156"/>
      <c r="DR581" s="156"/>
      <c r="DS581" s="156"/>
      <c r="DT581" s="156"/>
      <c r="DU581" s="156"/>
      <c r="DV581" s="156"/>
      <c r="DW581" s="156"/>
      <c r="DX581" s="156"/>
      <c r="DY581" s="156"/>
      <c r="DZ581" s="156"/>
      <c r="EA581" s="156"/>
      <c r="EB581" s="156"/>
      <c r="EC581" s="156"/>
      <c r="ED581" s="156"/>
      <c r="EE581" s="156"/>
      <c r="EF581" s="156"/>
      <c r="EG581" s="156"/>
      <c r="EH581" s="156"/>
      <c r="EI581" s="156"/>
      <c r="EJ581" s="156"/>
      <c r="EK581" s="156"/>
      <c r="EL581" s="156"/>
      <c r="EM581" s="156"/>
    </row>
    <row r="582" spans="2:143" ht="10.5" customHeight="1">
      <c r="T582" s="156"/>
      <c r="AR582" s="166"/>
      <c r="AS582" s="166"/>
      <c r="AT582" s="166"/>
      <c r="AU582" s="166"/>
      <c r="AV582" s="166"/>
      <c r="AW582" s="166"/>
      <c r="AX582" s="166"/>
      <c r="AZ582" s="156"/>
      <c r="BA582" s="156"/>
      <c r="BB582" s="156"/>
      <c r="BC582" s="156"/>
      <c r="BD582" s="156"/>
      <c r="BE582" s="156"/>
      <c r="BF582" s="156"/>
      <c r="BG582" s="156"/>
      <c r="BH582" s="156"/>
      <c r="BI582" s="156"/>
      <c r="BJ582" s="156"/>
      <c r="BK582" s="156"/>
      <c r="BL582" s="156"/>
      <c r="BM582" s="156"/>
      <c r="BN582" s="156"/>
      <c r="BO582" s="156"/>
      <c r="BP582" s="156"/>
      <c r="BQ582" s="156"/>
      <c r="BR582" s="156"/>
      <c r="BS582" s="156"/>
      <c r="BT582" s="156"/>
      <c r="BU582" s="156"/>
      <c r="BV582" s="156"/>
      <c r="BW582" s="156"/>
      <c r="BX582" s="156"/>
      <c r="BY582" s="156"/>
      <c r="BZ582" s="156"/>
      <c r="CA582" s="156"/>
      <c r="CB582" s="156"/>
      <c r="CC582" s="156"/>
      <c r="CD582" s="156"/>
      <c r="CE582" s="156"/>
      <c r="CF582" s="156"/>
      <c r="CG582" s="156"/>
      <c r="CH582" s="156"/>
      <c r="CI582" s="156"/>
      <c r="CJ582" s="156"/>
      <c r="CK582" s="156"/>
      <c r="CL582" s="156"/>
      <c r="CM582" s="156"/>
      <c r="CN582" s="156"/>
      <c r="CO582" s="156"/>
      <c r="CP582" s="156"/>
      <c r="CQ582" s="156"/>
      <c r="CR582" s="156"/>
      <c r="CS582" s="156"/>
      <c r="CT582" s="156"/>
      <c r="CU582" s="156"/>
      <c r="CV582" s="156"/>
      <c r="CW582" s="156"/>
      <c r="CX582" s="156"/>
      <c r="CY582" s="156"/>
      <c r="CZ582" s="156"/>
      <c r="DA582" s="156"/>
      <c r="DB582" s="156"/>
      <c r="DC582" s="156"/>
      <c r="DD582" s="156"/>
      <c r="DE582" s="156"/>
      <c r="DF582" s="156"/>
      <c r="DG582" s="156"/>
      <c r="DH582" s="156"/>
      <c r="DI582" s="156"/>
      <c r="DJ582" s="156"/>
      <c r="DK582" s="156"/>
      <c r="DL582" s="156"/>
      <c r="DM582" s="156"/>
      <c r="DN582" s="156"/>
      <c r="DO582" s="156"/>
      <c r="DP582" s="156"/>
      <c r="DQ582" s="156"/>
      <c r="DR582" s="156"/>
      <c r="DS582" s="156"/>
      <c r="DT582" s="156"/>
      <c r="DU582" s="156"/>
      <c r="DV582" s="156"/>
      <c r="DW582" s="156"/>
      <c r="DX582" s="156"/>
      <c r="DY582" s="156"/>
      <c r="DZ582" s="156"/>
      <c r="EA582" s="156"/>
      <c r="EB582" s="156"/>
      <c r="EC582" s="156"/>
      <c r="ED582" s="156"/>
      <c r="EE582" s="156"/>
      <c r="EF582" s="156"/>
      <c r="EG582" s="156"/>
      <c r="EH582" s="156"/>
      <c r="EI582" s="156"/>
      <c r="EJ582" s="156"/>
      <c r="EK582" s="156"/>
      <c r="EL582" s="156"/>
      <c r="EM582" s="156"/>
    </row>
    <row r="583" spans="2:143" ht="10.5" customHeight="1">
      <c r="T583" s="156"/>
      <c r="AR583" s="166"/>
      <c r="AS583" s="166"/>
      <c r="AT583" s="166"/>
      <c r="AU583" s="166"/>
      <c r="AV583" s="166"/>
      <c r="AW583" s="166"/>
      <c r="AX583" s="166"/>
      <c r="AZ583" s="156"/>
      <c r="BA583" s="156"/>
      <c r="BB583" s="156"/>
      <c r="BC583" s="156"/>
      <c r="BD583" s="156"/>
      <c r="BE583" s="156"/>
      <c r="BF583" s="156"/>
      <c r="BG583" s="156"/>
      <c r="BH583" s="156"/>
      <c r="BI583" s="156"/>
      <c r="BJ583" s="156"/>
      <c r="BK583" s="156"/>
      <c r="BL583" s="156"/>
      <c r="BM583" s="156"/>
      <c r="BN583" s="156"/>
      <c r="BO583" s="156"/>
      <c r="BP583" s="156"/>
      <c r="BQ583" s="156"/>
      <c r="BR583" s="156"/>
      <c r="BS583" s="156"/>
      <c r="BT583" s="156"/>
      <c r="BU583" s="156"/>
      <c r="BV583" s="156"/>
      <c r="BW583" s="156"/>
      <c r="BX583" s="156"/>
      <c r="BY583" s="156"/>
      <c r="BZ583" s="156"/>
      <c r="CA583" s="156"/>
      <c r="CB583" s="156"/>
      <c r="CC583" s="156"/>
      <c r="CD583" s="156"/>
      <c r="CE583" s="156"/>
      <c r="CF583" s="156"/>
      <c r="CG583" s="156"/>
      <c r="CH583" s="156"/>
      <c r="CI583" s="156"/>
      <c r="CJ583" s="156"/>
      <c r="CK583" s="156"/>
      <c r="CL583" s="156"/>
      <c r="CM583" s="156"/>
      <c r="CN583" s="156"/>
      <c r="CO583" s="156"/>
      <c r="CP583" s="156"/>
      <c r="CQ583" s="156"/>
      <c r="CR583" s="156"/>
      <c r="CS583" s="156"/>
      <c r="CT583" s="156"/>
      <c r="CU583" s="156"/>
      <c r="CV583" s="156"/>
      <c r="CW583" s="156"/>
      <c r="CX583" s="156"/>
      <c r="CY583" s="156"/>
      <c r="CZ583" s="156"/>
      <c r="DA583" s="156"/>
      <c r="DB583" s="156"/>
      <c r="DC583" s="156"/>
      <c r="DD583" s="156"/>
      <c r="DE583" s="156"/>
      <c r="DF583" s="156"/>
      <c r="DG583" s="156"/>
      <c r="DH583" s="156"/>
      <c r="DI583" s="156"/>
      <c r="DJ583" s="156"/>
      <c r="DK583" s="156"/>
      <c r="DL583" s="156"/>
      <c r="DM583" s="156"/>
      <c r="DN583" s="156"/>
      <c r="DO583" s="156"/>
      <c r="DP583" s="156"/>
      <c r="DQ583" s="156"/>
      <c r="DR583" s="156"/>
      <c r="DS583" s="156"/>
      <c r="DT583" s="156"/>
      <c r="DU583" s="156"/>
      <c r="DV583" s="156"/>
      <c r="DW583" s="156"/>
      <c r="DX583" s="156"/>
      <c r="DY583" s="156"/>
      <c r="DZ583" s="156"/>
      <c r="EA583" s="156"/>
      <c r="EB583" s="156"/>
      <c r="EC583" s="156"/>
      <c r="ED583" s="156"/>
      <c r="EE583" s="156"/>
      <c r="EF583" s="156"/>
      <c r="EG583" s="156"/>
      <c r="EH583" s="156"/>
      <c r="EI583" s="156"/>
      <c r="EJ583" s="156"/>
      <c r="EK583" s="156"/>
      <c r="EL583" s="156"/>
      <c r="EM583" s="156"/>
    </row>
    <row r="584" spans="2:143" ht="10.5" customHeight="1">
      <c r="T584" s="156"/>
      <c r="AR584" s="166"/>
      <c r="AS584" s="166"/>
      <c r="AT584" s="166"/>
      <c r="AU584" s="166"/>
      <c r="AV584" s="166"/>
      <c r="AW584" s="166"/>
      <c r="AX584" s="166"/>
      <c r="AZ584" s="156"/>
      <c r="BA584" s="156"/>
      <c r="BB584" s="156"/>
      <c r="BC584" s="156"/>
      <c r="BD584" s="156"/>
      <c r="BE584" s="156"/>
      <c r="BF584" s="156"/>
      <c r="BG584" s="156"/>
      <c r="BH584" s="156"/>
      <c r="BI584" s="156"/>
      <c r="BJ584" s="156"/>
      <c r="BK584" s="156"/>
      <c r="BL584" s="156"/>
      <c r="BM584" s="156"/>
      <c r="BN584" s="156"/>
      <c r="BO584" s="156"/>
      <c r="BP584" s="156"/>
      <c r="BQ584" s="156"/>
      <c r="BR584" s="156"/>
      <c r="BS584" s="156"/>
      <c r="BT584" s="156"/>
      <c r="BU584" s="156"/>
      <c r="BV584" s="156"/>
      <c r="BW584" s="156"/>
      <c r="BX584" s="156"/>
      <c r="BY584" s="156"/>
      <c r="BZ584" s="156"/>
      <c r="CA584" s="156"/>
      <c r="CB584" s="156"/>
      <c r="CC584" s="156"/>
      <c r="CD584" s="156"/>
      <c r="CE584" s="156"/>
      <c r="CF584" s="156"/>
      <c r="CG584" s="156"/>
      <c r="CH584" s="156"/>
      <c r="CI584" s="156"/>
      <c r="CJ584" s="156"/>
      <c r="CK584" s="156"/>
      <c r="CL584" s="156"/>
      <c r="CM584" s="156"/>
      <c r="CN584" s="156"/>
      <c r="CO584" s="156"/>
      <c r="CP584" s="156"/>
      <c r="CQ584" s="156"/>
      <c r="CR584" s="156"/>
      <c r="CS584" s="156"/>
      <c r="CT584" s="156"/>
      <c r="CU584" s="156"/>
      <c r="CV584" s="156"/>
      <c r="CW584" s="156"/>
      <c r="CX584" s="156"/>
      <c r="CY584" s="156"/>
      <c r="CZ584" s="156"/>
      <c r="DA584" s="156"/>
      <c r="DB584" s="156"/>
      <c r="DC584" s="156"/>
      <c r="DD584" s="156"/>
      <c r="DE584" s="156"/>
      <c r="DF584" s="156"/>
      <c r="DG584" s="156"/>
      <c r="DH584" s="156"/>
      <c r="DI584" s="156"/>
      <c r="DJ584" s="156"/>
      <c r="DK584" s="156"/>
      <c r="DL584" s="156"/>
      <c r="DM584" s="156"/>
      <c r="DN584" s="156"/>
      <c r="DO584" s="156"/>
      <c r="DP584" s="156"/>
      <c r="DQ584" s="156"/>
      <c r="DR584" s="156"/>
      <c r="DS584" s="156"/>
      <c r="DT584" s="156"/>
      <c r="DU584" s="156"/>
      <c r="DV584" s="156"/>
      <c r="DW584" s="156"/>
      <c r="DX584" s="156"/>
      <c r="DY584" s="156"/>
      <c r="DZ584" s="156"/>
      <c r="EA584" s="156"/>
      <c r="EB584" s="156"/>
      <c r="EC584" s="156"/>
      <c r="ED584" s="156"/>
      <c r="EE584" s="156"/>
      <c r="EF584" s="156"/>
      <c r="EG584" s="156"/>
      <c r="EH584" s="156"/>
      <c r="EI584" s="156"/>
      <c r="EJ584" s="156"/>
      <c r="EK584" s="156"/>
      <c r="EL584" s="156"/>
      <c r="EM584" s="156"/>
    </row>
    <row r="585" spans="2:143" ht="10.5" customHeight="1">
      <c r="T585" s="156"/>
      <c r="AR585" s="166"/>
      <c r="AS585" s="166"/>
      <c r="AT585" s="166"/>
      <c r="AU585" s="166"/>
      <c r="AV585" s="166"/>
      <c r="AW585" s="166"/>
      <c r="AX585" s="166"/>
      <c r="AZ585" s="156"/>
      <c r="BA585" s="156"/>
      <c r="BB585" s="156"/>
      <c r="BC585" s="156"/>
      <c r="BD585" s="156"/>
      <c r="BE585" s="156"/>
      <c r="BF585" s="156"/>
      <c r="BG585" s="156"/>
      <c r="BH585" s="156"/>
      <c r="BI585" s="156"/>
      <c r="BJ585" s="156"/>
      <c r="BK585" s="156"/>
      <c r="BL585" s="156"/>
      <c r="BM585" s="156"/>
      <c r="BN585" s="156"/>
      <c r="BO585" s="156"/>
      <c r="BP585" s="156"/>
      <c r="BQ585" s="156"/>
      <c r="BR585" s="156"/>
      <c r="BS585" s="156"/>
      <c r="BT585" s="156"/>
      <c r="BU585" s="156"/>
      <c r="BV585" s="156"/>
      <c r="BW585" s="156"/>
      <c r="BX585" s="156"/>
      <c r="BY585" s="156"/>
      <c r="BZ585" s="156"/>
      <c r="CA585" s="156"/>
      <c r="CB585" s="156"/>
      <c r="CC585" s="156"/>
      <c r="CD585" s="156"/>
      <c r="CE585" s="156"/>
      <c r="CF585" s="156"/>
      <c r="CG585" s="156"/>
      <c r="CH585" s="156"/>
      <c r="CI585" s="156"/>
      <c r="CJ585" s="156"/>
      <c r="CK585" s="156"/>
      <c r="CL585" s="156"/>
      <c r="CM585" s="156"/>
      <c r="CN585" s="156"/>
      <c r="CO585" s="156"/>
      <c r="CP585" s="156"/>
      <c r="CQ585" s="156"/>
      <c r="CR585" s="156"/>
      <c r="CS585" s="156"/>
      <c r="CT585" s="156"/>
      <c r="CU585" s="156"/>
      <c r="CV585" s="156"/>
      <c r="CW585" s="156"/>
      <c r="CX585" s="156"/>
      <c r="CY585" s="156"/>
      <c r="CZ585" s="156"/>
      <c r="DA585" s="156"/>
      <c r="DB585" s="156"/>
      <c r="DC585" s="156"/>
      <c r="DD585" s="156"/>
      <c r="DE585" s="156"/>
      <c r="DF585" s="156"/>
      <c r="DG585" s="156"/>
      <c r="DH585" s="156"/>
      <c r="DI585" s="156"/>
      <c r="DJ585" s="156"/>
      <c r="DK585" s="156"/>
      <c r="DL585" s="156"/>
      <c r="DM585" s="156"/>
      <c r="DN585" s="156"/>
      <c r="DO585" s="156"/>
      <c r="DP585" s="156"/>
      <c r="DQ585" s="156"/>
      <c r="DR585" s="156"/>
      <c r="DS585" s="156"/>
      <c r="DT585" s="156"/>
      <c r="DU585" s="156"/>
      <c r="DV585" s="156"/>
      <c r="DW585" s="156"/>
      <c r="DX585" s="156"/>
      <c r="DY585" s="156"/>
      <c r="DZ585" s="156"/>
      <c r="EA585" s="156"/>
      <c r="EB585" s="156"/>
      <c r="EC585" s="156"/>
      <c r="ED585" s="156"/>
      <c r="EE585" s="156"/>
      <c r="EF585" s="156"/>
      <c r="EG585" s="156"/>
      <c r="EH585" s="156"/>
      <c r="EI585" s="156"/>
      <c r="EJ585" s="156"/>
      <c r="EK585" s="156"/>
      <c r="EL585" s="156"/>
      <c r="EM585" s="156"/>
    </row>
    <row r="586" spans="2:143" ht="10.5" customHeight="1">
      <c r="T586" s="156"/>
      <c r="AR586" s="166"/>
      <c r="AS586" s="166"/>
      <c r="AT586" s="166"/>
      <c r="AU586" s="166"/>
      <c r="AV586" s="166"/>
      <c r="AW586" s="166"/>
      <c r="AX586" s="166"/>
      <c r="AZ586" s="156"/>
      <c r="BA586" s="156"/>
      <c r="BB586" s="156"/>
      <c r="BC586" s="156"/>
      <c r="BD586" s="156"/>
      <c r="BE586" s="156"/>
      <c r="BF586" s="156"/>
      <c r="BG586" s="156"/>
      <c r="BH586" s="156"/>
      <c r="BI586" s="156"/>
      <c r="BJ586" s="156"/>
      <c r="BK586" s="156"/>
      <c r="BL586" s="156"/>
      <c r="BM586" s="156"/>
      <c r="BN586" s="156"/>
      <c r="BO586" s="156"/>
      <c r="BP586" s="156"/>
      <c r="BQ586" s="156"/>
      <c r="BR586" s="156"/>
      <c r="BS586" s="156"/>
      <c r="BT586" s="156"/>
      <c r="BU586" s="156"/>
      <c r="BV586" s="156"/>
      <c r="BW586" s="156"/>
      <c r="BX586" s="156"/>
      <c r="BY586" s="156"/>
      <c r="BZ586" s="156"/>
      <c r="CA586" s="156"/>
      <c r="CB586" s="156"/>
      <c r="CC586" s="156"/>
      <c r="CD586" s="156"/>
      <c r="CE586" s="156"/>
      <c r="CF586" s="156"/>
      <c r="CG586" s="156"/>
      <c r="CH586" s="156"/>
      <c r="CI586" s="156"/>
      <c r="CJ586" s="156"/>
      <c r="CK586" s="156"/>
      <c r="CL586" s="156"/>
      <c r="CM586" s="156"/>
      <c r="CN586" s="156"/>
      <c r="CO586" s="156"/>
      <c r="CP586" s="156"/>
      <c r="CQ586" s="156"/>
      <c r="CR586" s="156"/>
      <c r="CS586" s="156"/>
      <c r="CT586" s="156"/>
      <c r="CU586" s="156"/>
      <c r="CV586" s="156"/>
      <c r="CW586" s="156"/>
      <c r="CX586" s="156"/>
      <c r="CY586" s="156"/>
      <c r="CZ586" s="156"/>
      <c r="DA586" s="156"/>
      <c r="DB586" s="156"/>
      <c r="DC586" s="156"/>
      <c r="DD586" s="156"/>
      <c r="DE586" s="156"/>
      <c r="DF586" s="156"/>
      <c r="DG586" s="156"/>
      <c r="DH586" s="156"/>
      <c r="DI586" s="156"/>
      <c r="DJ586" s="156"/>
      <c r="DK586" s="156"/>
      <c r="DL586" s="156"/>
      <c r="DM586" s="156"/>
      <c r="DN586" s="156"/>
      <c r="DO586" s="156"/>
      <c r="DP586" s="156"/>
      <c r="DQ586" s="156"/>
      <c r="DR586" s="156"/>
      <c r="DS586" s="156"/>
      <c r="DT586" s="156"/>
      <c r="DU586" s="156"/>
      <c r="DV586" s="156"/>
      <c r="DW586" s="156"/>
      <c r="DX586" s="156"/>
      <c r="DY586" s="156"/>
      <c r="DZ586" s="156"/>
      <c r="EA586" s="156"/>
      <c r="EB586" s="156"/>
      <c r="EC586" s="156"/>
      <c r="ED586" s="156"/>
      <c r="EE586" s="156"/>
      <c r="EF586" s="156"/>
      <c r="EG586" s="156"/>
      <c r="EH586" s="156"/>
      <c r="EI586" s="156"/>
      <c r="EJ586" s="156"/>
      <c r="EK586" s="156"/>
      <c r="EL586" s="156"/>
      <c r="EM586" s="156"/>
    </row>
    <row r="587" spans="2:143" ht="10.5" customHeight="1">
      <c r="T587" s="156"/>
      <c r="AR587" s="166"/>
      <c r="AS587" s="166"/>
      <c r="AT587" s="166"/>
      <c r="AU587" s="166"/>
      <c r="AV587" s="166"/>
      <c r="AW587" s="166"/>
      <c r="AX587" s="166"/>
      <c r="AZ587" s="156"/>
      <c r="BA587" s="156"/>
      <c r="BB587" s="156"/>
      <c r="BC587" s="156"/>
      <c r="BD587" s="156"/>
      <c r="BE587" s="156"/>
      <c r="BF587" s="156"/>
      <c r="BG587" s="156"/>
      <c r="BH587" s="156"/>
      <c r="BI587" s="156"/>
      <c r="BJ587" s="156"/>
      <c r="BK587" s="156"/>
      <c r="BL587" s="156"/>
      <c r="BM587" s="156"/>
      <c r="BN587" s="156"/>
      <c r="BO587" s="156"/>
      <c r="BP587" s="156"/>
      <c r="BQ587" s="156"/>
      <c r="BR587" s="156"/>
      <c r="BS587" s="156"/>
      <c r="BT587" s="156"/>
      <c r="BU587" s="156"/>
      <c r="BV587" s="156"/>
      <c r="BW587" s="156"/>
      <c r="BX587" s="156"/>
      <c r="BY587" s="156"/>
      <c r="BZ587" s="156"/>
      <c r="CA587" s="156"/>
      <c r="CB587" s="156"/>
      <c r="CC587" s="156"/>
      <c r="CD587" s="156"/>
      <c r="CE587" s="156"/>
      <c r="CF587" s="156"/>
      <c r="CG587" s="156"/>
      <c r="CH587" s="156"/>
      <c r="CI587" s="156"/>
      <c r="CJ587" s="156"/>
      <c r="CK587" s="156"/>
      <c r="CL587" s="156"/>
      <c r="CM587" s="156"/>
      <c r="CN587" s="156"/>
      <c r="CO587" s="156"/>
      <c r="CP587" s="156"/>
      <c r="CQ587" s="156"/>
      <c r="CR587" s="156"/>
      <c r="CS587" s="156"/>
      <c r="CT587" s="156"/>
      <c r="CU587" s="156"/>
      <c r="CV587" s="156"/>
      <c r="CW587" s="156"/>
      <c r="CX587" s="156"/>
      <c r="CY587" s="156"/>
      <c r="CZ587" s="156"/>
      <c r="DA587" s="156"/>
      <c r="DB587" s="156"/>
      <c r="DC587" s="156"/>
      <c r="DD587" s="156"/>
      <c r="DE587" s="156"/>
      <c r="DF587" s="156"/>
      <c r="DG587" s="156"/>
      <c r="DH587" s="156"/>
      <c r="DI587" s="156"/>
      <c r="DJ587" s="156"/>
      <c r="DK587" s="156"/>
      <c r="DL587" s="156"/>
      <c r="DM587" s="156"/>
      <c r="DN587" s="156"/>
      <c r="DO587" s="156"/>
      <c r="DP587" s="156"/>
      <c r="DQ587" s="156"/>
      <c r="DR587" s="156"/>
      <c r="DS587" s="156"/>
      <c r="DT587" s="156"/>
      <c r="DU587" s="156"/>
      <c r="DV587" s="156"/>
      <c r="DW587" s="156"/>
      <c r="DX587" s="156"/>
      <c r="DY587" s="156"/>
      <c r="DZ587" s="156"/>
      <c r="EA587" s="156"/>
      <c r="EB587" s="156"/>
      <c r="EC587" s="156"/>
      <c r="ED587" s="156"/>
      <c r="EE587" s="156"/>
      <c r="EF587" s="156"/>
      <c r="EG587" s="156"/>
      <c r="EH587" s="156"/>
      <c r="EI587" s="156"/>
      <c r="EJ587" s="156"/>
      <c r="EK587" s="156"/>
      <c r="EL587" s="156"/>
      <c r="EM587" s="156"/>
    </row>
    <row r="588" spans="2:143" ht="10.5" customHeight="1">
      <c r="T588" s="156"/>
      <c r="AR588" s="166"/>
      <c r="AS588" s="166"/>
      <c r="AT588" s="166"/>
      <c r="AU588" s="166"/>
      <c r="AV588" s="166"/>
      <c r="AW588" s="166"/>
      <c r="AX588" s="166"/>
      <c r="AZ588" s="156"/>
      <c r="BA588" s="156"/>
      <c r="BB588" s="156"/>
      <c r="BC588" s="156"/>
      <c r="BD588" s="156"/>
      <c r="BE588" s="156"/>
      <c r="BF588" s="156"/>
      <c r="BG588" s="156"/>
      <c r="BH588" s="156"/>
      <c r="BI588" s="156"/>
      <c r="BJ588" s="156"/>
      <c r="BK588" s="156"/>
      <c r="BL588" s="156"/>
      <c r="BM588" s="156"/>
      <c r="BN588" s="156"/>
      <c r="BO588" s="156"/>
      <c r="BP588" s="156"/>
      <c r="BQ588" s="156"/>
      <c r="BR588" s="156"/>
      <c r="BS588" s="156"/>
      <c r="BT588" s="156"/>
      <c r="BU588" s="156"/>
      <c r="BV588" s="156"/>
      <c r="BW588" s="156"/>
      <c r="BX588" s="156"/>
      <c r="BY588" s="156"/>
      <c r="BZ588" s="156"/>
      <c r="CA588" s="156"/>
      <c r="CB588" s="156"/>
      <c r="CC588" s="156"/>
      <c r="CD588" s="156"/>
      <c r="CE588" s="156"/>
      <c r="CF588" s="156"/>
      <c r="CG588" s="156"/>
      <c r="CH588" s="156"/>
      <c r="CI588" s="156"/>
      <c r="CJ588" s="156"/>
      <c r="CK588" s="156"/>
      <c r="CL588" s="156"/>
      <c r="CM588" s="156"/>
      <c r="CN588" s="156"/>
      <c r="CO588" s="156"/>
      <c r="CP588" s="156"/>
      <c r="CQ588" s="156"/>
      <c r="CR588" s="156"/>
      <c r="CS588" s="156"/>
      <c r="CT588" s="156"/>
      <c r="CU588" s="156"/>
      <c r="CV588" s="156"/>
      <c r="CW588" s="156"/>
      <c r="CX588" s="156"/>
      <c r="CY588" s="156"/>
      <c r="CZ588" s="156"/>
      <c r="DA588" s="156"/>
      <c r="DB588" s="156"/>
      <c r="DC588" s="156"/>
      <c r="DD588" s="156"/>
      <c r="DE588" s="156"/>
      <c r="DF588" s="156"/>
      <c r="DG588" s="156"/>
      <c r="DH588" s="156"/>
      <c r="DI588" s="156"/>
      <c r="DJ588" s="156"/>
      <c r="DK588" s="156"/>
      <c r="DL588" s="156"/>
      <c r="DM588" s="156"/>
      <c r="DN588" s="156"/>
      <c r="DO588" s="156"/>
      <c r="DP588" s="156"/>
      <c r="DQ588" s="156"/>
      <c r="DR588" s="156"/>
      <c r="DS588" s="156"/>
      <c r="DT588" s="156"/>
      <c r="DU588" s="156"/>
      <c r="DV588" s="156"/>
      <c r="DW588" s="156"/>
      <c r="DX588" s="156"/>
      <c r="DY588" s="156"/>
      <c r="DZ588" s="156"/>
      <c r="EA588" s="156"/>
      <c r="EB588" s="156"/>
      <c r="EC588" s="156"/>
      <c r="ED588" s="156"/>
      <c r="EE588" s="156"/>
      <c r="EF588" s="156"/>
      <c r="EG588" s="156"/>
      <c r="EH588" s="156"/>
      <c r="EI588" s="156"/>
      <c r="EJ588" s="156"/>
      <c r="EK588" s="156"/>
      <c r="EL588" s="156"/>
      <c r="EM588" s="156"/>
    </row>
    <row r="589" spans="2:143" ht="10.5" customHeight="1">
      <c r="T589" s="156"/>
      <c r="AR589" s="166"/>
      <c r="AS589" s="166"/>
      <c r="AT589" s="166"/>
      <c r="AU589" s="166"/>
      <c r="AV589" s="166"/>
      <c r="AW589" s="166"/>
      <c r="AX589" s="166"/>
      <c r="AZ589" s="156"/>
      <c r="BA589" s="156"/>
      <c r="BB589" s="156"/>
      <c r="BC589" s="156"/>
      <c r="BD589" s="156"/>
      <c r="BE589" s="156"/>
      <c r="BF589" s="156"/>
      <c r="BG589" s="156"/>
      <c r="BH589" s="156"/>
      <c r="BI589" s="156"/>
      <c r="BJ589" s="156"/>
      <c r="BK589" s="156"/>
      <c r="BL589" s="156"/>
      <c r="BM589" s="156"/>
      <c r="BN589" s="156"/>
      <c r="BO589" s="156"/>
      <c r="BP589" s="156"/>
      <c r="BQ589" s="156"/>
      <c r="BR589" s="156"/>
      <c r="BS589" s="156"/>
      <c r="BT589" s="156"/>
      <c r="BU589" s="156"/>
      <c r="BV589" s="156"/>
      <c r="BW589" s="156"/>
      <c r="BX589" s="156"/>
      <c r="BY589" s="156"/>
      <c r="BZ589" s="156"/>
      <c r="CA589" s="156"/>
      <c r="CB589" s="156"/>
      <c r="CC589" s="156"/>
      <c r="CD589" s="156"/>
      <c r="CE589" s="156"/>
      <c r="CF589" s="156"/>
      <c r="CG589" s="156"/>
      <c r="CH589" s="156"/>
      <c r="CI589" s="156"/>
      <c r="CJ589" s="156"/>
      <c r="CK589" s="156"/>
      <c r="CL589" s="156"/>
      <c r="CM589" s="156"/>
      <c r="CN589" s="156"/>
      <c r="CO589" s="156"/>
      <c r="CP589" s="156"/>
      <c r="CQ589" s="156"/>
      <c r="CR589" s="156"/>
      <c r="CS589" s="156"/>
      <c r="CT589" s="156"/>
      <c r="CU589" s="156"/>
      <c r="CV589" s="156"/>
      <c r="CW589" s="156"/>
      <c r="CX589" s="156"/>
      <c r="CY589" s="156"/>
      <c r="CZ589" s="156"/>
      <c r="DA589" s="156"/>
      <c r="DB589" s="156"/>
      <c r="DC589" s="156"/>
      <c r="DD589" s="156"/>
      <c r="DE589" s="156"/>
      <c r="DF589" s="156"/>
      <c r="DG589" s="156"/>
      <c r="DH589" s="156"/>
      <c r="DI589" s="156"/>
      <c r="DJ589" s="156"/>
      <c r="DK589" s="156"/>
      <c r="DL589" s="156"/>
      <c r="DM589" s="156"/>
      <c r="DN589" s="156"/>
      <c r="DO589" s="156"/>
      <c r="DP589" s="156"/>
      <c r="DQ589" s="156"/>
      <c r="DR589" s="156"/>
      <c r="DS589" s="156"/>
      <c r="DT589" s="156"/>
      <c r="DU589" s="156"/>
      <c r="DV589" s="156"/>
      <c r="DW589" s="156"/>
      <c r="DX589" s="156"/>
      <c r="DY589" s="156"/>
      <c r="DZ589" s="156"/>
      <c r="EA589" s="156"/>
      <c r="EB589" s="156"/>
      <c r="EC589" s="156"/>
      <c r="ED589" s="156"/>
      <c r="EE589" s="156"/>
      <c r="EF589" s="156"/>
      <c r="EG589" s="156"/>
      <c r="EH589" s="156"/>
      <c r="EI589" s="156"/>
      <c r="EJ589" s="156"/>
      <c r="EK589" s="156"/>
      <c r="EL589" s="156"/>
      <c r="EM589" s="156"/>
    </row>
    <row r="590" spans="2:143" ht="10.5" customHeight="1">
      <c r="T590" s="156"/>
      <c r="AR590" s="166"/>
      <c r="AS590" s="166"/>
      <c r="AT590" s="166"/>
      <c r="AU590" s="166"/>
      <c r="AV590" s="166"/>
      <c r="AW590" s="166"/>
      <c r="AX590" s="166"/>
      <c r="AZ590" s="156"/>
      <c r="BA590" s="156"/>
      <c r="BB590" s="156"/>
      <c r="BC590" s="156"/>
      <c r="BD590" s="156"/>
      <c r="BE590" s="156"/>
      <c r="BF590" s="156"/>
      <c r="BG590" s="156"/>
      <c r="BH590" s="156"/>
      <c r="BI590" s="156"/>
      <c r="BJ590" s="156"/>
      <c r="BK590" s="156"/>
      <c r="BL590" s="156"/>
      <c r="BM590" s="156"/>
      <c r="BN590" s="156"/>
      <c r="BO590" s="156"/>
      <c r="BP590" s="156"/>
      <c r="BQ590" s="156"/>
      <c r="BR590" s="156"/>
      <c r="BS590" s="156"/>
      <c r="BT590" s="156"/>
      <c r="BU590" s="156"/>
      <c r="BV590" s="156"/>
      <c r="BW590" s="156"/>
      <c r="BX590" s="156"/>
      <c r="BY590" s="156"/>
      <c r="BZ590" s="156"/>
      <c r="CA590" s="156"/>
      <c r="CB590" s="156"/>
      <c r="CC590" s="156"/>
      <c r="CD590" s="156"/>
      <c r="CE590" s="156"/>
      <c r="CF590" s="156"/>
      <c r="CG590" s="156"/>
      <c r="CH590" s="156"/>
      <c r="CI590" s="156"/>
      <c r="CJ590" s="156"/>
      <c r="CK590" s="156"/>
      <c r="CL590" s="156"/>
      <c r="CM590" s="156"/>
      <c r="CN590" s="156"/>
      <c r="CO590" s="156"/>
      <c r="CP590" s="156"/>
      <c r="CQ590" s="156"/>
      <c r="CR590" s="156"/>
      <c r="CS590" s="156"/>
      <c r="CT590" s="156"/>
      <c r="CU590" s="156"/>
      <c r="CV590" s="156"/>
      <c r="CW590" s="156"/>
      <c r="CX590" s="156"/>
      <c r="CY590" s="156"/>
      <c r="CZ590" s="156"/>
      <c r="DA590" s="156"/>
      <c r="DB590" s="156"/>
      <c r="DC590" s="156"/>
      <c r="DD590" s="156"/>
      <c r="DE590" s="156"/>
      <c r="DF590" s="156"/>
      <c r="DG590" s="156"/>
      <c r="DH590" s="156"/>
      <c r="DI590" s="156"/>
      <c r="DJ590" s="156"/>
      <c r="DK590" s="156"/>
      <c r="DL590" s="156"/>
      <c r="DM590" s="156"/>
      <c r="DN590" s="156"/>
      <c r="DO590" s="156"/>
      <c r="DP590" s="156"/>
      <c r="DQ590" s="156"/>
      <c r="DR590" s="156"/>
      <c r="DS590" s="156"/>
      <c r="DT590" s="156"/>
      <c r="DU590" s="156"/>
      <c r="DV590" s="156"/>
      <c r="DW590" s="156"/>
      <c r="DX590" s="156"/>
      <c r="DY590" s="156"/>
      <c r="DZ590" s="156"/>
      <c r="EA590" s="156"/>
      <c r="EB590" s="156"/>
      <c r="EC590" s="156"/>
      <c r="ED590" s="156"/>
      <c r="EE590" s="156"/>
      <c r="EF590" s="156"/>
      <c r="EG590" s="156"/>
      <c r="EH590" s="156"/>
      <c r="EI590" s="156"/>
      <c r="EJ590" s="156"/>
      <c r="EK590" s="156"/>
      <c r="EL590" s="156"/>
      <c r="EM590" s="156"/>
    </row>
    <row r="591" spans="2:143" ht="10.5" customHeight="1">
      <c r="T591" s="156"/>
      <c r="AR591" s="166"/>
      <c r="AS591" s="166"/>
      <c r="AT591" s="166"/>
      <c r="AU591" s="166"/>
      <c r="AV591" s="166"/>
      <c r="AW591" s="166"/>
      <c r="AX591" s="166"/>
      <c r="AZ591" s="156"/>
      <c r="BA591" s="156"/>
      <c r="BB591" s="156"/>
      <c r="BC591" s="156"/>
      <c r="BD591" s="156"/>
      <c r="BE591" s="156"/>
      <c r="BF591" s="156"/>
      <c r="BG591" s="156"/>
      <c r="BH591" s="156"/>
      <c r="BI591" s="156"/>
      <c r="BJ591" s="156"/>
      <c r="BK591" s="156"/>
      <c r="BL591" s="156"/>
      <c r="BM591" s="156"/>
      <c r="BN591" s="156"/>
      <c r="BO591" s="156"/>
      <c r="BP591" s="156"/>
      <c r="BQ591" s="156"/>
      <c r="BR591" s="156"/>
      <c r="BS591" s="156"/>
      <c r="BT591" s="156"/>
      <c r="BU591" s="156"/>
      <c r="BV591" s="156"/>
      <c r="BW591" s="156"/>
      <c r="BX591" s="156"/>
      <c r="BY591" s="156"/>
      <c r="BZ591" s="156"/>
      <c r="CA591" s="156"/>
      <c r="CB591" s="156"/>
      <c r="CC591" s="156"/>
      <c r="CD591" s="156"/>
      <c r="CE591" s="156"/>
      <c r="CF591" s="156"/>
      <c r="CG591" s="156"/>
      <c r="CH591" s="156"/>
      <c r="CI591" s="156"/>
      <c r="CJ591" s="156"/>
      <c r="CK591" s="156"/>
      <c r="CL591" s="156"/>
      <c r="CM591" s="156"/>
      <c r="CN591" s="156"/>
      <c r="CO591" s="156"/>
      <c r="CP591" s="156"/>
      <c r="CQ591" s="156"/>
      <c r="CR591" s="156"/>
      <c r="CS591" s="156"/>
      <c r="CT591" s="156"/>
      <c r="CU591" s="156"/>
      <c r="CV591" s="156"/>
      <c r="CW591" s="156"/>
      <c r="CX591" s="156"/>
      <c r="CY591" s="156"/>
      <c r="CZ591" s="156"/>
      <c r="DA591" s="156"/>
      <c r="DB591" s="156"/>
      <c r="DC591" s="156"/>
      <c r="DD591" s="156"/>
      <c r="DE591" s="156"/>
      <c r="DF591" s="156"/>
      <c r="DG591" s="156"/>
      <c r="DH591" s="156"/>
      <c r="DI591" s="156"/>
      <c r="DJ591" s="156"/>
      <c r="DK591" s="156"/>
      <c r="DL591" s="156"/>
      <c r="DM591" s="156"/>
      <c r="DN591" s="156"/>
      <c r="DO591" s="156"/>
      <c r="DP591" s="156"/>
      <c r="DQ591" s="156"/>
      <c r="DR591" s="156"/>
      <c r="DS591" s="156"/>
      <c r="DT591" s="156"/>
      <c r="DU591" s="156"/>
      <c r="DV591" s="156"/>
      <c r="DW591" s="156"/>
      <c r="DX591" s="156"/>
      <c r="DY591" s="156"/>
      <c r="DZ591" s="156"/>
      <c r="EA591" s="156"/>
      <c r="EB591" s="156"/>
      <c r="EC591" s="156"/>
      <c r="ED591" s="156"/>
      <c r="EE591" s="156"/>
      <c r="EF591" s="156"/>
      <c r="EG591" s="156"/>
      <c r="EH591" s="156"/>
      <c r="EI591" s="156"/>
      <c r="EJ591" s="156"/>
      <c r="EK591" s="156"/>
      <c r="EL591" s="156"/>
      <c r="EM591" s="156"/>
    </row>
    <row r="592" spans="2:143" ht="10.5" customHeight="1">
      <c r="T592" s="156"/>
      <c r="AR592" s="166"/>
      <c r="AS592" s="166"/>
      <c r="AT592" s="166"/>
      <c r="AU592" s="166"/>
      <c r="AV592" s="166"/>
      <c r="AW592" s="166"/>
      <c r="AX592" s="166"/>
      <c r="AZ592" s="156"/>
      <c r="BA592" s="156"/>
      <c r="BB592" s="156"/>
      <c r="BC592" s="156"/>
      <c r="BD592" s="156"/>
      <c r="BE592" s="156"/>
      <c r="BF592" s="156"/>
      <c r="BG592" s="156"/>
      <c r="BH592" s="156"/>
      <c r="BI592" s="156"/>
      <c r="BJ592" s="156"/>
      <c r="BK592" s="156"/>
      <c r="BL592" s="156"/>
      <c r="BM592" s="156"/>
      <c r="BN592" s="156"/>
      <c r="BO592" s="156"/>
      <c r="BP592" s="156"/>
      <c r="BQ592" s="156"/>
      <c r="BR592" s="156"/>
      <c r="BS592" s="156"/>
      <c r="BT592" s="156"/>
      <c r="BU592" s="156"/>
      <c r="BV592" s="156"/>
      <c r="BW592" s="156"/>
      <c r="BX592" s="156"/>
      <c r="BY592" s="156"/>
      <c r="BZ592" s="156"/>
      <c r="CA592" s="156"/>
      <c r="CB592" s="156"/>
      <c r="CC592" s="156"/>
      <c r="CD592" s="156"/>
      <c r="CE592" s="156"/>
      <c r="CF592" s="156"/>
      <c r="CG592" s="156"/>
      <c r="CH592" s="156"/>
      <c r="CI592" s="156"/>
      <c r="CJ592" s="156"/>
      <c r="CK592" s="156"/>
      <c r="CL592" s="156"/>
      <c r="CM592" s="156"/>
      <c r="CN592" s="156"/>
      <c r="CO592" s="156"/>
      <c r="CP592" s="156"/>
      <c r="CQ592" s="156"/>
      <c r="CR592" s="156"/>
      <c r="CS592" s="156"/>
      <c r="CT592" s="156"/>
      <c r="CU592" s="156"/>
      <c r="CV592" s="156"/>
      <c r="CW592" s="156"/>
      <c r="CX592" s="156"/>
      <c r="CY592" s="156"/>
      <c r="CZ592" s="156"/>
      <c r="DA592" s="156"/>
      <c r="DB592" s="156"/>
      <c r="DC592" s="156"/>
      <c r="DD592" s="156"/>
      <c r="DE592" s="156"/>
      <c r="DF592" s="156"/>
      <c r="DG592" s="156"/>
      <c r="DH592" s="156"/>
      <c r="DI592" s="156"/>
      <c r="DJ592" s="156"/>
      <c r="DK592" s="156"/>
      <c r="DL592" s="156"/>
      <c r="DM592" s="156"/>
      <c r="DN592" s="156"/>
      <c r="DO592" s="156"/>
      <c r="DP592" s="156"/>
      <c r="DQ592" s="156"/>
      <c r="DR592" s="156"/>
      <c r="DS592" s="156"/>
      <c r="DT592" s="156"/>
      <c r="DU592" s="156"/>
      <c r="DV592" s="156"/>
      <c r="DW592" s="156"/>
      <c r="DX592" s="156"/>
      <c r="DY592" s="156"/>
      <c r="DZ592" s="156"/>
      <c r="EA592" s="156"/>
      <c r="EB592" s="156"/>
      <c r="EC592" s="156"/>
      <c r="ED592" s="156"/>
      <c r="EE592" s="156"/>
      <c r="EF592" s="156"/>
      <c r="EG592" s="156"/>
      <c r="EH592" s="156"/>
      <c r="EI592" s="156"/>
      <c r="EJ592" s="156"/>
      <c r="EK592" s="156"/>
      <c r="EL592" s="156"/>
      <c r="EM592" s="156"/>
    </row>
    <row r="593" spans="20:143" ht="10.5" customHeight="1">
      <c r="T593" s="156"/>
      <c r="AR593" s="166"/>
      <c r="AS593" s="166"/>
      <c r="AT593" s="166"/>
      <c r="AU593" s="166"/>
      <c r="AV593" s="166"/>
      <c r="AW593" s="166"/>
      <c r="AX593" s="166"/>
      <c r="AZ593" s="156"/>
      <c r="BA593" s="156"/>
      <c r="BB593" s="156"/>
      <c r="BC593" s="156"/>
      <c r="BD593" s="156"/>
      <c r="BE593" s="156"/>
      <c r="BF593" s="156"/>
      <c r="BG593" s="156"/>
      <c r="BH593" s="156"/>
      <c r="BI593" s="156"/>
      <c r="BJ593" s="156"/>
      <c r="BK593" s="156"/>
      <c r="BL593" s="156"/>
      <c r="BM593" s="156"/>
      <c r="BN593" s="156"/>
      <c r="BO593" s="156"/>
      <c r="BP593" s="156"/>
      <c r="BQ593" s="156"/>
      <c r="BR593" s="156"/>
      <c r="BS593" s="156"/>
      <c r="BT593" s="156"/>
      <c r="BU593" s="156"/>
      <c r="BV593" s="156"/>
      <c r="BW593" s="156"/>
      <c r="BX593" s="156"/>
      <c r="BY593" s="156"/>
      <c r="BZ593" s="156"/>
      <c r="CA593" s="156"/>
      <c r="CB593" s="156"/>
      <c r="CC593" s="156"/>
      <c r="CD593" s="156"/>
      <c r="CE593" s="156"/>
      <c r="CF593" s="156"/>
      <c r="CG593" s="156"/>
      <c r="CH593" s="156"/>
      <c r="CI593" s="156"/>
      <c r="CJ593" s="156"/>
      <c r="CK593" s="156"/>
      <c r="CL593" s="156"/>
      <c r="CM593" s="156"/>
      <c r="CN593" s="156"/>
      <c r="CO593" s="156"/>
      <c r="CP593" s="156"/>
      <c r="CQ593" s="156"/>
      <c r="CR593" s="156"/>
      <c r="CS593" s="156"/>
      <c r="CT593" s="156"/>
      <c r="CU593" s="156"/>
      <c r="CV593" s="156"/>
      <c r="CW593" s="156"/>
      <c r="CX593" s="156"/>
      <c r="CY593" s="156"/>
      <c r="CZ593" s="156"/>
      <c r="DA593" s="156"/>
      <c r="DB593" s="156"/>
      <c r="DC593" s="156"/>
      <c r="DD593" s="156"/>
      <c r="DE593" s="156"/>
      <c r="DF593" s="156"/>
      <c r="DG593" s="156"/>
      <c r="DH593" s="156"/>
      <c r="DI593" s="156"/>
      <c r="DJ593" s="156"/>
      <c r="DK593" s="156"/>
      <c r="DL593" s="156"/>
      <c r="DM593" s="156"/>
      <c r="DN593" s="156"/>
      <c r="DO593" s="156"/>
      <c r="DP593" s="156"/>
      <c r="DQ593" s="156"/>
      <c r="DR593" s="156"/>
      <c r="DS593" s="156"/>
      <c r="DT593" s="156"/>
      <c r="DU593" s="156"/>
      <c r="DV593" s="156"/>
      <c r="DW593" s="156"/>
      <c r="DX593" s="156"/>
      <c r="DY593" s="156"/>
      <c r="DZ593" s="156"/>
      <c r="EA593" s="156"/>
      <c r="EB593" s="156"/>
      <c r="EC593" s="156"/>
      <c r="ED593" s="156"/>
      <c r="EE593" s="156"/>
      <c r="EF593" s="156"/>
      <c r="EG593" s="156"/>
      <c r="EH593" s="156"/>
      <c r="EI593" s="156"/>
      <c r="EJ593" s="156"/>
      <c r="EK593" s="156"/>
      <c r="EL593" s="156"/>
      <c r="EM593" s="156"/>
    </row>
    <row r="594" spans="20:143" ht="10.5" customHeight="1">
      <c r="T594" s="156"/>
      <c r="AR594" s="166"/>
      <c r="AS594" s="166"/>
      <c r="AT594" s="166"/>
      <c r="AU594" s="166"/>
      <c r="AV594" s="166"/>
      <c r="AW594" s="166"/>
      <c r="AX594" s="166"/>
      <c r="AZ594" s="156"/>
      <c r="BA594" s="156"/>
      <c r="BB594" s="156"/>
      <c r="BC594" s="156"/>
      <c r="BD594" s="156"/>
      <c r="BE594" s="156"/>
      <c r="BF594" s="156"/>
      <c r="BG594" s="156"/>
      <c r="BH594" s="156"/>
      <c r="BI594" s="156"/>
      <c r="BJ594" s="156"/>
      <c r="BK594" s="156"/>
      <c r="BL594" s="156"/>
      <c r="BM594" s="156"/>
      <c r="BN594" s="156"/>
      <c r="BO594" s="156"/>
      <c r="BP594" s="156"/>
      <c r="BQ594" s="156"/>
      <c r="BR594" s="156"/>
      <c r="BS594" s="156"/>
      <c r="BT594" s="156"/>
      <c r="BU594" s="156"/>
      <c r="BV594" s="156"/>
      <c r="BW594" s="156"/>
      <c r="BX594" s="156"/>
      <c r="BY594" s="156"/>
      <c r="BZ594" s="156"/>
      <c r="CA594" s="156"/>
      <c r="CB594" s="156"/>
      <c r="CC594" s="156"/>
      <c r="CD594" s="156"/>
      <c r="CE594" s="156"/>
      <c r="CF594" s="156"/>
      <c r="CG594" s="156"/>
      <c r="CH594" s="156"/>
      <c r="CI594" s="156"/>
      <c r="CJ594" s="156"/>
      <c r="CK594" s="156"/>
      <c r="CL594" s="156"/>
      <c r="CM594" s="156"/>
      <c r="CN594" s="156"/>
      <c r="CO594" s="156"/>
      <c r="CP594" s="156"/>
      <c r="CQ594" s="156"/>
      <c r="CR594" s="156"/>
      <c r="CS594" s="156"/>
      <c r="CT594" s="156"/>
      <c r="CU594" s="156"/>
      <c r="CV594" s="156"/>
      <c r="CW594" s="156"/>
      <c r="CX594" s="156"/>
      <c r="CY594" s="156"/>
      <c r="CZ594" s="156"/>
      <c r="DA594" s="156"/>
      <c r="DB594" s="156"/>
      <c r="DC594" s="156"/>
      <c r="DD594" s="156"/>
      <c r="DE594" s="156"/>
      <c r="DF594" s="156"/>
      <c r="DG594" s="156"/>
      <c r="DH594" s="156"/>
      <c r="DI594" s="156"/>
      <c r="DJ594" s="156"/>
      <c r="DK594" s="156"/>
      <c r="DL594" s="156"/>
      <c r="DM594" s="156"/>
      <c r="DN594" s="156"/>
      <c r="DO594" s="156"/>
      <c r="DP594" s="156"/>
      <c r="DQ594" s="156"/>
      <c r="DR594" s="156"/>
      <c r="DS594" s="156"/>
      <c r="DT594" s="156"/>
      <c r="DU594" s="156"/>
      <c r="DV594" s="156"/>
      <c r="DW594" s="156"/>
      <c r="DX594" s="156"/>
      <c r="DY594" s="156"/>
      <c r="DZ594" s="156"/>
      <c r="EA594" s="156"/>
      <c r="EB594" s="156"/>
      <c r="EC594" s="156"/>
      <c r="ED594" s="156"/>
      <c r="EE594" s="156"/>
      <c r="EF594" s="156"/>
      <c r="EG594" s="156"/>
      <c r="EH594" s="156"/>
      <c r="EI594" s="156"/>
      <c r="EJ594" s="156"/>
      <c r="EK594" s="156"/>
      <c r="EL594" s="156"/>
      <c r="EM594" s="156"/>
    </row>
    <row r="595" spans="20:143" ht="10.5" customHeight="1">
      <c r="T595" s="156"/>
      <c r="AR595" s="166"/>
      <c r="AS595" s="166"/>
      <c r="AT595" s="166"/>
      <c r="AU595" s="166"/>
      <c r="AV595" s="166"/>
      <c r="AW595" s="166"/>
      <c r="AX595" s="166"/>
      <c r="AZ595" s="156"/>
      <c r="BA595" s="156"/>
      <c r="BB595" s="156"/>
      <c r="BC595" s="156"/>
      <c r="BD595" s="156"/>
      <c r="BE595" s="156"/>
      <c r="BF595" s="156"/>
      <c r="BG595" s="156"/>
      <c r="BH595" s="156"/>
      <c r="BI595" s="156"/>
      <c r="BJ595" s="156"/>
      <c r="BK595" s="156"/>
      <c r="BL595" s="156"/>
      <c r="BM595" s="156"/>
      <c r="BN595" s="156"/>
      <c r="BO595" s="156"/>
      <c r="BP595" s="156"/>
      <c r="BQ595" s="156"/>
      <c r="BR595" s="156"/>
      <c r="BS595" s="156"/>
      <c r="BT595" s="156"/>
      <c r="BU595" s="156"/>
      <c r="BV595" s="156"/>
      <c r="BW595" s="156"/>
      <c r="BX595" s="156"/>
      <c r="BY595" s="156"/>
      <c r="BZ595" s="156"/>
      <c r="CA595" s="156"/>
      <c r="CB595" s="156"/>
      <c r="CC595" s="156"/>
      <c r="CD595" s="156"/>
      <c r="CE595" s="156"/>
      <c r="CF595" s="156"/>
      <c r="CG595" s="156"/>
      <c r="CH595" s="156"/>
      <c r="CI595" s="156"/>
      <c r="CJ595" s="156"/>
      <c r="CK595" s="156"/>
      <c r="CL595" s="156"/>
      <c r="CM595" s="156"/>
      <c r="CN595" s="156"/>
      <c r="CO595" s="156"/>
      <c r="CP595" s="156"/>
      <c r="CQ595" s="156"/>
      <c r="CR595" s="156"/>
      <c r="CS595" s="156"/>
      <c r="CT595" s="156"/>
      <c r="CU595" s="156"/>
      <c r="CV595" s="156"/>
      <c r="CW595" s="156"/>
      <c r="CX595" s="156"/>
      <c r="CY595" s="156"/>
      <c r="CZ595" s="156"/>
      <c r="DA595" s="156"/>
      <c r="DB595" s="156"/>
      <c r="DC595" s="156"/>
      <c r="DD595" s="156"/>
      <c r="DE595" s="156"/>
      <c r="DF595" s="156"/>
      <c r="DG595" s="156"/>
      <c r="DH595" s="156"/>
      <c r="DI595" s="156"/>
      <c r="DJ595" s="156"/>
      <c r="DK595" s="156"/>
      <c r="DL595" s="156"/>
      <c r="DM595" s="156"/>
      <c r="DN595" s="156"/>
      <c r="DO595" s="156"/>
      <c r="DP595" s="156"/>
      <c r="DQ595" s="156"/>
      <c r="DR595" s="156"/>
      <c r="DS595" s="156"/>
      <c r="DT595" s="156"/>
      <c r="DU595" s="156"/>
      <c r="DV595" s="156"/>
      <c r="DW595" s="156"/>
      <c r="DX595" s="156"/>
      <c r="DY595" s="156"/>
      <c r="DZ595" s="156"/>
      <c r="EA595" s="156"/>
      <c r="EB595" s="156"/>
      <c r="EC595" s="156"/>
      <c r="ED595" s="156"/>
      <c r="EE595" s="156"/>
      <c r="EF595" s="156"/>
      <c r="EG595" s="156"/>
      <c r="EH595" s="156"/>
      <c r="EI595" s="156"/>
      <c r="EJ595" s="156"/>
      <c r="EK595" s="156"/>
      <c r="EL595" s="156"/>
      <c r="EM595" s="156"/>
    </row>
    <row r="596" spans="20:143" ht="10.5" customHeight="1">
      <c r="T596" s="156"/>
      <c r="AR596" s="166"/>
      <c r="AS596" s="166"/>
      <c r="AT596" s="166"/>
      <c r="AU596" s="166"/>
      <c r="AV596" s="166"/>
      <c r="AW596" s="166"/>
      <c r="AX596" s="166"/>
      <c r="AZ596" s="156"/>
      <c r="BA596" s="156"/>
      <c r="BB596" s="156"/>
      <c r="BC596" s="156"/>
      <c r="BD596" s="156"/>
      <c r="BE596" s="156"/>
      <c r="BF596" s="156"/>
      <c r="BG596" s="156"/>
      <c r="BH596" s="156"/>
      <c r="BI596" s="156"/>
      <c r="BJ596" s="156"/>
      <c r="BK596" s="156"/>
      <c r="BL596" s="156"/>
      <c r="BM596" s="156"/>
      <c r="BN596" s="156"/>
      <c r="BO596" s="156"/>
      <c r="BP596" s="156"/>
      <c r="BQ596" s="156"/>
      <c r="BR596" s="156"/>
      <c r="BS596" s="156"/>
      <c r="BT596" s="156"/>
      <c r="BU596" s="156"/>
      <c r="BV596" s="156"/>
      <c r="BW596" s="156"/>
      <c r="BX596" s="156"/>
      <c r="BY596" s="156"/>
      <c r="BZ596" s="156"/>
      <c r="CA596" s="156"/>
      <c r="CB596" s="156"/>
      <c r="CC596" s="156"/>
      <c r="CD596" s="156"/>
      <c r="CE596" s="156"/>
      <c r="CF596" s="156"/>
      <c r="CG596" s="156"/>
      <c r="CH596" s="156"/>
      <c r="CI596" s="156"/>
      <c r="CJ596" s="156"/>
      <c r="CK596" s="156"/>
      <c r="CL596" s="156"/>
      <c r="CM596" s="156"/>
      <c r="CN596" s="156"/>
      <c r="CO596" s="156"/>
      <c r="CP596" s="156"/>
      <c r="CQ596" s="156"/>
      <c r="CR596" s="156"/>
      <c r="CS596" s="156"/>
      <c r="CT596" s="156"/>
      <c r="CU596" s="156"/>
      <c r="CV596" s="156"/>
      <c r="CW596" s="156"/>
      <c r="CX596" s="156"/>
      <c r="CY596" s="156"/>
      <c r="CZ596" s="156"/>
      <c r="DA596" s="156"/>
      <c r="DB596" s="156"/>
      <c r="DC596" s="156"/>
      <c r="DD596" s="156"/>
      <c r="DE596" s="156"/>
      <c r="DF596" s="156"/>
      <c r="DG596" s="156"/>
      <c r="DH596" s="156"/>
      <c r="DI596" s="156"/>
      <c r="DJ596" s="156"/>
      <c r="DK596" s="156"/>
      <c r="DL596" s="156"/>
      <c r="DM596" s="156"/>
      <c r="DN596" s="156"/>
      <c r="DO596" s="156"/>
      <c r="DP596" s="156"/>
      <c r="DQ596" s="156"/>
      <c r="DR596" s="156"/>
      <c r="DS596" s="156"/>
      <c r="DT596" s="156"/>
      <c r="DU596" s="156"/>
      <c r="DV596" s="156"/>
      <c r="DW596" s="156"/>
      <c r="DX596" s="156"/>
      <c r="DY596" s="156"/>
      <c r="DZ596" s="156"/>
      <c r="EA596" s="156"/>
      <c r="EB596" s="156"/>
      <c r="EC596" s="156"/>
      <c r="ED596" s="156"/>
      <c r="EE596" s="156"/>
      <c r="EF596" s="156"/>
      <c r="EG596" s="156"/>
      <c r="EH596" s="156"/>
      <c r="EI596" s="156"/>
      <c r="EJ596" s="156"/>
      <c r="EK596" s="156"/>
      <c r="EL596" s="156"/>
      <c r="EM596" s="156"/>
    </row>
    <row r="597" spans="20:143" ht="10.5" customHeight="1">
      <c r="T597" s="156"/>
      <c r="AR597" s="166"/>
      <c r="AS597" s="166"/>
      <c r="AT597" s="166"/>
      <c r="AU597" s="166"/>
      <c r="AV597" s="166"/>
      <c r="AW597" s="166"/>
      <c r="AX597" s="166"/>
      <c r="AZ597" s="156"/>
      <c r="BA597" s="156"/>
      <c r="BB597" s="156"/>
      <c r="BC597" s="156"/>
      <c r="BD597" s="156"/>
      <c r="BE597" s="156"/>
      <c r="BF597" s="156"/>
      <c r="BG597" s="156"/>
      <c r="BH597" s="156"/>
      <c r="BI597" s="156"/>
      <c r="BJ597" s="156"/>
      <c r="BK597" s="156"/>
      <c r="BL597" s="156"/>
      <c r="BM597" s="156"/>
      <c r="BN597" s="156"/>
      <c r="BO597" s="156"/>
      <c r="BP597" s="156"/>
      <c r="BQ597" s="156"/>
      <c r="BR597" s="156"/>
      <c r="BS597" s="156"/>
      <c r="BT597" s="156"/>
      <c r="BU597" s="156"/>
      <c r="BV597" s="156"/>
      <c r="BW597" s="156"/>
      <c r="BX597" s="156"/>
      <c r="BY597" s="156"/>
      <c r="BZ597" s="156"/>
      <c r="CA597" s="156"/>
      <c r="CB597" s="156"/>
      <c r="CC597" s="156"/>
      <c r="CD597" s="156"/>
      <c r="CE597" s="156"/>
      <c r="CF597" s="156"/>
      <c r="CG597" s="156"/>
      <c r="CH597" s="156"/>
      <c r="CI597" s="156"/>
      <c r="CJ597" s="156"/>
      <c r="CK597" s="156"/>
      <c r="CL597" s="156"/>
      <c r="CM597" s="156"/>
      <c r="CN597" s="156"/>
      <c r="CO597" s="156"/>
      <c r="CP597" s="156"/>
      <c r="CQ597" s="156"/>
      <c r="CR597" s="156"/>
      <c r="CS597" s="156"/>
      <c r="CT597" s="156"/>
      <c r="CU597" s="156"/>
      <c r="CV597" s="156"/>
      <c r="CW597" s="156"/>
      <c r="CX597" s="156"/>
      <c r="CY597" s="156"/>
      <c r="CZ597" s="156"/>
      <c r="DA597" s="156"/>
      <c r="DB597" s="156"/>
      <c r="DC597" s="156"/>
      <c r="DD597" s="156"/>
      <c r="DE597" s="156"/>
      <c r="DF597" s="156"/>
      <c r="DG597" s="156"/>
      <c r="DH597" s="156"/>
      <c r="DI597" s="156"/>
      <c r="DJ597" s="156"/>
      <c r="DK597" s="156"/>
      <c r="DL597" s="156"/>
      <c r="DM597" s="156"/>
      <c r="DN597" s="156"/>
      <c r="DO597" s="156"/>
      <c r="DP597" s="156"/>
      <c r="DQ597" s="156"/>
      <c r="DR597" s="156"/>
      <c r="DS597" s="156"/>
      <c r="DT597" s="156"/>
      <c r="DU597" s="156"/>
      <c r="DV597" s="156"/>
      <c r="DW597" s="156"/>
      <c r="DX597" s="156"/>
      <c r="DY597" s="156"/>
      <c r="DZ597" s="156"/>
      <c r="EA597" s="156"/>
      <c r="EB597" s="156"/>
      <c r="EC597" s="156"/>
      <c r="ED597" s="156"/>
      <c r="EE597" s="156"/>
      <c r="EF597" s="156"/>
      <c r="EG597" s="156"/>
      <c r="EH597" s="156"/>
      <c r="EI597" s="156"/>
      <c r="EJ597" s="156"/>
      <c r="EK597" s="156"/>
      <c r="EL597" s="156"/>
      <c r="EM597" s="156"/>
    </row>
    <row r="598" spans="20:143" ht="10.5" customHeight="1">
      <c r="T598" s="156"/>
      <c r="AR598" s="166"/>
      <c r="AS598" s="166"/>
      <c r="AT598" s="166"/>
      <c r="AU598" s="166"/>
      <c r="AV598" s="166"/>
      <c r="AW598" s="166"/>
      <c r="AX598" s="166"/>
      <c r="AZ598" s="156"/>
      <c r="BA598" s="156"/>
      <c r="BB598" s="156"/>
      <c r="BC598" s="156"/>
      <c r="BD598" s="156"/>
      <c r="BE598" s="156"/>
      <c r="BF598" s="156"/>
      <c r="BG598" s="156"/>
      <c r="BH598" s="156"/>
      <c r="BI598" s="156"/>
      <c r="BJ598" s="156"/>
      <c r="BK598" s="156"/>
      <c r="BL598" s="156"/>
      <c r="BM598" s="156"/>
      <c r="BN598" s="156"/>
      <c r="BO598" s="156"/>
      <c r="BP598" s="156"/>
      <c r="BQ598" s="156"/>
      <c r="BR598" s="156"/>
      <c r="BS598" s="156"/>
      <c r="BT598" s="156"/>
      <c r="BU598" s="156"/>
      <c r="BV598" s="156"/>
      <c r="BW598" s="156"/>
      <c r="BX598" s="156"/>
      <c r="BY598" s="156"/>
      <c r="BZ598" s="156"/>
      <c r="CA598" s="156"/>
      <c r="CB598" s="156"/>
      <c r="CC598" s="156"/>
      <c r="CD598" s="156"/>
      <c r="CE598" s="156"/>
      <c r="CF598" s="156"/>
      <c r="CG598" s="156"/>
      <c r="CH598" s="156"/>
      <c r="CI598" s="156"/>
      <c r="CJ598" s="156"/>
      <c r="CK598" s="156"/>
      <c r="CL598" s="156"/>
      <c r="CM598" s="156"/>
      <c r="CN598" s="156"/>
      <c r="CO598" s="156"/>
      <c r="CP598" s="156"/>
      <c r="CQ598" s="156"/>
      <c r="CR598" s="156"/>
      <c r="CS598" s="156"/>
      <c r="CT598" s="156"/>
      <c r="CU598" s="156"/>
      <c r="CV598" s="156"/>
      <c r="CW598" s="156"/>
      <c r="CX598" s="156"/>
      <c r="CY598" s="156"/>
      <c r="CZ598" s="156"/>
      <c r="DA598" s="156"/>
      <c r="DB598" s="156"/>
      <c r="DC598" s="156"/>
      <c r="DD598" s="156"/>
      <c r="DE598" s="156"/>
      <c r="DF598" s="156"/>
      <c r="DG598" s="156"/>
      <c r="DH598" s="156"/>
      <c r="DI598" s="156"/>
      <c r="DJ598" s="156"/>
      <c r="DK598" s="156"/>
      <c r="DL598" s="156"/>
      <c r="DM598" s="156"/>
      <c r="DN598" s="156"/>
      <c r="DO598" s="156"/>
      <c r="DP598" s="156"/>
      <c r="DQ598" s="156"/>
      <c r="DR598" s="156"/>
      <c r="DS598" s="156"/>
      <c r="DT598" s="156"/>
      <c r="DU598" s="156"/>
      <c r="DV598" s="156"/>
      <c r="DW598" s="156"/>
      <c r="DX598" s="156"/>
      <c r="DY598" s="156"/>
      <c r="DZ598" s="156"/>
      <c r="EA598" s="156"/>
      <c r="EB598" s="156"/>
      <c r="EC598" s="156"/>
      <c r="ED598" s="156"/>
      <c r="EE598" s="156"/>
      <c r="EF598" s="156"/>
      <c r="EG598" s="156"/>
      <c r="EH598" s="156"/>
      <c r="EI598" s="156"/>
      <c r="EJ598" s="156"/>
      <c r="EK598" s="156"/>
      <c r="EL598" s="156"/>
      <c r="EM598" s="156"/>
    </row>
    <row r="599" spans="20:143" ht="10.5" customHeight="1">
      <c r="T599" s="156"/>
      <c r="AR599" s="166"/>
      <c r="AS599" s="166"/>
      <c r="AT599" s="166"/>
      <c r="AU599" s="166"/>
      <c r="AV599" s="166"/>
      <c r="AW599" s="166"/>
      <c r="AX599" s="166"/>
      <c r="AZ599" s="156"/>
      <c r="BA599" s="156"/>
      <c r="BB599" s="156"/>
      <c r="BC599" s="156"/>
      <c r="BD599" s="156"/>
      <c r="BE599" s="156"/>
      <c r="BF599" s="156"/>
      <c r="BG599" s="156"/>
      <c r="BH599" s="156"/>
      <c r="BI599" s="156"/>
      <c r="BJ599" s="156"/>
      <c r="BK599" s="156"/>
      <c r="BL599" s="156"/>
      <c r="BM599" s="156"/>
      <c r="BN599" s="156"/>
      <c r="BO599" s="156"/>
      <c r="BP599" s="156"/>
      <c r="BQ599" s="156"/>
      <c r="BR599" s="156"/>
      <c r="BS599" s="156"/>
      <c r="BT599" s="156"/>
      <c r="BU599" s="156"/>
      <c r="BV599" s="156"/>
      <c r="BW599" s="156"/>
      <c r="BX599" s="156"/>
      <c r="BY599" s="156"/>
      <c r="BZ599" s="156"/>
      <c r="CA599" s="156"/>
      <c r="CB599" s="156"/>
      <c r="CC599" s="156"/>
      <c r="CD599" s="156"/>
      <c r="CE599" s="156"/>
      <c r="CF599" s="156"/>
      <c r="CG599" s="156"/>
      <c r="CH599" s="156"/>
      <c r="CI599" s="156"/>
      <c r="CJ599" s="156"/>
      <c r="CK599" s="156"/>
      <c r="CL599" s="156"/>
      <c r="CM599" s="156"/>
      <c r="CN599" s="156"/>
      <c r="CO599" s="156"/>
      <c r="CP599" s="156"/>
      <c r="CQ599" s="156"/>
      <c r="CR599" s="156"/>
      <c r="CS599" s="156"/>
      <c r="CT599" s="156"/>
      <c r="CU599" s="156"/>
      <c r="CV599" s="156"/>
      <c r="CW599" s="156"/>
      <c r="CX599" s="156"/>
      <c r="CY599" s="156"/>
      <c r="CZ599" s="156"/>
      <c r="DA599" s="156"/>
      <c r="DB599" s="156"/>
      <c r="DC599" s="156"/>
      <c r="DD599" s="156"/>
      <c r="DE599" s="156"/>
      <c r="DF599" s="156"/>
      <c r="DG599" s="156"/>
      <c r="DH599" s="156"/>
      <c r="DI599" s="156"/>
      <c r="DJ599" s="156"/>
      <c r="DK599" s="156"/>
      <c r="DL599" s="156"/>
      <c r="DM599" s="156"/>
      <c r="DN599" s="156"/>
      <c r="DO599" s="156"/>
      <c r="DP599" s="156"/>
      <c r="DQ599" s="156"/>
      <c r="DR599" s="156"/>
      <c r="DS599" s="156"/>
      <c r="DT599" s="156"/>
      <c r="DU599" s="156"/>
      <c r="DV599" s="156"/>
      <c r="DW599" s="156"/>
      <c r="DX599" s="156"/>
      <c r="DY599" s="156"/>
      <c r="DZ599" s="156"/>
      <c r="EA599" s="156"/>
      <c r="EB599" s="156"/>
      <c r="EC599" s="156"/>
      <c r="ED599" s="156"/>
      <c r="EE599" s="156"/>
      <c r="EF599" s="156"/>
      <c r="EG599" s="156"/>
      <c r="EH599" s="156"/>
      <c r="EI599" s="156"/>
      <c r="EJ599" s="156"/>
      <c r="EK599" s="156"/>
      <c r="EL599" s="156"/>
      <c r="EM599" s="156"/>
    </row>
    <row r="600" spans="20:143" ht="10.5" customHeight="1">
      <c r="T600" s="156"/>
      <c r="AR600" s="166"/>
      <c r="AS600" s="166"/>
      <c r="AT600" s="166"/>
      <c r="AU600" s="166"/>
      <c r="AV600" s="166"/>
      <c r="AW600" s="166"/>
      <c r="AX600" s="166"/>
      <c r="AZ600" s="156"/>
      <c r="BA600" s="156"/>
      <c r="BB600" s="156"/>
      <c r="BC600" s="156"/>
      <c r="BD600" s="156"/>
      <c r="BE600" s="156"/>
      <c r="BF600" s="156"/>
      <c r="BG600" s="156"/>
      <c r="BH600" s="156"/>
      <c r="BI600" s="156"/>
      <c r="BJ600" s="156"/>
      <c r="BK600" s="156"/>
      <c r="BL600" s="156"/>
      <c r="BM600" s="156"/>
      <c r="BN600" s="156"/>
      <c r="BO600" s="156"/>
      <c r="BP600" s="156"/>
      <c r="BQ600" s="156"/>
      <c r="BR600" s="156"/>
      <c r="BS600" s="156"/>
      <c r="BT600" s="156"/>
      <c r="BU600" s="156"/>
      <c r="BV600" s="156"/>
      <c r="BW600" s="156"/>
      <c r="BX600" s="156"/>
      <c r="BY600" s="156"/>
      <c r="BZ600" s="156"/>
      <c r="CA600" s="156"/>
      <c r="CB600" s="156"/>
      <c r="CC600" s="156"/>
      <c r="CD600" s="156"/>
      <c r="CE600" s="156"/>
      <c r="CF600" s="156"/>
      <c r="CG600" s="156"/>
      <c r="CH600" s="156"/>
      <c r="CI600" s="156"/>
      <c r="CJ600" s="156"/>
      <c r="CK600" s="156"/>
      <c r="CL600" s="156"/>
      <c r="CM600" s="156"/>
      <c r="CN600" s="156"/>
      <c r="CO600" s="156"/>
      <c r="CP600" s="156"/>
      <c r="CQ600" s="156"/>
      <c r="CR600" s="156"/>
      <c r="CS600" s="156"/>
      <c r="CT600" s="156"/>
      <c r="CU600" s="156"/>
      <c r="CV600" s="156"/>
      <c r="CW600" s="156"/>
      <c r="CX600" s="156"/>
      <c r="CY600" s="156"/>
      <c r="CZ600" s="156"/>
      <c r="DA600" s="156"/>
      <c r="DB600" s="156"/>
      <c r="DC600" s="156"/>
      <c r="DD600" s="156"/>
      <c r="DE600" s="156"/>
      <c r="DF600" s="156"/>
      <c r="DG600" s="156"/>
      <c r="DH600" s="156"/>
      <c r="DI600" s="156"/>
      <c r="DJ600" s="156"/>
      <c r="DK600" s="156"/>
      <c r="DL600" s="156"/>
      <c r="DM600" s="156"/>
      <c r="DN600" s="156"/>
      <c r="DO600" s="156"/>
      <c r="DP600" s="156"/>
      <c r="DQ600" s="156"/>
      <c r="DR600" s="156"/>
      <c r="DS600" s="156"/>
      <c r="DT600" s="156"/>
      <c r="DU600" s="156"/>
      <c r="DV600" s="156"/>
      <c r="DW600" s="156"/>
      <c r="DX600" s="156"/>
      <c r="DY600" s="156"/>
      <c r="DZ600" s="156"/>
      <c r="EA600" s="156"/>
      <c r="EB600" s="156"/>
      <c r="EC600" s="156"/>
      <c r="ED600" s="156"/>
      <c r="EE600" s="156"/>
      <c r="EF600" s="156"/>
      <c r="EG600" s="156"/>
      <c r="EH600" s="156"/>
      <c r="EI600" s="156"/>
      <c r="EJ600" s="156"/>
      <c r="EK600" s="156"/>
      <c r="EL600" s="156"/>
      <c r="EM600" s="156"/>
    </row>
    <row r="601" spans="20:143" ht="10.5" customHeight="1">
      <c r="T601" s="156"/>
      <c r="AR601" s="166"/>
      <c r="AS601" s="166"/>
      <c r="AT601" s="166"/>
      <c r="AU601" s="166"/>
      <c r="AV601" s="166"/>
      <c r="AW601" s="166"/>
      <c r="AX601" s="166"/>
      <c r="AZ601" s="156"/>
      <c r="BA601" s="156"/>
      <c r="BB601" s="156"/>
      <c r="BC601" s="156"/>
      <c r="BD601" s="156"/>
      <c r="BE601" s="156"/>
      <c r="BF601" s="156"/>
      <c r="BG601" s="156"/>
      <c r="BH601" s="156"/>
      <c r="BI601" s="156"/>
      <c r="BJ601" s="156"/>
      <c r="BK601" s="156"/>
      <c r="BL601" s="156"/>
      <c r="BM601" s="156"/>
      <c r="BN601" s="156"/>
      <c r="BO601" s="156"/>
      <c r="BP601" s="156"/>
      <c r="BQ601" s="156"/>
      <c r="BR601" s="156"/>
      <c r="BS601" s="156"/>
      <c r="BT601" s="156"/>
      <c r="BU601" s="156"/>
      <c r="BV601" s="156"/>
      <c r="BW601" s="156"/>
      <c r="BX601" s="156"/>
      <c r="BY601" s="156"/>
      <c r="BZ601" s="156"/>
      <c r="CA601" s="156"/>
      <c r="CB601" s="156"/>
      <c r="CC601" s="156"/>
      <c r="CD601" s="156"/>
      <c r="CE601" s="156"/>
      <c r="CF601" s="156"/>
      <c r="CG601" s="156"/>
      <c r="CH601" s="156"/>
      <c r="CI601" s="156"/>
      <c r="CJ601" s="156"/>
      <c r="CK601" s="156"/>
      <c r="CL601" s="156"/>
      <c r="CM601" s="156"/>
      <c r="CN601" s="156"/>
      <c r="CO601" s="156"/>
      <c r="CP601" s="156"/>
      <c r="CQ601" s="156"/>
      <c r="CR601" s="156"/>
      <c r="CS601" s="156"/>
      <c r="CT601" s="156"/>
      <c r="CU601" s="156"/>
      <c r="CV601" s="156"/>
      <c r="CW601" s="156"/>
      <c r="CX601" s="156"/>
      <c r="CY601" s="156"/>
      <c r="CZ601" s="156"/>
      <c r="DA601" s="156"/>
      <c r="DB601" s="156"/>
      <c r="DC601" s="156"/>
      <c r="DD601" s="156"/>
      <c r="DE601" s="156"/>
      <c r="DF601" s="156"/>
      <c r="DG601" s="156"/>
      <c r="DH601" s="156"/>
      <c r="DI601" s="156"/>
      <c r="DJ601" s="156"/>
      <c r="DK601" s="156"/>
      <c r="DL601" s="156"/>
      <c r="DM601" s="156"/>
      <c r="DN601" s="156"/>
      <c r="DO601" s="156"/>
      <c r="DP601" s="156"/>
      <c r="DQ601" s="156"/>
      <c r="DR601" s="156"/>
      <c r="DS601" s="156"/>
      <c r="DT601" s="156"/>
      <c r="DU601" s="156"/>
      <c r="DV601" s="156"/>
      <c r="DW601" s="156"/>
      <c r="DX601" s="156"/>
      <c r="DY601" s="156"/>
      <c r="DZ601" s="156"/>
      <c r="EA601" s="156"/>
      <c r="EB601" s="156"/>
      <c r="EC601" s="156"/>
      <c r="ED601" s="156"/>
      <c r="EE601" s="156"/>
      <c r="EF601" s="156"/>
      <c r="EG601" s="156"/>
      <c r="EH601" s="156"/>
      <c r="EI601" s="156"/>
      <c r="EJ601" s="156"/>
      <c r="EK601" s="156"/>
      <c r="EL601" s="156"/>
      <c r="EM601" s="156"/>
    </row>
    <row r="602" spans="20:143" ht="10.5" customHeight="1">
      <c r="T602" s="156"/>
      <c r="AR602" s="166"/>
      <c r="AS602" s="166"/>
      <c r="AT602" s="166"/>
      <c r="AU602" s="166"/>
      <c r="AV602" s="166"/>
      <c r="AW602" s="166"/>
      <c r="AX602" s="166"/>
      <c r="AZ602" s="156"/>
      <c r="BA602" s="156"/>
      <c r="BB602" s="156"/>
      <c r="BC602" s="156"/>
      <c r="BD602" s="156"/>
      <c r="BE602" s="156"/>
      <c r="BF602" s="156"/>
      <c r="BG602" s="156"/>
      <c r="BH602" s="156"/>
      <c r="BI602" s="156"/>
      <c r="BJ602" s="156"/>
      <c r="BK602" s="156"/>
      <c r="BL602" s="156"/>
      <c r="BM602" s="156"/>
      <c r="BN602" s="156"/>
      <c r="BO602" s="156"/>
      <c r="BP602" s="156"/>
      <c r="BQ602" s="156"/>
      <c r="BR602" s="156"/>
      <c r="BS602" s="156"/>
      <c r="BT602" s="156"/>
      <c r="BU602" s="156"/>
      <c r="BV602" s="156"/>
      <c r="BW602" s="156"/>
      <c r="BX602" s="156"/>
      <c r="BY602" s="156"/>
      <c r="BZ602" s="156"/>
      <c r="CA602" s="156"/>
      <c r="CB602" s="156"/>
      <c r="CC602" s="156"/>
      <c r="CD602" s="156"/>
      <c r="CE602" s="156"/>
      <c r="CF602" s="156"/>
      <c r="CG602" s="156"/>
      <c r="CH602" s="156"/>
      <c r="CI602" s="156"/>
      <c r="CJ602" s="156"/>
      <c r="CK602" s="156"/>
      <c r="CL602" s="156"/>
      <c r="CM602" s="156"/>
      <c r="CN602" s="156"/>
      <c r="CO602" s="156"/>
      <c r="CP602" s="156"/>
      <c r="CQ602" s="156"/>
      <c r="CR602" s="156"/>
      <c r="CS602" s="156"/>
      <c r="CT602" s="156"/>
      <c r="CU602" s="156"/>
      <c r="CV602" s="156"/>
      <c r="CW602" s="156"/>
      <c r="CX602" s="156"/>
      <c r="CY602" s="156"/>
      <c r="CZ602" s="156"/>
      <c r="DA602" s="156"/>
      <c r="DB602" s="156"/>
      <c r="DC602" s="156"/>
      <c r="DD602" s="156"/>
      <c r="DE602" s="156"/>
      <c r="DF602" s="156"/>
      <c r="DG602" s="156"/>
      <c r="DH602" s="156"/>
      <c r="DI602" s="156"/>
      <c r="DJ602" s="156"/>
      <c r="DK602" s="156"/>
      <c r="DL602" s="156"/>
      <c r="DM602" s="156"/>
      <c r="DN602" s="156"/>
      <c r="DO602" s="156"/>
      <c r="DP602" s="156"/>
      <c r="DQ602" s="156"/>
      <c r="DR602" s="156"/>
      <c r="DS602" s="156"/>
      <c r="DT602" s="156"/>
      <c r="DU602" s="156"/>
      <c r="DV602" s="156"/>
      <c r="DW602" s="156"/>
      <c r="DX602" s="156"/>
      <c r="DY602" s="156"/>
      <c r="DZ602" s="156"/>
      <c r="EA602" s="156"/>
      <c r="EB602" s="156"/>
      <c r="EC602" s="156"/>
      <c r="ED602" s="156"/>
      <c r="EE602" s="156"/>
      <c r="EF602" s="156"/>
      <c r="EG602" s="156"/>
      <c r="EH602" s="156"/>
      <c r="EI602" s="156"/>
      <c r="EJ602" s="156"/>
      <c r="EK602" s="156"/>
      <c r="EL602" s="156"/>
      <c r="EM602" s="156"/>
    </row>
    <row r="603" spans="20:143" ht="10.5" customHeight="1">
      <c r="T603" s="156"/>
      <c r="AR603" s="166"/>
      <c r="AS603" s="166"/>
      <c r="AT603" s="166"/>
      <c r="AU603" s="166"/>
      <c r="AV603" s="166"/>
      <c r="AW603" s="166"/>
      <c r="AX603" s="166"/>
      <c r="AZ603" s="156"/>
      <c r="BA603" s="156"/>
      <c r="BB603" s="156"/>
      <c r="BC603" s="156"/>
      <c r="BD603" s="156"/>
      <c r="BE603" s="156"/>
      <c r="BF603" s="156"/>
      <c r="BG603" s="156"/>
      <c r="BH603" s="156"/>
      <c r="BI603" s="156"/>
      <c r="BJ603" s="156"/>
      <c r="BK603" s="156"/>
      <c r="BL603" s="156"/>
      <c r="BM603" s="156"/>
      <c r="BN603" s="156"/>
      <c r="BO603" s="156"/>
      <c r="BP603" s="156"/>
      <c r="BQ603" s="156"/>
      <c r="BR603" s="156"/>
      <c r="BS603" s="156"/>
      <c r="BT603" s="156"/>
      <c r="BU603" s="156"/>
      <c r="BV603" s="156"/>
      <c r="BW603" s="156"/>
      <c r="BX603" s="156"/>
      <c r="BY603" s="156"/>
      <c r="BZ603" s="156"/>
      <c r="CA603" s="156"/>
      <c r="CB603" s="156"/>
      <c r="CC603" s="156"/>
      <c r="CD603" s="156"/>
      <c r="CE603" s="156"/>
      <c r="CF603" s="156"/>
      <c r="CG603" s="156"/>
      <c r="CH603" s="156"/>
      <c r="CI603" s="156"/>
      <c r="CJ603" s="156"/>
      <c r="CK603" s="156"/>
      <c r="CL603" s="156"/>
      <c r="CM603" s="156"/>
      <c r="CN603" s="156"/>
      <c r="CO603" s="156"/>
      <c r="CP603" s="156"/>
      <c r="CQ603" s="156"/>
      <c r="CR603" s="156"/>
      <c r="CS603" s="156"/>
      <c r="CT603" s="156"/>
      <c r="CU603" s="156"/>
      <c r="CV603" s="156"/>
      <c r="CW603" s="156"/>
      <c r="CX603" s="156"/>
      <c r="CY603" s="156"/>
      <c r="CZ603" s="156"/>
      <c r="DA603" s="156"/>
      <c r="DB603" s="156"/>
      <c r="DC603" s="156"/>
      <c r="DD603" s="156"/>
      <c r="DE603" s="156"/>
      <c r="DF603" s="156"/>
      <c r="DG603" s="156"/>
      <c r="DH603" s="156"/>
      <c r="DI603" s="156"/>
      <c r="DJ603" s="156"/>
      <c r="DK603" s="156"/>
      <c r="DL603" s="156"/>
      <c r="DM603" s="156"/>
      <c r="DN603" s="156"/>
      <c r="DO603" s="156"/>
      <c r="DP603" s="156"/>
      <c r="DQ603" s="156"/>
      <c r="DR603" s="156"/>
      <c r="DS603" s="156"/>
      <c r="DT603" s="156"/>
      <c r="DU603" s="156"/>
      <c r="DV603" s="156"/>
      <c r="DW603" s="156"/>
      <c r="DX603" s="156"/>
      <c r="DY603" s="156"/>
      <c r="DZ603" s="156"/>
      <c r="EA603" s="156"/>
      <c r="EB603" s="156"/>
      <c r="EC603" s="156"/>
      <c r="ED603" s="156"/>
      <c r="EE603" s="156"/>
      <c r="EF603" s="156"/>
      <c r="EG603" s="156"/>
      <c r="EH603" s="156"/>
      <c r="EI603" s="156"/>
      <c r="EJ603" s="156"/>
      <c r="EK603" s="156"/>
      <c r="EL603" s="156"/>
      <c r="EM603" s="156"/>
    </row>
    <row r="604" spans="20:143" ht="10.5" customHeight="1">
      <c r="T604" s="156"/>
      <c r="AR604" s="166"/>
      <c r="AS604" s="166"/>
      <c r="AT604" s="166"/>
      <c r="AU604" s="166"/>
      <c r="AV604" s="166"/>
      <c r="AW604" s="166"/>
      <c r="AX604" s="166"/>
      <c r="AZ604" s="156"/>
      <c r="BA604" s="156"/>
      <c r="BB604" s="156"/>
      <c r="BC604" s="156"/>
      <c r="BD604" s="156"/>
      <c r="BE604" s="156"/>
      <c r="BF604" s="156"/>
      <c r="BG604" s="156"/>
      <c r="BH604" s="156"/>
      <c r="BI604" s="156"/>
      <c r="BJ604" s="156"/>
      <c r="BK604" s="156"/>
      <c r="BL604" s="156"/>
      <c r="BM604" s="156"/>
      <c r="BN604" s="156"/>
      <c r="BO604" s="156"/>
      <c r="BP604" s="156"/>
      <c r="BQ604" s="156"/>
      <c r="BR604" s="156"/>
      <c r="BS604" s="156"/>
      <c r="BT604" s="156"/>
      <c r="BU604" s="156"/>
      <c r="BV604" s="156"/>
      <c r="BW604" s="156"/>
      <c r="BX604" s="156"/>
      <c r="BY604" s="156"/>
      <c r="BZ604" s="156"/>
      <c r="CA604" s="156"/>
      <c r="CB604" s="156"/>
      <c r="CC604" s="156"/>
      <c r="CD604" s="156"/>
      <c r="CE604" s="156"/>
      <c r="CF604" s="156"/>
      <c r="CG604" s="156"/>
      <c r="CH604" s="156"/>
      <c r="CI604" s="156"/>
      <c r="CJ604" s="156"/>
      <c r="CK604" s="156"/>
      <c r="CL604" s="156"/>
      <c r="CM604" s="156"/>
      <c r="CN604" s="156"/>
      <c r="CO604" s="156"/>
      <c r="CP604" s="156"/>
      <c r="CQ604" s="156"/>
      <c r="CR604" s="156"/>
      <c r="CS604" s="156"/>
      <c r="CT604" s="156"/>
      <c r="CU604" s="156"/>
      <c r="CV604" s="156"/>
      <c r="CW604" s="156"/>
      <c r="CX604" s="156"/>
      <c r="CY604" s="156"/>
      <c r="CZ604" s="156"/>
      <c r="DA604" s="156"/>
      <c r="DB604" s="156"/>
      <c r="DC604" s="156"/>
      <c r="DD604" s="156"/>
      <c r="DE604" s="156"/>
      <c r="DF604" s="156"/>
      <c r="DG604" s="156"/>
      <c r="DH604" s="156"/>
      <c r="DI604" s="156"/>
      <c r="DJ604" s="156"/>
      <c r="DK604" s="156"/>
      <c r="DL604" s="156"/>
      <c r="DM604" s="156"/>
      <c r="DN604" s="156"/>
      <c r="DO604" s="156"/>
      <c r="DP604" s="156"/>
      <c r="DQ604" s="156"/>
      <c r="DR604" s="156"/>
      <c r="DS604" s="156"/>
      <c r="DT604" s="156"/>
      <c r="DU604" s="156"/>
      <c r="DV604" s="156"/>
      <c r="DW604" s="156"/>
      <c r="DX604" s="156"/>
      <c r="DY604" s="156"/>
      <c r="DZ604" s="156"/>
      <c r="EA604" s="156"/>
      <c r="EB604" s="156"/>
      <c r="EC604" s="156"/>
      <c r="ED604" s="156"/>
      <c r="EE604" s="156"/>
      <c r="EF604" s="156"/>
      <c r="EG604" s="156"/>
      <c r="EH604" s="156"/>
      <c r="EI604" s="156"/>
      <c r="EJ604" s="156"/>
      <c r="EK604" s="156"/>
      <c r="EL604" s="156"/>
      <c r="EM604" s="156"/>
    </row>
    <row r="605" spans="20:143" ht="10.5" customHeight="1">
      <c r="T605" s="156"/>
      <c r="AR605" s="166"/>
      <c r="AS605" s="166"/>
      <c r="AT605" s="166"/>
      <c r="AU605" s="166"/>
      <c r="AV605" s="166"/>
      <c r="AW605" s="166"/>
      <c r="AX605" s="166"/>
      <c r="AZ605" s="156"/>
      <c r="BA605" s="156"/>
      <c r="BB605" s="156"/>
      <c r="BC605" s="156"/>
      <c r="BD605" s="156"/>
      <c r="BE605" s="156"/>
      <c r="BF605" s="156"/>
      <c r="BG605" s="156"/>
      <c r="BH605" s="156"/>
      <c r="BI605" s="156"/>
      <c r="BJ605" s="156"/>
      <c r="BK605" s="156"/>
      <c r="BL605" s="156"/>
      <c r="BM605" s="156"/>
      <c r="BN605" s="156"/>
      <c r="BO605" s="156"/>
      <c r="BP605" s="156"/>
      <c r="BQ605" s="156"/>
      <c r="BR605" s="156"/>
      <c r="BS605" s="156"/>
      <c r="BT605" s="156"/>
      <c r="BU605" s="156"/>
      <c r="BV605" s="156"/>
      <c r="BW605" s="156"/>
      <c r="BX605" s="156"/>
      <c r="BY605" s="156"/>
      <c r="BZ605" s="156"/>
      <c r="CA605" s="156"/>
      <c r="CB605" s="156"/>
      <c r="CC605" s="156"/>
      <c r="CD605" s="156"/>
      <c r="CE605" s="156"/>
      <c r="CF605" s="156"/>
      <c r="CG605" s="156"/>
      <c r="CH605" s="156"/>
      <c r="CI605" s="156"/>
      <c r="CJ605" s="156"/>
      <c r="CK605" s="156"/>
      <c r="CL605" s="156"/>
      <c r="CM605" s="156"/>
      <c r="CN605" s="156"/>
      <c r="CO605" s="156"/>
      <c r="CP605" s="156"/>
      <c r="CQ605" s="156"/>
      <c r="CR605" s="156"/>
      <c r="CS605" s="156"/>
      <c r="CT605" s="156"/>
      <c r="CU605" s="156"/>
      <c r="CV605" s="156"/>
      <c r="CW605" s="156"/>
      <c r="CX605" s="156"/>
      <c r="CY605" s="156"/>
      <c r="CZ605" s="156"/>
      <c r="DA605" s="156"/>
      <c r="DB605" s="156"/>
      <c r="DC605" s="156"/>
      <c r="DD605" s="156"/>
      <c r="DE605" s="156"/>
      <c r="DF605" s="156"/>
      <c r="DG605" s="156"/>
      <c r="DH605" s="156"/>
      <c r="DI605" s="156"/>
      <c r="DJ605" s="156"/>
      <c r="DK605" s="156"/>
      <c r="DL605" s="156"/>
      <c r="DM605" s="156"/>
      <c r="DN605" s="156"/>
      <c r="DO605" s="156"/>
      <c r="DP605" s="156"/>
      <c r="DQ605" s="156"/>
      <c r="DR605" s="156"/>
      <c r="DS605" s="156"/>
      <c r="DT605" s="156"/>
      <c r="DU605" s="156"/>
      <c r="DV605" s="156"/>
      <c r="DW605" s="156"/>
      <c r="DX605" s="156"/>
      <c r="DY605" s="156"/>
      <c r="DZ605" s="156"/>
      <c r="EA605" s="156"/>
      <c r="EB605" s="156"/>
      <c r="EC605" s="156"/>
      <c r="ED605" s="156"/>
      <c r="EE605" s="156"/>
      <c r="EF605" s="156"/>
      <c r="EG605" s="156"/>
      <c r="EH605" s="156"/>
      <c r="EI605" s="156"/>
      <c r="EJ605" s="156"/>
      <c r="EK605" s="156"/>
      <c r="EL605" s="156"/>
      <c r="EM605" s="156"/>
    </row>
    <row r="606" spans="20:143" ht="10.5" customHeight="1">
      <c r="T606" s="156"/>
      <c r="AR606" s="166"/>
      <c r="AS606" s="166"/>
      <c r="AT606" s="166"/>
      <c r="AU606" s="166"/>
      <c r="AV606" s="166"/>
      <c r="AW606" s="166"/>
      <c r="AX606" s="166"/>
      <c r="AZ606" s="156"/>
      <c r="BA606" s="156"/>
      <c r="BB606" s="156"/>
      <c r="BC606" s="156"/>
      <c r="BD606" s="156"/>
      <c r="BE606" s="156"/>
      <c r="BF606" s="156"/>
      <c r="BG606" s="156"/>
      <c r="BH606" s="156"/>
      <c r="BI606" s="156"/>
      <c r="BJ606" s="156"/>
      <c r="BK606" s="156"/>
      <c r="BL606" s="156"/>
      <c r="BM606" s="156"/>
      <c r="BN606" s="156"/>
      <c r="BO606" s="156"/>
      <c r="BP606" s="156"/>
      <c r="BQ606" s="156"/>
      <c r="BR606" s="156"/>
      <c r="BS606" s="156"/>
      <c r="BT606" s="156"/>
      <c r="BU606" s="156"/>
      <c r="BV606" s="156"/>
      <c r="BW606" s="156"/>
      <c r="BX606" s="156"/>
      <c r="BY606" s="156"/>
      <c r="BZ606" s="156"/>
      <c r="CA606" s="156"/>
      <c r="CB606" s="156"/>
      <c r="CC606" s="156"/>
      <c r="CD606" s="156"/>
      <c r="CE606" s="156"/>
      <c r="CF606" s="156"/>
      <c r="CG606" s="156"/>
      <c r="CH606" s="156"/>
      <c r="CI606" s="156"/>
      <c r="CJ606" s="156"/>
      <c r="CK606" s="156"/>
      <c r="CL606" s="156"/>
      <c r="CM606" s="156"/>
      <c r="CN606" s="156"/>
      <c r="CO606" s="156"/>
      <c r="CP606" s="156"/>
      <c r="CQ606" s="156"/>
      <c r="CR606" s="156"/>
      <c r="CS606" s="156"/>
      <c r="CT606" s="156"/>
      <c r="CU606" s="156"/>
      <c r="CV606" s="156"/>
      <c r="CW606" s="156"/>
      <c r="CX606" s="156"/>
      <c r="CY606" s="156"/>
      <c r="CZ606" s="156"/>
      <c r="DA606" s="156"/>
      <c r="DB606" s="156"/>
      <c r="DC606" s="156"/>
      <c r="DD606" s="156"/>
      <c r="DE606" s="156"/>
      <c r="DF606" s="156"/>
      <c r="DG606" s="156"/>
      <c r="DH606" s="156"/>
      <c r="DI606" s="156"/>
      <c r="DJ606" s="156"/>
      <c r="DK606" s="156"/>
      <c r="DL606" s="156"/>
      <c r="DM606" s="156"/>
      <c r="DN606" s="156"/>
      <c r="DO606" s="156"/>
      <c r="DP606" s="156"/>
      <c r="DQ606" s="156"/>
      <c r="DR606" s="156"/>
      <c r="DS606" s="156"/>
      <c r="DT606" s="156"/>
      <c r="DU606" s="156"/>
      <c r="DV606" s="156"/>
      <c r="DW606" s="156"/>
      <c r="DX606" s="156"/>
      <c r="DY606" s="156"/>
      <c r="DZ606" s="156"/>
      <c r="EA606" s="156"/>
      <c r="EB606" s="156"/>
      <c r="EC606" s="156"/>
      <c r="ED606" s="156"/>
      <c r="EE606" s="156"/>
      <c r="EF606" s="156"/>
      <c r="EG606" s="156"/>
      <c r="EH606" s="156"/>
      <c r="EI606" s="156"/>
      <c r="EJ606" s="156"/>
      <c r="EK606" s="156"/>
      <c r="EL606" s="156"/>
      <c r="EM606" s="156"/>
    </row>
    <row r="607" spans="20:143" ht="10.5" customHeight="1">
      <c r="T607" s="156"/>
      <c r="AR607" s="166"/>
      <c r="AS607" s="166"/>
      <c r="AT607" s="166"/>
      <c r="AU607" s="166"/>
      <c r="AV607" s="166"/>
      <c r="AW607" s="166"/>
      <c r="AX607" s="166"/>
      <c r="AZ607" s="156"/>
      <c r="BA607" s="156"/>
      <c r="BB607" s="156"/>
      <c r="BC607" s="156"/>
      <c r="BD607" s="156"/>
      <c r="BE607" s="156"/>
      <c r="BF607" s="156"/>
      <c r="BG607" s="156"/>
      <c r="BH607" s="156"/>
      <c r="BI607" s="156"/>
      <c r="BJ607" s="156"/>
      <c r="BK607" s="156"/>
      <c r="BL607" s="156"/>
      <c r="BM607" s="156"/>
      <c r="BN607" s="156"/>
      <c r="BO607" s="156"/>
      <c r="BP607" s="156"/>
      <c r="BQ607" s="156"/>
      <c r="BR607" s="156"/>
      <c r="BS607" s="156"/>
      <c r="BT607" s="156"/>
      <c r="BU607" s="156"/>
      <c r="BV607" s="156"/>
      <c r="BW607" s="156"/>
      <c r="BX607" s="156"/>
      <c r="BY607" s="156"/>
      <c r="BZ607" s="156"/>
      <c r="CA607" s="156"/>
      <c r="CB607" s="156"/>
      <c r="CC607" s="156"/>
      <c r="CD607" s="156"/>
      <c r="CE607" s="156"/>
      <c r="CF607" s="156"/>
      <c r="CG607" s="156"/>
      <c r="CH607" s="156"/>
      <c r="CI607" s="156"/>
      <c r="CJ607" s="156"/>
      <c r="CK607" s="156"/>
      <c r="CL607" s="156"/>
      <c r="CM607" s="156"/>
      <c r="CN607" s="156"/>
      <c r="CO607" s="156"/>
      <c r="CP607" s="156"/>
      <c r="CQ607" s="156"/>
      <c r="CR607" s="156"/>
      <c r="CS607" s="156"/>
      <c r="CT607" s="156"/>
      <c r="CU607" s="156"/>
      <c r="CV607" s="156"/>
      <c r="CW607" s="156"/>
      <c r="CX607" s="156"/>
      <c r="CY607" s="156"/>
      <c r="CZ607" s="156"/>
      <c r="DA607" s="156"/>
      <c r="DB607" s="156"/>
      <c r="DC607" s="156"/>
      <c r="DD607" s="156"/>
      <c r="DE607" s="156"/>
      <c r="DF607" s="156"/>
      <c r="DG607" s="156"/>
      <c r="DH607" s="156"/>
      <c r="DI607" s="156"/>
      <c r="DJ607" s="156"/>
      <c r="DK607" s="156"/>
      <c r="DL607" s="156"/>
      <c r="DM607" s="156"/>
      <c r="DN607" s="156"/>
      <c r="DO607" s="156"/>
      <c r="DP607" s="156"/>
      <c r="DQ607" s="156"/>
      <c r="DR607" s="156"/>
      <c r="DS607" s="156"/>
      <c r="DT607" s="156"/>
      <c r="DU607" s="156"/>
      <c r="DV607" s="156"/>
      <c r="DW607" s="156"/>
      <c r="DX607" s="156"/>
      <c r="DY607" s="156"/>
      <c r="DZ607" s="156"/>
      <c r="EA607" s="156"/>
      <c r="EB607" s="156"/>
      <c r="EC607" s="156"/>
      <c r="ED607" s="156"/>
      <c r="EE607" s="156"/>
      <c r="EF607" s="156"/>
      <c r="EG607" s="156"/>
      <c r="EH607" s="156"/>
      <c r="EI607" s="156"/>
      <c r="EJ607" s="156"/>
      <c r="EK607" s="156"/>
      <c r="EL607" s="156"/>
      <c r="EM607" s="156"/>
    </row>
    <row r="608" spans="20:143" ht="10.5" customHeight="1">
      <c r="T608" s="156"/>
      <c r="AR608" s="166"/>
      <c r="AS608" s="166"/>
      <c r="AT608" s="166"/>
      <c r="AU608" s="166"/>
      <c r="AV608" s="166"/>
      <c r="AW608" s="166"/>
      <c r="AX608" s="166"/>
      <c r="AZ608" s="156"/>
      <c r="BA608" s="156"/>
      <c r="BB608" s="156"/>
      <c r="BC608" s="156"/>
      <c r="BD608" s="156"/>
      <c r="BE608" s="156"/>
      <c r="BF608" s="156"/>
      <c r="BG608" s="156"/>
      <c r="BH608" s="156"/>
      <c r="BI608" s="156"/>
      <c r="BJ608" s="156"/>
      <c r="BK608" s="156"/>
      <c r="BL608" s="156"/>
      <c r="BM608" s="156"/>
      <c r="BN608" s="156"/>
      <c r="BO608" s="156"/>
      <c r="BP608" s="156"/>
      <c r="BQ608" s="156"/>
      <c r="BR608" s="156"/>
      <c r="BS608" s="156"/>
      <c r="BT608" s="156"/>
      <c r="BU608" s="156"/>
      <c r="BV608" s="156"/>
      <c r="BW608" s="156"/>
      <c r="BX608" s="156"/>
      <c r="BY608" s="156"/>
      <c r="BZ608" s="156"/>
      <c r="CA608" s="156"/>
      <c r="CB608" s="156"/>
      <c r="CC608" s="156"/>
      <c r="CD608" s="156"/>
      <c r="CE608" s="156"/>
      <c r="CF608" s="156"/>
      <c r="CG608" s="156"/>
      <c r="CH608" s="156"/>
      <c r="CI608" s="156"/>
      <c r="CJ608" s="156"/>
      <c r="CK608" s="156"/>
      <c r="CL608" s="156"/>
      <c r="CM608" s="156"/>
      <c r="CN608" s="156"/>
      <c r="CO608" s="156"/>
      <c r="CP608" s="156"/>
      <c r="CQ608" s="156"/>
      <c r="CR608" s="156"/>
      <c r="CS608" s="156"/>
      <c r="CT608" s="156"/>
      <c r="CU608" s="156"/>
      <c r="CV608" s="156"/>
      <c r="CW608" s="156"/>
      <c r="CX608" s="156"/>
      <c r="CY608" s="156"/>
      <c r="CZ608" s="156"/>
      <c r="DA608" s="156"/>
      <c r="DB608" s="156"/>
      <c r="DC608" s="156"/>
      <c r="DD608" s="156"/>
      <c r="DE608" s="156"/>
      <c r="DF608" s="156"/>
      <c r="DG608" s="156"/>
      <c r="DH608" s="156"/>
      <c r="DI608" s="156"/>
      <c r="DJ608" s="156"/>
      <c r="DK608" s="156"/>
      <c r="DL608" s="156"/>
      <c r="DM608" s="156"/>
      <c r="DN608" s="156"/>
      <c r="DO608" s="156"/>
      <c r="DP608" s="156"/>
      <c r="DQ608" s="156"/>
      <c r="DR608" s="156"/>
      <c r="DS608" s="156"/>
      <c r="DT608" s="156"/>
      <c r="DU608" s="156"/>
      <c r="DV608" s="156"/>
      <c r="DW608" s="156"/>
      <c r="DX608" s="156"/>
      <c r="DY608" s="156"/>
      <c r="DZ608" s="156"/>
      <c r="EA608" s="156"/>
      <c r="EB608" s="156"/>
      <c r="EC608" s="156"/>
      <c r="ED608" s="156"/>
      <c r="EE608" s="156"/>
      <c r="EF608" s="156"/>
      <c r="EG608" s="156"/>
      <c r="EH608" s="156"/>
      <c r="EI608" s="156"/>
      <c r="EJ608" s="156"/>
      <c r="EK608" s="156"/>
      <c r="EL608" s="156"/>
      <c r="EM608" s="156"/>
    </row>
    <row r="609" spans="20:143" ht="10.5" customHeight="1">
      <c r="T609" s="156"/>
      <c r="AR609" s="166"/>
      <c r="AS609" s="166"/>
      <c r="AT609" s="166"/>
      <c r="AU609" s="166"/>
      <c r="AV609" s="166"/>
      <c r="AW609" s="166"/>
      <c r="AX609" s="166"/>
      <c r="AZ609" s="156"/>
      <c r="BA609" s="156"/>
      <c r="BB609" s="156"/>
      <c r="BC609" s="156"/>
      <c r="BD609" s="156"/>
      <c r="BE609" s="156"/>
      <c r="BF609" s="156"/>
      <c r="BG609" s="156"/>
      <c r="BH609" s="156"/>
      <c r="BI609" s="156"/>
      <c r="BJ609" s="156"/>
      <c r="BK609" s="156"/>
      <c r="BL609" s="156"/>
      <c r="BM609" s="156"/>
      <c r="BN609" s="156"/>
      <c r="BO609" s="156"/>
      <c r="BP609" s="156"/>
      <c r="BQ609" s="156"/>
      <c r="BR609" s="156"/>
      <c r="BS609" s="156"/>
      <c r="BT609" s="156"/>
      <c r="BU609" s="156"/>
      <c r="BV609" s="156"/>
      <c r="BW609" s="156"/>
      <c r="BX609" s="156"/>
      <c r="BY609" s="156"/>
      <c r="BZ609" s="156"/>
      <c r="CA609" s="156"/>
      <c r="CB609" s="156"/>
      <c r="CC609" s="156"/>
      <c r="CD609" s="156"/>
      <c r="CE609" s="156"/>
      <c r="CF609" s="156"/>
      <c r="CG609" s="156"/>
      <c r="CH609" s="156"/>
      <c r="CI609" s="156"/>
      <c r="CJ609" s="156"/>
      <c r="CK609" s="156"/>
      <c r="CL609" s="156"/>
      <c r="CM609" s="156"/>
      <c r="CN609" s="156"/>
      <c r="CO609" s="156"/>
      <c r="CP609" s="156"/>
      <c r="CQ609" s="156"/>
      <c r="CR609" s="156"/>
      <c r="CS609" s="156"/>
      <c r="CT609" s="156"/>
      <c r="CU609" s="156"/>
      <c r="CV609" s="156"/>
      <c r="CW609" s="156"/>
      <c r="CX609" s="156"/>
      <c r="CY609" s="156"/>
      <c r="CZ609" s="156"/>
      <c r="DA609" s="156"/>
      <c r="DB609" s="156"/>
      <c r="DC609" s="156"/>
      <c r="DD609" s="156"/>
      <c r="DE609" s="156"/>
      <c r="DF609" s="156"/>
      <c r="DG609" s="156"/>
      <c r="DH609" s="156"/>
      <c r="DI609" s="156"/>
      <c r="DJ609" s="156"/>
      <c r="DK609" s="156"/>
      <c r="DL609" s="156"/>
      <c r="DM609" s="156"/>
      <c r="DN609" s="156"/>
      <c r="DO609" s="156"/>
      <c r="DP609" s="156"/>
      <c r="DQ609" s="156"/>
      <c r="DR609" s="156"/>
      <c r="DS609" s="156"/>
      <c r="DT609" s="156"/>
      <c r="DU609" s="156"/>
      <c r="DV609" s="156"/>
      <c r="DW609" s="156"/>
      <c r="DX609" s="156"/>
      <c r="DY609" s="156"/>
      <c r="DZ609" s="156"/>
      <c r="EA609" s="156"/>
      <c r="EB609" s="156"/>
      <c r="EC609" s="156"/>
      <c r="ED609" s="156"/>
      <c r="EE609" s="156"/>
      <c r="EF609" s="156"/>
      <c r="EG609" s="156"/>
      <c r="EH609" s="156"/>
      <c r="EI609" s="156"/>
      <c r="EJ609" s="156"/>
      <c r="EK609" s="156"/>
      <c r="EL609" s="156"/>
      <c r="EM609" s="156"/>
    </row>
    <row r="610" spans="20:143" ht="10.5" customHeight="1">
      <c r="T610" s="156"/>
      <c r="AR610" s="166"/>
      <c r="AS610" s="166"/>
      <c r="AT610" s="166"/>
      <c r="AU610" s="166"/>
      <c r="AV610" s="166"/>
      <c r="AW610" s="166"/>
      <c r="AX610" s="166"/>
      <c r="AZ610" s="156"/>
      <c r="BA610" s="156"/>
      <c r="BB610" s="156"/>
      <c r="BC610" s="156"/>
      <c r="BD610" s="156"/>
      <c r="BE610" s="156"/>
      <c r="BF610" s="156"/>
      <c r="BG610" s="156"/>
      <c r="BH610" s="156"/>
      <c r="BI610" s="156"/>
      <c r="BJ610" s="156"/>
      <c r="BK610" s="156"/>
      <c r="BL610" s="156"/>
      <c r="BM610" s="156"/>
      <c r="BN610" s="156"/>
      <c r="BO610" s="156"/>
      <c r="BP610" s="156"/>
      <c r="BQ610" s="156"/>
      <c r="BR610" s="156"/>
      <c r="BS610" s="156"/>
      <c r="BT610" s="156"/>
      <c r="BU610" s="156"/>
      <c r="BV610" s="156"/>
      <c r="BW610" s="156"/>
      <c r="BX610" s="156"/>
      <c r="BY610" s="156"/>
      <c r="BZ610" s="156"/>
      <c r="CA610" s="156"/>
      <c r="CB610" s="156"/>
      <c r="CC610" s="156"/>
      <c r="CD610" s="156"/>
      <c r="CE610" s="156"/>
      <c r="CF610" s="156"/>
      <c r="CG610" s="156"/>
      <c r="CH610" s="156"/>
      <c r="CI610" s="156"/>
      <c r="CJ610" s="156"/>
      <c r="CK610" s="156"/>
      <c r="CL610" s="156"/>
      <c r="CM610" s="156"/>
      <c r="CN610" s="156"/>
      <c r="CO610" s="156"/>
      <c r="CP610" s="156"/>
      <c r="CQ610" s="156"/>
      <c r="CR610" s="156"/>
      <c r="CS610" s="156"/>
      <c r="CT610" s="156"/>
      <c r="CU610" s="156"/>
      <c r="CV610" s="156"/>
      <c r="CW610" s="156"/>
      <c r="CX610" s="156"/>
      <c r="CY610" s="156"/>
      <c r="CZ610" s="156"/>
      <c r="DA610" s="156"/>
      <c r="DB610" s="156"/>
      <c r="DC610" s="156"/>
      <c r="DD610" s="156"/>
      <c r="DE610" s="156"/>
      <c r="DF610" s="156"/>
      <c r="DG610" s="156"/>
      <c r="DH610" s="156"/>
      <c r="DI610" s="156"/>
      <c r="DJ610" s="156"/>
      <c r="DK610" s="156"/>
      <c r="DL610" s="156"/>
      <c r="DM610" s="156"/>
      <c r="DN610" s="156"/>
      <c r="DO610" s="156"/>
      <c r="DP610" s="156"/>
      <c r="DQ610" s="156"/>
      <c r="DR610" s="156"/>
      <c r="DS610" s="156"/>
      <c r="DT610" s="156"/>
      <c r="DU610" s="156"/>
      <c r="DV610" s="156"/>
      <c r="DW610" s="156"/>
      <c r="DX610" s="156"/>
      <c r="DY610" s="156"/>
      <c r="DZ610" s="156"/>
      <c r="EA610" s="156"/>
      <c r="EB610" s="156"/>
      <c r="EC610" s="156"/>
      <c r="ED610" s="156"/>
      <c r="EE610" s="156"/>
      <c r="EF610" s="156"/>
      <c r="EG610" s="156"/>
      <c r="EH610" s="156"/>
      <c r="EI610" s="156"/>
      <c r="EJ610" s="156"/>
      <c r="EK610" s="156"/>
      <c r="EL610" s="156"/>
      <c r="EM610" s="156"/>
    </row>
    <row r="611" spans="20:143" ht="10.5" customHeight="1">
      <c r="T611" s="156"/>
      <c r="AR611" s="166"/>
      <c r="AS611" s="166"/>
      <c r="AT611" s="166"/>
      <c r="AU611" s="166"/>
      <c r="AV611" s="166"/>
      <c r="AW611" s="166"/>
      <c r="AX611" s="166"/>
      <c r="AZ611" s="156"/>
      <c r="BA611" s="156"/>
      <c r="BB611" s="156"/>
      <c r="BC611" s="156"/>
      <c r="BD611" s="156"/>
      <c r="BE611" s="156"/>
      <c r="BF611" s="156"/>
      <c r="BG611" s="156"/>
      <c r="BH611" s="156"/>
      <c r="BI611" s="156"/>
      <c r="BJ611" s="156"/>
      <c r="BK611" s="156"/>
      <c r="BL611" s="156"/>
      <c r="BM611" s="156"/>
      <c r="BN611" s="156"/>
      <c r="BO611" s="156"/>
      <c r="BP611" s="156"/>
      <c r="BQ611" s="156"/>
      <c r="BR611" s="156"/>
      <c r="BS611" s="156"/>
      <c r="BT611" s="156"/>
      <c r="BU611" s="156"/>
      <c r="BV611" s="156"/>
      <c r="BW611" s="156"/>
      <c r="BX611" s="156"/>
      <c r="BY611" s="156"/>
      <c r="BZ611" s="156"/>
      <c r="CA611" s="156"/>
      <c r="CB611" s="156"/>
      <c r="CC611" s="156"/>
      <c r="CD611" s="156"/>
      <c r="CE611" s="156"/>
      <c r="CF611" s="156"/>
      <c r="CG611" s="156"/>
      <c r="CH611" s="156"/>
      <c r="CI611" s="156"/>
      <c r="CJ611" s="156"/>
      <c r="CK611" s="156"/>
      <c r="CL611" s="156"/>
      <c r="CM611" s="156"/>
      <c r="CN611" s="156"/>
      <c r="CO611" s="156"/>
      <c r="CP611" s="156"/>
      <c r="CQ611" s="156"/>
      <c r="CR611" s="156"/>
      <c r="CS611" s="156"/>
      <c r="CT611" s="156"/>
      <c r="CU611" s="156"/>
      <c r="CV611" s="156"/>
      <c r="CW611" s="156"/>
      <c r="CX611" s="156"/>
      <c r="CY611" s="156"/>
      <c r="CZ611" s="156"/>
      <c r="DA611" s="156"/>
      <c r="DB611" s="156"/>
      <c r="DC611" s="156"/>
      <c r="DD611" s="156"/>
      <c r="DE611" s="156"/>
      <c r="DF611" s="156"/>
      <c r="DG611" s="156"/>
      <c r="DH611" s="156"/>
      <c r="DI611" s="156"/>
      <c r="DJ611" s="156"/>
      <c r="DK611" s="156"/>
      <c r="DL611" s="156"/>
      <c r="DM611" s="156"/>
      <c r="DN611" s="156"/>
      <c r="DO611" s="156"/>
      <c r="DP611" s="156"/>
      <c r="DQ611" s="156"/>
      <c r="DR611" s="156"/>
      <c r="DS611" s="156"/>
      <c r="DT611" s="156"/>
      <c r="DU611" s="156"/>
      <c r="DV611" s="156"/>
      <c r="DW611" s="156"/>
      <c r="DX611" s="156"/>
      <c r="DY611" s="156"/>
      <c r="DZ611" s="156"/>
      <c r="EA611" s="156"/>
      <c r="EB611" s="156"/>
      <c r="EC611" s="156"/>
      <c r="ED611" s="156"/>
      <c r="EE611" s="156"/>
      <c r="EF611" s="156"/>
      <c r="EG611" s="156"/>
      <c r="EH611" s="156"/>
      <c r="EI611" s="156"/>
      <c r="EJ611" s="156"/>
      <c r="EK611" s="156"/>
      <c r="EL611" s="156"/>
      <c r="EM611" s="156"/>
    </row>
    <row r="612" spans="20:143" ht="10.5" customHeight="1">
      <c r="T612" s="156"/>
      <c r="AR612" s="166"/>
      <c r="AS612" s="166"/>
      <c r="AT612" s="166"/>
      <c r="AU612" s="166"/>
      <c r="AV612" s="166"/>
      <c r="AW612" s="166"/>
      <c r="AX612" s="166"/>
      <c r="AZ612" s="156"/>
      <c r="BA612" s="156"/>
      <c r="BB612" s="156"/>
      <c r="BC612" s="156"/>
      <c r="BD612" s="156"/>
      <c r="BE612" s="156"/>
      <c r="BF612" s="156"/>
      <c r="BG612" s="156"/>
      <c r="BH612" s="156"/>
      <c r="BI612" s="156"/>
      <c r="BJ612" s="156"/>
      <c r="BK612" s="156"/>
      <c r="BL612" s="156"/>
      <c r="BM612" s="156"/>
      <c r="BN612" s="156"/>
      <c r="BO612" s="156"/>
      <c r="BP612" s="156"/>
      <c r="BQ612" s="156"/>
      <c r="BR612" s="156"/>
      <c r="BS612" s="156"/>
      <c r="BT612" s="156"/>
      <c r="BU612" s="156"/>
      <c r="BV612" s="156"/>
      <c r="BW612" s="156"/>
      <c r="BX612" s="156"/>
      <c r="BY612" s="156"/>
      <c r="BZ612" s="156"/>
      <c r="CA612" s="156"/>
      <c r="CB612" s="156"/>
      <c r="CC612" s="156"/>
      <c r="CD612" s="156"/>
      <c r="CE612" s="156"/>
      <c r="CF612" s="156"/>
      <c r="CG612" s="156"/>
      <c r="CH612" s="156"/>
      <c r="CI612" s="156"/>
      <c r="CJ612" s="156"/>
      <c r="CK612" s="156"/>
      <c r="CL612" s="156"/>
      <c r="CM612" s="156"/>
      <c r="CN612" s="156"/>
      <c r="CO612" s="156"/>
      <c r="CP612" s="156"/>
      <c r="CQ612" s="156"/>
      <c r="CR612" s="156"/>
      <c r="CS612" s="156"/>
      <c r="CT612" s="156"/>
      <c r="CU612" s="156"/>
      <c r="CV612" s="156"/>
      <c r="CW612" s="156"/>
      <c r="CX612" s="156"/>
      <c r="CY612" s="156"/>
      <c r="CZ612" s="156"/>
      <c r="DA612" s="156"/>
      <c r="DB612" s="156"/>
      <c r="DC612" s="156"/>
      <c r="DD612" s="156"/>
      <c r="DE612" s="156"/>
      <c r="DF612" s="156"/>
      <c r="DG612" s="156"/>
      <c r="DH612" s="156"/>
      <c r="DI612" s="156"/>
      <c r="DJ612" s="156"/>
      <c r="DK612" s="156"/>
      <c r="DL612" s="156"/>
      <c r="DM612" s="156"/>
      <c r="DN612" s="156"/>
      <c r="DO612" s="156"/>
      <c r="DP612" s="156"/>
      <c r="DQ612" s="156"/>
      <c r="DR612" s="156"/>
      <c r="DS612" s="156"/>
      <c r="DT612" s="156"/>
      <c r="DU612" s="156"/>
      <c r="DV612" s="156"/>
      <c r="DW612" s="156"/>
      <c r="DX612" s="156"/>
      <c r="DY612" s="156"/>
      <c r="DZ612" s="156"/>
      <c r="EA612" s="156"/>
      <c r="EB612" s="156"/>
      <c r="EC612" s="156"/>
      <c r="ED612" s="156"/>
      <c r="EE612" s="156"/>
      <c r="EF612" s="156"/>
      <c r="EG612" s="156"/>
      <c r="EH612" s="156"/>
      <c r="EI612" s="156"/>
      <c r="EJ612" s="156"/>
      <c r="EK612" s="156"/>
      <c r="EL612" s="156"/>
      <c r="EM612" s="156"/>
    </row>
    <row r="613" spans="20:143" ht="10.5" customHeight="1">
      <c r="T613" s="156"/>
      <c r="AR613" s="166"/>
      <c r="AS613" s="166"/>
      <c r="AT613" s="166"/>
      <c r="AU613" s="166"/>
      <c r="AV613" s="166"/>
      <c r="AW613" s="166"/>
      <c r="AX613" s="166"/>
      <c r="AZ613" s="156"/>
      <c r="BA613" s="156"/>
      <c r="BB613" s="156"/>
      <c r="BC613" s="156"/>
      <c r="BD613" s="156"/>
      <c r="BE613" s="156"/>
      <c r="BF613" s="156"/>
      <c r="BG613" s="156"/>
      <c r="BH613" s="156"/>
      <c r="BI613" s="156"/>
      <c r="BJ613" s="156"/>
      <c r="BK613" s="156"/>
      <c r="BL613" s="156"/>
      <c r="BM613" s="156"/>
      <c r="BN613" s="156"/>
      <c r="BO613" s="156"/>
      <c r="BP613" s="156"/>
      <c r="BQ613" s="156"/>
      <c r="BR613" s="156"/>
      <c r="BS613" s="156"/>
      <c r="BT613" s="156"/>
      <c r="BU613" s="156"/>
      <c r="BV613" s="156"/>
      <c r="BW613" s="156"/>
      <c r="BX613" s="156"/>
      <c r="BY613" s="156"/>
      <c r="BZ613" s="156"/>
      <c r="CA613" s="156"/>
      <c r="CB613" s="156"/>
      <c r="CC613" s="156"/>
      <c r="CD613" s="156"/>
      <c r="CE613" s="156"/>
      <c r="CF613" s="156"/>
      <c r="CG613" s="156"/>
      <c r="CH613" s="156"/>
      <c r="CI613" s="156"/>
      <c r="CJ613" s="156"/>
      <c r="CK613" s="156"/>
      <c r="CL613" s="156"/>
      <c r="CM613" s="156"/>
      <c r="CN613" s="156"/>
      <c r="CO613" s="156"/>
      <c r="CP613" s="156"/>
      <c r="CQ613" s="156"/>
      <c r="CR613" s="156"/>
      <c r="CS613" s="156"/>
      <c r="CT613" s="156"/>
      <c r="CU613" s="156"/>
      <c r="CV613" s="156"/>
      <c r="CW613" s="156"/>
      <c r="CX613" s="156"/>
      <c r="CY613" s="156"/>
      <c r="CZ613" s="156"/>
      <c r="DA613" s="156"/>
      <c r="DB613" s="156"/>
      <c r="DC613" s="156"/>
      <c r="DD613" s="156"/>
      <c r="DE613" s="156"/>
      <c r="DF613" s="156"/>
      <c r="DG613" s="156"/>
      <c r="DH613" s="156"/>
      <c r="DI613" s="156"/>
      <c r="DJ613" s="156"/>
      <c r="DK613" s="156"/>
      <c r="DL613" s="156"/>
      <c r="DM613" s="156"/>
      <c r="DN613" s="156"/>
      <c r="DO613" s="156"/>
      <c r="DP613" s="156"/>
      <c r="DQ613" s="156"/>
      <c r="DR613" s="156"/>
      <c r="DS613" s="156"/>
      <c r="DT613" s="156"/>
      <c r="DU613" s="156"/>
      <c r="DV613" s="156"/>
      <c r="DW613" s="156"/>
      <c r="DX613" s="156"/>
      <c r="DY613" s="156"/>
      <c r="DZ613" s="156"/>
      <c r="EA613" s="156"/>
      <c r="EB613" s="156"/>
      <c r="EC613" s="156"/>
      <c r="ED613" s="156"/>
      <c r="EE613" s="156"/>
      <c r="EF613" s="156"/>
      <c r="EG613" s="156"/>
      <c r="EH613" s="156"/>
      <c r="EI613" s="156"/>
      <c r="EJ613" s="156"/>
      <c r="EK613" s="156"/>
      <c r="EL613" s="156"/>
      <c r="EM613" s="156"/>
    </row>
    <row r="614" spans="20:143" ht="10.5" customHeight="1">
      <c r="T614" s="156"/>
      <c r="AR614" s="166"/>
      <c r="AS614" s="166"/>
      <c r="AT614" s="166"/>
      <c r="AU614" s="166"/>
      <c r="AV614" s="166"/>
      <c r="AW614" s="166"/>
      <c r="AX614" s="166"/>
      <c r="AZ614" s="156"/>
      <c r="BA614" s="156"/>
      <c r="BB614" s="156"/>
      <c r="BC614" s="156"/>
      <c r="BD614" s="156"/>
      <c r="BE614" s="156"/>
      <c r="BF614" s="156"/>
      <c r="BG614" s="156"/>
      <c r="BH614" s="156"/>
      <c r="BI614" s="156"/>
      <c r="BJ614" s="156"/>
      <c r="BK614" s="156"/>
      <c r="BL614" s="156"/>
      <c r="BM614" s="156"/>
      <c r="BN614" s="156"/>
      <c r="BO614" s="156"/>
      <c r="BP614" s="156"/>
      <c r="BQ614" s="156"/>
      <c r="BR614" s="156"/>
      <c r="BS614" s="156"/>
      <c r="BT614" s="156"/>
      <c r="BU614" s="156"/>
      <c r="BV614" s="156"/>
      <c r="BW614" s="156"/>
      <c r="BX614" s="156"/>
      <c r="BY614" s="156"/>
      <c r="BZ614" s="156"/>
      <c r="CA614" s="156"/>
      <c r="CB614" s="156"/>
      <c r="CC614" s="156"/>
      <c r="CD614" s="156"/>
      <c r="CE614" s="156"/>
      <c r="CF614" s="156"/>
      <c r="CG614" s="156"/>
      <c r="CH614" s="156"/>
      <c r="CI614" s="156"/>
      <c r="CJ614" s="156"/>
      <c r="CK614" s="156"/>
      <c r="CL614" s="156"/>
      <c r="CM614" s="156"/>
      <c r="CN614" s="156"/>
      <c r="CO614" s="156"/>
      <c r="CP614" s="156"/>
      <c r="CQ614" s="156"/>
      <c r="CR614" s="156"/>
      <c r="CS614" s="156"/>
      <c r="CT614" s="156"/>
      <c r="CU614" s="156"/>
      <c r="CV614" s="156"/>
      <c r="CW614" s="156"/>
      <c r="CX614" s="156"/>
      <c r="CY614" s="156"/>
      <c r="CZ614" s="156"/>
      <c r="DA614" s="156"/>
      <c r="DB614" s="156"/>
      <c r="DC614" s="156"/>
      <c r="DD614" s="156"/>
      <c r="DE614" s="156"/>
      <c r="DF614" s="156"/>
      <c r="DG614" s="156"/>
      <c r="DH614" s="156"/>
      <c r="DI614" s="156"/>
      <c r="DJ614" s="156"/>
      <c r="DK614" s="156"/>
      <c r="DL614" s="156"/>
      <c r="DM614" s="156"/>
      <c r="DN614" s="156"/>
      <c r="DO614" s="156"/>
      <c r="DP614" s="156"/>
      <c r="DQ614" s="156"/>
      <c r="DR614" s="156"/>
      <c r="DS614" s="156"/>
      <c r="DT614" s="156"/>
      <c r="DU614" s="156"/>
      <c r="DV614" s="156"/>
      <c r="DW614" s="156"/>
      <c r="DX614" s="156"/>
      <c r="DY614" s="156"/>
      <c r="DZ614" s="156"/>
      <c r="EA614" s="156"/>
      <c r="EB614" s="156"/>
      <c r="EC614" s="156"/>
      <c r="ED614" s="156"/>
      <c r="EE614" s="156"/>
      <c r="EF614" s="156"/>
      <c r="EG614" s="156"/>
      <c r="EH614" s="156"/>
      <c r="EI614" s="156"/>
      <c r="EJ614" s="156"/>
      <c r="EK614" s="156"/>
      <c r="EL614" s="156"/>
      <c r="EM614" s="156"/>
    </row>
    <row r="615" spans="20:143" ht="10.5" customHeight="1">
      <c r="T615" s="156"/>
      <c r="AR615" s="166"/>
      <c r="AS615" s="166"/>
      <c r="AT615" s="166"/>
      <c r="AU615" s="166"/>
      <c r="AV615" s="166"/>
      <c r="AW615" s="166"/>
      <c r="AX615" s="166"/>
      <c r="AZ615" s="156"/>
      <c r="BA615" s="156"/>
      <c r="BB615" s="156"/>
      <c r="BC615" s="156"/>
      <c r="BD615" s="156"/>
      <c r="BE615" s="156"/>
      <c r="BF615" s="156"/>
      <c r="BG615" s="156"/>
      <c r="BH615" s="156"/>
      <c r="BI615" s="156"/>
      <c r="BJ615" s="156"/>
      <c r="BK615" s="156"/>
      <c r="BL615" s="156"/>
      <c r="BM615" s="156"/>
      <c r="BN615" s="156"/>
      <c r="BO615" s="156"/>
      <c r="BP615" s="156"/>
      <c r="BQ615" s="156"/>
      <c r="BR615" s="156"/>
      <c r="BS615" s="156"/>
      <c r="BT615" s="156"/>
      <c r="BU615" s="156"/>
      <c r="BV615" s="156"/>
      <c r="BW615" s="156"/>
      <c r="BX615" s="156"/>
      <c r="BY615" s="156"/>
      <c r="BZ615" s="156"/>
      <c r="CA615" s="156"/>
      <c r="CB615" s="156"/>
      <c r="CC615" s="156"/>
      <c r="CD615" s="156"/>
      <c r="CE615" s="156"/>
      <c r="CF615" s="156"/>
      <c r="CG615" s="156"/>
      <c r="CH615" s="156"/>
      <c r="CI615" s="156"/>
      <c r="CJ615" s="156"/>
      <c r="CK615" s="156"/>
      <c r="CL615" s="156"/>
      <c r="CM615" s="156"/>
      <c r="CN615" s="156"/>
      <c r="CO615" s="156"/>
      <c r="CP615" s="156"/>
      <c r="CQ615" s="156"/>
      <c r="CR615" s="156"/>
      <c r="CS615" s="156"/>
      <c r="CT615" s="156"/>
      <c r="CU615" s="156"/>
      <c r="CV615" s="156"/>
      <c r="CW615" s="156"/>
      <c r="CX615" s="156"/>
      <c r="CY615" s="156"/>
      <c r="CZ615" s="156"/>
      <c r="DA615" s="156"/>
      <c r="DB615" s="156"/>
      <c r="DC615" s="156"/>
      <c r="DD615" s="156"/>
      <c r="DE615" s="156"/>
      <c r="DF615" s="156"/>
      <c r="DG615" s="156"/>
      <c r="DH615" s="156"/>
      <c r="DI615" s="156"/>
      <c r="DJ615" s="156"/>
      <c r="DK615" s="156"/>
      <c r="DL615" s="156"/>
      <c r="DM615" s="156"/>
      <c r="DN615" s="156"/>
      <c r="DO615" s="156"/>
      <c r="DP615" s="156"/>
      <c r="DQ615" s="156"/>
      <c r="DR615" s="156"/>
      <c r="DS615" s="156"/>
      <c r="DT615" s="156"/>
      <c r="DU615" s="156"/>
      <c r="DV615" s="156"/>
      <c r="DW615" s="156"/>
      <c r="DX615" s="156"/>
      <c r="DY615" s="156"/>
      <c r="DZ615" s="156"/>
      <c r="EA615" s="156"/>
      <c r="EB615" s="156"/>
      <c r="EC615" s="156"/>
      <c r="ED615" s="156"/>
      <c r="EE615" s="156"/>
      <c r="EF615" s="156"/>
      <c r="EG615" s="156"/>
      <c r="EH615" s="156"/>
      <c r="EI615" s="156"/>
      <c r="EJ615" s="156"/>
      <c r="EK615" s="156"/>
      <c r="EL615" s="156"/>
      <c r="EM615" s="156"/>
    </row>
    <row r="616" spans="20:143" ht="10.5" customHeight="1">
      <c r="T616" s="156"/>
      <c r="AR616" s="166"/>
      <c r="AS616" s="166"/>
      <c r="AT616" s="166"/>
      <c r="AU616" s="166"/>
      <c r="AV616" s="166"/>
      <c r="AW616" s="166"/>
      <c r="AX616" s="166"/>
      <c r="AZ616" s="156"/>
      <c r="BA616" s="156"/>
      <c r="BB616" s="156"/>
      <c r="BC616" s="156"/>
      <c r="BD616" s="156"/>
      <c r="BE616" s="156"/>
      <c r="BF616" s="156"/>
      <c r="BG616" s="156"/>
      <c r="BH616" s="156"/>
      <c r="BI616" s="156"/>
      <c r="BJ616" s="156"/>
      <c r="BK616" s="156"/>
      <c r="BL616" s="156"/>
      <c r="BM616" s="156"/>
      <c r="BN616" s="156"/>
      <c r="BO616" s="156"/>
      <c r="BP616" s="156"/>
      <c r="BQ616" s="156"/>
      <c r="BR616" s="156"/>
      <c r="BS616" s="156"/>
      <c r="BT616" s="156"/>
      <c r="BU616" s="156"/>
      <c r="BV616" s="156"/>
      <c r="BW616" s="156"/>
      <c r="BX616" s="156"/>
      <c r="BY616" s="156"/>
      <c r="BZ616" s="156"/>
      <c r="CA616" s="156"/>
      <c r="CB616" s="156"/>
      <c r="CC616" s="156"/>
      <c r="CD616" s="156"/>
      <c r="CE616" s="156"/>
      <c r="CF616" s="156"/>
      <c r="CG616" s="156"/>
      <c r="CH616" s="156"/>
      <c r="CI616" s="156"/>
      <c r="CJ616" s="156"/>
      <c r="CK616" s="156"/>
      <c r="CL616" s="156"/>
      <c r="CM616" s="156"/>
      <c r="CN616" s="156"/>
      <c r="CO616" s="156"/>
      <c r="CP616" s="156"/>
      <c r="CQ616" s="156"/>
      <c r="CR616" s="156"/>
      <c r="CS616" s="156"/>
      <c r="CT616" s="156"/>
      <c r="CU616" s="156"/>
      <c r="CV616" s="156"/>
      <c r="CW616" s="156"/>
      <c r="CX616" s="156"/>
      <c r="CY616" s="156"/>
      <c r="CZ616" s="156"/>
      <c r="DA616" s="156"/>
      <c r="DB616" s="156"/>
      <c r="DC616" s="156"/>
      <c r="DD616" s="156"/>
      <c r="DE616" s="156"/>
      <c r="DF616" s="156"/>
      <c r="DG616" s="156"/>
      <c r="DH616" s="156"/>
      <c r="DI616" s="156"/>
      <c r="DJ616" s="156"/>
      <c r="DK616" s="156"/>
      <c r="DL616" s="156"/>
      <c r="DM616" s="156"/>
      <c r="DN616" s="156"/>
      <c r="DO616" s="156"/>
      <c r="DP616" s="156"/>
      <c r="DQ616" s="156"/>
      <c r="DR616" s="156"/>
      <c r="DS616" s="156"/>
      <c r="DT616" s="156"/>
      <c r="DU616" s="156"/>
      <c r="DV616" s="156"/>
      <c r="DW616" s="156"/>
      <c r="DX616" s="156"/>
      <c r="DY616" s="156"/>
      <c r="DZ616" s="156"/>
      <c r="EA616" s="156"/>
      <c r="EB616" s="156"/>
      <c r="EC616" s="156"/>
      <c r="ED616" s="156"/>
      <c r="EE616" s="156"/>
      <c r="EF616" s="156"/>
      <c r="EG616" s="156"/>
      <c r="EH616" s="156"/>
      <c r="EI616" s="156"/>
      <c r="EJ616" s="156"/>
      <c r="EK616" s="156"/>
      <c r="EL616" s="156"/>
      <c r="EM616" s="156"/>
    </row>
    <row r="617" spans="20:143" ht="10.5" customHeight="1">
      <c r="T617" s="156"/>
      <c r="AR617" s="166"/>
      <c r="AS617" s="166"/>
      <c r="AT617" s="166"/>
      <c r="AU617" s="166"/>
      <c r="AV617" s="166"/>
      <c r="AW617" s="166"/>
      <c r="AX617" s="166"/>
      <c r="AZ617" s="156"/>
      <c r="BA617" s="156"/>
      <c r="BB617" s="156"/>
      <c r="BC617" s="156"/>
      <c r="BD617" s="156"/>
      <c r="BE617" s="156"/>
      <c r="BF617" s="156"/>
      <c r="BG617" s="156"/>
      <c r="BH617" s="156"/>
      <c r="BI617" s="156"/>
      <c r="BJ617" s="156"/>
      <c r="BK617" s="156"/>
      <c r="BL617" s="156"/>
      <c r="BM617" s="156"/>
      <c r="BN617" s="156"/>
      <c r="BO617" s="156"/>
      <c r="BP617" s="156"/>
      <c r="BQ617" s="156"/>
      <c r="BR617" s="156"/>
      <c r="BS617" s="156"/>
      <c r="BT617" s="156"/>
      <c r="BU617" s="156"/>
      <c r="BV617" s="156"/>
      <c r="BW617" s="156"/>
      <c r="BX617" s="156"/>
      <c r="BY617" s="156"/>
      <c r="BZ617" s="156"/>
      <c r="CA617" s="156"/>
      <c r="CB617" s="156"/>
      <c r="CC617" s="156"/>
      <c r="CD617" s="156"/>
      <c r="CE617" s="156"/>
      <c r="CF617" s="156"/>
      <c r="CG617" s="156"/>
      <c r="CH617" s="156"/>
      <c r="CI617" s="156"/>
      <c r="CJ617" s="156"/>
      <c r="CK617" s="156"/>
      <c r="CL617" s="156"/>
      <c r="CM617" s="156"/>
      <c r="CN617" s="156"/>
      <c r="CO617" s="156"/>
      <c r="CP617" s="156"/>
      <c r="CQ617" s="156"/>
      <c r="CR617" s="156"/>
      <c r="CS617" s="156"/>
      <c r="CT617" s="156"/>
      <c r="CU617" s="156"/>
      <c r="CV617" s="156"/>
      <c r="CW617" s="156"/>
      <c r="CX617" s="156"/>
      <c r="CY617" s="156"/>
      <c r="CZ617" s="156"/>
      <c r="DA617" s="156"/>
      <c r="DB617" s="156"/>
      <c r="DC617" s="156"/>
      <c r="DD617" s="156"/>
      <c r="DE617" s="156"/>
      <c r="DF617" s="156"/>
      <c r="DG617" s="156"/>
      <c r="DH617" s="156"/>
      <c r="DI617" s="156"/>
      <c r="DJ617" s="156"/>
      <c r="DK617" s="156"/>
      <c r="DL617" s="156"/>
      <c r="DM617" s="156"/>
      <c r="DN617" s="156"/>
      <c r="DO617" s="156"/>
      <c r="DP617" s="156"/>
      <c r="DQ617" s="156"/>
      <c r="DR617" s="156"/>
      <c r="DS617" s="156"/>
      <c r="DT617" s="156"/>
      <c r="DU617" s="156"/>
      <c r="DV617" s="156"/>
      <c r="DW617" s="156"/>
      <c r="DX617" s="156"/>
      <c r="DY617" s="156"/>
      <c r="DZ617" s="156"/>
      <c r="EA617" s="156"/>
      <c r="EB617" s="156"/>
      <c r="EC617" s="156"/>
      <c r="ED617" s="156"/>
      <c r="EE617" s="156"/>
      <c r="EF617" s="156"/>
      <c r="EG617" s="156"/>
      <c r="EH617" s="156"/>
      <c r="EI617" s="156"/>
      <c r="EJ617" s="156"/>
      <c r="EK617" s="156"/>
      <c r="EL617" s="156"/>
      <c r="EM617" s="156"/>
    </row>
    <row r="618" spans="20:143" ht="10.5" customHeight="1">
      <c r="T618" s="156"/>
      <c r="AR618" s="166"/>
      <c r="AS618" s="166"/>
      <c r="AT618" s="166"/>
      <c r="AU618" s="166"/>
      <c r="AV618" s="166"/>
      <c r="AW618" s="166"/>
      <c r="AX618" s="166"/>
      <c r="AZ618" s="156"/>
      <c r="BA618" s="156"/>
      <c r="BB618" s="156"/>
      <c r="BC618" s="156"/>
      <c r="BD618" s="156"/>
      <c r="BE618" s="156"/>
      <c r="BF618" s="156"/>
      <c r="BG618" s="156"/>
      <c r="BH618" s="156"/>
      <c r="BI618" s="156"/>
      <c r="BJ618" s="156"/>
      <c r="BK618" s="156"/>
      <c r="BL618" s="156"/>
      <c r="BM618" s="156"/>
      <c r="BN618" s="156"/>
      <c r="BO618" s="156"/>
      <c r="BP618" s="156"/>
      <c r="BQ618" s="156"/>
      <c r="BR618" s="156"/>
      <c r="BS618" s="156"/>
      <c r="BT618" s="156"/>
      <c r="BU618" s="156"/>
      <c r="BV618" s="156"/>
      <c r="BW618" s="156"/>
      <c r="BX618" s="156"/>
      <c r="BY618" s="156"/>
      <c r="BZ618" s="156"/>
      <c r="CA618" s="156"/>
      <c r="CB618" s="156"/>
      <c r="CC618" s="156"/>
      <c r="CD618" s="156"/>
      <c r="CE618" s="156"/>
      <c r="CF618" s="156"/>
      <c r="CG618" s="156"/>
      <c r="CH618" s="156"/>
      <c r="CI618" s="156"/>
      <c r="CJ618" s="156"/>
      <c r="CK618" s="156"/>
      <c r="CL618" s="156"/>
      <c r="CM618" s="156"/>
      <c r="CN618" s="156"/>
      <c r="CO618" s="156"/>
      <c r="CP618" s="156"/>
      <c r="CQ618" s="156"/>
      <c r="CR618" s="156"/>
      <c r="CS618" s="156"/>
      <c r="CT618" s="156"/>
      <c r="CU618" s="156"/>
      <c r="CV618" s="156"/>
      <c r="CW618" s="156"/>
      <c r="CX618" s="156"/>
      <c r="CY618" s="156"/>
      <c r="CZ618" s="156"/>
      <c r="DA618" s="156"/>
      <c r="DB618" s="156"/>
      <c r="DC618" s="156"/>
      <c r="DD618" s="156"/>
      <c r="DE618" s="156"/>
      <c r="DF618" s="156"/>
      <c r="DG618" s="156"/>
      <c r="DH618" s="156"/>
      <c r="DI618" s="156"/>
      <c r="DJ618" s="156"/>
      <c r="DK618" s="156"/>
      <c r="DL618" s="156"/>
      <c r="DM618" s="156"/>
      <c r="DN618" s="156"/>
      <c r="DO618" s="156"/>
      <c r="DP618" s="156"/>
      <c r="DQ618" s="156"/>
      <c r="DR618" s="156"/>
      <c r="DS618" s="156"/>
      <c r="DT618" s="156"/>
      <c r="DU618" s="156"/>
      <c r="DV618" s="156"/>
      <c r="DW618" s="156"/>
      <c r="DX618" s="156"/>
      <c r="DY618" s="156"/>
      <c r="DZ618" s="156"/>
      <c r="EA618" s="156"/>
      <c r="EB618" s="156"/>
      <c r="EC618" s="156"/>
      <c r="ED618" s="156"/>
      <c r="EE618" s="156"/>
      <c r="EF618" s="156"/>
      <c r="EG618" s="156"/>
      <c r="EH618" s="156"/>
      <c r="EI618" s="156"/>
      <c r="EJ618" s="156"/>
      <c r="EK618" s="156"/>
      <c r="EL618" s="156"/>
      <c r="EM618" s="156"/>
    </row>
    <row r="619" spans="20:143" ht="10.5" customHeight="1">
      <c r="T619" s="156"/>
      <c r="AR619" s="166"/>
      <c r="AS619" s="166"/>
      <c r="AT619" s="166"/>
      <c r="AU619" s="166"/>
      <c r="AV619" s="166"/>
      <c r="AW619" s="166"/>
      <c r="AX619" s="166"/>
      <c r="AZ619" s="156"/>
      <c r="BA619" s="156"/>
      <c r="BB619" s="156"/>
      <c r="BC619" s="156"/>
      <c r="BD619" s="156"/>
      <c r="BE619" s="156"/>
      <c r="BF619" s="156"/>
      <c r="BG619" s="156"/>
      <c r="BH619" s="156"/>
      <c r="BI619" s="156"/>
      <c r="BJ619" s="156"/>
      <c r="BK619" s="156"/>
      <c r="BL619" s="156"/>
      <c r="BM619" s="156"/>
      <c r="BN619" s="156"/>
      <c r="BO619" s="156"/>
      <c r="BP619" s="156"/>
      <c r="BQ619" s="156"/>
      <c r="BR619" s="156"/>
      <c r="BS619" s="156"/>
      <c r="BT619" s="156"/>
      <c r="BU619" s="156"/>
      <c r="BV619" s="156"/>
      <c r="BW619" s="156"/>
      <c r="BX619" s="156"/>
      <c r="BY619" s="156"/>
      <c r="BZ619" s="156"/>
      <c r="CA619" s="156"/>
      <c r="CB619" s="156"/>
      <c r="CC619" s="156"/>
      <c r="CD619" s="156"/>
      <c r="CE619" s="156"/>
      <c r="CF619" s="156"/>
      <c r="CG619" s="156"/>
      <c r="CH619" s="156"/>
      <c r="CI619" s="156"/>
      <c r="CJ619" s="156"/>
      <c r="CK619" s="156"/>
      <c r="CL619" s="156"/>
      <c r="CM619" s="156"/>
      <c r="CN619" s="156"/>
      <c r="CO619" s="156"/>
      <c r="CP619" s="156"/>
      <c r="CQ619" s="156"/>
      <c r="CR619" s="156"/>
      <c r="CS619" s="156"/>
      <c r="CT619" s="156"/>
      <c r="CU619" s="156"/>
      <c r="CV619" s="156"/>
      <c r="CW619" s="156"/>
      <c r="CX619" s="156"/>
      <c r="CY619" s="156"/>
      <c r="CZ619" s="156"/>
      <c r="DA619" s="156"/>
      <c r="DB619" s="156"/>
      <c r="DC619" s="156"/>
      <c r="DD619" s="156"/>
      <c r="DE619" s="156"/>
      <c r="DF619" s="156"/>
      <c r="DG619" s="156"/>
      <c r="DH619" s="156"/>
      <c r="DI619" s="156"/>
      <c r="DJ619" s="156"/>
      <c r="DK619" s="156"/>
      <c r="DL619" s="156"/>
      <c r="DM619" s="156"/>
      <c r="DN619" s="156"/>
      <c r="DO619" s="156"/>
      <c r="DP619" s="156"/>
      <c r="DQ619" s="156"/>
      <c r="DR619" s="156"/>
      <c r="DS619" s="156"/>
      <c r="DT619" s="156"/>
      <c r="DU619" s="156"/>
      <c r="DV619" s="156"/>
      <c r="DW619" s="156"/>
      <c r="DX619" s="156"/>
      <c r="DY619" s="156"/>
      <c r="DZ619" s="156"/>
      <c r="EA619" s="156"/>
      <c r="EB619" s="156"/>
      <c r="EC619" s="156"/>
      <c r="ED619" s="156"/>
      <c r="EE619" s="156"/>
      <c r="EF619" s="156"/>
      <c r="EG619" s="156"/>
      <c r="EH619" s="156"/>
      <c r="EI619" s="156"/>
      <c r="EJ619" s="156"/>
      <c r="EK619" s="156"/>
      <c r="EL619" s="156"/>
      <c r="EM619" s="156"/>
    </row>
    <row r="620" spans="20:143" ht="10.5" customHeight="1">
      <c r="T620" s="156"/>
      <c r="AR620" s="166"/>
      <c r="AS620" s="166"/>
      <c r="AT620" s="166"/>
      <c r="AU620" s="166"/>
      <c r="AV620" s="166"/>
      <c r="AW620" s="166"/>
      <c r="AX620" s="166"/>
      <c r="AZ620" s="156"/>
      <c r="BA620" s="156"/>
      <c r="BB620" s="156"/>
      <c r="BC620" s="156"/>
      <c r="BD620" s="156"/>
      <c r="BE620" s="156"/>
      <c r="BF620" s="156"/>
      <c r="BG620" s="156"/>
      <c r="BH620" s="156"/>
      <c r="BI620" s="156"/>
      <c r="BJ620" s="156"/>
      <c r="BK620" s="156"/>
      <c r="BL620" s="156"/>
      <c r="BM620" s="156"/>
      <c r="BN620" s="156"/>
      <c r="BO620" s="156"/>
      <c r="BP620" s="156"/>
      <c r="BQ620" s="156"/>
      <c r="BR620" s="156"/>
      <c r="BS620" s="156"/>
      <c r="BT620" s="156"/>
      <c r="BU620" s="156"/>
      <c r="BV620" s="156"/>
      <c r="BW620" s="156"/>
      <c r="BX620" s="156"/>
      <c r="BY620" s="156"/>
      <c r="BZ620" s="156"/>
      <c r="CA620" s="156"/>
      <c r="CB620" s="156"/>
      <c r="CC620" s="156"/>
      <c r="CD620" s="156"/>
      <c r="CE620" s="156"/>
      <c r="CF620" s="156"/>
      <c r="CG620" s="156"/>
      <c r="CH620" s="156"/>
      <c r="CI620" s="156"/>
      <c r="CJ620" s="156"/>
      <c r="CK620" s="156"/>
      <c r="CL620" s="156"/>
      <c r="CM620" s="156"/>
      <c r="CN620" s="156"/>
      <c r="CO620" s="156"/>
      <c r="CP620" s="156"/>
      <c r="CQ620" s="156"/>
      <c r="CR620" s="156"/>
      <c r="CS620" s="156"/>
      <c r="CT620" s="156"/>
      <c r="CU620" s="156"/>
      <c r="CV620" s="156"/>
      <c r="CW620" s="156"/>
      <c r="CX620" s="156"/>
      <c r="CY620" s="156"/>
      <c r="CZ620" s="156"/>
      <c r="DA620" s="156"/>
      <c r="DB620" s="156"/>
      <c r="DC620" s="156"/>
      <c r="DD620" s="156"/>
      <c r="DE620" s="156"/>
      <c r="DF620" s="156"/>
      <c r="DG620" s="156"/>
      <c r="DH620" s="156"/>
      <c r="DI620" s="156"/>
      <c r="DJ620" s="156"/>
      <c r="DK620" s="156"/>
      <c r="DL620" s="156"/>
      <c r="DM620" s="156"/>
      <c r="DN620" s="156"/>
      <c r="DO620" s="156"/>
      <c r="DP620" s="156"/>
      <c r="DQ620" s="156"/>
      <c r="DR620" s="156"/>
      <c r="DS620" s="156"/>
      <c r="DT620" s="156"/>
      <c r="DU620" s="156"/>
      <c r="DV620" s="156"/>
      <c r="DW620" s="156"/>
      <c r="DX620" s="156"/>
      <c r="DY620" s="156"/>
      <c r="DZ620" s="156"/>
      <c r="EA620" s="156"/>
      <c r="EB620" s="156"/>
      <c r="EC620" s="156"/>
      <c r="ED620" s="156"/>
      <c r="EE620" s="156"/>
      <c r="EF620" s="156"/>
      <c r="EG620" s="156"/>
      <c r="EH620" s="156"/>
      <c r="EI620" s="156"/>
      <c r="EJ620" s="156"/>
      <c r="EK620" s="156"/>
      <c r="EL620" s="156"/>
      <c r="EM620" s="156"/>
    </row>
    <row r="621" spans="20:143" ht="10.5" customHeight="1">
      <c r="T621" s="156"/>
      <c r="AR621" s="166"/>
      <c r="AS621" s="166"/>
      <c r="AT621" s="166"/>
      <c r="AU621" s="166"/>
      <c r="AV621" s="166"/>
      <c r="AW621" s="166"/>
      <c r="AX621" s="166"/>
      <c r="AZ621" s="156"/>
      <c r="BA621" s="156"/>
      <c r="BB621" s="156"/>
      <c r="BC621" s="156"/>
      <c r="BD621" s="156"/>
      <c r="BE621" s="156"/>
      <c r="BF621" s="156"/>
      <c r="BG621" s="156"/>
      <c r="BH621" s="156"/>
      <c r="BI621" s="156"/>
      <c r="BJ621" s="156"/>
      <c r="BK621" s="156"/>
      <c r="BL621" s="156"/>
      <c r="BM621" s="156"/>
      <c r="BN621" s="156"/>
      <c r="BO621" s="156"/>
      <c r="BP621" s="156"/>
      <c r="BQ621" s="156"/>
      <c r="BR621" s="156"/>
      <c r="BS621" s="156"/>
      <c r="BT621" s="156"/>
      <c r="BU621" s="156"/>
      <c r="BV621" s="156"/>
      <c r="BW621" s="156"/>
      <c r="BX621" s="156"/>
      <c r="BY621" s="156"/>
      <c r="BZ621" s="156"/>
      <c r="CA621" s="156"/>
      <c r="CB621" s="156"/>
      <c r="CC621" s="156"/>
      <c r="CD621" s="156"/>
      <c r="CE621" s="156"/>
      <c r="CF621" s="156"/>
      <c r="CG621" s="156"/>
      <c r="CH621" s="156"/>
      <c r="CI621" s="156"/>
      <c r="CJ621" s="156"/>
      <c r="CK621" s="156"/>
      <c r="CL621" s="156"/>
      <c r="CM621" s="156"/>
      <c r="CN621" s="156"/>
      <c r="CO621" s="156"/>
      <c r="CP621" s="156"/>
      <c r="CQ621" s="156"/>
      <c r="CR621" s="156"/>
      <c r="CS621" s="156"/>
      <c r="CT621" s="156"/>
      <c r="CU621" s="156"/>
      <c r="CV621" s="156"/>
      <c r="CW621" s="156"/>
      <c r="CX621" s="156"/>
      <c r="CY621" s="156"/>
      <c r="CZ621" s="156"/>
      <c r="DA621" s="156"/>
      <c r="DB621" s="156"/>
      <c r="DC621" s="156"/>
      <c r="DD621" s="156"/>
      <c r="DE621" s="156"/>
      <c r="DF621" s="156"/>
      <c r="DG621" s="156"/>
      <c r="DH621" s="156"/>
      <c r="DI621" s="156"/>
      <c r="DJ621" s="156"/>
      <c r="DK621" s="156"/>
      <c r="DL621" s="156"/>
      <c r="DM621" s="156"/>
      <c r="DN621" s="156"/>
      <c r="DO621" s="156"/>
      <c r="DP621" s="156"/>
      <c r="DQ621" s="156"/>
      <c r="DR621" s="156"/>
      <c r="DS621" s="156"/>
      <c r="DT621" s="156"/>
      <c r="DU621" s="156"/>
      <c r="DV621" s="156"/>
      <c r="DW621" s="156"/>
      <c r="DX621" s="156"/>
      <c r="DY621" s="156"/>
      <c r="DZ621" s="156"/>
      <c r="EA621" s="156"/>
      <c r="EB621" s="156"/>
      <c r="EC621" s="156"/>
      <c r="ED621" s="156"/>
      <c r="EE621" s="156"/>
      <c r="EF621" s="156"/>
      <c r="EG621" s="156"/>
      <c r="EH621" s="156"/>
      <c r="EI621" s="156"/>
      <c r="EJ621" s="156"/>
      <c r="EK621" s="156"/>
      <c r="EL621" s="156"/>
      <c r="EM621" s="156"/>
    </row>
    <row r="622" spans="20:143" ht="10.5" customHeight="1">
      <c r="T622" s="156"/>
      <c r="AR622" s="166"/>
      <c r="AS622" s="166"/>
      <c r="AT622" s="166"/>
      <c r="AU622" s="166"/>
      <c r="AV622" s="166"/>
      <c r="AW622" s="166"/>
      <c r="AX622" s="166"/>
      <c r="AZ622" s="156"/>
      <c r="BA622" s="156"/>
      <c r="BB622" s="156"/>
      <c r="BC622" s="156"/>
      <c r="BD622" s="156"/>
      <c r="BE622" s="156"/>
      <c r="BF622" s="156"/>
      <c r="BG622" s="156"/>
      <c r="BH622" s="156"/>
      <c r="BI622" s="156"/>
      <c r="BJ622" s="156"/>
      <c r="BK622" s="156"/>
      <c r="BL622" s="156"/>
      <c r="BM622" s="156"/>
      <c r="BN622" s="156"/>
      <c r="BO622" s="156"/>
      <c r="BP622" s="156"/>
      <c r="BQ622" s="156"/>
      <c r="BR622" s="156"/>
      <c r="BS622" s="156"/>
      <c r="BT622" s="156"/>
      <c r="BU622" s="156"/>
      <c r="BV622" s="156"/>
      <c r="BW622" s="156"/>
      <c r="BX622" s="156"/>
      <c r="BY622" s="156"/>
      <c r="BZ622" s="156"/>
      <c r="CA622" s="156"/>
      <c r="CB622" s="156"/>
      <c r="CC622" s="156"/>
      <c r="CD622" s="156"/>
      <c r="CE622" s="156"/>
      <c r="CF622" s="156"/>
      <c r="CG622" s="156"/>
      <c r="CH622" s="156"/>
      <c r="CI622" s="156"/>
      <c r="CJ622" s="156"/>
      <c r="CK622" s="156"/>
      <c r="CL622" s="156"/>
      <c r="CM622" s="156"/>
      <c r="CN622" s="156"/>
      <c r="CO622" s="156"/>
      <c r="CP622" s="156"/>
      <c r="CQ622" s="156"/>
      <c r="CR622" s="156"/>
      <c r="CS622" s="156"/>
      <c r="CT622" s="156"/>
      <c r="CU622" s="156"/>
      <c r="CV622" s="156"/>
      <c r="CW622" s="156"/>
      <c r="CX622" s="156"/>
      <c r="CY622" s="156"/>
      <c r="CZ622" s="156"/>
      <c r="DA622" s="156"/>
      <c r="DB622" s="156"/>
      <c r="DC622" s="156"/>
      <c r="DD622" s="156"/>
      <c r="DE622" s="156"/>
      <c r="DF622" s="156"/>
      <c r="DG622" s="156"/>
      <c r="DH622" s="156"/>
      <c r="DI622" s="156"/>
      <c r="DJ622" s="156"/>
      <c r="DK622" s="156"/>
      <c r="DL622" s="156"/>
      <c r="DM622" s="156"/>
      <c r="DN622" s="156"/>
      <c r="DO622" s="156"/>
      <c r="DP622" s="156"/>
      <c r="DQ622" s="156"/>
      <c r="DR622" s="156"/>
      <c r="DS622" s="156"/>
      <c r="DT622" s="156"/>
      <c r="DU622" s="156"/>
      <c r="DV622" s="156"/>
      <c r="DW622" s="156"/>
      <c r="DX622" s="156"/>
      <c r="DY622" s="156"/>
      <c r="DZ622" s="156"/>
      <c r="EA622" s="156"/>
      <c r="EB622" s="156"/>
      <c r="EC622" s="156"/>
      <c r="ED622" s="156"/>
      <c r="EE622" s="156"/>
      <c r="EF622" s="156"/>
      <c r="EG622" s="156"/>
      <c r="EH622" s="156"/>
      <c r="EI622" s="156"/>
      <c r="EJ622" s="156"/>
      <c r="EK622" s="156"/>
      <c r="EL622" s="156"/>
      <c r="EM622" s="156"/>
    </row>
    <row r="623" spans="20:143" ht="10.5" customHeight="1">
      <c r="T623" s="156"/>
      <c r="AR623" s="166"/>
      <c r="AS623" s="166"/>
      <c r="AT623" s="166"/>
      <c r="AU623" s="166"/>
      <c r="AV623" s="166"/>
      <c r="AW623" s="166"/>
      <c r="AX623" s="166"/>
      <c r="AZ623" s="156"/>
      <c r="BA623" s="156"/>
      <c r="BB623" s="156"/>
      <c r="BC623" s="156"/>
      <c r="BD623" s="156"/>
      <c r="BE623" s="156"/>
      <c r="BF623" s="156"/>
      <c r="BG623" s="156"/>
      <c r="BH623" s="156"/>
      <c r="BI623" s="156"/>
      <c r="BJ623" s="156"/>
      <c r="BK623" s="156"/>
      <c r="BL623" s="156"/>
      <c r="BM623" s="156"/>
      <c r="BN623" s="156"/>
      <c r="BO623" s="156"/>
      <c r="BP623" s="156"/>
      <c r="BQ623" s="156"/>
      <c r="BR623" s="156"/>
      <c r="BS623" s="156"/>
      <c r="BT623" s="156"/>
      <c r="BU623" s="156"/>
      <c r="BV623" s="156"/>
      <c r="BW623" s="156"/>
      <c r="BX623" s="156"/>
      <c r="BY623" s="156"/>
      <c r="BZ623" s="156"/>
      <c r="CA623" s="156"/>
      <c r="CB623" s="156"/>
      <c r="CC623" s="156"/>
      <c r="CD623" s="156"/>
      <c r="CE623" s="156"/>
      <c r="CF623" s="156"/>
      <c r="CG623" s="156"/>
      <c r="CH623" s="156"/>
      <c r="CI623" s="156"/>
      <c r="CJ623" s="156"/>
      <c r="CK623" s="156"/>
      <c r="CL623" s="156"/>
      <c r="CM623" s="156"/>
      <c r="CN623" s="156"/>
      <c r="CO623" s="156"/>
      <c r="CP623" s="156"/>
      <c r="CQ623" s="156"/>
      <c r="CR623" s="156"/>
      <c r="CS623" s="156"/>
      <c r="CT623" s="156"/>
      <c r="CU623" s="156"/>
      <c r="CV623" s="156"/>
      <c r="CW623" s="156"/>
      <c r="CX623" s="156"/>
      <c r="CY623" s="156"/>
      <c r="CZ623" s="156"/>
      <c r="DA623" s="156"/>
      <c r="DB623" s="156"/>
      <c r="DC623" s="156"/>
      <c r="DD623" s="156"/>
      <c r="DE623" s="156"/>
      <c r="DF623" s="156"/>
      <c r="DG623" s="156"/>
      <c r="DH623" s="156"/>
      <c r="DI623" s="156"/>
      <c r="DJ623" s="156"/>
      <c r="DK623" s="156"/>
      <c r="DL623" s="156"/>
      <c r="DM623" s="156"/>
      <c r="DN623" s="156"/>
      <c r="DO623" s="156"/>
      <c r="DP623" s="156"/>
      <c r="DQ623" s="156"/>
      <c r="DR623" s="156"/>
      <c r="DS623" s="156"/>
      <c r="DT623" s="156"/>
      <c r="DU623" s="156"/>
      <c r="DV623" s="156"/>
      <c r="DW623" s="156"/>
      <c r="DX623" s="156"/>
      <c r="DY623" s="156"/>
      <c r="DZ623" s="156"/>
      <c r="EA623" s="156"/>
      <c r="EB623" s="156"/>
      <c r="EC623" s="156"/>
      <c r="ED623" s="156"/>
      <c r="EE623" s="156"/>
      <c r="EF623" s="156"/>
      <c r="EG623" s="156"/>
      <c r="EH623" s="156"/>
      <c r="EI623" s="156"/>
      <c r="EJ623" s="156"/>
      <c r="EK623" s="156"/>
      <c r="EL623" s="156"/>
      <c r="EM623" s="156"/>
    </row>
    <row r="624" spans="20:143" ht="10.5" customHeight="1">
      <c r="T624" s="156"/>
      <c r="AR624" s="166"/>
      <c r="AS624" s="166"/>
      <c r="AT624" s="166"/>
      <c r="AU624" s="166"/>
      <c r="AV624" s="166"/>
      <c r="AW624" s="166"/>
      <c r="AX624" s="166"/>
      <c r="AZ624" s="156"/>
      <c r="BA624" s="156"/>
      <c r="BB624" s="156"/>
      <c r="BC624" s="156"/>
      <c r="BD624" s="156"/>
      <c r="BE624" s="156"/>
      <c r="BF624" s="156"/>
      <c r="BG624" s="156"/>
      <c r="BH624" s="156"/>
      <c r="BI624" s="156"/>
      <c r="BJ624" s="156"/>
      <c r="BK624" s="156"/>
      <c r="BL624" s="156"/>
      <c r="BM624" s="156"/>
      <c r="BN624" s="156"/>
      <c r="BO624" s="156"/>
      <c r="BP624" s="156"/>
      <c r="BQ624" s="156"/>
      <c r="BR624" s="156"/>
      <c r="BS624" s="156"/>
      <c r="BT624" s="156"/>
      <c r="BU624" s="156"/>
      <c r="BV624" s="156"/>
      <c r="BW624" s="156"/>
      <c r="BX624" s="156"/>
      <c r="BY624" s="156"/>
      <c r="BZ624" s="156"/>
      <c r="CA624" s="156"/>
      <c r="CB624" s="156"/>
      <c r="CC624" s="156"/>
      <c r="CD624" s="156"/>
      <c r="CE624" s="156"/>
      <c r="CF624" s="156"/>
      <c r="CG624" s="156"/>
      <c r="CH624" s="156"/>
      <c r="CI624" s="156"/>
      <c r="CJ624" s="156"/>
      <c r="CK624" s="156"/>
      <c r="CL624" s="156"/>
      <c r="CM624" s="156"/>
      <c r="CN624" s="156"/>
      <c r="CO624" s="156"/>
      <c r="CP624" s="156"/>
      <c r="CQ624" s="156"/>
      <c r="CR624" s="156"/>
      <c r="CS624" s="156"/>
      <c r="CT624" s="156"/>
      <c r="CU624" s="156"/>
      <c r="CV624" s="156"/>
      <c r="CW624" s="156"/>
      <c r="CX624" s="156"/>
      <c r="CY624" s="156"/>
      <c r="CZ624" s="156"/>
      <c r="DA624" s="156"/>
      <c r="DB624" s="156"/>
      <c r="DC624" s="156"/>
      <c r="DD624" s="156"/>
      <c r="DE624" s="156"/>
      <c r="DF624" s="156"/>
      <c r="DG624" s="156"/>
      <c r="DH624" s="156"/>
      <c r="DI624" s="156"/>
      <c r="DJ624" s="156"/>
      <c r="DK624" s="156"/>
      <c r="DL624" s="156"/>
      <c r="DM624" s="156"/>
      <c r="DN624" s="156"/>
      <c r="DO624" s="156"/>
      <c r="DP624" s="156"/>
      <c r="DQ624" s="156"/>
      <c r="DR624" s="156"/>
      <c r="DS624" s="156"/>
      <c r="DT624" s="156"/>
      <c r="DU624" s="156"/>
      <c r="DV624" s="156"/>
      <c r="DW624" s="156"/>
      <c r="DX624" s="156"/>
      <c r="DY624" s="156"/>
      <c r="DZ624" s="156"/>
      <c r="EA624" s="156"/>
      <c r="EB624" s="156"/>
      <c r="EC624" s="156"/>
      <c r="ED624" s="156"/>
      <c r="EE624" s="156"/>
      <c r="EF624" s="156"/>
      <c r="EG624" s="156"/>
      <c r="EH624" s="156"/>
      <c r="EI624" s="156"/>
      <c r="EJ624" s="156"/>
      <c r="EK624" s="156"/>
      <c r="EL624" s="156"/>
      <c r="EM624" s="156"/>
    </row>
    <row r="625" spans="20:143" ht="10.5" customHeight="1">
      <c r="T625" s="156"/>
      <c r="AR625" s="166"/>
      <c r="AS625" s="166"/>
      <c r="AT625" s="166"/>
      <c r="AU625" s="166"/>
      <c r="AV625" s="166"/>
      <c r="AW625" s="166"/>
      <c r="AX625" s="166"/>
      <c r="AZ625" s="156"/>
      <c r="BA625" s="156"/>
      <c r="BB625" s="156"/>
      <c r="BC625" s="156"/>
      <c r="BD625" s="156"/>
      <c r="BE625" s="156"/>
      <c r="BF625" s="156"/>
      <c r="BG625" s="156"/>
      <c r="BH625" s="156"/>
      <c r="BI625" s="156"/>
      <c r="BJ625" s="156"/>
      <c r="BK625" s="156"/>
      <c r="BL625" s="156"/>
      <c r="BM625" s="156"/>
      <c r="BN625" s="156"/>
      <c r="BO625" s="156"/>
      <c r="BP625" s="156"/>
      <c r="BQ625" s="156"/>
      <c r="BR625" s="156"/>
      <c r="BS625" s="156"/>
      <c r="BT625" s="156"/>
      <c r="BU625" s="156"/>
      <c r="BV625" s="156"/>
      <c r="BW625" s="156"/>
      <c r="BX625" s="156"/>
      <c r="BY625" s="156"/>
      <c r="BZ625" s="156"/>
      <c r="CA625" s="156"/>
      <c r="CB625" s="156"/>
      <c r="CC625" s="156"/>
      <c r="CD625" s="156"/>
      <c r="CE625" s="156"/>
      <c r="CF625" s="156"/>
      <c r="CG625" s="156"/>
      <c r="CH625" s="156"/>
      <c r="CI625" s="156"/>
      <c r="CJ625" s="156"/>
      <c r="CK625" s="156"/>
      <c r="CL625" s="156"/>
      <c r="CM625" s="156"/>
      <c r="CN625" s="156"/>
      <c r="CO625" s="156"/>
      <c r="CP625" s="156"/>
      <c r="CQ625" s="156"/>
      <c r="CR625" s="156"/>
      <c r="CS625" s="156"/>
      <c r="CT625" s="156"/>
      <c r="CU625" s="156"/>
      <c r="CV625" s="156"/>
      <c r="CW625" s="156"/>
      <c r="CX625" s="156"/>
      <c r="CY625" s="156"/>
      <c r="CZ625" s="156"/>
      <c r="DA625" s="156"/>
      <c r="DB625" s="156"/>
      <c r="DC625" s="156"/>
      <c r="DD625" s="156"/>
      <c r="DE625" s="156"/>
      <c r="DF625" s="156"/>
      <c r="DG625" s="156"/>
      <c r="DH625" s="156"/>
      <c r="DI625" s="156"/>
      <c r="DJ625" s="156"/>
      <c r="DK625" s="156"/>
      <c r="DL625" s="156"/>
      <c r="DM625" s="156"/>
      <c r="DN625" s="156"/>
      <c r="DO625" s="156"/>
      <c r="DP625" s="156"/>
      <c r="DQ625" s="156"/>
      <c r="DR625" s="156"/>
      <c r="DS625" s="156"/>
      <c r="DT625" s="156"/>
      <c r="DU625" s="156"/>
      <c r="DV625" s="156"/>
      <c r="DW625" s="156"/>
      <c r="DX625" s="156"/>
      <c r="DY625" s="156"/>
      <c r="DZ625" s="156"/>
      <c r="EA625" s="156"/>
      <c r="EB625" s="156"/>
      <c r="EC625" s="156"/>
      <c r="ED625" s="156"/>
      <c r="EE625" s="156"/>
      <c r="EF625" s="156"/>
      <c r="EG625" s="156"/>
      <c r="EH625" s="156"/>
      <c r="EI625" s="156"/>
      <c r="EJ625" s="156"/>
      <c r="EK625" s="156"/>
      <c r="EL625" s="156"/>
      <c r="EM625" s="156"/>
    </row>
    <row r="626" spans="20:143" ht="10.5" customHeight="1">
      <c r="T626" s="156"/>
      <c r="AZ626" s="156"/>
      <c r="BA626" s="156"/>
      <c r="BB626" s="156"/>
      <c r="BC626" s="156"/>
      <c r="BD626" s="156"/>
      <c r="BE626" s="156"/>
      <c r="BF626" s="156"/>
      <c r="BG626" s="156"/>
      <c r="BH626" s="156"/>
      <c r="BI626" s="156"/>
      <c r="BJ626" s="156"/>
      <c r="BK626" s="156"/>
      <c r="BL626" s="156"/>
      <c r="BM626" s="156"/>
      <c r="BN626" s="156"/>
      <c r="BO626" s="156"/>
      <c r="BP626" s="156"/>
      <c r="BQ626" s="156"/>
      <c r="BR626" s="156"/>
      <c r="BS626" s="156"/>
      <c r="BT626" s="156"/>
      <c r="BU626" s="156"/>
      <c r="BV626" s="156"/>
      <c r="BW626" s="156"/>
      <c r="BX626" s="156"/>
      <c r="BY626" s="156"/>
      <c r="BZ626" s="156"/>
      <c r="CA626" s="156"/>
      <c r="CB626" s="156"/>
      <c r="CC626" s="156"/>
      <c r="CD626" s="156"/>
      <c r="CE626" s="156"/>
      <c r="CF626" s="156"/>
      <c r="CG626" s="156"/>
      <c r="CH626" s="156"/>
      <c r="CI626" s="156"/>
      <c r="CJ626" s="156"/>
      <c r="CK626" s="156"/>
      <c r="CL626" s="156"/>
      <c r="CM626" s="156"/>
      <c r="CN626" s="156"/>
      <c r="CO626" s="156"/>
      <c r="CP626" s="156"/>
      <c r="CQ626" s="156"/>
      <c r="CR626" s="156"/>
      <c r="CS626" s="156"/>
      <c r="CT626" s="156"/>
      <c r="CU626" s="156"/>
      <c r="CV626" s="156"/>
      <c r="CW626" s="156"/>
      <c r="CX626" s="156"/>
      <c r="CY626" s="156"/>
      <c r="CZ626" s="156"/>
      <c r="DA626" s="156"/>
      <c r="DB626" s="156"/>
      <c r="DC626" s="156"/>
      <c r="DD626" s="156"/>
      <c r="DE626" s="156"/>
      <c r="DF626" s="156"/>
      <c r="DG626" s="156"/>
      <c r="DH626" s="156"/>
      <c r="DI626" s="156"/>
      <c r="DJ626" s="156"/>
      <c r="DK626" s="156"/>
      <c r="DL626" s="156"/>
      <c r="DM626" s="156"/>
      <c r="DN626" s="156"/>
      <c r="DO626" s="156"/>
      <c r="DP626" s="156"/>
      <c r="DQ626" s="156"/>
      <c r="DR626" s="156"/>
      <c r="DS626" s="156"/>
      <c r="DT626" s="156"/>
      <c r="DU626" s="156"/>
      <c r="DV626" s="156"/>
      <c r="DW626" s="156"/>
      <c r="DX626" s="156"/>
      <c r="DY626" s="156"/>
      <c r="DZ626" s="156"/>
      <c r="EA626" s="156"/>
      <c r="EB626" s="156"/>
      <c r="EC626" s="156"/>
      <c r="ED626" s="156"/>
      <c r="EE626" s="156"/>
      <c r="EF626" s="156"/>
      <c r="EG626" s="156"/>
      <c r="EH626" s="156"/>
      <c r="EI626" s="156"/>
      <c r="EJ626" s="156"/>
      <c r="EK626" s="156"/>
      <c r="EL626" s="156"/>
      <c r="EM626" s="156"/>
    </row>
    <row r="627" spans="20:143" ht="10.5" customHeight="1">
      <c r="T627" s="156"/>
      <c r="AZ627" s="156"/>
      <c r="BA627" s="156"/>
      <c r="BB627" s="156"/>
      <c r="BC627" s="156"/>
      <c r="BD627" s="156"/>
      <c r="BE627" s="156"/>
      <c r="BF627" s="156"/>
      <c r="BG627" s="156"/>
      <c r="BH627" s="156"/>
      <c r="BI627" s="156"/>
      <c r="BJ627" s="156"/>
      <c r="BK627" s="156"/>
      <c r="BL627" s="156"/>
      <c r="BM627" s="156"/>
      <c r="BN627" s="156"/>
      <c r="BO627" s="156"/>
      <c r="BP627" s="156"/>
      <c r="BQ627" s="156"/>
      <c r="BR627" s="156"/>
      <c r="BS627" s="156"/>
      <c r="BT627" s="156"/>
      <c r="BU627" s="156"/>
      <c r="BV627" s="156"/>
      <c r="BW627" s="156"/>
      <c r="BX627" s="156"/>
      <c r="BY627" s="156"/>
      <c r="BZ627" s="156"/>
      <c r="CA627" s="156"/>
      <c r="CB627" s="156"/>
      <c r="CC627" s="156"/>
      <c r="CD627" s="156"/>
      <c r="CE627" s="156"/>
      <c r="CF627" s="156"/>
      <c r="CG627" s="156"/>
      <c r="CH627" s="156"/>
      <c r="CI627" s="156"/>
      <c r="CJ627" s="156"/>
      <c r="CK627" s="156"/>
      <c r="CL627" s="156"/>
      <c r="CM627" s="156"/>
      <c r="CN627" s="156"/>
      <c r="CO627" s="156"/>
      <c r="CP627" s="156"/>
      <c r="CQ627" s="156"/>
      <c r="CR627" s="156"/>
      <c r="CS627" s="156"/>
      <c r="CT627" s="156"/>
      <c r="CU627" s="156"/>
      <c r="CV627" s="156"/>
      <c r="CW627" s="156"/>
      <c r="CX627" s="156"/>
      <c r="CY627" s="156"/>
      <c r="CZ627" s="156"/>
      <c r="DA627" s="156"/>
      <c r="DB627" s="156"/>
      <c r="DC627" s="156"/>
      <c r="DD627" s="156"/>
      <c r="DE627" s="156"/>
      <c r="DF627" s="156"/>
      <c r="DG627" s="156"/>
      <c r="DH627" s="156"/>
      <c r="DI627" s="156"/>
      <c r="DJ627" s="156"/>
      <c r="DK627" s="156"/>
      <c r="DL627" s="156"/>
      <c r="DM627" s="156"/>
      <c r="DN627" s="156"/>
      <c r="DO627" s="156"/>
      <c r="DP627" s="156"/>
      <c r="DQ627" s="156"/>
      <c r="DR627" s="156"/>
      <c r="DS627" s="156"/>
      <c r="DT627" s="156"/>
      <c r="DU627" s="156"/>
      <c r="DV627" s="156"/>
      <c r="DW627" s="156"/>
      <c r="DX627" s="156"/>
      <c r="DY627" s="156"/>
      <c r="DZ627" s="156"/>
      <c r="EA627" s="156"/>
      <c r="EB627" s="156"/>
      <c r="EC627" s="156"/>
      <c r="ED627" s="156"/>
      <c r="EE627" s="156"/>
      <c r="EF627" s="156"/>
      <c r="EG627" s="156"/>
      <c r="EH627" s="156"/>
      <c r="EI627" s="156"/>
      <c r="EJ627" s="156"/>
      <c r="EK627" s="156"/>
      <c r="EL627" s="156"/>
      <c r="EM627" s="156"/>
    </row>
    <row r="628" spans="20:143" ht="10.5" customHeight="1">
      <c r="T628" s="156"/>
      <c r="AZ628" s="156"/>
      <c r="BA628" s="156"/>
      <c r="BB628" s="156"/>
      <c r="BC628" s="156"/>
      <c r="BD628" s="156"/>
      <c r="BE628" s="156"/>
      <c r="BF628" s="156"/>
      <c r="BG628" s="156"/>
      <c r="BH628" s="156"/>
      <c r="BI628" s="156"/>
      <c r="BJ628" s="156"/>
      <c r="BK628" s="156"/>
      <c r="BL628" s="156"/>
      <c r="BM628" s="156"/>
      <c r="BN628" s="156"/>
      <c r="BO628" s="156"/>
      <c r="BP628" s="156"/>
      <c r="BQ628" s="156"/>
      <c r="BR628" s="156"/>
      <c r="BS628" s="156"/>
      <c r="BT628" s="156"/>
      <c r="BU628" s="156"/>
      <c r="BV628" s="156"/>
      <c r="BW628" s="156"/>
      <c r="BX628" s="156"/>
      <c r="BY628" s="156"/>
      <c r="BZ628" s="156"/>
      <c r="CA628" s="156"/>
      <c r="CB628" s="156"/>
      <c r="CC628" s="156"/>
      <c r="CD628" s="156"/>
      <c r="CE628" s="156"/>
      <c r="CF628" s="156"/>
      <c r="CG628" s="156"/>
      <c r="CH628" s="156"/>
      <c r="CI628" s="156"/>
      <c r="CJ628" s="156"/>
      <c r="CK628" s="156"/>
      <c r="CL628" s="156"/>
      <c r="CM628" s="156"/>
      <c r="CN628" s="156"/>
      <c r="CO628" s="156"/>
      <c r="CP628" s="156"/>
      <c r="CQ628" s="156"/>
      <c r="CR628" s="156"/>
      <c r="CS628" s="156"/>
      <c r="CT628" s="156"/>
      <c r="CU628" s="156"/>
      <c r="CV628" s="156"/>
      <c r="CW628" s="156"/>
      <c r="CX628" s="156"/>
      <c r="CY628" s="156"/>
      <c r="CZ628" s="156"/>
      <c r="DA628" s="156"/>
      <c r="DB628" s="156"/>
      <c r="DC628" s="156"/>
      <c r="DD628" s="156"/>
      <c r="DE628" s="156"/>
      <c r="DF628" s="156"/>
      <c r="DG628" s="156"/>
      <c r="DH628" s="156"/>
      <c r="DI628" s="156"/>
      <c r="DJ628" s="156"/>
      <c r="DK628" s="156"/>
      <c r="DL628" s="156"/>
      <c r="DM628" s="156"/>
      <c r="DN628" s="156"/>
      <c r="DO628" s="156"/>
      <c r="DP628" s="156"/>
      <c r="DQ628" s="156"/>
      <c r="DR628" s="156"/>
      <c r="DS628" s="156"/>
      <c r="DT628" s="156"/>
      <c r="DU628" s="156"/>
      <c r="DV628" s="156"/>
      <c r="DW628" s="156"/>
      <c r="DX628" s="156"/>
      <c r="DY628" s="156"/>
      <c r="DZ628" s="156"/>
      <c r="EA628" s="156"/>
      <c r="EB628" s="156"/>
      <c r="EC628" s="156"/>
      <c r="ED628" s="156"/>
      <c r="EE628" s="156"/>
      <c r="EF628" s="156"/>
      <c r="EG628" s="156"/>
      <c r="EH628" s="156"/>
      <c r="EI628" s="156"/>
      <c r="EJ628" s="156"/>
      <c r="EK628" s="156"/>
      <c r="EL628" s="156"/>
      <c r="EM628" s="156"/>
    </row>
    <row r="629" spans="20:143" ht="10.5" customHeight="1">
      <c r="T629" s="156"/>
      <c r="AZ629" s="156"/>
      <c r="BA629" s="156"/>
      <c r="BB629" s="156"/>
      <c r="BC629" s="156"/>
      <c r="BD629" s="156"/>
      <c r="BE629" s="156"/>
      <c r="BF629" s="156"/>
      <c r="BG629" s="156"/>
      <c r="BH629" s="156"/>
      <c r="BI629" s="156"/>
      <c r="BJ629" s="156"/>
      <c r="BK629" s="156"/>
      <c r="BL629" s="156"/>
      <c r="BM629" s="156"/>
      <c r="BN629" s="156"/>
      <c r="BO629" s="156"/>
      <c r="BP629" s="156"/>
      <c r="BQ629" s="156"/>
      <c r="BR629" s="156"/>
      <c r="BS629" s="156"/>
      <c r="BT629" s="156"/>
      <c r="BU629" s="156"/>
      <c r="BV629" s="156"/>
      <c r="BW629" s="156"/>
      <c r="BX629" s="156"/>
      <c r="BY629" s="156"/>
      <c r="BZ629" s="156"/>
      <c r="CA629" s="156"/>
      <c r="CB629" s="156"/>
      <c r="CC629" s="156"/>
      <c r="CD629" s="156"/>
      <c r="CE629" s="156"/>
      <c r="CF629" s="156"/>
      <c r="CG629" s="156"/>
      <c r="CH629" s="156"/>
      <c r="CI629" s="156"/>
      <c r="CJ629" s="156"/>
      <c r="CK629" s="156"/>
      <c r="CL629" s="156"/>
      <c r="CM629" s="156"/>
      <c r="CN629" s="156"/>
      <c r="CO629" s="156"/>
      <c r="CP629" s="156"/>
      <c r="CQ629" s="156"/>
      <c r="CR629" s="156"/>
      <c r="CS629" s="156"/>
      <c r="CT629" s="156"/>
      <c r="CU629" s="156"/>
      <c r="CV629" s="156"/>
      <c r="CW629" s="156"/>
      <c r="CX629" s="156"/>
      <c r="CY629" s="156"/>
      <c r="CZ629" s="156"/>
      <c r="DA629" s="156"/>
      <c r="DB629" s="156"/>
      <c r="DC629" s="156"/>
      <c r="DD629" s="156"/>
      <c r="DE629" s="156"/>
      <c r="DF629" s="156"/>
      <c r="DG629" s="156"/>
      <c r="DH629" s="156"/>
      <c r="DI629" s="156"/>
      <c r="DJ629" s="156"/>
      <c r="DK629" s="156"/>
      <c r="DL629" s="156"/>
      <c r="DM629" s="156"/>
      <c r="DN629" s="156"/>
      <c r="DO629" s="156"/>
      <c r="DP629" s="156"/>
      <c r="DQ629" s="156"/>
      <c r="DR629" s="156"/>
      <c r="DS629" s="156"/>
      <c r="DT629" s="156"/>
      <c r="DU629" s="156"/>
      <c r="DV629" s="156"/>
      <c r="DW629" s="156"/>
      <c r="DX629" s="156"/>
      <c r="DY629" s="156"/>
      <c r="DZ629" s="156"/>
      <c r="EA629" s="156"/>
      <c r="EB629" s="156"/>
      <c r="EC629" s="156"/>
      <c r="ED629" s="156"/>
      <c r="EE629" s="156"/>
      <c r="EF629" s="156"/>
      <c r="EG629" s="156"/>
      <c r="EH629" s="156"/>
      <c r="EI629" s="156"/>
      <c r="EJ629" s="156"/>
      <c r="EK629" s="156"/>
      <c r="EL629" s="156"/>
      <c r="EM629" s="156"/>
    </row>
    <row r="630" spans="20:143" ht="10.5" customHeight="1">
      <c r="T630" s="156"/>
      <c r="AZ630" s="156"/>
      <c r="BA630" s="156"/>
      <c r="BB630" s="156"/>
      <c r="BC630" s="156"/>
      <c r="BD630" s="156"/>
      <c r="BE630" s="156"/>
      <c r="BF630" s="156"/>
      <c r="BG630" s="156"/>
      <c r="BH630" s="156"/>
      <c r="BI630" s="156"/>
      <c r="BJ630" s="156"/>
      <c r="BK630" s="156"/>
      <c r="BL630" s="156"/>
      <c r="BM630" s="156"/>
      <c r="BN630" s="156"/>
      <c r="BO630" s="156"/>
      <c r="BP630" s="156"/>
      <c r="BQ630" s="156"/>
      <c r="BR630" s="156"/>
      <c r="BS630" s="156"/>
      <c r="BT630" s="156"/>
      <c r="BU630" s="156"/>
      <c r="BV630" s="156"/>
      <c r="BW630" s="156"/>
      <c r="BX630" s="156"/>
      <c r="BY630" s="156"/>
      <c r="BZ630" s="156"/>
      <c r="CA630" s="156"/>
      <c r="CB630" s="156"/>
      <c r="CC630" s="156"/>
      <c r="CD630" s="156"/>
      <c r="CE630" s="156"/>
      <c r="CF630" s="156"/>
      <c r="CG630" s="156"/>
      <c r="CH630" s="156"/>
      <c r="CI630" s="156"/>
      <c r="CJ630" s="156"/>
      <c r="CK630" s="156"/>
      <c r="CL630" s="156"/>
      <c r="CM630" s="156"/>
      <c r="CN630" s="156"/>
      <c r="CO630" s="156"/>
      <c r="CP630" s="156"/>
      <c r="CQ630" s="156"/>
      <c r="CR630" s="156"/>
      <c r="CS630" s="156"/>
      <c r="CT630" s="156"/>
      <c r="CU630" s="156"/>
      <c r="CV630" s="156"/>
      <c r="CW630" s="156"/>
      <c r="CX630" s="156"/>
      <c r="CY630" s="156"/>
      <c r="CZ630" s="156"/>
      <c r="DA630" s="156"/>
      <c r="DB630" s="156"/>
      <c r="DC630" s="156"/>
      <c r="DD630" s="156"/>
      <c r="DE630" s="156"/>
      <c r="DF630" s="156"/>
      <c r="DG630" s="156"/>
      <c r="DH630" s="156"/>
      <c r="DI630" s="156"/>
      <c r="DJ630" s="156"/>
      <c r="DK630" s="156"/>
      <c r="DL630" s="156"/>
      <c r="DM630" s="156"/>
      <c r="DN630" s="156"/>
      <c r="DO630" s="156"/>
      <c r="DP630" s="156"/>
      <c r="DQ630" s="156"/>
      <c r="DR630" s="156"/>
      <c r="DS630" s="156"/>
      <c r="DT630" s="156"/>
      <c r="DU630" s="156"/>
      <c r="DV630" s="156"/>
      <c r="DW630" s="156"/>
      <c r="DX630" s="156"/>
      <c r="DY630" s="156"/>
      <c r="DZ630" s="156"/>
      <c r="EA630" s="156"/>
      <c r="EB630" s="156"/>
      <c r="EC630" s="156"/>
      <c r="ED630" s="156"/>
      <c r="EE630" s="156"/>
      <c r="EF630" s="156"/>
      <c r="EG630" s="156"/>
      <c r="EH630" s="156"/>
      <c r="EI630" s="156"/>
      <c r="EJ630" s="156"/>
      <c r="EK630" s="156"/>
      <c r="EL630" s="156"/>
      <c r="EM630" s="156"/>
    </row>
    <row r="631" spans="20:143" ht="10.5" customHeight="1">
      <c r="T631" s="156"/>
      <c r="AZ631" s="156"/>
      <c r="BA631" s="156"/>
      <c r="BB631" s="156"/>
      <c r="BC631" s="156"/>
      <c r="BD631" s="156"/>
      <c r="BE631" s="156"/>
      <c r="BF631" s="156"/>
      <c r="BG631" s="156"/>
      <c r="BH631" s="156"/>
      <c r="BI631" s="156"/>
      <c r="BJ631" s="156"/>
      <c r="BK631" s="156"/>
      <c r="BL631" s="156"/>
      <c r="BM631" s="156"/>
      <c r="BN631" s="156"/>
      <c r="BO631" s="156"/>
      <c r="BP631" s="156"/>
      <c r="BQ631" s="156"/>
      <c r="BR631" s="156"/>
      <c r="BS631" s="156"/>
      <c r="BT631" s="156"/>
      <c r="BU631" s="156"/>
      <c r="BV631" s="156"/>
      <c r="BW631" s="156"/>
      <c r="BX631" s="156"/>
      <c r="BY631" s="156"/>
      <c r="BZ631" s="156"/>
      <c r="CA631" s="156"/>
      <c r="CB631" s="156"/>
      <c r="CC631" s="156"/>
      <c r="CD631" s="156"/>
      <c r="CE631" s="156"/>
      <c r="CF631" s="156"/>
      <c r="CG631" s="156"/>
      <c r="CH631" s="156"/>
      <c r="CI631" s="156"/>
      <c r="CJ631" s="156"/>
      <c r="CK631" s="156"/>
      <c r="CL631" s="156"/>
      <c r="CM631" s="156"/>
      <c r="CN631" s="156"/>
      <c r="CO631" s="156"/>
      <c r="CP631" s="156"/>
      <c r="CQ631" s="156"/>
      <c r="CR631" s="156"/>
      <c r="CS631" s="156"/>
      <c r="CT631" s="156"/>
      <c r="CU631" s="156"/>
      <c r="CV631" s="156"/>
      <c r="CW631" s="156"/>
      <c r="CX631" s="156"/>
      <c r="CY631" s="156"/>
      <c r="CZ631" s="156"/>
      <c r="DA631" s="156"/>
      <c r="DB631" s="156"/>
      <c r="DC631" s="156"/>
      <c r="DD631" s="156"/>
      <c r="DE631" s="156"/>
      <c r="DF631" s="156"/>
      <c r="DG631" s="156"/>
      <c r="DH631" s="156"/>
      <c r="DI631" s="156"/>
      <c r="DJ631" s="156"/>
      <c r="DK631" s="156"/>
      <c r="DL631" s="156"/>
      <c r="DM631" s="156"/>
      <c r="DN631" s="156"/>
      <c r="DO631" s="156"/>
      <c r="DP631" s="156"/>
      <c r="DQ631" s="156"/>
      <c r="DR631" s="156"/>
      <c r="DS631" s="156"/>
      <c r="DT631" s="156"/>
      <c r="DU631" s="156"/>
      <c r="DV631" s="156"/>
      <c r="DW631" s="156"/>
      <c r="DX631" s="156"/>
      <c r="DY631" s="156"/>
      <c r="DZ631" s="156"/>
      <c r="EA631" s="156"/>
      <c r="EB631" s="156"/>
      <c r="EC631" s="156"/>
      <c r="ED631" s="156"/>
      <c r="EE631" s="156"/>
      <c r="EF631" s="156"/>
      <c r="EG631" s="156"/>
      <c r="EH631" s="156"/>
      <c r="EI631" s="156"/>
      <c r="EJ631" s="156"/>
      <c r="EK631" s="156"/>
      <c r="EL631" s="156"/>
      <c r="EM631" s="156"/>
    </row>
    <row r="632" spans="20:143" ht="10.5" customHeight="1">
      <c r="T632" s="156"/>
      <c r="AZ632" s="156"/>
      <c r="BA632" s="156"/>
      <c r="BB632" s="156"/>
      <c r="BC632" s="156"/>
      <c r="BD632" s="156"/>
      <c r="BE632" s="156"/>
      <c r="BF632" s="156"/>
      <c r="BG632" s="156"/>
      <c r="BH632" s="156"/>
      <c r="BI632" s="156"/>
      <c r="BJ632" s="156"/>
      <c r="BK632" s="156"/>
      <c r="BL632" s="156"/>
      <c r="BM632" s="156"/>
      <c r="BN632" s="156"/>
      <c r="BO632" s="156"/>
      <c r="BP632" s="156"/>
      <c r="BQ632" s="156"/>
      <c r="BR632" s="156"/>
      <c r="BS632" s="156"/>
      <c r="BT632" s="156"/>
      <c r="BU632" s="156"/>
      <c r="BV632" s="156"/>
      <c r="BW632" s="156"/>
      <c r="BX632" s="156"/>
      <c r="BY632" s="156"/>
      <c r="BZ632" s="156"/>
      <c r="CA632" s="156"/>
      <c r="CB632" s="156"/>
      <c r="CC632" s="156"/>
      <c r="CD632" s="156"/>
      <c r="CE632" s="156"/>
      <c r="CF632" s="156"/>
      <c r="CG632" s="156"/>
      <c r="CH632" s="156"/>
      <c r="CI632" s="156"/>
      <c r="CJ632" s="156"/>
      <c r="CK632" s="156"/>
      <c r="CL632" s="156"/>
      <c r="CM632" s="156"/>
      <c r="CN632" s="156"/>
      <c r="CO632" s="156"/>
      <c r="CP632" s="156"/>
      <c r="CQ632" s="156"/>
      <c r="CR632" s="156"/>
      <c r="CS632" s="156"/>
      <c r="CT632" s="156"/>
      <c r="CU632" s="156"/>
      <c r="CV632" s="156"/>
      <c r="CW632" s="156"/>
      <c r="CX632" s="156"/>
      <c r="CY632" s="156"/>
      <c r="CZ632" s="156"/>
      <c r="DA632" s="156"/>
      <c r="DB632" s="156"/>
      <c r="DC632" s="156"/>
      <c r="DD632" s="156"/>
      <c r="DE632" s="156"/>
      <c r="DF632" s="156"/>
      <c r="DG632" s="156"/>
      <c r="DH632" s="156"/>
      <c r="DI632" s="156"/>
      <c r="DJ632" s="156"/>
      <c r="DK632" s="156"/>
      <c r="DL632" s="156"/>
      <c r="DM632" s="156"/>
      <c r="DN632" s="156"/>
      <c r="DO632" s="156"/>
      <c r="DP632" s="156"/>
      <c r="DQ632" s="156"/>
      <c r="DR632" s="156"/>
      <c r="DS632" s="156"/>
      <c r="DT632" s="156"/>
      <c r="DU632" s="156"/>
      <c r="DV632" s="156"/>
      <c r="DW632" s="156"/>
      <c r="DX632" s="156"/>
      <c r="DY632" s="156"/>
      <c r="DZ632" s="156"/>
      <c r="EA632" s="156"/>
      <c r="EB632" s="156"/>
      <c r="EC632" s="156"/>
      <c r="ED632" s="156"/>
      <c r="EE632" s="156"/>
      <c r="EF632" s="156"/>
      <c r="EG632" s="156"/>
      <c r="EH632" s="156"/>
      <c r="EI632" s="156"/>
      <c r="EJ632" s="156"/>
      <c r="EK632" s="156"/>
      <c r="EL632" s="156"/>
      <c r="EM632" s="156"/>
    </row>
    <row r="633" spans="20:143" ht="10.5" customHeight="1">
      <c r="T633" s="156"/>
      <c r="AZ633" s="156"/>
      <c r="BA633" s="156"/>
      <c r="BB633" s="156"/>
      <c r="BC633" s="156"/>
      <c r="BD633" s="156"/>
      <c r="BE633" s="156"/>
      <c r="BF633" s="156"/>
      <c r="BG633" s="156"/>
      <c r="BH633" s="156"/>
      <c r="BI633" s="156"/>
      <c r="BJ633" s="156"/>
      <c r="BK633" s="156"/>
      <c r="BL633" s="156"/>
      <c r="BM633" s="156"/>
      <c r="BN633" s="156"/>
      <c r="BO633" s="156"/>
      <c r="BP633" s="156"/>
      <c r="BQ633" s="156"/>
      <c r="BR633" s="156"/>
      <c r="BS633" s="156"/>
      <c r="BT633" s="156"/>
      <c r="BU633" s="156"/>
      <c r="BV633" s="156"/>
      <c r="BW633" s="156"/>
      <c r="BX633" s="156"/>
      <c r="BY633" s="156"/>
      <c r="BZ633" s="156"/>
      <c r="CA633" s="156"/>
      <c r="CB633" s="156"/>
      <c r="CC633" s="156"/>
      <c r="CD633" s="156"/>
      <c r="CE633" s="156"/>
      <c r="CF633" s="156"/>
      <c r="CG633" s="156"/>
      <c r="CH633" s="156"/>
      <c r="CI633" s="156"/>
      <c r="CJ633" s="156"/>
      <c r="CK633" s="156"/>
      <c r="CL633" s="156"/>
      <c r="CM633" s="156"/>
      <c r="CN633" s="156"/>
      <c r="CO633" s="156"/>
      <c r="CP633" s="156"/>
      <c r="CQ633" s="156"/>
      <c r="CR633" s="156"/>
      <c r="CS633" s="156"/>
      <c r="CT633" s="156"/>
      <c r="CU633" s="156"/>
      <c r="CV633" s="156"/>
      <c r="CW633" s="156"/>
      <c r="CX633" s="156"/>
      <c r="CY633" s="156"/>
      <c r="CZ633" s="156"/>
      <c r="DA633" s="156"/>
      <c r="DB633" s="156"/>
      <c r="DC633" s="156"/>
      <c r="DD633" s="156"/>
      <c r="DE633" s="156"/>
      <c r="DF633" s="156"/>
      <c r="DG633" s="156"/>
      <c r="DH633" s="156"/>
      <c r="DI633" s="156"/>
      <c r="DJ633" s="156"/>
      <c r="DK633" s="156"/>
      <c r="DL633" s="156"/>
      <c r="DM633" s="156"/>
      <c r="DN633" s="156"/>
      <c r="DO633" s="156"/>
      <c r="DP633" s="156"/>
      <c r="DQ633" s="156"/>
      <c r="DR633" s="156"/>
      <c r="DS633" s="156"/>
      <c r="DT633" s="156"/>
      <c r="DU633" s="156"/>
      <c r="DV633" s="156"/>
      <c r="DW633" s="156"/>
      <c r="DX633" s="156"/>
      <c r="DY633" s="156"/>
      <c r="DZ633" s="156"/>
      <c r="EA633" s="156"/>
      <c r="EB633" s="156"/>
      <c r="EC633" s="156"/>
      <c r="ED633" s="156"/>
      <c r="EE633" s="156"/>
      <c r="EF633" s="156"/>
      <c r="EG633" s="156"/>
      <c r="EH633" s="156"/>
      <c r="EI633" s="156"/>
      <c r="EJ633" s="156"/>
      <c r="EK633" s="156"/>
      <c r="EL633" s="156"/>
      <c r="EM633" s="156"/>
    </row>
    <row r="634" spans="20:143" ht="10.5" customHeight="1">
      <c r="T634" s="156"/>
      <c r="AZ634" s="156"/>
      <c r="BA634" s="156"/>
      <c r="BB634" s="156"/>
      <c r="BC634" s="156"/>
      <c r="BD634" s="156"/>
      <c r="BE634" s="156"/>
      <c r="BF634" s="156"/>
      <c r="BG634" s="156"/>
      <c r="BH634" s="156"/>
      <c r="BI634" s="156"/>
      <c r="BJ634" s="156"/>
      <c r="BK634" s="156"/>
      <c r="BL634" s="156"/>
      <c r="BM634" s="156"/>
      <c r="BN634" s="156"/>
      <c r="BO634" s="156"/>
      <c r="BP634" s="156"/>
      <c r="BQ634" s="156"/>
      <c r="BR634" s="156"/>
      <c r="BS634" s="156"/>
      <c r="BT634" s="156"/>
      <c r="BU634" s="156"/>
      <c r="BV634" s="156"/>
      <c r="BW634" s="156"/>
      <c r="BX634" s="156"/>
      <c r="BY634" s="156"/>
      <c r="BZ634" s="156"/>
      <c r="CA634" s="156"/>
      <c r="CB634" s="156"/>
      <c r="CC634" s="156"/>
      <c r="CD634" s="156"/>
      <c r="CE634" s="156"/>
      <c r="CF634" s="156"/>
      <c r="CG634" s="156"/>
      <c r="CH634" s="156"/>
      <c r="CI634" s="156"/>
      <c r="CJ634" s="156"/>
      <c r="CK634" s="156"/>
      <c r="CL634" s="156"/>
      <c r="CM634" s="156"/>
      <c r="CN634" s="156"/>
      <c r="CO634" s="156"/>
      <c r="CP634" s="156"/>
      <c r="CQ634" s="156"/>
      <c r="CR634" s="156"/>
      <c r="CS634" s="156"/>
      <c r="CT634" s="156"/>
      <c r="CU634" s="156"/>
      <c r="CV634" s="156"/>
      <c r="CW634" s="156"/>
      <c r="CX634" s="156"/>
      <c r="CY634" s="156"/>
      <c r="CZ634" s="156"/>
      <c r="DA634" s="156"/>
      <c r="DB634" s="156"/>
      <c r="DC634" s="156"/>
      <c r="DD634" s="156"/>
      <c r="DE634" s="156"/>
      <c r="DF634" s="156"/>
      <c r="DG634" s="156"/>
      <c r="DH634" s="156"/>
      <c r="DI634" s="156"/>
      <c r="DJ634" s="156"/>
      <c r="DK634" s="156"/>
      <c r="DL634" s="156"/>
      <c r="DM634" s="156"/>
      <c r="DN634" s="156"/>
      <c r="DO634" s="156"/>
      <c r="DP634" s="156"/>
      <c r="DQ634" s="156"/>
      <c r="DR634" s="156"/>
      <c r="DS634" s="156"/>
      <c r="DT634" s="156"/>
      <c r="DU634" s="156"/>
      <c r="DV634" s="156"/>
      <c r="DW634" s="156"/>
      <c r="DX634" s="156"/>
      <c r="DY634" s="156"/>
      <c r="DZ634" s="156"/>
      <c r="EA634" s="156"/>
      <c r="EB634" s="156"/>
      <c r="EC634" s="156"/>
      <c r="ED634" s="156"/>
      <c r="EE634" s="156"/>
      <c r="EF634" s="156"/>
      <c r="EG634" s="156"/>
      <c r="EH634" s="156"/>
      <c r="EI634" s="156"/>
      <c r="EJ634" s="156"/>
      <c r="EK634" s="156"/>
      <c r="EL634" s="156"/>
      <c r="EM634" s="156"/>
    </row>
    <row r="635" spans="20:143" ht="10.5" customHeight="1">
      <c r="T635" s="156"/>
      <c r="AZ635" s="156"/>
      <c r="BA635" s="156"/>
      <c r="BB635" s="156"/>
      <c r="BC635" s="156"/>
      <c r="BD635" s="156"/>
      <c r="BE635" s="156"/>
      <c r="BF635" s="156"/>
      <c r="BG635" s="156"/>
      <c r="BH635" s="156"/>
      <c r="BI635" s="156"/>
      <c r="BJ635" s="156"/>
      <c r="BK635" s="156"/>
      <c r="BL635" s="156"/>
      <c r="BM635" s="156"/>
      <c r="BN635" s="156"/>
      <c r="BO635" s="156"/>
      <c r="BP635" s="156"/>
      <c r="BQ635" s="156"/>
      <c r="BR635" s="156"/>
      <c r="BS635" s="156"/>
      <c r="BT635" s="156"/>
      <c r="BU635" s="156"/>
      <c r="BV635" s="156"/>
      <c r="BW635" s="156"/>
      <c r="BX635" s="156"/>
      <c r="BY635" s="156"/>
      <c r="BZ635" s="156"/>
      <c r="CA635" s="156"/>
      <c r="CB635" s="156"/>
      <c r="CC635" s="156"/>
      <c r="CD635" s="156"/>
      <c r="CE635" s="156"/>
      <c r="CF635" s="156"/>
      <c r="CG635" s="156"/>
      <c r="CH635" s="156"/>
      <c r="CI635" s="156"/>
      <c r="CJ635" s="156"/>
      <c r="CK635" s="156"/>
      <c r="CL635" s="156"/>
      <c r="CM635" s="156"/>
      <c r="CN635" s="156"/>
      <c r="CO635" s="156"/>
      <c r="CP635" s="156"/>
      <c r="CQ635" s="156"/>
      <c r="CR635" s="156"/>
      <c r="CS635" s="156"/>
      <c r="CT635" s="156"/>
      <c r="CU635" s="156"/>
      <c r="CV635" s="156"/>
      <c r="CW635" s="156"/>
      <c r="CX635" s="156"/>
      <c r="CY635" s="156"/>
      <c r="CZ635" s="156"/>
      <c r="DA635" s="156"/>
      <c r="DB635" s="156"/>
      <c r="DC635" s="156"/>
      <c r="DD635" s="156"/>
      <c r="DE635" s="156"/>
      <c r="DF635" s="156"/>
      <c r="DG635" s="156"/>
      <c r="DH635" s="156"/>
      <c r="DI635" s="156"/>
      <c r="DJ635" s="156"/>
      <c r="DK635" s="156"/>
      <c r="DL635" s="156"/>
      <c r="DM635" s="156"/>
      <c r="DN635" s="156"/>
      <c r="DO635" s="156"/>
      <c r="DP635" s="156"/>
      <c r="DQ635" s="156"/>
      <c r="DR635" s="156"/>
      <c r="DS635" s="156"/>
      <c r="DT635" s="156"/>
      <c r="DU635" s="156"/>
      <c r="DV635" s="156"/>
      <c r="DW635" s="156"/>
      <c r="DX635" s="156"/>
      <c r="DY635" s="156"/>
      <c r="DZ635" s="156"/>
      <c r="EA635" s="156"/>
      <c r="EB635" s="156"/>
      <c r="EC635" s="156"/>
      <c r="ED635" s="156"/>
      <c r="EE635" s="156"/>
      <c r="EF635" s="156"/>
      <c r="EG635" s="156"/>
      <c r="EH635" s="156"/>
      <c r="EI635" s="156"/>
      <c r="EJ635" s="156"/>
      <c r="EK635" s="156"/>
      <c r="EL635" s="156"/>
      <c r="EM635" s="156"/>
    </row>
    <row r="636" spans="20:143" ht="10.5" customHeight="1">
      <c r="T636" s="156"/>
      <c r="AZ636" s="156"/>
      <c r="BA636" s="156"/>
      <c r="BB636" s="156"/>
      <c r="BC636" s="156"/>
      <c r="BD636" s="156"/>
      <c r="BE636" s="156"/>
      <c r="BF636" s="156"/>
      <c r="BG636" s="156"/>
      <c r="BH636" s="156"/>
      <c r="BI636" s="156"/>
      <c r="BJ636" s="156"/>
      <c r="BK636" s="156"/>
      <c r="BL636" s="156"/>
      <c r="BM636" s="156"/>
      <c r="BN636" s="156"/>
      <c r="BO636" s="156"/>
      <c r="BP636" s="156"/>
      <c r="BQ636" s="156"/>
      <c r="BR636" s="156"/>
      <c r="BS636" s="156"/>
      <c r="BT636" s="156"/>
      <c r="BU636" s="156"/>
      <c r="BV636" s="156"/>
      <c r="BW636" s="156"/>
      <c r="BX636" s="156"/>
      <c r="BY636" s="156"/>
      <c r="BZ636" s="156"/>
      <c r="CA636" s="156"/>
      <c r="CB636" s="156"/>
      <c r="CC636" s="156"/>
      <c r="CD636" s="156"/>
      <c r="CE636" s="156"/>
      <c r="CF636" s="156"/>
      <c r="CG636" s="156"/>
      <c r="CH636" s="156"/>
      <c r="CI636" s="156"/>
      <c r="CJ636" s="156"/>
      <c r="CK636" s="156"/>
      <c r="CL636" s="156"/>
      <c r="CM636" s="156"/>
      <c r="CN636" s="156"/>
      <c r="CO636" s="156"/>
      <c r="CP636" s="156"/>
      <c r="CQ636" s="156"/>
      <c r="CR636" s="156"/>
      <c r="CS636" s="156"/>
      <c r="CT636" s="156"/>
      <c r="CU636" s="156"/>
      <c r="CV636" s="156"/>
      <c r="CW636" s="156"/>
      <c r="CX636" s="156"/>
      <c r="CY636" s="156"/>
      <c r="CZ636" s="156"/>
      <c r="DA636" s="156"/>
      <c r="DB636" s="156"/>
      <c r="DC636" s="156"/>
      <c r="DD636" s="156"/>
      <c r="DE636" s="156"/>
      <c r="DF636" s="156"/>
      <c r="DG636" s="156"/>
      <c r="DH636" s="156"/>
      <c r="DI636" s="156"/>
      <c r="DJ636" s="156"/>
      <c r="DK636" s="156"/>
      <c r="DL636" s="156"/>
      <c r="DM636" s="156"/>
      <c r="DN636" s="156"/>
      <c r="DO636" s="156"/>
      <c r="DP636" s="156"/>
      <c r="DQ636" s="156"/>
      <c r="DR636" s="156"/>
      <c r="DS636" s="156"/>
      <c r="DT636" s="156"/>
      <c r="DU636" s="156"/>
      <c r="DV636" s="156"/>
      <c r="DW636" s="156"/>
      <c r="DX636" s="156"/>
      <c r="DY636" s="156"/>
      <c r="DZ636" s="156"/>
      <c r="EA636" s="156"/>
      <c r="EB636" s="156"/>
      <c r="EC636" s="156"/>
      <c r="ED636" s="156"/>
      <c r="EE636" s="156"/>
      <c r="EF636" s="156"/>
      <c r="EG636" s="156"/>
      <c r="EH636" s="156"/>
      <c r="EI636" s="156"/>
      <c r="EJ636" s="156"/>
      <c r="EK636" s="156"/>
      <c r="EL636" s="156"/>
      <c r="EM636" s="156"/>
    </row>
    <row r="637" spans="20:143" ht="10.5" customHeight="1">
      <c r="T637" s="156"/>
      <c r="AZ637" s="156"/>
      <c r="BA637" s="156"/>
      <c r="BB637" s="156"/>
      <c r="BC637" s="156"/>
      <c r="BD637" s="156"/>
      <c r="BE637" s="156"/>
      <c r="BF637" s="156"/>
      <c r="BG637" s="156"/>
      <c r="BH637" s="156"/>
      <c r="BI637" s="156"/>
      <c r="BJ637" s="156"/>
      <c r="BK637" s="156"/>
      <c r="BL637" s="156"/>
      <c r="BM637" s="156"/>
      <c r="BN637" s="156"/>
      <c r="BO637" s="156"/>
      <c r="BP637" s="156"/>
      <c r="BQ637" s="156"/>
      <c r="BR637" s="156"/>
      <c r="BS637" s="156"/>
      <c r="BT637" s="156"/>
      <c r="BU637" s="156"/>
      <c r="BV637" s="156"/>
      <c r="BW637" s="156"/>
      <c r="BX637" s="156"/>
      <c r="BY637" s="156"/>
      <c r="BZ637" s="156"/>
      <c r="CA637" s="156"/>
      <c r="CB637" s="156"/>
      <c r="CC637" s="156"/>
      <c r="CD637" s="156"/>
      <c r="CE637" s="156"/>
      <c r="CF637" s="156"/>
      <c r="CG637" s="156"/>
      <c r="CH637" s="156"/>
      <c r="CI637" s="156"/>
      <c r="CJ637" s="156"/>
      <c r="CK637" s="156"/>
      <c r="CL637" s="156"/>
      <c r="CM637" s="156"/>
      <c r="CN637" s="156"/>
      <c r="CO637" s="156"/>
      <c r="CP637" s="156"/>
      <c r="CQ637" s="156"/>
      <c r="CR637" s="156"/>
      <c r="CS637" s="156"/>
      <c r="CT637" s="156"/>
      <c r="CU637" s="156"/>
      <c r="CV637" s="156"/>
      <c r="CW637" s="156"/>
      <c r="CX637" s="156"/>
      <c r="CY637" s="156"/>
      <c r="CZ637" s="156"/>
      <c r="DA637" s="156"/>
      <c r="DB637" s="156"/>
      <c r="DC637" s="156"/>
      <c r="DD637" s="156"/>
      <c r="DE637" s="156"/>
      <c r="DF637" s="156"/>
      <c r="DG637" s="156"/>
      <c r="DH637" s="156"/>
      <c r="DI637" s="156"/>
      <c r="DJ637" s="156"/>
      <c r="DK637" s="156"/>
      <c r="DL637" s="156"/>
      <c r="DM637" s="156"/>
      <c r="DN637" s="156"/>
      <c r="DO637" s="156"/>
      <c r="DP637" s="156"/>
      <c r="DQ637" s="156"/>
      <c r="DR637" s="156"/>
      <c r="DS637" s="156"/>
      <c r="DT637" s="156"/>
      <c r="DU637" s="156"/>
      <c r="DV637" s="156"/>
      <c r="DW637" s="156"/>
      <c r="DX637" s="156"/>
      <c r="DY637" s="156"/>
      <c r="DZ637" s="156"/>
      <c r="EA637" s="156"/>
      <c r="EB637" s="156"/>
      <c r="EC637" s="156"/>
      <c r="ED637" s="156"/>
      <c r="EE637" s="156"/>
      <c r="EF637" s="156"/>
      <c r="EG637" s="156"/>
      <c r="EH637" s="156"/>
      <c r="EI637" s="156"/>
      <c r="EJ637" s="156"/>
      <c r="EK637" s="156"/>
      <c r="EL637" s="156"/>
      <c r="EM637" s="156"/>
    </row>
    <row r="638" spans="20:143" ht="10.5" customHeight="1">
      <c r="T638" s="156"/>
      <c r="AZ638" s="156"/>
      <c r="BA638" s="156"/>
      <c r="BB638" s="156"/>
      <c r="BC638" s="156"/>
      <c r="BD638" s="156"/>
      <c r="BE638" s="156"/>
      <c r="BF638" s="156"/>
      <c r="BG638" s="156"/>
      <c r="BH638" s="156"/>
      <c r="BI638" s="156"/>
      <c r="BJ638" s="156"/>
      <c r="BK638" s="156"/>
      <c r="BL638" s="156"/>
      <c r="BM638" s="156"/>
      <c r="BN638" s="156"/>
      <c r="BO638" s="156"/>
      <c r="BP638" s="156"/>
      <c r="BQ638" s="156"/>
      <c r="BR638" s="156"/>
      <c r="BS638" s="156"/>
      <c r="BT638" s="156"/>
      <c r="BU638" s="156"/>
      <c r="BV638" s="156"/>
      <c r="BW638" s="156"/>
      <c r="BX638" s="156"/>
      <c r="BY638" s="156"/>
      <c r="BZ638" s="156"/>
      <c r="CA638" s="156"/>
      <c r="CB638" s="156"/>
      <c r="CC638" s="156"/>
      <c r="CD638" s="156"/>
      <c r="CE638" s="156"/>
      <c r="CF638" s="156"/>
      <c r="CG638" s="156"/>
      <c r="CH638" s="156"/>
      <c r="CI638" s="156"/>
      <c r="CJ638" s="156"/>
      <c r="CK638" s="156"/>
      <c r="CL638" s="156"/>
      <c r="CM638" s="156"/>
      <c r="CN638" s="156"/>
      <c r="CO638" s="156"/>
      <c r="CP638" s="156"/>
      <c r="CQ638" s="156"/>
      <c r="CR638" s="156"/>
      <c r="CS638" s="156"/>
      <c r="CT638" s="156"/>
      <c r="CU638" s="156"/>
      <c r="CV638" s="156"/>
      <c r="CW638" s="156"/>
      <c r="CX638" s="156"/>
      <c r="CY638" s="156"/>
      <c r="CZ638" s="156"/>
      <c r="DA638" s="156"/>
      <c r="DB638" s="156"/>
      <c r="DC638" s="156"/>
      <c r="DD638" s="156"/>
      <c r="DE638" s="156"/>
      <c r="DF638" s="156"/>
      <c r="DG638" s="156"/>
      <c r="DH638" s="156"/>
      <c r="DI638" s="156"/>
      <c r="DJ638" s="156"/>
      <c r="DK638" s="156"/>
      <c r="DL638" s="156"/>
      <c r="DM638" s="156"/>
      <c r="DN638" s="156"/>
      <c r="DO638" s="156"/>
      <c r="DP638" s="156"/>
      <c r="DQ638" s="156"/>
      <c r="DR638" s="156"/>
      <c r="DS638" s="156"/>
      <c r="DT638" s="156"/>
      <c r="DU638" s="156"/>
      <c r="DV638" s="156"/>
      <c r="DW638" s="156"/>
      <c r="DX638" s="156"/>
      <c r="DY638" s="156"/>
      <c r="DZ638" s="156"/>
      <c r="EA638" s="156"/>
      <c r="EB638" s="156"/>
      <c r="EC638" s="156"/>
      <c r="ED638" s="156"/>
      <c r="EE638" s="156"/>
      <c r="EF638" s="156"/>
      <c r="EG638" s="156"/>
      <c r="EH638" s="156"/>
      <c r="EI638" s="156"/>
      <c r="EJ638" s="156"/>
      <c r="EK638" s="156"/>
      <c r="EL638" s="156"/>
      <c r="EM638" s="156"/>
    </row>
    <row r="639" spans="20:143" ht="10.5" customHeight="1">
      <c r="T639" s="156"/>
      <c r="AZ639" s="156"/>
      <c r="BA639" s="156"/>
      <c r="BB639" s="156"/>
      <c r="BC639" s="156"/>
      <c r="BD639" s="156"/>
      <c r="BE639" s="156"/>
      <c r="BF639" s="156"/>
      <c r="BG639" s="156"/>
      <c r="BH639" s="156"/>
      <c r="BI639" s="156"/>
      <c r="BJ639" s="156"/>
      <c r="BK639" s="156"/>
      <c r="BL639" s="156"/>
      <c r="BM639" s="156"/>
      <c r="BN639" s="156"/>
      <c r="BO639" s="156"/>
      <c r="BP639" s="156"/>
      <c r="BQ639" s="156"/>
      <c r="BR639" s="156"/>
      <c r="BS639" s="156"/>
      <c r="BT639" s="156"/>
      <c r="BU639" s="156"/>
      <c r="BV639" s="156"/>
      <c r="BW639" s="156"/>
      <c r="BX639" s="156"/>
      <c r="BY639" s="156"/>
      <c r="BZ639" s="156"/>
      <c r="CA639" s="156"/>
      <c r="CB639" s="156"/>
      <c r="CC639" s="156"/>
      <c r="CD639" s="156"/>
      <c r="CE639" s="156"/>
      <c r="CF639" s="156"/>
      <c r="CG639" s="156"/>
      <c r="CH639" s="156"/>
      <c r="CI639" s="156"/>
      <c r="CJ639" s="156"/>
      <c r="CK639" s="156"/>
      <c r="CL639" s="156"/>
      <c r="CM639" s="156"/>
      <c r="CN639" s="156"/>
      <c r="CO639" s="156"/>
      <c r="CP639" s="156"/>
      <c r="CQ639" s="156"/>
      <c r="CR639" s="156"/>
      <c r="CS639" s="156"/>
      <c r="CT639" s="156"/>
      <c r="CU639" s="156"/>
      <c r="CV639" s="156"/>
      <c r="CW639" s="156"/>
      <c r="CX639" s="156"/>
      <c r="CY639" s="156"/>
      <c r="CZ639" s="156"/>
      <c r="DA639" s="156"/>
      <c r="DB639" s="156"/>
      <c r="DC639" s="156"/>
      <c r="DD639" s="156"/>
      <c r="DE639" s="156"/>
      <c r="DF639" s="156"/>
      <c r="DG639" s="156"/>
      <c r="DH639" s="156"/>
      <c r="DI639" s="156"/>
      <c r="DJ639" s="156"/>
      <c r="DK639" s="156"/>
      <c r="DL639" s="156"/>
      <c r="DM639" s="156"/>
      <c r="DN639" s="156"/>
      <c r="DO639" s="156"/>
      <c r="DP639" s="156"/>
      <c r="DQ639" s="156"/>
      <c r="DR639" s="156"/>
      <c r="DS639" s="156"/>
      <c r="DT639" s="156"/>
      <c r="DU639" s="156"/>
      <c r="DV639" s="156"/>
      <c r="DW639" s="156"/>
      <c r="DX639" s="156"/>
      <c r="DY639" s="156"/>
      <c r="DZ639" s="156"/>
      <c r="EA639" s="156"/>
      <c r="EB639" s="156"/>
      <c r="EC639" s="156"/>
      <c r="ED639" s="156"/>
      <c r="EE639" s="156"/>
      <c r="EF639" s="156"/>
      <c r="EG639" s="156"/>
      <c r="EH639" s="156"/>
      <c r="EI639" s="156"/>
      <c r="EJ639" s="156"/>
      <c r="EK639" s="156"/>
      <c r="EL639" s="156"/>
      <c r="EM639" s="156"/>
    </row>
    <row r="640" spans="20:143" ht="10.5" customHeight="1">
      <c r="T640" s="156"/>
      <c r="AZ640" s="156"/>
      <c r="BA640" s="156"/>
      <c r="BB640" s="156"/>
      <c r="BC640" s="156"/>
      <c r="BD640" s="156"/>
      <c r="BE640" s="156"/>
      <c r="BF640" s="156"/>
      <c r="BG640" s="156"/>
      <c r="BH640" s="156"/>
      <c r="BI640" s="156"/>
      <c r="BJ640" s="156"/>
      <c r="BK640" s="156"/>
      <c r="BL640" s="156"/>
      <c r="BM640" s="156"/>
      <c r="BN640" s="156"/>
      <c r="BO640" s="156"/>
      <c r="BP640" s="156"/>
      <c r="BQ640" s="156"/>
      <c r="BR640" s="156"/>
      <c r="BS640" s="156"/>
      <c r="BT640" s="156"/>
      <c r="BU640" s="156"/>
      <c r="BV640" s="156"/>
      <c r="BW640" s="156"/>
      <c r="BX640" s="156"/>
      <c r="BY640" s="156"/>
      <c r="BZ640" s="156"/>
      <c r="CA640" s="156"/>
      <c r="CB640" s="156"/>
      <c r="CC640" s="156"/>
      <c r="CD640" s="156"/>
      <c r="CE640" s="156"/>
      <c r="CF640" s="156"/>
      <c r="CG640" s="156"/>
      <c r="CH640" s="156"/>
      <c r="CI640" s="156"/>
      <c r="CJ640" s="156"/>
      <c r="CK640" s="156"/>
      <c r="CL640" s="156"/>
      <c r="CM640" s="156"/>
      <c r="CN640" s="156"/>
      <c r="CO640" s="156"/>
      <c r="CP640" s="156"/>
      <c r="CQ640" s="156"/>
      <c r="CR640" s="156"/>
      <c r="CS640" s="156"/>
      <c r="CT640" s="156"/>
      <c r="CU640" s="156"/>
      <c r="CV640" s="156"/>
      <c r="CW640" s="156"/>
      <c r="CX640" s="156"/>
      <c r="CY640" s="156"/>
      <c r="CZ640" s="156"/>
      <c r="DA640" s="156"/>
      <c r="DB640" s="156"/>
      <c r="DC640" s="156"/>
      <c r="DD640" s="156"/>
      <c r="DE640" s="156"/>
      <c r="DF640" s="156"/>
      <c r="DG640" s="156"/>
      <c r="DH640" s="156"/>
      <c r="DI640" s="156"/>
      <c r="DJ640" s="156"/>
      <c r="DK640" s="156"/>
      <c r="DL640" s="156"/>
      <c r="DM640" s="156"/>
      <c r="DN640" s="156"/>
      <c r="DO640" s="156"/>
      <c r="DP640" s="156"/>
      <c r="DQ640" s="156"/>
      <c r="DR640" s="156"/>
      <c r="DS640" s="156"/>
      <c r="DT640" s="156"/>
      <c r="DU640" s="156"/>
      <c r="DV640" s="156"/>
      <c r="DW640" s="156"/>
      <c r="DX640" s="156"/>
      <c r="DY640" s="156"/>
      <c r="DZ640" s="156"/>
      <c r="EA640" s="156"/>
      <c r="EB640" s="156"/>
      <c r="EC640" s="156"/>
      <c r="ED640" s="156"/>
      <c r="EE640" s="156"/>
      <c r="EF640" s="156"/>
      <c r="EG640" s="156"/>
      <c r="EH640" s="156"/>
      <c r="EI640" s="156"/>
      <c r="EJ640" s="156"/>
      <c r="EK640" s="156"/>
      <c r="EL640" s="156"/>
      <c r="EM640" s="156"/>
    </row>
    <row r="641" spans="20:143" ht="10.5" customHeight="1">
      <c r="T641" s="156"/>
      <c r="AZ641" s="156"/>
      <c r="BA641" s="156"/>
      <c r="BB641" s="156"/>
      <c r="BC641" s="156"/>
      <c r="BD641" s="156"/>
      <c r="BE641" s="156"/>
      <c r="BF641" s="156"/>
      <c r="BG641" s="156"/>
      <c r="BH641" s="156"/>
      <c r="BI641" s="156"/>
      <c r="BJ641" s="156"/>
      <c r="BK641" s="156"/>
      <c r="BL641" s="156"/>
      <c r="BM641" s="156"/>
      <c r="BN641" s="156"/>
      <c r="BO641" s="156"/>
      <c r="BP641" s="156"/>
      <c r="BQ641" s="156"/>
      <c r="BR641" s="156"/>
      <c r="BS641" s="156"/>
      <c r="BT641" s="156"/>
      <c r="BU641" s="156"/>
      <c r="BV641" s="156"/>
      <c r="BW641" s="156"/>
      <c r="BX641" s="156"/>
      <c r="BY641" s="156"/>
      <c r="BZ641" s="156"/>
      <c r="CA641" s="156"/>
      <c r="CB641" s="156"/>
      <c r="CC641" s="156"/>
      <c r="CD641" s="156"/>
      <c r="CE641" s="156"/>
      <c r="CF641" s="156"/>
      <c r="CG641" s="156"/>
      <c r="CH641" s="156"/>
      <c r="CI641" s="156"/>
      <c r="CJ641" s="156"/>
      <c r="CK641" s="156"/>
      <c r="CL641" s="156"/>
      <c r="CM641" s="156"/>
      <c r="CN641" s="156"/>
      <c r="CO641" s="156"/>
      <c r="CP641" s="156"/>
      <c r="CQ641" s="156"/>
      <c r="CR641" s="156"/>
      <c r="CS641" s="156"/>
      <c r="CT641" s="156"/>
      <c r="CU641" s="156"/>
      <c r="CV641" s="156"/>
      <c r="CW641" s="156"/>
      <c r="CX641" s="156"/>
      <c r="CY641" s="156"/>
      <c r="CZ641" s="156"/>
      <c r="DA641" s="156"/>
      <c r="DB641" s="156"/>
      <c r="DC641" s="156"/>
      <c r="DD641" s="156"/>
      <c r="DE641" s="156"/>
      <c r="DF641" s="156"/>
      <c r="DG641" s="156"/>
      <c r="DH641" s="156"/>
      <c r="DI641" s="156"/>
      <c r="DJ641" s="156"/>
      <c r="DK641" s="156"/>
      <c r="DL641" s="156"/>
      <c r="DM641" s="156"/>
      <c r="DN641" s="156"/>
      <c r="DO641" s="156"/>
      <c r="DP641" s="156"/>
      <c r="DQ641" s="156"/>
      <c r="DR641" s="156"/>
      <c r="DS641" s="156"/>
      <c r="DT641" s="156"/>
      <c r="DU641" s="156"/>
      <c r="DV641" s="156"/>
      <c r="DW641" s="156"/>
      <c r="DX641" s="156"/>
      <c r="DY641" s="156"/>
      <c r="DZ641" s="156"/>
      <c r="EA641" s="156"/>
      <c r="EB641" s="156"/>
      <c r="EC641" s="156"/>
      <c r="ED641" s="156"/>
      <c r="EE641" s="156"/>
      <c r="EF641" s="156"/>
      <c r="EG641" s="156"/>
      <c r="EH641" s="156"/>
      <c r="EI641" s="156"/>
      <c r="EJ641" s="156"/>
      <c r="EK641" s="156"/>
      <c r="EL641" s="156"/>
      <c r="EM641" s="156"/>
    </row>
    <row r="642" spans="20:143" ht="10.5" customHeight="1">
      <c r="T642" s="156"/>
      <c r="AZ642" s="156"/>
      <c r="BA642" s="156"/>
      <c r="BB642" s="156"/>
      <c r="BC642" s="156"/>
      <c r="BD642" s="156"/>
      <c r="BE642" s="156"/>
      <c r="BF642" s="156"/>
      <c r="BG642" s="156"/>
      <c r="BH642" s="156"/>
      <c r="BI642" s="156"/>
      <c r="BJ642" s="156"/>
      <c r="BK642" s="156"/>
      <c r="BL642" s="156"/>
      <c r="BM642" s="156"/>
      <c r="BN642" s="156"/>
      <c r="BO642" s="156"/>
      <c r="BP642" s="156"/>
      <c r="BQ642" s="156"/>
      <c r="BR642" s="156"/>
      <c r="BS642" s="156"/>
      <c r="BT642" s="156"/>
      <c r="BU642" s="156"/>
      <c r="BV642" s="156"/>
      <c r="BW642" s="156"/>
      <c r="BX642" s="156"/>
      <c r="BY642" s="156"/>
      <c r="BZ642" s="156"/>
      <c r="CA642" s="156"/>
      <c r="CB642" s="156"/>
      <c r="CC642" s="156"/>
      <c r="CD642" s="156"/>
      <c r="CE642" s="156"/>
      <c r="CF642" s="156"/>
      <c r="CG642" s="156"/>
      <c r="CH642" s="156"/>
      <c r="CI642" s="156"/>
      <c r="CJ642" s="156"/>
      <c r="CK642" s="156"/>
      <c r="CL642" s="156"/>
      <c r="CM642" s="156"/>
      <c r="CN642" s="156"/>
      <c r="CO642" s="156"/>
      <c r="CP642" s="156"/>
      <c r="CQ642" s="156"/>
      <c r="CR642" s="156"/>
      <c r="CS642" s="156"/>
      <c r="CT642" s="156"/>
      <c r="CU642" s="156"/>
      <c r="CV642" s="156"/>
      <c r="CW642" s="156"/>
      <c r="CX642" s="156"/>
      <c r="CY642" s="156"/>
      <c r="CZ642" s="156"/>
      <c r="DA642" s="156"/>
      <c r="DB642" s="156"/>
      <c r="DC642" s="156"/>
      <c r="DD642" s="156"/>
      <c r="DE642" s="156"/>
      <c r="DF642" s="156"/>
      <c r="DG642" s="156"/>
      <c r="DH642" s="156"/>
      <c r="DI642" s="156"/>
      <c r="DJ642" s="156"/>
      <c r="DK642" s="156"/>
      <c r="DL642" s="156"/>
      <c r="DM642" s="156"/>
      <c r="DN642" s="156"/>
      <c r="DO642" s="156"/>
      <c r="DP642" s="156"/>
      <c r="DQ642" s="156"/>
      <c r="DR642" s="156"/>
      <c r="DS642" s="156"/>
      <c r="DT642" s="156"/>
      <c r="DU642" s="156"/>
      <c r="DV642" s="156"/>
      <c r="DW642" s="156"/>
      <c r="DX642" s="156"/>
      <c r="DY642" s="156"/>
      <c r="DZ642" s="156"/>
      <c r="EA642" s="156"/>
      <c r="EB642" s="156"/>
      <c r="EC642" s="156"/>
      <c r="ED642" s="156"/>
      <c r="EE642" s="156"/>
      <c r="EF642" s="156"/>
      <c r="EG642" s="156"/>
      <c r="EH642" s="156"/>
      <c r="EI642" s="156"/>
      <c r="EJ642" s="156"/>
      <c r="EK642" s="156"/>
      <c r="EL642" s="156"/>
      <c r="EM642" s="156"/>
    </row>
    <row r="643" spans="20:143" ht="10.5" customHeight="1">
      <c r="T643" s="156"/>
      <c r="AZ643" s="156"/>
      <c r="BA643" s="156"/>
      <c r="BB643" s="156"/>
      <c r="BC643" s="156"/>
      <c r="BD643" s="156"/>
      <c r="BE643" s="156"/>
      <c r="BF643" s="156"/>
      <c r="BG643" s="156"/>
      <c r="BH643" s="156"/>
      <c r="BI643" s="156"/>
      <c r="BJ643" s="156"/>
      <c r="BK643" s="156"/>
      <c r="BL643" s="156"/>
      <c r="BM643" s="156"/>
      <c r="BN643" s="156"/>
      <c r="BO643" s="156"/>
      <c r="BP643" s="156"/>
      <c r="BQ643" s="156"/>
      <c r="BR643" s="156"/>
      <c r="BS643" s="156"/>
      <c r="BT643" s="156"/>
      <c r="BU643" s="156"/>
      <c r="BV643" s="156"/>
      <c r="BW643" s="156"/>
      <c r="BX643" s="156"/>
      <c r="BY643" s="156"/>
      <c r="BZ643" s="156"/>
      <c r="CA643" s="156"/>
      <c r="CB643" s="156"/>
      <c r="CC643" s="156"/>
      <c r="CD643" s="156"/>
      <c r="CE643" s="156"/>
      <c r="CF643" s="156"/>
      <c r="CG643" s="156"/>
      <c r="CH643" s="156"/>
      <c r="CI643" s="156"/>
      <c r="CJ643" s="156"/>
      <c r="CK643" s="156"/>
      <c r="CL643" s="156"/>
      <c r="CM643" s="156"/>
      <c r="CN643" s="156"/>
      <c r="CO643" s="156"/>
      <c r="CP643" s="156"/>
      <c r="CQ643" s="156"/>
      <c r="CR643" s="156"/>
      <c r="CS643" s="156"/>
      <c r="CT643" s="156"/>
      <c r="CU643" s="156"/>
      <c r="CV643" s="156"/>
      <c r="CW643" s="156"/>
      <c r="CX643" s="156"/>
      <c r="CY643" s="156"/>
      <c r="CZ643" s="156"/>
      <c r="DA643" s="156"/>
      <c r="DB643" s="156"/>
      <c r="DC643" s="156"/>
      <c r="DD643" s="156"/>
      <c r="DE643" s="156"/>
      <c r="DF643" s="156"/>
      <c r="DG643" s="156"/>
      <c r="DH643" s="156"/>
      <c r="DI643" s="156"/>
      <c r="DJ643" s="156"/>
      <c r="DK643" s="156"/>
      <c r="DL643" s="156"/>
      <c r="DM643" s="156"/>
      <c r="DN643" s="156"/>
      <c r="DO643" s="156"/>
      <c r="DP643" s="156"/>
      <c r="DQ643" s="156"/>
      <c r="DR643" s="156"/>
      <c r="DS643" s="156"/>
      <c r="DT643" s="156"/>
      <c r="DU643" s="156"/>
      <c r="DV643" s="156"/>
      <c r="DW643" s="156"/>
      <c r="DX643" s="156"/>
      <c r="DY643" s="156"/>
      <c r="DZ643" s="156"/>
      <c r="EA643" s="156"/>
      <c r="EB643" s="156"/>
      <c r="EC643" s="156"/>
      <c r="ED643" s="156"/>
      <c r="EE643" s="156"/>
      <c r="EF643" s="156"/>
      <c r="EG643" s="156"/>
      <c r="EH643" s="156"/>
      <c r="EI643" s="156"/>
      <c r="EJ643" s="156"/>
      <c r="EK643" s="156"/>
      <c r="EL643" s="156"/>
      <c r="EM643" s="156"/>
    </row>
    <row r="644" spans="20:143" ht="10.5" customHeight="1">
      <c r="T644" s="156"/>
      <c r="AZ644" s="156"/>
      <c r="BA644" s="156"/>
      <c r="BB644" s="156"/>
      <c r="BC644" s="156"/>
      <c r="BD644" s="156"/>
      <c r="BE644" s="156"/>
      <c r="BF644" s="156"/>
      <c r="BG644" s="156"/>
      <c r="BH644" s="156"/>
      <c r="BI644" s="156"/>
      <c r="BJ644" s="156"/>
      <c r="BK644" s="156"/>
      <c r="BL644" s="156"/>
      <c r="BM644" s="156"/>
      <c r="BN644" s="156"/>
      <c r="BO644" s="156"/>
      <c r="BP644" s="156"/>
      <c r="BQ644" s="156"/>
      <c r="BR644" s="156"/>
      <c r="BS644" s="156"/>
      <c r="BT644" s="156"/>
      <c r="BU644" s="156"/>
      <c r="BV644" s="156"/>
      <c r="BW644" s="156"/>
      <c r="BX644" s="156"/>
      <c r="BY644" s="156"/>
      <c r="BZ644" s="156"/>
      <c r="CA644" s="156"/>
      <c r="CB644" s="156"/>
      <c r="CC644" s="156"/>
      <c r="CD644" s="156"/>
      <c r="CE644" s="156"/>
      <c r="CF644" s="156"/>
      <c r="CG644" s="156"/>
      <c r="CH644" s="156"/>
      <c r="CI644" s="156"/>
      <c r="CJ644" s="156"/>
      <c r="CK644" s="156"/>
      <c r="CL644" s="156"/>
      <c r="CM644" s="156"/>
      <c r="CN644" s="156"/>
      <c r="CO644" s="156"/>
      <c r="CP644" s="156"/>
      <c r="CQ644" s="156"/>
      <c r="CR644" s="156"/>
      <c r="CS644" s="156"/>
      <c r="CT644" s="156"/>
      <c r="CU644" s="156"/>
      <c r="CV644" s="156"/>
      <c r="CW644" s="156"/>
      <c r="CX644" s="156"/>
      <c r="CY644" s="156"/>
      <c r="CZ644" s="156"/>
      <c r="DA644" s="156"/>
      <c r="DB644" s="156"/>
      <c r="DC644" s="156"/>
      <c r="DD644" s="156"/>
      <c r="DE644" s="156"/>
      <c r="DF644" s="156"/>
      <c r="DG644" s="156"/>
      <c r="DH644" s="156"/>
      <c r="DI644" s="156"/>
      <c r="DJ644" s="156"/>
      <c r="DK644" s="156"/>
      <c r="DL644" s="156"/>
      <c r="DM644" s="156"/>
      <c r="DN644" s="156"/>
      <c r="DO644" s="156"/>
      <c r="DP644" s="156"/>
      <c r="DQ644" s="156"/>
      <c r="DR644" s="156"/>
      <c r="DS644" s="156"/>
      <c r="DT644" s="156"/>
      <c r="DU644" s="156"/>
      <c r="DV644" s="156"/>
      <c r="DW644" s="156"/>
      <c r="DX644" s="156"/>
      <c r="DY644" s="156"/>
      <c r="DZ644" s="156"/>
      <c r="EA644" s="156"/>
      <c r="EB644" s="156"/>
      <c r="EC644" s="156"/>
      <c r="ED644" s="156"/>
      <c r="EE644" s="156"/>
      <c r="EF644" s="156"/>
      <c r="EG644" s="156"/>
      <c r="EH644" s="156"/>
      <c r="EI644" s="156"/>
      <c r="EJ644" s="156"/>
      <c r="EK644" s="156"/>
      <c r="EL644" s="156"/>
      <c r="EM644" s="156"/>
    </row>
    <row r="645" spans="20:143" ht="10.5" customHeight="1">
      <c r="T645" s="156"/>
      <c r="AZ645" s="156"/>
      <c r="BA645" s="156"/>
      <c r="BB645" s="156"/>
      <c r="BC645" s="156"/>
      <c r="BD645" s="156"/>
      <c r="BE645" s="156"/>
      <c r="BF645" s="156"/>
      <c r="BG645" s="156"/>
      <c r="BH645" s="156"/>
      <c r="BI645" s="156"/>
      <c r="BJ645" s="156"/>
      <c r="BK645" s="156"/>
      <c r="BL645" s="156"/>
      <c r="BM645" s="156"/>
      <c r="BN645" s="156"/>
      <c r="BO645" s="156"/>
      <c r="BP645" s="156"/>
      <c r="BQ645" s="156"/>
      <c r="BR645" s="156"/>
      <c r="BS645" s="156"/>
      <c r="BT645" s="156"/>
      <c r="BU645" s="156"/>
      <c r="BV645" s="156"/>
      <c r="BW645" s="156"/>
      <c r="BX645" s="156"/>
      <c r="BY645" s="156"/>
      <c r="BZ645" s="156"/>
      <c r="CA645" s="156"/>
      <c r="CB645" s="156"/>
      <c r="CC645" s="156"/>
      <c r="CD645" s="156"/>
      <c r="CE645" s="156"/>
      <c r="CF645" s="156"/>
      <c r="CG645" s="156"/>
      <c r="CH645" s="156"/>
      <c r="CI645" s="156"/>
      <c r="CJ645" s="156"/>
      <c r="CK645" s="156"/>
      <c r="CL645" s="156"/>
      <c r="CM645" s="156"/>
      <c r="CN645" s="156"/>
      <c r="CO645" s="156"/>
      <c r="CP645" s="156"/>
      <c r="CQ645" s="156"/>
      <c r="CR645" s="156"/>
      <c r="CS645" s="156"/>
      <c r="CT645" s="156"/>
      <c r="CU645" s="156"/>
      <c r="CV645" s="156"/>
      <c r="CW645" s="156"/>
      <c r="CX645" s="156"/>
      <c r="CY645" s="156"/>
      <c r="CZ645" s="156"/>
      <c r="DA645" s="156"/>
      <c r="DB645" s="156"/>
      <c r="DC645" s="156"/>
      <c r="DD645" s="156"/>
      <c r="DE645" s="156"/>
      <c r="DF645" s="156"/>
      <c r="DG645" s="156"/>
      <c r="DH645" s="156"/>
      <c r="DI645" s="156"/>
      <c r="DJ645" s="156"/>
      <c r="DK645" s="156"/>
      <c r="DL645" s="156"/>
      <c r="DM645" s="156"/>
      <c r="DN645" s="156"/>
      <c r="DO645" s="156"/>
      <c r="DP645" s="156"/>
      <c r="DQ645" s="156"/>
      <c r="DR645" s="156"/>
      <c r="DS645" s="156"/>
      <c r="DT645" s="156"/>
      <c r="DU645" s="156"/>
      <c r="DV645" s="156"/>
      <c r="DW645" s="156"/>
      <c r="DX645" s="156"/>
      <c r="DY645" s="156"/>
      <c r="DZ645" s="156"/>
      <c r="EA645" s="156"/>
      <c r="EB645" s="156"/>
      <c r="EC645" s="156"/>
      <c r="ED645" s="156"/>
      <c r="EE645" s="156"/>
      <c r="EF645" s="156"/>
      <c r="EG645" s="156"/>
      <c r="EH645" s="156"/>
      <c r="EI645" s="156"/>
      <c r="EJ645" s="156"/>
      <c r="EK645" s="156"/>
      <c r="EL645" s="156"/>
      <c r="EM645" s="156"/>
    </row>
    <row r="646" spans="20:143" ht="10.5" customHeight="1">
      <c r="T646" s="156"/>
      <c r="AZ646" s="156"/>
      <c r="BA646" s="156"/>
      <c r="BB646" s="156"/>
      <c r="BC646" s="156"/>
      <c r="BD646" s="156"/>
      <c r="BE646" s="156"/>
      <c r="BF646" s="156"/>
      <c r="BG646" s="156"/>
      <c r="BH646" s="156"/>
      <c r="BI646" s="156"/>
      <c r="BJ646" s="156"/>
      <c r="BK646" s="156"/>
      <c r="BL646" s="156"/>
      <c r="BM646" s="156"/>
      <c r="BN646" s="156"/>
      <c r="BO646" s="156"/>
      <c r="BP646" s="156"/>
      <c r="BQ646" s="156"/>
      <c r="BR646" s="156"/>
      <c r="BS646" s="156"/>
      <c r="BT646" s="156"/>
      <c r="BU646" s="156"/>
      <c r="BV646" s="156"/>
      <c r="BW646" s="156"/>
      <c r="BX646" s="156"/>
      <c r="BY646" s="156"/>
      <c r="BZ646" s="156"/>
      <c r="CA646" s="156"/>
      <c r="CB646" s="156"/>
      <c r="CC646" s="156"/>
      <c r="CD646" s="156"/>
      <c r="CE646" s="156"/>
      <c r="CF646" s="156"/>
      <c r="CG646" s="156"/>
      <c r="CH646" s="156"/>
      <c r="CI646" s="156"/>
      <c r="CJ646" s="156"/>
      <c r="CK646" s="156"/>
      <c r="CL646" s="156"/>
      <c r="CM646" s="156"/>
      <c r="CN646" s="156"/>
      <c r="CO646" s="156"/>
      <c r="CP646" s="156"/>
      <c r="CQ646" s="156"/>
      <c r="CR646" s="156"/>
      <c r="CS646" s="156"/>
      <c r="CT646" s="156"/>
      <c r="CU646" s="156"/>
      <c r="CV646" s="156"/>
      <c r="CW646" s="156"/>
      <c r="CX646" s="156"/>
      <c r="CY646" s="156"/>
      <c r="CZ646" s="156"/>
      <c r="DA646" s="156"/>
      <c r="DB646" s="156"/>
      <c r="DC646" s="156"/>
      <c r="DD646" s="156"/>
      <c r="DE646" s="156"/>
      <c r="DF646" s="156"/>
      <c r="DG646" s="156"/>
      <c r="DH646" s="156"/>
      <c r="DI646" s="156"/>
      <c r="DJ646" s="156"/>
      <c r="DK646" s="156"/>
      <c r="DL646" s="156"/>
      <c r="DM646" s="156"/>
      <c r="DN646" s="156"/>
      <c r="DO646" s="156"/>
      <c r="DP646" s="156"/>
      <c r="DQ646" s="156"/>
      <c r="DR646" s="156"/>
      <c r="DS646" s="156"/>
      <c r="DT646" s="156"/>
      <c r="DU646" s="156"/>
      <c r="DV646" s="156"/>
      <c r="DW646" s="156"/>
      <c r="DX646" s="156"/>
      <c r="DY646" s="156"/>
      <c r="DZ646" s="156"/>
      <c r="EA646" s="156"/>
      <c r="EB646" s="156"/>
      <c r="EC646" s="156"/>
      <c r="ED646" s="156"/>
      <c r="EE646" s="156"/>
      <c r="EF646" s="156"/>
      <c r="EG646" s="156"/>
      <c r="EH646" s="156"/>
      <c r="EI646" s="156"/>
      <c r="EJ646" s="156"/>
      <c r="EK646" s="156"/>
      <c r="EL646" s="156"/>
      <c r="EM646" s="156"/>
    </row>
    <row r="647" spans="20:143" ht="10.5" customHeight="1">
      <c r="T647" s="156"/>
      <c r="AZ647" s="156"/>
      <c r="BA647" s="156"/>
      <c r="BB647" s="156"/>
      <c r="BC647" s="156"/>
      <c r="BD647" s="156"/>
      <c r="BE647" s="156"/>
      <c r="BF647" s="156"/>
      <c r="BG647" s="156"/>
      <c r="BH647" s="156"/>
      <c r="BI647" s="156"/>
      <c r="BJ647" s="156"/>
      <c r="BK647" s="156"/>
      <c r="BL647" s="156"/>
      <c r="BM647" s="156"/>
      <c r="BN647" s="156"/>
      <c r="BO647" s="156"/>
      <c r="BP647" s="156"/>
      <c r="BQ647" s="156"/>
      <c r="BR647" s="156"/>
      <c r="BS647" s="156"/>
      <c r="BT647" s="156"/>
      <c r="BU647" s="156"/>
      <c r="BV647" s="156"/>
      <c r="BW647" s="156"/>
      <c r="BX647" s="156"/>
      <c r="BY647" s="156"/>
      <c r="BZ647" s="156"/>
      <c r="CA647" s="156"/>
      <c r="CB647" s="156"/>
      <c r="CC647" s="156"/>
      <c r="CD647" s="156"/>
      <c r="CE647" s="156"/>
      <c r="CF647" s="156"/>
      <c r="CG647" s="156"/>
      <c r="CH647" s="156"/>
      <c r="CI647" s="156"/>
      <c r="CJ647" s="156"/>
      <c r="CK647" s="156"/>
      <c r="CL647" s="156"/>
      <c r="CM647" s="156"/>
      <c r="CN647" s="156"/>
      <c r="CO647" s="156"/>
      <c r="CP647" s="156"/>
      <c r="CQ647" s="156"/>
      <c r="CR647" s="156"/>
      <c r="CS647" s="156"/>
      <c r="CT647" s="156"/>
      <c r="CU647" s="156"/>
      <c r="CV647" s="156"/>
      <c r="CW647" s="156"/>
      <c r="CX647" s="156"/>
      <c r="CY647" s="156"/>
      <c r="CZ647" s="156"/>
      <c r="DA647" s="156"/>
      <c r="DB647" s="156"/>
      <c r="DC647" s="156"/>
      <c r="DD647" s="156"/>
      <c r="DE647" s="156"/>
      <c r="DF647" s="156"/>
      <c r="DG647" s="156"/>
      <c r="DH647" s="156"/>
      <c r="DI647" s="156"/>
      <c r="DJ647" s="156"/>
      <c r="DK647" s="156"/>
      <c r="DL647" s="156"/>
      <c r="DM647" s="156"/>
      <c r="DN647" s="156"/>
      <c r="DO647" s="156"/>
      <c r="DP647" s="156"/>
      <c r="DQ647" s="156"/>
      <c r="DR647" s="156"/>
      <c r="DS647" s="156"/>
      <c r="DT647" s="156"/>
      <c r="DU647" s="156"/>
      <c r="DV647" s="156"/>
      <c r="DW647" s="156"/>
      <c r="DX647" s="156"/>
      <c r="DY647" s="156"/>
      <c r="DZ647" s="156"/>
      <c r="EA647" s="156"/>
      <c r="EB647" s="156"/>
      <c r="EC647" s="156"/>
      <c r="ED647" s="156"/>
      <c r="EE647" s="156"/>
      <c r="EF647" s="156"/>
      <c r="EG647" s="156"/>
      <c r="EH647" s="156"/>
      <c r="EI647" s="156"/>
      <c r="EJ647" s="156"/>
      <c r="EK647" s="156"/>
      <c r="EL647" s="156"/>
      <c r="EM647" s="156"/>
    </row>
    <row r="648" spans="20:143" ht="10.5" customHeight="1">
      <c r="T648" s="156"/>
      <c r="AZ648" s="156"/>
      <c r="BA648" s="156"/>
      <c r="BB648" s="156"/>
      <c r="BC648" s="156"/>
      <c r="BD648" s="156"/>
      <c r="BE648" s="156"/>
      <c r="BF648" s="156"/>
      <c r="BG648" s="156"/>
      <c r="BH648" s="156"/>
      <c r="BI648" s="156"/>
      <c r="BJ648" s="156"/>
      <c r="BK648" s="156"/>
      <c r="BL648" s="156"/>
      <c r="BM648" s="156"/>
      <c r="BN648" s="156"/>
      <c r="BO648" s="156"/>
      <c r="BP648" s="156"/>
      <c r="BQ648" s="156"/>
      <c r="BR648" s="156"/>
      <c r="BS648" s="156"/>
      <c r="BT648" s="156"/>
      <c r="BU648" s="156"/>
      <c r="BV648" s="156"/>
      <c r="BW648" s="156"/>
      <c r="BX648" s="156"/>
      <c r="BY648" s="156"/>
      <c r="BZ648" s="156"/>
      <c r="CA648" s="156"/>
      <c r="CB648" s="156"/>
      <c r="CC648" s="156"/>
      <c r="CD648" s="156"/>
      <c r="CE648" s="156"/>
      <c r="CF648" s="156"/>
      <c r="CG648" s="156"/>
      <c r="CH648" s="156"/>
      <c r="CI648" s="156"/>
      <c r="CJ648" s="156"/>
      <c r="CK648" s="156"/>
      <c r="CL648" s="156"/>
      <c r="CM648" s="156"/>
      <c r="CN648" s="156"/>
      <c r="CO648" s="156"/>
      <c r="CP648" s="156"/>
      <c r="CQ648" s="156"/>
      <c r="CR648" s="156"/>
      <c r="CS648" s="156"/>
      <c r="CT648" s="156"/>
      <c r="CU648" s="156"/>
      <c r="CV648" s="156"/>
      <c r="CW648" s="156"/>
      <c r="CX648" s="156"/>
      <c r="CY648" s="156"/>
      <c r="CZ648" s="156"/>
      <c r="DA648" s="156"/>
      <c r="DB648" s="156"/>
      <c r="DC648" s="156"/>
      <c r="DD648" s="156"/>
      <c r="DE648" s="156"/>
      <c r="DF648" s="156"/>
      <c r="DG648" s="156"/>
      <c r="DH648" s="156"/>
      <c r="DI648" s="156"/>
      <c r="DJ648" s="156"/>
      <c r="DK648" s="156"/>
      <c r="DL648" s="156"/>
      <c r="DM648" s="156"/>
      <c r="DN648" s="156"/>
      <c r="DO648" s="156"/>
      <c r="DP648" s="156"/>
      <c r="DQ648" s="156"/>
      <c r="DR648" s="156"/>
      <c r="DS648" s="156"/>
      <c r="DT648" s="156"/>
      <c r="DU648" s="156"/>
      <c r="DV648" s="156"/>
      <c r="DW648" s="156"/>
      <c r="DX648" s="156"/>
      <c r="DY648" s="156"/>
      <c r="DZ648" s="156"/>
      <c r="EA648" s="156"/>
      <c r="EB648" s="156"/>
      <c r="EC648" s="156"/>
      <c r="ED648" s="156"/>
      <c r="EE648" s="156"/>
      <c r="EF648" s="156"/>
      <c r="EG648" s="156"/>
      <c r="EH648" s="156"/>
      <c r="EI648" s="156"/>
      <c r="EJ648" s="156"/>
      <c r="EK648" s="156"/>
      <c r="EL648" s="156"/>
      <c r="EM648" s="156"/>
    </row>
    <row r="649" spans="20:143" ht="10.5" customHeight="1">
      <c r="T649" s="156"/>
      <c r="AZ649" s="156"/>
      <c r="BA649" s="156"/>
      <c r="BB649" s="156"/>
      <c r="BC649" s="156"/>
      <c r="BD649" s="156"/>
      <c r="BE649" s="156"/>
      <c r="BF649" s="156"/>
      <c r="BG649" s="156"/>
      <c r="BH649" s="156"/>
      <c r="BI649" s="156"/>
      <c r="BJ649" s="156"/>
      <c r="BK649" s="156"/>
      <c r="BL649" s="156"/>
      <c r="BM649" s="156"/>
      <c r="BN649" s="156"/>
      <c r="BO649" s="156"/>
      <c r="BP649" s="156"/>
      <c r="BQ649" s="156"/>
      <c r="BR649" s="156"/>
      <c r="BS649" s="156"/>
      <c r="BT649" s="156"/>
      <c r="BU649" s="156"/>
      <c r="BV649" s="156"/>
      <c r="BW649" s="156"/>
      <c r="BX649" s="156"/>
      <c r="BY649" s="156"/>
      <c r="BZ649" s="156"/>
      <c r="CA649" s="156"/>
      <c r="CB649" s="156"/>
      <c r="CC649" s="156"/>
      <c r="CD649" s="156"/>
      <c r="CE649" s="156"/>
      <c r="CF649" s="156"/>
      <c r="CG649" s="156"/>
      <c r="CH649" s="156"/>
      <c r="CI649" s="156"/>
      <c r="CJ649" s="156"/>
      <c r="CK649" s="156"/>
      <c r="CL649" s="156"/>
      <c r="CM649" s="156"/>
      <c r="CN649" s="156"/>
      <c r="CO649" s="156"/>
      <c r="CP649" s="156"/>
      <c r="CQ649" s="156"/>
      <c r="CR649" s="156"/>
      <c r="CS649" s="156"/>
      <c r="CT649" s="156"/>
      <c r="CU649" s="156"/>
      <c r="CV649" s="156"/>
      <c r="CW649" s="156"/>
      <c r="CX649" s="156"/>
      <c r="CY649" s="156"/>
      <c r="CZ649" s="156"/>
      <c r="DA649" s="156"/>
      <c r="DB649" s="156"/>
      <c r="DC649" s="156"/>
      <c r="DD649" s="156"/>
      <c r="DE649" s="156"/>
      <c r="DF649" s="156"/>
      <c r="DG649" s="156"/>
      <c r="DH649" s="156"/>
      <c r="DI649" s="156"/>
      <c r="DJ649" s="156"/>
      <c r="DK649" s="156"/>
      <c r="DL649" s="156"/>
      <c r="DM649" s="156"/>
      <c r="DN649" s="156"/>
      <c r="DO649" s="156"/>
      <c r="DP649" s="156"/>
      <c r="DQ649" s="156"/>
      <c r="DR649" s="156"/>
      <c r="DS649" s="156"/>
      <c r="DT649" s="156"/>
      <c r="DU649" s="156"/>
      <c r="DV649" s="156"/>
      <c r="DW649" s="156"/>
      <c r="DX649" s="156"/>
      <c r="DY649" s="156"/>
      <c r="DZ649" s="156"/>
      <c r="EA649" s="156"/>
      <c r="EB649" s="156"/>
      <c r="EC649" s="156"/>
      <c r="ED649" s="156"/>
      <c r="EE649" s="156"/>
      <c r="EF649" s="156"/>
      <c r="EG649" s="156"/>
      <c r="EH649" s="156"/>
      <c r="EI649" s="156"/>
      <c r="EJ649" s="156"/>
      <c r="EK649" s="156"/>
      <c r="EL649" s="156"/>
      <c r="EM649" s="156"/>
    </row>
    <row r="650" spans="20:143" ht="10.5" customHeight="1">
      <c r="T650" s="156"/>
      <c r="AZ650" s="156"/>
      <c r="BA650" s="156"/>
      <c r="BB650" s="156"/>
      <c r="BC650" s="156"/>
      <c r="BD650" s="156"/>
      <c r="BE650" s="156"/>
      <c r="BF650" s="156"/>
      <c r="BG650" s="156"/>
      <c r="BH650" s="156"/>
      <c r="BI650" s="156"/>
      <c r="BJ650" s="156"/>
      <c r="BK650" s="156"/>
      <c r="BL650" s="156"/>
      <c r="BM650" s="156"/>
      <c r="BN650" s="156"/>
      <c r="BO650" s="156"/>
      <c r="BP650" s="156"/>
      <c r="BQ650" s="156"/>
      <c r="BR650" s="156"/>
      <c r="BS650" s="156"/>
      <c r="BT650" s="156"/>
      <c r="BU650" s="156"/>
      <c r="BV650" s="156"/>
      <c r="BW650" s="156"/>
      <c r="BX650" s="156"/>
      <c r="BY650" s="156"/>
      <c r="BZ650" s="156"/>
      <c r="CA650" s="156"/>
      <c r="CB650" s="156"/>
      <c r="CC650" s="156"/>
      <c r="CD650" s="156"/>
      <c r="CE650" s="156"/>
      <c r="CF650" s="156"/>
      <c r="CG650" s="156"/>
      <c r="CH650" s="156"/>
      <c r="CI650" s="156"/>
      <c r="CJ650" s="156"/>
      <c r="CK650" s="156"/>
      <c r="CL650" s="156"/>
      <c r="CM650" s="156"/>
      <c r="CN650" s="156"/>
      <c r="CO650" s="156"/>
      <c r="CP650" s="156"/>
      <c r="CQ650" s="156"/>
      <c r="CR650" s="156"/>
      <c r="CS650" s="156"/>
      <c r="CT650" s="156"/>
      <c r="CU650" s="156"/>
      <c r="CV650" s="156"/>
      <c r="CW650" s="156"/>
      <c r="CX650" s="156"/>
      <c r="CY650" s="156"/>
      <c r="CZ650" s="156"/>
      <c r="DA650" s="156"/>
      <c r="DB650" s="156"/>
      <c r="DC650" s="156"/>
      <c r="DD650" s="156"/>
      <c r="DE650" s="156"/>
      <c r="DF650" s="156"/>
      <c r="DG650" s="156"/>
      <c r="DH650" s="156"/>
      <c r="DI650" s="156"/>
      <c r="DJ650" s="156"/>
      <c r="DK650" s="156"/>
      <c r="DL650" s="156"/>
      <c r="DM650" s="156"/>
      <c r="DN650" s="156"/>
      <c r="DO650" s="156"/>
      <c r="DP650" s="156"/>
      <c r="DQ650" s="156"/>
      <c r="DR650" s="156"/>
      <c r="DS650" s="156"/>
      <c r="DT650" s="156"/>
      <c r="DU650" s="156"/>
      <c r="DV650" s="156"/>
      <c r="DW650" s="156"/>
      <c r="DX650" s="156"/>
      <c r="DY650" s="156"/>
      <c r="DZ650" s="156"/>
      <c r="EA650" s="156"/>
      <c r="EB650" s="156"/>
      <c r="EC650" s="156"/>
      <c r="ED650" s="156"/>
      <c r="EE650" s="156"/>
      <c r="EF650" s="156"/>
      <c r="EG650" s="156"/>
      <c r="EH650" s="156"/>
      <c r="EI650" s="156"/>
      <c r="EJ650" s="156"/>
      <c r="EK650" s="156"/>
      <c r="EL650" s="156"/>
      <c r="EM650" s="156"/>
    </row>
    <row r="651" spans="20:143" ht="10.5" customHeight="1">
      <c r="T651" s="156"/>
      <c r="AZ651" s="156"/>
      <c r="BA651" s="156"/>
      <c r="BB651" s="156"/>
      <c r="BC651" s="156"/>
      <c r="BD651" s="156"/>
      <c r="BE651" s="156"/>
      <c r="BF651" s="156"/>
      <c r="BG651" s="156"/>
      <c r="BH651" s="156"/>
      <c r="BI651" s="156"/>
      <c r="BJ651" s="156"/>
      <c r="BK651" s="156"/>
      <c r="BL651" s="156"/>
      <c r="BM651" s="156"/>
      <c r="BN651" s="156"/>
      <c r="BO651" s="156"/>
      <c r="BP651" s="156"/>
      <c r="BQ651" s="156"/>
      <c r="BR651" s="156"/>
      <c r="BS651" s="156"/>
      <c r="BT651" s="156"/>
      <c r="BU651" s="156"/>
      <c r="BV651" s="156"/>
      <c r="BW651" s="156"/>
      <c r="BX651" s="156"/>
      <c r="BY651" s="156"/>
      <c r="BZ651" s="156"/>
      <c r="CA651" s="156"/>
      <c r="CB651" s="156"/>
      <c r="CC651" s="156"/>
      <c r="CD651" s="156"/>
      <c r="CE651" s="156"/>
      <c r="CF651" s="156"/>
      <c r="CG651" s="156"/>
      <c r="CH651" s="156"/>
      <c r="CI651" s="156"/>
      <c r="CJ651" s="156"/>
      <c r="CK651" s="156"/>
      <c r="CL651" s="156"/>
      <c r="CM651" s="156"/>
      <c r="CN651" s="156"/>
      <c r="CO651" s="156"/>
      <c r="CP651" s="156"/>
      <c r="CQ651" s="156"/>
      <c r="CR651" s="156"/>
      <c r="CS651" s="156"/>
      <c r="CT651" s="156"/>
      <c r="CU651" s="156"/>
      <c r="CV651" s="156"/>
      <c r="CW651" s="156"/>
      <c r="CX651" s="156"/>
      <c r="CY651" s="156"/>
      <c r="CZ651" s="156"/>
      <c r="DA651" s="156"/>
      <c r="DB651" s="156"/>
      <c r="DC651" s="156"/>
      <c r="DD651" s="156"/>
      <c r="DE651" s="156"/>
      <c r="DF651" s="156"/>
      <c r="DG651" s="156"/>
      <c r="DH651" s="156"/>
      <c r="DI651" s="156"/>
      <c r="DJ651" s="156"/>
      <c r="DK651" s="156"/>
      <c r="DL651" s="156"/>
      <c r="DM651" s="156"/>
      <c r="DN651" s="156"/>
      <c r="DO651" s="156"/>
      <c r="DP651" s="156"/>
      <c r="DQ651" s="156"/>
      <c r="DR651" s="156"/>
      <c r="DS651" s="156"/>
      <c r="DT651" s="156"/>
      <c r="DU651" s="156"/>
      <c r="DV651" s="156"/>
      <c r="DW651" s="156"/>
      <c r="DX651" s="156"/>
      <c r="DY651" s="156"/>
      <c r="DZ651" s="156"/>
      <c r="EA651" s="156"/>
      <c r="EB651" s="156"/>
      <c r="EC651" s="156"/>
      <c r="ED651" s="156"/>
      <c r="EE651" s="156"/>
      <c r="EF651" s="156"/>
      <c r="EG651" s="156"/>
      <c r="EH651" s="156"/>
      <c r="EI651" s="156"/>
      <c r="EJ651" s="156"/>
      <c r="EK651" s="156"/>
      <c r="EL651" s="156"/>
      <c r="EM651" s="156"/>
    </row>
    <row r="652" spans="20:143" ht="10.5" customHeight="1">
      <c r="T652" s="156"/>
      <c r="AZ652" s="156"/>
      <c r="BA652" s="156"/>
      <c r="BB652" s="156"/>
      <c r="BC652" s="156"/>
      <c r="BD652" s="156"/>
      <c r="BE652" s="156"/>
      <c r="BF652" s="156"/>
      <c r="BG652" s="156"/>
      <c r="BH652" s="156"/>
      <c r="BI652" s="156"/>
      <c r="BJ652" s="156"/>
      <c r="BK652" s="156"/>
      <c r="BL652" s="156"/>
      <c r="BM652" s="156"/>
      <c r="BN652" s="156"/>
      <c r="BO652" s="156"/>
      <c r="BP652" s="156"/>
      <c r="BQ652" s="156"/>
      <c r="BR652" s="156"/>
      <c r="BS652" s="156"/>
      <c r="BT652" s="156"/>
      <c r="BU652" s="156"/>
      <c r="BV652" s="156"/>
      <c r="BW652" s="156"/>
      <c r="BX652" s="156"/>
      <c r="BY652" s="156"/>
      <c r="BZ652" s="156"/>
      <c r="CA652" s="156"/>
      <c r="CB652" s="156"/>
      <c r="CC652" s="156"/>
      <c r="CD652" s="156"/>
      <c r="CE652" s="156"/>
      <c r="CF652" s="156"/>
      <c r="CG652" s="156"/>
      <c r="CH652" s="156"/>
      <c r="CI652" s="156"/>
      <c r="CJ652" s="156"/>
      <c r="CK652" s="156"/>
      <c r="CL652" s="156"/>
      <c r="CM652" s="156"/>
      <c r="CN652" s="156"/>
      <c r="CO652" s="156"/>
      <c r="CP652" s="156"/>
      <c r="CQ652" s="156"/>
      <c r="CR652" s="156"/>
      <c r="CS652" s="156"/>
      <c r="CT652" s="156"/>
      <c r="CU652" s="156"/>
      <c r="CV652" s="156"/>
      <c r="CW652" s="156"/>
      <c r="CX652" s="156"/>
      <c r="CY652" s="156"/>
      <c r="CZ652" s="156"/>
      <c r="DA652" s="156"/>
      <c r="DB652" s="156"/>
      <c r="DC652" s="156"/>
      <c r="DD652" s="156"/>
      <c r="DE652" s="156"/>
      <c r="DF652" s="156"/>
      <c r="DG652" s="156"/>
      <c r="DH652" s="156"/>
      <c r="DI652" s="156"/>
      <c r="DJ652" s="156"/>
      <c r="DK652" s="156"/>
      <c r="DL652" s="156"/>
      <c r="DM652" s="156"/>
      <c r="DN652" s="156"/>
      <c r="DO652" s="156"/>
      <c r="DP652" s="156"/>
      <c r="DQ652" s="156"/>
      <c r="DR652" s="156"/>
      <c r="DS652" s="156"/>
      <c r="DT652" s="156"/>
      <c r="DU652" s="156"/>
      <c r="DV652" s="156"/>
      <c r="DW652" s="156"/>
      <c r="DX652" s="156"/>
      <c r="DY652" s="156"/>
      <c r="DZ652" s="156"/>
      <c r="EA652" s="156"/>
      <c r="EB652" s="156"/>
      <c r="EC652" s="156"/>
      <c r="ED652" s="156"/>
      <c r="EE652" s="156"/>
      <c r="EF652" s="156"/>
      <c r="EG652" s="156"/>
      <c r="EH652" s="156"/>
      <c r="EI652" s="156"/>
      <c r="EJ652" s="156"/>
      <c r="EK652" s="156"/>
      <c r="EL652" s="156"/>
      <c r="EM652" s="156"/>
    </row>
    <row r="653" spans="20:143" ht="10.5" customHeight="1">
      <c r="T653" s="156"/>
      <c r="AZ653" s="156"/>
      <c r="BA653" s="156"/>
      <c r="BB653" s="156"/>
      <c r="BC653" s="156"/>
      <c r="BD653" s="156"/>
      <c r="BE653" s="156"/>
      <c r="BF653" s="156"/>
      <c r="BG653" s="156"/>
      <c r="BH653" s="156"/>
      <c r="BI653" s="156"/>
      <c r="BJ653" s="156"/>
      <c r="BK653" s="156"/>
      <c r="BL653" s="156"/>
      <c r="BM653" s="156"/>
      <c r="BN653" s="156"/>
      <c r="BO653" s="156"/>
      <c r="BP653" s="156"/>
      <c r="BQ653" s="156"/>
      <c r="BR653" s="156"/>
      <c r="BS653" s="156"/>
      <c r="BT653" s="156"/>
      <c r="BU653" s="156"/>
      <c r="BV653" s="156"/>
      <c r="BW653" s="156"/>
      <c r="BX653" s="156"/>
      <c r="BY653" s="156"/>
      <c r="BZ653" s="156"/>
      <c r="CA653" s="156"/>
      <c r="CB653" s="156"/>
      <c r="CC653" s="156"/>
      <c r="CD653" s="156"/>
      <c r="CE653" s="156"/>
      <c r="CF653" s="156"/>
      <c r="CG653" s="156"/>
      <c r="CH653" s="156"/>
      <c r="CI653" s="156"/>
      <c r="CJ653" s="156"/>
      <c r="CK653" s="156"/>
      <c r="CL653" s="156"/>
      <c r="CM653" s="156"/>
      <c r="CN653" s="156"/>
      <c r="CO653" s="156"/>
      <c r="CP653" s="156"/>
      <c r="CQ653" s="156"/>
      <c r="CR653" s="156"/>
      <c r="CS653" s="156"/>
      <c r="CT653" s="156"/>
      <c r="CU653" s="156"/>
      <c r="CV653" s="156"/>
      <c r="CW653" s="156"/>
      <c r="CX653" s="156"/>
      <c r="CY653" s="156"/>
      <c r="CZ653" s="156"/>
      <c r="DA653" s="156"/>
      <c r="DB653" s="156"/>
      <c r="DC653" s="156"/>
      <c r="DD653" s="156"/>
      <c r="DE653" s="156"/>
      <c r="DF653" s="156"/>
      <c r="DG653" s="156"/>
      <c r="DH653" s="156"/>
      <c r="DI653" s="156"/>
      <c r="DJ653" s="156"/>
      <c r="DK653" s="156"/>
      <c r="DL653" s="156"/>
      <c r="DM653" s="156"/>
      <c r="DN653" s="156"/>
      <c r="DO653" s="156"/>
      <c r="DP653" s="156"/>
      <c r="DQ653" s="156"/>
      <c r="DR653" s="156"/>
      <c r="DS653" s="156"/>
      <c r="DT653" s="156"/>
      <c r="DU653" s="156"/>
      <c r="DV653" s="156"/>
      <c r="DW653" s="156"/>
      <c r="DX653" s="156"/>
      <c r="DY653" s="156"/>
      <c r="DZ653" s="156"/>
      <c r="EA653" s="156"/>
      <c r="EB653" s="156"/>
      <c r="EC653" s="156"/>
      <c r="ED653" s="156"/>
      <c r="EE653" s="156"/>
      <c r="EF653" s="156"/>
      <c r="EG653" s="156"/>
      <c r="EH653" s="156"/>
      <c r="EI653" s="156"/>
      <c r="EJ653" s="156"/>
      <c r="EK653" s="156"/>
      <c r="EL653" s="156"/>
      <c r="EM653" s="156"/>
    </row>
    <row r="654" spans="20:143" ht="10.5" customHeight="1">
      <c r="T654" s="156"/>
      <c r="AZ654" s="156"/>
      <c r="BA654" s="156"/>
      <c r="BB654" s="156"/>
      <c r="BC654" s="156"/>
      <c r="BD654" s="156"/>
      <c r="BE654" s="156"/>
      <c r="BF654" s="156"/>
      <c r="BG654" s="156"/>
      <c r="BH654" s="156"/>
      <c r="BI654" s="156"/>
      <c r="BJ654" s="156"/>
      <c r="BK654" s="156"/>
      <c r="BL654" s="156"/>
      <c r="BM654" s="156"/>
      <c r="BN654" s="156"/>
      <c r="BO654" s="156"/>
      <c r="BP654" s="156"/>
      <c r="BQ654" s="156"/>
      <c r="BR654" s="156"/>
      <c r="BS654" s="156"/>
      <c r="BT654" s="156"/>
      <c r="BU654" s="156"/>
      <c r="BV654" s="156"/>
      <c r="BW654" s="156"/>
      <c r="BX654" s="156"/>
      <c r="BY654" s="156"/>
      <c r="BZ654" s="156"/>
      <c r="CA654" s="156"/>
      <c r="CB654" s="156"/>
      <c r="CC654" s="156"/>
      <c r="CD654" s="156"/>
      <c r="CE654" s="156"/>
      <c r="CF654" s="156"/>
      <c r="CG654" s="156"/>
      <c r="CH654" s="156"/>
      <c r="CI654" s="156"/>
      <c r="CJ654" s="156"/>
      <c r="CK654" s="156"/>
      <c r="CL654" s="156"/>
      <c r="CM654" s="156"/>
      <c r="CN654" s="156"/>
      <c r="CO654" s="156"/>
      <c r="CP654" s="156"/>
      <c r="CQ654" s="156"/>
      <c r="CR654" s="156"/>
      <c r="CS654" s="156"/>
      <c r="CT654" s="156"/>
      <c r="CU654" s="156"/>
      <c r="CV654" s="156"/>
      <c r="CW654" s="156"/>
      <c r="CX654" s="156"/>
      <c r="CY654" s="156"/>
      <c r="CZ654" s="156"/>
      <c r="DA654" s="156"/>
      <c r="DB654" s="156"/>
      <c r="DC654" s="156"/>
      <c r="DD654" s="156"/>
      <c r="DE654" s="156"/>
      <c r="DF654" s="156"/>
      <c r="DG654" s="156"/>
      <c r="DH654" s="156"/>
      <c r="DI654" s="156"/>
      <c r="DJ654" s="156"/>
      <c r="DK654" s="156"/>
      <c r="DL654" s="156"/>
      <c r="DM654" s="156"/>
      <c r="DN654" s="156"/>
      <c r="DO654" s="156"/>
      <c r="DP654" s="156"/>
      <c r="DQ654" s="156"/>
      <c r="DR654" s="156"/>
      <c r="DS654" s="156"/>
      <c r="DT654" s="156"/>
      <c r="DU654" s="156"/>
      <c r="DV654" s="156"/>
      <c r="DW654" s="156"/>
      <c r="DX654" s="156"/>
      <c r="DY654" s="156"/>
      <c r="DZ654" s="156"/>
      <c r="EA654" s="156"/>
      <c r="EB654" s="156"/>
      <c r="EC654" s="156"/>
      <c r="ED654" s="156"/>
      <c r="EE654" s="156"/>
      <c r="EF654" s="156"/>
      <c r="EG654" s="156"/>
      <c r="EH654" s="156"/>
      <c r="EI654" s="156"/>
      <c r="EJ654" s="156"/>
      <c r="EK654" s="156"/>
      <c r="EL654" s="156"/>
      <c r="EM654" s="156"/>
    </row>
    <row r="655" spans="20:143" ht="10.5" customHeight="1">
      <c r="T655" s="156"/>
      <c r="AZ655" s="156"/>
      <c r="BA655" s="156"/>
      <c r="BB655" s="156"/>
      <c r="BC655" s="156"/>
      <c r="BD655" s="156"/>
      <c r="BE655" s="156"/>
      <c r="BF655" s="156"/>
      <c r="BG655" s="156"/>
      <c r="BH655" s="156"/>
      <c r="BI655" s="156"/>
      <c r="BJ655" s="156"/>
      <c r="BK655" s="156"/>
      <c r="BL655" s="156"/>
      <c r="BM655" s="156"/>
      <c r="BN655" s="156"/>
      <c r="BO655" s="156"/>
      <c r="BP655" s="156"/>
      <c r="BQ655" s="156"/>
      <c r="BR655" s="156"/>
      <c r="BS655" s="156"/>
      <c r="BT655" s="156"/>
      <c r="BU655" s="156"/>
      <c r="BV655" s="156"/>
      <c r="BW655" s="156"/>
      <c r="BX655" s="156"/>
      <c r="BY655" s="156"/>
      <c r="BZ655" s="156"/>
      <c r="CA655" s="156"/>
      <c r="CB655" s="156"/>
      <c r="CC655" s="156"/>
      <c r="CD655" s="156"/>
      <c r="CE655" s="156"/>
      <c r="CF655" s="156"/>
      <c r="CG655" s="156"/>
      <c r="CH655" s="156"/>
      <c r="CI655" s="156"/>
      <c r="CJ655" s="156"/>
      <c r="CK655" s="156"/>
      <c r="CL655" s="156"/>
      <c r="CM655" s="156"/>
      <c r="CN655" s="156"/>
      <c r="CO655" s="156"/>
      <c r="CP655" s="156"/>
      <c r="CQ655" s="156"/>
      <c r="CR655" s="156"/>
      <c r="CS655" s="156"/>
      <c r="CT655" s="156"/>
      <c r="CU655" s="156"/>
      <c r="CV655" s="156"/>
      <c r="CW655" s="156"/>
      <c r="CX655" s="156"/>
      <c r="CY655" s="156"/>
      <c r="CZ655" s="156"/>
      <c r="DA655" s="156"/>
      <c r="DB655" s="156"/>
      <c r="DC655" s="156"/>
      <c r="DD655" s="156"/>
      <c r="DE655" s="156"/>
      <c r="DF655" s="156"/>
      <c r="DG655" s="156"/>
      <c r="DH655" s="156"/>
      <c r="DI655" s="156"/>
      <c r="DJ655" s="156"/>
      <c r="DK655" s="156"/>
      <c r="DL655" s="156"/>
      <c r="DM655" s="156"/>
      <c r="DN655" s="156"/>
      <c r="DO655" s="156"/>
      <c r="DP655" s="156"/>
      <c r="DQ655" s="156"/>
      <c r="DR655" s="156"/>
      <c r="DS655" s="156"/>
      <c r="DT655" s="156"/>
      <c r="DU655" s="156"/>
      <c r="DV655" s="156"/>
      <c r="DW655" s="156"/>
      <c r="DX655" s="156"/>
      <c r="DY655" s="156"/>
      <c r="DZ655" s="156"/>
      <c r="EA655" s="156"/>
      <c r="EB655" s="156"/>
      <c r="EC655" s="156"/>
      <c r="ED655" s="156"/>
      <c r="EE655" s="156"/>
      <c r="EF655" s="156"/>
      <c r="EG655" s="156"/>
      <c r="EH655" s="156"/>
      <c r="EI655" s="156"/>
      <c r="EJ655" s="156"/>
      <c r="EK655" s="156"/>
      <c r="EL655" s="156"/>
      <c r="EM655" s="156"/>
    </row>
    <row r="656" spans="20:143" ht="10.5" customHeight="1">
      <c r="T656" s="156"/>
      <c r="AZ656" s="156"/>
      <c r="BA656" s="156"/>
      <c r="BB656" s="156"/>
      <c r="BC656" s="156"/>
      <c r="BD656" s="156"/>
      <c r="BE656" s="156"/>
      <c r="BF656" s="156"/>
      <c r="BG656" s="156"/>
      <c r="BH656" s="156"/>
      <c r="BI656" s="156"/>
      <c r="BJ656" s="156"/>
      <c r="BK656" s="156"/>
      <c r="BL656" s="156"/>
      <c r="BM656" s="156"/>
      <c r="BN656" s="156"/>
      <c r="BO656" s="156"/>
      <c r="BP656" s="156"/>
      <c r="BQ656" s="156"/>
      <c r="BR656" s="156"/>
      <c r="BS656" s="156"/>
      <c r="BT656" s="156"/>
      <c r="BU656" s="156"/>
      <c r="BV656" s="156"/>
      <c r="BW656" s="156"/>
      <c r="BX656" s="156"/>
      <c r="BY656" s="156"/>
      <c r="BZ656" s="156"/>
      <c r="CA656" s="156"/>
      <c r="CB656" s="156"/>
      <c r="CC656" s="156"/>
      <c r="CD656" s="156"/>
      <c r="CE656" s="156"/>
      <c r="CF656" s="156"/>
      <c r="CG656" s="156"/>
      <c r="CH656" s="156"/>
      <c r="CI656" s="156"/>
      <c r="CJ656" s="156"/>
      <c r="CK656" s="156"/>
      <c r="CL656" s="156"/>
      <c r="CM656" s="156"/>
      <c r="CN656" s="156"/>
      <c r="CO656" s="156"/>
      <c r="CP656" s="156"/>
      <c r="CQ656" s="156"/>
      <c r="CR656" s="156"/>
      <c r="CS656" s="156"/>
      <c r="CT656" s="156"/>
      <c r="CU656" s="156"/>
      <c r="CV656" s="156"/>
      <c r="CW656" s="156"/>
      <c r="CX656" s="156"/>
      <c r="CY656" s="156"/>
      <c r="CZ656" s="156"/>
      <c r="DA656" s="156"/>
      <c r="DB656" s="156"/>
      <c r="DC656" s="156"/>
      <c r="DD656" s="156"/>
      <c r="DE656" s="156"/>
      <c r="DF656" s="156"/>
      <c r="DG656" s="156"/>
      <c r="DH656" s="156"/>
      <c r="DI656" s="156"/>
      <c r="DJ656" s="156"/>
      <c r="DK656" s="156"/>
      <c r="DL656" s="156"/>
      <c r="DM656" s="156"/>
      <c r="DN656" s="156"/>
      <c r="DO656" s="156"/>
      <c r="DP656" s="156"/>
      <c r="DQ656" s="156"/>
      <c r="DR656" s="156"/>
      <c r="DS656" s="156"/>
      <c r="DT656" s="156"/>
      <c r="DU656" s="156"/>
      <c r="DV656" s="156"/>
      <c r="DW656" s="156"/>
      <c r="DX656" s="156"/>
      <c r="DY656" s="156"/>
      <c r="DZ656" s="156"/>
      <c r="EA656" s="156"/>
      <c r="EB656" s="156"/>
      <c r="EC656" s="156"/>
      <c r="ED656" s="156"/>
      <c r="EE656" s="156"/>
      <c r="EF656" s="156"/>
      <c r="EG656" s="156"/>
      <c r="EH656" s="156"/>
      <c r="EI656" s="156"/>
      <c r="EJ656" s="156"/>
      <c r="EK656" s="156"/>
      <c r="EL656" s="156"/>
      <c r="EM656" s="156"/>
    </row>
    <row r="657" spans="20:143" ht="10.5" customHeight="1">
      <c r="T657" s="156"/>
      <c r="AZ657" s="156"/>
      <c r="BA657" s="156"/>
      <c r="BB657" s="156"/>
      <c r="BC657" s="156"/>
      <c r="BD657" s="156"/>
      <c r="BE657" s="156"/>
      <c r="BF657" s="156"/>
      <c r="BG657" s="156"/>
      <c r="BH657" s="156"/>
      <c r="BI657" s="156"/>
      <c r="BJ657" s="156"/>
      <c r="BK657" s="156"/>
      <c r="BL657" s="156"/>
      <c r="BM657" s="156"/>
      <c r="BN657" s="156"/>
      <c r="BO657" s="156"/>
      <c r="BP657" s="156"/>
      <c r="BQ657" s="156"/>
      <c r="BR657" s="156"/>
      <c r="BS657" s="156"/>
      <c r="BT657" s="156"/>
      <c r="BU657" s="156"/>
      <c r="BV657" s="156"/>
      <c r="BW657" s="156"/>
      <c r="BX657" s="156"/>
      <c r="BY657" s="156"/>
      <c r="BZ657" s="156"/>
      <c r="CA657" s="156"/>
      <c r="CB657" s="156"/>
      <c r="CC657" s="156"/>
      <c r="CD657" s="156"/>
      <c r="CE657" s="156"/>
      <c r="CF657" s="156"/>
      <c r="CG657" s="156"/>
      <c r="CH657" s="156"/>
      <c r="CI657" s="156"/>
      <c r="CJ657" s="156"/>
      <c r="CK657" s="156"/>
      <c r="CL657" s="156"/>
      <c r="CM657" s="156"/>
      <c r="CN657" s="156"/>
      <c r="CO657" s="156"/>
      <c r="CP657" s="156"/>
      <c r="CQ657" s="156"/>
      <c r="CR657" s="156"/>
      <c r="CS657" s="156"/>
      <c r="CT657" s="156"/>
      <c r="CU657" s="156"/>
      <c r="CV657" s="156"/>
      <c r="CW657" s="156"/>
      <c r="CX657" s="156"/>
      <c r="CY657" s="156"/>
      <c r="CZ657" s="156"/>
      <c r="DA657" s="156"/>
      <c r="DB657" s="156"/>
      <c r="DC657" s="156"/>
      <c r="DD657" s="156"/>
      <c r="DE657" s="156"/>
      <c r="DF657" s="156"/>
      <c r="DG657" s="156"/>
      <c r="DH657" s="156"/>
      <c r="DI657" s="156"/>
      <c r="DJ657" s="156"/>
      <c r="DK657" s="156"/>
      <c r="DL657" s="156"/>
      <c r="DM657" s="156"/>
      <c r="DN657" s="156"/>
      <c r="DO657" s="156"/>
      <c r="DP657" s="156"/>
      <c r="DQ657" s="156"/>
      <c r="DR657" s="156"/>
      <c r="DS657" s="156"/>
      <c r="DT657" s="156"/>
      <c r="DU657" s="156"/>
      <c r="DV657" s="156"/>
      <c r="DW657" s="156"/>
      <c r="DX657" s="156"/>
      <c r="DY657" s="156"/>
      <c r="DZ657" s="156"/>
      <c r="EA657" s="156"/>
      <c r="EB657" s="156"/>
      <c r="EC657" s="156"/>
      <c r="ED657" s="156"/>
      <c r="EE657" s="156"/>
      <c r="EF657" s="156"/>
      <c r="EG657" s="156"/>
      <c r="EH657" s="156"/>
      <c r="EI657" s="156"/>
      <c r="EJ657" s="156"/>
      <c r="EK657" s="156"/>
      <c r="EL657" s="156"/>
      <c r="EM657" s="156"/>
    </row>
    <row r="658" spans="20:143" ht="10.5" customHeight="1">
      <c r="T658" s="156"/>
      <c r="AZ658" s="156"/>
      <c r="BA658" s="156"/>
      <c r="BB658" s="156"/>
      <c r="BC658" s="156"/>
      <c r="BD658" s="156"/>
      <c r="BE658" s="156"/>
      <c r="BF658" s="156"/>
      <c r="BG658" s="156"/>
      <c r="BH658" s="156"/>
      <c r="BI658" s="156"/>
      <c r="BJ658" s="156"/>
      <c r="BK658" s="156"/>
      <c r="BL658" s="156"/>
      <c r="BM658" s="156"/>
      <c r="BN658" s="156"/>
      <c r="BO658" s="156"/>
      <c r="BP658" s="156"/>
      <c r="BQ658" s="156"/>
      <c r="BR658" s="156"/>
      <c r="BS658" s="156"/>
      <c r="BT658" s="156"/>
      <c r="BU658" s="156"/>
      <c r="BV658" s="156"/>
      <c r="BW658" s="156"/>
      <c r="BX658" s="156"/>
      <c r="BY658" s="156"/>
      <c r="BZ658" s="156"/>
      <c r="CA658" s="156"/>
      <c r="CB658" s="156"/>
      <c r="CC658" s="156"/>
      <c r="CD658" s="156"/>
      <c r="CE658" s="156"/>
      <c r="CF658" s="156"/>
      <c r="CG658" s="156"/>
      <c r="CH658" s="156"/>
      <c r="CI658" s="156"/>
      <c r="CJ658" s="156"/>
      <c r="CK658" s="156"/>
      <c r="CL658" s="156"/>
      <c r="CM658" s="156"/>
      <c r="CN658" s="156"/>
      <c r="CO658" s="156"/>
      <c r="CP658" s="156"/>
      <c r="CQ658" s="156"/>
      <c r="CR658" s="156"/>
      <c r="CS658" s="156"/>
      <c r="CT658" s="156"/>
      <c r="CU658" s="156"/>
      <c r="CV658" s="156"/>
      <c r="CW658" s="156"/>
      <c r="CX658" s="156"/>
      <c r="CY658" s="156"/>
      <c r="CZ658" s="156"/>
      <c r="DA658" s="156"/>
      <c r="DB658" s="156"/>
      <c r="DC658" s="156"/>
      <c r="DD658" s="156"/>
      <c r="DE658" s="156"/>
      <c r="DF658" s="156"/>
      <c r="DG658" s="156"/>
      <c r="DH658" s="156"/>
      <c r="DI658" s="156"/>
      <c r="DJ658" s="156"/>
      <c r="DK658" s="156"/>
      <c r="DL658" s="156"/>
      <c r="DM658" s="156"/>
      <c r="DN658" s="156"/>
      <c r="DO658" s="156"/>
      <c r="DP658" s="156"/>
      <c r="DQ658" s="156"/>
      <c r="DR658" s="156"/>
      <c r="DS658" s="156"/>
      <c r="DT658" s="156"/>
      <c r="DU658" s="156"/>
      <c r="DV658" s="156"/>
      <c r="DW658" s="156"/>
      <c r="DX658" s="156"/>
      <c r="DY658" s="156"/>
      <c r="DZ658" s="156"/>
      <c r="EA658" s="156"/>
      <c r="EB658" s="156"/>
      <c r="EC658" s="156"/>
      <c r="ED658" s="156"/>
      <c r="EE658" s="156"/>
      <c r="EF658" s="156"/>
      <c r="EG658" s="156"/>
      <c r="EH658" s="156"/>
      <c r="EI658" s="156"/>
      <c r="EJ658" s="156"/>
      <c r="EK658" s="156"/>
      <c r="EL658" s="156"/>
      <c r="EM658" s="156"/>
    </row>
    <row r="659" spans="20:143" ht="10.5" customHeight="1">
      <c r="T659" s="156"/>
      <c r="AZ659" s="156"/>
      <c r="BA659" s="156"/>
      <c r="BB659" s="156"/>
      <c r="BC659" s="156"/>
      <c r="BD659" s="156"/>
      <c r="BE659" s="156"/>
      <c r="BF659" s="156"/>
      <c r="BG659" s="156"/>
      <c r="BH659" s="156"/>
      <c r="BI659" s="156"/>
      <c r="BJ659" s="156"/>
      <c r="BK659" s="156"/>
      <c r="BL659" s="156"/>
      <c r="BM659" s="156"/>
      <c r="BN659" s="156"/>
      <c r="BO659" s="156"/>
      <c r="BP659" s="156"/>
      <c r="BQ659" s="156"/>
      <c r="BR659" s="156"/>
      <c r="BS659" s="156"/>
      <c r="BT659" s="156"/>
      <c r="BU659" s="156"/>
      <c r="BV659" s="156"/>
      <c r="BW659" s="156"/>
      <c r="BX659" s="156"/>
      <c r="BY659" s="156"/>
      <c r="BZ659" s="156"/>
      <c r="CA659" s="156"/>
      <c r="CB659" s="156"/>
      <c r="CC659" s="156"/>
      <c r="CD659" s="156"/>
      <c r="CE659" s="156"/>
      <c r="CF659" s="156"/>
      <c r="CG659" s="156"/>
      <c r="CH659" s="156"/>
      <c r="CI659" s="156"/>
      <c r="CJ659" s="156"/>
      <c r="CK659" s="156"/>
      <c r="CL659" s="156"/>
      <c r="CM659" s="156"/>
      <c r="CN659" s="156"/>
      <c r="CO659" s="156"/>
      <c r="CP659" s="156"/>
      <c r="CQ659" s="156"/>
      <c r="CR659" s="156"/>
      <c r="CS659" s="156"/>
      <c r="CT659" s="156"/>
      <c r="CU659" s="156"/>
      <c r="CV659" s="156"/>
      <c r="CW659" s="156"/>
      <c r="CX659" s="156"/>
      <c r="CY659" s="156"/>
      <c r="CZ659" s="156"/>
      <c r="DA659" s="156"/>
      <c r="DB659" s="156"/>
      <c r="DC659" s="156"/>
      <c r="DD659" s="156"/>
      <c r="DE659" s="156"/>
      <c r="DF659" s="156"/>
      <c r="DG659" s="156"/>
      <c r="DH659" s="156"/>
      <c r="DI659" s="156"/>
      <c r="DJ659" s="156"/>
      <c r="DK659" s="156"/>
      <c r="DL659" s="156"/>
      <c r="DM659" s="156"/>
      <c r="DN659" s="156"/>
      <c r="DO659" s="156"/>
      <c r="DP659" s="156"/>
      <c r="DQ659" s="156"/>
      <c r="DR659" s="156"/>
      <c r="DS659" s="156"/>
      <c r="DT659" s="156"/>
      <c r="DU659" s="156"/>
      <c r="DV659" s="156"/>
      <c r="DW659" s="156"/>
      <c r="DX659" s="156"/>
      <c r="DY659" s="156"/>
      <c r="DZ659" s="156"/>
      <c r="EA659" s="156"/>
      <c r="EB659" s="156"/>
      <c r="EC659" s="156"/>
      <c r="ED659" s="156"/>
      <c r="EE659" s="156"/>
      <c r="EF659" s="156"/>
      <c r="EG659" s="156"/>
      <c r="EH659" s="156"/>
      <c r="EI659" s="156"/>
      <c r="EJ659" s="156"/>
      <c r="EK659" s="156"/>
      <c r="EL659" s="156"/>
      <c r="EM659" s="156"/>
    </row>
    <row r="660" spans="20:143" ht="10.5" customHeight="1">
      <c r="T660" s="156"/>
      <c r="AZ660" s="156"/>
      <c r="BA660" s="156"/>
      <c r="BB660" s="156"/>
      <c r="BC660" s="156"/>
      <c r="BD660" s="156"/>
      <c r="BE660" s="156"/>
      <c r="BF660" s="156"/>
      <c r="BG660" s="156"/>
      <c r="BH660" s="156"/>
      <c r="BI660" s="156"/>
      <c r="BJ660" s="156"/>
      <c r="BK660" s="156"/>
      <c r="BL660" s="156"/>
      <c r="BM660" s="156"/>
      <c r="BN660" s="156"/>
      <c r="BO660" s="156"/>
      <c r="BP660" s="156"/>
      <c r="BQ660" s="156"/>
      <c r="BR660" s="156"/>
      <c r="BS660" s="156"/>
      <c r="BT660" s="156"/>
      <c r="BU660" s="156"/>
      <c r="BV660" s="156"/>
      <c r="BW660" s="156"/>
      <c r="BX660" s="156"/>
      <c r="BY660" s="156"/>
      <c r="BZ660" s="156"/>
      <c r="CA660" s="156"/>
      <c r="CB660" s="156"/>
      <c r="CC660" s="156"/>
      <c r="CD660" s="156"/>
      <c r="CE660" s="156"/>
      <c r="CF660" s="156"/>
      <c r="CG660" s="156"/>
      <c r="CH660" s="156"/>
      <c r="CI660" s="156"/>
      <c r="CJ660" s="156"/>
      <c r="CK660" s="156"/>
      <c r="CL660" s="156"/>
      <c r="CM660" s="156"/>
      <c r="CN660" s="156"/>
      <c r="CO660" s="156"/>
      <c r="CP660" s="156"/>
      <c r="CQ660" s="156"/>
      <c r="CR660" s="156"/>
      <c r="CS660" s="156"/>
      <c r="CT660" s="156"/>
      <c r="CU660" s="156"/>
      <c r="CV660" s="156"/>
      <c r="CW660" s="156"/>
      <c r="CX660" s="156"/>
      <c r="CY660" s="156"/>
      <c r="CZ660" s="156"/>
      <c r="DA660" s="156"/>
      <c r="DB660" s="156"/>
      <c r="DC660" s="156"/>
      <c r="DD660" s="156"/>
      <c r="DE660" s="156"/>
      <c r="DF660" s="156"/>
      <c r="DG660" s="156"/>
      <c r="DH660" s="156"/>
      <c r="DI660" s="156"/>
      <c r="DJ660" s="156"/>
      <c r="DK660" s="156"/>
      <c r="DL660" s="156"/>
      <c r="DM660" s="156"/>
      <c r="DN660" s="156"/>
      <c r="DO660" s="156"/>
      <c r="DP660" s="156"/>
      <c r="DQ660" s="156"/>
      <c r="DR660" s="156"/>
      <c r="DS660" s="156"/>
      <c r="DT660" s="156"/>
      <c r="DU660" s="156"/>
      <c r="DV660" s="156"/>
      <c r="DW660" s="156"/>
      <c r="DX660" s="156"/>
      <c r="DY660" s="156"/>
      <c r="DZ660" s="156"/>
      <c r="EA660" s="156"/>
      <c r="EB660" s="156"/>
      <c r="EC660" s="156"/>
      <c r="ED660" s="156"/>
      <c r="EE660" s="156"/>
      <c r="EF660" s="156"/>
      <c r="EG660" s="156"/>
      <c r="EH660" s="156"/>
      <c r="EI660" s="156"/>
      <c r="EJ660" s="156"/>
      <c r="EK660" s="156"/>
      <c r="EL660" s="156"/>
      <c r="EM660" s="156"/>
    </row>
    <row r="661" spans="20:143" ht="10.5" customHeight="1">
      <c r="T661" s="156"/>
      <c r="AZ661" s="156"/>
      <c r="BA661" s="156"/>
      <c r="BB661" s="156"/>
      <c r="BC661" s="156"/>
      <c r="BD661" s="156"/>
      <c r="BE661" s="156"/>
      <c r="BF661" s="156"/>
      <c r="BG661" s="156"/>
      <c r="BH661" s="156"/>
      <c r="BI661" s="156"/>
      <c r="BJ661" s="156"/>
      <c r="BK661" s="156"/>
      <c r="BL661" s="156"/>
      <c r="BM661" s="156"/>
      <c r="BN661" s="156"/>
      <c r="BO661" s="156"/>
      <c r="BP661" s="156"/>
      <c r="BQ661" s="156"/>
      <c r="BR661" s="156"/>
      <c r="BS661" s="156"/>
      <c r="BT661" s="156"/>
      <c r="BU661" s="156"/>
      <c r="BV661" s="156"/>
      <c r="BW661" s="156"/>
      <c r="BX661" s="156"/>
      <c r="BY661" s="156"/>
      <c r="BZ661" s="156"/>
      <c r="CA661" s="156"/>
      <c r="CB661" s="156"/>
      <c r="CC661" s="156"/>
      <c r="CD661" s="156"/>
      <c r="CE661" s="156"/>
      <c r="CF661" s="156"/>
      <c r="CG661" s="156"/>
      <c r="CH661" s="156"/>
      <c r="CI661" s="156"/>
      <c r="CJ661" s="156"/>
      <c r="CK661" s="156"/>
      <c r="CL661" s="156"/>
      <c r="CM661" s="156"/>
      <c r="CN661" s="156"/>
      <c r="CO661" s="156"/>
      <c r="CP661" s="156"/>
      <c r="CQ661" s="156"/>
      <c r="CR661" s="156"/>
      <c r="CS661" s="156"/>
      <c r="CT661" s="156"/>
      <c r="CU661" s="156"/>
      <c r="CV661" s="156"/>
      <c r="CW661" s="156"/>
      <c r="CX661" s="156"/>
      <c r="CY661" s="156"/>
      <c r="CZ661" s="156"/>
      <c r="DA661" s="156"/>
      <c r="DB661" s="156"/>
      <c r="DC661" s="156"/>
      <c r="DD661" s="156"/>
      <c r="DE661" s="156"/>
      <c r="DF661" s="156"/>
      <c r="DG661" s="156"/>
      <c r="DH661" s="156"/>
      <c r="DI661" s="156"/>
      <c r="DJ661" s="156"/>
      <c r="DK661" s="156"/>
      <c r="DL661" s="156"/>
      <c r="DM661" s="156"/>
      <c r="DN661" s="156"/>
      <c r="DO661" s="156"/>
      <c r="DP661" s="156"/>
      <c r="DQ661" s="156"/>
      <c r="DR661" s="156"/>
      <c r="DS661" s="156"/>
      <c r="DT661" s="156"/>
      <c r="DU661" s="156"/>
      <c r="DV661" s="156"/>
      <c r="DW661" s="156"/>
      <c r="DX661" s="156"/>
      <c r="DY661" s="156"/>
      <c r="DZ661" s="156"/>
      <c r="EA661" s="156"/>
      <c r="EB661" s="156"/>
      <c r="EC661" s="156"/>
      <c r="ED661" s="156"/>
      <c r="EE661" s="156"/>
      <c r="EF661" s="156"/>
      <c r="EG661" s="156"/>
      <c r="EH661" s="156"/>
      <c r="EI661" s="156"/>
      <c r="EJ661" s="156"/>
      <c r="EK661" s="156"/>
      <c r="EL661" s="156"/>
      <c r="EM661" s="156"/>
    </row>
    <row r="662" spans="20:143" ht="10.5" customHeight="1">
      <c r="T662" s="156"/>
      <c r="AZ662" s="156"/>
      <c r="BA662" s="156"/>
      <c r="BB662" s="156"/>
      <c r="BC662" s="156"/>
      <c r="BD662" s="156"/>
      <c r="BE662" s="156"/>
      <c r="BF662" s="156"/>
      <c r="BG662" s="156"/>
      <c r="BH662" s="156"/>
      <c r="BI662" s="156"/>
      <c r="BJ662" s="156"/>
      <c r="BK662" s="156"/>
      <c r="BL662" s="156"/>
      <c r="BM662" s="156"/>
      <c r="BN662" s="156"/>
      <c r="BO662" s="156"/>
      <c r="BP662" s="156"/>
      <c r="BQ662" s="156"/>
      <c r="BR662" s="156"/>
      <c r="BS662" s="156"/>
      <c r="BT662" s="156"/>
      <c r="BU662" s="156"/>
      <c r="BV662" s="156"/>
      <c r="BW662" s="156"/>
      <c r="BX662" s="156"/>
      <c r="BY662" s="156"/>
      <c r="BZ662" s="156"/>
      <c r="CA662" s="156"/>
      <c r="CB662" s="156"/>
      <c r="CC662" s="156"/>
      <c r="CD662" s="156"/>
      <c r="CE662" s="156"/>
      <c r="CF662" s="156"/>
      <c r="CG662" s="156"/>
      <c r="CH662" s="156"/>
      <c r="CI662" s="156"/>
      <c r="CJ662" s="156"/>
      <c r="CK662" s="156"/>
      <c r="CL662" s="156"/>
      <c r="CM662" s="156"/>
      <c r="CN662" s="156"/>
      <c r="CO662" s="156"/>
      <c r="CP662" s="156"/>
      <c r="CQ662" s="156"/>
      <c r="CR662" s="156"/>
      <c r="CS662" s="156"/>
      <c r="CT662" s="156"/>
      <c r="CU662" s="156"/>
      <c r="CV662" s="156"/>
      <c r="CW662" s="156"/>
      <c r="CX662" s="156"/>
      <c r="CY662" s="156"/>
      <c r="CZ662" s="156"/>
      <c r="DA662" s="156"/>
      <c r="DB662" s="156"/>
      <c r="DC662" s="156"/>
      <c r="DD662" s="156"/>
      <c r="DE662" s="156"/>
      <c r="DF662" s="156"/>
      <c r="DG662" s="156"/>
      <c r="DH662" s="156"/>
      <c r="DI662" s="156"/>
      <c r="DJ662" s="156"/>
      <c r="DK662" s="156"/>
      <c r="DL662" s="156"/>
      <c r="DM662" s="156"/>
      <c r="DN662" s="156"/>
      <c r="DO662" s="156"/>
      <c r="DP662" s="156"/>
      <c r="DQ662" s="156"/>
      <c r="DR662" s="156"/>
      <c r="DS662" s="156"/>
      <c r="DT662" s="156"/>
      <c r="DU662" s="156"/>
      <c r="DV662" s="156"/>
      <c r="DW662" s="156"/>
      <c r="DX662" s="156"/>
      <c r="DY662" s="156"/>
      <c r="DZ662" s="156"/>
      <c r="EA662" s="156"/>
      <c r="EB662" s="156"/>
      <c r="EC662" s="156"/>
      <c r="ED662" s="156"/>
      <c r="EE662" s="156"/>
      <c r="EF662" s="156"/>
      <c r="EG662" s="156"/>
      <c r="EH662" s="156"/>
      <c r="EI662" s="156"/>
      <c r="EJ662" s="156"/>
      <c r="EK662" s="156"/>
      <c r="EL662" s="156"/>
      <c r="EM662" s="156"/>
    </row>
    <row r="663" spans="20:143" ht="10.5" customHeight="1">
      <c r="T663" s="156"/>
      <c r="AZ663" s="156"/>
      <c r="BA663" s="156"/>
      <c r="BB663" s="156"/>
      <c r="BC663" s="156"/>
      <c r="BD663" s="156"/>
      <c r="BE663" s="156"/>
      <c r="BF663" s="156"/>
      <c r="BG663" s="156"/>
      <c r="BH663" s="156"/>
      <c r="BI663" s="156"/>
      <c r="BJ663" s="156"/>
      <c r="BK663" s="156"/>
      <c r="BL663" s="156"/>
      <c r="BM663" s="156"/>
      <c r="BN663" s="156"/>
      <c r="BO663" s="156"/>
      <c r="BP663" s="156"/>
      <c r="BQ663" s="156"/>
      <c r="BR663" s="156"/>
      <c r="BS663" s="156"/>
      <c r="BT663" s="156"/>
      <c r="BU663" s="156"/>
      <c r="BV663" s="156"/>
      <c r="BW663" s="156"/>
      <c r="BX663" s="156"/>
      <c r="BY663" s="156"/>
      <c r="BZ663" s="156"/>
      <c r="CA663" s="156"/>
      <c r="CB663" s="156"/>
      <c r="CC663" s="156"/>
      <c r="CD663" s="156"/>
      <c r="CE663" s="156"/>
      <c r="CF663" s="156"/>
      <c r="CG663" s="156"/>
      <c r="CH663" s="156"/>
      <c r="CI663" s="156"/>
      <c r="CJ663" s="156"/>
      <c r="CK663" s="156"/>
      <c r="CL663" s="156"/>
      <c r="CM663" s="156"/>
      <c r="CN663" s="156"/>
      <c r="CO663" s="156"/>
      <c r="CP663" s="156"/>
      <c r="CQ663" s="156"/>
      <c r="CR663" s="156"/>
      <c r="CS663" s="156"/>
      <c r="CT663" s="156"/>
      <c r="CU663" s="156"/>
      <c r="CV663" s="156"/>
      <c r="CW663" s="156"/>
      <c r="CX663" s="156"/>
      <c r="CY663" s="156"/>
      <c r="CZ663" s="156"/>
      <c r="DA663" s="156"/>
      <c r="DB663" s="156"/>
      <c r="DC663" s="156"/>
      <c r="DD663" s="156"/>
      <c r="DE663" s="156"/>
      <c r="DF663" s="156"/>
      <c r="DG663" s="156"/>
      <c r="DH663" s="156"/>
      <c r="DI663" s="156"/>
      <c r="DJ663" s="156"/>
      <c r="DK663" s="156"/>
      <c r="DL663" s="156"/>
      <c r="DM663" s="156"/>
      <c r="DN663" s="156"/>
      <c r="DO663" s="156"/>
      <c r="DP663" s="156"/>
      <c r="DQ663" s="156"/>
      <c r="DR663" s="156"/>
      <c r="DS663" s="156"/>
      <c r="DT663" s="156"/>
      <c r="DU663" s="156"/>
      <c r="DV663" s="156"/>
      <c r="DW663" s="156"/>
      <c r="DX663" s="156"/>
      <c r="DY663" s="156"/>
      <c r="DZ663" s="156"/>
      <c r="EA663" s="156"/>
      <c r="EB663" s="156"/>
      <c r="EC663" s="156"/>
      <c r="ED663" s="156"/>
      <c r="EE663" s="156"/>
      <c r="EF663" s="156"/>
      <c r="EG663" s="156"/>
      <c r="EH663" s="156"/>
      <c r="EI663" s="156"/>
      <c r="EJ663" s="156"/>
      <c r="EK663" s="156"/>
      <c r="EL663" s="156"/>
      <c r="EM663" s="156"/>
    </row>
    <row r="664" spans="20:143" ht="10.5" customHeight="1">
      <c r="T664" s="156"/>
      <c r="AZ664" s="156"/>
      <c r="BA664" s="156"/>
      <c r="BB664" s="156"/>
      <c r="BC664" s="156"/>
      <c r="BD664" s="156"/>
      <c r="BE664" s="156"/>
      <c r="BF664" s="156"/>
      <c r="BG664" s="156"/>
      <c r="BH664" s="156"/>
      <c r="BI664" s="156"/>
      <c r="BJ664" s="156"/>
      <c r="BK664" s="156"/>
      <c r="BL664" s="156"/>
      <c r="BM664" s="156"/>
      <c r="BN664" s="156"/>
      <c r="BO664" s="156"/>
      <c r="BP664" s="156"/>
      <c r="BQ664" s="156"/>
      <c r="BR664" s="156"/>
      <c r="BS664" s="156"/>
      <c r="BT664" s="156"/>
      <c r="BU664" s="156"/>
      <c r="BV664" s="156"/>
      <c r="BW664" s="156"/>
      <c r="BX664" s="156"/>
      <c r="BY664" s="156"/>
      <c r="BZ664" s="156"/>
      <c r="CA664" s="156"/>
      <c r="CB664" s="156"/>
      <c r="CC664" s="156"/>
      <c r="CD664" s="156"/>
      <c r="CE664" s="156"/>
      <c r="CF664" s="156"/>
      <c r="CG664" s="156"/>
      <c r="CH664" s="156"/>
      <c r="CI664" s="156"/>
      <c r="CJ664" s="156"/>
      <c r="CK664" s="156"/>
      <c r="CL664" s="156"/>
      <c r="CM664" s="156"/>
      <c r="CN664" s="156"/>
      <c r="CO664" s="156"/>
      <c r="CP664" s="156"/>
      <c r="CQ664" s="156"/>
      <c r="CR664" s="156"/>
      <c r="CS664" s="156"/>
      <c r="CT664" s="156"/>
      <c r="CU664" s="156"/>
      <c r="CV664" s="156"/>
      <c r="CW664" s="156"/>
      <c r="CX664" s="156"/>
      <c r="CY664" s="156"/>
      <c r="CZ664" s="156"/>
      <c r="DA664" s="156"/>
      <c r="DB664" s="156"/>
      <c r="DC664" s="156"/>
      <c r="DD664" s="156"/>
      <c r="DE664" s="156"/>
      <c r="DF664" s="156"/>
      <c r="DG664" s="156"/>
      <c r="DH664" s="156"/>
      <c r="DI664" s="156"/>
      <c r="DJ664" s="156"/>
      <c r="DK664" s="156"/>
      <c r="DL664" s="156"/>
      <c r="DM664" s="156"/>
      <c r="DN664" s="156"/>
      <c r="DO664" s="156"/>
      <c r="DP664" s="156"/>
      <c r="DQ664" s="156"/>
      <c r="DR664" s="156"/>
      <c r="DS664" s="156"/>
      <c r="DT664" s="156"/>
      <c r="DU664" s="156"/>
      <c r="DV664" s="156"/>
      <c r="DW664" s="156"/>
      <c r="DX664" s="156"/>
      <c r="DY664" s="156"/>
      <c r="DZ664" s="156"/>
      <c r="EA664" s="156"/>
      <c r="EB664" s="156"/>
      <c r="EC664" s="156"/>
      <c r="ED664" s="156"/>
      <c r="EE664" s="156"/>
      <c r="EF664" s="156"/>
      <c r="EG664" s="156"/>
      <c r="EH664" s="156"/>
      <c r="EI664" s="156"/>
      <c r="EJ664" s="156"/>
      <c r="EK664" s="156"/>
      <c r="EL664" s="156"/>
      <c r="EM664" s="156"/>
    </row>
    <row r="665" spans="20:143" ht="10.5" customHeight="1">
      <c r="T665" s="156"/>
      <c r="AZ665" s="156"/>
      <c r="BA665" s="156"/>
      <c r="BB665" s="156"/>
      <c r="BC665" s="156"/>
      <c r="BD665" s="156"/>
      <c r="BE665" s="156"/>
      <c r="BF665" s="156"/>
      <c r="BG665" s="156"/>
      <c r="BH665" s="156"/>
      <c r="BI665" s="156"/>
      <c r="BJ665" s="156"/>
      <c r="BK665" s="156"/>
      <c r="BL665" s="156"/>
      <c r="BM665" s="156"/>
      <c r="BN665" s="156"/>
      <c r="BO665" s="156"/>
      <c r="BP665" s="156"/>
      <c r="BQ665" s="156"/>
      <c r="BR665" s="156"/>
      <c r="BS665" s="156"/>
      <c r="BT665" s="156"/>
      <c r="BU665" s="156"/>
      <c r="BV665" s="156"/>
      <c r="BW665" s="156"/>
      <c r="BX665" s="156"/>
      <c r="BY665" s="156"/>
      <c r="BZ665" s="156"/>
      <c r="CA665" s="156"/>
      <c r="CB665" s="156"/>
      <c r="CC665" s="156"/>
      <c r="CD665" s="156"/>
      <c r="CE665" s="156"/>
      <c r="CF665" s="156"/>
      <c r="CG665" s="156"/>
      <c r="CH665" s="156"/>
      <c r="CI665" s="156"/>
      <c r="CJ665" s="156"/>
      <c r="CK665" s="156"/>
      <c r="CL665" s="156"/>
      <c r="CM665" s="156"/>
      <c r="CN665" s="156"/>
      <c r="CO665" s="156"/>
      <c r="CP665" s="156"/>
      <c r="CQ665" s="156"/>
      <c r="CR665" s="156"/>
      <c r="CS665" s="156"/>
      <c r="CT665" s="156"/>
      <c r="CU665" s="156"/>
      <c r="CV665" s="156"/>
      <c r="CW665" s="156"/>
      <c r="CX665" s="156"/>
      <c r="CY665" s="156"/>
      <c r="CZ665" s="156"/>
      <c r="DA665" s="156"/>
      <c r="DB665" s="156"/>
      <c r="DC665" s="156"/>
      <c r="DD665" s="156"/>
      <c r="DE665" s="156"/>
      <c r="DF665" s="156"/>
      <c r="DG665" s="156"/>
      <c r="DH665" s="156"/>
      <c r="DI665" s="156"/>
      <c r="DJ665" s="156"/>
      <c r="DK665" s="156"/>
      <c r="DL665" s="156"/>
      <c r="DM665" s="156"/>
      <c r="DN665" s="156"/>
      <c r="DO665" s="156"/>
      <c r="DP665" s="156"/>
      <c r="DQ665" s="156"/>
      <c r="DR665" s="156"/>
      <c r="DS665" s="156"/>
      <c r="DT665" s="156"/>
      <c r="DU665" s="156"/>
      <c r="DV665" s="156"/>
      <c r="DW665" s="156"/>
      <c r="DX665" s="156"/>
      <c r="DY665" s="156"/>
      <c r="DZ665" s="156"/>
      <c r="EA665" s="156"/>
      <c r="EB665" s="156"/>
      <c r="EC665" s="156"/>
      <c r="ED665" s="156"/>
      <c r="EE665" s="156"/>
      <c r="EF665" s="156"/>
      <c r="EG665" s="156"/>
      <c r="EH665" s="156"/>
      <c r="EI665" s="156"/>
      <c r="EJ665" s="156"/>
      <c r="EK665" s="156"/>
      <c r="EL665" s="156"/>
      <c r="EM665" s="156"/>
    </row>
    <row r="666" spans="20:143" ht="10.5" customHeight="1">
      <c r="T666" s="156"/>
      <c r="AZ666" s="156"/>
      <c r="BA666" s="156"/>
      <c r="BB666" s="156"/>
      <c r="BC666" s="156"/>
      <c r="BD666" s="156"/>
      <c r="BE666" s="156"/>
      <c r="BF666" s="156"/>
      <c r="BG666" s="156"/>
      <c r="BH666" s="156"/>
      <c r="BI666" s="156"/>
      <c r="BJ666" s="156"/>
      <c r="BK666" s="156"/>
      <c r="BL666" s="156"/>
      <c r="BM666" s="156"/>
      <c r="BN666" s="156"/>
      <c r="BO666" s="156"/>
      <c r="BP666" s="156"/>
      <c r="BQ666" s="156"/>
      <c r="BR666" s="156"/>
      <c r="BS666" s="156"/>
      <c r="BT666" s="156"/>
      <c r="BU666" s="156"/>
      <c r="BV666" s="156"/>
      <c r="BW666" s="156"/>
      <c r="BX666" s="156"/>
      <c r="BY666" s="156"/>
      <c r="BZ666" s="156"/>
      <c r="CA666" s="156"/>
      <c r="CB666" s="156"/>
      <c r="CC666" s="156"/>
      <c r="CD666" s="156"/>
      <c r="CE666" s="156"/>
      <c r="CF666" s="156"/>
      <c r="CG666" s="156"/>
      <c r="CH666" s="156"/>
      <c r="CI666" s="156"/>
      <c r="CJ666" s="156"/>
      <c r="CK666" s="156"/>
      <c r="CL666" s="156"/>
      <c r="CM666" s="156"/>
      <c r="CN666" s="156"/>
      <c r="CO666" s="156"/>
      <c r="CP666" s="156"/>
      <c r="CQ666" s="156"/>
      <c r="CR666" s="156"/>
      <c r="CS666" s="156"/>
      <c r="CT666" s="156"/>
      <c r="CU666" s="156"/>
      <c r="CV666" s="156"/>
      <c r="CW666" s="156"/>
      <c r="CX666" s="156"/>
      <c r="CY666" s="156"/>
      <c r="CZ666" s="156"/>
      <c r="DA666" s="156"/>
      <c r="DB666" s="156"/>
      <c r="DC666" s="156"/>
      <c r="DD666" s="156"/>
      <c r="DE666" s="156"/>
      <c r="DF666" s="156"/>
      <c r="DG666" s="156"/>
      <c r="DH666" s="156"/>
      <c r="DI666" s="156"/>
      <c r="DJ666" s="156"/>
      <c r="DK666" s="156"/>
      <c r="DL666" s="156"/>
      <c r="DM666" s="156"/>
      <c r="DN666" s="156"/>
      <c r="DO666" s="156"/>
      <c r="DP666" s="156"/>
      <c r="DQ666" s="156"/>
      <c r="DR666" s="156"/>
      <c r="DS666" s="156"/>
      <c r="DT666" s="156"/>
      <c r="DU666" s="156"/>
      <c r="DV666" s="156"/>
      <c r="DW666" s="156"/>
      <c r="DX666" s="156"/>
      <c r="DY666" s="156"/>
      <c r="DZ666" s="156"/>
      <c r="EA666" s="156"/>
      <c r="EB666" s="156"/>
      <c r="EC666" s="156"/>
      <c r="ED666" s="156"/>
      <c r="EE666" s="156"/>
      <c r="EF666" s="156"/>
      <c r="EG666" s="156"/>
      <c r="EH666" s="156"/>
      <c r="EI666" s="156"/>
      <c r="EJ666" s="156"/>
      <c r="EK666" s="156"/>
      <c r="EL666" s="156"/>
      <c r="EM666" s="156"/>
    </row>
    <row r="667" spans="20:143" ht="10.5" customHeight="1">
      <c r="T667" s="156"/>
      <c r="AZ667" s="156"/>
      <c r="BA667" s="156"/>
      <c r="BB667" s="156"/>
      <c r="BC667" s="156"/>
      <c r="BD667" s="156"/>
      <c r="BE667" s="156"/>
      <c r="BF667" s="156"/>
      <c r="BG667" s="156"/>
      <c r="BH667" s="156"/>
      <c r="BI667" s="156"/>
      <c r="BJ667" s="156"/>
      <c r="BK667" s="156"/>
      <c r="BL667" s="156"/>
      <c r="BM667" s="156"/>
      <c r="BN667" s="156"/>
      <c r="BO667" s="156"/>
      <c r="BP667" s="156"/>
      <c r="BQ667" s="156"/>
      <c r="BR667" s="156"/>
      <c r="BS667" s="156"/>
      <c r="BT667" s="156"/>
      <c r="BU667" s="156"/>
      <c r="BV667" s="156"/>
      <c r="BW667" s="156"/>
      <c r="BX667" s="156"/>
      <c r="BY667" s="156"/>
      <c r="BZ667" s="156"/>
      <c r="CA667" s="156"/>
      <c r="CB667" s="156"/>
      <c r="CC667" s="156"/>
      <c r="CD667" s="156"/>
      <c r="CE667" s="156"/>
      <c r="CF667" s="156"/>
      <c r="CG667" s="156"/>
      <c r="CH667" s="156"/>
      <c r="CI667" s="156"/>
      <c r="CJ667" s="156"/>
      <c r="CK667" s="156"/>
      <c r="CL667" s="156"/>
      <c r="CM667" s="156"/>
      <c r="CN667" s="156"/>
      <c r="CO667" s="156"/>
      <c r="CP667" s="156"/>
      <c r="CQ667" s="156"/>
      <c r="CR667" s="156"/>
      <c r="CS667" s="156"/>
      <c r="CT667" s="156"/>
      <c r="CU667" s="156"/>
      <c r="CV667" s="156"/>
      <c r="CW667" s="156"/>
      <c r="CX667" s="156"/>
      <c r="CY667" s="156"/>
      <c r="CZ667" s="156"/>
      <c r="DA667" s="156"/>
      <c r="DB667" s="156"/>
      <c r="DC667" s="156"/>
      <c r="DD667" s="156"/>
      <c r="DE667" s="156"/>
      <c r="DF667" s="156"/>
      <c r="DG667" s="156"/>
      <c r="DH667" s="156"/>
      <c r="DI667" s="156"/>
      <c r="DJ667" s="156"/>
      <c r="DK667" s="156"/>
      <c r="DL667" s="156"/>
      <c r="DM667" s="156"/>
      <c r="DN667" s="156"/>
      <c r="DO667" s="156"/>
      <c r="DP667" s="156"/>
      <c r="DQ667" s="156"/>
      <c r="DR667" s="156"/>
      <c r="DS667" s="156"/>
      <c r="DT667" s="156"/>
      <c r="DU667" s="156"/>
      <c r="DV667" s="156"/>
      <c r="DW667" s="156"/>
      <c r="DX667" s="156"/>
      <c r="DY667" s="156"/>
      <c r="DZ667" s="156"/>
      <c r="EA667" s="156"/>
      <c r="EB667" s="156"/>
      <c r="EC667" s="156"/>
      <c r="ED667" s="156"/>
      <c r="EE667" s="156"/>
      <c r="EF667" s="156"/>
      <c r="EG667" s="156"/>
      <c r="EH667" s="156"/>
      <c r="EI667" s="156"/>
      <c r="EJ667" s="156"/>
      <c r="EK667" s="156"/>
      <c r="EL667" s="156"/>
      <c r="EM667" s="156"/>
    </row>
    <row r="668" spans="20:143" ht="10.5" customHeight="1">
      <c r="T668" s="156"/>
      <c r="AZ668" s="156"/>
      <c r="BA668" s="156"/>
      <c r="BB668" s="156"/>
      <c r="BC668" s="156"/>
      <c r="BD668" s="156"/>
      <c r="BE668" s="156"/>
      <c r="BF668" s="156"/>
      <c r="BG668" s="156"/>
      <c r="BH668" s="156"/>
      <c r="BI668" s="156"/>
      <c r="BJ668" s="156"/>
      <c r="BK668" s="156"/>
      <c r="BL668" s="156"/>
      <c r="BM668" s="156"/>
      <c r="BN668" s="156"/>
      <c r="BO668" s="156"/>
      <c r="BP668" s="156"/>
      <c r="BQ668" s="156"/>
      <c r="BR668" s="156"/>
      <c r="BS668" s="156"/>
      <c r="BT668" s="156"/>
      <c r="BU668" s="156"/>
      <c r="BV668" s="156"/>
      <c r="BW668" s="156"/>
      <c r="BX668" s="156"/>
      <c r="BY668" s="156"/>
      <c r="BZ668" s="156"/>
      <c r="CA668" s="156"/>
      <c r="CB668" s="156"/>
      <c r="CC668" s="156"/>
      <c r="CD668" s="156"/>
      <c r="CE668" s="156"/>
      <c r="CF668" s="156"/>
      <c r="CG668" s="156"/>
      <c r="CH668" s="156"/>
      <c r="CI668" s="156"/>
      <c r="CJ668" s="156"/>
      <c r="CK668" s="156"/>
      <c r="CL668" s="156"/>
      <c r="CM668" s="156"/>
      <c r="CN668" s="156"/>
      <c r="CO668" s="156"/>
      <c r="CP668" s="156"/>
      <c r="CQ668" s="156"/>
      <c r="CR668" s="156"/>
      <c r="CS668" s="156"/>
      <c r="CT668" s="156"/>
      <c r="CU668" s="156"/>
      <c r="CV668" s="156"/>
      <c r="CW668" s="156"/>
      <c r="CX668" s="156"/>
      <c r="CY668" s="156"/>
      <c r="CZ668" s="156"/>
      <c r="DA668" s="156"/>
      <c r="DB668" s="156"/>
      <c r="DC668" s="156"/>
      <c r="DD668" s="156"/>
      <c r="DE668" s="156"/>
      <c r="DF668" s="156"/>
      <c r="DG668" s="156"/>
      <c r="DH668" s="156"/>
      <c r="DI668" s="156"/>
      <c r="DJ668" s="156"/>
      <c r="DK668" s="156"/>
      <c r="DL668" s="156"/>
      <c r="DM668" s="156"/>
      <c r="DN668" s="156"/>
      <c r="DO668" s="156"/>
      <c r="DP668" s="156"/>
      <c r="DQ668" s="156"/>
      <c r="DR668" s="156"/>
      <c r="DS668" s="156"/>
      <c r="DT668" s="156"/>
      <c r="DU668" s="156"/>
      <c r="DV668" s="156"/>
      <c r="DW668" s="156"/>
      <c r="DX668" s="156"/>
      <c r="DY668" s="156"/>
      <c r="DZ668" s="156"/>
      <c r="EA668" s="156"/>
      <c r="EB668" s="156"/>
      <c r="EC668" s="156"/>
      <c r="ED668" s="156"/>
      <c r="EE668" s="156"/>
      <c r="EF668" s="156"/>
      <c r="EG668" s="156"/>
      <c r="EH668" s="156"/>
      <c r="EI668" s="156"/>
      <c r="EJ668" s="156"/>
      <c r="EK668" s="156"/>
      <c r="EL668" s="156"/>
      <c r="EM668" s="156"/>
    </row>
    <row r="669" spans="20:143" ht="10.5" customHeight="1">
      <c r="T669" s="156"/>
      <c r="AZ669" s="156"/>
      <c r="BA669" s="156"/>
      <c r="BB669" s="156"/>
      <c r="BC669" s="156"/>
      <c r="BD669" s="156"/>
      <c r="BE669" s="156"/>
      <c r="BF669" s="156"/>
      <c r="BG669" s="156"/>
      <c r="BH669" s="156"/>
      <c r="BI669" s="156"/>
      <c r="BJ669" s="156"/>
      <c r="BK669" s="156"/>
      <c r="BL669" s="156"/>
      <c r="BM669" s="156"/>
      <c r="BN669" s="156"/>
      <c r="BO669" s="156"/>
      <c r="BP669" s="156"/>
      <c r="BQ669" s="156"/>
      <c r="BR669" s="156"/>
      <c r="BS669" s="156"/>
      <c r="BT669" s="156"/>
      <c r="BU669" s="156"/>
      <c r="BV669" s="156"/>
      <c r="BW669" s="156"/>
      <c r="BX669" s="156"/>
      <c r="BY669" s="156"/>
      <c r="BZ669" s="156"/>
      <c r="CA669" s="156"/>
      <c r="CB669" s="156"/>
      <c r="CC669" s="156"/>
      <c r="CD669" s="156"/>
      <c r="CE669" s="156"/>
      <c r="CF669" s="156"/>
      <c r="CG669" s="156"/>
      <c r="CH669" s="156"/>
      <c r="CI669" s="156"/>
      <c r="CJ669" s="156"/>
      <c r="CK669" s="156"/>
      <c r="CL669" s="156"/>
      <c r="CM669" s="156"/>
      <c r="CN669" s="156"/>
      <c r="CO669" s="156"/>
      <c r="CP669" s="156"/>
      <c r="CQ669" s="156"/>
      <c r="CR669" s="156"/>
      <c r="CS669" s="156"/>
      <c r="CT669" s="156"/>
      <c r="CU669" s="156"/>
      <c r="CV669" s="156"/>
      <c r="CW669" s="156"/>
      <c r="CX669" s="156"/>
      <c r="CY669" s="156"/>
      <c r="CZ669" s="156"/>
      <c r="DA669" s="156"/>
      <c r="DB669" s="156"/>
      <c r="DC669" s="156"/>
      <c r="DD669" s="156"/>
      <c r="DE669" s="156"/>
      <c r="DF669" s="156"/>
      <c r="DG669" s="156"/>
      <c r="DH669" s="156"/>
      <c r="DI669" s="156"/>
      <c r="DJ669" s="156"/>
      <c r="DK669" s="156"/>
      <c r="DL669" s="156"/>
      <c r="DM669" s="156"/>
      <c r="DN669" s="156"/>
      <c r="DO669" s="156"/>
      <c r="DP669" s="156"/>
      <c r="DQ669" s="156"/>
      <c r="DR669" s="156"/>
      <c r="DS669" s="156"/>
      <c r="DT669" s="156"/>
      <c r="DU669" s="156"/>
      <c r="DV669" s="156"/>
      <c r="DW669" s="156"/>
      <c r="DX669" s="156"/>
      <c r="DY669" s="156"/>
      <c r="DZ669" s="156"/>
      <c r="EA669" s="156"/>
      <c r="EB669" s="156"/>
      <c r="EC669" s="156"/>
      <c r="ED669" s="156"/>
      <c r="EE669" s="156"/>
      <c r="EF669" s="156"/>
      <c r="EG669" s="156"/>
      <c r="EH669" s="156"/>
      <c r="EI669" s="156"/>
      <c r="EJ669" s="156"/>
      <c r="EK669" s="156"/>
      <c r="EL669" s="156"/>
      <c r="EM669" s="156"/>
    </row>
    <row r="670" spans="20:143" ht="10.5" customHeight="1">
      <c r="T670" s="156"/>
      <c r="AZ670" s="156"/>
      <c r="BA670" s="156"/>
      <c r="BB670" s="156"/>
      <c r="BC670" s="156"/>
      <c r="BD670" s="156"/>
      <c r="BE670" s="156"/>
      <c r="BF670" s="156"/>
      <c r="BG670" s="156"/>
      <c r="BH670" s="156"/>
      <c r="BI670" s="156"/>
      <c r="BJ670" s="156"/>
      <c r="BK670" s="156"/>
      <c r="BL670" s="156"/>
      <c r="BM670" s="156"/>
      <c r="BN670" s="156"/>
      <c r="BO670" s="156"/>
      <c r="BP670" s="156"/>
      <c r="BQ670" s="156"/>
      <c r="BR670" s="156"/>
      <c r="BS670" s="156"/>
      <c r="BT670" s="156"/>
      <c r="BU670" s="156"/>
      <c r="BV670" s="156"/>
      <c r="BW670" s="156"/>
      <c r="BX670" s="156"/>
      <c r="BY670" s="156"/>
      <c r="BZ670" s="156"/>
      <c r="CA670" s="156"/>
      <c r="CB670" s="156"/>
      <c r="CC670" s="156"/>
      <c r="CD670" s="156"/>
      <c r="CE670" s="156"/>
      <c r="CF670" s="156"/>
      <c r="CG670" s="156"/>
      <c r="CH670" s="156"/>
      <c r="CI670" s="156"/>
      <c r="CJ670" s="156"/>
      <c r="CK670" s="156"/>
      <c r="CL670" s="156"/>
      <c r="CM670" s="156"/>
      <c r="CN670" s="156"/>
      <c r="CO670" s="156"/>
      <c r="CP670" s="156"/>
      <c r="CQ670" s="156"/>
      <c r="CR670" s="156"/>
      <c r="CS670" s="156"/>
      <c r="CT670" s="156"/>
      <c r="CU670" s="156"/>
      <c r="CV670" s="156"/>
      <c r="CW670" s="156"/>
      <c r="CX670" s="156"/>
      <c r="CY670" s="156"/>
      <c r="CZ670" s="156"/>
      <c r="DA670" s="156"/>
      <c r="DB670" s="156"/>
      <c r="DC670" s="156"/>
      <c r="DD670" s="156"/>
      <c r="DE670" s="156"/>
      <c r="DF670" s="156"/>
      <c r="DG670" s="156"/>
      <c r="DH670" s="156"/>
      <c r="DI670" s="156"/>
      <c r="DJ670" s="156"/>
      <c r="DK670" s="156"/>
      <c r="DL670" s="156"/>
      <c r="DM670" s="156"/>
      <c r="DN670" s="156"/>
      <c r="DO670" s="156"/>
      <c r="DP670" s="156"/>
      <c r="DQ670" s="156"/>
      <c r="DR670" s="156"/>
      <c r="DS670" s="156"/>
      <c r="DT670" s="156"/>
      <c r="DU670" s="156"/>
      <c r="DV670" s="156"/>
      <c r="DW670" s="156"/>
      <c r="DX670" s="156"/>
      <c r="DY670" s="156"/>
      <c r="DZ670" s="156"/>
      <c r="EA670" s="156"/>
      <c r="EB670" s="156"/>
      <c r="EC670" s="156"/>
      <c r="ED670" s="156"/>
      <c r="EE670" s="156"/>
      <c r="EF670" s="156"/>
      <c r="EG670" s="156"/>
      <c r="EH670" s="156"/>
      <c r="EI670" s="156"/>
      <c r="EJ670" s="156"/>
      <c r="EK670" s="156"/>
      <c r="EL670" s="156"/>
      <c r="EM670" s="156"/>
    </row>
    <row r="671" spans="20:143" ht="10.5" customHeight="1">
      <c r="T671" s="156"/>
      <c r="AZ671" s="156"/>
      <c r="BA671" s="156"/>
      <c r="BB671" s="156"/>
      <c r="BC671" s="156"/>
      <c r="BD671" s="156"/>
      <c r="BE671" s="156"/>
      <c r="BF671" s="156"/>
      <c r="BG671" s="156"/>
      <c r="BH671" s="156"/>
      <c r="BI671" s="156"/>
      <c r="BJ671" s="156"/>
      <c r="BK671" s="156"/>
      <c r="BL671" s="156"/>
      <c r="BM671" s="156"/>
      <c r="BN671" s="156"/>
      <c r="BO671" s="156"/>
      <c r="BP671" s="156"/>
      <c r="BQ671" s="156"/>
      <c r="BR671" s="156"/>
      <c r="BS671" s="156"/>
      <c r="BT671" s="156"/>
      <c r="BU671" s="156"/>
      <c r="BV671" s="156"/>
      <c r="BW671" s="156"/>
      <c r="BX671" s="156"/>
      <c r="BY671" s="156"/>
      <c r="BZ671" s="156"/>
      <c r="CA671" s="156"/>
      <c r="CB671" s="156"/>
      <c r="CC671" s="156"/>
      <c r="CD671" s="156"/>
      <c r="CE671" s="156"/>
      <c r="CF671" s="156"/>
      <c r="CG671" s="156"/>
      <c r="CH671" s="156"/>
      <c r="CI671" s="156"/>
      <c r="CJ671" s="156"/>
      <c r="CK671" s="156"/>
      <c r="CL671" s="156"/>
      <c r="CM671" s="156"/>
      <c r="CN671" s="156"/>
      <c r="CO671" s="156"/>
      <c r="CP671" s="156"/>
      <c r="CQ671" s="156"/>
      <c r="CR671" s="156"/>
      <c r="CS671" s="156"/>
      <c r="CT671" s="156"/>
      <c r="CU671" s="156"/>
      <c r="CV671" s="156"/>
      <c r="CW671" s="156"/>
      <c r="CX671" s="156"/>
      <c r="CY671" s="156"/>
      <c r="CZ671" s="156"/>
      <c r="DA671" s="156"/>
      <c r="DB671" s="156"/>
      <c r="DC671" s="156"/>
      <c r="DD671" s="156"/>
      <c r="DE671" s="156"/>
      <c r="DF671" s="156"/>
      <c r="DG671" s="156"/>
      <c r="DH671" s="156"/>
      <c r="DI671" s="156"/>
      <c r="DJ671" s="156"/>
      <c r="DK671" s="156"/>
      <c r="DL671" s="156"/>
      <c r="DM671" s="156"/>
      <c r="DN671" s="156"/>
      <c r="DO671" s="156"/>
      <c r="DP671" s="156"/>
      <c r="DQ671" s="156"/>
      <c r="DR671" s="156"/>
      <c r="DS671" s="156"/>
      <c r="DT671" s="156"/>
      <c r="DU671" s="156"/>
      <c r="DV671" s="156"/>
      <c r="DW671" s="156"/>
      <c r="DX671" s="156"/>
      <c r="DY671" s="156"/>
      <c r="DZ671" s="156"/>
      <c r="EA671" s="156"/>
      <c r="EB671" s="156"/>
      <c r="EC671" s="156"/>
      <c r="ED671" s="156"/>
      <c r="EE671" s="156"/>
      <c r="EF671" s="156"/>
      <c r="EG671" s="156"/>
      <c r="EH671" s="156"/>
      <c r="EI671" s="156"/>
      <c r="EJ671" s="156"/>
      <c r="EK671" s="156"/>
      <c r="EL671" s="156"/>
      <c r="EM671" s="156"/>
    </row>
    <row r="672" spans="20:143" ht="10.5" customHeight="1">
      <c r="T672" s="156"/>
      <c r="AZ672" s="156"/>
      <c r="BA672" s="156"/>
      <c r="BB672" s="156"/>
      <c r="BC672" s="156"/>
      <c r="BD672" s="156"/>
      <c r="BE672" s="156"/>
      <c r="BF672" s="156"/>
      <c r="BG672" s="156"/>
      <c r="BH672" s="156"/>
      <c r="BI672" s="156"/>
      <c r="BJ672" s="156"/>
      <c r="BK672" s="156"/>
      <c r="BL672" s="156"/>
      <c r="BM672" s="156"/>
      <c r="BN672" s="156"/>
      <c r="BO672" s="156"/>
      <c r="BP672" s="156"/>
      <c r="BQ672" s="156"/>
      <c r="BR672" s="156"/>
      <c r="BS672" s="156"/>
      <c r="BT672" s="156"/>
      <c r="BU672" s="156"/>
      <c r="BV672" s="156"/>
      <c r="BW672" s="156"/>
      <c r="BX672" s="156"/>
      <c r="BY672" s="156"/>
      <c r="BZ672" s="156"/>
      <c r="CA672" s="156"/>
      <c r="CB672" s="156"/>
      <c r="CC672" s="156"/>
      <c r="CD672" s="156"/>
      <c r="CE672" s="156"/>
      <c r="CF672" s="156"/>
      <c r="CG672" s="156"/>
      <c r="CH672" s="156"/>
      <c r="CI672" s="156"/>
      <c r="CJ672" s="156"/>
      <c r="CK672" s="156"/>
      <c r="CL672" s="156"/>
      <c r="CM672" s="156"/>
      <c r="CN672" s="156"/>
      <c r="CO672" s="156"/>
      <c r="CP672" s="156"/>
      <c r="CQ672" s="156"/>
      <c r="CR672" s="156"/>
      <c r="CS672" s="156"/>
      <c r="CT672" s="156"/>
      <c r="CU672" s="156"/>
      <c r="CV672" s="156"/>
      <c r="CW672" s="156"/>
      <c r="CX672" s="156"/>
      <c r="CY672" s="156"/>
      <c r="CZ672" s="156"/>
      <c r="DA672" s="156"/>
      <c r="DB672" s="156"/>
      <c r="DC672" s="156"/>
      <c r="DD672" s="156"/>
      <c r="DE672" s="156"/>
      <c r="DF672" s="156"/>
      <c r="DG672" s="156"/>
      <c r="DH672" s="156"/>
      <c r="DI672" s="156"/>
      <c r="DJ672" s="156"/>
      <c r="DK672" s="156"/>
      <c r="DL672" s="156"/>
      <c r="DM672" s="156"/>
      <c r="DN672" s="156"/>
      <c r="DO672" s="156"/>
      <c r="DP672" s="156"/>
      <c r="DQ672" s="156"/>
      <c r="DR672" s="156"/>
      <c r="DS672" s="156"/>
      <c r="DT672" s="156"/>
      <c r="DU672" s="156"/>
      <c r="DV672" s="156"/>
      <c r="DW672" s="156"/>
      <c r="DX672" s="156"/>
      <c r="DY672" s="156"/>
      <c r="DZ672" s="156"/>
      <c r="EA672" s="156"/>
      <c r="EB672" s="156"/>
      <c r="EC672" s="156"/>
      <c r="ED672" s="156"/>
      <c r="EE672" s="156"/>
      <c r="EF672" s="156"/>
      <c r="EG672" s="156"/>
      <c r="EH672" s="156"/>
      <c r="EI672" s="156"/>
      <c r="EJ672" s="156"/>
      <c r="EK672" s="156"/>
      <c r="EL672" s="156"/>
      <c r="EM672" s="156"/>
    </row>
    <row r="673" spans="20:143" ht="10.5" customHeight="1">
      <c r="T673" s="156"/>
      <c r="AZ673" s="156"/>
      <c r="BA673" s="156"/>
      <c r="BB673" s="156"/>
      <c r="BC673" s="156"/>
      <c r="BD673" s="156"/>
      <c r="BE673" s="156"/>
      <c r="BF673" s="156"/>
      <c r="BG673" s="156"/>
      <c r="BH673" s="156"/>
      <c r="BI673" s="156"/>
      <c r="BJ673" s="156"/>
      <c r="BK673" s="156"/>
      <c r="BL673" s="156"/>
      <c r="BM673" s="156"/>
      <c r="BN673" s="156"/>
      <c r="BO673" s="156"/>
      <c r="BP673" s="156"/>
      <c r="BQ673" s="156"/>
      <c r="BR673" s="156"/>
      <c r="BS673" s="156"/>
      <c r="BT673" s="156"/>
      <c r="BU673" s="156"/>
      <c r="BV673" s="156"/>
      <c r="BW673" s="156"/>
      <c r="BX673" s="156"/>
      <c r="BY673" s="156"/>
      <c r="BZ673" s="156"/>
      <c r="CA673" s="156"/>
      <c r="CB673" s="156"/>
      <c r="CC673" s="156"/>
      <c r="CD673" s="156"/>
      <c r="CE673" s="156"/>
      <c r="CF673" s="156"/>
      <c r="CG673" s="156"/>
      <c r="CH673" s="156"/>
      <c r="CI673" s="156"/>
      <c r="CJ673" s="156"/>
      <c r="CK673" s="156"/>
      <c r="CL673" s="156"/>
      <c r="CM673" s="156"/>
      <c r="CN673" s="156"/>
      <c r="CO673" s="156"/>
      <c r="CP673" s="156"/>
      <c r="CQ673" s="156"/>
      <c r="CR673" s="156"/>
      <c r="CS673" s="156"/>
      <c r="CT673" s="156"/>
      <c r="CU673" s="156"/>
      <c r="CV673" s="156"/>
      <c r="CW673" s="156"/>
      <c r="CX673" s="156"/>
      <c r="CY673" s="156"/>
      <c r="CZ673" s="156"/>
      <c r="DA673" s="156"/>
      <c r="DB673" s="156"/>
      <c r="DC673" s="156"/>
      <c r="DD673" s="156"/>
      <c r="DE673" s="156"/>
      <c r="DF673" s="156"/>
      <c r="DG673" s="156"/>
      <c r="DH673" s="156"/>
      <c r="DI673" s="156"/>
      <c r="DJ673" s="156"/>
      <c r="DK673" s="156"/>
      <c r="DL673" s="156"/>
      <c r="DM673" s="156"/>
      <c r="DN673" s="156"/>
      <c r="DO673" s="156"/>
      <c r="DP673" s="156"/>
      <c r="DQ673" s="156"/>
      <c r="DR673" s="156"/>
      <c r="DS673" s="156"/>
      <c r="DT673" s="156"/>
      <c r="DU673" s="156"/>
      <c r="DV673" s="156"/>
      <c r="DW673" s="156"/>
      <c r="DX673" s="156"/>
      <c r="DY673" s="156"/>
      <c r="DZ673" s="156"/>
      <c r="EA673" s="156"/>
      <c r="EB673" s="156"/>
      <c r="EC673" s="156"/>
      <c r="ED673" s="156"/>
      <c r="EE673" s="156"/>
      <c r="EF673" s="156"/>
      <c r="EG673" s="156"/>
      <c r="EH673" s="156"/>
      <c r="EI673" s="156"/>
      <c r="EJ673" s="156"/>
      <c r="EK673" s="156"/>
      <c r="EL673" s="156"/>
      <c r="EM673" s="156"/>
    </row>
    <row r="674" spans="20:143" ht="10.5" customHeight="1">
      <c r="T674" s="156"/>
      <c r="AZ674" s="156"/>
      <c r="BA674" s="156"/>
      <c r="BB674" s="156"/>
      <c r="BC674" s="156"/>
      <c r="BD674" s="156"/>
      <c r="BE674" s="156"/>
      <c r="BF674" s="156"/>
      <c r="BG674" s="156"/>
      <c r="BH674" s="156"/>
      <c r="BI674" s="156"/>
      <c r="BJ674" s="156"/>
      <c r="BK674" s="156"/>
      <c r="BL674" s="156"/>
      <c r="BM674" s="156"/>
      <c r="BN674" s="156"/>
      <c r="BO674" s="156"/>
      <c r="BP674" s="156"/>
      <c r="BQ674" s="156"/>
      <c r="BR674" s="156"/>
      <c r="BS674" s="156"/>
      <c r="BT674" s="156"/>
      <c r="BU674" s="156"/>
      <c r="BV674" s="156"/>
      <c r="BW674" s="156"/>
      <c r="BX674" s="156"/>
      <c r="BY674" s="156"/>
      <c r="BZ674" s="156"/>
      <c r="CA674" s="156"/>
      <c r="CB674" s="156"/>
      <c r="CC674" s="156"/>
      <c r="CD674" s="156"/>
      <c r="CE674" s="156"/>
      <c r="CF674" s="156"/>
      <c r="CG674" s="156"/>
      <c r="CH674" s="156"/>
      <c r="CI674" s="156"/>
      <c r="CJ674" s="156"/>
      <c r="CK674" s="156"/>
      <c r="CL674" s="156"/>
      <c r="CM674" s="156"/>
      <c r="CN674" s="156"/>
      <c r="CO674" s="156"/>
      <c r="CP674" s="156"/>
      <c r="CQ674" s="156"/>
      <c r="CR674" s="156"/>
      <c r="CS674" s="156"/>
      <c r="CT674" s="156"/>
      <c r="CU674" s="156"/>
      <c r="CV674" s="156"/>
      <c r="CW674" s="156"/>
      <c r="CX674" s="156"/>
      <c r="CY674" s="156"/>
      <c r="CZ674" s="156"/>
      <c r="DA674" s="156"/>
      <c r="DB674" s="156"/>
      <c r="DC674" s="156"/>
      <c r="DD674" s="156"/>
      <c r="DE674" s="156"/>
      <c r="DF674" s="156"/>
      <c r="DG674" s="156"/>
      <c r="DH674" s="156"/>
      <c r="DI674" s="156"/>
      <c r="DJ674" s="156"/>
      <c r="DK674" s="156"/>
      <c r="DL674" s="156"/>
      <c r="DM674" s="156"/>
      <c r="DN674" s="156"/>
      <c r="DO674" s="156"/>
      <c r="DP674" s="156"/>
      <c r="DQ674" s="156"/>
      <c r="DR674" s="156"/>
      <c r="DS674" s="156"/>
      <c r="DT674" s="156"/>
      <c r="DU674" s="156"/>
      <c r="DV674" s="156"/>
      <c r="DW674" s="156"/>
      <c r="DX674" s="156"/>
      <c r="DY674" s="156"/>
      <c r="DZ674" s="156"/>
      <c r="EA674" s="156"/>
      <c r="EB674" s="156"/>
      <c r="EC674" s="156"/>
      <c r="ED674" s="156"/>
      <c r="EE674" s="156"/>
      <c r="EF674" s="156"/>
      <c r="EG674" s="156"/>
      <c r="EH674" s="156"/>
      <c r="EI674" s="156"/>
      <c r="EJ674" s="156"/>
      <c r="EK674" s="156"/>
      <c r="EL674" s="156"/>
      <c r="EM674" s="156"/>
    </row>
    <row r="675" spans="20:143" ht="10.5" customHeight="1">
      <c r="T675" s="156"/>
      <c r="AZ675" s="156"/>
      <c r="BA675" s="156"/>
      <c r="BB675" s="156"/>
      <c r="BC675" s="156"/>
      <c r="BD675" s="156"/>
      <c r="BE675" s="156"/>
      <c r="BF675" s="156"/>
      <c r="BG675" s="156"/>
      <c r="BH675" s="156"/>
      <c r="BI675" s="156"/>
      <c r="BJ675" s="156"/>
      <c r="BK675" s="156"/>
      <c r="BL675" s="156"/>
      <c r="BM675" s="156"/>
      <c r="BN675" s="156"/>
      <c r="BO675" s="156"/>
      <c r="BP675" s="156"/>
      <c r="BQ675" s="156"/>
      <c r="BR675" s="156"/>
      <c r="BS675" s="156"/>
      <c r="BT675" s="156"/>
      <c r="BU675" s="156"/>
      <c r="BV675" s="156"/>
      <c r="BW675" s="156"/>
      <c r="BX675" s="156"/>
      <c r="BY675" s="156"/>
      <c r="BZ675" s="156"/>
      <c r="CA675" s="156"/>
      <c r="CB675" s="156"/>
      <c r="CC675" s="156"/>
      <c r="CD675" s="156"/>
      <c r="CE675" s="156"/>
      <c r="CF675" s="156"/>
      <c r="CG675" s="156"/>
      <c r="CH675" s="156"/>
      <c r="CI675" s="156"/>
      <c r="CJ675" s="156"/>
      <c r="CK675" s="156"/>
      <c r="CL675" s="156"/>
      <c r="CM675" s="156"/>
      <c r="CN675" s="156"/>
      <c r="CO675" s="156"/>
      <c r="CP675" s="156"/>
      <c r="CQ675" s="156"/>
      <c r="CR675" s="156"/>
      <c r="CS675" s="156"/>
      <c r="CT675" s="156"/>
      <c r="CU675" s="156"/>
      <c r="CV675" s="156"/>
      <c r="CW675" s="156"/>
      <c r="CX675" s="156"/>
      <c r="CY675" s="156"/>
      <c r="CZ675" s="156"/>
      <c r="DA675" s="156"/>
      <c r="DB675" s="156"/>
      <c r="DC675" s="156"/>
      <c r="DD675" s="156"/>
      <c r="DE675" s="156"/>
      <c r="DF675" s="156"/>
      <c r="DG675" s="156"/>
      <c r="DH675" s="156"/>
      <c r="DI675" s="156"/>
      <c r="DJ675" s="156"/>
      <c r="DK675" s="156"/>
      <c r="DL675" s="156"/>
      <c r="DM675" s="156"/>
      <c r="DN675" s="156"/>
      <c r="DO675" s="156"/>
      <c r="DP675" s="156"/>
      <c r="DQ675" s="156"/>
      <c r="DR675" s="156"/>
      <c r="DS675" s="156"/>
      <c r="DT675" s="156"/>
      <c r="DU675" s="156"/>
      <c r="DV675" s="156"/>
      <c r="DW675" s="156"/>
      <c r="DX675" s="156"/>
      <c r="DY675" s="156"/>
      <c r="DZ675" s="156"/>
      <c r="EA675" s="156"/>
      <c r="EB675" s="156"/>
      <c r="EC675" s="156"/>
      <c r="ED675" s="156"/>
      <c r="EE675" s="156"/>
      <c r="EF675" s="156"/>
      <c r="EG675" s="156"/>
      <c r="EH675" s="156"/>
      <c r="EI675" s="156"/>
      <c r="EJ675" s="156"/>
      <c r="EK675" s="156"/>
      <c r="EL675" s="156"/>
      <c r="EM675" s="156"/>
    </row>
    <row r="676" spans="20:143" ht="10.5" customHeight="1">
      <c r="T676" s="156"/>
      <c r="AZ676" s="156"/>
      <c r="BA676" s="156"/>
      <c r="BB676" s="156"/>
      <c r="BC676" s="156"/>
      <c r="BD676" s="156"/>
      <c r="BE676" s="156"/>
      <c r="BF676" s="156"/>
      <c r="BG676" s="156"/>
      <c r="BH676" s="156"/>
      <c r="BI676" s="156"/>
      <c r="BJ676" s="156"/>
      <c r="BK676" s="156"/>
      <c r="BL676" s="156"/>
      <c r="BM676" s="156"/>
      <c r="BN676" s="156"/>
      <c r="BO676" s="156"/>
      <c r="BP676" s="156"/>
      <c r="BQ676" s="156"/>
      <c r="BR676" s="156"/>
      <c r="BS676" s="156"/>
      <c r="BT676" s="156"/>
      <c r="BU676" s="156"/>
      <c r="BV676" s="156"/>
      <c r="BW676" s="156"/>
      <c r="BX676" s="156"/>
      <c r="BY676" s="156"/>
      <c r="BZ676" s="156"/>
      <c r="CA676" s="156"/>
      <c r="CB676" s="156"/>
      <c r="CC676" s="156"/>
      <c r="CD676" s="156"/>
      <c r="CE676" s="156"/>
      <c r="CF676" s="156"/>
      <c r="CG676" s="156"/>
      <c r="CH676" s="156"/>
      <c r="CI676" s="156"/>
      <c r="CJ676" s="156"/>
      <c r="CK676" s="156"/>
      <c r="CL676" s="156"/>
      <c r="CM676" s="156"/>
      <c r="CN676" s="156"/>
      <c r="CO676" s="156"/>
      <c r="CP676" s="156"/>
      <c r="CQ676" s="156"/>
      <c r="CR676" s="156"/>
      <c r="CS676" s="156"/>
      <c r="CT676" s="156"/>
      <c r="CU676" s="156"/>
      <c r="CV676" s="156"/>
      <c r="CW676" s="156"/>
      <c r="CX676" s="156"/>
      <c r="CY676" s="156"/>
      <c r="CZ676" s="156"/>
      <c r="DA676" s="156"/>
      <c r="DB676" s="156"/>
      <c r="DC676" s="156"/>
      <c r="DD676" s="156"/>
      <c r="DE676" s="156"/>
      <c r="DF676" s="156"/>
      <c r="DG676" s="156"/>
      <c r="DH676" s="156"/>
      <c r="DI676" s="156"/>
      <c r="DJ676" s="156"/>
      <c r="DK676" s="156"/>
      <c r="DL676" s="156"/>
      <c r="DM676" s="156"/>
      <c r="DN676" s="156"/>
      <c r="DO676" s="156"/>
      <c r="DP676" s="156"/>
      <c r="DQ676" s="156"/>
      <c r="DR676" s="156"/>
      <c r="DS676" s="156"/>
      <c r="DT676" s="156"/>
      <c r="DU676" s="156"/>
      <c r="DV676" s="156"/>
      <c r="DW676" s="156"/>
      <c r="DX676" s="156"/>
      <c r="DY676" s="156"/>
      <c r="DZ676" s="156"/>
      <c r="EA676" s="156"/>
      <c r="EB676" s="156"/>
      <c r="EC676" s="156"/>
      <c r="ED676" s="156"/>
      <c r="EE676" s="156"/>
      <c r="EF676" s="156"/>
      <c r="EG676" s="156"/>
      <c r="EH676" s="156"/>
      <c r="EI676" s="156"/>
      <c r="EJ676" s="156"/>
      <c r="EK676" s="156"/>
      <c r="EL676" s="156"/>
      <c r="EM676" s="156"/>
    </row>
    <row r="677" spans="20:143" ht="10.5" customHeight="1">
      <c r="T677" s="156"/>
      <c r="AZ677" s="156"/>
      <c r="BA677" s="156"/>
      <c r="BB677" s="156"/>
      <c r="BC677" s="156"/>
      <c r="BD677" s="156"/>
      <c r="BE677" s="156"/>
      <c r="BF677" s="156"/>
      <c r="BG677" s="156"/>
      <c r="BH677" s="156"/>
      <c r="BI677" s="156"/>
      <c r="BJ677" s="156"/>
      <c r="BK677" s="156"/>
      <c r="BL677" s="156"/>
      <c r="BM677" s="156"/>
      <c r="BN677" s="156"/>
      <c r="BO677" s="156"/>
      <c r="BP677" s="156"/>
      <c r="BQ677" s="156"/>
      <c r="BR677" s="156"/>
      <c r="BS677" s="156"/>
      <c r="BT677" s="156"/>
      <c r="BU677" s="156"/>
      <c r="BV677" s="156"/>
      <c r="BW677" s="156"/>
      <c r="BX677" s="156"/>
      <c r="BY677" s="156"/>
      <c r="BZ677" s="156"/>
      <c r="CA677" s="156"/>
      <c r="CB677" s="156"/>
      <c r="CC677" s="156"/>
      <c r="CD677" s="156"/>
      <c r="CE677" s="156"/>
      <c r="CF677" s="156"/>
      <c r="CG677" s="156"/>
      <c r="CH677" s="156"/>
      <c r="CI677" s="156"/>
      <c r="CJ677" s="156"/>
      <c r="CK677" s="156"/>
      <c r="CL677" s="156"/>
      <c r="CM677" s="156"/>
      <c r="CN677" s="156"/>
      <c r="CO677" s="156"/>
      <c r="CP677" s="156"/>
      <c r="CQ677" s="156"/>
      <c r="CR677" s="156"/>
      <c r="CS677" s="156"/>
      <c r="CT677" s="156"/>
      <c r="CU677" s="156"/>
      <c r="CV677" s="156"/>
      <c r="CW677" s="156"/>
      <c r="CX677" s="156"/>
      <c r="CY677" s="156"/>
      <c r="CZ677" s="156"/>
      <c r="DA677" s="156"/>
      <c r="DB677" s="156"/>
      <c r="DC677" s="156"/>
      <c r="DD677" s="156"/>
      <c r="DE677" s="156"/>
      <c r="DF677" s="156"/>
      <c r="DG677" s="156"/>
      <c r="DH677" s="156"/>
      <c r="DI677" s="156"/>
      <c r="DJ677" s="156"/>
      <c r="DK677" s="156"/>
      <c r="DL677" s="156"/>
      <c r="DM677" s="156"/>
      <c r="DN677" s="156"/>
      <c r="DO677" s="156"/>
      <c r="DP677" s="156"/>
      <c r="DQ677" s="156"/>
      <c r="DR677" s="156"/>
      <c r="DS677" s="156"/>
      <c r="DT677" s="156"/>
      <c r="DU677" s="156"/>
      <c r="DV677" s="156"/>
      <c r="DW677" s="156"/>
      <c r="DX677" s="156"/>
      <c r="DY677" s="156"/>
      <c r="DZ677" s="156"/>
      <c r="EA677" s="156"/>
      <c r="EB677" s="156"/>
      <c r="EC677" s="156"/>
      <c r="ED677" s="156"/>
      <c r="EE677" s="156"/>
      <c r="EF677" s="156"/>
      <c r="EG677" s="156"/>
      <c r="EH677" s="156"/>
      <c r="EI677" s="156"/>
      <c r="EJ677" s="156"/>
      <c r="EK677" s="156"/>
      <c r="EL677" s="156"/>
      <c r="EM677" s="156"/>
    </row>
    <row r="678" spans="20:143" ht="10.5" customHeight="1">
      <c r="T678" s="156"/>
      <c r="AZ678" s="156"/>
      <c r="BA678" s="156"/>
      <c r="BB678" s="156"/>
      <c r="BC678" s="156"/>
      <c r="BD678" s="156"/>
      <c r="BE678" s="156"/>
      <c r="BF678" s="156"/>
      <c r="BG678" s="156"/>
      <c r="BH678" s="156"/>
      <c r="BI678" s="156"/>
      <c r="BJ678" s="156"/>
      <c r="BK678" s="156"/>
      <c r="BL678" s="156"/>
      <c r="BM678" s="156"/>
      <c r="BN678" s="156"/>
      <c r="BO678" s="156"/>
      <c r="BP678" s="156"/>
      <c r="BQ678" s="156"/>
      <c r="BR678" s="156"/>
      <c r="BS678" s="156"/>
      <c r="BT678" s="156"/>
      <c r="BU678" s="156"/>
      <c r="BV678" s="156"/>
      <c r="BW678" s="156"/>
      <c r="BX678" s="156"/>
      <c r="BY678" s="156"/>
      <c r="BZ678" s="156"/>
      <c r="CA678" s="156"/>
      <c r="CB678" s="156"/>
      <c r="CC678" s="156"/>
      <c r="CD678" s="156"/>
      <c r="CE678" s="156"/>
      <c r="CF678" s="156"/>
      <c r="CG678" s="156"/>
      <c r="CH678" s="156"/>
      <c r="CI678" s="156"/>
      <c r="CJ678" s="156"/>
      <c r="CK678" s="156"/>
      <c r="CL678" s="156"/>
      <c r="CM678" s="156"/>
      <c r="CN678" s="156"/>
      <c r="CO678" s="156"/>
      <c r="CP678" s="156"/>
      <c r="CQ678" s="156"/>
      <c r="CR678" s="156"/>
      <c r="CS678" s="156"/>
      <c r="CT678" s="156"/>
      <c r="CU678" s="156"/>
      <c r="CV678" s="156"/>
      <c r="CW678" s="156"/>
      <c r="CX678" s="156"/>
      <c r="CY678" s="156"/>
      <c r="CZ678" s="156"/>
      <c r="DA678" s="156"/>
      <c r="DB678" s="156"/>
      <c r="DC678" s="156"/>
      <c r="DD678" s="156"/>
      <c r="DE678" s="156"/>
      <c r="DF678" s="156"/>
      <c r="DG678" s="156"/>
      <c r="DH678" s="156"/>
      <c r="DI678" s="156"/>
      <c r="DJ678" s="156"/>
      <c r="DK678" s="156"/>
      <c r="DL678" s="156"/>
      <c r="DM678" s="156"/>
      <c r="DN678" s="156"/>
      <c r="DO678" s="156"/>
      <c r="DP678" s="156"/>
      <c r="DQ678" s="156"/>
      <c r="DR678" s="156"/>
      <c r="DS678" s="156"/>
      <c r="DT678" s="156"/>
      <c r="DU678" s="156"/>
      <c r="DV678" s="156"/>
      <c r="DW678" s="156"/>
      <c r="DX678" s="156"/>
      <c r="DY678" s="156"/>
      <c r="DZ678" s="156"/>
      <c r="EA678" s="156"/>
      <c r="EB678" s="156"/>
      <c r="EC678" s="156"/>
      <c r="ED678" s="156"/>
      <c r="EE678" s="156"/>
      <c r="EF678" s="156"/>
      <c r="EG678" s="156"/>
      <c r="EH678" s="156"/>
      <c r="EI678" s="156"/>
      <c r="EJ678" s="156"/>
      <c r="EK678" s="156"/>
      <c r="EL678" s="156"/>
      <c r="EM678" s="156"/>
    </row>
    <row r="679" spans="20:143" ht="10.5" customHeight="1">
      <c r="T679" s="156"/>
      <c r="AZ679" s="156"/>
      <c r="BA679" s="156"/>
      <c r="BB679" s="156"/>
      <c r="BC679" s="156"/>
      <c r="BD679" s="156"/>
      <c r="BE679" s="156"/>
      <c r="BF679" s="156"/>
      <c r="BG679" s="156"/>
      <c r="BH679" s="156"/>
      <c r="BI679" s="156"/>
      <c r="BJ679" s="156"/>
      <c r="BK679" s="156"/>
      <c r="BL679" s="156"/>
      <c r="BM679" s="156"/>
      <c r="BN679" s="156"/>
      <c r="BO679" s="156"/>
      <c r="BP679" s="156"/>
      <c r="BQ679" s="156"/>
      <c r="BR679" s="156"/>
      <c r="BS679" s="156"/>
      <c r="BT679" s="156"/>
      <c r="BU679" s="156"/>
      <c r="BV679" s="156"/>
      <c r="BW679" s="156"/>
      <c r="BX679" s="156"/>
      <c r="BY679" s="156"/>
      <c r="BZ679" s="156"/>
      <c r="CA679" s="156"/>
      <c r="CB679" s="156"/>
      <c r="CC679" s="156"/>
      <c r="CD679" s="156"/>
      <c r="CE679" s="156"/>
      <c r="CF679" s="156"/>
      <c r="CG679" s="156"/>
      <c r="CH679" s="156"/>
      <c r="CI679" s="156"/>
      <c r="CJ679" s="156"/>
      <c r="CK679" s="156"/>
      <c r="CL679" s="156"/>
      <c r="CM679" s="156"/>
      <c r="CN679" s="156"/>
      <c r="CO679" s="156"/>
      <c r="CP679" s="156"/>
      <c r="CQ679" s="156"/>
      <c r="CR679" s="156"/>
      <c r="CS679" s="156"/>
      <c r="CT679" s="156"/>
      <c r="CU679" s="156"/>
      <c r="CV679" s="156"/>
      <c r="CW679" s="156"/>
      <c r="CX679" s="156"/>
      <c r="CY679" s="156"/>
      <c r="CZ679" s="156"/>
      <c r="DA679" s="156"/>
      <c r="DB679" s="156"/>
      <c r="DC679" s="156"/>
      <c r="DD679" s="156"/>
      <c r="DE679" s="156"/>
      <c r="DF679" s="156"/>
      <c r="DG679" s="156"/>
      <c r="DH679" s="156"/>
      <c r="DI679" s="156"/>
      <c r="DJ679" s="156"/>
      <c r="DK679" s="156"/>
      <c r="DL679" s="156"/>
      <c r="DM679" s="156"/>
      <c r="DN679" s="156"/>
      <c r="DO679" s="156"/>
      <c r="DP679" s="156"/>
      <c r="DQ679" s="156"/>
      <c r="DR679" s="156"/>
      <c r="DS679" s="156"/>
      <c r="DT679" s="156"/>
      <c r="DU679" s="156"/>
      <c r="DV679" s="156"/>
      <c r="DW679" s="156"/>
      <c r="DX679" s="156"/>
      <c r="DY679" s="156"/>
      <c r="DZ679" s="156"/>
      <c r="EA679" s="156"/>
      <c r="EB679" s="156"/>
      <c r="EC679" s="156"/>
      <c r="ED679" s="156"/>
      <c r="EE679" s="156"/>
      <c r="EF679" s="156"/>
      <c r="EG679" s="156"/>
      <c r="EH679" s="156"/>
      <c r="EI679" s="156"/>
      <c r="EJ679" s="156"/>
      <c r="EK679" s="156"/>
      <c r="EL679" s="156"/>
      <c r="EM679" s="156"/>
    </row>
    <row r="680" spans="20:143" ht="10.5" customHeight="1">
      <c r="T680" s="156"/>
      <c r="AZ680" s="156"/>
      <c r="BA680" s="156"/>
      <c r="BB680" s="156"/>
      <c r="BC680" s="156"/>
      <c r="BD680" s="156"/>
      <c r="BE680" s="156"/>
      <c r="BF680" s="156"/>
      <c r="BG680" s="156"/>
      <c r="BH680" s="156"/>
      <c r="BI680" s="156"/>
      <c r="BJ680" s="156"/>
      <c r="BK680" s="156"/>
      <c r="BL680" s="156"/>
      <c r="BM680" s="156"/>
      <c r="BN680" s="156"/>
      <c r="BO680" s="156"/>
      <c r="BP680" s="156"/>
      <c r="BQ680" s="156"/>
      <c r="BR680" s="156"/>
      <c r="BS680" s="156"/>
      <c r="BT680" s="156"/>
      <c r="BU680" s="156"/>
      <c r="BV680" s="156"/>
      <c r="BW680" s="156"/>
      <c r="BX680" s="156"/>
      <c r="BY680" s="156"/>
      <c r="BZ680" s="156"/>
      <c r="CA680" s="156"/>
      <c r="CB680" s="156"/>
      <c r="CC680" s="156"/>
      <c r="CD680" s="156"/>
      <c r="CE680" s="156"/>
      <c r="CF680" s="156"/>
      <c r="CG680" s="156"/>
      <c r="CH680" s="156"/>
      <c r="CI680" s="156"/>
      <c r="CJ680" s="156"/>
      <c r="CK680" s="156"/>
      <c r="CL680" s="156"/>
      <c r="CM680" s="156"/>
      <c r="CN680" s="156"/>
      <c r="CO680" s="156"/>
      <c r="CP680" s="156"/>
      <c r="CQ680" s="156"/>
      <c r="CR680" s="156"/>
      <c r="CS680" s="156"/>
      <c r="CT680" s="156"/>
      <c r="CU680" s="156"/>
      <c r="CV680" s="156"/>
      <c r="CW680" s="156"/>
      <c r="CX680" s="156"/>
      <c r="CY680" s="156"/>
      <c r="CZ680" s="156"/>
      <c r="DA680" s="156"/>
      <c r="DB680" s="156"/>
      <c r="DC680" s="156"/>
      <c r="DD680" s="156"/>
      <c r="DE680" s="156"/>
      <c r="DF680" s="156"/>
      <c r="DG680" s="156"/>
      <c r="DH680" s="156"/>
      <c r="DI680" s="156"/>
      <c r="DJ680" s="156"/>
      <c r="DK680" s="156"/>
      <c r="DL680" s="156"/>
      <c r="DM680" s="156"/>
      <c r="DN680" s="156"/>
      <c r="DO680" s="156"/>
      <c r="DP680" s="156"/>
      <c r="DQ680" s="156"/>
      <c r="DR680" s="156"/>
      <c r="DS680" s="156"/>
      <c r="DT680" s="156"/>
      <c r="DU680" s="156"/>
      <c r="DV680" s="156"/>
      <c r="DW680" s="156"/>
      <c r="DX680" s="156"/>
      <c r="DY680" s="156"/>
      <c r="DZ680" s="156"/>
      <c r="EA680" s="156"/>
      <c r="EB680" s="156"/>
      <c r="EC680" s="156"/>
      <c r="ED680" s="156"/>
      <c r="EE680" s="156"/>
      <c r="EF680" s="156"/>
      <c r="EG680" s="156"/>
      <c r="EH680" s="156"/>
      <c r="EI680" s="156"/>
      <c r="EJ680" s="156"/>
      <c r="EK680" s="156"/>
      <c r="EL680" s="156"/>
      <c r="EM680" s="156"/>
    </row>
    <row r="681" spans="20:143" ht="10.5" customHeight="1">
      <c r="T681" s="156"/>
      <c r="AZ681" s="156"/>
      <c r="BA681" s="156"/>
      <c r="BB681" s="156"/>
      <c r="BC681" s="156"/>
      <c r="BD681" s="156"/>
      <c r="BE681" s="156"/>
      <c r="BF681" s="156"/>
      <c r="BG681" s="156"/>
      <c r="BH681" s="156"/>
      <c r="BI681" s="156"/>
      <c r="BJ681" s="156"/>
      <c r="BK681" s="156"/>
      <c r="BL681" s="156"/>
      <c r="BM681" s="156"/>
      <c r="BN681" s="156"/>
      <c r="BO681" s="156"/>
      <c r="BP681" s="156"/>
      <c r="BQ681" s="156"/>
      <c r="BR681" s="156"/>
      <c r="BS681" s="156"/>
      <c r="BT681" s="156"/>
      <c r="BU681" s="156"/>
      <c r="BV681" s="156"/>
      <c r="BW681" s="156"/>
      <c r="BX681" s="156"/>
      <c r="BY681" s="156"/>
      <c r="BZ681" s="156"/>
      <c r="CA681" s="156"/>
      <c r="CB681" s="156"/>
      <c r="CC681" s="156"/>
      <c r="CD681" s="156"/>
      <c r="CE681" s="156"/>
      <c r="CF681" s="156"/>
      <c r="CG681" s="156"/>
      <c r="CH681" s="156"/>
      <c r="CI681" s="156"/>
      <c r="CJ681" s="156"/>
      <c r="CK681" s="156"/>
      <c r="CL681" s="156"/>
      <c r="CM681" s="156"/>
      <c r="CN681" s="156"/>
      <c r="CO681" s="156"/>
      <c r="CP681" s="156"/>
      <c r="CQ681" s="156"/>
      <c r="CR681" s="156"/>
      <c r="CS681" s="156"/>
      <c r="CT681" s="156"/>
      <c r="CU681" s="156"/>
      <c r="CV681" s="156"/>
      <c r="CW681" s="156"/>
      <c r="CX681" s="156"/>
      <c r="CY681" s="156"/>
      <c r="CZ681" s="156"/>
      <c r="DA681" s="156"/>
      <c r="DB681" s="156"/>
      <c r="DC681" s="156"/>
      <c r="DD681" s="156"/>
      <c r="DE681" s="156"/>
      <c r="DF681" s="156"/>
      <c r="DG681" s="156"/>
      <c r="DH681" s="156"/>
      <c r="DI681" s="156"/>
      <c r="DJ681" s="156"/>
      <c r="DK681" s="156"/>
      <c r="DL681" s="156"/>
      <c r="DM681" s="156"/>
      <c r="DN681" s="156"/>
      <c r="DO681" s="156"/>
      <c r="DP681" s="156"/>
      <c r="DQ681" s="156"/>
      <c r="DR681" s="156"/>
      <c r="DS681" s="156"/>
      <c r="DT681" s="156"/>
      <c r="DU681" s="156"/>
      <c r="DV681" s="156"/>
      <c r="DW681" s="156"/>
      <c r="DX681" s="156"/>
      <c r="DY681" s="156"/>
      <c r="DZ681" s="156"/>
      <c r="EA681" s="156"/>
      <c r="EB681" s="156"/>
      <c r="EC681" s="156"/>
      <c r="ED681" s="156"/>
      <c r="EE681" s="156"/>
      <c r="EF681" s="156"/>
      <c r="EG681" s="156"/>
      <c r="EH681" s="156"/>
      <c r="EI681" s="156"/>
      <c r="EJ681" s="156"/>
      <c r="EK681" s="156"/>
      <c r="EL681" s="156"/>
      <c r="EM681" s="156"/>
    </row>
    <row r="682" spans="20:143" ht="10.5" customHeight="1">
      <c r="T682" s="156"/>
      <c r="AZ682" s="156"/>
      <c r="BA682" s="156"/>
      <c r="BB682" s="156"/>
      <c r="BC682" s="156"/>
      <c r="BD682" s="156"/>
      <c r="BE682" s="156"/>
      <c r="BF682" s="156"/>
      <c r="BG682" s="156"/>
      <c r="BH682" s="156"/>
      <c r="BI682" s="156"/>
      <c r="BJ682" s="156"/>
      <c r="BK682" s="156"/>
      <c r="BL682" s="156"/>
      <c r="BM682" s="156"/>
      <c r="BN682" s="156"/>
      <c r="BO682" s="156"/>
      <c r="BP682" s="156"/>
      <c r="BQ682" s="156"/>
      <c r="BR682" s="156"/>
      <c r="BS682" s="156"/>
      <c r="BT682" s="156"/>
      <c r="BU682" s="156"/>
      <c r="BV682" s="156"/>
      <c r="BW682" s="156"/>
      <c r="BX682" s="156"/>
      <c r="BY682" s="156"/>
      <c r="BZ682" s="156"/>
      <c r="CA682" s="156"/>
      <c r="CB682" s="156"/>
      <c r="CC682" s="156"/>
      <c r="CD682" s="156"/>
      <c r="CE682" s="156"/>
      <c r="CF682" s="156"/>
      <c r="CG682" s="156"/>
      <c r="CH682" s="156"/>
      <c r="CI682" s="156"/>
      <c r="CJ682" s="156"/>
      <c r="CK682" s="156"/>
      <c r="CL682" s="156"/>
      <c r="CM682" s="156"/>
      <c r="CN682" s="156"/>
      <c r="CO682" s="156"/>
      <c r="CP682" s="156"/>
      <c r="CQ682" s="156"/>
      <c r="CR682" s="156"/>
      <c r="CS682" s="156"/>
      <c r="CT682" s="156"/>
      <c r="CU682" s="156"/>
      <c r="CV682" s="156"/>
      <c r="CW682" s="156"/>
      <c r="CX682" s="156"/>
      <c r="CY682" s="156"/>
      <c r="CZ682" s="156"/>
      <c r="DA682" s="156"/>
      <c r="DB682" s="156"/>
      <c r="DC682" s="156"/>
      <c r="DD682" s="156"/>
      <c r="DE682" s="156"/>
      <c r="DF682" s="156"/>
      <c r="DG682" s="156"/>
      <c r="DH682" s="156"/>
      <c r="DI682" s="156"/>
      <c r="DJ682" s="156"/>
      <c r="DK682" s="156"/>
      <c r="DL682" s="156"/>
      <c r="DM682" s="156"/>
      <c r="DN682" s="156"/>
      <c r="DO682" s="156"/>
      <c r="DP682" s="156"/>
      <c r="DQ682" s="156"/>
      <c r="DR682" s="156"/>
      <c r="DS682" s="156"/>
      <c r="DT682" s="156"/>
      <c r="DU682" s="156"/>
      <c r="DV682" s="156"/>
      <c r="DW682" s="156"/>
      <c r="DX682" s="156"/>
      <c r="DY682" s="156"/>
      <c r="DZ682" s="156"/>
      <c r="EA682" s="156"/>
      <c r="EB682" s="156"/>
      <c r="EC682" s="156"/>
      <c r="ED682" s="156"/>
      <c r="EE682" s="156"/>
      <c r="EF682" s="156"/>
      <c r="EG682" s="156"/>
      <c r="EH682" s="156"/>
      <c r="EI682" s="156"/>
      <c r="EJ682" s="156"/>
      <c r="EK682" s="156"/>
      <c r="EL682" s="156"/>
      <c r="EM682" s="156"/>
    </row>
    <row r="683" spans="20:143" ht="10.5" customHeight="1">
      <c r="T683" s="156"/>
      <c r="AZ683" s="156"/>
      <c r="BA683" s="156"/>
      <c r="BB683" s="156"/>
      <c r="BC683" s="156"/>
      <c r="BD683" s="156"/>
      <c r="BE683" s="156"/>
      <c r="BF683" s="156"/>
      <c r="BG683" s="156"/>
      <c r="BH683" s="156"/>
      <c r="BI683" s="156"/>
      <c r="BJ683" s="156"/>
      <c r="BK683" s="156"/>
      <c r="BL683" s="156"/>
      <c r="BM683" s="156"/>
      <c r="BN683" s="156"/>
      <c r="BO683" s="156"/>
      <c r="BP683" s="156"/>
      <c r="BQ683" s="156"/>
      <c r="BR683" s="156"/>
      <c r="BS683" s="156"/>
      <c r="BT683" s="156"/>
      <c r="BU683" s="156"/>
      <c r="BV683" s="156"/>
      <c r="BW683" s="156"/>
      <c r="BX683" s="156"/>
      <c r="BY683" s="156"/>
      <c r="BZ683" s="156"/>
      <c r="CA683" s="156"/>
      <c r="CB683" s="156"/>
      <c r="CC683" s="156"/>
      <c r="CD683" s="156"/>
      <c r="CE683" s="156"/>
      <c r="CF683" s="156"/>
      <c r="CG683" s="156"/>
      <c r="CH683" s="156"/>
      <c r="CI683" s="156"/>
      <c r="CJ683" s="156"/>
      <c r="CK683" s="156"/>
      <c r="CL683" s="156"/>
      <c r="CM683" s="156"/>
      <c r="CN683" s="156"/>
      <c r="CO683" s="156"/>
      <c r="CP683" s="156"/>
      <c r="CQ683" s="156"/>
      <c r="CR683" s="156"/>
      <c r="CS683" s="156"/>
      <c r="CT683" s="156"/>
      <c r="CU683" s="156"/>
      <c r="CV683" s="156"/>
      <c r="CW683" s="156"/>
      <c r="CX683" s="156"/>
      <c r="CY683" s="156"/>
      <c r="CZ683" s="156"/>
      <c r="DA683" s="156"/>
      <c r="DB683" s="156"/>
      <c r="DC683" s="156"/>
      <c r="DD683" s="156"/>
      <c r="DE683" s="156"/>
      <c r="DF683" s="156"/>
      <c r="DG683" s="156"/>
      <c r="DH683" s="156"/>
      <c r="DI683" s="156"/>
      <c r="DJ683" s="156"/>
      <c r="DK683" s="156"/>
      <c r="DL683" s="156"/>
      <c r="DM683" s="156"/>
      <c r="DN683" s="156"/>
      <c r="DO683" s="156"/>
      <c r="DP683" s="156"/>
      <c r="DQ683" s="156"/>
      <c r="DR683" s="156"/>
      <c r="DS683" s="156"/>
      <c r="DT683" s="156"/>
      <c r="DU683" s="156"/>
      <c r="DV683" s="156"/>
      <c r="DW683" s="156"/>
      <c r="DX683" s="156"/>
      <c r="DY683" s="156"/>
      <c r="DZ683" s="156"/>
      <c r="EA683" s="156"/>
      <c r="EB683" s="156"/>
      <c r="EC683" s="156"/>
      <c r="ED683" s="156"/>
      <c r="EE683" s="156"/>
      <c r="EF683" s="156"/>
      <c r="EG683" s="156"/>
      <c r="EH683" s="156"/>
      <c r="EI683" s="156"/>
      <c r="EJ683" s="156"/>
      <c r="EK683" s="156"/>
      <c r="EL683" s="156"/>
      <c r="EM683" s="156"/>
    </row>
    <row r="684" spans="20:143" ht="10.5" customHeight="1">
      <c r="T684" s="156"/>
      <c r="AZ684" s="156"/>
      <c r="BA684" s="156"/>
      <c r="BB684" s="156"/>
      <c r="BC684" s="156"/>
      <c r="BD684" s="156"/>
      <c r="BE684" s="156"/>
      <c r="BF684" s="156"/>
      <c r="BG684" s="156"/>
      <c r="BH684" s="156"/>
      <c r="BI684" s="156"/>
      <c r="BJ684" s="156"/>
      <c r="BK684" s="156"/>
      <c r="BL684" s="156"/>
      <c r="BM684" s="156"/>
      <c r="BN684" s="156"/>
      <c r="BO684" s="156"/>
      <c r="BP684" s="156"/>
      <c r="BQ684" s="156"/>
      <c r="BR684" s="156"/>
      <c r="BS684" s="156"/>
      <c r="BT684" s="156"/>
      <c r="BU684" s="156"/>
      <c r="BV684" s="156"/>
      <c r="BW684" s="156"/>
      <c r="BX684" s="156"/>
      <c r="BY684" s="156"/>
      <c r="BZ684" s="156"/>
      <c r="CA684" s="156"/>
      <c r="CB684" s="156"/>
      <c r="CC684" s="156"/>
      <c r="CD684" s="156"/>
      <c r="CE684" s="156"/>
      <c r="CF684" s="156"/>
      <c r="CG684" s="156"/>
      <c r="CH684" s="156"/>
      <c r="CI684" s="156"/>
      <c r="CJ684" s="156"/>
      <c r="CK684" s="156"/>
      <c r="CL684" s="156"/>
      <c r="CM684" s="156"/>
      <c r="CN684" s="156"/>
      <c r="CO684" s="156"/>
      <c r="CP684" s="156"/>
      <c r="CQ684" s="156"/>
      <c r="CR684" s="156"/>
      <c r="CS684" s="156"/>
      <c r="CT684" s="156"/>
      <c r="CU684" s="156"/>
      <c r="CV684" s="156"/>
      <c r="CW684" s="156"/>
      <c r="CX684" s="156"/>
      <c r="CY684" s="156"/>
      <c r="CZ684" s="156"/>
      <c r="DA684" s="156"/>
      <c r="DB684" s="156"/>
      <c r="DC684" s="156"/>
      <c r="DD684" s="156"/>
      <c r="DE684" s="156"/>
      <c r="DF684" s="156"/>
      <c r="DG684" s="156"/>
      <c r="DH684" s="156"/>
      <c r="DI684" s="156"/>
      <c r="DJ684" s="156"/>
      <c r="DK684" s="156"/>
      <c r="DL684" s="156"/>
      <c r="DM684" s="156"/>
      <c r="DN684" s="156"/>
      <c r="DO684" s="156"/>
      <c r="DP684" s="156"/>
      <c r="DQ684" s="156"/>
      <c r="DR684" s="156"/>
      <c r="DS684" s="156"/>
      <c r="DT684" s="156"/>
      <c r="DU684" s="156"/>
      <c r="DV684" s="156"/>
      <c r="DW684" s="156"/>
      <c r="DX684" s="156"/>
      <c r="DY684" s="156"/>
      <c r="DZ684" s="156"/>
      <c r="EA684" s="156"/>
      <c r="EB684" s="156"/>
      <c r="EC684" s="156"/>
      <c r="ED684" s="156"/>
      <c r="EE684" s="156"/>
      <c r="EF684" s="156"/>
      <c r="EG684" s="156"/>
      <c r="EH684" s="156"/>
      <c r="EI684" s="156"/>
      <c r="EJ684" s="156"/>
      <c r="EK684" s="156"/>
      <c r="EL684" s="156"/>
      <c r="EM684" s="156"/>
    </row>
    <row r="685" spans="20:143" ht="10.5" customHeight="1">
      <c r="T685" s="156"/>
      <c r="AZ685" s="156"/>
      <c r="BA685" s="156"/>
      <c r="BB685" s="156"/>
      <c r="BC685" s="156"/>
      <c r="BD685" s="156"/>
      <c r="BE685" s="156"/>
      <c r="BF685" s="156"/>
      <c r="BG685" s="156"/>
      <c r="BH685" s="156"/>
      <c r="BI685" s="156"/>
      <c r="BJ685" s="156"/>
      <c r="BK685" s="156"/>
      <c r="BL685" s="156"/>
      <c r="BM685" s="156"/>
      <c r="BN685" s="156"/>
      <c r="BO685" s="156"/>
      <c r="BP685" s="156"/>
      <c r="BQ685" s="156"/>
      <c r="BR685" s="156"/>
      <c r="BS685" s="156"/>
      <c r="BT685" s="156"/>
      <c r="BU685" s="156"/>
      <c r="BV685" s="156"/>
      <c r="BW685" s="156"/>
      <c r="BX685" s="156"/>
      <c r="BY685" s="156"/>
      <c r="BZ685" s="156"/>
      <c r="CA685" s="156"/>
      <c r="CB685" s="156"/>
      <c r="CC685" s="156"/>
      <c r="CD685" s="156"/>
      <c r="CE685" s="156"/>
      <c r="CF685" s="156"/>
      <c r="CG685" s="156"/>
      <c r="CH685" s="156"/>
      <c r="CI685" s="156"/>
      <c r="CJ685" s="156"/>
      <c r="CK685" s="156"/>
      <c r="CL685" s="156"/>
      <c r="CM685" s="156"/>
      <c r="CN685" s="156"/>
      <c r="CO685" s="156"/>
      <c r="CP685" s="156"/>
      <c r="CQ685" s="156"/>
      <c r="CR685" s="156"/>
      <c r="CS685" s="156"/>
      <c r="CT685" s="156"/>
      <c r="CU685" s="156"/>
      <c r="CV685" s="156"/>
      <c r="CW685" s="156"/>
      <c r="CX685" s="156"/>
      <c r="CY685" s="156"/>
      <c r="CZ685" s="156"/>
      <c r="DA685" s="156"/>
      <c r="DB685" s="156"/>
      <c r="DC685" s="156"/>
      <c r="DD685" s="156"/>
      <c r="DE685" s="156"/>
      <c r="DF685" s="156"/>
      <c r="DG685" s="156"/>
      <c r="DH685" s="156"/>
      <c r="DI685" s="156"/>
      <c r="DJ685" s="156"/>
      <c r="DK685" s="156"/>
      <c r="DL685" s="156"/>
      <c r="DM685" s="156"/>
      <c r="DN685" s="156"/>
      <c r="DO685" s="156"/>
      <c r="DP685" s="156"/>
      <c r="DQ685" s="156"/>
      <c r="DR685" s="156"/>
      <c r="DS685" s="156"/>
      <c r="DT685" s="156"/>
      <c r="DU685" s="156"/>
      <c r="DV685" s="156"/>
      <c r="DW685" s="156"/>
      <c r="DX685" s="156"/>
      <c r="DY685" s="156"/>
      <c r="DZ685" s="156"/>
      <c r="EA685" s="156"/>
      <c r="EB685" s="156"/>
      <c r="EC685" s="156"/>
      <c r="ED685" s="156"/>
      <c r="EE685" s="156"/>
      <c r="EF685" s="156"/>
      <c r="EG685" s="156"/>
      <c r="EH685" s="156"/>
      <c r="EI685" s="156"/>
      <c r="EJ685" s="156"/>
      <c r="EK685" s="156"/>
      <c r="EL685" s="156"/>
      <c r="EM685" s="156"/>
    </row>
    <row r="686" spans="20:143" ht="10.5" customHeight="1">
      <c r="T686" s="156"/>
      <c r="AZ686" s="156"/>
      <c r="BA686" s="156"/>
      <c r="BB686" s="156"/>
      <c r="BC686" s="156"/>
      <c r="BD686" s="156"/>
      <c r="BE686" s="156"/>
      <c r="BF686" s="156"/>
      <c r="BG686" s="156"/>
      <c r="BH686" s="156"/>
      <c r="BI686" s="156"/>
      <c r="BJ686" s="156"/>
      <c r="BK686" s="156"/>
      <c r="BL686" s="156"/>
      <c r="BM686" s="156"/>
      <c r="BN686" s="156"/>
      <c r="BO686" s="156"/>
      <c r="BP686" s="156"/>
      <c r="BQ686" s="156"/>
      <c r="BR686" s="156"/>
      <c r="BS686" s="156"/>
      <c r="BT686" s="156"/>
      <c r="BU686" s="156"/>
      <c r="BV686" s="156"/>
      <c r="BW686" s="156"/>
      <c r="BX686" s="156"/>
      <c r="BY686" s="156"/>
      <c r="BZ686" s="156"/>
      <c r="CA686" s="156"/>
      <c r="CB686" s="156"/>
      <c r="CC686" s="156"/>
      <c r="CD686" s="156"/>
      <c r="CE686" s="156"/>
      <c r="CF686" s="156"/>
      <c r="CG686" s="156"/>
      <c r="CH686" s="156"/>
      <c r="CI686" s="156"/>
      <c r="CJ686" s="156"/>
      <c r="CK686" s="156"/>
      <c r="CL686" s="156"/>
      <c r="CM686" s="156"/>
      <c r="CN686" s="156"/>
      <c r="CO686" s="156"/>
      <c r="CP686" s="156"/>
      <c r="CQ686" s="156"/>
      <c r="CR686" s="156"/>
      <c r="CS686" s="156"/>
      <c r="CT686" s="156"/>
      <c r="CU686" s="156"/>
      <c r="CV686" s="156"/>
      <c r="CW686" s="156"/>
      <c r="CX686" s="156"/>
      <c r="CY686" s="156"/>
      <c r="CZ686" s="156"/>
      <c r="DA686" s="156"/>
      <c r="DB686" s="156"/>
      <c r="DC686" s="156"/>
      <c r="DD686" s="156"/>
      <c r="DE686" s="156"/>
      <c r="DF686" s="156"/>
      <c r="DG686" s="156"/>
      <c r="DH686" s="156"/>
      <c r="DI686" s="156"/>
      <c r="DJ686" s="156"/>
      <c r="DK686" s="156"/>
      <c r="DL686" s="156"/>
      <c r="DM686" s="156"/>
      <c r="DN686" s="156"/>
      <c r="DO686" s="156"/>
      <c r="DP686" s="156"/>
      <c r="DQ686" s="156"/>
      <c r="DR686" s="156"/>
      <c r="DS686" s="156"/>
      <c r="DT686" s="156"/>
      <c r="DU686" s="156"/>
      <c r="DV686" s="156"/>
      <c r="DW686" s="156"/>
      <c r="DX686" s="156"/>
      <c r="DY686" s="156"/>
      <c r="DZ686" s="156"/>
      <c r="EA686" s="156"/>
      <c r="EB686" s="156"/>
      <c r="EC686" s="156"/>
      <c r="ED686" s="156"/>
      <c r="EE686" s="156"/>
      <c r="EF686" s="156"/>
      <c r="EG686" s="156"/>
      <c r="EH686" s="156"/>
      <c r="EI686" s="156"/>
      <c r="EJ686" s="156"/>
      <c r="EK686" s="156"/>
      <c r="EL686" s="156"/>
      <c r="EM686" s="156"/>
    </row>
    <row r="687" spans="20:143" ht="10.5" customHeight="1">
      <c r="T687" s="156"/>
      <c r="AZ687" s="156"/>
      <c r="BA687" s="156"/>
      <c r="BB687" s="156"/>
      <c r="BC687" s="156"/>
      <c r="BD687" s="156"/>
      <c r="BE687" s="156"/>
      <c r="BF687" s="156"/>
      <c r="BG687" s="156"/>
      <c r="BH687" s="156"/>
      <c r="BI687" s="156"/>
      <c r="BJ687" s="156"/>
      <c r="BK687" s="156"/>
      <c r="BL687" s="156"/>
      <c r="BM687" s="156"/>
      <c r="BN687" s="156"/>
      <c r="BO687" s="156"/>
      <c r="BP687" s="156"/>
      <c r="BQ687" s="156"/>
      <c r="BR687" s="156"/>
      <c r="BS687" s="156"/>
      <c r="BT687" s="156"/>
      <c r="BU687" s="156"/>
      <c r="BV687" s="156"/>
      <c r="BW687" s="156"/>
      <c r="BX687" s="156"/>
      <c r="BY687" s="156"/>
      <c r="BZ687" s="156"/>
      <c r="CA687" s="156"/>
      <c r="CB687" s="156"/>
      <c r="CC687" s="156"/>
      <c r="CD687" s="156"/>
      <c r="CE687" s="156"/>
      <c r="CF687" s="156"/>
      <c r="CG687" s="156"/>
      <c r="CH687" s="156"/>
      <c r="CI687" s="156"/>
      <c r="CJ687" s="156"/>
      <c r="CK687" s="156"/>
      <c r="CL687" s="156"/>
      <c r="CM687" s="156"/>
      <c r="CN687" s="156"/>
      <c r="CO687" s="156"/>
      <c r="CP687" s="156"/>
      <c r="CQ687" s="156"/>
      <c r="CR687" s="156"/>
      <c r="CS687" s="156"/>
      <c r="CT687" s="156"/>
      <c r="CU687" s="156"/>
      <c r="CV687" s="156"/>
      <c r="CW687" s="156"/>
      <c r="CX687" s="156"/>
      <c r="CY687" s="156"/>
      <c r="CZ687" s="156"/>
      <c r="DA687" s="156"/>
      <c r="DB687" s="156"/>
      <c r="DC687" s="156"/>
      <c r="DD687" s="156"/>
      <c r="DE687" s="156"/>
      <c r="DF687" s="156"/>
      <c r="DG687" s="156"/>
      <c r="DH687" s="156"/>
      <c r="DI687" s="156"/>
      <c r="DJ687" s="156"/>
      <c r="DK687" s="156"/>
      <c r="DL687" s="156"/>
      <c r="DM687" s="156"/>
      <c r="DN687" s="156"/>
      <c r="DO687" s="156"/>
      <c r="DP687" s="156"/>
      <c r="DQ687" s="156"/>
      <c r="DR687" s="156"/>
      <c r="DS687" s="156"/>
      <c r="DT687" s="156"/>
      <c r="DU687" s="156"/>
      <c r="DV687" s="156"/>
      <c r="DW687" s="156"/>
      <c r="DX687" s="156"/>
      <c r="DY687" s="156"/>
      <c r="DZ687" s="156"/>
      <c r="EA687" s="156"/>
      <c r="EB687" s="156"/>
      <c r="EC687" s="156"/>
      <c r="ED687" s="156"/>
      <c r="EE687" s="156"/>
      <c r="EF687" s="156"/>
      <c r="EG687" s="156"/>
      <c r="EH687" s="156"/>
      <c r="EI687" s="156"/>
      <c r="EJ687" s="156"/>
      <c r="EK687" s="156"/>
      <c r="EL687" s="156"/>
      <c r="EM687" s="156"/>
    </row>
    <row r="688" spans="20:143" ht="10.5" customHeight="1">
      <c r="T688" s="156"/>
      <c r="AZ688" s="156"/>
      <c r="BA688" s="156"/>
      <c r="BB688" s="156"/>
      <c r="BC688" s="156"/>
      <c r="BD688" s="156"/>
      <c r="BE688" s="156"/>
      <c r="BF688" s="156"/>
      <c r="BG688" s="156"/>
      <c r="BH688" s="156"/>
      <c r="BI688" s="156"/>
      <c r="BJ688" s="156"/>
      <c r="BK688" s="156"/>
      <c r="BL688" s="156"/>
      <c r="BM688" s="156"/>
      <c r="BN688" s="156"/>
      <c r="BO688" s="156"/>
      <c r="BP688" s="156"/>
      <c r="BQ688" s="156"/>
      <c r="BR688" s="156"/>
      <c r="BS688" s="156"/>
      <c r="BT688" s="156"/>
      <c r="BU688" s="156"/>
      <c r="BV688" s="156"/>
      <c r="BW688" s="156"/>
      <c r="BX688" s="156"/>
      <c r="BY688" s="156"/>
      <c r="BZ688" s="156"/>
      <c r="CA688" s="156"/>
      <c r="CB688" s="156"/>
      <c r="CC688" s="156"/>
      <c r="CD688" s="156"/>
      <c r="CE688" s="156"/>
      <c r="CF688" s="156"/>
      <c r="CG688" s="156"/>
      <c r="CH688" s="156"/>
      <c r="CI688" s="156"/>
      <c r="CJ688" s="156"/>
      <c r="CK688" s="156"/>
      <c r="CL688" s="156"/>
      <c r="CM688" s="156"/>
      <c r="CN688" s="156"/>
      <c r="CO688" s="156"/>
      <c r="CP688" s="156"/>
      <c r="CQ688" s="156"/>
      <c r="CR688" s="156"/>
      <c r="CS688" s="156"/>
      <c r="CT688" s="156"/>
      <c r="CU688" s="156"/>
      <c r="CV688" s="156"/>
      <c r="CW688" s="156"/>
      <c r="CX688" s="156"/>
      <c r="CY688" s="156"/>
      <c r="CZ688" s="156"/>
      <c r="DA688" s="156"/>
      <c r="DB688" s="156"/>
      <c r="DC688" s="156"/>
      <c r="DD688" s="156"/>
      <c r="DE688" s="156"/>
      <c r="DF688" s="156"/>
      <c r="DG688" s="156"/>
      <c r="DH688" s="156"/>
      <c r="DI688" s="156"/>
      <c r="DJ688" s="156"/>
      <c r="DK688" s="156"/>
      <c r="DL688" s="156"/>
      <c r="DM688" s="156"/>
      <c r="DN688" s="156"/>
      <c r="DO688" s="156"/>
      <c r="DP688" s="156"/>
      <c r="DQ688" s="156"/>
      <c r="DR688" s="156"/>
      <c r="DS688" s="156"/>
      <c r="DT688" s="156"/>
      <c r="DU688" s="156"/>
      <c r="DV688" s="156"/>
      <c r="DW688" s="156"/>
      <c r="DX688" s="156"/>
      <c r="DY688" s="156"/>
      <c r="DZ688" s="156"/>
      <c r="EA688" s="156"/>
      <c r="EB688" s="156"/>
      <c r="EC688" s="156"/>
      <c r="ED688" s="156"/>
      <c r="EE688" s="156"/>
      <c r="EF688" s="156"/>
      <c r="EG688" s="156"/>
      <c r="EH688" s="156"/>
      <c r="EI688" s="156"/>
      <c r="EJ688" s="156"/>
      <c r="EK688" s="156"/>
      <c r="EL688" s="156"/>
      <c r="EM688" s="156"/>
    </row>
    <row r="689" spans="20:143" ht="10.5" customHeight="1">
      <c r="T689" s="156"/>
      <c r="AZ689" s="156"/>
      <c r="BA689" s="156"/>
      <c r="BB689" s="156"/>
      <c r="BC689" s="156"/>
      <c r="BD689" s="156"/>
      <c r="BE689" s="156"/>
      <c r="BF689" s="156"/>
      <c r="BG689" s="156"/>
      <c r="BH689" s="156"/>
      <c r="BI689" s="156"/>
      <c r="BJ689" s="156"/>
      <c r="BK689" s="156"/>
      <c r="BL689" s="156"/>
      <c r="BM689" s="156"/>
      <c r="BN689" s="156"/>
      <c r="BO689" s="156"/>
      <c r="BP689" s="156"/>
      <c r="BQ689" s="156"/>
      <c r="BR689" s="156"/>
      <c r="BS689" s="156"/>
      <c r="BT689" s="156"/>
      <c r="BU689" s="156"/>
      <c r="BV689" s="156"/>
      <c r="BW689" s="156"/>
      <c r="BX689" s="156"/>
      <c r="BY689" s="156"/>
      <c r="BZ689" s="156"/>
      <c r="CA689" s="156"/>
      <c r="CB689" s="156"/>
      <c r="CC689" s="156"/>
      <c r="CD689" s="156"/>
      <c r="CE689" s="156"/>
      <c r="CF689" s="156"/>
      <c r="CG689" s="156"/>
      <c r="CH689" s="156"/>
      <c r="CI689" s="156"/>
      <c r="CJ689" s="156"/>
      <c r="CK689" s="156"/>
      <c r="CL689" s="156"/>
      <c r="CM689" s="156"/>
      <c r="CN689" s="156"/>
      <c r="CO689" s="156"/>
      <c r="CP689" s="156"/>
      <c r="CQ689" s="156"/>
      <c r="CR689" s="156"/>
      <c r="CS689" s="156"/>
      <c r="CT689" s="156"/>
      <c r="CU689" s="156"/>
      <c r="CV689" s="156"/>
      <c r="CW689" s="156"/>
      <c r="CX689" s="156"/>
      <c r="CY689" s="156"/>
      <c r="CZ689" s="156"/>
      <c r="DA689" s="156"/>
      <c r="DB689" s="156"/>
      <c r="DC689" s="156"/>
      <c r="DD689" s="156"/>
      <c r="DE689" s="156"/>
      <c r="DF689" s="156"/>
      <c r="DG689" s="156"/>
      <c r="DH689" s="156"/>
      <c r="DI689" s="156"/>
      <c r="DJ689" s="156"/>
      <c r="DK689" s="156"/>
      <c r="DL689" s="156"/>
      <c r="DM689" s="156"/>
      <c r="DN689" s="156"/>
      <c r="DO689" s="156"/>
      <c r="DP689" s="156"/>
      <c r="DQ689" s="156"/>
      <c r="DR689" s="156"/>
      <c r="DS689" s="156"/>
      <c r="DT689" s="156"/>
      <c r="DU689" s="156"/>
      <c r="DV689" s="156"/>
      <c r="DW689" s="156"/>
      <c r="DX689" s="156"/>
      <c r="DY689" s="156"/>
      <c r="DZ689" s="156"/>
      <c r="EA689" s="156"/>
      <c r="EB689" s="156"/>
      <c r="EC689" s="156"/>
      <c r="ED689" s="156"/>
      <c r="EE689" s="156"/>
      <c r="EF689" s="156"/>
      <c r="EG689" s="156"/>
      <c r="EH689" s="156"/>
      <c r="EI689" s="156"/>
      <c r="EJ689" s="156"/>
      <c r="EK689" s="156"/>
      <c r="EL689" s="156"/>
      <c r="EM689" s="156"/>
    </row>
    <row r="690" spans="20:143" ht="10.5" customHeight="1">
      <c r="T690" s="156"/>
      <c r="AZ690" s="156"/>
      <c r="BA690" s="156"/>
      <c r="BB690" s="156"/>
      <c r="BC690" s="156"/>
      <c r="BD690" s="156"/>
      <c r="BE690" s="156"/>
      <c r="BF690" s="156"/>
      <c r="BG690" s="156"/>
      <c r="BH690" s="156"/>
      <c r="BI690" s="156"/>
      <c r="BJ690" s="156"/>
      <c r="BK690" s="156"/>
      <c r="BL690" s="156"/>
      <c r="BM690" s="156"/>
      <c r="BN690" s="156"/>
      <c r="BO690" s="156"/>
      <c r="BP690" s="156"/>
      <c r="BQ690" s="156"/>
      <c r="BR690" s="156"/>
      <c r="BS690" s="156"/>
      <c r="BT690" s="156"/>
      <c r="BU690" s="156"/>
      <c r="BV690" s="156"/>
      <c r="BW690" s="156"/>
      <c r="BX690" s="156"/>
      <c r="BY690" s="156"/>
      <c r="BZ690" s="156"/>
      <c r="CA690" s="156"/>
      <c r="CB690" s="156"/>
      <c r="CC690" s="156"/>
      <c r="CD690" s="156"/>
      <c r="CE690" s="156"/>
      <c r="CF690" s="156"/>
      <c r="CG690" s="156"/>
      <c r="CH690" s="156"/>
      <c r="CI690" s="156"/>
      <c r="CJ690" s="156"/>
      <c r="CK690" s="156"/>
      <c r="CL690" s="156"/>
      <c r="CM690" s="156"/>
      <c r="CN690" s="156"/>
      <c r="CO690" s="156"/>
      <c r="CP690" s="156"/>
      <c r="CQ690" s="156"/>
      <c r="CR690" s="156"/>
      <c r="CS690" s="156"/>
      <c r="CT690" s="156"/>
      <c r="CU690" s="156"/>
      <c r="CV690" s="156"/>
      <c r="CW690" s="156"/>
      <c r="CX690" s="156"/>
      <c r="CY690" s="156"/>
      <c r="CZ690" s="156"/>
      <c r="DA690" s="156"/>
      <c r="DB690" s="156"/>
      <c r="DC690" s="156"/>
      <c r="DD690" s="156"/>
      <c r="DE690" s="156"/>
      <c r="DF690" s="156"/>
      <c r="DG690" s="156"/>
      <c r="DH690" s="156"/>
      <c r="DI690" s="156"/>
      <c r="DJ690" s="156"/>
      <c r="DK690" s="156"/>
      <c r="DL690" s="156"/>
      <c r="DM690" s="156"/>
      <c r="DN690" s="156"/>
      <c r="DO690" s="156"/>
      <c r="DP690" s="156"/>
      <c r="DQ690" s="156"/>
      <c r="DR690" s="156"/>
      <c r="DS690" s="156"/>
      <c r="DT690" s="156"/>
      <c r="DU690" s="156"/>
      <c r="DV690" s="156"/>
      <c r="DW690" s="156"/>
      <c r="DX690" s="156"/>
      <c r="DY690" s="156"/>
      <c r="DZ690" s="156"/>
      <c r="EA690" s="156"/>
      <c r="EB690" s="156"/>
      <c r="EC690" s="156"/>
      <c r="ED690" s="156"/>
      <c r="EE690" s="156"/>
      <c r="EF690" s="156"/>
      <c r="EG690" s="156"/>
      <c r="EH690" s="156"/>
      <c r="EI690" s="156"/>
      <c r="EJ690" s="156"/>
      <c r="EK690" s="156"/>
      <c r="EL690" s="156"/>
      <c r="EM690" s="156"/>
    </row>
    <row r="691" spans="20:143" ht="10.5" customHeight="1">
      <c r="T691" s="156"/>
      <c r="AZ691" s="156"/>
      <c r="BA691" s="156"/>
      <c r="BB691" s="156"/>
      <c r="BC691" s="156"/>
      <c r="BD691" s="156"/>
      <c r="BE691" s="156"/>
      <c r="BF691" s="156"/>
      <c r="BG691" s="156"/>
      <c r="BH691" s="156"/>
      <c r="BI691" s="156"/>
      <c r="BJ691" s="156"/>
      <c r="BK691" s="156"/>
      <c r="BL691" s="156"/>
      <c r="BM691" s="156"/>
      <c r="BN691" s="156"/>
      <c r="BO691" s="156"/>
      <c r="BP691" s="156"/>
      <c r="BQ691" s="156"/>
      <c r="BR691" s="156"/>
      <c r="BS691" s="156"/>
      <c r="BT691" s="156"/>
      <c r="BU691" s="156"/>
      <c r="BV691" s="156"/>
      <c r="BW691" s="156"/>
      <c r="BX691" s="156"/>
      <c r="BY691" s="156"/>
      <c r="BZ691" s="156"/>
      <c r="CA691" s="156"/>
      <c r="CB691" s="156"/>
      <c r="CC691" s="156"/>
      <c r="CD691" s="156"/>
      <c r="CE691" s="156"/>
      <c r="CF691" s="156"/>
      <c r="CG691" s="156"/>
      <c r="CH691" s="156"/>
      <c r="CI691" s="156"/>
      <c r="CJ691" s="156"/>
      <c r="CK691" s="156"/>
      <c r="CL691" s="156"/>
      <c r="CM691" s="156"/>
      <c r="CN691" s="156"/>
      <c r="CO691" s="156"/>
      <c r="CP691" s="156"/>
      <c r="CQ691" s="156"/>
      <c r="CR691" s="156"/>
      <c r="CS691" s="156"/>
      <c r="CT691" s="156"/>
      <c r="CU691" s="156"/>
      <c r="CV691" s="156"/>
      <c r="CW691" s="156"/>
      <c r="CX691" s="156"/>
      <c r="CY691" s="156"/>
      <c r="CZ691" s="156"/>
      <c r="DA691" s="156"/>
      <c r="DB691" s="156"/>
      <c r="DC691" s="156"/>
      <c r="DD691" s="156"/>
      <c r="DE691" s="156"/>
      <c r="DF691" s="156"/>
      <c r="DG691" s="156"/>
      <c r="DH691" s="156"/>
      <c r="DI691" s="156"/>
      <c r="DJ691" s="156"/>
      <c r="DK691" s="156"/>
      <c r="DL691" s="156"/>
      <c r="DM691" s="156"/>
      <c r="DN691" s="156"/>
      <c r="DO691" s="156"/>
      <c r="DP691" s="156"/>
      <c r="DQ691" s="156"/>
      <c r="DR691" s="156"/>
      <c r="DS691" s="156"/>
      <c r="DT691" s="156"/>
      <c r="DU691" s="156"/>
      <c r="DV691" s="156"/>
      <c r="DW691" s="156"/>
      <c r="DX691" s="156"/>
      <c r="DY691" s="156"/>
      <c r="DZ691" s="156"/>
      <c r="EA691" s="156"/>
      <c r="EB691" s="156"/>
      <c r="EC691" s="156"/>
      <c r="ED691" s="156"/>
      <c r="EE691" s="156"/>
      <c r="EF691" s="156"/>
      <c r="EG691" s="156"/>
      <c r="EH691" s="156"/>
      <c r="EI691" s="156"/>
      <c r="EJ691" s="156"/>
      <c r="EK691" s="156"/>
      <c r="EL691" s="156"/>
      <c r="EM691" s="156"/>
    </row>
    <row r="692" spans="20:143" ht="10.5" customHeight="1">
      <c r="T692" s="156"/>
      <c r="AZ692" s="156"/>
      <c r="BA692" s="156"/>
      <c r="BB692" s="156"/>
      <c r="BC692" s="156"/>
      <c r="BD692" s="156"/>
      <c r="BE692" s="156"/>
      <c r="BF692" s="156"/>
      <c r="BG692" s="156"/>
      <c r="BH692" s="156"/>
      <c r="BI692" s="156"/>
      <c r="BJ692" s="156"/>
      <c r="BK692" s="156"/>
      <c r="BL692" s="156"/>
      <c r="BM692" s="156"/>
      <c r="BN692" s="156"/>
      <c r="BO692" s="156"/>
      <c r="BP692" s="156"/>
      <c r="BQ692" s="156"/>
      <c r="BR692" s="156"/>
      <c r="BS692" s="156"/>
      <c r="BT692" s="156"/>
      <c r="BU692" s="156"/>
      <c r="BV692" s="156"/>
      <c r="BW692" s="156"/>
      <c r="BX692" s="156"/>
      <c r="BY692" s="156"/>
      <c r="BZ692" s="156"/>
      <c r="CA692" s="156"/>
      <c r="CB692" s="156"/>
      <c r="CC692" s="156"/>
      <c r="CD692" s="156"/>
      <c r="CE692" s="156"/>
      <c r="CF692" s="156"/>
      <c r="CG692" s="156"/>
      <c r="CH692" s="156"/>
      <c r="CI692" s="156"/>
      <c r="CJ692" s="156"/>
      <c r="CK692" s="156"/>
      <c r="CL692" s="156"/>
      <c r="CM692" s="156"/>
      <c r="CN692" s="156"/>
      <c r="CO692" s="156"/>
      <c r="CP692" s="156"/>
      <c r="CQ692" s="156"/>
      <c r="CR692" s="156"/>
      <c r="CS692" s="156"/>
      <c r="CT692" s="156"/>
      <c r="CU692" s="156"/>
      <c r="CV692" s="156"/>
      <c r="CW692" s="156"/>
      <c r="CX692" s="156"/>
      <c r="CY692" s="156"/>
      <c r="CZ692" s="156"/>
      <c r="DA692" s="156"/>
      <c r="DB692" s="156"/>
      <c r="DC692" s="156"/>
      <c r="DD692" s="156"/>
      <c r="DE692" s="156"/>
      <c r="DF692" s="156"/>
      <c r="DG692" s="156"/>
      <c r="DH692" s="156"/>
      <c r="DI692" s="156"/>
      <c r="DJ692" s="156"/>
      <c r="DK692" s="156"/>
      <c r="DL692" s="156"/>
      <c r="DM692" s="156"/>
      <c r="DN692" s="156"/>
      <c r="DO692" s="156"/>
      <c r="DP692" s="156"/>
      <c r="DQ692" s="156"/>
      <c r="DR692" s="156"/>
      <c r="DS692" s="156"/>
      <c r="DT692" s="156"/>
      <c r="DU692" s="156"/>
      <c r="DV692" s="156"/>
      <c r="DW692" s="156"/>
      <c r="DX692" s="156"/>
      <c r="DY692" s="156"/>
      <c r="DZ692" s="156"/>
      <c r="EA692" s="156"/>
      <c r="EB692" s="156"/>
      <c r="EC692" s="156"/>
      <c r="ED692" s="156"/>
      <c r="EE692" s="156"/>
      <c r="EF692" s="156"/>
      <c r="EG692" s="156"/>
      <c r="EH692" s="156"/>
      <c r="EI692" s="156"/>
      <c r="EJ692" s="156"/>
      <c r="EK692" s="156"/>
      <c r="EL692" s="156"/>
      <c r="EM692" s="156"/>
    </row>
    <row r="693" spans="20:143" ht="10.5" customHeight="1">
      <c r="T693" s="156"/>
      <c r="AZ693" s="156"/>
      <c r="BA693" s="156"/>
      <c r="BB693" s="156"/>
      <c r="BC693" s="156"/>
      <c r="BD693" s="156"/>
      <c r="BE693" s="156"/>
      <c r="BF693" s="156"/>
      <c r="BG693" s="156"/>
      <c r="BH693" s="156"/>
      <c r="BI693" s="156"/>
      <c r="BJ693" s="156"/>
      <c r="BK693" s="156"/>
      <c r="BL693" s="156"/>
      <c r="BM693" s="156"/>
      <c r="BN693" s="156"/>
      <c r="BO693" s="156"/>
      <c r="BP693" s="156"/>
      <c r="BQ693" s="156"/>
      <c r="BR693" s="156"/>
      <c r="BS693" s="156"/>
      <c r="BT693" s="156"/>
      <c r="BU693" s="156"/>
      <c r="BV693" s="156"/>
      <c r="BW693" s="156"/>
      <c r="BX693" s="156"/>
      <c r="BY693" s="156"/>
      <c r="BZ693" s="156"/>
      <c r="CA693" s="156"/>
      <c r="CB693" s="156"/>
      <c r="CC693" s="156"/>
      <c r="CD693" s="156"/>
      <c r="CE693" s="156"/>
      <c r="CF693" s="156"/>
      <c r="CG693" s="156"/>
      <c r="CH693" s="156"/>
      <c r="CI693" s="156"/>
      <c r="CJ693" s="156"/>
      <c r="CK693" s="156"/>
      <c r="CL693" s="156"/>
      <c r="CM693" s="156"/>
      <c r="CN693" s="156"/>
      <c r="CO693" s="156"/>
      <c r="CP693" s="156"/>
      <c r="CQ693" s="156"/>
      <c r="CR693" s="156"/>
      <c r="CS693" s="156"/>
      <c r="CT693" s="156"/>
      <c r="CU693" s="156"/>
      <c r="CV693" s="156"/>
      <c r="CW693" s="156"/>
      <c r="CX693" s="156"/>
      <c r="CY693" s="156"/>
      <c r="CZ693" s="156"/>
      <c r="DA693" s="156"/>
      <c r="DB693" s="156"/>
      <c r="DC693" s="156"/>
      <c r="DD693" s="156"/>
      <c r="DE693" s="156"/>
      <c r="DF693" s="156"/>
      <c r="DG693" s="156"/>
      <c r="DH693" s="156"/>
      <c r="DI693" s="156"/>
      <c r="DJ693" s="156"/>
      <c r="DK693" s="156"/>
      <c r="DL693" s="156"/>
      <c r="DM693" s="156"/>
      <c r="DN693" s="156"/>
      <c r="DO693" s="156"/>
      <c r="DP693" s="156"/>
      <c r="DQ693" s="156"/>
      <c r="DR693" s="156"/>
      <c r="DS693" s="156"/>
      <c r="DT693" s="156"/>
      <c r="DU693" s="156"/>
      <c r="DV693" s="156"/>
      <c r="DW693" s="156"/>
      <c r="DX693" s="156"/>
      <c r="DY693" s="156"/>
      <c r="DZ693" s="156"/>
      <c r="EA693" s="156"/>
      <c r="EB693" s="156"/>
      <c r="EC693" s="156"/>
      <c r="ED693" s="156"/>
      <c r="EE693" s="156"/>
      <c r="EF693" s="156"/>
      <c r="EG693" s="156"/>
      <c r="EH693" s="156"/>
      <c r="EI693" s="156"/>
      <c r="EJ693" s="156"/>
      <c r="EK693" s="156"/>
      <c r="EL693" s="156"/>
      <c r="EM693" s="156"/>
    </row>
    <row r="694" spans="20:143" ht="10.5" customHeight="1">
      <c r="T694" s="156"/>
      <c r="AZ694" s="156"/>
      <c r="BA694" s="156"/>
      <c r="BB694" s="156"/>
      <c r="BC694" s="156"/>
      <c r="BD694" s="156"/>
      <c r="BE694" s="156"/>
      <c r="BF694" s="156"/>
      <c r="BG694" s="156"/>
      <c r="BH694" s="156"/>
      <c r="BI694" s="156"/>
      <c r="BJ694" s="156"/>
      <c r="BK694" s="156"/>
      <c r="BL694" s="156"/>
      <c r="BM694" s="156"/>
      <c r="BN694" s="156"/>
      <c r="BO694" s="156"/>
      <c r="BP694" s="156"/>
      <c r="BQ694" s="156"/>
      <c r="BR694" s="156"/>
      <c r="BS694" s="156"/>
      <c r="BT694" s="156"/>
      <c r="BU694" s="156"/>
      <c r="BV694" s="156"/>
      <c r="BW694" s="156"/>
      <c r="BX694" s="156"/>
      <c r="BY694" s="156"/>
      <c r="BZ694" s="156"/>
      <c r="CA694" s="156"/>
      <c r="CB694" s="156"/>
      <c r="CC694" s="156"/>
      <c r="CD694" s="156"/>
      <c r="CE694" s="156"/>
      <c r="CF694" s="156"/>
      <c r="CG694" s="156"/>
      <c r="CH694" s="156"/>
      <c r="CI694" s="156"/>
      <c r="CJ694" s="156"/>
      <c r="CK694" s="156"/>
      <c r="CL694" s="156"/>
      <c r="CM694" s="156"/>
      <c r="CN694" s="156"/>
      <c r="CO694" s="156"/>
      <c r="CP694" s="156"/>
      <c r="CQ694" s="156"/>
      <c r="CR694" s="156"/>
      <c r="CS694" s="156"/>
      <c r="CT694" s="156"/>
      <c r="CU694" s="156"/>
      <c r="CV694" s="156"/>
      <c r="CW694" s="156"/>
      <c r="CX694" s="156"/>
      <c r="CY694" s="156"/>
      <c r="CZ694" s="156"/>
      <c r="DA694" s="156"/>
      <c r="DB694" s="156"/>
      <c r="DC694" s="156"/>
      <c r="DD694" s="156"/>
      <c r="DE694" s="156"/>
      <c r="DF694" s="156"/>
      <c r="DG694" s="156"/>
      <c r="DH694" s="156"/>
      <c r="DI694" s="156"/>
      <c r="DJ694" s="156"/>
      <c r="DK694" s="156"/>
      <c r="DL694" s="156"/>
      <c r="DM694" s="156"/>
      <c r="DN694" s="156"/>
      <c r="DO694" s="156"/>
      <c r="DP694" s="156"/>
      <c r="DQ694" s="156"/>
      <c r="DR694" s="156"/>
      <c r="DS694" s="156"/>
      <c r="DT694" s="156"/>
      <c r="DU694" s="156"/>
      <c r="DV694" s="156"/>
      <c r="DW694" s="156"/>
      <c r="DX694" s="156"/>
      <c r="DY694" s="156"/>
      <c r="DZ694" s="156"/>
      <c r="EA694" s="156"/>
      <c r="EB694" s="156"/>
      <c r="EC694" s="156"/>
      <c r="ED694" s="156"/>
      <c r="EE694" s="156"/>
      <c r="EF694" s="156"/>
      <c r="EG694" s="156"/>
      <c r="EH694" s="156"/>
      <c r="EI694" s="156"/>
      <c r="EJ694" s="156"/>
      <c r="EK694" s="156"/>
      <c r="EL694" s="156"/>
      <c r="EM694" s="156"/>
    </row>
    <row r="695" spans="20:143" ht="10.5" customHeight="1">
      <c r="T695" s="156"/>
      <c r="AZ695" s="156"/>
      <c r="BA695" s="156"/>
      <c r="BB695" s="156"/>
      <c r="BC695" s="156"/>
      <c r="BD695" s="156"/>
      <c r="BE695" s="156"/>
      <c r="BF695" s="156"/>
      <c r="BG695" s="156"/>
      <c r="BH695" s="156"/>
      <c r="BI695" s="156"/>
      <c r="BJ695" s="156"/>
      <c r="BK695" s="156"/>
      <c r="BL695" s="156"/>
      <c r="BM695" s="156"/>
      <c r="BN695" s="156"/>
      <c r="BO695" s="156"/>
      <c r="BP695" s="156"/>
      <c r="BQ695" s="156"/>
      <c r="BR695" s="156"/>
      <c r="BS695" s="156"/>
      <c r="BT695" s="156"/>
      <c r="BU695" s="156"/>
      <c r="BV695" s="156"/>
      <c r="BW695" s="156"/>
      <c r="BX695" s="156"/>
      <c r="BY695" s="156"/>
      <c r="BZ695" s="156"/>
      <c r="CA695" s="156"/>
      <c r="CB695" s="156"/>
      <c r="CC695" s="156"/>
      <c r="CD695" s="156"/>
      <c r="CE695" s="156"/>
      <c r="CF695" s="156"/>
      <c r="CG695" s="156"/>
      <c r="CH695" s="156"/>
      <c r="CI695" s="156"/>
      <c r="CJ695" s="156"/>
      <c r="CK695" s="156"/>
      <c r="CL695" s="156"/>
      <c r="CM695" s="156"/>
      <c r="CN695" s="156"/>
      <c r="CO695" s="156"/>
      <c r="CP695" s="156"/>
      <c r="CQ695" s="156"/>
      <c r="CR695" s="156"/>
      <c r="CS695" s="156"/>
      <c r="CT695" s="156"/>
      <c r="CU695" s="156"/>
      <c r="CV695" s="156"/>
      <c r="CW695" s="156"/>
      <c r="CX695" s="156"/>
      <c r="CY695" s="156"/>
      <c r="CZ695" s="156"/>
      <c r="DA695" s="156"/>
      <c r="DB695" s="156"/>
      <c r="DC695" s="156"/>
      <c r="DD695" s="156"/>
      <c r="DE695" s="156"/>
      <c r="DF695" s="156"/>
      <c r="DG695" s="156"/>
      <c r="DH695" s="156"/>
      <c r="DI695" s="156"/>
      <c r="DJ695" s="156"/>
      <c r="DK695" s="156"/>
      <c r="DL695" s="156"/>
      <c r="DM695" s="156"/>
      <c r="DN695" s="156"/>
      <c r="DO695" s="156"/>
      <c r="DP695" s="156"/>
      <c r="DQ695" s="156"/>
      <c r="DR695" s="156"/>
      <c r="DS695" s="156"/>
      <c r="DT695" s="156"/>
      <c r="DU695" s="156"/>
      <c r="DV695" s="156"/>
      <c r="DW695" s="156"/>
      <c r="DX695" s="156"/>
      <c r="DY695" s="156"/>
      <c r="DZ695" s="156"/>
      <c r="EA695" s="156"/>
      <c r="EB695" s="156"/>
      <c r="EC695" s="156"/>
      <c r="ED695" s="156"/>
      <c r="EE695" s="156"/>
      <c r="EF695" s="156"/>
      <c r="EG695" s="156"/>
      <c r="EH695" s="156"/>
      <c r="EI695" s="156"/>
      <c r="EJ695" s="156"/>
      <c r="EK695" s="156"/>
      <c r="EL695" s="156"/>
      <c r="EM695" s="156"/>
    </row>
    <row r="696" spans="20:143" ht="10.5" customHeight="1">
      <c r="T696" s="156"/>
      <c r="AZ696" s="156"/>
      <c r="BA696" s="156"/>
      <c r="BB696" s="156"/>
      <c r="BC696" s="156"/>
      <c r="BD696" s="156"/>
      <c r="BE696" s="156"/>
      <c r="BF696" s="156"/>
      <c r="BG696" s="156"/>
      <c r="BH696" s="156"/>
      <c r="BI696" s="156"/>
      <c r="BJ696" s="156"/>
      <c r="BK696" s="156"/>
      <c r="BL696" s="156"/>
      <c r="BM696" s="156"/>
      <c r="BN696" s="156"/>
      <c r="BO696" s="156"/>
      <c r="BP696" s="156"/>
      <c r="BQ696" s="156"/>
      <c r="BR696" s="156"/>
      <c r="BS696" s="156"/>
      <c r="BT696" s="156"/>
      <c r="BU696" s="156"/>
      <c r="BV696" s="156"/>
      <c r="BW696" s="156"/>
      <c r="BX696" s="156"/>
      <c r="BY696" s="156"/>
      <c r="BZ696" s="156"/>
      <c r="CA696" s="156"/>
      <c r="CB696" s="156"/>
      <c r="CC696" s="156"/>
      <c r="CD696" s="156"/>
      <c r="CE696" s="156"/>
      <c r="CF696" s="156"/>
      <c r="CG696" s="156"/>
      <c r="CH696" s="156"/>
      <c r="CI696" s="156"/>
      <c r="CJ696" s="156"/>
      <c r="CK696" s="156"/>
      <c r="CL696" s="156"/>
      <c r="CM696" s="156"/>
      <c r="CN696" s="156"/>
      <c r="CO696" s="156"/>
      <c r="CP696" s="156"/>
      <c r="CQ696" s="156"/>
      <c r="CR696" s="156"/>
      <c r="CS696" s="156"/>
      <c r="CT696" s="156"/>
      <c r="CU696" s="156"/>
      <c r="CV696" s="156"/>
      <c r="CW696" s="156"/>
      <c r="CX696" s="156"/>
      <c r="CY696" s="156"/>
      <c r="CZ696" s="156"/>
      <c r="DA696" s="156"/>
      <c r="DB696" s="156"/>
      <c r="DC696" s="156"/>
      <c r="DD696" s="156"/>
      <c r="DE696" s="156"/>
      <c r="DF696" s="156"/>
      <c r="DG696" s="156"/>
      <c r="DH696" s="156"/>
      <c r="DI696" s="156"/>
      <c r="DJ696" s="156"/>
      <c r="DK696" s="156"/>
      <c r="DL696" s="156"/>
      <c r="DM696" s="156"/>
      <c r="DN696" s="156"/>
      <c r="DO696" s="156"/>
      <c r="DP696" s="156"/>
      <c r="DQ696" s="156"/>
      <c r="DR696" s="156"/>
      <c r="DS696" s="156"/>
      <c r="DT696" s="156"/>
      <c r="DU696" s="156"/>
      <c r="DV696" s="156"/>
      <c r="DW696" s="156"/>
      <c r="DX696" s="156"/>
      <c r="DY696" s="156"/>
      <c r="DZ696" s="156"/>
      <c r="EA696" s="156"/>
      <c r="EB696" s="156"/>
      <c r="EC696" s="156"/>
      <c r="ED696" s="156"/>
      <c r="EE696" s="156"/>
      <c r="EF696" s="156"/>
      <c r="EG696" s="156"/>
      <c r="EH696" s="156"/>
      <c r="EI696" s="156"/>
      <c r="EJ696" s="156"/>
      <c r="EK696" s="156"/>
      <c r="EL696" s="156"/>
      <c r="EM696" s="156"/>
    </row>
    <row r="697" spans="20:143" ht="10.5" customHeight="1">
      <c r="T697" s="156"/>
      <c r="AZ697" s="156"/>
      <c r="BA697" s="156"/>
      <c r="BB697" s="156"/>
      <c r="BC697" s="156"/>
      <c r="BD697" s="156"/>
      <c r="BE697" s="156"/>
      <c r="BF697" s="156"/>
      <c r="BG697" s="156"/>
      <c r="BH697" s="156"/>
      <c r="BI697" s="156"/>
      <c r="BJ697" s="156"/>
      <c r="BK697" s="156"/>
      <c r="BL697" s="156"/>
      <c r="BM697" s="156"/>
      <c r="BN697" s="156"/>
      <c r="BO697" s="156"/>
      <c r="BP697" s="156"/>
      <c r="BQ697" s="156"/>
      <c r="BR697" s="156"/>
      <c r="BS697" s="156"/>
      <c r="BT697" s="156"/>
      <c r="BU697" s="156"/>
      <c r="BV697" s="156"/>
      <c r="BW697" s="156"/>
      <c r="BX697" s="156"/>
      <c r="BY697" s="156"/>
      <c r="BZ697" s="156"/>
      <c r="CA697" s="156"/>
      <c r="CB697" s="156"/>
      <c r="CC697" s="156"/>
      <c r="CD697" s="156"/>
      <c r="CE697" s="156"/>
      <c r="CF697" s="156"/>
      <c r="CG697" s="156"/>
      <c r="CH697" s="156"/>
      <c r="CI697" s="156"/>
      <c r="CJ697" s="156"/>
      <c r="CK697" s="156"/>
      <c r="CL697" s="156"/>
      <c r="CM697" s="156"/>
      <c r="CN697" s="156"/>
      <c r="CO697" s="156"/>
      <c r="CP697" s="156"/>
      <c r="CQ697" s="156"/>
      <c r="CR697" s="156"/>
      <c r="CS697" s="156"/>
      <c r="CT697" s="156"/>
      <c r="CU697" s="156"/>
      <c r="CV697" s="156"/>
      <c r="CW697" s="156"/>
      <c r="CX697" s="156"/>
      <c r="CY697" s="156"/>
      <c r="CZ697" s="156"/>
      <c r="DA697" s="156"/>
      <c r="DB697" s="156"/>
      <c r="DC697" s="156"/>
      <c r="DD697" s="156"/>
      <c r="DE697" s="156"/>
      <c r="DF697" s="156"/>
      <c r="DG697" s="156"/>
      <c r="DH697" s="156"/>
      <c r="DI697" s="156"/>
      <c r="DJ697" s="156"/>
      <c r="DK697" s="156"/>
      <c r="DL697" s="156"/>
      <c r="DM697" s="156"/>
      <c r="DN697" s="156"/>
      <c r="DO697" s="156"/>
      <c r="DP697" s="156"/>
      <c r="DQ697" s="156"/>
      <c r="DR697" s="156"/>
      <c r="DS697" s="156"/>
      <c r="DT697" s="156"/>
      <c r="DU697" s="156"/>
      <c r="DV697" s="156"/>
      <c r="DW697" s="156"/>
      <c r="DX697" s="156"/>
      <c r="DY697" s="156"/>
      <c r="DZ697" s="156"/>
      <c r="EA697" s="156"/>
      <c r="EB697" s="156"/>
      <c r="EC697" s="156"/>
      <c r="ED697" s="156"/>
      <c r="EE697" s="156"/>
      <c r="EF697" s="156"/>
      <c r="EG697" s="156"/>
      <c r="EH697" s="156"/>
      <c r="EI697" s="156"/>
      <c r="EJ697" s="156"/>
      <c r="EK697" s="156"/>
      <c r="EL697" s="156"/>
      <c r="EM697" s="156"/>
    </row>
    <row r="698" spans="20:143" ht="10.5" customHeight="1">
      <c r="T698" s="156"/>
      <c r="AZ698" s="156"/>
      <c r="BA698" s="156"/>
      <c r="BB698" s="156"/>
      <c r="BC698" s="156"/>
      <c r="BD698" s="156"/>
      <c r="BE698" s="156"/>
      <c r="BF698" s="156"/>
      <c r="BG698" s="156"/>
      <c r="BH698" s="156"/>
      <c r="BI698" s="156"/>
      <c r="BJ698" s="156"/>
      <c r="BK698" s="156"/>
      <c r="BL698" s="156"/>
      <c r="BM698" s="156"/>
      <c r="BN698" s="156"/>
      <c r="BO698" s="156"/>
      <c r="BP698" s="156"/>
      <c r="BQ698" s="156"/>
      <c r="BR698" s="156"/>
      <c r="BS698" s="156"/>
      <c r="BT698" s="156"/>
      <c r="BU698" s="156"/>
      <c r="BV698" s="156"/>
      <c r="BW698" s="156"/>
      <c r="BX698" s="156"/>
      <c r="BY698" s="156"/>
      <c r="BZ698" s="156"/>
      <c r="CA698" s="156"/>
      <c r="CB698" s="156"/>
      <c r="CC698" s="156"/>
      <c r="CD698" s="156"/>
      <c r="CE698" s="156"/>
      <c r="CF698" s="156"/>
      <c r="CG698" s="156"/>
      <c r="CH698" s="156"/>
      <c r="CI698" s="156"/>
      <c r="CJ698" s="156"/>
      <c r="CK698" s="156"/>
      <c r="CL698" s="156"/>
      <c r="CM698" s="156"/>
      <c r="CN698" s="156"/>
      <c r="CO698" s="156"/>
      <c r="CP698" s="156"/>
      <c r="CQ698" s="156"/>
      <c r="CR698" s="156"/>
      <c r="CS698" s="156"/>
      <c r="CT698" s="156"/>
      <c r="CU698" s="156"/>
      <c r="CV698" s="156"/>
      <c r="CW698" s="156"/>
      <c r="CX698" s="156"/>
      <c r="CY698" s="156"/>
      <c r="CZ698" s="156"/>
      <c r="DA698" s="156"/>
      <c r="DB698" s="156"/>
      <c r="DC698" s="156"/>
      <c r="DD698" s="156"/>
      <c r="DE698" s="156"/>
      <c r="DF698" s="156"/>
      <c r="DG698" s="156"/>
      <c r="DH698" s="156"/>
      <c r="DI698" s="156"/>
      <c r="DJ698" s="156"/>
      <c r="DK698" s="156"/>
      <c r="DL698" s="156"/>
      <c r="DM698" s="156"/>
      <c r="DN698" s="156"/>
      <c r="DO698" s="156"/>
      <c r="DP698" s="156"/>
      <c r="DQ698" s="156"/>
      <c r="DR698" s="156"/>
      <c r="DS698" s="156"/>
      <c r="DT698" s="156"/>
      <c r="DU698" s="156"/>
      <c r="DV698" s="156"/>
      <c r="DW698" s="156"/>
      <c r="DX698" s="156"/>
      <c r="DY698" s="156"/>
      <c r="DZ698" s="156"/>
      <c r="EA698" s="156"/>
      <c r="EB698" s="156"/>
      <c r="EC698" s="156"/>
      <c r="ED698" s="156"/>
      <c r="EE698" s="156"/>
      <c r="EF698" s="156"/>
      <c r="EG698" s="156"/>
      <c r="EH698" s="156"/>
      <c r="EI698" s="156"/>
      <c r="EJ698" s="156"/>
      <c r="EK698" s="156"/>
      <c r="EL698" s="156"/>
      <c r="EM698" s="156"/>
    </row>
    <row r="699" spans="20:143" ht="10.5" customHeight="1">
      <c r="T699" s="156"/>
      <c r="AZ699" s="156"/>
      <c r="BA699" s="156"/>
      <c r="BB699" s="156"/>
      <c r="BC699" s="156"/>
      <c r="BD699" s="156"/>
      <c r="BE699" s="156"/>
      <c r="BF699" s="156"/>
      <c r="BG699" s="156"/>
      <c r="BH699" s="156"/>
      <c r="BI699" s="156"/>
      <c r="BJ699" s="156"/>
      <c r="BK699" s="156"/>
      <c r="BL699" s="156"/>
      <c r="BM699" s="156"/>
      <c r="BN699" s="156"/>
      <c r="BO699" s="156"/>
      <c r="BP699" s="156"/>
      <c r="BQ699" s="156"/>
      <c r="BR699" s="156"/>
      <c r="BS699" s="156"/>
      <c r="BT699" s="156"/>
      <c r="BU699" s="156"/>
      <c r="BV699" s="156"/>
      <c r="BW699" s="156"/>
      <c r="BX699" s="156"/>
      <c r="BY699" s="156"/>
      <c r="BZ699" s="156"/>
      <c r="CA699" s="156"/>
      <c r="CB699" s="156"/>
      <c r="CC699" s="156"/>
      <c r="CD699" s="156"/>
      <c r="CE699" s="156"/>
      <c r="CF699" s="156"/>
      <c r="CG699" s="156"/>
      <c r="CH699" s="156"/>
      <c r="CI699" s="156"/>
      <c r="CJ699" s="156"/>
      <c r="CK699" s="156"/>
      <c r="CL699" s="156"/>
      <c r="CM699" s="156"/>
      <c r="CN699" s="156"/>
      <c r="CO699" s="156"/>
      <c r="CP699" s="156"/>
      <c r="CQ699" s="156"/>
      <c r="CR699" s="156"/>
      <c r="CS699" s="156"/>
      <c r="CT699" s="156"/>
      <c r="CU699" s="156"/>
      <c r="CV699" s="156"/>
      <c r="CW699" s="156"/>
      <c r="CX699" s="156"/>
      <c r="CY699" s="156"/>
      <c r="CZ699" s="156"/>
      <c r="DA699" s="156"/>
      <c r="DB699" s="156"/>
      <c r="DC699" s="156"/>
      <c r="DD699" s="156"/>
      <c r="DE699" s="156"/>
      <c r="DF699" s="156"/>
      <c r="DG699" s="156"/>
      <c r="DH699" s="156"/>
      <c r="DI699" s="156"/>
      <c r="DJ699" s="156"/>
      <c r="DK699" s="156"/>
      <c r="DL699" s="156"/>
      <c r="DM699" s="156"/>
      <c r="DN699" s="156"/>
      <c r="DO699" s="156"/>
      <c r="DP699" s="156"/>
      <c r="DQ699" s="156"/>
      <c r="DR699" s="156"/>
      <c r="DS699" s="156"/>
      <c r="DT699" s="156"/>
      <c r="DU699" s="156"/>
      <c r="DV699" s="156"/>
      <c r="DW699" s="156"/>
      <c r="DX699" s="156"/>
      <c r="DY699" s="156"/>
      <c r="DZ699" s="156"/>
      <c r="EA699" s="156"/>
      <c r="EB699" s="156"/>
      <c r="EC699" s="156"/>
      <c r="ED699" s="156"/>
      <c r="EE699" s="156"/>
      <c r="EF699" s="156"/>
      <c r="EG699" s="156"/>
      <c r="EH699" s="156"/>
      <c r="EI699" s="156"/>
      <c r="EJ699" s="156"/>
      <c r="EK699" s="156"/>
      <c r="EL699" s="156"/>
      <c r="EM699" s="156"/>
    </row>
    <row r="700" spans="20:143" ht="10.5" customHeight="1">
      <c r="T700" s="156"/>
      <c r="AZ700" s="156"/>
      <c r="BA700" s="156"/>
      <c r="BB700" s="156"/>
      <c r="BC700" s="156"/>
      <c r="BD700" s="156"/>
      <c r="BE700" s="156"/>
      <c r="BF700" s="156"/>
      <c r="BG700" s="156"/>
      <c r="BH700" s="156"/>
      <c r="BI700" s="156"/>
      <c r="BJ700" s="156"/>
      <c r="BK700" s="156"/>
      <c r="BL700" s="156"/>
      <c r="BM700" s="156"/>
      <c r="BN700" s="156"/>
      <c r="BO700" s="156"/>
      <c r="BP700" s="156"/>
      <c r="BQ700" s="156"/>
      <c r="BR700" s="156"/>
      <c r="BS700" s="156"/>
      <c r="BT700" s="156"/>
      <c r="BU700" s="156"/>
      <c r="BV700" s="156"/>
      <c r="BW700" s="156"/>
      <c r="BX700" s="156"/>
      <c r="BY700" s="156"/>
      <c r="BZ700" s="156"/>
      <c r="CA700" s="156"/>
      <c r="CB700" s="156"/>
      <c r="CC700" s="156"/>
      <c r="CD700" s="156"/>
      <c r="CE700" s="156"/>
      <c r="CF700" s="156"/>
      <c r="CG700" s="156"/>
      <c r="CH700" s="156"/>
      <c r="CI700" s="156"/>
      <c r="CJ700" s="156"/>
      <c r="CK700" s="156"/>
      <c r="CL700" s="156"/>
      <c r="CM700" s="156"/>
      <c r="CN700" s="156"/>
      <c r="CO700" s="156"/>
      <c r="CP700" s="156"/>
      <c r="CQ700" s="156"/>
      <c r="CR700" s="156"/>
      <c r="CS700" s="156"/>
      <c r="CT700" s="156"/>
      <c r="CU700" s="156"/>
      <c r="CV700" s="156"/>
      <c r="CW700" s="156"/>
      <c r="CX700" s="156"/>
      <c r="CY700" s="156"/>
      <c r="CZ700" s="156"/>
      <c r="DA700" s="156"/>
      <c r="DB700" s="156"/>
      <c r="DC700" s="156"/>
      <c r="DD700" s="156"/>
      <c r="DE700" s="156"/>
      <c r="DF700" s="156"/>
      <c r="DG700" s="156"/>
      <c r="DH700" s="156"/>
      <c r="DI700" s="156"/>
      <c r="DJ700" s="156"/>
      <c r="DK700" s="156"/>
      <c r="DL700" s="156"/>
      <c r="DM700" s="156"/>
      <c r="DN700" s="156"/>
      <c r="DO700" s="156"/>
      <c r="DP700" s="156"/>
      <c r="DQ700" s="156"/>
      <c r="DR700" s="156"/>
      <c r="DS700" s="156"/>
      <c r="DT700" s="156"/>
      <c r="DU700" s="156"/>
      <c r="DV700" s="156"/>
      <c r="DW700" s="156"/>
      <c r="DX700" s="156"/>
      <c r="DY700" s="156"/>
      <c r="DZ700" s="156"/>
      <c r="EA700" s="156"/>
      <c r="EB700" s="156"/>
      <c r="EC700" s="156"/>
      <c r="ED700" s="156"/>
      <c r="EE700" s="156"/>
      <c r="EF700" s="156"/>
      <c r="EG700" s="156"/>
      <c r="EH700" s="156"/>
      <c r="EI700" s="156"/>
      <c r="EJ700" s="156"/>
      <c r="EK700" s="156"/>
      <c r="EL700" s="156"/>
      <c r="EM700" s="156"/>
    </row>
    <row r="701" spans="20:143" ht="10.5" customHeight="1">
      <c r="T701" s="156"/>
      <c r="AZ701" s="156"/>
      <c r="BA701" s="156"/>
      <c r="BB701" s="156"/>
      <c r="BC701" s="156"/>
      <c r="BD701" s="156"/>
      <c r="BE701" s="156"/>
      <c r="BF701" s="156"/>
      <c r="BG701" s="156"/>
      <c r="BH701" s="156"/>
      <c r="BI701" s="156"/>
      <c r="BJ701" s="156"/>
      <c r="BK701" s="156"/>
      <c r="BL701" s="156"/>
      <c r="BM701" s="156"/>
      <c r="BN701" s="156"/>
      <c r="BO701" s="156"/>
      <c r="BP701" s="156"/>
      <c r="BQ701" s="156"/>
      <c r="BR701" s="156"/>
      <c r="BS701" s="156"/>
      <c r="BT701" s="156"/>
      <c r="BU701" s="156"/>
      <c r="BV701" s="156"/>
      <c r="BW701" s="156"/>
      <c r="BX701" s="156"/>
      <c r="BY701" s="156"/>
      <c r="BZ701" s="156"/>
      <c r="CA701" s="156"/>
      <c r="CB701" s="156"/>
      <c r="CC701" s="156"/>
      <c r="CD701" s="156"/>
      <c r="CE701" s="156"/>
      <c r="CF701" s="156"/>
      <c r="CG701" s="156"/>
      <c r="CH701" s="156"/>
      <c r="CI701" s="156"/>
      <c r="CJ701" s="156"/>
      <c r="CK701" s="156"/>
      <c r="CL701" s="156"/>
      <c r="CM701" s="156"/>
      <c r="CN701" s="156"/>
      <c r="CO701" s="156"/>
      <c r="CP701" s="156"/>
      <c r="CQ701" s="156"/>
      <c r="CR701" s="156"/>
      <c r="CS701" s="156"/>
      <c r="CT701" s="156"/>
      <c r="CU701" s="156"/>
      <c r="CV701" s="156"/>
      <c r="CW701" s="156"/>
      <c r="CX701" s="156"/>
      <c r="CY701" s="156"/>
      <c r="CZ701" s="156"/>
      <c r="DA701" s="156"/>
      <c r="DB701" s="156"/>
      <c r="DC701" s="156"/>
      <c r="DD701" s="156"/>
      <c r="DE701" s="156"/>
      <c r="DF701" s="156"/>
      <c r="DG701" s="156"/>
      <c r="DH701" s="156"/>
      <c r="DI701" s="156"/>
      <c r="DJ701" s="156"/>
      <c r="DK701" s="156"/>
      <c r="DL701" s="156"/>
      <c r="DM701" s="156"/>
      <c r="DN701" s="156"/>
      <c r="DO701" s="156"/>
      <c r="DP701" s="156"/>
      <c r="DQ701" s="156"/>
      <c r="DR701" s="156"/>
      <c r="DS701" s="156"/>
      <c r="DT701" s="156"/>
      <c r="DU701" s="156"/>
      <c r="DV701" s="156"/>
      <c r="DW701" s="156"/>
      <c r="DX701" s="156"/>
      <c r="DY701" s="156"/>
      <c r="DZ701" s="156"/>
      <c r="EA701" s="156"/>
      <c r="EB701" s="156"/>
      <c r="EC701" s="156"/>
      <c r="ED701" s="156"/>
      <c r="EE701" s="156"/>
      <c r="EF701" s="156"/>
      <c r="EG701" s="156"/>
      <c r="EH701" s="156"/>
      <c r="EI701" s="156"/>
      <c r="EJ701" s="156"/>
      <c r="EK701" s="156"/>
      <c r="EL701" s="156"/>
      <c r="EM701" s="156"/>
    </row>
    <row r="702" spans="20:143" ht="10.5" customHeight="1">
      <c r="T702" s="156"/>
      <c r="AZ702" s="156"/>
      <c r="BA702" s="156"/>
      <c r="BB702" s="156"/>
      <c r="BC702" s="156"/>
      <c r="BD702" s="156"/>
      <c r="BE702" s="156"/>
      <c r="BF702" s="156"/>
      <c r="BG702" s="156"/>
      <c r="BH702" s="156"/>
      <c r="BI702" s="156"/>
      <c r="BJ702" s="156"/>
      <c r="BK702" s="156"/>
      <c r="BL702" s="156"/>
      <c r="BM702" s="156"/>
      <c r="BN702" s="156"/>
      <c r="BO702" s="156"/>
      <c r="BP702" s="156"/>
      <c r="BQ702" s="156"/>
      <c r="BR702" s="156"/>
      <c r="BS702" s="156"/>
      <c r="BT702" s="156"/>
      <c r="BU702" s="156"/>
      <c r="BV702" s="156"/>
      <c r="BW702" s="156"/>
      <c r="BX702" s="156"/>
      <c r="BY702" s="156"/>
      <c r="BZ702" s="156"/>
      <c r="CA702" s="156"/>
      <c r="CB702" s="156"/>
      <c r="CC702" s="156"/>
      <c r="CD702" s="156"/>
      <c r="CE702" s="156"/>
      <c r="CF702" s="156"/>
      <c r="CG702" s="156"/>
      <c r="CH702" s="156"/>
      <c r="CI702" s="156"/>
      <c r="CJ702" s="156"/>
      <c r="CK702" s="156"/>
      <c r="CL702" s="156"/>
      <c r="CM702" s="156"/>
      <c r="CN702" s="156"/>
      <c r="CO702" s="156"/>
      <c r="CP702" s="156"/>
      <c r="CQ702" s="156"/>
      <c r="CR702" s="156"/>
      <c r="CS702" s="156"/>
      <c r="CT702" s="156"/>
      <c r="CU702" s="156"/>
      <c r="CV702" s="156"/>
      <c r="CW702" s="156"/>
      <c r="CX702" s="156"/>
      <c r="CY702" s="156"/>
      <c r="CZ702" s="156"/>
      <c r="DA702" s="156"/>
      <c r="DB702" s="156"/>
      <c r="DC702" s="156"/>
      <c r="DD702" s="156"/>
      <c r="DE702" s="156"/>
      <c r="DF702" s="156"/>
      <c r="DG702" s="156"/>
      <c r="DH702" s="156"/>
      <c r="DI702" s="156"/>
      <c r="DJ702" s="156"/>
      <c r="DK702" s="156"/>
      <c r="DL702" s="156"/>
      <c r="DM702" s="156"/>
      <c r="DN702" s="156"/>
      <c r="DO702" s="156"/>
      <c r="DP702" s="156"/>
      <c r="DQ702" s="156"/>
      <c r="DR702" s="156"/>
      <c r="DS702" s="156"/>
      <c r="DT702" s="156"/>
      <c r="DU702" s="156"/>
      <c r="DV702" s="156"/>
      <c r="DW702" s="156"/>
      <c r="DX702" s="156"/>
      <c r="DY702" s="156"/>
      <c r="DZ702" s="156"/>
      <c r="EA702" s="156"/>
      <c r="EB702" s="156"/>
      <c r="EC702" s="156"/>
      <c r="ED702" s="156"/>
      <c r="EE702" s="156"/>
      <c r="EF702" s="156"/>
      <c r="EG702" s="156"/>
      <c r="EH702" s="156"/>
      <c r="EI702" s="156"/>
      <c r="EJ702" s="156"/>
      <c r="EK702" s="156"/>
      <c r="EL702" s="156"/>
      <c r="EM702" s="156"/>
    </row>
    <row r="703" spans="20:143" ht="10.5" customHeight="1">
      <c r="T703" s="156"/>
      <c r="AZ703" s="156"/>
      <c r="BA703" s="156"/>
      <c r="BB703" s="156"/>
      <c r="BC703" s="156"/>
      <c r="BD703" s="156"/>
      <c r="BE703" s="156"/>
      <c r="BF703" s="156"/>
      <c r="BG703" s="156"/>
      <c r="BH703" s="156"/>
      <c r="BI703" s="156"/>
      <c r="BJ703" s="156"/>
      <c r="BK703" s="156"/>
      <c r="BL703" s="156"/>
      <c r="BM703" s="156"/>
      <c r="BN703" s="156"/>
      <c r="BO703" s="156"/>
      <c r="BP703" s="156"/>
      <c r="BQ703" s="156"/>
      <c r="BR703" s="156"/>
      <c r="BS703" s="156"/>
      <c r="BT703" s="156"/>
      <c r="BU703" s="156"/>
      <c r="BV703" s="156"/>
      <c r="BW703" s="156"/>
      <c r="BX703" s="156"/>
      <c r="BY703" s="156"/>
      <c r="BZ703" s="156"/>
      <c r="CA703" s="156"/>
      <c r="CB703" s="156"/>
      <c r="CC703" s="156"/>
      <c r="CD703" s="156"/>
      <c r="CE703" s="156"/>
      <c r="CF703" s="156"/>
      <c r="CG703" s="156"/>
      <c r="CH703" s="156"/>
      <c r="CI703" s="156"/>
      <c r="CJ703" s="156"/>
      <c r="CK703" s="156"/>
      <c r="CL703" s="156"/>
      <c r="CM703" s="156"/>
      <c r="CN703" s="156"/>
      <c r="CO703" s="156"/>
      <c r="CP703" s="156"/>
      <c r="CQ703" s="156"/>
      <c r="CR703" s="156"/>
      <c r="CS703" s="156"/>
      <c r="CT703" s="156"/>
      <c r="CU703" s="156"/>
      <c r="CV703" s="156"/>
      <c r="CW703" s="156"/>
      <c r="CX703" s="156"/>
      <c r="CY703" s="156"/>
      <c r="CZ703" s="156"/>
      <c r="DA703" s="156"/>
      <c r="DB703" s="156"/>
      <c r="DC703" s="156"/>
      <c r="DD703" s="156"/>
      <c r="DE703" s="156"/>
      <c r="DF703" s="156"/>
      <c r="DG703" s="156"/>
      <c r="DH703" s="156"/>
      <c r="DI703" s="156"/>
      <c r="DJ703" s="156"/>
      <c r="DK703" s="156"/>
      <c r="DL703" s="156"/>
      <c r="DM703" s="156"/>
      <c r="DN703" s="156"/>
      <c r="DO703" s="156"/>
      <c r="DP703" s="156"/>
      <c r="DQ703" s="156"/>
      <c r="DR703" s="156"/>
      <c r="DS703" s="156"/>
      <c r="DT703" s="156"/>
      <c r="DU703" s="156"/>
      <c r="DV703" s="156"/>
      <c r="DW703" s="156"/>
      <c r="DX703" s="156"/>
      <c r="DY703" s="156"/>
      <c r="DZ703" s="156"/>
      <c r="EA703" s="156"/>
      <c r="EB703" s="156"/>
      <c r="EC703" s="156"/>
      <c r="ED703" s="156"/>
      <c r="EE703" s="156"/>
      <c r="EF703" s="156"/>
      <c r="EG703" s="156"/>
      <c r="EH703" s="156"/>
      <c r="EI703" s="156"/>
      <c r="EJ703" s="156"/>
      <c r="EK703" s="156"/>
      <c r="EL703" s="156"/>
      <c r="EM703" s="156"/>
    </row>
    <row r="704" spans="20:143" ht="10.5" customHeight="1">
      <c r="T704" s="156"/>
      <c r="AZ704" s="156"/>
      <c r="BA704" s="156"/>
      <c r="BB704" s="156"/>
      <c r="BC704" s="156"/>
      <c r="BD704" s="156"/>
      <c r="BE704" s="156"/>
      <c r="BF704" s="156"/>
      <c r="BG704" s="156"/>
      <c r="BH704" s="156"/>
      <c r="BI704" s="156"/>
      <c r="BJ704" s="156"/>
      <c r="BK704" s="156"/>
      <c r="BL704" s="156"/>
      <c r="BM704" s="156"/>
      <c r="BN704" s="156"/>
      <c r="BO704" s="156"/>
      <c r="BP704" s="156"/>
      <c r="BQ704" s="156"/>
      <c r="BR704" s="156"/>
      <c r="BS704" s="156"/>
      <c r="BT704" s="156"/>
      <c r="BU704" s="156"/>
      <c r="BV704" s="156"/>
      <c r="BW704" s="156"/>
      <c r="BX704" s="156"/>
      <c r="BY704" s="156"/>
      <c r="BZ704" s="156"/>
      <c r="CA704" s="156"/>
      <c r="CB704" s="156"/>
      <c r="CC704" s="156"/>
      <c r="CD704" s="156"/>
      <c r="CE704" s="156"/>
      <c r="CF704" s="156"/>
      <c r="CG704" s="156"/>
      <c r="CH704" s="156"/>
      <c r="CI704" s="156"/>
      <c r="CJ704" s="156"/>
      <c r="CK704" s="156"/>
      <c r="CL704" s="156"/>
      <c r="CM704" s="156"/>
      <c r="CN704" s="156"/>
      <c r="CO704" s="156"/>
      <c r="CP704" s="156"/>
      <c r="CQ704" s="156"/>
      <c r="CR704" s="156"/>
      <c r="CS704" s="156"/>
      <c r="CT704" s="156"/>
      <c r="CU704" s="156"/>
      <c r="CV704" s="156"/>
      <c r="CW704" s="156"/>
      <c r="CX704" s="156"/>
      <c r="CY704" s="156"/>
      <c r="CZ704" s="156"/>
      <c r="DA704" s="156"/>
      <c r="DB704" s="156"/>
      <c r="DC704" s="156"/>
      <c r="DD704" s="156"/>
      <c r="DE704" s="156"/>
      <c r="DF704" s="156"/>
      <c r="DG704" s="156"/>
      <c r="DH704" s="156"/>
      <c r="DI704" s="156"/>
      <c r="DJ704" s="156"/>
      <c r="DK704" s="156"/>
      <c r="DL704" s="156"/>
      <c r="DM704" s="156"/>
      <c r="DN704" s="156"/>
      <c r="DO704" s="156"/>
      <c r="DP704" s="156"/>
      <c r="DQ704" s="156"/>
      <c r="DR704" s="156"/>
      <c r="DS704" s="156"/>
      <c r="DT704" s="156"/>
      <c r="DU704" s="156"/>
      <c r="DV704" s="156"/>
      <c r="DW704" s="156"/>
      <c r="DX704" s="156"/>
      <c r="DY704" s="156"/>
      <c r="DZ704" s="156"/>
      <c r="EA704" s="156"/>
      <c r="EB704" s="156"/>
      <c r="EC704" s="156"/>
      <c r="ED704" s="156"/>
      <c r="EE704" s="156"/>
      <c r="EF704" s="156"/>
      <c r="EG704" s="156"/>
      <c r="EH704" s="156"/>
      <c r="EI704" s="156"/>
      <c r="EJ704" s="156"/>
      <c r="EK704" s="156"/>
      <c r="EL704" s="156"/>
      <c r="EM704" s="156"/>
    </row>
    <row r="705" spans="20:143" ht="10.5" customHeight="1">
      <c r="T705" s="156"/>
      <c r="AZ705" s="156"/>
      <c r="BA705" s="156"/>
      <c r="BB705" s="156"/>
      <c r="BC705" s="156"/>
      <c r="BD705" s="156"/>
      <c r="BE705" s="156"/>
      <c r="BF705" s="156"/>
      <c r="BG705" s="156"/>
      <c r="BH705" s="156"/>
      <c r="BI705" s="156"/>
      <c r="BJ705" s="156"/>
      <c r="BK705" s="156"/>
      <c r="BL705" s="156"/>
      <c r="BM705" s="156"/>
      <c r="BN705" s="156"/>
      <c r="BO705" s="156"/>
      <c r="BP705" s="156"/>
      <c r="BQ705" s="156"/>
      <c r="BR705" s="156"/>
      <c r="BS705" s="156"/>
      <c r="BT705" s="156"/>
      <c r="BU705" s="156"/>
      <c r="BV705" s="156"/>
      <c r="BW705" s="156"/>
      <c r="BX705" s="156"/>
      <c r="BY705" s="156"/>
      <c r="BZ705" s="156"/>
      <c r="CA705" s="156"/>
      <c r="CB705" s="156"/>
      <c r="CC705" s="156"/>
      <c r="CD705" s="156"/>
      <c r="CE705" s="156"/>
      <c r="CF705" s="156"/>
      <c r="CG705" s="156"/>
      <c r="CH705" s="156"/>
      <c r="CI705" s="156"/>
      <c r="CJ705" s="156"/>
      <c r="CK705" s="156"/>
      <c r="CL705" s="156"/>
      <c r="CM705" s="156"/>
      <c r="CN705" s="156"/>
      <c r="CO705" s="156"/>
      <c r="CP705" s="156"/>
      <c r="CQ705" s="156"/>
      <c r="CR705" s="156"/>
      <c r="CS705" s="156"/>
      <c r="CT705" s="156"/>
      <c r="CU705" s="156"/>
      <c r="CV705" s="156"/>
      <c r="CW705" s="156"/>
      <c r="CX705" s="156"/>
      <c r="CY705" s="156"/>
      <c r="CZ705" s="156"/>
      <c r="DA705" s="156"/>
      <c r="DB705" s="156"/>
      <c r="DC705" s="156"/>
      <c r="DD705" s="156"/>
      <c r="DE705" s="156"/>
      <c r="DF705" s="156"/>
      <c r="DG705" s="156"/>
      <c r="DH705" s="156"/>
      <c r="DI705" s="156"/>
      <c r="DJ705" s="156"/>
      <c r="DK705" s="156"/>
      <c r="DL705" s="156"/>
      <c r="DM705" s="156"/>
      <c r="DN705" s="156"/>
      <c r="DO705" s="156"/>
      <c r="DP705" s="156"/>
      <c r="DQ705" s="156"/>
      <c r="DR705" s="156"/>
      <c r="DS705" s="156"/>
      <c r="DT705" s="156"/>
      <c r="DU705" s="156"/>
      <c r="DV705" s="156"/>
      <c r="DW705" s="156"/>
      <c r="DX705" s="156"/>
      <c r="DY705" s="156"/>
      <c r="DZ705" s="156"/>
      <c r="EA705" s="156"/>
      <c r="EB705" s="156"/>
      <c r="EC705" s="156"/>
      <c r="ED705" s="156"/>
      <c r="EE705" s="156"/>
      <c r="EF705" s="156"/>
      <c r="EG705" s="156"/>
      <c r="EH705" s="156"/>
      <c r="EI705" s="156"/>
      <c r="EJ705" s="156"/>
      <c r="EK705" s="156"/>
      <c r="EL705" s="156"/>
      <c r="EM705" s="156"/>
    </row>
    <row r="706" spans="20:143" ht="10.5" customHeight="1">
      <c r="T706" s="156"/>
      <c r="AZ706" s="156"/>
      <c r="BA706" s="156"/>
      <c r="BB706" s="156"/>
      <c r="BC706" s="156"/>
      <c r="BD706" s="156"/>
      <c r="BE706" s="156"/>
      <c r="BF706" s="156"/>
      <c r="BG706" s="156"/>
      <c r="BH706" s="156"/>
      <c r="BI706" s="156"/>
      <c r="BJ706" s="156"/>
      <c r="BK706" s="156"/>
      <c r="BL706" s="156"/>
      <c r="BM706" s="156"/>
      <c r="BN706" s="156"/>
      <c r="BO706" s="156"/>
      <c r="BP706" s="156"/>
      <c r="BQ706" s="156"/>
      <c r="BR706" s="156"/>
      <c r="BS706" s="156"/>
      <c r="BT706" s="156"/>
      <c r="BU706" s="156"/>
      <c r="BV706" s="156"/>
      <c r="BW706" s="156"/>
      <c r="BX706" s="156"/>
      <c r="BY706" s="156"/>
      <c r="BZ706" s="156"/>
      <c r="CA706" s="156"/>
      <c r="CB706" s="156"/>
      <c r="CC706" s="156"/>
      <c r="CD706" s="156"/>
      <c r="CE706" s="156"/>
      <c r="CF706" s="156"/>
      <c r="CG706" s="156"/>
      <c r="CH706" s="156"/>
      <c r="CI706" s="156"/>
      <c r="CJ706" s="156"/>
      <c r="CK706" s="156"/>
      <c r="CL706" s="156"/>
      <c r="CM706" s="156"/>
      <c r="CN706" s="156"/>
      <c r="CO706" s="156"/>
      <c r="CP706" s="156"/>
      <c r="CQ706" s="156"/>
      <c r="CR706" s="156"/>
      <c r="CS706" s="156"/>
      <c r="CT706" s="156"/>
      <c r="CU706" s="156"/>
      <c r="CV706" s="156"/>
      <c r="CW706" s="156"/>
      <c r="CX706" s="156"/>
      <c r="CY706" s="156"/>
      <c r="CZ706" s="156"/>
      <c r="DA706" s="156"/>
      <c r="DB706" s="156"/>
      <c r="DC706" s="156"/>
      <c r="DD706" s="156"/>
      <c r="DE706" s="156"/>
      <c r="DF706" s="156"/>
      <c r="DG706" s="156"/>
      <c r="DH706" s="156"/>
      <c r="DI706" s="156"/>
      <c r="DJ706" s="156"/>
      <c r="DK706" s="156"/>
      <c r="DL706" s="156"/>
      <c r="DM706" s="156"/>
      <c r="DN706" s="156"/>
      <c r="DO706" s="156"/>
      <c r="DP706" s="156"/>
      <c r="DQ706" s="156"/>
      <c r="DR706" s="156"/>
      <c r="DS706" s="156"/>
      <c r="DT706" s="156"/>
      <c r="DU706" s="156"/>
      <c r="DV706" s="156"/>
      <c r="DW706" s="156"/>
      <c r="DX706" s="156"/>
      <c r="DY706" s="156"/>
      <c r="DZ706" s="156"/>
      <c r="EA706" s="156"/>
      <c r="EB706" s="156"/>
      <c r="EC706" s="156"/>
      <c r="ED706" s="156"/>
      <c r="EE706" s="156"/>
      <c r="EF706" s="156"/>
      <c r="EG706" s="156"/>
      <c r="EH706" s="156"/>
      <c r="EI706" s="156"/>
      <c r="EJ706" s="156"/>
      <c r="EK706" s="156"/>
      <c r="EL706" s="156"/>
      <c r="EM706" s="156"/>
    </row>
    <row r="707" spans="20:143" ht="10.5" customHeight="1">
      <c r="T707" s="156"/>
      <c r="AZ707" s="156"/>
      <c r="BA707" s="156"/>
      <c r="BB707" s="156"/>
      <c r="BC707" s="156"/>
      <c r="BD707" s="156"/>
      <c r="BE707" s="156"/>
      <c r="BF707" s="156"/>
      <c r="BG707" s="156"/>
      <c r="BH707" s="156"/>
      <c r="BI707" s="156"/>
      <c r="BJ707" s="156"/>
      <c r="BK707" s="156"/>
      <c r="BL707" s="156"/>
      <c r="BM707" s="156"/>
      <c r="BN707" s="156"/>
      <c r="BO707" s="156"/>
      <c r="BP707" s="156"/>
      <c r="BQ707" s="156"/>
      <c r="BR707" s="156"/>
      <c r="BS707" s="156"/>
      <c r="BT707" s="156"/>
      <c r="BU707" s="156"/>
      <c r="BV707" s="156"/>
      <c r="BW707" s="156"/>
      <c r="BX707" s="156"/>
      <c r="BY707" s="156"/>
      <c r="BZ707" s="156"/>
      <c r="CA707" s="156"/>
      <c r="CB707" s="156"/>
      <c r="CC707" s="156"/>
      <c r="CD707" s="156"/>
      <c r="CE707" s="156"/>
      <c r="CF707" s="156"/>
      <c r="CG707" s="156"/>
      <c r="CH707" s="156"/>
      <c r="CI707" s="156"/>
      <c r="CJ707" s="156"/>
      <c r="CK707" s="156"/>
      <c r="CL707" s="156"/>
      <c r="CM707" s="156"/>
      <c r="CN707" s="156"/>
      <c r="CO707" s="156"/>
      <c r="CP707" s="156"/>
      <c r="CQ707" s="156"/>
      <c r="CR707" s="156"/>
      <c r="CS707" s="156"/>
      <c r="CT707" s="156"/>
      <c r="CU707" s="156"/>
      <c r="CV707" s="156"/>
      <c r="CW707" s="156"/>
      <c r="CX707" s="156"/>
      <c r="CY707" s="156"/>
      <c r="CZ707" s="156"/>
      <c r="DA707" s="156"/>
      <c r="DB707" s="156"/>
      <c r="DC707" s="156"/>
      <c r="DD707" s="156"/>
      <c r="DE707" s="156"/>
      <c r="DF707" s="156"/>
      <c r="DG707" s="156"/>
      <c r="DH707" s="156"/>
      <c r="DI707" s="156"/>
      <c r="DJ707" s="156"/>
      <c r="DK707" s="156"/>
      <c r="DL707" s="156"/>
      <c r="DM707" s="156"/>
      <c r="DN707" s="156"/>
      <c r="DO707" s="156"/>
      <c r="DP707" s="156"/>
      <c r="DQ707" s="156"/>
      <c r="DR707" s="156"/>
      <c r="DS707" s="156"/>
      <c r="DT707" s="156"/>
      <c r="DU707" s="156"/>
      <c r="DV707" s="156"/>
      <c r="DW707" s="156"/>
      <c r="DX707" s="156"/>
      <c r="DY707" s="156"/>
      <c r="DZ707" s="156"/>
      <c r="EA707" s="156"/>
      <c r="EB707" s="156"/>
      <c r="EC707" s="156"/>
      <c r="ED707" s="156"/>
      <c r="EE707" s="156"/>
      <c r="EF707" s="156"/>
      <c r="EG707" s="156"/>
      <c r="EH707" s="156"/>
      <c r="EI707" s="156"/>
      <c r="EJ707" s="156"/>
      <c r="EK707" s="156"/>
      <c r="EL707" s="156"/>
      <c r="EM707" s="156"/>
    </row>
    <row r="708" spans="20:143" ht="10.5" customHeight="1">
      <c r="T708" s="156"/>
      <c r="AZ708" s="156"/>
      <c r="BA708" s="156"/>
      <c r="BB708" s="156"/>
      <c r="BC708" s="156"/>
      <c r="BD708" s="156"/>
      <c r="BE708" s="156"/>
      <c r="BF708" s="156"/>
      <c r="BG708" s="156"/>
      <c r="BH708" s="156"/>
      <c r="BI708" s="156"/>
      <c r="BJ708" s="156"/>
      <c r="BK708" s="156"/>
      <c r="BL708" s="156"/>
      <c r="BM708" s="156"/>
      <c r="BN708" s="156"/>
      <c r="BO708" s="156"/>
      <c r="BP708" s="156"/>
      <c r="BQ708" s="156"/>
      <c r="BR708" s="156"/>
      <c r="BS708" s="156"/>
      <c r="BT708" s="156"/>
      <c r="BU708" s="156"/>
      <c r="BV708" s="156"/>
      <c r="BW708" s="156"/>
      <c r="BX708" s="156"/>
      <c r="BY708" s="156"/>
      <c r="BZ708" s="156"/>
      <c r="CA708" s="156"/>
      <c r="CB708" s="156"/>
      <c r="CC708" s="156"/>
      <c r="CD708" s="156"/>
      <c r="CE708" s="156"/>
      <c r="CF708" s="156"/>
      <c r="CG708" s="156"/>
      <c r="CH708" s="156"/>
      <c r="CI708" s="156"/>
      <c r="CJ708" s="156"/>
      <c r="CK708" s="156"/>
      <c r="CL708" s="156"/>
      <c r="CM708" s="156"/>
      <c r="CN708" s="156"/>
      <c r="CO708" s="156"/>
      <c r="CP708" s="156"/>
      <c r="CQ708" s="156"/>
      <c r="CR708" s="156"/>
      <c r="CS708" s="156"/>
      <c r="CT708" s="156"/>
      <c r="CU708" s="156"/>
      <c r="CV708" s="156"/>
      <c r="CW708" s="156"/>
      <c r="CX708" s="156"/>
      <c r="CY708" s="156"/>
      <c r="CZ708" s="156"/>
      <c r="DA708" s="156"/>
      <c r="DB708" s="156"/>
      <c r="DC708" s="156"/>
      <c r="DD708" s="156"/>
      <c r="DE708" s="156"/>
      <c r="DF708" s="156"/>
      <c r="DG708" s="156"/>
      <c r="DH708" s="156"/>
      <c r="DI708" s="156"/>
      <c r="DJ708" s="156"/>
      <c r="DK708" s="156"/>
      <c r="DL708" s="156"/>
      <c r="DM708" s="156"/>
      <c r="DN708" s="156"/>
      <c r="DO708" s="156"/>
      <c r="DP708" s="156"/>
      <c r="DQ708" s="156"/>
      <c r="DR708" s="156"/>
      <c r="DS708" s="156"/>
      <c r="DT708" s="156"/>
      <c r="DU708" s="156"/>
      <c r="DV708" s="156"/>
      <c r="DW708" s="156"/>
      <c r="DX708" s="156"/>
      <c r="DY708" s="156"/>
      <c r="DZ708" s="156"/>
      <c r="EA708" s="156"/>
      <c r="EB708" s="156"/>
      <c r="EC708" s="156"/>
      <c r="ED708" s="156"/>
      <c r="EE708" s="156"/>
      <c r="EF708" s="156"/>
      <c r="EG708" s="156"/>
      <c r="EH708" s="156"/>
      <c r="EI708" s="156"/>
      <c r="EJ708" s="156"/>
      <c r="EK708" s="156"/>
      <c r="EL708" s="156"/>
      <c r="EM708" s="156"/>
    </row>
    <row r="709" spans="20:143" ht="10.5" customHeight="1">
      <c r="T709" s="156"/>
      <c r="AZ709" s="156"/>
      <c r="BA709" s="156"/>
      <c r="BB709" s="156"/>
      <c r="BC709" s="156"/>
      <c r="BD709" s="156"/>
      <c r="BE709" s="156"/>
      <c r="BF709" s="156"/>
      <c r="BG709" s="156"/>
      <c r="BH709" s="156"/>
      <c r="BI709" s="156"/>
      <c r="BJ709" s="156"/>
      <c r="BK709" s="156"/>
      <c r="BL709" s="156"/>
      <c r="BM709" s="156"/>
      <c r="BN709" s="156"/>
      <c r="BO709" s="156"/>
      <c r="BP709" s="156"/>
      <c r="BQ709" s="156"/>
      <c r="BR709" s="156"/>
      <c r="BS709" s="156"/>
      <c r="BT709" s="156"/>
      <c r="BU709" s="156"/>
      <c r="BV709" s="156"/>
      <c r="BW709" s="156"/>
      <c r="BX709" s="156"/>
      <c r="BY709" s="156"/>
      <c r="BZ709" s="156"/>
      <c r="CA709" s="156"/>
      <c r="CB709" s="156"/>
      <c r="CC709" s="156"/>
      <c r="CD709" s="156"/>
      <c r="CE709" s="156"/>
      <c r="CF709" s="156"/>
      <c r="CG709" s="156"/>
      <c r="CH709" s="156"/>
      <c r="CI709" s="156"/>
      <c r="CJ709" s="156"/>
      <c r="CK709" s="156"/>
      <c r="CL709" s="156"/>
      <c r="CM709" s="156"/>
      <c r="CN709" s="156"/>
      <c r="CO709" s="156"/>
      <c r="CP709" s="156"/>
      <c r="CQ709" s="156"/>
      <c r="CR709" s="156"/>
      <c r="CS709" s="156"/>
      <c r="CT709" s="156"/>
      <c r="CU709" s="156"/>
      <c r="CV709" s="156"/>
      <c r="CW709" s="156"/>
      <c r="CX709" s="156"/>
      <c r="CY709" s="156"/>
      <c r="CZ709" s="156"/>
      <c r="DA709" s="156"/>
      <c r="DB709" s="156"/>
      <c r="DC709" s="156"/>
      <c r="DD709" s="156"/>
      <c r="DE709" s="156"/>
      <c r="DF709" s="156"/>
      <c r="DG709" s="156"/>
      <c r="DH709" s="156"/>
      <c r="DI709" s="156"/>
      <c r="DJ709" s="156"/>
      <c r="DK709" s="156"/>
      <c r="DL709" s="156"/>
      <c r="DM709" s="156"/>
      <c r="DN709" s="156"/>
      <c r="DO709" s="156"/>
      <c r="DP709" s="156"/>
      <c r="DQ709" s="156"/>
      <c r="DR709" s="156"/>
      <c r="DS709" s="156"/>
      <c r="DT709" s="156"/>
      <c r="DU709" s="156"/>
      <c r="DV709" s="156"/>
      <c r="DW709" s="156"/>
      <c r="DX709" s="156"/>
      <c r="DY709" s="156"/>
      <c r="DZ709" s="156"/>
      <c r="EA709" s="156"/>
      <c r="EB709" s="156"/>
      <c r="EC709" s="156"/>
      <c r="ED709" s="156"/>
      <c r="EE709" s="156"/>
      <c r="EF709" s="156"/>
      <c r="EG709" s="156"/>
      <c r="EH709" s="156"/>
      <c r="EI709" s="156"/>
      <c r="EJ709" s="156"/>
      <c r="EK709" s="156"/>
      <c r="EL709" s="156"/>
      <c r="EM709" s="156"/>
    </row>
    <row r="710" spans="20:143" ht="10.5" customHeight="1">
      <c r="T710" s="156"/>
      <c r="AZ710" s="156"/>
      <c r="BA710" s="156"/>
      <c r="BB710" s="156"/>
      <c r="BC710" s="156"/>
      <c r="BD710" s="156"/>
      <c r="BE710" s="156"/>
      <c r="BF710" s="156"/>
      <c r="BG710" s="156"/>
      <c r="BH710" s="156"/>
      <c r="BI710" s="156"/>
      <c r="BJ710" s="156"/>
      <c r="BK710" s="156"/>
      <c r="BL710" s="156"/>
      <c r="BM710" s="156"/>
      <c r="BN710" s="156"/>
      <c r="BO710" s="156"/>
      <c r="BP710" s="156"/>
      <c r="BQ710" s="156"/>
      <c r="BR710" s="156"/>
      <c r="BS710" s="156"/>
      <c r="BT710" s="156"/>
      <c r="BU710" s="156"/>
      <c r="BV710" s="156"/>
      <c r="BW710" s="156"/>
      <c r="BX710" s="156"/>
      <c r="BY710" s="156"/>
      <c r="BZ710" s="156"/>
      <c r="CA710" s="156"/>
      <c r="CB710" s="156"/>
      <c r="CC710" s="156"/>
      <c r="CD710" s="156"/>
      <c r="CE710" s="156"/>
      <c r="CF710" s="156"/>
      <c r="CG710" s="156"/>
      <c r="CH710" s="156"/>
      <c r="CI710" s="156"/>
      <c r="CJ710" s="156"/>
      <c r="CK710" s="156"/>
      <c r="CL710" s="156"/>
      <c r="CM710" s="156"/>
      <c r="CN710" s="156"/>
      <c r="CO710" s="156"/>
      <c r="CP710" s="156"/>
      <c r="CQ710" s="156"/>
      <c r="CR710" s="156"/>
      <c r="CS710" s="156"/>
      <c r="CT710" s="156"/>
      <c r="CU710" s="156"/>
      <c r="CV710" s="156"/>
      <c r="CW710" s="156"/>
      <c r="CX710" s="156"/>
      <c r="CY710" s="156"/>
      <c r="CZ710" s="156"/>
      <c r="DA710" s="156"/>
      <c r="DB710" s="156"/>
      <c r="DC710" s="156"/>
      <c r="DD710" s="156"/>
      <c r="DE710" s="156"/>
      <c r="DF710" s="156"/>
      <c r="DG710" s="156"/>
      <c r="DH710" s="156"/>
      <c r="DI710" s="156"/>
      <c r="DJ710" s="156"/>
      <c r="DK710" s="156"/>
      <c r="DL710" s="156"/>
      <c r="DM710" s="156"/>
      <c r="DN710" s="156"/>
      <c r="DO710" s="156"/>
      <c r="DP710" s="156"/>
      <c r="DQ710" s="156"/>
      <c r="DR710" s="156"/>
      <c r="DS710" s="156"/>
      <c r="DT710" s="156"/>
      <c r="DU710" s="156"/>
      <c r="DV710" s="156"/>
      <c r="DW710" s="156"/>
      <c r="DX710" s="156"/>
      <c r="DY710" s="156"/>
      <c r="DZ710" s="156"/>
      <c r="EA710" s="156"/>
      <c r="EB710" s="156"/>
      <c r="EC710" s="156"/>
      <c r="ED710" s="156"/>
      <c r="EE710" s="156"/>
      <c r="EF710" s="156"/>
      <c r="EG710" s="156"/>
      <c r="EH710" s="156"/>
      <c r="EI710" s="156"/>
      <c r="EJ710" s="156"/>
      <c r="EK710" s="156"/>
      <c r="EL710" s="156"/>
      <c r="EM710" s="156"/>
    </row>
    <row r="711" spans="20:143" ht="10.5" customHeight="1">
      <c r="T711" s="156"/>
      <c r="AZ711" s="156"/>
      <c r="BA711" s="156"/>
      <c r="BB711" s="156"/>
      <c r="BC711" s="156"/>
      <c r="BD711" s="156"/>
      <c r="BE711" s="156"/>
      <c r="BF711" s="156"/>
      <c r="BG711" s="156"/>
      <c r="BH711" s="156"/>
      <c r="BI711" s="156"/>
      <c r="BJ711" s="156"/>
      <c r="BK711" s="156"/>
      <c r="BL711" s="156"/>
      <c r="BM711" s="156"/>
      <c r="BN711" s="156"/>
      <c r="BO711" s="156"/>
      <c r="BP711" s="156"/>
      <c r="BQ711" s="156"/>
      <c r="BR711" s="156"/>
      <c r="BS711" s="156"/>
      <c r="BT711" s="156"/>
      <c r="BU711" s="156"/>
      <c r="BV711" s="156"/>
      <c r="BW711" s="156"/>
      <c r="BX711" s="156"/>
      <c r="BY711" s="156"/>
      <c r="BZ711" s="156"/>
      <c r="CA711" s="156"/>
      <c r="CB711" s="156"/>
      <c r="CC711" s="156"/>
      <c r="CD711" s="156"/>
      <c r="CE711" s="156"/>
      <c r="CF711" s="156"/>
      <c r="CG711" s="156"/>
      <c r="CH711" s="156"/>
      <c r="CI711" s="156"/>
      <c r="CJ711" s="156"/>
      <c r="CK711" s="156"/>
      <c r="CL711" s="156"/>
      <c r="CM711" s="156"/>
      <c r="CN711" s="156"/>
      <c r="CO711" s="156"/>
      <c r="CP711" s="156"/>
      <c r="CQ711" s="156"/>
      <c r="CR711" s="156"/>
      <c r="CS711" s="156"/>
      <c r="CT711" s="156"/>
      <c r="CU711" s="156"/>
      <c r="CV711" s="156"/>
      <c r="CW711" s="156"/>
      <c r="CX711" s="156"/>
      <c r="CY711" s="156"/>
      <c r="CZ711" s="156"/>
      <c r="DA711" s="156"/>
      <c r="DB711" s="156"/>
      <c r="DC711" s="156"/>
      <c r="DD711" s="156"/>
      <c r="DE711" s="156"/>
      <c r="DF711" s="156"/>
      <c r="DG711" s="156"/>
      <c r="DH711" s="156"/>
      <c r="DI711" s="156"/>
      <c r="DJ711" s="156"/>
      <c r="DK711" s="156"/>
      <c r="DL711" s="156"/>
      <c r="DM711" s="156"/>
      <c r="DN711" s="156"/>
      <c r="DO711" s="156"/>
      <c r="DP711" s="156"/>
      <c r="DQ711" s="156"/>
      <c r="DR711" s="156"/>
      <c r="DS711" s="156"/>
      <c r="DT711" s="156"/>
      <c r="DU711" s="156"/>
      <c r="DV711" s="156"/>
      <c r="DW711" s="156"/>
      <c r="DX711" s="156"/>
      <c r="DY711" s="156"/>
      <c r="DZ711" s="156"/>
      <c r="EA711" s="156"/>
      <c r="EB711" s="156"/>
      <c r="EC711" s="156"/>
      <c r="ED711" s="156"/>
      <c r="EE711" s="156"/>
      <c r="EF711" s="156"/>
      <c r="EG711" s="156"/>
      <c r="EH711" s="156"/>
      <c r="EI711" s="156"/>
      <c r="EJ711" s="156"/>
      <c r="EK711" s="156"/>
      <c r="EL711" s="156"/>
      <c r="EM711" s="156"/>
    </row>
    <row r="712" spans="20:143" ht="10.5" customHeight="1">
      <c r="T712" s="156"/>
      <c r="AZ712" s="156"/>
      <c r="BA712" s="156"/>
      <c r="BB712" s="156"/>
      <c r="BC712" s="156"/>
      <c r="BD712" s="156"/>
      <c r="BE712" s="156"/>
      <c r="BF712" s="156"/>
      <c r="BG712" s="156"/>
      <c r="BH712" s="156"/>
      <c r="BI712" s="156"/>
      <c r="BJ712" s="156"/>
      <c r="BK712" s="156"/>
      <c r="BL712" s="156"/>
      <c r="BM712" s="156"/>
      <c r="BN712" s="156"/>
      <c r="BO712" s="156"/>
      <c r="BP712" s="156"/>
      <c r="BQ712" s="156"/>
      <c r="BR712" s="156"/>
      <c r="BS712" s="156"/>
      <c r="BT712" s="156"/>
      <c r="BU712" s="156"/>
      <c r="BV712" s="156"/>
      <c r="BW712" s="156"/>
      <c r="BX712" s="156"/>
      <c r="BY712" s="156"/>
      <c r="BZ712" s="156"/>
      <c r="CA712" s="156"/>
      <c r="CB712" s="156"/>
      <c r="CC712" s="156"/>
      <c r="CD712" s="156"/>
      <c r="CE712" s="156"/>
      <c r="CF712" s="156"/>
      <c r="CG712" s="156"/>
      <c r="CH712" s="156"/>
      <c r="CI712" s="156"/>
      <c r="CJ712" s="156"/>
      <c r="CK712" s="156"/>
      <c r="CL712" s="156"/>
      <c r="CM712" s="156"/>
      <c r="CN712" s="156"/>
      <c r="CO712" s="156"/>
      <c r="CP712" s="156"/>
      <c r="CQ712" s="156"/>
      <c r="CR712" s="156"/>
      <c r="CS712" s="156"/>
      <c r="CT712" s="156"/>
      <c r="CU712" s="156"/>
      <c r="CV712" s="156"/>
      <c r="CW712" s="156"/>
      <c r="CX712" s="156"/>
      <c r="CY712" s="156"/>
      <c r="CZ712" s="156"/>
      <c r="DA712" s="156"/>
      <c r="DB712" s="156"/>
      <c r="DC712" s="156"/>
      <c r="DD712" s="156"/>
      <c r="DE712" s="156"/>
      <c r="DF712" s="156"/>
      <c r="DG712" s="156"/>
      <c r="DH712" s="156"/>
      <c r="DI712" s="156"/>
      <c r="DJ712" s="156"/>
      <c r="DK712" s="156"/>
      <c r="DL712" s="156"/>
      <c r="DM712" s="156"/>
      <c r="DN712" s="156"/>
      <c r="DO712" s="156"/>
      <c r="DP712" s="156"/>
      <c r="DQ712" s="156"/>
      <c r="DR712" s="156"/>
      <c r="DS712" s="156"/>
      <c r="DT712" s="156"/>
      <c r="DU712" s="156"/>
      <c r="DV712" s="156"/>
      <c r="DW712" s="156"/>
      <c r="DX712" s="156"/>
      <c r="DY712" s="156"/>
      <c r="DZ712" s="156"/>
      <c r="EA712" s="156"/>
      <c r="EB712" s="156"/>
      <c r="EC712" s="156"/>
      <c r="ED712" s="156"/>
      <c r="EE712" s="156"/>
      <c r="EF712" s="156"/>
      <c r="EG712" s="156"/>
      <c r="EH712" s="156"/>
      <c r="EI712" s="156"/>
      <c r="EJ712" s="156"/>
      <c r="EK712" s="156"/>
      <c r="EL712" s="156"/>
      <c r="EM712" s="156"/>
    </row>
    <row r="713" spans="20:143" ht="10.5" customHeight="1">
      <c r="T713" s="156"/>
      <c r="AZ713" s="156"/>
      <c r="BA713" s="156"/>
      <c r="BB713" s="156"/>
      <c r="BC713" s="156"/>
      <c r="BD713" s="156"/>
      <c r="BE713" s="156"/>
      <c r="BF713" s="156"/>
      <c r="BG713" s="156"/>
      <c r="BH713" s="156"/>
      <c r="BI713" s="156"/>
      <c r="BJ713" s="156"/>
      <c r="BK713" s="156"/>
      <c r="BL713" s="156"/>
      <c r="BM713" s="156"/>
      <c r="BN713" s="156"/>
      <c r="BO713" s="156"/>
      <c r="BP713" s="156"/>
      <c r="BQ713" s="156"/>
      <c r="BR713" s="156"/>
      <c r="BS713" s="156"/>
      <c r="BT713" s="156"/>
      <c r="BU713" s="156"/>
      <c r="BV713" s="156"/>
      <c r="BW713" s="156"/>
      <c r="BX713" s="156"/>
      <c r="BY713" s="156"/>
      <c r="BZ713" s="156"/>
      <c r="CA713" s="156"/>
      <c r="CB713" s="156"/>
      <c r="CC713" s="156"/>
      <c r="CD713" s="156"/>
      <c r="CE713" s="156"/>
      <c r="CF713" s="156"/>
      <c r="CG713" s="156"/>
      <c r="CH713" s="156"/>
      <c r="CI713" s="156"/>
      <c r="CJ713" s="156"/>
      <c r="CK713" s="156"/>
      <c r="CL713" s="156"/>
      <c r="CM713" s="156"/>
      <c r="CN713" s="156"/>
      <c r="CO713" s="156"/>
      <c r="CP713" s="156"/>
      <c r="CQ713" s="156"/>
      <c r="CR713" s="156"/>
      <c r="CS713" s="156"/>
      <c r="CT713" s="156"/>
      <c r="CU713" s="156"/>
      <c r="CV713" s="156"/>
      <c r="CW713" s="156"/>
      <c r="CX713" s="156"/>
      <c r="CY713" s="156"/>
      <c r="CZ713" s="156"/>
      <c r="DA713" s="156"/>
      <c r="DB713" s="156"/>
      <c r="DC713" s="156"/>
      <c r="DD713" s="156"/>
      <c r="DE713" s="156"/>
      <c r="DF713" s="156"/>
      <c r="DG713" s="156"/>
      <c r="DH713" s="156"/>
      <c r="DI713" s="156"/>
      <c r="DJ713" s="156"/>
      <c r="DK713" s="156"/>
      <c r="DL713" s="156"/>
      <c r="DM713" s="156"/>
      <c r="DN713" s="156"/>
      <c r="DO713" s="156"/>
      <c r="DP713" s="156"/>
      <c r="DQ713" s="156"/>
      <c r="DR713" s="156"/>
      <c r="DS713" s="156"/>
      <c r="DT713" s="156"/>
      <c r="DU713" s="156"/>
      <c r="DV713" s="156"/>
      <c r="DW713" s="156"/>
      <c r="DX713" s="156"/>
      <c r="DY713" s="156"/>
      <c r="DZ713" s="156"/>
      <c r="EA713" s="156"/>
      <c r="EB713" s="156"/>
      <c r="EC713" s="156"/>
      <c r="ED713" s="156"/>
      <c r="EE713" s="156"/>
      <c r="EF713" s="156"/>
      <c r="EG713" s="156"/>
      <c r="EH713" s="156"/>
      <c r="EI713" s="156"/>
      <c r="EJ713" s="156"/>
      <c r="EK713" s="156"/>
      <c r="EL713" s="156"/>
      <c r="EM713" s="156"/>
    </row>
    <row r="714" spans="20:143" ht="10.5" customHeight="1">
      <c r="T714" s="156"/>
      <c r="AZ714" s="156"/>
      <c r="BA714" s="156"/>
      <c r="BB714" s="156"/>
      <c r="BC714" s="156"/>
      <c r="BD714" s="156"/>
      <c r="BE714" s="156"/>
      <c r="BF714" s="156"/>
      <c r="BG714" s="156"/>
      <c r="BH714" s="156"/>
      <c r="BI714" s="156"/>
      <c r="BJ714" s="156"/>
      <c r="BK714" s="156"/>
      <c r="BL714" s="156"/>
      <c r="BM714" s="156"/>
      <c r="BN714" s="156"/>
      <c r="BO714" s="156"/>
      <c r="BP714" s="156"/>
      <c r="BQ714" s="156"/>
      <c r="BR714" s="156"/>
      <c r="BS714" s="156"/>
      <c r="BT714" s="156"/>
      <c r="BU714" s="156"/>
      <c r="BV714" s="156"/>
      <c r="BW714" s="156"/>
      <c r="BX714" s="156"/>
      <c r="BY714" s="156"/>
      <c r="BZ714" s="156"/>
      <c r="CA714" s="156"/>
      <c r="CB714" s="156"/>
      <c r="CC714" s="156"/>
      <c r="CD714" s="156"/>
      <c r="CE714" s="156"/>
      <c r="CF714" s="156"/>
      <c r="CG714" s="156"/>
      <c r="CH714" s="156"/>
      <c r="CI714" s="156"/>
      <c r="CJ714" s="156"/>
      <c r="CK714" s="156"/>
      <c r="CL714" s="156"/>
      <c r="CM714" s="156"/>
      <c r="CN714" s="156"/>
      <c r="CO714" s="156"/>
      <c r="CP714" s="156"/>
      <c r="CQ714" s="156"/>
      <c r="CR714" s="156"/>
      <c r="CS714" s="156"/>
      <c r="CT714" s="156"/>
      <c r="CU714" s="156"/>
      <c r="CV714" s="156"/>
      <c r="CW714" s="156"/>
      <c r="CX714" s="156"/>
      <c r="CY714" s="156"/>
      <c r="CZ714" s="156"/>
      <c r="DA714" s="156"/>
      <c r="DB714" s="156"/>
      <c r="DC714" s="156"/>
      <c r="DD714" s="156"/>
      <c r="DE714" s="156"/>
      <c r="DF714" s="156"/>
      <c r="DG714" s="156"/>
      <c r="DH714" s="156"/>
      <c r="DI714" s="156"/>
      <c r="DJ714" s="156"/>
      <c r="DK714" s="156"/>
      <c r="DL714" s="156"/>
      <c r="DM714" s="156"/>
      <c r="DN714" s="156"/>
      <c r="DO714" s="156"/>
      <c r="DP714" s="156"/>
      <c r="DQ714" s="156"/>
      <c r="DR714" s="156"/>
      <c r="DS714" s="156"/>
      <c r="DT714" s="156"/>
      <c r="DU714" s="156"/>
      <c r="DV714" s="156"/>
      <c r="DW714" s="156"/>
      <c r="DX714" s="156"/>
      <c r="DY714" s="156"/>
      <c r="DZ714" s="156"/>
      <c r="EA714" s="156"/>
      <c r="EB714" s="156"/>
      <c r="EC714" s="156"/>
      <c r="ED714" s="156"/>
      <c r="EE714" s="156"/>
      <c r="EF714" s="156"/>
      <c r="EG714" s="156"/>
      <c r="EH714" s="156"/>
      <c r="EI714" s="156"/>
      <c r="EJ714" s="156"/>
      <c r="EK714" s="156"/>
      <c r="EL714" s="156"/>
      <c r="EM714" s="156"/>
    </row>
    <row r="715" spans="20:143" ht="10.5" customHeight="1">
      <c r="T715" s="156"/>
      <c r="AZ715" s="156"/>
      <c r="BA715" s="156"/>
      <c r="BB715" s="156"/>
      <c r="BC715" s="156"/>
      <c r="BD715" s="156"/>
      <c r="BE715" s="156"/>
      <c r="BF715" s="156"/>
      <c r="BG715" s="156"/>
      <c r="BH715" s="156"/>
      <c r="BI715" s="156"/>
      <c r="BJ715" s="156"/>
      <c r="BK715" s="156"/>
      <c r="BL715" s="156"/>
      <c r="BM715" s="156"/>
      <c r="BN715" s="156"/>
      <c r="BO715" s="156"/>
      <c r="BP715" s="156"/>
      <c r="BQ715" s="156"/>
      <c r="BR715" s="156"/>
      <c r="BS715" s="156"/>
      <c r="BT715" s="156"/>
      <c r="BU715" s="156"/>
      <c r="BV715" s="156"/>
      <c r="BW715" s="156"/>
      <c r="BX715" s="156"/>
      <c r="BY715" s="156"/>
      <c r="BZ715" s="156"/>
      <c r="CA715" s="156"/>
      <c r="CB715" s="156"/>
      <c r="CC715" s="156"/>
      <c r="CD715" s="156"/>
      <c r="CE715" s="156"/>
      <c r="CF715" s="156"/>
      <c r="CG715" s="156"/>
      <c r="CH715" s="156"/>
      <c r="CI715" s="156"/>
      <c r="CJ715" s="156"/>
      <c r="CK715" s="156"/>
      <c r="CL715" s="156"/>
      <c r="CM715" s="156"/>
      <c r="CN715" s="156"/>
      <c r="CO715" s="156"/>
      <c r="CP715" s="156"/>
      <c r="CQ715" s="156"/>
      <c r="CR715" s="156"/>
      <c r="CS715" s="156"/>
      <c r="CT715" s="156"/>
      <c r="CU715" s="156"/>
      <c r="CV715" s="156"/>
      <c r="CW715" s="156"/>
      <c r="CX715" s="156"/>
      <c r="CY715" s="156"/>
      <c r="CZ715" s="156"/>
      <c r="DA715" s="156"/>
      <c r="DB715" s="156"/>
      <c r="DC715" s="156"/>
      <c r="DD715" s="156"/>
      <c r="DE715" s="156"/>
      <c r="DF715" s="156"/>
      <c r="DG715" s="156"/>
      <c r="DH715" s="156"/>
      <c r="DI715" s="156"/>
      <c r="DJ715" s="156"/>
      <c r="DK715" s="156"/>
      <c r="DL715" s="156"/>
      <c r="DM715" s="156"/>
      <c r="DN715" s="156"/>
      <c r="DO715" s="156"/>
      <c r="DP715" s="156"/>
      <c r="DQ715" s="156"/>
      <c r="DR715" s="156"/>
      <c r="DS715" s="156"/>
      <c r="DT715" s="156"/>
      <c r="DU715" s="156"/>
      <c r="DV715" s="156"/>
      <c r="DW715" s="156"/>
      <c r="DX715" s="156"/>
      <c r="DY715" s="156"/>
      <c r="DZ715" s="156"/>
      <c r="EA715" s="156"/>
      <c r="EB715" s="156"/>
      <c r="EC715" s="156"/>
      <c r="ED715" s="156"/>
      <c r="EE715" s="156"/>
      <c r="EF715" s="156"/>
      <c r="EG715" s="156"/>
      <c r="EH715" s="156"/>
      <c r="EI715" s="156"/>
      <c r="EJ715" s="156"/>
      <c r="EK715" s="156"/>
      <c r="EL715" s="156"/>
      <c r="EM715" s="156"/>
    </row>
    <row r="716" spans="20:143" ht="10.5" customHeight="1">
      <c r="T716" s="156"/>
      <c r="AZ716" s="156"/>
      <c r="BA716" s="156"/>
      <c r="BB716" s="156"/>
      <c r="BC716" s="156"/>
      <c r="BD716" s="156"/>
      <c r="BE716" s="156"/>
      <c r="BF716" s="156"/>
      <c r="BG716" s="156"/>
      <c r="BH716" s="156"/>
      <c r="BI716" s="156"/>
      <c r="BJ716" s="156"/>
      <c r="BK716" s="156"/>
      <c r="BL716" s="156"/>
      <c r="BM716" s="156"/>
      <c r="BN716" s="156"/>
      <c r="BO716" s="156"/>
      <c r="BP716" s="156"/>
      <c r="BQ716" s="156"/>
      <c r="BR716" s="156"/>
      <c r="BS716" s="156"/>
      <c r="BT716" s="156"/>
      <c r="BU716" s="156"/>
      <c r="BV716" s="156"/>
      <c r="BW716" s="156"/>
      <c r="BX716" s="156"/>
      <c r="BY716" s="156"/>
      <c r="BZ716" s="156"/>
      <c r="CA716" s="156"/>
      <c r="CB716" s="156"/>
      <c r="CC716" s="156"/>
      <c r="CD716" s="156"/>
      <c r="CE716" s="156"/>
      <c r="CF716" s="156"/>
      <c r="CG716" s="156"/>
      <c r="CH716" s="156"/>
      <c r="CI716" s="156"/>
      <c r="CJ716" s="156"/>
      <c r="CK716" s="156"/>
      <c r="CL716" s="156"/>
      <c r="CM716" s="156"/>
      <c r="CN716" s="156"/>
      <c r="CO716" s="156"/>
      <c r="CP716" s="156"/>
      <c r="CQ716" s="156"/>
      <c r="CR716" s="156"/>
      <c r="CS716" s="156"/>
      <c r="CT716" s="156"/>
      <c r="CU716" s="156"/>
      <c r="CV716" s="156"/>
      <c r="CW716" s="156"/>
      <c r="CX716" s="156"/>
      <c r="CY716" s="156"/>
      <c r="CZ716" s="156"/>
      <c r="DA716" s="156"/>
      <c r="DB716" s="156"/>
      <c r="DC716" s="156"/>
      <c r="DD716" s="156"/>
      <c r="DE716" s="156"/>
      <c r="DF716" s="156"/>
      <c r="DG716" s="156"/>
      <c r="DH716" s="156"/>
      <c r="DI716" s="156"/>
      <c r="DJ716" s="156"/>
      <c r="DK716" s="156"/>
      <c r="DL716" s="156"/>
      <c r="DM716" s="156"/>
      <c r="DN716" s="156"/>
      <c r="DO716" s="156"/>
      <c r="DP716" s="156"/>
      <c r="DQ716" s="156"/>
      <c r="DR716" s="156"/>
      <c r="DS716" s="156"/>
      <c r="DT716" s="156"/>
      <c r="DU716" s="156"/>
      <c r="DV716" s="156"/>
      <c r="DW716" s="156"/>
      <c r="DX716" s="156"/>
      <c r="DY716" s="156"/>
      <c r="DZ716" s="156"/>
      <c r="EA716" s="156"/>
      <c r="EB716" s="156"/>
      <c r="EC716" s="156"/>
      <c r="ED716" s="156"/>
      <c r="EE716" s="156"/>
      <c r="EF716" s="156"/>
      <c r="EG716" s="156"/>
      <c r="EH716" s="156"/>
      <c r="EI716" s="156"/>
      <c r="EJ716" s="156"/>
      <c r="EK716" s="156"/>
      <c r="EL716" s="156"/>
      <c r="EM716" s="156"/>
    </row>
    <row r="717" spans="20:143" ht="10.5" customHeight="1">
      <c r="T717" s="156"/>
      <c r="AZ717" s="156"/>
      <c r="BA717" s="156"/>
      <c r="BB717" s="156"/>
      <c r="BC717" s="156"/>
      <c r="BD717" s="156"/>
      <c r="BE717" s="156"/>
      <c r="BF717" s="156"/>
      <c r="BG717" s="156"/>
      <c r="BH717" s="156"/>
      <c r="BI717" s="156"/>
      <c r="BJ717" s="156"/>
      <c r="BK717" s="156"/>
      <c r="BL717" s="156"/>
      <c r="BM717" s="156"/>
      <c r="BN717" s="156"/>
      <c r="BO717" s="156"/>
      <c r="BP717" s="156"/>
      <c r="BQ717" s="156"/>
      <c r="BR717" s="156"/>
      <c r="BS717" s="156"/>
      <c r="BT717" s="156"/>
      <c r="BU717" s="156"/>
      <c r="BV717" s="156"/>
      <c r="BW717" s="156"/>
      <c r="BX717" s="156"/>
      <c r="BY717" s="156"/>
      <c r="BZ717" s="156"/>
      <c r="CA717" s="156"/>
      <c r="CB717" s="156"/>
      <c r="CC717" s="156"/>
      <c r="CD717" s="156"/>
      <c r="CE717" s="156"/>
      <c r="CF717" s="156"/>
      <c r="CG717" s="156"/>
      <c r="CH717" s="156"/>
      <c r="CI717" s="156"/>
      <c r="CJ717" s="156"/>
      <c r="CK717" s="156"/>
      <c r="CL717" s="156"/>
      <c r="CM717" s="156"/>
      <c r="CN717" s="156"/>
      <c r="CO717" s="156"/>
      <c r="CP717" s="156"/>
      <c r="CQ717" s="156"/>
      <c r="CR717" s="156"/>
      <c r="CS717" s="156"/>
      <c r="CT717" s="156"/>
      <c r="CU717" s="156"/>
      <c r="CV717" s="156"/>
      <c r="CW717" s="156"/>
      <c r="CX717" s="156"/>
      <c r="CY717" s="156"/>
      <c r="CZ717" s="156"/>
      <c r="DA717" s="156"/>
      <c r="DB717" s="156"/>
      <c r="DC717" s="156"/>
      <c r="DD717" s="156"/>
      <c r="DE717" s="156"/>
      <c r="DF717" s="156"/>
      <c r="DG717" s="156"/>
      <c r="DH717" s="156"/>
      <c r="DI717" s="156"/>
      <c r="DJ717" s="156"/>
      <c r="DK717" s="156"/>
      <c r="DL717" s="156"/>
      <c r="DM717" s="156"/>
      <c r="DN717" s="156"/>
      <c r="DO717" s="156"/>
      <c r="DP717" s="156"/>
      <c r="DQ717" s="156"/>
      <c r="DR717" s="156"/>
      <c r="DS717" s="156"/>
      <c r="DT717" s="156"/>
      <c r="DU717" s="156"/>
      <c r="DV717" s="156"/>
      <c r="DW717" s="156"/>
      <c r="DX717" s="156"/>
      <c r="DY717" s="156"/>
      <c r="DZ717" s="156"/>
      <c r="EA717" s="156"/>
      <c r="EB717" s="156"/>
      <c r="EC717" s="156"/>
      <c r="ED717" s="156"/>
      <c r="EE717" s="156"/>
      <c r="EF717" s="156"/>
      <c r="EG717" s="156"/>
      <c r="EH717" s="156"/>
      <c r="EI717" s="156"/>
      <c r="EJ717" s="156"/>
      <c r="EK717" s="156"/>
      <c r="EL717" s="156"/>
      <c r="EM717" s="156"/>
    </row>
    <row r="718" spans="20:143" ht="10.5" customHeight="1">
      <c r="T718" s="156"/>
      <c r="AZ718" s="156"/>
      <c r="BA718" s="156"/>
      <c r="BB718" s="156"/>
      <c r="BC718" s="156"/>
      <c r="BD718" s="156"/>
      <c r="BE718" s="156"/>
      <c r="BF718" s="156"/>
      <c r="BG718" s="156"/>
      <c r="BH718" s="156"/>
      <c r="BI718" s="156"/>
      <c r="BJ718" s="156"/>
      <c r="BK718" s="156"/>
      <c r="BL718" s="156"/>
      <c r="BM718" s="156"/>
      <c r="BN718" s="156"/>
      <c r="BO718" s="156"/>
      <c r="BP718" s="156"/>
      <c r="BQ718" s="156"/>
      <c r="BR718" s="156"/>
      <c r="BS718" s="156"/>
      <c r="BT718" s="156"/>
      <c r="BU718" s="156"/>
      <c r="BV718" s="156"/>
      <c r="BW718" s="156"/>
      <c r="BX718" s="156"/>
      <c r="BY718" s="156"/>
      <c r="BZ718" s="156"/>
      <c r="CA718" s="156"/>
      <c r="CB718" s="156"/>
      <c r="CC718" s="156"/>
      <c r="CD718" s="156"/>
      <c r="CE718" s="156"/>
      <c r="CF718" s="156"/>
      <c r="CG718" s="156"/>
      <c r="CH718" s="156"/>
      <c r="CI718" s="156"/>
      <c r="CJ718" s="156"/>
      <c r="CK718" s="156"/>
      <c r="CL718" s="156"/>
      <c r="CM718" s="156"/>
      <c r="CN718" s="156"/>
      <c r="CO718" s="156"/>
      <c r="CP718" s="156"/>
      <c r="CQ718" s="156"/>
      <c r="CR718" s="156"/>
      <c r="CS718" s="156"/>
      <c r="CT718" s="156"/>
      <c r="CU718" s="156"/>
      <c r="CV718" s="156"/>
      <c r="CW718" s="156"/>
      <c r="CX718" s="156"/>
      <c r="CY718" s="156"/>
      <c r="CZ718" s="156"/>
      <c r="DA718" s="156"/>
      <c r="DB718" s="156"/>
      <c r="DC718" s="156"/>
      <c r="DD718" s="156"/>
      <c r="DE718" s="156"/>
      <c r="DF718" s="156"/>
      <c r="DG718" s="156"/>
      <c r="DH718" s="156"/>
      <c r="DI718" s="156"/>
      <c r="DJ718" s="156"/>
      <c r="DK718" s="156"/>
      <c r="DL718" s="156"/>
      <c r="DM718" s="156"/>
      <c r="DN718" s="156"/>
      <c r="DO718" s="156"/>
      <c r="DP718" s="156"/>
      <c r="DQ718" s="156"/>
      <c r="DR718" s="156"/>
      <c r="DS718" s="156"/>
      <c r="DT718" s="156"/>
      <c r="DU718" s="156"/>
      <c r="DV718" s="156"/>
      <c r="DW718" s="156"/>
      <c r="DX718" s="156"/>
      <c r="DY718" s="156"/>
      <c r="DZ718" s="156"/>
      <c r="EA718" s="156"/>
      <c r="EB718" s="156"/>
      <c r="EC718" s="156"/>
      <c r="ED718" s="156"/>
      <c r="EE718" s="156"/>
      <c r="EF718" s="156"/>
      <c r="EG718" s="156"/>
      <c r="EH718" s="156"/>
      <c r="EI718" s="156"/>
      <c r="EJ718" s="156"/>
      <c r="EK718" s="156"/>
      <c r="EL718" s="156"/>
      <c r="EM718" s="156"/>
    </row>
    <row r="719" spans="20:143" ht="10.5" customHeight="1">
      <c r="T719" s="156"/>
      <c r="AZ719" s="156"/>
      <c r="BA719" s="156"/>
      <c r="BB719" s="156"/>
      <c r="BC719" s="156"/>
      <c r="BD719" s="156"/>
      <c r="BE719" s="156"/>
      <c r="BF719" s="156"/>
      <c r="BG719" s="156"/>
      <c r="BH719" s="156"/>
      <c r="BI719" s="156"/>
      <c r="BJ719" s="156"/>
      <c r="BK719" s="156"/>
      <c r="BL719" s="156"/>
      <c r="BM719" s="156"/>
      <c r="BN719" s="156"/>
      <c r="BO719" s="156"/>
      <c r="BP719" s="156"/>
      <c r="BQ719" s="156"/>
      <c r="BR719" s="156"/>
      <c r="BS719" s="156"/>
      <c r="BT719" s="156"/>
      <c r="BU719" s="156"/>
      <c r="BV719" s="156"/>
      <c r="BW719" s="156"/>
      <c r="BX719" s="156"/>
      <c r="BY719" s="156"/>
      <c r="BZ719" s="156"/>
      <c r="CA719" s="156"/>
      <c r="CB719" s="156"/>
      <c r="CC719" s="156"/>
      <c r="CD719" s="156"/>
      <c r="CE719" s="156"/>
      <c r="CF719" s="156"/>
      <c r="CG719" s="156"/>
      <c r="CH719" s="156"/>
      <c r="CI719" s="156"/>
      <c r="CJ719" s="156"/>
      <c r="CK719" s="156"/>
      <c r="CL719" s="156"/>
      <c r="CM719" s="156"/>
      <c r="CN719" s="156"/>
      <c r="CO719" s="156"/>
      <c r="CP719" s="156"/>
      <c r="CQ719" s="156"/>
      <c r="CR719" s="156"/>
      <c r="CS719" s="156"/>
      <c r="CT719" s="156"/>
      <c r="CU719" s="156"/>
      <c r="CV719" s="156"/>
      <c r="CW719" s="156"/>
      <c r="CX719" s="156"/>
      <c r="CY719" s="156"/>
      <c r="CZ719" s="156"/>
      <c r="DA719" s="156"/>
      <c r="DB719" s="156"/>
      <c r="DC719" s="156"/>
      <c r="DD719" s="156"/>
      <c r="DE719" s="156"/>
      <c r="DF719" s="156"/>
      <c r="DG719" s="156"/>
      <c r="DH719" s="156"/>
      <c r="DI719" s="156"/>
      <c r="DJ719" s="156"/>
      <c r="DK719" s="156"/>
      <c r="DL719" s="156"/>
      <c r="DM719" s="156"/>
      <c r="DN719" s="156"/>
      <c r="DO719" s="156"/>
      <c r="DP719" s="156"/>
      <c r="DQ719" s="156"/>
      <c r="DR719" s="156"/>
      <c r="DS719" s="156"/>
      <c r="DT719" s="156"/>
      <c r="DU719" s="156"/>
      <c r="DV719" s="156"/>
      <c r="DW719" s="156"/>
      <c r="DX719" s="156"/>
      <c r="DY719" s="156"/>
      <c r="DZ719" s="156"/>
      <c r="EA719" s="156"/>
      <c r="EB719" s="156"/>
      <c r="EC719" s="156"/>
      <c r="ED719" s="156"/>
      <c r="EE719" s="156"/>
      <c r="EF719" s="156"/>
      <c r="EG719" s="156"/>
      <c r="EH719" s="156"/>
      <c r="EI719" s="156"/>
      <c r="EJ719" s="156"/>
      <c r="EK719" s="156"/>
      <c r="EL719" s="156"/>
      <c r="EM719" s="156"/>
    </row>
    <row r="720" spans="20:143" ht="10.5" customHeight="1">
      <c r="T720" s="156"/>
      <c r="AZ720" s="156"/>
      <c r="BA720" s="156"/>
      <c r="BB720" s="156"/>
      <c r="BC720" s="156"/>
      <c r="BD720" s="156"/>
      <c r="BE720" s="156"/>
      <c r="BF720" s="156"/>
      <c r="BG720" s="156"/>
      <c r="BH720" s="156"/>
      <c r="BI720" s="156"/>
      <c r="BJ720" s="156"/>
      <c r="BK720" s="156"/>
      <c r="BL720" s="156"/>
      <c r="BM720" s="156"/>
      <c r="BN720" s="156"/>
      <c r="BO720" s="156"/>
      <c r="BP720" s="156"/>
      <c r="BQ720" s="156"/>
      <c r="BR720" s="156"/>
      <c r="BS720" s="156"/>
      <c r="BT720" s="156"/>
      <c r="BU720" s="156"/>
      <c r="BV720" s="156"/>
      <c r="BW720" s="156"/>
      <c r="BX720" s="156"/>
      <c r="BY720" s="156"/>
      <c r="BZ720" s="156"/>
      <c r="CA720" s="156"/>
      <c r="CB720" s="156"/>
      <c r="CC720" s="156"/>
      <c r="CD720" s="156"/>
      <c r="CE720" s="156"/>
      <c r="CF720" s="156"/>
      <c r="CG720" s="156"/>
      <c r="CH720" s="156"/>
      <c r="CI720" s="156"/>
      <c r="CJ720" s="156"/>
      <c r="CK720" s="156"/>
      <c r="CL720" s="156"/>
      <c r="CM720" s="156"/>
      <c r="CN720" s="156"/>
      <c r="CO720" s="156"/>
      <c r="CP720" s="156"/>
      <c r="CQ720" s="156"/>
      <c r="CR720" s="156"/>
      <c r="CS720" s="156"/>
      <c r="CT720" s="156"/>
      <c r="CU720" s="156"/>
      <c r="CV720" s="156"/>
      <c r="CW720" s="156"/>
      <c r="CX720" s="156"/>
      <c r="CY720" s="156"/>
      <c r="CZ720" s="156"/>
      <c r="DA720" s="156"/>
      <c r="DB720" s="156"/>
      <c r="DC720" s="156"/>
      <c r="DD720" s="156"/>
      <c r="DE720" s="156"/>
      <c r="DF720" s="156"/>
      <c r="DG720" s="156"/>
      <c r="DH720" s="156"/>
      <c r="DI720" s="156"/>
      <c r="DJ720" s="156"/>
      <c r="DK720" s="156"/>
      <c r="DL720" s="156"/>
      <c r="DM720" s="156"/>
      <c r="DN720" s="156"/>
      <c r="DO720" s="156"/>
      <c r="DP720" s="156"/>
      <c r="DQ720" s="156"/>
      <c r="DR720" s="156"/>
      <c r="DS720" s="156"/>
      <c r="DT720" s="156"/>
      <c r="DU720" s="156"/>
      <c r="DV720" s="156"/>
      <c r="DW720" s="156"/>
      <c r="DX720" s="156"/>
      <c r="DY720" s="156"/>
      <c r="DZ720" s="156"/>
      <c r="EA720" s="156"/>
      <c r="EB720" s="156"/>
      <c r="EC720" s="156"/>
      <c r="ED720" s="156"/>
      <c r="EE720" s="156"/>
      <c r="EF720" s="156"/>
      <c r="EG720" s="156"/>
      <c r="EH720" s="156"/>
      <c r="EI720" s="156"/>
      <c r="EJ720" s="156"/>
      <c r="EK720" s="156"/>
      <c r="EL720" s="156"/>
      <c r="EM720" s="156"/>
    </row>
    <row r="721" spans="20:143" ht="10.5" customHeight="1">
      <c r="T721" s="156"/>
      <c r="AZ721" s="156"/>
      <c r="BA721" s="156"/>
      <c r="BB721" s="156"/>
      <c r="BC721" s="156"/>
      <c r="BD721" s="156"/>
      <c r="BE721" s="156"/>
      <c r="BF721" s="156"/>
      <c r="BG721" s="156"/>
      <c r="BH721" s="156"/>
      <c r="BI721" s="156"/>
      <c r="BJ721" s="156"/>
      <c r="BK721" s="156"/>
      <c r="BL721" s="156"/>
      <c r="BM721" s="156"/>
      <c r="BN721" s="156"/>
      <c r="BO721" s="156"/>
      <c r="BP721" s="156"/>
      <c r="BQ721" s="156"/>
      <c r="BR721" s="156"/>
      <c r="BS721" s="156"/>
      <c r="BT721" s="156"/>
      <c r="BU721" s="156"/>
      <c r="BV721" s="156"/>
      <c r="BW721" s="156"/>
      <c r="BX721" s="156"/>
      <c r="BY721" s="156"/>
      <c r="BZ721" s="156"/>
      <c r="CA721" s="156"/>
      <c r="CB721" s="156"/>
      <c r="CC721" s="156"/>
      <c r="CD721" s="156"/>
      <c r="CE721" s="156"/>
      <c r="CF721" s="156"/>
      <c r="CG721" s="156"/>
      <c r="CH721" s="156"/>
      <c r="CI721" s="156"/>
      <c r="CJ721" s="156"/>
      <c r="CK721" s="156"/>
      <c r="CL721" s="156"/>
      <c r="CM721" s="156"/>
      <c r="CN721" s="156"/>
      <c r="CO721" s="156"/>
      <c r="CP721" s="156"/>
      <c r="CQ721" s="156"/>
      <c r="CR721" s="156"/>
      <c r="CS721" s="156"/>
      <c r="CT721" s="156"/>
      <c r="CU721" s="156"/>
      <c r="CV721" s="156"/>
      <c r="CW721" s="156"/>
      <c r="CX721" s="156"/>
      <c r="CY721" s="156"/>
      <c r="CZ721" s="156"/>
      <c r="DA721" s="156"/>
      <c r="DB721" s="156"/>
      <c r="DC721" s="156"/>
      <c r="DD721" s="156"/>
      <c r="DE721" s="156"/>
      <c r="DF721" s="156"/>
      <c r="DG721" s="156"/>
      <c r="DH721" s="156"/>
      <c r="DI721" s="156"/>
      <c r="DJ721" s="156"/>
      <c r="DK721" s="156"/>
      <c r="DL721" s="156"/>
      <c r="DM721" s="156"/>
      <c r="DN721" s="156"/>
      <c r="DO721" s="156"/>
      <c r="DP721" s="156"/>
      <c r="DQ721" s="156"/>
      <c r="DR721" s="156"/>
      <c r="DS721" s="156"/>
      <c r="DT721" s="156"/>
      <c r="DU721" s="156"/>
      <c r="DV721" s="156"/>
      <c r="DW721" s="156"/>
      <c r="DX721" s="156"/>
      <c r="DY721" s="156"/>
      <c r="DZ721" s="156"/>
      <c r="EA721" s="156"/>
      <c r="EB721" s="156"/>
      <c r="EC721" s="156"/>
      <c r="ED721" s="156"/>
      <c r="EE721" s="156"/>
      <c r="EF721" s="156"/>
      <c r="EG721" s="156"/>
      <c r="EH721" s="156"/>
      <c r="EI721" s="156"/>
      <c r="EJ721" s="156"/>
      <c r="EK721" s="156"/>
      <c r="EL721" s="156"/>
      <c r="EM721" s="156"/>
    </row>
    <row r="722" spans="20:143" ht="10.5" customHeight="1">
      <c r="T722" s="156"/>
      <c r="AZ722" s="156"/>
      <c r="BA722" s="156"/>
      <c r="BB722" s="156"/>
      <c r="BC722" s="156"/>
      <c r="BD722" s="156"/>
      <c r="BE722" s="156"/>
      <c r="BF722" s="156"/>
      <c r="BG722" s="156"/>
      <c r="BH722" s="156"/>
      <c r="BI722" s="156"/>
      <c r="BJ722" s="156"/>
      <c r="BK722" s="156"/>
      <c r="BL722" s="156"/>
      <c r="BM722" s="156"/>
      <c r="BN722" s="156"/>
      <c r="BO722" s="156"/>
      <c r="BP722" s="156"/>
      <c r="BQ722" s="156"/>
      <c r="BR722" s="156"/>
      <c r="BS722" s="156"/>
      <c r="BT722" s="156"/>
      <c r="BU722" s="156"/>
      <c r="BV722" s="156"/>
      <c r="BW722" s="156"/>
      <c r="BX722" s="156"/>
      <c r="BY722" s="156"/>
      <c r="BZ722" s="156"/>
      <c r="CA722" s="156"/>
      <c r="CB722" s="156"/>
      <c r="CC722" s="156"/>
      <c r="CD722" s="156"/>
      <c r="CE722" s="156"/>
      <c r="CF722" s="156"/>
      <c r="CG722" s="156"/>
      <c r="CH722" s="156"/>
      <c r="CI722" s="156"/>
      <c r="CJ722" s="156"/>
      <c r="CK722" s="156"/>
      <c r="CL722" s="156"/>
      <c r="CM722" s="156"/>
      <c r="CN722" s="156"/>
      <c r="CO722" s="156"/>
      <c r="CP722" s="156"/>
      <c r="CQ722" s="156"/>
      <c r="CR722" s="156"/>
      <c r="CS722" s="156"/>
      <c r="CT722" s="156"/>
      <c r="CU722" s="156"/>
      <c r="CV722" s="156"/>
      <c r="CW722" s="156"/>
      <c r="CX722" s="156"/>
      <c r="CY722" s="156"/>
      <c r="CZ722" s="156"/>
      <c r="DA722" s="156"/>
      <c r="DB722" s="156"/>
      <c r="DC722" s="156"/>
      <c r="DD722" s="156"/>
      <c r="DE722" s="156"/>
      <c r="DF722" s="156"/>
      <c r="DG722" s="156"/>
      <c r="DH722" s="156"/>
      <c r="DI722" s="156"/>
      <c r="DJ722" s="156"/>
      <c r="DK722" s="156"/>
      <c r="DL722" s="156"/>
      <c r="DM722" s="156"/>
      <c r="DN722" s="156"/>
      <c r="DO722" s="156"/>
      <c r="DP722" s="156"/>
      <c r="DQ722" s="156"/>
      <c r="DR722" s="156"/>
      <c r="DS722" s="156"/>
      <c r="DT722" s="156"/>
      <c r="DU722" s="156"/>
      <c r="DV722" s="156"/>
      <c r="DW722" s="156"/>
      <c r="DX722" s="156"/>
      <c r="DY722" s="156"/>
      <c r="DZ722" s="156"/>
      <c r="EA722" s="156"/>
      <c r="EB722" s="156"/>
      <c r="EC722" s="156"/>
      <c r="ED722" s="156"/>
      <c r="EE722" s="156"/>
      <c r="EF722" s="156"/>
      <c r="EG722" s="156"/>
      <c r="EH722" s="156"/>
      <c r="EI722" s="156"/>
      <c r="EJ722" s="156"/>
      <c r="EK722" s="156"/>
      <c r="EL722" s="156"/>
      <c r="EM722" s="156"/>
    </row>
    <row r="723" spans="20:143" ht="10.5" customHeight="1">
      <c r="T723" s="156"/>
      <c r="AZ723" s="156"/>
      <c r="BA723" s="156"/>
      <c r="BB723" s="156"/>
      <c r="BC723" s="156"/>
      <c r="BD723" s="156"/>
      <c r="BE723" s="156"/>
      <c r="BF723" s="156"/>
      <c r="BG723" s="156"/>
      <c r="BH723" s="156"/>
      <c r="BI723" s="156"/>
      <c r="BJ723" s="156"/>
      <c r="BK723" s="156"/>
      <c r="BL723" s="156"/>
      <c r="BM723" s="156"/>
      <c r="BN723" s="156"/>
      <c r="BO723" s="156"/>
      <c r="BP723" s="156"/>
      <c r="BQ723" s="156"/>
      <c r="BR723" s="156"/>
      <c r="BS723" s="156"/>
      <c r="BT723" s="156"/>
      <c r="BU723" s="156"/>
      <c r="BV723" s="156"/>
      <c r="BW723" s="156"/>
      <c r="BX723" s="156"/>
      <c r="BY723" s="156"/>
      <c r="BZ723" s="156"/>
      <c r="CA723" s="156"/>
      <c r="CB723" s="156"/>
      <c r="CC723" s="156"/>
      <c r="CD723" s="156"/>
      <c r="CE723" s="156"/>
      <c r="CF723" s="156"/>
      <c r="CG723" s="156"/>
      <c r="CH723" s="156"/>
      <c r="CI723" s="156"/>
      <c r="CJ723" s="156"/>
      <c r="CK723" s="156"/>
      <c r="CL723" s="156"/>
      <c r="CM723" s="156"/>
      <c r="CN723" s="156"/>
      <c r="CO723" s="156"/>
      <c r="CP723" s="156"/>
      <c r="CQ723" s="156"/>
      <c r="CR723" s="156"/>
      <c r="CS723" s="156"/>
      <c r="CT723" s="156"/>
      <c r="CU723" s="156"/>
      <c r="CV723" s="156"/>
      <c r="CW723" s="156"/>
      <c r="CX723" s="156"/>
      <c r="CY723" s="156"/>
      <c r="CZ723" s="156"/>
      <c r="DA723" s="156"/>
      <c r="DB723" s="156"/>
      <c r="DC723" s="156"/>
      <c r="DD723" s="156"/>
      <c r="DE723" s="156"/>
      <c r="DF723" s="156"/>
      <c r="DG723" s="156"/>
      <c r="DH723" s="156"/>
      <c r="DI723" s="156"/>
      <c r="DJ723" s="156"/>
      <c r="DK723" s="156"/>
      <c r="DL723" s="156"/>
      <c r="DM723" s="156"/>
      <c r="DN723" s="156"/>
      <c r="DO723" s="156"/>
      <c r="DP723" s="156"/>
      <c r="DQ723" s="156"/>
      <c r="DR723" s="156"/>
      <c r="DS723" s="156"/>
      <c r="DT723" s="156"/>
      <c r="DU723" s="156"/>
      <c r="DV723" s="156"/>
      <c r="DW723" s="156"/>
      <c r="DX723" s="156"/>
      <c r="DY723" s="156"/>
      <c r="DZ723" s="156"/>
      <c r="EA723" s="156"/>
      <c r="EB723" s="156"/>
      <c r="EC723" s="156"/>
      <c r="ED723" s="156"/>
      <c r="EE723" s="156"/>
      <c r="EF723" s="156"/>
      <c r="EG723" s="156"/>
      <c r="EH723" s="156"/>
      <c r="EI723" s="156"/>
      <c r="EJ723" s="156"/>
      <c r="EK723" s="156"/>
      <c r="EL723" s="156"/>
      <c r="EM723" s="156"/>
    </row>
    <row r="724" spans="20:143" ht="10.5" customHeight="1">
      <c r="T724" s="156"/>
      <c r="AZ724" s="156"/>
      <c r="BA724" s="156"/>
      <c r="BB724" s="156"/>
      <c r="BC724" s="156"/>
      <c r="BD724" s="156"/>
      <c r="BE724" s="156"/>
      <c r="BF724" s="156"/>
      <c r="BG724" s="156"/>
      <c r="BH724" s="156"/>
      <c r="BI724" s="156"/>
      <c r="BJ724" s="156"/>
      <c r="BK724" s="156"/>
      <c r="BL724" s="156"/>
      <c r="BM724" s="156"/>
      <c r="BN724" s="156"/>
      <c r="BO724" s="156"/>
      <c r="BP724" s="156"/>
      <c r="BQ724" s="156"/>
      <c r="BR724" s="156"/>
      <c r="BS724" s="156"/>
      <c r="BT724" s="156"/>
      <c r="BU724" s="156"/>
      <c r="BV724" s="156"/>
      <c r="BW724" s="156"/>
      <c r="BX724" s="156"/>
      <c r="BY724" s="156"/>
      <c r="BZ724" s="156"/>
      <c r="CA724" s="156"/>
      <c r="CB724" s="156"/>
      <c r="CC724" s="156"/>
      <c r="CD724" s="156"/>
      <c r="CE724" s="156"/>
      <c r="CF724" s="156"/>
      <c r="CG724" s="156"/>
      <c r="CH724" s="156"/>
      <c r="CI724" s="156"/>
      <c r="CJ724" s="156"/>
      <c r="CK724" s="156"/>
      <c r="CL724" s="156"/>
      <c r="CM724" s="156"/>
      <c r="CN724" s="156"/>
      <c r="CO724" s="156"/>
      <c r="CP724" s="156"/>
      <c r="CQ724" s="156"/>
      <c r="CR724" s="156"/>
      <c r="CS724" s="156"/>
      <c r="CT724" s="156"/>
      <c r="CU724" s="156"/>
      <c r="CV724" s="156"/>
      <c r="CW724" s="156"/>
      <c r="CX724" s="156"/>
      <c r="CY724" s="156"/>
      <c r="CZ724" s="156"/>
      <c r="DA724" s="156"/>
      <c r="DB724" s="156"/>
      <c r="DC724" s="156"/>
      <c r="DD724" s="156"/>
      <c r="DE724" s="156"/>
      <c r="DF724" s="156"/>
      <c r="DG724" s="156"/>
      <c r="DH724" s="156"/>
      <c r="DI724" s="156"/>
      <c r="DJ724" s="156"/>
      <c r="DK724" s="156"/>
      <c r="DL724" s="156"/>
      <c r="DM724" s="156"/>
      <c r="DN724" s="156"/>
      <c r="DO724" s="156"/>
      <c r="DP724" s="156"/>
      <c r="DQ724" s="156"/>
      <c r="DR724" s="156"/>
      <c r="DS724" s="156"/>
      <c r="DT724" s="156"/>
      <c r="DU724" s="156"/>
      <c r="DV724" s="156"/>
      <c r="DW724" s="156"/>
      <c r="DX724" s="156"/>
      <c r="DY724" s="156"/>
      <c r="DZ724" s="156"/>
      <c r="EA724" s="156"/>
      <c r="EB724" s="156"/>
      <c r="EC724" s="156"/>
      <c r="ED724" s="156"/>
      <c r="EE724" s="156"/>
      <c r="EF724" s="156"/>
      <c r="EG724" s="156"/>
      <c r="EH724" s="156"/>
      <c r="EI724" s="156"/>
      <c r="EJ724" s="156"/>
      <c r="EK724" s="156"/>
      <c r="EL724" s="156"/>
      <c r="EM724" s="156"/>
    </row>
    <row r="725" spans="20:143" ht="10.5" customHeight="1">
      <c r="T725" s="156"/>
      <c r="AZ725" s="156"/>
      <c r="BA725" s="156"/>
      <c r="BB725" s="156"/>
      <c r="BC725" s="156"/>
      <c r="BD725" s="156"/>
      <c r="BE725" s="156"/>
      <c r="BF725" s="156"/>
      <c r="BG725" s="156"/>
      <c r="BH725" s="156"/>
      <c r="BI725" s="156"/>
      <c r="BJ725" s="156"/>
      <c r="BK725" s="156"/>
      <c r="BL725" s="156"/>
      <c r="BM725" s="156"/>
      <c r="BN725" s="156"/>
      <c r="BO725" s="156"/>
      <c r="BP725" s="156"/>
      <c r="BQ725" s="156"/>
      <c r="BR725" s="156"/>
      <c r="BS725" s="156"/>
      <c r="BT725" s="156"/>
      <c r="BU725" s="156"/>
      <c r="BV725" s="156"/>
      <c r="BW725" s="156"/>
      <c r="BX725" s="156"/>
      <c r="BY725" s="156"/>
      <c r="BZ725" s="156"/>
      <c r="CA725" s="156"/>
      <c r="CB725" s="156"/>
      <c r="CC725" s="156"/>
      <c r="CD725" s="156"/>
      <c r="CE725" s="156"/>
      <c r="CF725" s="156"/>
      <c r="CG725" s="156"/>
      <c r="CH725" s="156"/>
      <c r="CI725" s="156"/>
      <c r="CJ725" s="156"/>
      <c r="CK725" s="156"/>
      <c r="CL725" s="156"/>
      <c r="CM725" s="156"/>
      <c r="CN725" s="156"/>
      <c r="CO725" s="156"/>
      <c r="CP725" s="156"/>
      <c r="CQ725" s="156"/>
      <c r="CR725" s="156"/>
      <c r="CS725" s="156"/>
      <c r="CT725" s="156"/>
      <c r="CU725" s="156"/>
      <c r="CV725" s="156"/>
      <c r="CW725" s="156"/>
      <c r="CX725" s="156"/>
      <c r="CY725" s="156"/>
      <c r="CZ725" s="156"/>
      <c r="DA725" s="156"/>
      <c r="DB725" s="156"/>
      <c r="DC725" s="156"/>
      <c r="DD725" s="156"/>
      <c r="DE725" s="156"/>
      <c r="DF725" s="156"/>
      <c r="DG725" s="156"/>
      <c r="DH725" s="156"/>
      <c r="DI725" s="156"/>
      <c r="DJ725" s="156"/>
      <c r="DK725" s="156"/>
      <c r="DL725" s="156"/>
      <c r="DM725" s="156"/>
      <c r="DN725" s="156"/>
      <c r="DO725" s="156"/>
      <c r="DP725" s="156"/>
      <c r="DQ725" s="156"/>
      <c r="DR725" s="156"/>
      <c r="DS725" s="156"/>
      <c r="DT725" s="156"/>
      <c r="DU725" s="156"/>
      <c r="DV725" s="156"/>
      <c r="DW725" s="156"/>
      <c r="DX725" s="156"/>
      <c r="DY725" s="156"/>
      <c r="DZ725" s="156"/>
      <c r="EA725" s="156"/>
      <c r="EB725" s="156"/>
      <c r="EC725" s="156"/>
      <c r="ED725" s="156"/>
      <c r="EE725" s="156"/>
      <c r="EF725" s="156"/>
      <c r="EG725" s="156"/>
      <c r="EH725" s="156"/>
      <c r="EI725" s="156"/>
      <c r="EJ725" s="156"/>
      <c r="EK725" s="156"/>
      <c r="EL725" s="156"/>
      <c r="EM725" s="156"/>
    </row>
    <row r="726" spans="20:143" ht="10.5" customHeight="1">
      <c r="T726" s="156"/>
      <c r="AZ726" s="156"/>
      <c r="BA726" s="156"/>
      <c r="BB726" s="156"/>
      <c r="BC726" s="156"/>
      <c r="BD726" s="156"/>
      <c r="BE726" s="156"/>
      <c r="BF726" s="156"/>
      <c r="BG726" s="156"/>
      <c r="BH726" s="156"/>
      <c r="BI726" s="156"/>
      <c r="BJ726" s="156"/>
      <c r="BK726" s="156"/>
      <c r="BL726" s="156"/>
      <c r="BM726" s="156"/>
      <c r="BN726" s="156"/>
      <c r="BO726" s="156"/>
      <c r="BP726" s="156"/>
      <c r="BQ726" s="156"/>
      <c r="BR726" s="156"/>
      <c r="BS726" s="156"/>
      <c r="BT726" s="156"/>
      <c r="BU726" s="156"/>
      <c r="BV726" s="156"/>
      <c r="BW726" s="156"/>
      <c r="BX726" s="156"/>
      <c r="BY726" s="156"/>
      <c r="BZ726" s="156"/>
      <c r="CA726" s="156"/>
      <c r="CB726" s="156"/>
      <c r="CC726" s="156"/>
      <c r="CD726" s="156"/>
      <c r="CE726" s="156"/>
      <c r="CF726" s="156"/>
      <c r="CG726" s="156"/>
      <c r="CH726" s="156"/>
      <c r="CI726" s="156"/>
      <c r="CJ726" s="156"/>
      <c r="CK726" s="156"/>
      <c r="CL726" s="156"/>
      <c r="CM726" s="156"/>
      <c r="CN726" s="156"/>
      <c r="CO726" s="156"/>
      <c r="CP726" s="156"/>
      <c r="CQ726" s="156"/>
      <c r="CR726" s="156"/>
      <c r="CS726" s="156"/>
      <c r="CT726" s="156"/>
      <c r="CU726" s="156"/>
      <c r="CV726" s="156"/>
      <c r="CW726" s="156"/>
      <c r="CX726" s="156"/>
      <c r="CY726" s="156"/>
      <c r="CZ726" s="156"/>
      <c r="DA726" s="156"/>
      <c r="DB726" s="156"/>
      <c r="DC726" s="156"/>
      <c r="DD726" s="156"/>
      <c r="DE726" s="156"/>
      <c r="DF726" s="156"/>
      <c r="DG726" s="156"/>
      <c r="DH726" s="156"/>
      <c r="DI726" s="156"/>
      <c r="DJ726" s="156"/>
      <c r="DK726" s="156"/>
      <c r="DL726" s="156"/>
      <c r="DM726" s="156"/>
      <c r="DN726" s="156"/>
      <c r="DO726" s="156"/>
      <c r="DP726" s="156"/>
      <c r="DQ726" s="156"/>
      <c r="DR726" s="156"/>
      <c r="DS726" s="156"/>
      <c r="DT726" s="156"/>
      <c r="DU726" s="156"/>
      <c r="DV726" s="156"/>
      <c r="DW726" s="156"/>
      <c r="DX726" s="156"/>
      <c r="DY726" s="156"/>
      <c r="DZ726" s="156"/>
      <c r="EA726" s="156"/>
      <c r="EB726" s="156"/>
      <c r="EC726" s="156"/>
      <c r="ED726" s="156"/>
      <c r="EE726" s="156"/>
      <c r="EF726" s="156"/>
      <c r="EG726" s="156"/>
      <c r="EH726" s="156"/>
      <c r="EI726" s="156"/>
      <c r="EJ726" s="156"/>
      <c r="EK726" s="156"/>
      <c r="EL726" s="156"/>
      <c r="EM726" s="156"/>
    </row>
    <row r="727" spans="20:143" ht="10.5" customHeight="1">
      <c r="T727" s="156"/>
      <c r="AZ727" s="156"/>
      <c r="BA727" s="156"/>
      <c r="BB727" s="156"/>
      <c r="BC727" s="156"/>
      <c r="BD727" s="156"/>
      <c r="BE727" s="156"/>
      <c r="BF727" s="156"/>
      <c r="BG727" s="156"/>
      <c r="BH727" s="156"/>
      <c r="BI727" s="156"/>
      <c r="BJ727" s="156"/>
      <c r="BK727" s="156"/>
      <c r="BL727" s="156"/>
      <c r="BM727" s="156"/>
      <c r="BN727" s="156"/>
      <c r="BO727" s="156"/>
      <c r="BP727" s="156"/>
      <c r="BQ727" s="156"/>
      <c r="BR727" s="156"/>
      <c r="BS727" s="156"/>
      <c r="BT727" s="156"/>
      <c r="BU727" s="156"/>
      <c r="BV727" s="156"/>
      <c r="BW727" s="156"/>
      <c r="BX727" s="156"/>
      <c r="BY727" s="156"/>
      <c r="BZ727" s="156"/>
      <c r="CA727" s="156"/>
      <c r="CB727" s="156"/>
      <c r="CC727" s="156"/>
      <c r="CD727" s="156"/>
      <c r="CE727" s="156"/>
      <c r="CF727" s="156"/>
      <c r="CG727" s="156"/>
      <c r="CH727" s="156"/>
      <c r="CI727" s="156"/>
      <c r="CJ727" s="156"/>
      <c r="CK727" s="156"/>
      <c r="CL727" s="156"/>
      <c r="CM727" s="156"/>
      <c r="CN727" s="156"/>
      <c r="CO727" s="156"/>
      <c r="CP727" s="156"/>
      <c r="CQ727" s="156"/>
      <c r="CR727" s="156"/>
      <c r="CS727" s="156"/>
      <c r="CT727" s="156"/>
      <c r="CU727" s="156"/>
      <c r="CV727" s="156"/>
      <c r="CW727" s="156"/>
      <c r="CX727" s="156"/>
      <c r="CY727" s="156"/>
      <c r="CZ727" s="156"/>
      <c r="DA727" s="156"/>
      <c r="DB727" s="156"/>
      <c r="DC727" s="156"/>
      <c r="DD727" s="156"/>
      <c r="DE727" s="156"/>
      <c r="DF727" s="156"/>
      <c r="DG727" s="156"/>
      <c r="DH727" s="156"/>
      <c r="DI727" s="156"/>
      <c r="DJ727" s="156"/>
      <c r="DK727" s="156"/>
      <c r="DL727" s="156"/>
      <c r="DM727" s="156"/>
      <c r="DN727" s="156"/>
      <c r="DO727" s="156"/>
      <c r="DP727" s="156"/>
      <c r="DQ727" s="156"/>
      <c r="DR727" s="156"/>
      <c r="DS727" s="156"/>
      <c r="DT727" s="156"/>
      <c r="DU727" s="156"/>
      <c r="DV727" s="156"/>
      <c r="DW727" s="156"/>
      <c r="DX727" s="156"/>
      <c r="DY727" s="156"/>
      <c r="DZ727" s="156"/>
      <c r="EA727" s="156"/>
      <c r="EB727" s="156"/>
      <c r="EC727" s="156"/>
      <c r="ED727" s="156"/>
      <c r="EE727" s="156"/>
      <c r="EF727" s="156"/>
      <c r="EG727" s="156"/>
      <c r="EH727" s="156"/>
      <c r="EI727" s="156"/>
      <c r="EJ727" s="156"/>
      <c r="EK727" s="156"/>
      <c r="EL727" s="156"/>
      <c r="EM727" s="156"/>
    </row>
    <row r="728" spans="20:143" ht="10.5" customHeight="1">
      <c r="T728" s="156"/>
      <c r="AZ728" s="156"/>
      <c r="BA728" s="156"/>
      <c r="BB728" s="156"/>
      <c r="BC728" s="156"/>
      <c r="BD728" s="156"/>
      <c r="BE728" s="156"/>
      <c r="BF728" s="156"/>
      <c r="BG728" s="156"/>
      <c r="BH728" s="156"/>
      <c r="BI728" s="156"/>
      <c r="BJ728" s="156"/>
      <c r="BK728" s="156"/>
      <c r="BL728" s="156"/>
      <c r="BM728" s="156"/>
      <c r="BN728" s="156"/>
      <c r="BO728" s="156"/>
      <c r="BP728" s="156"/>
      <c r="BQ728" s="156"/>
      <c r="BR728" s="156"/>
      <c r="BS728" s="156"/>
      <c r="BT728" s="156"/>
      <c r="BU728" s="156"/>
      <c r="BV728" s="156"/>
      <c r="BW728" s="156"/>
      <c r="BX728" s="156"/>
      <c r="BY728" s="156"/>
      <c r="BZ728" s="156"/>
      <c r="CA728" s="156"/>
      <c r="CB728" s="156"/>
      <c r="CC728" s="156"/>
      <c r="CD728" s="156"/>
      <c r="CE728" s="156"/>
      <c r="CF728" s="156"/>
      <c r="CG728" s="156"/>
      <c r="CH728" s="156"/>
      <c r="CI728" s="156"/>
      <c r="CJ728" s="156"/>
      <c r="CK728" s="156"/>
      <c r="CL728" s="156"/>
      <c r="CM728" s="156"/>
      <c r="CN728" s="156"/>
      <c r="CO728" s="156"/>
      <c r="CP728" s="156"/>
      <c r="CQ728" s="156"/>
      <c r="CR728" s="156"/>
      <c r="CS728" s="156"/>
      <c r="CT728" s="156"/>
      <c r="CU728" s="156"/>
      <c r="CV728" s="156"/>
      <c r="CW728" s="156"/>
      <c r="CX728" s="156"/>
      <c r="CY728" s="156"/>
      <c r="CZ728" s="156"/>
      <c r="DA728" s="156"/>
      <c r="DB728" s="156"/>
      <c r="DC728" s="156"/>
      <c r="DD728" s="156"/>
      <c r="DE728" s="156"/>
      <c r="DF728" s="156"/>
      <c r="DG728" s="156"/>
      <c r="DH728" s="156"/>
      <c r="DI728" s="156"/>
      <c r="DJ728" s="156"/>
      <c r="DK728" s="156"/>
      <c r="DL728" s="156"/>
      <c r="DM728" s="156"/>
      <c r="DN728" s="156"/>
      <c r="DO728" s="156"/>
      <c r="DP728" s="156"/>
      <c r="DQ728" s="156"/>
      <c r="DR728" s="156"/>
      <c r="DS728" s="156"/>
      <c r="DT728" s="156"/>
      <c r="DU728" s="156"/>
      <c r="DV728" s="156"/>
      <c r="DW728" s="156"/>
      <c r="DX728" s="156"/>
      <c r="DY728" s="156"/>
      <c r="DZ728" s="156"/>
      <c r="EA728" s="156"/>
      <c r="EB728" s="156"/>
      <c r="EC728" s="156"/>
      <c r="ED728" s="156"/>
      <c r="EE728" s="156"/>
      <c r="EF728" s="156"/>
      <c r="EG728" s="156"/>
      <c r="EH728" s="156"/>
      <c r="EI728" s="156"/>
      <c r="EJ728" s="156"/>
      <c r="EK728" s="156"/>
      <c r="EL728" s="156"/>
      <c r="EM728" s="156"/>
    </row>
    <row r="729" spans="20:143" ht="10.5" customHeight="1">
      <c r="T729" s="156"/>
      <c r="AZ729" s="156"/>
      <c r="BA729" s="156"/>
      <c r="BB729" s="156"/>
      <c r="BC729" s="156"/>
      <c r="BD729" s="156"/>
      <c r="BE729" s="156"/>
      <c r="BF729" s="156"/>
      <c r="BG729" s="156"/>
      <c r="BH729" s="156"/>
      <c r="BI729" s="156"/>
      <c r="BJ729" s="156"/>
      <c r="BK729" s="156"/>
      <c r="BL729" s="156"/>
      <c r="BM729" s="156"/>
      <c r="BN729" s="156"/>
      <c r="BO729" s="156"/>
      <c r="BP729" s="156"/>
      <c r="BQ729" s="156"/>
      <c r="BR729" s="156"/>
      <c r="BS729" s="156"/>
      <c r="BT729" s="156"/>
      <c r="BU729" s="156"/>
      <c r="BV729" s="156"/>
      <c r="BW729" s="156"/>
      <c r="BX729" s="156"/>
      <c r="BY729" s="156"/>
      <c r="BZ729" s="156"/>
      <c r="CA729" s="156"/>
      <c r="CB729" s="156"/>
      <c r="CC729" s="156"/>
      <c r="CD729" s="156"/>
      <c r="CE729" s="156"/>
      <c r="CF729" s="156"/>
      <c r="CG729" s="156"/>
      <c r="CH729" s="156"/>
      <c r="CI729" s="156"/>
      <c r="CJ729" s="156"/>
      <c r="CK729" s="156"/>
      <c r="CL729" s="156"/>
      <c r="CM729" s="156"/>
      <c r="CN729" s="156"/>
      <c r="CO729" s="156"/>
      <c r="CP729" s="156"/>
      <c r="CQ729" s="156"/>
      <c r="CR729" s="156"/>
      <c r="CS729" s="156"/>
      <c r="CT729" s="156"/>
      <c r="CU729" s="156"/>
      <c r="CV729" s="156"/>
      <c r="CW729" s="156"/>
      <c r="CX729" s="156"/>
      <c r="CY729" s="156"/>
      <c r="CZ729" s="156"/>
      <c r="DA729" s="156"/>
      <c r="DB729" s="156"/>
      <c r="DC729" s="156"/>
      <c r="DD729" s="156"/>
      <c r="DE729" s="156"/>
      <c r="DF729" s="156"/>
      <c r="DG729" s="156"/>
      <c r="DH729" s="156"/>
      <c r="DI729" s="156"/>
      <c r="DJ729" s="156"/>
      <c r="DK729" s="156"/>
      <c r="DL729" s="156"/>
      <c r="DM729" s="156"/>
      <c r="DN729" s="156"/>
      <c r="DO729" s="156"/>
      <c r="DP729" s="156"/>
      <c r="DQ729" s="156"/>
      <c r="DR729" s="156"/>
      <c r="DS729" s="156"/>
      <c r="DT729" s="156"/>
      <c r="DU729" s="156"/>
      <c r="DV729" s="156"/>
      <c r="DW729" s="156"/>
      <c r="DX729" s="156"/>
      <c r="DY729" s="156"/>
      <c r="DZ729" s="156"/>
      <c r="EA729" s="156"/>
      <c r="EB729" s="156"/>
      <c r="EC729" s="156"/>
      <c r="ED729" s="156"/>
      <c r="EE729" s="156"/>
      <c r="EF729" s="156"/>
      <c r="EG729" s="156"/>
      <c r="EH729" s="156"/>
      <c r="EI729" s="156"/>
      <c r="EJ729" s="156"/>
      <c r="EK729" s="156"/>
      <c r="EL729" s="156"/>
      <c r="EM729" s="156"/>
    </row>
    <row r="730" spans="20:143" ht="10.5" customHeight="1">
      <c r="T730" s="156"/>
      <c r="AZ730" s="156"/>
      <c r="BA730" s="156"/>
      <c r="BB730" s="156"/>
      <c r="BC730" s="156"/>
      <c r="BD730" s="156"/>
      <c r="BE730" s="156"/>
      <c r="BF730" s="156"/>
      <c r="BG730" s="156"/>
      <c r="BH730" s="156"/>
      <c r="BI730" s="156"/>
      <c r="BJ730" s="156"/>
      <c r="BK730" s="156"/>
      <c r="BL730" s="156"/>
      <c r="BM730" s="156"/>
      <c r="BN730" s="156"/>
      <c r="BO730" s="156"/>
      <c r="BP730" s="156"/>
      <c r="BQ730" s="156"/>
      <c r="BR730" s="156"/>
      <c r="BS730" s="156"/>
      <c r="BT730" s="156"/>
      <c r="BU730" s="156"/>
      <c r="BV730" s="156"/>
      <c r="BW730" s="156"/>
      <c r="BX730" s="156"/>
      <c r="BY730" s="156"/>
      <c r="BZ730" s="156"/>
      <c r="CA730" s="156"/>
      <c r="CB730" s="156"/>
      <c r="CC730" s="156"/>
      <c r="CD730" s="156"/>
      <c r="CE730" s="156"/>
      <c r="CF730" s="156"/>
      <c r="CG730" s="156"/>
      <c r="CH730" s="156"/>
      <c r="CI730" s="156"/>
      <c r="CJ730" s="156"/>
      <c r="CK730" s="156"/>
      <c r="CL730" s="156"/>
      <c r="CM730" s="156"/>
      <c r="CN730" s="156"/>
      <c r="CO730" s="156"/>
      <c r="CP730" s="156"/>
      <c r="CQ730" s="156"/>
      <c r="CR730" s="156"/>
      <c r="CS730" s="156"/>
      <c r="CT730" s="156"/>
      <c r="CU730" s="156"/>
      <c r="CV730" s="156"/>
      <c r="CW730" s="156"/>
      <c r="CX730" s="156"/>
      <c r="CY730" s="156"/>
      <c r="CZ730" s="156"/>
      <c r="DA730" s="156"/>
      <c r="DB730" s="156"/>
      <c r="DC730" s="156"/>
      <c r="DD730" s="156"/>
      <c r="DE730" s="156"/>
      <c r="DF730" s="156"/>
      <c r="DG730" s="156"/>
      <c r="DH730" s="156"/>
      <c r="DI730" s="156"/>
      <c r="DJ730" s="156"/>
      <c r="DK730" s="156"/>
      <c r="DL730" s="156"/>
      <c r="DM730" s="156"/>
      <c r="DN730" s="156"/>
      <c r="DO730" s="156"/>
      <c r="DP730" s="156"/>
      <c r="DQ730" s="156"/>
      <c r="DR730" s="156"/>
      <c r="DS730" s="156"/>
      <c r="DT730" s="156"/>
      <c r="DU730" s="156"/>
      <c r="DV730" s="156"/>
      <c r="DW730" s="156"/>
      <c r="DX730" s="156"/>
      <c r="DY730" s="156"/>
      <c r="DZ730" s="156"/>
      <c r="EA730" s="156"/>
      <c r="EB730" s="156"/>
      <c r="EC730" s="156"/>
      <c r="ED730" s="156"/>
      <c r="EE730" s="156"/>
      <c r="EF730" s="156"/>
      <c r="EG730" s="156"/>
      <c r="EH730" s="156"/>
      <c r="EI730" s="156"/>
      <c r="EJ730" s="156"/>
      <c r="EK730" s="156"/>
      <c r="EL730" s="156"/>
      <c r="EM730" s="156"/>
    </row>
    <row r="731" spans="20:143" ht="10.5" customHeight="1">
      <c r="T731" s="156"/>
      <c r="AZ731" s="156"/>
      <c r="BA731" s="156"/>
      <c r="BB731" s="156"/>
      <c r="BC731" s="156"/>
      <c r="BD731" s="156"/>
      <c r="BE731" s="156"/>
      <c r="BF731" s="156"/>
      <c r="BG731" s="156"/>
      <c r="BH731" s="156"/>
      <c r="BI731" s="156"/>
      <c r="BJ731" s="156"/>
      <c r="BK731" s="156"/>
      <c r="BL731" s="156"/>
      <c r="BM731" s="156"/>
      <c r="BN731" s="156"/>
      <c r="BO731" s="156"/>
      <c r="BP731" s="156"/>
      <c r="BQ731" s="156"/>
      <c r="BR731" s="156"/>
      <c r="BS731" s="156"/>
      <c r="BT731" s="156"/>
      <c r="BU731" s="156"/>
      <c r="BV731" s="156"/>
      <c r="BW731" s="156"/>
      <c r="BX731" s="156"/>
      <c r="BY731" s="156"/>
      <c r="BZ731" s="156"/>
      <c r="CA731" s="156"/>
      <c r="CB731" s="156"/>
      <c r="CC731" s="156"/>
      <c r="CD731" s="156"/>
      <c r="CE731" s="156"/>
      <c r="CF731" s="156"/>
      <c r="CG731" s="156"/>
      <c r="CH731" s="156"/>
      <c r="CI731" s="156"/>
      <c r="CJ731" s="156"/>
      <c r="CK731" s="156"/>
      <c r="CL731" s="156"/>
      <c r="CM731" s="156"/>
      <c r="CN731" s="156"/>
      <c r="CO731" s="156"/>
      <c r="CP731" s="156"/>
      <c r="CQ731" s="156"/>
      <c r="CR731" s="156"/>
      <c r="CS731" s="156"/>
      <c r="CT731" s="156"/>
      <c r="CU731" s="156"/>
      <c r="CV731" s="156"/>
      <c r="CW731" s="156"/>
      <c r="CX731" s="156"/>
      <c r="CY731" s="156"/>
      <c r="CZ731" s="156"/>
      <c r="DA731" s="156"/>
      <c r="DB731" s="156"/>
      <c r="DC731" s="156"/>
      <c r="DD731" s="156"/>
      <c r="DE731" s="156"/>
      <c r="DF731" s="156"/>
      <c r="DG731" s="156"/>
      <c r="DH731" s="156"/>
      <c r="DI731" s="156"/>
      <c r="DJ731" s="156"/>
      <c r="DK731" s="156"/>
      <c r="DL731" s="156"/>
      <c r="DM731" s="156"/>
      <c r="DN731" s="156"/>
      <c r="DO731" s="156"/>
      <c r="DP731" s="156"/>
      <c r="DQ731" s="156"/>
      <c r="DR731" s="156"/>
      <c r="DS731" s="156"/>
      <c r="DT731" s="156"/>
      <c r="DU731" s="156"/>
      <c r="DV731" s="156"/>
      <c r="DW731" s="156"/>
      <c r="DX731" s="156"/>
      <c r="DY731" s="156"/>
      <c r="DZ731" s="156"/>
      <c r="EA731" s="156"/>
      <c r="EB731" s="156"/>
      <c r="EC731" s="156"/>
      <c r="ED731" s="156"/>
      <c r="EE731" s="156"/>
      <c r="EF731" s="156"/>
      <c r="EG731" s="156"/>
      <c r="EH731" s="156"/>
      <c r="EI731" s="156"/>
      <c r="EJ731" s="156"/>
      <c r="EK731" s="156"/>
      <c r="EL731" s="156"/>
      <c r="EM731" s="156"/>
    </row>
    <row r="732" spans="20:143" ht="10.5" customHeight="1">
      <c r="T732" s="156"/>
      <c r="AZ732" s="156"/>
      <c r="BA732" s="156"/>
      <c r="BB732" s="156"/>
      <c r="BC732" s="156"/>
      <c r="BD732" s="156"/>
      <c r="BE732" s="156"/>
      <c r="BF732" s="156"/>
      <c r="BG732" s="156"/>
      <c r="BH732" s="156"/>
      <c r="BI732" s="156"/>
      <c r="BJ732" s="156"/>
      <c r="BK732" s="156"/>
      <c r="BL732" s="156"/>
      <c r="BM732" s="156"/>
      <c r="BN732" s="156"/>
      <c r="BO732" s="156"/>
      <c r="BP732" s="156"/>
      <c r="BQ732" s="156"/>
      <c r="BR732" s="156"/>
      <c r="BS732" s="156"/>
      <c r="BT732" s="156"/>
      <c r="BU732" s="156"/>
      <c r="BV732" s="156"/>
      <c r="BW732" s="156"/>
      <c r="BX732" s="156"/>
      <c r="BY732" s="156"/>
      <c r="BZ732" s="156"/>
      <c r="CA732" s="156"/>
      <c r="CB732" s="156"/>
      <c r="CC732" s="156"/>
      <c r="CD732" s="156"/>
      <c r="CE732" s="156"/>
      <c r="CF732" s="156"/>
      <c r="CG732" s="156"/>
      <c r="CH732" s="156"/>
      <c r="CI732" s="156"/>
      <c r="CJ732" s="156"/>
      <c r="CK732" s="156"/>
      <c r="CL732" s="156"/>
      <c r="CM732" s="156"/>
      <c r="CN732" s="156"/>
      <c r="CO732" s="156"/>
      <c r="CP732" s="156"/>
      <c r="CQ732" s="156"/>
      <c r="CR732" s="156"/>
      <c r="CS732" s="156"/>
      <c r="CT732" s="156"/>
      <c r="CU732" s="156"/>
      <c r="CV732" s="156"/>
      <c r="CW732" s="156"/>
      <c r="CX732" s="156"/>
      <c r="CY732" s="156"/>
      <c r="CZ732" s="156"/>
      <c r="DA732" s="156"/>
      <c r="DB732" s="156"/>
      <c r="DC732" s="156"/>
      <c r="DD732" s="156"/>
      <c r="DE732" s="156"/>
      <c r="DF732" s="156"/>
      <c r="DG732" s="156"/>
      <c r="DH732" s="156"/>
      <c r="DI732" s="156"/>
      <c r="DJ732" s="156"/>
      <c r="DK732" s="156"/>
      <c r="DL732" s="156"/>
      <c r="DM732" s="156"/>
      <c r="DN732" s="156"/>
      <c r="DO732" s="156"/>
      <c r="DP732" s="156"/>
      <c r="DQ732" s="156"/>
      <c r="DR732" s="156"/>
      <c r="DS732" s="156"/>
      <c r="DT732" s="156"/>
      <c r="DU732" s="156"/>
      <c r="DV732" s="156"/>
      <c r="DW732" s="156"/>
      <c r="DX732" s="156"/>
      <c r="DY732" s="156"/>
      <c r="DZ732" s="156"/>
      <c r="EA732" s="156"/>
      <c r="EB732" s="156"/>
      <c r="EC732" s="156"/>
      <c r="ED732" s="156"/>
      <c r="EE732" s="156"/>
      <c r="EF732" s="156"/>
      <c r="EG732" s="156"/>
      <c r="EH732" s="156"/>
      <c r="EI732" s="156"/>
      <c r="EJ732" s="156"/>
      <c r="EK732" s="156"/>
      <c r="EL732" s="156"/>
      <c r="EM732" s="156"/>
    </row>
    <row r="733" spans="20:143" ht="10.5" customHeight="1">
      <c r="T733" s="156"/>
      <c r="AZ733" s="156"/>
      <c r="BA733" s="156"/>
      <c r="BB733" s="156"/>
      <c r="BC733" s="156"/>
      <c r="BD733" s="156"/>
      <c r="BE733" s="156"/>
      <c r="BF733" s="156"/>
      <c r="BG733" s="156"/>
      <c r="BH733" s="156"/>
      <c r="BI733" s="156"/>
      <c r="BJ733" s="156"/>
      <c r="BK733" s="156"/>
      <c r="BL733" s="156"/>
      <c r="BM733" s="156"/>
      <c r="BN733" s="156"/>
      <c r="BO733" s="156"/>
      <c r="BP733" s="156"/>
      <c r="BQ733" s="156"/>
      <c r="BR733" s="156"/>
      <c r="BS733" s="156"/>
      <c r="BT733" s="156"/>
      <c r="BU733" s="156"/>
      <c r="BV733" s="156"/>
      <c r="BW733" s="156"/>
      <c r="BX733" s="156"/>
      <c r="BY733" s="156"/>
      <c r="BZ733" s="156"/>
      <c r="CA733" s="156"/>
      <c r="CB733" s="156"/>
      <c r="CC733" s="156"/>
      <c r="CD733" s="156"/>
      <c r="CE733" s="156"/>
      <c r="CF733" s="156"/>
      <c r="CG733" s="156"/>
      <c r="CH733" s="156"/>
      <c r="CI733" s="156"/>
      <c r="CJ733" s="156"/>
      <c r="CK733" s="156"/>
      <c r="CL733" s="156"/>
      <c r="CM733" s="156"/>
      <c r="CN733" s="156"/>
      <c r="CO733" s="156"/>
      <c r="CP733" s="156"/>
      <c r="CQ733" s="156"/>
      <c r="CR733" s="156"/>
      <c r="CS733" s="156"/>
      <c r="CT733" s="156"/>
      <c r="CU733" s="156"/>
      <c r="CV733" s="156"/>
      <c r="CW733" s="156"/>
      <c r="CX733" s="156"/>
      <c r="CY733" s="156"/>
      <c r="CZ733" s="156"/>
      <c r="DA733" s="156"/>
      <c r="DB733" s="156"/>
      <c r="DC733" s="156"/>
      <c r="DD733" s="156"/>
      <c r="DE733" s="156"/>
      <c r="DF733" s="156"/>
      <c r="DG733" s="156"/>
      <c r="DH733" s="156"/>
      <c r="DI733" s="156"/>
      <c r="DJ733" s="156"/>
      <c r="DK733" s="156"/>
      <c r="DL733" s="156"/>
      <c r="DM733" s="156"/>
      <c r="DN733" s="156"/>
      <c r="DO733" s="156"/>
      <c r="DP733" s="156"/>
      <c r="DQ733" s="156"/>
      <c r="DR733" s="156"/>
      <c r="DS733" s="156"/>
      <c r="DT733" s="156"/>
      <c r="DU733" s="156"/>
      <c r="DV733" s="156"/>
      <c r="DW733" s="156"/>
      <c r="DX733" s="156"/>
      <c r="DY733" s="156"/>
      <c r="DZ733" s="156"/>
      <c r="EA733" s="156"/>
      <c r="EB733" s="156"/>
      <c r="EC733" s="156"/>
      <c r="ED733" s="156"/>
      <c r="EE733" s="156"/>
      <c r="EF733" s="156"/>
      <c r="EG733" s="156"/>
      <c r="EH733" s="156"/>
      <c r="EI733" s="156"/>
      <c r="EJ733" s="156"/>
      <c r="EK733" s="156"/>
      <c r="EL733" s="156"/>
      <c r="EM733" s="156"/>
    </row>
    <row r="734" spans="20:143" ht="10.5" customHeight="1">
      <c r="T734" s="156"/>
      <c r="AZ734" s="156"/>
      <c r="BA734" s="156"/>
      <c r="BB734" s="156"/>
      <c r="BC734" s="156"/>
      <c r="BD734" s="156"/>
      <c r="BE734" s="156"/>
      <c r="BF734" s="156"/>
      <c r="BG734" s="156"/>
      <c r="BH734" s="156"/>
      <c r="BI734" s="156"/>
      <c r="BJ734" s="156"/>
      <c r="BK734" s="156"/>
      <c r="BL734" s="156"/>
      <c r="BM734" s="156"/>
      <c r="BN734" s="156"/>
      <c r="BO734" s="156"/>
      <c r="BP734" s="156"/>
      <c r="BQ734" s="156"/>
      <c r="BR734" s="156"/>
      <c r="BS734" s="156"/>
      <c r="BT734" s="156"/>
      <c r="BU734" s="156"/>
      <c r="BV734" s="156"/>
      <c r="BW734" s="156"/>
      <c r="BX734" s="156"/>
      <c r="BY734" s="156"/>
      <c r="BZ734" s="156"/>
      <c r="CA734" s="156"/>
      <c r="CB734" s="156"/>
      <c r="CC734" s="156"/>
      <c r="CD734" s="156"/>
      <c r="CE734" s="156"/>
      <c r="CF734" s="156"/>
      <c r="CG734" s="156"/>
      <c r="CH734" s="156"/>
      <c r="CI734" s="156"/>
      <c r="CJ734" s="156"/>
      <c r="CK734" s="156"/>
      <c r="CL734" s="156"/>
      <c r="CM734" s="156"/>
      <c r="CN734" s="156"/>
      <c r="CO734" s="156"/>
      <c r="CP734" s="156"/>
      <c r="CQ734" s="156"/>
      <c r="CR734" s="156"/>
      <c r="CS734" s="156"/>
      <c r="CT734" s="156"/>
      <c r="CU734" s="156"/>
      <c r="CV734" s="156"/>
      <c r="CW734" s="156"/>
      <c r="CX734" s="156"/>
      <c r="CY734" s="156"/>
      <c r="CZ734" s="156"/>
      <c r="DA734" s="156"/>
      <c r="DB734" s="156"/>
      <c r="DC734" s="156"/>
      <c r="DD734" s="156"/>
      <c r="DE734" s="156"/>
      <c r="DF734" s="156"/>
      <c r="DG734" s="156"/>
      <c r="DH734" s="156"/>
      <c r="DI734" s="156"/>
      <c r="DJ734" s="156"/>
      <c r="DK734" s="156"/>
      <c r="DL734" s="156"/>
      <c r="DM734" s="156"/>
      <c r="DN734" s="156"/>
      <c r="DO734" s="156"/>
      <c r="DP734" s="156"/>
      <c r="DQ734" s="156"/>
      <c r="DR734" s="156"/>
      <c r="DS734" s="156"/>
      <c r="DT734" s="156"/>
      <c r="DU734" s="156"/>
      <c r="DV734" s="156"/>
      <c r="DW734" s="156"/>
      <c r="DX734" s="156"/>
      <c r="DY734" s="156"/>
      <c r="DZ734" s="156"/>
      <c r="EA734" s="156"/>
      <c r="EB734" s="156"/>
      <c r="EC734" s="156"/>
      <c r="ED734" s="156"/>
      <c r="EE734" s="156"/>
      <c r="EF734" s="156"/>
      <c r="EG734" s="156"/>
      <c r="EH734" s="156"/>
      <c r="EI734" s="156"/>
      <c r="EJ734" s="156"/>
      <c r="EK734" s="156"/>
      <c r="EL734" s="156"/>
      <c r="EM734" s="156"/>
    </row>
    <row r="735" spans="20:143" ht="10.5" customHeight="1">
      <c r="T735" s="156"/>
      <c r="AZ735" s="156"/>
      <c r="BA735" s="156"/>
      <c r="BB735" s="156"/>
      <c r="BC735" s="156"/>
      <c r="BD735" s="156"/>
      <c r="BE735" s="156"/>
      <c r="BF735" s="156"/>
      <c r="BG735" s="156"/>
      <c r="BH735" s="156"/>
      <c r="BI735" s="156"/>
      <c r="BJ735" s="156"/>
      <c r="BK735" s="156"/>
      <c r="BL735" s="156"/>
      <c r="BM735" s="156"/>
      <c r="BN735" s="156"/>
      <c r="BO735" s="156"/>
      <c r="BP735" s="156"/>
      <c r="BQ735" s="156"/>
      <c r="BR735" s="156"/>
      <c r="BS735" s="156"/>
      <c r="BT735" s="156"/>
      <c r="BU735" s="156"/>
      <c r="BV735" s="156"/>
      <c r="BW735" s="156"/>
      <c r="BX735" s="156"/>
      <c r="BY735" s="156"/>
      <c r="BZ735" s="156"/>
      <c r="CA735" s="156"/>
      <c r="CB735" s="156"/>
      <c r="CC735" s="156"/>
      <c r="CD735" s="156"/>
      <c r="CE735" s="156"/>
      <c r="CF735" s="156"/>
      <c r="CG735" s="156"/>
      <c r="CH735" s="156"/>
      <c r="CI735" s="156"/>
      <c r="CJ735" s="156"/>
      <c r="CK735" s="156"/>
      <c r="CL735" s="156"/>
      <c r="CM735" s="156"/>
      <c r="CN735" s="156"/>
      <c r="CO735" s="156"/>
      <c r="CP735" s="156"/>
      <c r="CQ735" s="156"/>
      <c r="CR735" s="156"/>
      <c r="CS735" s="156"/>
      <c r="CT735" s="156"/>
      <c r="CU735" s="156"/>
      <c r="CV735" s="156"/>
      <c r="CW735" s="156"/>
      <c r="CX735" s="156"/>
      <c r="CY735" s="156"/>
      <c r="CZ735" s="156"/>
      <c r="DA735" s="156"/>
      <c r="DB735" s="156"/>
      <c r="DC735" s="156"/>
      <c r="DD735" s="156"/>
      <c r="DE735" s="156"/>
      <c r="DF735" s="156"/>
      <c r="DG735" s="156"/>
      <c r="DH735" s="156"/>
      <c r="DI735" s="156"/>
      <c r="DJ735" s="156"/>
      <c r="DK735" s="156"/>
      <c r="DL735" s="156"/>
      <c r="DM735" s="156"/>
      <c r="DN735" s="156"/>
      <c r="DO735" s="156"/>
      <c r="DP735" s="156"/>
      <c r="DQ735" s="156"/>
      <c r="DR735" s="156"/>
      <c r="DS735" s="156"/>
      <c r="DT735" s="156"/>
      <c r="DU735" s="156"/>
      <c r="DV735" s="156"/>
      <c r="DW735" s="156"/>
      <c r="DX735" s="156"/>
      <c r="DY735" s="156"/>
      <c r="DZ735" s="156"/>
      <c r="EA735" s="156"/>
      <c r="EB735" s="156"/>
      <c r="EC735" s="156"/>
      <c r="ED735" s="156"/>
      <c r="EE735" s="156"/>
      <c r="EF735" s="156"/>
      <c r="EG735" s="156"/>
      <c r="EH735" s="156"/>
      <c r="EI735" s="156"/>
      <c r="EJ735" s="156"/>
      <c r="EK735" s="156"/>
      <c r="EL735" s="156"/>
      <c r="EM735" s="156"/>
    </row>
    <row r="736" spans="20:143" ht="10.5" customHeight="1">
      <c r="T736" s="156"/>
      <c r="AZ736" s="156"/>
      <c r="BA736" s="156"/>
      <c r="BB736" s="156"/>
      <c r="BC736" s="156"/>
      <c r="BD736" s="156"/>
      <c r="BE736" s="156"/>
      <c r="BF736" s="156"/>
      <c r="BG736" s="156"/>
      <c r="BH736" s="156"/>
      <c r="BI736" s="156"/>
      <c r="BJ736" s="156"/>
      <c r="BK736" s="156"/>
      <c r="BL736" s="156"/>
      <c r="BM736" s="156"/>
      <c r="BN736" s="156"/>
      <c r="BO736" s="156"/>
      <c r="BP736" s="156"/>
      <c r="BQ736" s="156"/>
      <c r="BR736" s="156"/>
      <c r="BS736" s="156"/>
      <c r="BT736" s="156"/>
      <c r="BU736" s="156"/>
      <c r="BV736" s="156"/>
      <c r="BW736" s="156"/>
      <c r="BX736" s="156"/>
      <c r="BY736" s="156"/>
      <c r="BZ736" s="156"/>
      <c r="CA736" s="156"/>
      <c r="CB736" s="156"/>
      <c r="CC736" s="156"/>
      <c r="CD736" s="156"/>
      <c r="CE736" s="156"/>
      <c r="CF736" s="156"/>
      <c r="CG736" s="156"/>
      <c r="CH736" s="156"/>
      <c r="CI736" s="156"/>
      <c r="CJ736" s="156"/>
      <c r="CK736" s="156"/>
      <c r="CL736" s="156"/>
      <c r="CM736" s="156"/>
      <c r="CN736" s="156"/>
      <c r="CO736" s="156"/>
      <c r="CP736" s="156"/>
      <c r="CQ736" s="156"/>
      <c r="CR736" s="156"/>
      <c r="CS736" s="156"/>
      <c r="CT736" s="156"/>
      <c r="CU736" s="156"/>
      <c r="CV736" s="156"/>
      <c r="CW736" s="156"/>
      <c r="CX736" s="156"/>
      <c r="CY736" s="156"/>
      <c r="CZ736" s="156"/>
      <c r="DA736" s="156"/>
      <c r="DB736" s="156"/>
      <c r="DC736" s="156"/>
      <c r="DD736" s="156"/>
      <c r="DE736" s="156"/>
      <c r="DF736" s="156"/>
      <c r="DG736" s="156"/>
      <c r="DH736" s="156"/>
      <c r="DI736" s="156"/>
      <c r="DJ736" s="156"/>
      <c r="DK736" s="156"/>
      <c r="DL736" s="156"/>
      <c r="DM736" s="156"/>
      <c r="DN736" s="156"/>
      <c r="DO736" s="156"/>
      <c r="DP736" s="156"/>
      <c r="DQ736" s="156"/>
      <c r="DR736" s="156"/>
      <c r="DS736" s="156"/>
      <c r="DT736" s="156"/>
      <c r="DU736" s="156"/>
      <c r="DV736" s="156"/>
      <c r="DW736" s="156"/>
      <c r="DX736" s="156"/>
      <c r="DY736" s="156"/>
      <c r="DZ736" s="156"/>
      <c r="EA736" s="156"/>
      <c r="EB736" s="156"/>
      <c r="EC736" s="156"/>
      <c r="ED736" s="156"/>
      <c r="EE736" s="156"/>
      <c r="EF736" s="156"/>
      <c r="EG736" s="156"/>
      <c r="EH736" s="156"/>
      <c r="EI736" s="156"/>
      <c r="EJ736" s="156"/>
      <c r="EK736" s="156"/>
      <c r="EL736" s="156"/>
      <c r="EM736" s="156"/>
    </row>
    <row r="737" spans="20:143" ht="10.5" customHeight="1">
      <c r="T737" s="156"/>
      <c r="AZ737" s="156"/>
      <c r="BA737" s="156"/>
      <c r="BB737" s="156"/>
      <c r="BC737" s="156"/>
      <c r="BD737" s="156"/>
      <c r="BE737" s="156"/>
      <c r="BF737" s="156"/>
      <c r="BG737" s="156"/>
      <c r="BH737" s="156"/>
      <c r="BI737" s="156"/>
      <c r="BJ737" s="156"/>
      <c r="BK737" s="156"/>
      <c r="BL737" s="156"/>
      <c r="BM737" s="156"/>
      <c r="BN737" s="156"/>
      <c r="BO737" s="156"/>
      <c r="BP737" s="156"/>
      <c r="BQ737" s="156"/>
      <c r="BR737" s="156"/>
      <c r="BS737" s="156"/>
      <c r="BT737" s="156"/>
      <c r="BU737" s="156"/>
      <c r="BV737" s="156"/>
      <c r="BW737" s="156"/>
      <c r="BX737" s="156"/>
      <c r="BY737" s="156"/>
      <c r="BZ737" s="156"/>
      <c r="CA737" s="156"/>
      <c r="CB737" s="156"/>
      <c r="CC737" s="156"/>
      <c r="CD737" s="156"/>
      <c r="CE737" s="156"/>
      <c r="CF737" s="156"/>
      <c r="CG737" s="156"/>
      <c r="CH737" s="156"/>
      <c r="CI737" s="156"/>
      <c r="CJ737" s="156"/>
      <c r="CK737" s="156"/>
      <c r="CL737" s="156"/>
      <c r="CM737" s="156"/>
      <c r="CN737" s="156"/>
      <c r="CO737" s="156"/>
      <c r="CP737" s="156"/>
      <c r="CQ737" s="156"/>
      <c r="CR737" s="156"/>
      <c r="CS737" s="156"/>
      <c r="CT737" s="156"/>
      <c r="CU737" s="156"/>
      <c r="CV737" s="156"/>
      <c r="CW737" s="156"/>
      <c r="CX737" s="156"/>
      <c r="CY737" s="156"/>
      <c r="CZ737" s="156"/>
      <c r="DA737" s="156"/>
      <c r="DB737" s="156"/>
      <c r="DC737" s="156"/>
      <c r="DD737" s="156"/>
      <c r="DE737" s="156"/>
      <c r="DF737" s="156"/>
      <c r="DG737" s="156"/>
      <c r="DH737" s="156"/>
      <c r="DI737" s="156"/>
      <c r="DJ737" s="156"/>
      <c r="DK737" s="156"/>
      <c r="DL737" s="156"/>
      <c r="DM737" s="156"/>
      <c r="DN737" s="156"/>
      <c r="DO737" s="156"/>
      <c r="DP737" s="156"/>
      <c r="DQ737" s="156"/>
      <c r="DR737" s="156"/>
      <c r="DS737" s="156"/>
      <c r="DT737" s="156"/>
      <c r="DU737" s="156"/>
      <c r="DV737" s="156"/>
      <c r="DW737" s="156"/>
      <c r="DX737" s="156"/>
      <c r="DY737" s="156"/>
      <c r="DZ737" s="156"/>
      <c r="EA737" s="156"/>
      <c r="EB737" s="156"/>
      <c r="EC737" s="156"/>
      <c r="ED737" s="156"/>
      <c r="EE737" s="156"/>
      <c r="EF737" s="156"/>
      <c r="EG737" s="156"/>
      <c r="EH737" s="156"/>
      <c r="EI737" s="156"/>
      <c r="EJ737" s="156"/>
      <c r="EK737" s="156"/>
      <c r="EL737" s="156"/>
      <c r="EM737" s="156"/>
    </row>
    <row r="738" spans="20:143" ht="10.5" customHeight="1">
      <c r="T738" s="156"/>
      <c r="AZ738" s="156"/>
      <c r="BA738" s="156"/>
      <c r="BB738" s="156"/>
      <c r="BC738" s="156"/>
      <c r="BD738" s="156"/>
      <c r="BE738" s="156"/>
      <c r="BF738" s="156"/>
      <c r="BG738" s="156"/>
      <c r="BH738" s="156"/>
      <c r="BI738" s="156"/>
      <c r="BJ738" s="156"/>
      <c r="BK738" s="156"/>
      <c r="BL738" s="156"/>
      <c r="BM738" s="156"/>
      <c r="BN738" s="156"/>
      <c r="BO738" s="156"/>
      <c r="BP738" s="156"/>
      <c r="BQ738" s="156"/>
      <c r="BR738" s="156"/>
      <c r="BS738" s="156"/>
      <c r="BT738" s="156"/>
      <c r="BU738" s="156"/>
      <c r="BV738" s="156"/>
      <c r="BW738" s="156"/>
      <c r="BX738" s="156"/>
      <c r="BY738" s="156"/>
      <c r="BZ738" s="156"/>
      <c r="CA738" s="156"/>
      <c r="CB738" s="156"/>
      <c r="CC738" s="156"/>
      <c r="CD738" s="156"/>
      <c r="CE738" s="156"/>
      <c r="CF738" s="156"/>
      <c r="CG738" s="156"/>
      <c r="CH738" s="156"/>
      <c r="CI738" s="156"/>
      <c r="CJ738" s="156"/>
      <c r="CK738" s="156"/>
      <c r="CL738" s="156"/>
      <c r="CM738" s="156"/>
      <c r="CN738" s="156"/>
      <c r="CO738" s="156"/>
      <c r="CP738" s="156"/>
      <c r="CQ738" s="156"/>
      <c r="CR738" s="156"/>
      <c r="CS738" s="156"/>
      <c r="CT738" s="156"/>
      <c r="CU738" s="156"/>
      <c r="CV738" s="156"/>
      <c r="CW738" s="156"/>
      <c r="CX738" s="156"/>
      <c r="CY738" s="156"/>
      <c r="CZ738" s="156"/>
      <c r="DA738" s="156"/>
      <c r="DB738" s="156"/>
      <c r="DC738" s="156"/>
      <c r="DD738" s="156"/>
      <c r="DE738" s="156"/>
      <c r="DF738" s="156"/>
      <c r="DG738" s="156"/>
      <c r="DH738" s="156"/>
      <c r="DI738" s="156"/>
      <c r="DJ738" s="156"/>
      <c r="DK738" s="156"/>
      <c r="DL738" s="156"/>
      <c r="DM738" s="156"/>
      <c r="DN738" s="156"/>
      <c r="DO738" s="156"/>
      <c r="DP738" s="156"/>
      <c r="DQ738" s="156"/>
      <c r="DR738" s="156"/>
      <c r="DS738" s="156"/>
      <c r="DT738" s="156"/>
      <c r="DU738" s="156"/>
      <c r="DV738" s="156"/>
      <c r="DW738" s="156"/>
      <c r="DX738" s="156"/>
      <c r="DY738" s="156"/>
      <c r="DZ738" s="156"/>
      <c r="EA738" s="156"/>
      <c r="EB738" s="156"/>
      <c r="EC738" s="156"/>
      <c r="ED738" s="156"/>
      <c r="EE738" s="156"/>
      <c r="EF738" s="156"/>
      <c r="EG738" s="156"/>
      <c r="EH738" s="156"/>
      <c r="EI738" s="156"/>
      <c r="EJ738" s="156"/>
      <c r="EK738" s="156"/>
      <c r="EL738" s="156"/>
      <c r="EM738" s="156"/>
    </row>
    <row r="739" spans="20:143" ht="10.5" customHeight="1">
      <c r="T739" s="156"/>
      <c r="AZ739" s="156"/>
      <c r="BA739" s="156"/>
      <c r="BB739" s="156"/>
      <c r="BC739" s="156"/>
      <c r="BD739" s="156"/>
      <c r="BE739" s="156"/>
      <c r="BF739" s="156"/>
      <c r="BG739" s="156"/>
      <c r="BH739" s="156"/>
      <c r="BI739" s="156"/>
      <c r="BJ739" s="156"/>
      <c r="BK739" s="156"/>
      <c r="BL739" s="156"/>
      <c r="BM739" s="156"/>
      <c r="BN739" s="156"/>
      <c r="BO739" s="156"/>
      <c r="BP739" s="156"/>
      <c r="BQ739" s="156"/>
      <c r="BR739" s="156"/>
      <c r="BS739" s="156"/>
      <c r="BT739" s="156"/>
      <c r="BU739" s="156"/>
      <c r="BV739" s="156"/>
      <c r="BW739" s="156"/>
      <c r="BX739" s="156"/>
      <c r="BY739" s="156"/>
      <c r="BZ739" s="156"/>
      <c r="CA739" s="156"/>
      <c r="CB739" s="156"/>
      <c r="CC739" s="156"/>
      <c r="CD739" s="156"/>
      <c r="CE739" s="156"/>
      <c r="CF739" s="156"/>
      <c r="CG739" s="156"/>
      <c r="CH739" s="156"/>
      <c r="CI739" s="156"/>
      <c r="CJ739" s="156"/>
      <c r="CK739" s="156"/>
      <c r="CL739" s="156"/>
      <c r="CM739" s="156"/>
      <c r="CN739" s="156"/>
      <c r="CO739" s="156"/>
      <c r="CP739" s="156"/>
      <c r="CQ739" s="156"/>
      <c r="CR739" s="156"/>
      <c r="CS739" s="156"/>
      <c r="CT739" s="156"/>
      <c r="CU739" s="156"/>
      <c r="CV739" s="156"/>
      <c r="CW739" s="156"/>
      <c r="CX739" s="156"/>
      <c r="CY739" s="156"/>
      <c r="CZ739" s="156"/>
      <c r="DA739" s="156"/>
      <c r="DB739" s="156"/>
      <c r="DC739" s="156"/>
      <c r="DD739" s="156"/>
      <c r="DE739" s="156"/>
      <c r="DF739" s="156"/>
      <c r="DG739" s="156"/>
      <c r="DH739" s="156"/>
      <c r="DI739" s="156"/>
      <c r="DJ739" s="156"/>
      <c r="DK739" s="156"/>
      <c r="DL739" s="156"/>
      <c r="DM739" s="156"/>
      <c r="DN739" s="156"/>
      <c r="DO739" s="156"/>
      <c r="DP739" s="156"/>
      <c r="DQ739" s="156"/>
      <c r="DR739" s="156"/>
      <c r="DS739" s="156"/>
      <c r="DT739" s="156"/>
      <c r="DU739" s="156"/>
      <c r="DV739" s="156"/>
      <c r="DW739" s="156"/>
      <c r="DX739" s="156"/>
      <c r="DY739" s="156"/>
      <c r="DZ739" s="156"/>
      <c r="EA739" s="156"/>
      <c r="EB739" s="156"/>
      <c r="EC739" s="156"/>
      <c r="ED739" s="156"/>
      <c r="EE739" s="156"/>
      <c r="EF739" s="156"/>
      <c r="EG739" s="156"/>
      <c r="EH739" s="156"/>
      <c r="EI739" s="156"/>
      <c r="EJ739" s="156"/>
      <c r="EK739" s="156"/>
      <c r="EL739" s="156"/>
      <c r="EM739" s="156"/>
    </row>
    <row r="740" spans="20:143" ht="10.5" customHeight="1">
      <c r="T740" s="156"/>
      <c r="AZ740" s="156"/>
      <c r="BA740" s="156"/>
      <c r="BB740" s="156"/>
      <c r="BC740" s="156"/>
      <c r="BD740" s="156"/>
      <c r="BE740" s="156"/>
      <c r="BF740" s="156"/>
      <c r="BG740" s="156"/>
      <c r="BH740" s="156"/>
      <c r="BI740" s="156"/>
      <c r="BJ740" s="156"/>
      <c r="BK740" s="156"/>
      <c r="BL740" s="156"/>
      <c r="BM740" s="156"/>
      <c r="BN740" s="156"/>
      <c r="BO740" s="156"/>
      <c r="BP740" s="156"/>
      <c r="BQ740" s="156"/>
      <c r="BR740" s="156"/>
      <c r="BS740" s="156"/>
      <c r="BT740" s="156"/>
      <c r="BU740" s="156"/>
      <c r="BV740" s="156"/>
      <c r="BW740" s="156"/>
      <c r="BX740" s="156"/>
      <c r="BY740" s="156"/>
      <c r="BZ740" s="156"/>
      <c r="CA740" s="156"/>
      <c r="CB740" s="156"/>
      <c r="CC740" s="156"/>
      <c r="CD740" s="156"/>
      <c r="CE740" s="156"/>
      <c r="CF740" s="156"/>
      <c r="CG740" s="156"/>
      <c r="CH740" s="156"/>
      <c r="CI740" s="156"/>
      <c r="CJ740" s="156"/>
      <c r="CK740" s="156"/>
      <c r="CL740" s="156"/>
      <c r="CM740" s="156"/>
      <c r="CN740" s="156"/>
      <c r="CO740" s="156"/>
      <c r="CP740" s="156"/>
      <c r="CQ740" s="156"/>
      <c r="CR740" s="156"/>
      <c r="CS740" s="156"/>
      <c r="CT740" s="156"/>
      <c r="CU740" s="156"/>
      <c r="CV740" s="156"/>
      <c r="CW740" s="156"/>
      <c r="CX740" s="156"/>
      <c r="CY740" s="156"/>
      <c r="CZ740" s="156"/>
      <c r="DA740" s="156"/>
      <c r="DB740" s="156"/>
      <c r="DC740" s="156"/>
      <c r="DD740" s="156"/>
      <c r="DE740" s="156"/>
      <c r="DF740" s="156"/>
      <c r="DG740" s="156"/>
      <c r="DH740" s="156"/>
      <c r="DI740" s="156"/>
      <c r="DJ740" s="156"/>
      <c r="DK740" s="156"/>
      <c r="DL740" s="156"/>
      <c r="DM740" s="156"/>
      <c r="DN740" s="156"/>
      <c r="DO740" s="156"/>
      <c r="DP740" s="156"/>
      <c r="DQ740" s="156"/>
      <c r="DR740" s="156"/>
      <c r="DS740" s="156"/>
      <c r="DT740" s="156"/>
      <c r="DU740" s="156"/>
      <c r="DV740" s="156"/>
      <c r="DW740" s="156"/>
      <c r="DX740" s="156"/>
      <c r="DY740" s="156"/>
      <c r="DZ740" s="156"/>
      <c r="EA740" s="156"/>
      <c r="EB740" s="156"/>
      <c r="EC740" s="156"/>
      <c r="ED740" s="156"/>
      <c r="EE740" s="156"/>
      <c r="EF740" s="156"/>
      <c r="EG740" s="156"/>
      <c r="EH740" s="156"/>
      <c r="EI740" s="156"/>
      <c r="EJ740" s="156"/>
      <c r="EK740" s="156"/>
      <c r="EL740" s="156"/>
      <c r="EM740" s="156"/>
    </row>
    <row r="741" spans="20:143" ht="10.5" customHeight="1">
      <c r="T741" s="156"/>
      <c r="AZ741" s="156"/>
      <c r="BA741" s="156"/>
      <c r="BB741" s="156"/>
      <c r="BC741" s="156"/>
      <c r="BD741" s="156"/>
      <c r="BE741" s="156"/>
      <c r="BF741" s="156"/>
      <c r="BG741" s="156"/>
      <c r="BH741" s="156"/>
      <c r="BI741" s="156"/>
      <c r="BJ741" s="156"/>
      <c r="BK741" s="156"/>
      <c r="BL741" s="156"/>
      <c r="BM741" s="156"/>
      <c r="BN741" s="156"/>
      <c r="BO741" s="156"/>
      <c r="BP741" s="156"/>
      <c r="BQ741" s="156"/>
      <c r="BR741" s="156"/>
      <c r="BS741" s="156"/>
      <c r="BT741" s="156"/>
      <c r="BU741" s="156"/>
      <c r="BV741" s="156"/>
      <c r="BW741" s="156"/>
      <c r="BX741" s="156"/>
      <c r="BY741" s="156"/>
      <c r="BZ741" s="156"/>
      <c r="CA741" s="156"/>
      <c r="CB741" s="156"/>
      <c r="CC741" s="156"/>
      <c r="CD741" s="156"/>
      <c r="CE741" s="156"/>
      <c r="CF741" s="156"/>
      <c r="CG741" s="156"/>
      <c r="CH741" s="156"/>
      <c r="CI741" s="156"/>
      <c r="CJ741" s="156"/>
      <c r="CK741" s="156"/>
      <c r="CL741" s="156"/>
      <c r="CM741" s="156"/>
      <c r="CN741" s="156"/>
      <c r="CO741" s="156"/>
      <c r="CP741" s="156"/>
      <c r="CQ741" s="156"/>
      <c r="CR741" s="156"/>
      <c r="CS741" s="156"/>
      <c r="CT741" s="156"/>
      <c r="CU741" s="156"/>
      <c r="CV741" s="156"/>
      <c r="CW741" s="156"/>
      <c r="CX741" s="156"/>
      <c r="CY741" s="156"/>
      <c r="CZ741" s="156"/>
      <c r="DA741" s="156"/>
      <c r="DB741" s="156"/>
      <c r="DC741" s="156"/>
      <c r="DD741" s="156"/>
      <c r="DE741" s="156"/>
      <c r="DF741" s="156"/>
      <c r="DG741" s="156"/>
      <c r="DH741" s="156"/>
      <c r="DI741" s="156"/>
      <c r="DJ741" s="156"/>
      <c r="DK741" s="156"/>
      <c r="DL741" s="156"/>
      <c r="DM741" s="156"/>
      <c r="DN741" s="156"/>
      <c r="DO741" s="156"/>
      <c r="DP741" s="156"/>
      <c r="DQ741" s="156"/>
      <c r="DR741" s="156"/>
      <c r="DS741" s="156"/>
      <c r="DT741" s="156"/>
      <c r="DU741" s="156"/>
      <c r="DV741" s="156"/>
      <c r="DW741" s="156"/>
      <c r="DX741" s="156"/>
      <c r="DY741" s="156"/>
      <c r="DZ741" s="156"/>
      <c r="EA741" s="156"/>
      <c r="EB741" s="156"/>
      <c r="EC741" s="156"/>
      <c r="ED741" s="156"/>
      <c r="EE741" s="156"/>
      <c r="EF741" s="156"/>
      <c r="EG741" s="156"/>
      <c r="EH741" s="156"/>
      <c r="EI741" s="156"/>
      <c r="EJ741" s="156"/>
      <c r="EK741" s="156"/>
      <c r="EL741" s="156"/>
      <c r="EM741" s="156"/>
    </row>
    <row r="742" spans="20:143" ht="10.5" customHeight="1">
      <c r="T742" s="156"/>
      <c r="AZ742" s="156"/>
      <c r="BA742" s="156"/>
      <c r="BB742" s="156"/>
      <c r="BC742" s="156"/>
      <c r="BD742" s="156"/>
      <c r="BE742" s="156"/>
      <c r="BF742" s="156"/>
      <c r="BG742" s="156"/>
      <c r="BH742" s="156"/>
      <c r="BI742" s="156"/>
      <c r="BJ742" s="156"/>
      <c r="BK742" s="156"/>
      <c r="BL742" s="156"/>
      <c r="BM742" s="156"/>
      <c r="BN742" s="156"/>
      <c r="BO742" s="156"/>
      <c r="BP742" s="156"/>
      <c r="BQ742" s="156"/>
      <c r="BR742" s="156"/>
      <c r="BS742" s="156"/>
      <c r="BT742" s="156"/>
      <c r="BU742" s="156"/>
      <c r="BV742" s="156"/>
      <c r="BW742" s="156"/>
      <c r="BX742" s="156"/>
      <c r="BY742" s="156"/>
      <c r="BZ742" s="156"/>
      <c r="CA742" s="156"/>
      <c r="CB742" s="156"/>
      <c r="CC742" s="156"/>
      <c r="CD742" s="156"/>
      <c r="CE742" s="156"/>
      <c r="CF742" s="156"/>
      <c r="CG742" s="156"/>
      <c r="CH742" s="156"/>
      <c r="CI742" s="156"/>
      <c r="CJ742" s="156"/>
      <c r="CK742" s="156"/>
      <c r="CL742" s="156"/>
      <c r="CM742" s="156"/>
      <c r="CN742" s="156"/>
      <c r="CO742" s="156"/>
      <c r="CP742" s="156"/>
      <c r="CQ742" s="156"/>
      <c r="CR742" s="156"/>
      <c r="CS742" s="156"/>
      <c r="CT742" s="156"/>
      <c r="CU742" s="156"/>
      <c r="CV742" s="156"/>
      <c r="CW742" s="156"/>
      <c r="CX742" s="156"/>
      <c r="CY742" s="156"/>
      <c r="CZ742" s="156"/>
      <c r="DA742" s="156"/>
      <c r="DB742" s="156"/>
      <c r="DC742" s="156"/>
      <c r="DD742" s="156"/>
      <c r="DE742" s="156"/>
      <c r="DF742" s="156"/>
      <c r="DG742" s="156"/>
      <c r="DH742" s="156"/>
      <c r="DI742" s="156"/>
      <c r="DJ742" s="156"/>
      <c r="DK742" s="156"/>
      <c r="DL742" s="156"/>
      <c r="DM742" s="156"/>
      <c r="DN742" s="156"/>
      <c r="DO742" s="156"/>
      <c r="DP742" s="156"/>
      <c r="DQ742" s="156"/>
      <c r="DR742" s="156"/>
      <c r="DS742" s="156"/>
      <c r="DT742" s="156"/>
      <c r="DU742" s="156"/>
      <c r="DV742" s="156"/>
      <c r="DW742" s="156"/>
      <c r="DX742" s="156"/>
      <c r="DY742" s="156"/>
      <c r="DZ742" s="156"/>
      <c r="EA742" s="156"/>
      <c r="EB742" s="156"/>
      <c r="EC742" s="156"/>
      <c r="ED742" s="156"/>
      <c r="EE742" s="156"/>
      <c r="EF742" s="156"/>
      <c r="EG742" s="156"/>
      <c r="EH742" s="156"/>
      <c r="EI742" s="156"/>
      <c r="EJ742" s="156"/>
      <c r="EK742" s="156"/>
      <c r="EL742" s="156"/>
      <c r="EM742" s="156"/>
    </row>
    <row r="743" spans="20:143" ht="10.5" customHeight="1">
      <c r="T743" s="156"/>
      <c r="AZ743" s="156"/>
      <c r="BA743" s="156"/>
      <c r="BB743" s="156"/>
      <c r="BC743" s="156"/>
      <c r="BD743" s="156"/>
      <c r="BE743" s="156"/>
      <c r="BF743" s="156"/>
      <c r="BG743" s="156"/>
      <c r="BH743" s="156"/>
      <c r="BI743" s="156"/>
      <c r="BJ743" s="156"/>
      <c r="BK743" s="156"/>
      <c r="BL743" s="156"/>
      <c r="BM743" s="156"/>
      <c r="BN743" s="156"/>
      <c r="BO743" s="156"/>
      <c r="BP743" s="156"/>
      <c r="BQ743" s="156"/>
      <c r="BR743" s="156"/>
      <c r="BS743" s="156"/>
      <c r="BT743" s="156"/>
      <c r="BU743" s="156"/>
      <c r="BV743" s="156"/>
      <c r="BW743" s="156"/>
      <c r="BX743" s="156"/>
      <c r="BY743" s="156"/>
      <c r="BZ743" s="156"/>
      <c r="CA743" s="156"/>
      <c r="CB743" s="156"/>
      <c r="CC743" s="156"/>
      <c r="CD743" s="156"/>
      <c r="CE743" s="156"/>
      <c r="CF743" s="156"/>
      <c r="CG743" s="156"/>
      <c r="CH743" s="156"/>
      <c r="CI743" s="156"/>
      <c r="CJ743" s="156"/>
      <c r="CK743" s="156"/>
      <c r="CL743" s="156"/>
      <c r="CM743" s="156"/>
      <c r="CN743" s="156"/>
      <c r="CO743" s="156"/>
      <c r="CP743" s="156"/>
      <c r="CQ743" s="156"/>
      <c r="CR743" s="156"/>
      <c r="CS743" s="156"/>
      <c r="CT743" s="156"/>
      <c r="CU743" s="156"/>
      <c r="CV743" s="156"/>
      <c r="CW743" s="156"/>
      <c r="CX743" s="156"/>
      <c r="CY743" s="156"/>
      <c r="CZ743" s="156"/>
      <c r="DA743" s="156"/>
      <c r="DB743" s="156"/>
      <c r="DC743" s="156"/>
      <c r="DD743" s="156"/>
      <c r="DE743" s="156"/>
      <c r="DF743" s="156"/>
      <c r="DG743" s="156"/>
      <c r="DH743" s="156"/>
      <c r="DI743" s="156"/>
      <c r="DJ743" s="156"/>
      <c r="DK743" s="156"/>
      <c r="DL743" s="156"/>
      <c r="DM743" s="156"/>
      <c r="DN743" s="156"/>
      <c r="DO743" s="156"/>
      <c r="DP743" s="156"/>
      <c r="DQ743" s="156"/>
      <c r="DR743" s="156"/>
      <c r="DS743" s="156"/>
      <c r="DT743" s="156"/>
      <c r="DU743" s="156"/>
      <c r="DV743" s="156"/>
      <c r="DW743" s="156"/>
      <c r="DX743" s="156"/>
      <c r="DY743" s="156"/>
      <c r="DZ743" s="156"/>
      <c r="EA743" s="156"/>
      <c r="EB743" s="156"/>
      <c r="EC743" s="156"/>
      <c r="ED743" s="156"/>
      <c r="EE743" s="156"/>
      <c r="EF743" s="156"/>
      <c r="EG743" s="156"/>
      <c r="EH743" s="156"/>
      <c r="EI743" s="156"/>
      <c r="EJ743" s="156"/>
      <c r="EK743" s="156"/>
      <c r="EL743" s="156"/>
      <c r="EM743" s="156"/>
    </row>
    <row r="744" spans="20:143" ht="10.5" customHeight="1">
      <c r="T744" s="156"/>
      <c r="AZ744" s="156"/>
      <c r="BA744" s="156"/>
      <c r="BB744" s="156"/>
      <c r="BC744" s="156"/>
      <c r="BD744" s="156"/>
      <c r="BE744" s="156"/>
      <c r="BF744" s="156"/>
      <c r="BG744" s="156"/>
      <c r="BH744" s="156"/>
      <c r="BI744" s="156"/>
      <c r="BJ744" s="156"/>
      <c r="BK744" s="156"/>
      <c r="BL744" s="156"/>
      <c r="BM744" s="156"/>
      <c r="BN744" s="156"/>
      <c r="BO744" s="156"/>
      <c r="BP744" s="156"/>
      <c r="BQ744" s="156"/>
      <c r="BR744" s="156"/>
      <c r="BS744" s="156"/>
      <c r="BT744" s="156"/>
      <c r="BU744" s="156"/>
      <c r="BV744" s="156"/>
      <c r="BW744" s="156"/>
      <c r="BX744" s="156"/>
      <c r="BY744" s="156"/>
      <c r="BZ744" s="156"/>
      <c r="CA744" s="156"/>
      <c r="CB744" s="156"/>
      <c r="CC744" s="156"/>
      <c r="CD744" s="156"/>
      <c r="CE744" s="156"/>
      <c r="CF744" s="156"/>
      <c r="CG744" s="156"/>
      <c r="CH744" s="156"/>
      <c r="CI744" s="156"/>
      <c r="CJ744" s="156"/>
      <c r="CK744" s="156"/>
      <c r="CL744" s="156"/>
      <c r="CM744" s="156"/>
      <c r="CN744" s="156"/>
      <c r="CO744" s="156"/>
      <c r="CP744" s="156"/>
      <c r="CQ744" s="156"/>
      <c r="CR744" s="156"/>
      <c r="CS744" s="156"/>
      <c r="CT744" s="156"/>
      <c r="CU744" s="156"/>
      <c r="CV744" s="156"/>
      <c r="CW744" s="156"/>
      <c r="CX744" s="156"/>
      <c r="CY744" s="156"/>
      <c r="CZ744" s="156"/>
      <c r="DA744" s="156"/>
      <c r="DB744" s="156"/>
      <c r="DC744" s="156"/>
      <c r="DD744" s="156"/>
      <c r="DE744" s="156"/>
      <c r="DF744" s="156"/>
      <c r="DG744" s="156"/>
      <c r="DH744" s="156"/>
      <c r="DI744" s="156"/>
      <c r="DJ744" s="156"/>
      <c r="DK744" s="156"/>
      <c r="DL744" s="156"/>
      <c r="DM744" s="156"/>
      <c r="DN744" s="156"/>
      <c r="DO744" s="156"/>
      <c r="DP744" s="156"/>
      <c r="DQ744" s="156"/>
      <c r="DR744" s="156"/>
      <c r="DS744" s="156"/>
      <c r="DT744" s="156"/>
      <c r="DU744" s="156"/>
      <c r="DV744" s="156"/>
      <c r="DW744" s="156"/>
      <c r="DX744" s="156"/>
      <c r="DY744" s="156"/>
      <c r="DZ744" s="156"/>
      <c r="EA744" s="156"/>
      <c r="EB744" s="156"/>
      <c r="EC744" s="156"/>
      <c r="ED744" s="156"/>
      <c r="EE744" s="156"/>
      <c r="EF744" s="156"/>
      <c r="EG744" s="156"/>
      <c r="EH744" s="156"/>
      <c r="EI744" s="156"/>
      <c r="EJ744" s="156"/>
      <c r="EK744" s="156"/>
      <c r="EL744" s="156"/>
      <c r="EM744" s="156"/>
    </row>
    <row r="745" spans="20:143" ht="10.5" customHeight="1">
      <c r="T745" s="156"/>
      <c r="AZ745" s="156"/>
      <c r="BA745" s="156"/>
      <c r="BB745" s="156"/>
      <c r="BC745" s="156"/>
      <c r="BD745" s="156"/>
      <c r="BE745" s="156"/>
      <c r="BF745" s="156"/>
      <c r="BG745" s="156"/>
      <c r="BH745" s="156"/>
      <c r="BI745" s="156"/>
      <c r="BJ745" s="156"/>
      <c r="BK745" s="156"/>
      <c r="BL745" s="156"/>
      <c r="BM745" s="156"/>
      <c r="BN745" s="156"/>
      <c r="BO745" s="156"/>
      <c r="BP745" s="156"/>
      <c r="BQ745" s="156"/>
      <c r="BR745" s="156"/>
      <c r="BS745" s="156"/>
      <c r="BT745" s="156"/>
      <c r="BU745" s="156"/>
      <c r="BV745" s="156"/>
      <c r="BW745" s="156"/>
      <c r="BX745" s="156"/>
      <c r="BY745" s="156"/>
      <c r="BZ745" s="156"/>
      <c r="CA745" s="156"/>
      <c r="CB745" s="156"/>
      <c r="CC745" s="156"/>
      <c r="CD745" s="156"/>
      <c r="CE745" s="156"/>
      <c r="CF745" s="156"/>
      <c r="CG745" s="156"/>
      <c r="CH745" s="156"/>
      <c r="CI745" s="156"/>
      <c r="CJ745" s="156"/>
      <c r="CK745" s="156"/>
      <c r="CL745" s="156"/>
      <c r="CM745" s="156"/>
      <c r="CN745" s="156"/>
      <c r="CO745" s="156"/>
      <c r="CP745" s="156"/>
      <c r="CQ745" s="156"/>
      <c r="CR745" s="156"/>
      <c r="CS745" s="156"/>
      <c r="CT745" s="156"/>
      <c r="CU745" s="156"/>
      <c r="CV745" s="156"/>
      <c r="CW745" s="156"/>
      <c r="CX745" s="156"/>
      <c r="CY745" s="156"/>
      <c r="CZ745" s="156"/>
      <c r="DA745" s="156"/>
      <c r="DB745" s="156"/>
      <c r="DC745" s="156"/>
      <c r="DD745" s="156"/>
      <c r="DE745" s="156"/>
      <c r="DF745" s="156"/>
      <c r="DG745" s="156"/>
      <c r="DH745" s="156"/>
      <c r="DI745" s="156"/>
      <c r="DJ745" s="156"/>
      <c r="DK745" s="156"/>
      <c r="DL745" s="156"/>
      <c r="DM745" s="156"/>
      <c r="DN745" s="156"/>
      <c r="DO745" s="156"/>
      <c r="DP745" s="156"/>
      <c r="DQ745" s="156"/>
      <c r="DR745" s="156"/>
      <c r="DS745" s="156"/>
      <c r="DT745" s="156"/>
      <c r="DU745" s="156"/>
      <c r="DV745" s="156"/>
      <c r="DW745" s="156"/>
      <c r="DX745" s="156"/>
      <c r="DY745" s="156"/>
      <c r="DZ745" s="156"/>
      <c r="EA745" s="156"/>
      <c r="EB745" s="156"/>
      <c r="EC745" s="156"/>
      <c r="ED745" s="156"/>
      <c r="EE745" s="156"/>
      <c r="EF745" s="156"/>
      <c r="EG745" s="156"/>
      <c r="EH745" s="156"/>
      <c r="EI745" s="156"/>
      <c r="EJ745" s="156"/>
      <c r="EK745" s="156"/>
      <c r="EL745" s="156"/>
      <c r="EM745" s="156"/>
    </row>
    <row r="746" spans="20:143" ht="10.5" customHeight="1">
      <c r="T746" s="156"/>
      <c r="AZ746" s="156"/>
      <c r="BA746" s="156"/>
      <c r="BB746" s="156"/>
      <c r="BC746" s="156"/>
      <c r="BD746" s="156"/>
      <c r="BE746" s="156"/>
      <c r="BF746" s="156"/>
      <c r="BG746" s="156"/>
      <c r="BH746" s="156"/>
      <c r="BI746" s="156"/>
      <c r="BJ746" s="156"/>
      <c r="BK746" s="156"/>
      <c r="BL746" s="156"/>
      <c r="BM746" s="156"/>
      <c r="BN746" s="156"/>
      <c r="BO746" s="156"/>
      <c r="BP746" s="156"/>
      <c r="BQ746" s="156"/>
      <c r="BR746" s="156"/>
      <c r="BS746" s="156"/>
      <c r="BT746" s="156"/>
      <c r="BU746" s="156"/>
      <c r="BV746" s="156"/>
      <c r="BW746" s="156"/>
      <c r="BX746" s="156"/>
      <c r="BY746" s="156"/>
      <c r="BZ746" s="156"/>
      <c r="CA746" s="156"/>
      <c r="CB746" s="156"/>
      <c r="CC746" s="156"/>
      <c r="CD746" s="156"/>
      <c r="CE746" s="156"/>
      <c r="CF746" s="156"/>
      <c r="CG746" s="156"/>
      <c r="CH746" s="156"/>
      <c r="CI746" s="156"/>
      <c r="CJ746" s="156"/>
      <c r="CK746" s="156"/>
      <c r="CL746" s="156"/>
      <c r="CM746" s="156"/>
      <c r="CN746" s="156"/>
      <c r="CO746" s="156"/>
      <c r="CP746" s="156"/>
      <c r="CQ746" s="156"/>
      <c r="CR746" s="156"/>
      <c r="CS746" s="156"/>
      <c r="CT746" s="156"/>
      <c r="CU746" s="156"/>
      <c r="CV746" s="156"/>
      <c r="CW746" s="156"/>
      <c r="CX746" s="156"/>
      <c r="CY746" s="156"/>
      <c r="CZ746" s="156"/>
      <c r="DA746" s="156"/>
      <c r="DB746" s="156"/>
      <c r="DC746" s="156"/>
      <c r="DD746" s="156"/>
      <c r="DE746" s="156"/>
      <c r="DF746" s="156"/>
      <c r="DG746" s="156"/>
      <c r="DH746" s="156"/>
      <c r="DI746" s="156"/>
      <c r="DJ746" s="156"/>
      <c r="DK746" s="156"/>
      <c r="DL746" s="156"/>
      <c r="DM746" s="156"/>
      <c r="DN746" s="156"/>
      <c r="DO746" s="156"/>
      <c r="DP746" s="156"/>
      <c r="DQ746" s="156"/>
      <c r="DR746" s="156"/>
      <c r="DS746" s="156"/>
      <c r="DT746" s="156"/>
      <c r="DU746" s="156"/>
      <c r="DV746" s="156"/>
      <c r="DW746" s="156"/>
      <c r="DX746" s="156"/>
      <c r="DY746" s="156"/>
      <c r="DZ746" s="156"/>
      <c r="EA746" s="156"/>
      <c r="EB746" s="156"/>
      <c r="EC746" s="156"/>
      <c r="ED746" s="156"/>
      <c r="EE746" s="156"/>
      <c r="EF746" s="156"/>
      <c r="EG746" s="156"/>
      <c r="EH746" s="156"/>
      <c r="EI746" s="156"/>
      <c r="EJ746" s="156"/>
      <c r="EK746" s="156"/>
      <c r="EL746" s="156"/>
      <c r="EM746" s="156"/>
    </row>
    <row r="747" spans="20:143" ht="10.5" customHeight="1">
      <c r="T747" s="156"/>
      <c r="AZ747" s="156"/>
      <c r="BA747" s="156"/>
      <c r="BB747" s="156"/>
      <c r="BC747" s="156"/>
      <c r="BD747" s="156"/>
      <c r="BE747" s="156"/>
      <c r="BF747" s="156"/>
      <c r="BG747" s="156"/>
      <c r="BH747" s="156"/>
      <c r="BI747" s="156"/>
      <c r="BJ747" s="156"/>
      <c r="BK747" s="156"/>
      <c r="BL747" s="156"/>
      <c r="BM747" s="156"/>
      <c r="BN747" s="156"/>
      <c r="BO747" s="156"/>
      <c r="BP747" s="156"/>
      <c r="BQ747" s="156"/>
      <c r="BR747" s="156"/>
      <c r="BS747" s="156"/>
      <c r="BT747" s="156"/>
      <c r="BU747" s="156"/>
      <c r="BV747" s="156"/>
      <c r="BW747" s="156"/>
      <c r="BX747" s="156"/>
      <c r="BY747" s="156"/>
      <c r="BZ747" s="156"/>
      <c r="CA747" s="156"/>
      <c r="CB747" s="156"/>
      <c r="CC747" s="156"/>
      <c r="CD747" s="156"/>
      <c r="CE747" s="156"/>
      <c r="CF747" s="156"/>
      <c r="CG747" s="156"/>
      <c r="CH747" s="156"/>
      <c r="CI747" s="156"/>
      <c r="CJ747" s="156"/>
      <c r="CK747" s="156"/>
      <c r="CL747" s="156"/>
      <c r="CM747" s="156"/>
      <c r="CN747" s="156"/>
      <c r="CO747" s="156"/>
      <c r="CP747" s="156"/>
      <c r="CQ747" s="156"/>
      <c r="CR747" s="156"/>
      <c r="CS747" s="156"/>
      <c r="CT747" s="156"/>
      <c r="CU747" s="156"/>
      <c r="CV747" s="156"/>
      <c r="CW747" s="156"/>
      <c r="CX747" s="156"/>
      <c r="CY747" s="156"/>
      <c r="CZ747" s="156"/>
      <c r="DA747" s="156"/>
      <c r="DB747" s="156"/>
      <c r="DC747" s="156"/>
      <c r="DD747" s="156"/>
      <c r="DE747" s="156"/>
      <c r="DF747" s="156"/>
      <c r="DG747" s="156"/>
      <c r="DH747" s="156"/>
      <c r="DI747" s="156"/>
      <c r="DJ747" s="156"/>
      <c r="DK747" s="156"/>
      <c r="DL747" s="156"/>
      <c r="DM747" s="156"/>
      <c r="DN747" s="156"/>
      <c r="DO747" s="156"/>
      <c r="DP747" s="156"/>
      <c r="DQ747" s="156"/>
      <c r="DR747" s="156"/>
      <c r="DS747" s="156"/>
      <c r="DT747" s="156"/>
      <c r="DU747" s="156"/>
      <c r="DV747" s="156"/>
      <c r="DW747" s="156"/>
      <c r="DX747" s="156"/>
      <c r="DY747" s="156"/>
      <c r="DZ747" s="156"/>
      <c r="EA747" s="156"/>
      <c r="EB747" s="156"/>
      <c r="EC747" s="156"/>
      <c r="ED747" s="156"/>
      <c r="EE747" s="156"/>
      <c r="EF747" s="156"/>
      <c r="EG747" s="156"/>
      <c r="EH747" s="156"/>
      <c r="EI747" s="156"/>
      <c r="EJ747" s="156"/>
      <c r="EK747" s="156"/>
      <c r="EL747" s="156"/>
      <c r="EM747" s="156"/>
    </row>
    <row r="748" spans="20:143" ht="10.5" customHeight="1">
      <c r="T748" s="156"/>
      <c r="AZ748" s="156"/>
      <c r="BA748" s="156"/>
      <c r="BB748" s="156"/>
      <c r="BC748" s="156"/>
      <c r="BD748" s="156"/>
      <c r="BE748" s="156"/>
      <c r="BF748" s="156"/>
      <c r="BG748" s="156"/>
      <c r="BH748" s="156"/>
      <c r="BI748" s="156"/>
      <c r="BJ748" s="156"/>
      <c r="BK748" s="156"/>
      <c r="BL748" s="156"/>
      <c r="BM748" s="156"/>
      <c r="BN748" s="156"/>
      <c r="BO748" s="156"/>
      <c r="BP748" s="156"/>
      <c r="BQ748" s="156"/>
      <c r="BR748" s="156"/>
      <c r="BS748" s="156"/>
      <c r="BT748" s="156"/>
      <c r="BU748" s="156"/>
      <c r="BV748" s="156"/>
      <c r="BW748" s="156"/>
      <c r="BX748" s="156"/>
      <c r="BY748" s="156"/>
      <c r="BZ748" s="156"/>
      <c r="CA748" s="156"/>
      <c r="CB748" s="156"/>
      <c r="CC748" s="156"/>
      <c r="CD748" s="156"/>
      <c r="CE748" s="156"/>
      <c r="CF748" s="156"/>
      <c r="CG748" s="156"/>
      <c r="CH748" s="156"/>
      <c r="CI748" s="156"/>
      <c r="CJ748" s="156"/>
      <c r="CK748" s="156"/>
      <c r="CL748" s="156"/>
      <c r="CM748" s="156"/>
      <c r="CN748" s="156"/>
      <c r="CO748" s="156"/>
      <c r="CP748" s="156"/>
      <c r="CQ748" s="156"/>
      <c r="CR748" s="156"/>
      <c r="CS748" s="156"/>
      <c r="CT748" s="156"/>
      <c r="CU748" s="156"/>
      <c r="CV748" s="156"/>
      <c r="CW748" s="156"/>
      <c r="CX748" s="156"/>
      <c r="CY748" s="156"/>
      <c r="CZ748" s="156"/>
      <c r="DA748" s="156"/>
      <c r="DB748" s="156"/>
      <c r="DC748" s="156"/>
      <c r="DD748" s="156"/>
      <c r="DE748" s="156"/>
      <c r="DF748" s="156"/>
      <c r="DG748" s="156"/>
      <c r="DH748" s="156"/>
      <c r="DI748" s="156"/>
      <c r="DJ748" s="156"/>
      <c r="DK748" s="156"/>
      <c r="DL748" s="156"/>
      <c r="DM748" s="156"/>
      <c r="DN748" s="156"/>
      <c r="DO748" s="156"/>
      <c r="DP748" s="156"/>
      <c r="DQ748" s="156"/>
      <c r="DR748" s="156"/>
      <c r="DS748" s="156"/>
      <c r="DT748" s="156"/>
      <c r="DU748" s="156"/>
      <c r="DV748" s="156"/>
      <c r="DW748" s="156"/>
      <c r="DX748" s="156"/>
      <c r="DY748" s="156"/>
      <c r="DZ748" s="156"/>
      <c r="EA748" s="156"/>
      <c r="EB748" s="156"/>
      <c r="EC748" s="156"/>
      <c r="ED748" s="156"/>
      <c r="EE748" s="156"/>
      <c r="EF748" s="156"/>
      <c r="EG748" s="156"/>
      <c r="EH748" s="156"/>
      <c r="EI748" s="156"/>
      <c r="EJ748" s="156"/>
      <c r="EK748" s="156"/>
      <c r="EL748" s="156"/>
      <c r="EM748" s="156"/>
    </row>
    <row r="749" spans="20:143" ht="10.5" customHeight="1">
      <c r="T749" s="156"/>
      <c r="AZ749" s="156"/>
      <c r="BA749" s="156"/>
      <c r="BB749" s="156"/>
      <c r="BC749" s="156"/>
      <c r="BD749" s="156"/>
      <c r="BE749" s="156"/>
      <c r="BF749" s="156"/>
      <c r="BG749" s="156"/>
      <c r="BH749" s="156"/>
      <c r="BI749" s="156"/>
      <c r="BJ749" s="156"/>
      <c r="BK749" s="156"/>
      <c r="BL749" s="156"/>
      <c r="BM749" s="156"/>
      <c r="BN749" s="156"/>
      <c r="BO749" s="156"/>
      <c r="BP749" s="156"/>
      <c r="BQ749" s="156"/>
      <c r="BR749" s="156"/>
      <c r="BS749" s="156"/>
      <c r="BT749" s="156"/>
      <c r="BU749" s="156"/>
      <c r="BV749" s="156"/>
      <c r="BW749" s="156"/>
      <c r="BX749" s="156"/>
      <c r="BY749" s="156"/>
      <c r="BZ749" s="156"/>
      <c r="CA749" s="156"/>
      <c r="CB749" s="156"/>
      <c r="CC749" s="156"/>
      <c r="CD749" s="156"/>
      <c r="CE749" s="156"/>
      <c r="CF749" s="156"/>
      <c r="CG749" s="156"/>
      <c r="CH749" s="156"/>
      <c r="CI749" s="156"/>
      <c r="CJ749" s="156"/>
      <c r="CK749" s="156"/>
      <c r="CL749" s="156"/>
      <c r="CM749" s="156"/>
      <c r="CN749" s="156"/>
      <c r="CO749" s="156"/>
      <c r="CP749" s="156"/>
      <c r="CQ749" s="156"/>
      <c r="CR749" s="156"/>
      <c r="CS749" s="156"/>
      <c r="CT749" s="156"/>
      <c r="CU749" s="156"/>
      <c r="CV749" s="156"/>
      <c r="CW749" s="156"/>
      <c r="CX749" s="156"/>
      <c r="CY749" s="156"/>
      <c r="CZ749" s="156"/>
      <c r="DA749" s="156"/>
      <c r="DB749" s="156"/>
      <c r="DC749" s="156"/>
      <c r="DD749" s="156"/>
      <c r="DE749" s="156"/>
      <c r="DF749" s="156"/>
      <c r="DG749" s="156"/>
      <c r="DH749" s="156"/>
      <c r="DI749" s="156"/>
      <c r="DJ749" s="156"/>
      <c r="DK749" s="156"/>
      <c r="DL749" s="156"/>
      <c r="DM749" s="156"/>
      <c r="DN749" s="156"/>
      <c r="DO749" s="156"/>
      <c r="DP749" s="156"/>
      <c r="DQ749" s="156"/>
      <c r="DR749" s="156"/>
      <c r="DS749" s="156"/>
      <c r="DT749" s="156"/>
      <c r="DU749" s="156"/>
      <c r="DV749" s="156"/>
      <c r="DW749" s="156"/>
      <c r="DX749" s="156"/>
      <c r="DY749" s="156"/>
      <c r="DZ749" s="156"/>
      <c r="EA749" s="156"/>
      <c r="EB749" s="156"/>
      <c r="EC749" s="156"/>
      <c r="ED749" s="156"/>
      <c r="EE749" s="156"/>
      <c r="EF749" s="156"/>
      <c r="EG749" s="156"/>
      <c r="EH749" s="156"/>
      <c r="EI749" s="156"/>
      <c r="EJ749" s="156"/>
      <c r="EK749" s="156"/>
      <c r="EL749" s="156"/>
      <c r="EM749" s="156"/>
    </row>
    <row r="750" spans="20:143" ht="10.5" customHeight="1">
      <c r="T750" s="156"/>
      <c r="AZ750" s="156"/>
      <c r="BA750" s="156"/>
      <c r="BB750" s="156"/>
      <c r="BC750" s="156"/>
      <c r="BD750" s="156"/>
      <c r="BE750" s="156"/>
      <c r="BF750" s="156"/>
      <c r="BG750" s="156"/>
      <c r="BH750" s="156"/>
      <c r="BI750" s="156"/>
      <c r="BJ750" s="156"/>
      <c r="BK750" s="156"/>
      <c r="BL750" s="156"/>
      <c r="BM750" s="156"/>
      <c r="BN750" s="156"/>
      <c r="BO750" s="156"/>
      <c r="BP750" s="156"/>
      <c r="BQ750" s="156"/>
      <c r="BR750" s="156"/>
      <c r="BS750" s="156"/>
      <c r="BT750" s="156"/>
      <c r="BU750" s="156"/>
      <c r="BV750" s="156"/>
      <c r="BW750" s="156"/>
      <c r="BX750" s="156"/>
      <c r="BY750" s="156"/>
      <c r="BZ750" s="156"/>
      <c r="CA750" s="156"/>
      <c r="CB750" s="156"/>
      <c r="CC750" s="156"/>
      <c r="CD750" s="156"/>
      <c r="CE750" s="156"/>
      <c r="CF750" s="156"/>
      <c r="CG750" s="156"/>
      <c r="CH750" s="156"/>
      <c r="CI750" s="156"/>
      <c r="CJ750" s="156"/>
      <c r="CK750" s="156"/>
      <c r="CL750" s="156"/>
      <c r="CM750" s="156"/>
      <c r="CN750" s="156"/>
      <c r="CO750" s="156"/>
      <c r="CP750" s="156"/>
      <c r="CQ750" s="156"/>
      <c r="CR750" s="156"/>
      <c r="CS750" s="156"/>
      <c r="CT750" s="156"/>
      <c r="CU750" s="156"/>
      <c r="CV750" s="156"/>
      <c r="CW750" s="156"/>
      <c r="CX750" s="156"/>
      <c r="CY750" s="156"/>
      <c r="CZ750" s="156"/>
      <c r="DA750" s="156"/>
      <c r="DB750" s="156"/>
      <c r="DC750" s="156"/>
      <c r="DD750" s="156"/>
      <c r="DE750" s="156"/>
      <c r="DF750" s="156"/>
      <c r="DG750" s="156"/>
      <c r="DH750" s="156"/>
      <c r="DI750" s="156"/>
      <c r="DJ750" s="156"/>
      <c r="DK750" s="156"/>
      <c r="DL750" s="156"/>
      <c r="DM750" s="156"/>
      <c r="DN750" s="156"/>
      <c r="DO750" s="156"/>
      <c r="DP750" s="156"/>
      <c r="DQ750" s="156"/>
      <c r="DR750" s="156"/>
      <c r="DS750" s="156"/>
      <c r="DT750" s="156"/>
      <c r="DU750" s="156"/>
      <c r="DV750" s="156"/>
      <c r="DW750" s="156"/>
      <c r="DX750" s="156"/>
      <c r="DY750" s="156"/>
      <c r="DZ750" s="156"/>
      <c r="EA750" s="156"/>
      <c r="EB750" s="156"/>
      <c r="EC750" s="156"/>
      <c r="ED750" s="156"/>
      <c r="EE750" s="156"/>
      <c r="EF750" s="156"/>
      <c r="EG750" s="156"/>
      <c r="EH750" s="156"/>
      <c r="EI750" s="156"/>
      <c r="EJ750" s="156"/>
      <c r="EK750" s="156"/>
      <c r="EL750" s="156"/>
      <c r="EM750" s="156"/>
    </row>
    <row r="751" spans="20:143" ht="10.5" customHeight="1">
      <c r="T751" s="156"/>
      <c r="AZ751" s="156"/>
      <c r="BA751" s="156"/>
      <c r="BB751" s="156"/>
      <c r="BC751" s="156"/>
      <c r="BD751" s="156"/>
      <c r="BE751" s="156"/>
      <c r="BF751" s="156"/>
      <c r="BG751" s="156"/>
      <c r="BH751" s="156"/>
      <c r="BI751" s="156"/>
      <c r="BJ751" s="156"/>
      <c r="BK751" s="156"/>
      <c r="BL751" s="156"/>
      <c r="BM751" s="156"/>
      <c r="BN751" s="156"/>
      <c r="BO751" s="156"/>
      <c r="BP751" s="156"/>
      <c r="BQ751" s="156"/>
      <c r="BR751" s="156"/>
      <c r="BS751" s="156"/>
      <c r="BT751" s="156"/>
      <c r="BU751" s="156"/>
      <c r="BV751" s="156"/>
      <c r="BW751" s="156"/>
      <c r="BX751" s="156"/>
      <c r="BY751" s="156"/>
      <c r="BZ751" s="156"/>
      <c r="CA751" s="156"/>
      <c r="CB751" s="156"/>
      <c r="CC751" s="156"/>
      <c r="CD751" s="156"/>
      <c r="CE751" s="156"/>
      <c r="CF751" s="156"/>
      <c r="CG751" s="156"/>
      <c r="CH751" s="156"/>
      <c r="CI751" s="156"/>
      <c r="CJ751" s="156"/>
      <c r="CK751" s="156"/>
      <c r="CL751" s="156"/>
      <c r="CM751" s="156"/>
      <c r="CN751" s="156"/>
      <c r="CO751" s="156"/>
      <c r="CP751" s="156"/>
      <c r="CQ751" s="156"/>
      <c r="CR751" s="156"/>
      <c r="CS751" s="156"/>
      <c r="CT751" s="156"/>
      <c r="CU751" s="156"/>
      <c r="CV751" s="156"/>
      <c r="CW751" s="156"/>
      <c r="CX751" s="156"/>
      <c r="CY751" s="156"/>
      <c r="CZ751" s="156"/>
      <c r="DA751" s="156"/>
      <c r="DB751" s="156"/>
      <c r="DC751" s="156"/>
      <c r="DD751" s="156"/>
      <c r="DE751" s="156"/>
      <c r="DF751" s="156"/>
      <c r="DG751" s="156"/>
      <c r="DH751" s="156"/>
      <c r="DI751" s="156"/>
      <c r="DJ751" s="156"/>
      <c r="DK751" s="156"/>
      <c r="DL751" s="156"/>
      <c r="DM751" s="156"/>
      <c r="DN751" s="156"/>
      <c r="DO751" s="156"/>
      <c r="DP751" s="156"/>
      <c r="DQ751" s="156"/>
      <c r="DR751" s="156"/>
      <c r="DS751" s="156"/>
      <c r="DT751" s="156"/>
      <c r="DU751" s="156"/>
      <c r="DV751" s="156"/>
      <c r="DW751" s="156"/>
      <c r="DX751" s="156"/>
      <c r="DY751" s="156"/>
      <c r="DZ751" s="156"/>
      <c r="EA751" s="156"/>
      <c r="EB751" s="156"/>
      <c r="EC751" s="156"/>
      <c r="ED751" s="156"/>
      <c r="EE751" s="156"/>
      <c r="EF751" s="156"/>
      <c r="EG751" s="156"/>
      <c r="EH751" s="156"/>
      <c r="EI751" s="156"/>
      <c r="EJ751" s="156"/>
      <c r="EK751" s="156"/>
      <c r="EL751" s="156"/>
      <c r="EM751" s="156"/>
    </row>
    <row r="752" spans="20:143" ht="10.5" customHeight="1">
      <c r="T752" s="156"/>
      <c r="AZ752" s="156"/>
      <c r="BA752" s="156"/>
      <c r="BB752" s="156"/>
      <c r="BC752" s="156"/>
      <c r="BD752" s="156"/>
      <c r="BE752" s="156"/>
      <c r="BF752" s="156"/>
      <c r="BG752" s="156"/>
      <c r="BH752" s="156"/>
      <c r="BI752" s="156"/>
      <c r="BJ752" s="156"/>
      <c r="BK752" s="156"/>
      <c r="BL752" s="156"/>
      <c r="BM752" s="156"/>
      <c r="BN752" s="156"/>
      <c r="BO752" s="156"/>
      <c r="BP752" s="156"/>
      <c r="BQ752" s="156"/>
      <c r="BR752" s="156"/>
      <c r="BS752" s="156"/>
      <c r="BT752" s="156"/>
      <c r="BU752" s="156"/>
      <c r="BV752" s="156"/>
      <c r="BW752" s="156"/>
      <c r="BX752" s="156"/>
      <c r="BY752" s="156"/>
      <c r="BZ752" s="156"/>
      <c r="CA752" s="156"/>
      <c r="CB752" s="156"/>
      <c r="CC752" s="156"/>
      <c r="CD752" s="156"/>
      <c r="CE752" s="156"/>
      <c r="CF752" s="156"/>
      <c r="CG752" s="156"/>
      <c r="CH752" s="156"/>
      <c r="CI752" s="156"/>
      <c r="CJ752" s="156"/>
      <c r="CK752" s="156"/>
      <c r="CL752" s="156"/>
      <c r="CM752" s="156"/>
      <c r="CN752" s="156"/>
      <c r="CO752" s="156"/>
      <c r="CP752" s="156"/>
      <c r="CQ752" s="156"/>
      <c r="CR752" s="156"/>
      <c r="CS752" s="156"/>
      <c r="CT752" s="156"/>
      <c r="CU752" s="156"/>
      <c r="CV752" s="156"/>
      <c r="CW752" s="156"/>
      <c r="CX752" s="156"/>
      <c r="CY752" s="156"/>
      <c r="CZ752" s="156"/>
      <c r="DA752" s="156"/>
      <c r="DB752" s="156"/>
      <c r="DC752" s="156"/>
      <c r="DD752" s="156"/>
      <c r="DE752" s="156"/>
      <c r="DF752" s="156"/>
      <c r="DG752" s="156"/>
      <c r="DH752" s="156"/>
      <c r="DI752" s="156"/>
      <c r="DJ752" s="156"/>
      <c r="DK752" s="156"/>
      <c r="DL752" s="156"/>
      <c r="DM752" s="156"/>
      <c r="DN752" s="156"/>
      <c r="DO752" s="156"/>
      <c r="DP752" s="156"/>
      <c r="DQ752" s="156"/>
      <c r="DR752" s="156"/>
      <c r="DS752" s="156"/>
      <c r="DT752" s="156"/>
      <c r="DU752" s="156"/>
      <c r="DV752" s="156"/>
      <c r="DW752" s="156"/>
      <c r="DX752" s="156"/>
      <c r="DY752" s="156"/>
      <c r="DZ752" s="156"/>
      <c r="EA752" s="156"/>
      <c r="EB752" s="156"/>
      <c r="EC752" s="156"/>
      <c r="ED752" s="156"/>
      <c r="EE752" s="156"/>
      <c r="EF752" s="156"/>
      <c r="EG752" s="156"/>
      <c r="EH752" s="156"/>
      <c r="EI752" s="156"/>
      <c r="EJ752" s="156"/>
      <c r="EK752" s="156"/>
      <c r="EL752" s="156"/>
      <c r="EM752" s="156"/>
    </row>
    <row r="753" spans="20:143" ht="10.5" customHeight="1">
      <c r="T753" s="156"/>
      <c r="AZ753" s="156"/>
      <c r="BA753" s="156"/>
      <c r="BB753" s="156"/>
      <c r="BC753" s="156"/>
      <c r="BD753" s="156"/>
      <c r="BE753" s="156"/>
      <c r="BF753" s="156"/>
      <c r="BG753" s="156"/>
      <c r="BH753" s="156"/>
      <c r="BI753" s="156"/>
      <c r="BJ753" s="156"/>
      <c r="BK753" s="156"/>
      <c r="BL753" s="156"/>
      <c r="BM753" s="156"/>
      <c r="BN753" s="156"/>
      <c r="BO753" s="156"/>
      <c r="BP753" s="156"/>
      <c r="BQ753" s="156"/>
      <c r="BR753" s="156"/>
      <c r="BS753" s="156"/>
      <c r="BT753" s="156"/>
      <c r="BU753" s="156"/>
      <c r="BV753" s="156"/>
      <c r="BW753" s="156"/>
      <c r="BX753" s="156"/>
      <c r="BY753" s="156"/>
      <c r="BZ753" s="156"/>
      <c r="CA753" s="156"/>
      <c r="CB753" s="156"/>
      <c r="CC753" s="156"/>
      <c r="CD753" s="156"/>
      <c r="CE753" s="156"/>
      <c r="CF753" s="156"/>
      <c r="CG753" s="156"/>
      <c r="CH753" s="156"/>
      <c r="CI753" s="156"/>
      <c r="CJ753" s="156"/>
      <c r="CK753" s="156"/>
      <c r="CL753" s="156"/>
      <c r="CM753" s="156"/>
      <c r="CN753" s="156"/>
      <c r="CO753" s="156"/>
      <c r="CP753" s="156"/>
      <c r="CQ753" s="156"/>
      <c r="CR753" s="156"/>
      <c r="CS753" s="156"/>
      <c r="CT753" s="156"/>
      <c r="CU753" s="156"/>
      <c r="CV753" s="156"/>
      <c r="CW753" s="156"/>
      <c r="CX753" s="156"/>
      <c r="CY753" s="156"/>
      <c r="CZ753" s="156"/>
      <c r="DA753" s="156"/>
      <c r="DB753" s="156"/>
      <c r="DC753" s="156"/>
      <c r="DD753" s="156"/>
      <c r="DE753" s="156"/>
      <c r="DF753" s="156"/>
      <c r="DG753" s="156"/>
      <c r="DH753" s="156"/>
      <c r="DI753" s="156"/>
      <c r="DJ753" s="156"/>
      <c r="DK753" s="156"/>
      <c r="DL753" s="156"/>
      <c r="DM753" s="156"/>
      <c r="DN753" s="156"/>
      <c r="DO753" s="156"/>
      <c r="DP753" s="156"/>
      <c r="DQ753" s="156"/>
      <c r="DR753" s="156"/>
      <c r="DS753" s="156"/>
      <c r="DT753" s="156"/>
      <c r="DU753" s="156"/>
      <c r="DV753" s="156"/>
      <c r="DW753" s="156"/>
      <c r="DX753" s="156"/>
      <c r="DY753" s="156"/>
      <c r="DZ753" s="156"/>
      <c r="EA753" s="156"/>
      <c r="EB753" s="156"/>
      <c r="EC753" s="156"/>
      <c r="ED753" s="156"/>
      <c r="EE753" s="156"/>
      <c r="EF753" s="156"/>
      <c r="EG753" s="156"/>
      <c r="EH753" s="156"/>
      <c r="EI753" s="156"/>
      <c r="EJ753" s="156"/>
      <c r="EK753" s="156"/>
      <c r="EL753" s="156"/>
      <c r="EM753" s="156"/>
    </row>
    <row r="754" spans="20:143" ht="10.5" customHeight="1">
      <c r="T754" s="156"/>
      <c r="AZ754" s="156"/>
      <c r="BA754" s="156"/>
      <c r="BB754" s="156"/>
      <c r="BC754" s="156"/>
      <c r="BD754" s="156"/>
      <c r="BE754" s="156"/>
      <c r="BF754" s="156"/>
      <c r="BG754" s="156"/>
      <c r="BH754" s="156"/>
      <c r="BI754" s="156"/>
      <c r="BJ754" s="156"/>
      <c r="BK754" s="156"/>
      <c r="BL754" s="156"/>
      <c r="BM754" s="156"/>
      <c r="BN754" s="156"/>
      <c r="BO754" s="156"/>
      <c r="BP754" s="156"/>
      <c r="BQ754" s="156"/>
      <c r="BR754" s="156"/>
      <c r="BS754" s="156"/>
      <c r="BT754" s="156"/>
      <c r="BU754" s="156"/>
      <c r="BV754" s="156"/>
      <c r="BW754" s="156"/>
      <c r="BX754" s="156"/>
      <c r="BY754" s="156"/>
      <c r="BZ754" s="156"/>
      <c r="CA754" s="156"/>
      <c r="CB754" s="156"/>
      <c r="CC754" s="156"/>
      <c r="CD754" s="156"/>
      <c r="CE754" s="156"/>
      <c r="CF754" s="156"/>
      <c r="CG754" s="156"/>
      <c r="CH754" s="156"/>
      <c r="CI754" s="156"/>
      <c r="CJ754" s="156"/>
      <c r="CK754" s="156"/>
      <c r="CL754" s="156"/>
      <c r="CM754" s="156"/>
      <c r="CN754" s="156"/>
      <c r="CO754" s="156"/>
      <c r="CP754" s="156"/>
      <c r="CQ754" s="156"/>
      <c r="CR754" s="156"/>
      <c r="CS754" s="156"/>
      <c r="CT754" s="156"/>
      <c r="CU754" s="156"/>
      <c r="CV754" s="156"/>
      <c r="CW754" s="156"/>
      <c r="CX754" s="156"/>
      <c r="CY754" s="156"/>
      <c r="CZ754" s="156"/>
      <c r="DA754" s="156"/>
      <c r="DB754" s="156"/>
      <c r="DC754" s="156"/>
      <c r="DD754" s="156"/>
      <c r="DE754" s="156"/>
      <c r="DF754" s="156"/>
      <c r="DG754" s="156"/>
      <c r="DH754" s="156"/>
      <c r="DI754" s="156"/>
      <c r="DJ754" s="156"/>
      <c r="DK754" s="156"/>
      <c r="DL754" s="156"/>
      <c r="DM754" s="156"/>
      <c r="DN754" s="156"/>
      <c r="DO754" s="156"/>
      <c r="DP754" s="156"/>
      <c r="DQ754" s="156"/>
      <c r="DR754" s="156"/>
      <c r="DS754" s="156"/>
      <c r="DT754" s="156"/>
      <c r="DU754" s="156"/>
      <c r="DV754" s="156"/>
      <c r="DW754" s="156"/>
      <c r="DX754" s="156"/>
      <c r="DY754" s="156"/>
      <c r="DZ754" s="156"/>
      <c r="EA754" s="156"/>
      <c r="EB754" s="156"/>
      <c r="EC754" s="156"/>
      <c r="ED754" s="156"/>
      <c r="EE754" s="156"/>
      <c r="EF754" s="156"/>
      <c r="EG754" s="156"/>
      <c r="EH754" s="156"/>
      <c r="EI754" s="156"/>
      <c r="EJ754" s="156"/>
      <c r="EK754" s="156"/>
      <c r="EL754" s="156"/>
      <c r="EM754" s="156"/>
    </row>
    <row r="755" spans="20:143" ht="10.5" customHeight="1">
      <c r="T755" s="156"/>
      <c r="AZ755" s="156"/>
      <c r="BA755" s="156"/>
      <c r="BB755" s="156"/>
      <c r="BC755" s="156"/>
      <c r="BD755" s="156"/>
      <c r="BE755" s="156"/>
      <c r="BF755" s="156"/>
      <c r="BG755" s="156"/>
      <c r="BH755" s="156"/>
      <c r="BI755" s="156"/>
      <c r="BJ755" s="156"/>
      <c r="BK755" s="156"/>
      <c r="BL755" s="156"/>
      <c r="BM755" s="156"/>
      <c r="BN755" s="156"/>
      <c r="BO755" s="156"/>
      <c r="BP755" s="156"/>
      <c r="BQ755" s="156"/>
      <c r="BR755" s="156"/>
      <c r="BS755" s="156"/>
      <c r="BT755" s="156"/>
      <c r="BU755" s="156"/>
      <c r="BV755" s="156"/>
      <c r="BW755" s="156"/>
      <c r="BX755" s="156"/>
      <c r="BY755" s="156"/>
      <c r="BZ755" s="156"/>
      <c r="CA755" s="156"/>
      <c r="CB755" s="156"/>
      <c r="CC755" s="156"/>
      <c r="CD755" s="156"/>
      <c r="CE755" s="156"/>
      <c r="CF755" s="156"/>
      <c r="CG755" s="156"/>
      <c r="CH755" s="156"/>
      <c r="CI755" s="156"/>
      <c r="CJ755" s="156"/>
      <c r="CK755" s="156"/>
      <c r="CL755" s="156"/>
      <c r="CM755" s="156"/>
      <c r="CN755" s="156"/>
      <c r="CO755" s="156"/>
      <c r="CP755" s="156"/>
      <c r="CQ755" s="156"/>
      <c r="CR755" s="156"/>
      <c r="CS755" s="156"/>
      <c r="CT755" s="156"/>
      <c r="CU755" s="156"/>
      <c r="CV755" s="156"/>
      <c r="CW755" s="156"/>
      <c r="CX755" s="156"/>
      <c r="CY755" s="156"/>
      <c r="CZ755" s="156"/>
      <c r="DA755" s="156"/>
      <c r="DB755" s="156"/>
      <c r="DC755" s="156"/>
      <c r="DD755" s="156"/>
      <c r="DE755" s="156"/>
      <c r="DF755" s="156"/>
      <c r="DG755" s="156"/>
      <c r="DH755" s="156"/>
      <c r="DI755" s="156"/>
      <c r="DJ755" s="156"/>
      <c r="DK755" s="156"/>
      <c r="DL755" s="156"/>
      <c r="DM755" s="156"/>
      <c r="DN755" s="156"/>
      <c r="DO755" s="156"/>
      <c r="DP755" s="156"/>
      <c r="DQ755" s="156"/>
      <c r="DR755" s="156"/>
      <c r="DS755" s="156"/>
      <c r="DT755" s="156"/>
      <c r="DU755" s="156"/>
      <c r="DV755" s="156"/>
      <c r="DW755" s="156"/>
      <c r="DX755" s="156"/>
      <c r="DY755" s="156"/>
      <c r="DZ755" s="156"/>
      <c r="EA755" s="156"/>
      <c r="EB755" s="156"/>
      <c r="EC755" s="156"/>
      <c r="ED755" s="156"/>
      <c r="EE755" s="156"/>
      <c r="EF755" s="156"/>
      <c r="EG755" s="156"/>
      <c r="EH755" s="156"/>
      <c r="EI755" s="156"/>
      <c r="EJ755" s="156"/>
      <c r="EK755" s="156"/>
      <c r="EL755" s="156"/>
      <c r="EM755" s="156"/>
    </row>
    <row r="756" spans="20:143" ht="10.5" customHeight="1">
      <c r="T756" s="156"/>
      <c r="AZ756" s="156"/>
      <c r="BA756" s="156"/>
      <c r="BB756" s="156"/>
      <c r="BC756" s="156"/>
      <c r="BD756" s="156"/>
      <c r="BE756" s="156"/>
      <c r="BF756" s="156"/>
      <c r="BG756" s="156"/>
      <c r="BH756" s="156"/>
      <c r="BI756" s="156"/>
      <c r="BJ756" s="156"/>
      <c r="BK756" s="156"/>
      <c r="BL756" s="156"/>
      <c r="BM756" s="156"/>
      <c r="BN756" s="156"/>
      <c r="BO756" s="156"/>
      <c r="BP756" s="156"/>
      <c r="BQ756" s="156"/>
      <c r="BR756" s="156"/>
      <c r="BS756" s="156"/>
      <c r="BT756" s="156"/>
      <c r="BU756" s="156"/>
      <c r="BV756" s="156"/>
      <c r="BW756" s="156"/>
      <c r="BX756" s="156"/>
      <c r="BY756" s="156"/>
      <c r="BZ756" s="156"/>
      <c r="CA756" s="156"/>
      <c r="CB756" s="156"/>
      <c r="CC756" s="156"/>
      <c r="CD756" s="156"/>
      <c r="CE756" s="156"/>
      <c r="CF756" s="156"/>
      <c r="CG756" s="156"/>
      <c r="CH756" s="156"/>
      <c r="CI756" s="156"/>
      <c r="CJ756" s="156"/>
      <c r="CK756" s="156"/>
      <c r="CL756" s="156"/>
      <c r="CM756" s="156"/>
      <c r="CN756" s="156"/>
      <c r="CO756" s="156"/>
      <c r="CP756" s="156"/>
      <c r="CQ756" s="156"/>
      <c r="CR756" s="156"/>
      <c r="CS756" s="156"/>
      <c r="CT756" s="156"/>
      <c r="CU756" s="156"/>
      <c r="CV756" s="156"/>
      <c r="CW756" s="156"/>
      <c r="CX756" s="156"/>
      <c r="CY756" s="156"/>
      <c r="CZ756" s="156"/>
      <c r="DA756" s="156"/>
      <c r="DB756" s="156"/>
      <c r="DC756" s="156"/>
      <c r="DD756" s="156"/>
      <c r="DE756" s="156"/>
      <c r="DF756" s="156"/>
      <c r="DG756" s="156"/>
      <c r="DH756" s="156"/>
      <c r="DI756" s="156"/>
      <c r="DJ756" s="156"/>
      <c r="DK756" s="156"/>
      <c r="DL756" s="156"/>
      <c r="DM756" s="156"/>
      <c r="DN756" s="156"/>
      <c r="DO756" s="156"/>
      <c r="DP756" s="156"/>
      <c r="DQ756" s="156"/>
      <c r="DR756" s="156"/>
      <c r="DS756" s="156"/>
      <c r="DT756" s="156"/>
      <c r="DU756" s="156"/>
      <c r="DV756" s="156"/>
      <c r="DW756" s="156"/>
      <c r="DX756" s="156"/>
      <c r="DY756" s="156"/>
      <c r="DZ756" s="156"/>
      <c r="EA756" s="156"/>
      <c r="EB756" s="156"/>
      <c r="EC756" s="156"/>
      <c r="ED756" s="156"/>
      <c r="EE756" s="156"/>
      <c r="EF756" s="156"/>
      <c r="EG756" s="156"/>
      <c r="EH756" s="156"/>
      <c r="EI756" s="156"/>
      <c r="EJ756" s="156"/>
      <c r="EK756" s="156"/>
      <c r="EL756" s="156"/>
      <c r="EM756" s="156"/>
    </row>
    <row r="757" spans="20:143" ht="10.5" customHeight="1">
      <c r="T757" s="156"/>
      <c r="AZ757" s="156"/>
      <c r="BA757" s="156"/>
      <c r="BB757" s="156"/>
      <c r="BC757" s="156"/>
      <c r="BD757" s="156"/>
      <c r="BE757" s="156"/>
      <c r="BF757" s="156"/>
      <c r="BG757" s="156"/>
      <c r="BH757" s="156"/>
      <c r="BI757" s="156"/>
      <c r="BJ757" s="156"/>
      <c r="BK757" s="156"/>
      <c r="BL757" s="156"/>
      <c r="BM757" s="156"/>
      <c r="BN757" s="156"/>
      <c r="BO757" s="156"/>
      <c r="BP757" s="156"/>
      <c r="BQ757" s="156"/>
      <c r="BR757" s="156"/>
      <c r="BS757" s="156"/>
      <c r="BT757" s="156"/>
      <c r="BU757" s="156"/>
      <c r="BV757" s="156"/>
      <c r="BW757" s="156"/>
      <c r="BX757" s="156"/>
      <c r="BY757" s="156"/>
      <c r="BZ757" s="156"/>
      <c r="CA757" s="156"/>
      <c r="CB757" s="156"/>
      <c r="CC757" s="156"/>
      <c r="CD757" s="156"/>
      <c r="CE757" s="156"/>
      <c r="CF757" s="156"/>
      <c r="CG757" s="156"/>
      <c r="CH757" s="156"/>
      <c r="CI757" s="156"/>
      <c r="CJ757" s="156"/>
      <c r="CK757" s="156"/>
      <c r="CL757" s="156"/>
      <c r="CM757" s="156"/>
      <c r="CN757" s="156"/>
      <c r="CO757" s="156"/>
      <c r="CP757" s="156"/>
      <c r="CQ757" s="156"/>
      <c r="CR757" s="156"/>
      <c r="CS757" s="156"/>
      <c r="CT757" s="156"/>
      <c r="CU757" s="156"/>
      <c r="CV757" s="156"/>
      <c r="CW757" s="156"/>
      <c r="CX757" s="156"/>
      <c r="CY757" s="156"/>
      <c r="CZ757" s="156"/>
      <c r="DA757" s="156"/>
      <c r="DB757" s="156"/>
      <c r="DC757" s="156"/>
      <c r="DD757" s="156"/>
      <c r="DE757" s="156"/>
      <c r="DF757" s="156"/>
      <c r="DG757" s="156"/>
      <c r="DH757" s="156"/>
      <c r="DI757" s="156"/>
      <c r="DJ757" s="156"/>
      <c r="DK757" s="156"/>
      <c r="DL757" s="156"/>
      <c r="DM757" s="156"/>
      <c r="DN757" s="156"/>
      <c r="DO757" s="156"/>
      <c r="DP757" s="156"/>
      <c r="DQ757" s="156"/>
      <c r="DR757" s="156"/>
      <c r="DS757" s="156"/>
      <c r="DT757" s="156"/>
      <c r="DU757" s="156"/>
      <c r="DV757" s="156"/>
      <c r="DW757" s="156"/>
      <c r="DX757" s="156"/>
      <c r="DY757" s="156"/>
      <c r="DZ757" s="156"/>
      <c r="EA757" s="156"/>
      <c r="EB757" s="156"/>
      <c r="EC757" s="156"/>
      <c r="ED757" s="156"/>
      <c r="EE757" s="156"/>
      <c r="EF757" s="156"/>
      <c r="EG757" s="156"/>
      <c r="EH757" s="156"/>
      <c r="EI757" s="156"/>
      <c r="EJ757" s="156"/>
      <c r="EK757" s="156"/>
      <c r="EL757" s="156"/>
      <c r="EM757" s="156"/>
    </row>
    <row r="758" spans="20:143" ht="10.5" customHeight="1">
      <c r="T758" s="156"/>
      <c r="AZ758" s="156"/>
      <c r="BA758" s="156"/>
      <c r="BB758" s="156"/>
      <c r="BC758" s="156"/>
      <c r="BD758" s="156"/>
      <c r="BE758" s="156"/>
      <c r="BF758" s="156"/>
      <c r="BG758" s="156"/>
      <c r="BH758" s="156"/>
      <c r="BI758" s="156"/>
      <c r="BJ758" s="156"/>
      <c r="BK758" s="156"/>
      <c r="BL758" s="156"/>
      <c r="BM758" s="156"/>
      <c r="BN758" s="156"/>
      <c r="BO758" s="156"/>
      <c r="BP758" s="156"/>
      <c r="BQ758" s="156"/>
      <c r="BR758" s="156"/>
      <c r="BS758" s="156"/>
      <c r="BT758" s="156"/>
      <c r="BU758" s="156"/>
      <c r="BV758" s="156"/>
      <c r="BW758" s="156"/>
      <c r="BX758" s="156"/>
      <c r="BY758" s="156"/>
      <c r="BZ758" s="156"/>
      <c r="CA758" s="156"/>
      <c r="CB758" s="156"/>
      <c r="CC758" s="156"/>
      <c r="CD758" s="156"/>
      <c r="CE758" s="156"/>
      <c r="CF758" s="156"/>
      <c r="CG758" s="156"/>
      <c r="CH758" s="156"/>
      <c r="CI758" s="156"/>
      <c r="CJ758" s="156"/>
      <c r="CK758" s="156"/>
      <c r="CL758" s="156"/>
      <c r="CM758" s="156"/>
      <c r="CN758" s="156"/>
      <c r="CO758" s="156"/>
      <c r="CP758" s="156"/>
      <c r="CQ758" s="156"/>
      <c r="CR758" s="156"/>
      <c r="CS758" s="156"/>
      <c r="CT758" s="156"/>
      <c r="CU758" s="156"/>
      <c r="CV758" s="156"/>
      <c r="CW758" s="156"/>
      <c r="CX758" s="156"/>
      <c r="CY758" s="156"/>
      <c r="CZ758" s="156"/>
      <c r="DA758" s="156"/>
      <c r="DB758" s="156"/>
      <c r="DC758" s="156"/>
      <c r="DD758" s="156"/>
      <c r="DE758" s="156"/>
      <c r="DF758" s="156"/>
      <c r="DG758" s="156"/>
      <c r="DH758" s="156"/>
      <c r="DI758" s="156"/>
      <c r="DJ758" s="156"/>
      <c r="DK758" s="156"/>
      <c r="DL758" s="156"/>
      <c r="DM758" s="156"/>
      <c r="DN758" s="156"/>
      <c r="DO758" s="156"/>
      <c r="DP758" s="156"/>
      <c r="DQ758" s="156"/>
      <c r="DR758" s="156"/>
      <c r="DS758" s="156"/>
      <c r="DT758" s="156"/>
      <c r="DU758" s="156"/>
      <c r="DV758" s="156"/>
      <c r="DW758" s="156"/>
      <c r="DX758" s="156"/>
      <c r="DY758" s="156"/>
      <c r="DZ758" s="156"/>
      <c r="EA758" s="156"/>
      <c r="EB758" s="156"/>
      <c r="EC758" s="156"/>
      <c r="ED758" s="156"/>
      <c r="EE758" s="156"/>
      <c r="EF758" s="156"/>
      <c r="EG758" s="156"/>
      <c r="EH758" s="156"/>
      <c r="EI758" s="156"/>
      <c r="EJ758" s="156"/>
      <c r="EK758" s="156"/>
      <c r="EL758" s="156"/>
      <c r="EM758" s="156"/>
    </row>
    <row r="759" spans="20:143" ht="10.5" customHeight="1">
      <c r="T759" s="156"/>
      <c r="AZ759" s="156"/>
      <c r="BA759" s="156"/>
      <c r="BB759" s="156"/>
      <c r="BC759" s="156"/>
      <c r="BD759" s="156"/>
      <c r="BE759" s="156"/>
      <c r="BF759" s="156"/>
      <c r="BG759" s="156"/>
      <c r="BH759" s="156"/>
      <c r="BI759" s="156"/>
      <c r="BJ759" s="156"/>
      <c r="BK759" s="156"/>
      <c r="BL759" s="156"/>
      <c r="BM759" s="156"/>
      <c r="BN759" s="156"/>
      <c r="BO759" s="156"/>
      <c r="BP759" s="156"/>
      <c r="BQ759" s="156"/>
      <c r="BR759" s="156"/>
      <c r="BS759" s="156"/>
      <c r="BT759" s="156"/>
      <c r="BU759" s="156"/>
      <c r="BV759" s="156"/>
      <c r="BW759" s="156"/>
      <c r="BX759" s="156"/>
      <c r="BY759" s="156"/>
      <c r="BZ759" s="156"/>
      <c r="CA759" s="156"/>
      <c r="CB759" s="156"/>
      <c r="CC759" s="156"/>
      <c r="CD759" s="156"/>
      <c r="CE759" s="156"/>
      <c r="CF759" s="156"/>
      <c r="CG759" s="156"/>
      <c r="CH759" s="156"/>
      <c r="CI759" s="156"/>
      <c r="CJ759" s="156"/>
      <c r="CK759" s="156"/>
      <c r="CL759" s="156"/>
      <c r="CM759" s="156"/>
      <c r="CN759" s="156"/>
      <c r="CO759" s="156"/>
      <c r="CP759" s="156"/>
      <c r="CQ759" s="156"/>
      <c r="CR759" s="156"/>
      <c r="CS759" s="156"/>
      <c r="CT759" s="156"/>
      <c r="CU759" s="156"/>
      <c r="CV759" s="156"/>
      <c r="CW759" s="156"/>
      <c r="CX759" s="156"/>
      <c r="CY759" s="156"/>
      <c r="CZ759" s="156"/>
      <c r="DA759" s="156"/>
      <c r="DB759" s="156"/>
      <c r="DC759" s="156"/>
      <c r="DD759" s="156"/>
      <c r="DE759" s="156"/>
      <c r="DF759" s="156"/>
      <c r="DG759" s="156"/>
      <c r="DH759" s="156"/>
      <c r="DI759" s="156"/>
      <c r="DJ759" s="156"/>
      <c r="DK759" s="156"/>
      <c r="DL759" s="156"/>
      <c r="DM759" s="156"/>
      <c r="DN759" s="156"/>
      <c r="DO759" s="156"/>
      <c r="DP759" s="156"/>
      <c r="DQ759" s="156"/>
      <c r="DR759" s="156"/>
      <c r="DS759" s="156"/>
      <c r="DT759" s="156"/>
      <c r="DU759" s="156"/>
      <c r="DV759" s="156"/>
      <c r="DW759" s="156"/>
      <c r="DX759" s="156"/>
      <c r="DY759" s="156"/>
      <c r="DZ759" s="156"/>
      <c r="EA759" s="156"/>
      <c r="EB759" s="156"/>
      <c r="EC759" s="156"/>
      <c r="ED759" s="156"/>
      <c r="EE759" s="156"/>
      <c r="EF759" s="156"/>
      <c r="EG759" s="156"/>
      <c r="EH759" s="156"/>
      <c r="EI759" s="156"/>
      <c r="EJ759" s="156"/>
      <c r="EK759" s="156"/>
      <c r="EL759" s="156"/>
      <c r="EM759" s="156"/>
    </row>
    <row r="760" spans="20:143" ht="10.5" customHeight="1">
      <c r="T760" s="156"/>
      <c r="AZ760" s="156"/>
      <c r="BA760" s="156"/>
      <c r="BB760" s="156"/>
      <c r="BC760" s="156"/>
      <c r="BD760" s="156"/>
      <c r="BE760" s="156"/>
      <c r="BF760" s="156"/>
      <c r="BG760" s="156"/>
      <c r="BH760" s="156"/>
      <c r="BI760" s="156"/>
      <c r="BJ760" s="156"/>
      <c r="BK760" s="156"/>
      <c r="BL760" s="156"/>
      <c r="BM760" s="156"/>
      <c r="BN760" s="156"/>
      <c r="BO760" s="156"/>
      <c r="BP760" s="156"/>
      <c r="BQ760" s="156"/>
      <c r="BR760" s="156"/>
      <c r="BS760" s="156"/>
      <c r="BT760" s="156"/>
      <c r="BU760" s="156"/>
      <c r="BV760" s="156"/>
      <c r="BW760" s="156"/>
      <c r="BX760" s="156"/>
      <c r="BY760" s="156"/>
      <c r="BZ760" s="156"/>
      <c r="CA760" s="156"/>
      <c r="CB760" s="156"/>
      <c r="CC760" s="156"/>
      <c r="CD760" s="156"/>
      <c r="CE760" s="156"/>
      <c r="CF760" s="156"/>
      <c r="CG760" s="156"/>
      <c r="CH760" s="156"/>
      <c r="CI760" s="156"/>
      <c r="CJ760" s="156"/>
      <c r="CK760" s="156"/>
      <c r="CL760" s="156"/>
      <c r="CM760" s="156"/>
      <c r="CN760" s="156"/>
      <c r="CO760" s="156"/>
      <c r="CP760" s="156"/>
      <c r="CQ760" s="156"/>
      <c r="CR760" s="156"/>
      <c r="CS760" s="156"/>
      <c r="CT760" s="156"/>
      <c r="CU760" s="156"/>
      <c r="CV760" s="156"/>
      <c r="CW760" s="156"/>
      <c r="CX760" s="156"/>
      <c r="CY760" s="156"/>
      <c r="CZ760" s="156"/>
      <c r="DA760" s="156"/>
      <c r="DB760" s="156"/>
      <c r="DC760" s="156"/>
      <c r="DD760" s="156"/>
      <c r="DE760" s="156"/>
      <c r="DF760" s="156"/>
      <c r="DG760" s="156"/>
      <c r="DH760" s="156"/>
      <c r="DI760" s="156"/>
      <c r="DJ760" s="156"/>
      <c r="DK760" s="156"/>
      <c r="DL760" s="156"/>
      <c r="DM760" s="156"/>
      <c r="DN760" s="156"/>
      <c r="DO760" s="156"/>
      <c r="DP760" s="156"/>
      <c r="DQ760" s="156"/>
      <c r="DR760" s="156"/>
      <c r="DS760" s="156"/>
      <c r="DT760" s="156"/>
      <c r="DU760" s="156"/>
      <c r="DV760" s="156"/>
      <c r="DW760" s="156"/>
      <c r="DX760" s="156"/>
      <c r="DY760" s="156"/>
      <c r="DZ760" s="156"/>
      <c r="EA760" s="156"/>
      <c r="EB760" s="156"/>
      <c r="EC760" s="156"/>
      <c r="ED760" s="156"/>
      <c r="EE760" s="156"/>
      <c r="EF760" s="156"/>
      <c r="EG760" s="156"/>
      <c r="EH760" s="156"/>
      <c r="EI760" s="156"/>
      <c r="EJ760" s="156"/>
      <c r="EK760" s="156"/>
      <c r="EL760" s="156"/>
      <c r="EM760" s="156"/>
    </row>
    <row r="761" spans="20:143" ht="10.5" customHeight="1">
      <c r="T761" s="156"/>
      <c r="AZ761" s="156"/>
      <c r="BA761" s="156"/>
      <c r="BB761" s="156"/>
      <c r="BC761" s="156"/>
      <c r="BD761" s="156"/>
      <c r="BE761" s="156"/>
      <c r="BF761" s="156"/>
      <c r="BG761" s="156"/>
      <c r="BH761" s="156"/>
      <c r="BI761" s="156"/>
      <c r="BJ761" s="156"/>
      <c r="BK761" s="156"/>
      <c r="BL761" s="156"/>
      <c r="BM761" s="156"/>
      <c r="BN761" s="156"/>
      <c r="BO761" s="156"/>
      <c r="BP761" s="156"/>
      <c r="BQ761" s="156"/>
      <c r="BR761" s="156"/>
      <c r="BS761" s="156"/>
      <c r="BT761" s="156"/>
      <c r="BU761" s="156"/>
      <c r="BV761" s="156"/>
      <c r="BW761" s="156"/>
      <c r="BX761" s="156"/>
      <c r="BY761" s="156"/>
      <c r="BZ761" s="156"/>
      <c r="CA761" s="156"/>
      <c r="CB761" s="156"/>
      <c r="CC761" s="156"/>
      <c r="CD761" s="156"/>
      <c r="CE761" s="156"/>
      <c r="CF761" s="156"/>
      <c r="CG761" s="156"/>
      <c r="CH761" s="156"/>
      <c r="CI761" s="156"/>
      <c r="CJ761" s="156"/>
      <c r="CK761" s="156"/>
      <c r="CL761" s="156"/>
      <c r="CM761" s="156"/>
      <c r="CN761" s="156"/>
      <c r="CO761" s="156"/>
      <c r="CP761" s="156"/>
      <c r="CQ761" s="156"/>
      <c r="CR761" s="156"/>
      <c r="CS761" s="156"/>
      <c r="CT761" s="156"/>
      <c r="CU761" s="156"/>
      <c r="CV761" s="156"/>
      <c r="CW761" s="156"/>
      <c r="CX761" s="156"/>
      <c r="CY761" s="156"/>
      <c r="CZ761" s="156"/>
      <c r="DA761" s="156"/>
      <c r="DB761" s="156"/>
      <c r="DC761" s="156"/>
      <c r="DD761" s="156"/>
      <c r="DE761" s="156"/>
      <c r="DF761" s="156"/>
      <c r="DG761" s="156"/>
      <c r="DH761" s="156"/>
      <c r="DI761" s="156"/>
      <c r="DJ761" s="156"/>
      <c r="DK761" s="156"/>
      <c r="DL761" s="156"/>
      <c r="DM761" s="156"/>
      <c r="DN761" s="156"/>
      <c r="DO761" s="156"/>
      <c r="DP761" s="156"/>
      <c r="DQ761" s="156"/>
      <c r="DR761" s="156"/>
      <c r="DS761" s="156"/>
      <c r="DT761" s="156"/>
      <c r="DU761" s="156"/>
      <c r="DV761" s="156"/>
      <c r="DW761" s="156"/>
      <c r="DX761" s="156"/>
      <c r="DY761" s="156"/>
      <c r="DZ761" s="156"/>
      <c r="EA761" s="156"/>
      <c r="EB761" s="156"/>
      <c r="EC761" s="156"/>
      <c r="ED761" s="156"/>
      <c r="EE761" s="156"/>
      <c r="EF761" s="156"/>
      <c r="EG761" s="156"/>
      <c r="EH761" s="156"/>
      <c r="EI761" s="156"/>
      <c r="EJ761" s="156"/>
      <c r="EK761" s="156"/>
      <c r="EL761" s="156"/>
      <c r="EM761" s="156"/>
    </row>
    <row r="762" spans="20:143" ht="10.5" customHeight="1">
      <c r="T762" s="156"/>
      <c r="AZ762" s="156"/>
      <c r="BA762" s="156"/>
      <c r="BB762" s="156"/>
      <c r="BC762" s="156"/>
      <c r="BD762" s="156"/>
      <c r="BE762" s="156"/>
      <c r="BF762" s="156"/>
      <c r="BG762" s="156"/>
      <c r="BH762" s="156"/>
      <c r="BI762" s="156"/>
      <c r="BJ762" s="156"/>
      <c r="BK762" s="156"/>
      <c r="BL762" s="156"/>
      <c r="BM762" s="156"/>
      <c r="BN762" s="156"/>
      <c r="BO762" s="156"/>
      <c r="BP762" s="156"/>
      <c r="BQ762" s="156"/>
      <c r="BR762" s="156"/>
      <c r="BS762" s="156"/>
      <c r="BT762" s="156"/>
      <c r="BU762" s="156"/>
      <c r="BV762" s="156"/>
      <c r="BW762" s="156"/>
      <c r="BX762" s="156"/>
      <c r="BY762" s="156"/>
      <c r="BZ762" s="156"/>
      <c r="CA762" s="156"/>
      <c r="CB762" s="156"/>
      <c r="CC762" s="156"/>
      <c r="CD762" s="156"/>
      <c r="CE762" s="156"/>
      <c r="CF762" s="156"/>
      <c r="CG762" s="156"/>
      <c r="CH762" s="156"/>
      <c r="CI762" s="156"/>
      <c r="CJ762" s="156"/>
      <c r="CK762" s="156"/>
      <c r="CL762" s="156"/>
      <c r="CM762" s="156"/>
      <c r="CN762" s="156"/>
      <c r="CO762" s="156"/>
      <c r="CP762" s="156"/>
      <c r="CQ762" s="156"/>
      <c r="CR762" s="156"/>
      <c r="CS762" s="156"/>
      <c r="CT762" s="156"/>
      <c r="CU762" s="156"/>
      <c r="CV762" s="156"/>
      <c r="CW762" s="156"/>
      <c r="CX762" s="156"/>
      <c r="CY762" s="156"/>
      <c r="CZ762" s="156"/>
      <c r="DA762" s="156"/>
      <c r="DB762" s="156"/>
      <c r="DC762" s="156"/>
      <c r="DD762" s="156"/>
      <c r="DE762" s="156"/>
      <c r="DF762" s="156"/>
      <c r="DG762" s="156"/>
      <c r="DH762" s="156"/>
      <c r="DI762" s="156"/>
      <c r="DJ762" s="156"/>
      <c r="DK762" s="156"/>
      <c r="DL762" s="156"/>
      <c r="DM762" s="156"/>
      <c r="DN762" s="156"/>
      <c r="DO762" s="156"/>
      <c r="DP762" s="156"/>
      <c r="DQ762" s="156"/>
      <c r="DR762" s="156"/>
      <c r="DS762" s="156"/>
      <c r="DT762" s="156"/>
      <c r="DU762" s="156"/>
      <c r="DV762" s="156"/>
      <c r="DW762" s="156"/>
      <c r="DX762" s="156"/>
      <c r="DY762" s="156"/>
      <c r="DZ762" s="156"/>
      <c r="EA762" s="156"/>
      <c r="EB762" s="156"/>
      <c r="EC762" s="156"/>
      <c r="ED762" s="156"/>
      <c r="EE762" s="156"/>
      <c r="EF762" s="156"/>
      <c r="EG762" s="156"/>
      <c r="EH762" s="156"/>
      <c r="EI762" s="156"/>
      <c r="EJ762" s="156"/>
      <c r="EK762" s="156"/>
      <c r="EL762" s="156"/>
      <c r="EM762" s="156"/>
    </row>
    <row r="763" spans="20:143" ht="10.5" customHeight="1">
      <c r="T763" s="156"/>
      <c r="AZ763" s="156"/>
      <c r="BA763" s="156"/>
      <c r="BB763" s="156"/>
      <c r="BC763" s="156"/>
      <c r="BD763" s="156"/>
      <c r="BE763" s="156"/>
      <c r="BF763" s="156"/>
      <c r="BG763" s="156"/>
      <c r="BH763" s="156"/>
      <c r="BI763" s="156"/>
      <c r="BJ763" s="156"/>
      <c r="BK763" s="156"/>
      <c r="BL763" s="156"/>
      <c r="BM763" s="156"/>
      <c r="BN763" s="156"/>
      <c r="BO763" s="156"/>
      <c r="BP763" s="156"/>
      <c r="BQ763" s="156"/>
      <c r="BR763" s="156"/>
      <c r="BS763" s="156"/>
      <c r="BT763" s="156"/>
      <c r="BU763" s="156"/>
      <c r="BV763" s="156"/>
      <c r="BW763" s="156"/>
      <c r="BX763" s="156"/>
      <c r="BY763" s="156"/>
      <c r="BZ763" s="156"/>
      <c r="CA763" s="156"/>
      <c r="CB763" s="156"/>
      <c r="CC763" s="156"/>
      <c r="CD763" s="156"/>
      <c r="CE763" s="156"/>
      <c r="CF763" s="156"/>
      <c r="CG763" s="156"/>
      <c r="CH763" s="156"/>
      <c r="CI763" s="156"/>
      <c r="CJ763" s="156"/>
      <c r="CK763" s="156"/>
      <c r="CL763" s="156"/>
      <c r="CM763" s="156"/>
      <c r="CN763" s="156"/>
      <c r="CO763" s="156"/>
      <c r="CP763" s="156"/>
      <c r="CQ763" s="156"/>
      <c r="CR763" s="156"/>
      <c r="CS763" s="156"/>
      <c r="CT763" s="156"/>
      <c r="CU763" s="156"/>
      <c r="CV763" s="156"/>
      <c r="CW763" s="156"/>
      <c r="CX763" s="156"/>
      <c r="CY763" s="156"/>
      <c r="CZ763" s="156"/>
      <c r="DA763" s="156"/>
      <c r="DB763" s="156"/>
      <c r="DC763" s="156"/>
      <c r="DD763" s="156"/>
      <c r="DE763" s="156"/>
      <c r="DF763" s="156"/>
      <c r="DG763" s="156"/>
      <c r="DH763" s="156"/>
      <c r="DI763" s="156"/>
      <c r="DJ763" s="156"/>
      <c r="DK763" s="156"/>
      <c r="DL763" s="156"/>
      <c r="DM763" s="156"/>
      <c r="DN763" s="156"/>
      <c r="DO763" s="156"/>
      <c r="DP763" s="156"/>
      <c r="DQ763" s="156"/>
      <c r="DR763" s="156"/>
      <c r="DS763" s="156"/>
      <c r="DT763" s="156"/>
      <c r="DU763" s="156"/>
      <c r="DV763" s="156"/>
      <c r="DW763" s="156"/>
      <c r="DX763" s="156"/>
      <c r="DY763" s="156"/>
      <c r="DZ763" s="156"/>
      <c r="EA763" s="156"/>
      <c r="EB763" s="156"/>
      <c r="EC763" s="156"/>
      <c r="ED763" s="156"/>
      <c r="EE763" s="156"/>
      <c r="EF763" s="156"/>
      <c r="EG763" s="156"/>
      <c r="EH763" s="156"/>
      <c r="EI763" s="156"/>
      <c r="EJ763" s="156"/>
      <c r="EK763" s="156"/>
      <c r="EL763" s="156"/>
      <c r="EM763" s="156"/>
    </row>
    <row r="764" spans="20:143" ht="10.5" customHeight="1">
      <c r="T764" s="156"/>
      <c r="AZ764" s="156"/>
      <c r="BA764" s="156"/>
      <c r="BB764" s="156"/>
      <c r="BC764" s="156"/>
      <c r="BD764" s="156"/>
      <c r="BE764" s="156"/>
      <c r="BF764" s="156"/>
      <c r="BG764" s="156"/>
      <c r="BH764" s="156"/>
      <c r="BI764" s="156"/>
      <c r="BJ764" s="156"/>
      <c r="BK764" s="156"/>
      <c r="BL764" s="156"/>
      <c r="BM764" s="156"/>
      <c r="BN764" s="156"/>
      <c r="BO764" s="156"/>
      <c r="BP764" s="156"/>
      <c r="BQ764" s="156"/>
      <c r="BR764" s="156"/>
      <c r="BS764" s="156"/>
      <c r="BT764" s="156"/>
      <c r="BU764" s="156"/>
      <c r="BV764" s="156"/>
      <c r="BW764" s="156"/>
      <c r="BX764" s="156"/>
      <c r="BY764" s="156"/>
      <c r="BZ764" s="156"/>
      <c r="CA764" s="156"/>
      <c r="CB764" s="156"/>
      <c r="CC764" s="156"/>
      <c r="CD764" s="156"/>
      <c r="CE764" s="156"/>
      <c r="CF764" s="156"/>
      <c r="CG764" s="156"/>
      <c r="CH764" s="156"/>
      <c r="CI764" s="156"/>
      <c r="CJ764" s="156"/>
      <c r="CK764" s="156"/>
      <c r="CL764" s="156"/>
      <c r="CM764" s="156"/>
      <c r="CN764" s="156"/>
      <c r="CO764" s="156"/>
      <c r="CP764" s="156"/>
      <c r="CQ764" s="156"/>
      <c r="CR764" s="156"/>
      <c r="CS764" s="156"/>
      <c r="CT764" s="156"/>
      <c r="CU764" s="156"/>
      <c r="CV764" s="156"/>
      <c r="CW764" s="156"/>
      <c r="CX764" s="156"/>
      <c r="CY764" s="156"/>
      <c r="CZ764" s="156"/>
      <c r="DA764" s="156"/>
      <c r="DB764" s="156"/>
      <c r="DC764" s="156"/>
      <c r="DD764" s="156"/>
      <c r="DE764" s="156"/>
      <c r="DF764" s="156"/>
      <c r="DG764" s="156"/>
      <c r="DH764" s="156"/>
      <c r="DI764" s="156"/>
      <c r="DJ764" s="156"/>
      <c r="DK764" s="156"/>
      <c r="DL764" s="156"/>
      <c r="DM764" s="156"/>
      <c r="DN764" s="156"/>
      <c r="DO764" s="156"/>
      <c r="DP764" s="156"/>
      <c r="DQ764" s="156"/>
      <c r="DR764" s="156"/>
      <c r="DS764" s="156"/>
      <c r="DT764" s="156"/>
      <c r="DU764" s="156"/>
      <c r="DV764" s="156"/>
      <c r="DW764" s="156"/>
      <c r="DX764" s="156"/>
      <c r="DY764" s="156"/>
      <c r="DZ764" s="156"/>
      <c r="EA764" s="156"/>
      <c r="EB764" s="156"/>
      <c r="EC764" s="156"/>
      <c r="ED764" s="156"/>
      <c r="EE764" s="156"/>
      <c r="EF764" s="156"/>
      <c r="EG764" s="156"/>
      <c r="EH764" s="156"/>
      <c r="EI764" s="156"/>
      <c r="EJ764" s="156"/>
      <c r="EK764" s="156"/>
      <c r="EL764" s="156"/>
      <c r="EM764" s="156"/>
    </row>
    <row r="765" spans="20:143" ht="10.5" customHeight="1">
      <c r="T765" s="156"/>
      <c r="AZ765" s="156"/>
      <c r="BA765" s="156"/>
      <c r="BB765" s="156"/>
      <c r="BC765" s="156"/>
      <c r="BD765" s="156"/>
      <c r="BE765" s="156"/>
      <c r="BF765" s="156"/>
      <c r="BG765" s="156"/>
      <c r="BH765" s="156"/>
      <c r="BI765" s="156"/>
      <c r="BJ765" s="156"/>
      <c r="BK765" s="156"/>
      <c r="BL765" s="156"/>
      <c r="BM765" s="156"/>
      <c r="BN765" s="156"/>
      <c r="BO765" s="156"/>
      <c r="BP765" s="156"/>
      <c r="BQ765" s="156"/>
      <c r="BR765" s="156"/>
      <c r="BS765" s="156"/>
      <c r="BT765" s="156"/>
      <c r="BU765" s="156"/>
      <c r="BV765" s="156"/>
      <c r="BW765" s="156"/>
      <c r="BX765" s="156"/>
      <c r="BY765" s="156"/>
      <c r="BZ765" s="156"/>
      <c r="CA765" s="156"/>
      <c r="CB765" s="156"/>
      <c r="CC765" s="156"/>
      <c r="CD765" s="156"/>
      <c r="CE765" s="156"/>
      <c r="CF765" s="156"/>
      <c r="CG765" s="156"/>
      <c r="CH765" s="156"/>
      <c r="CI765" s="156"/>
      <c r="CJ765" s="156"/>
      <c r="CK765" s="156"/>
      <c r="CL765" s="156"/>
      <c r="CM765" s="156"/>
      <c r="CN765" s="156"/>
      <c r="CO765" s="156"/>
      <c r="CP765" s="156"/>
      <c r="CQ765" s="156"/>
      <c r="CR765" s="156"/>
      <c r="CS765" s="156"/>
      <c r="CT765" s="156"/>
      <c r="CU765" s="156"/>
      <c r="CV765" s="156"/>
      <c r="CW765" s="156"/>
      <c r="CX765" s="156"/>
      <c r="CY765" s="156"/>
      <c r="CZ765" s="156"/>
      <c r="DA765" s="156"/>
      <c r="DB765" s="156"/>
      <c r="DC765" s="156"/>
      <c r="DD765" s="156"/>
      <c r="DE765" s="156"/>
      <c r="DF765" s="156"/>
      <c r="DG765" s="156"/>
      <c r="DH765" s="156"/>
      <c r="DI765" s="156"/>
      <c r="DJ765" s="156"/>
      <c r="DK765" s="156"/>
      <c r="DL765" s="156"/>
      <c r="DM765" s="156"/>
      <c r="DN765" s="156"/>
      <c r="DO765" s="156"/>
      <c r="DP765" s="156"/>
      <c r="DQ765" s="156"/>
      <c r="DR765" s="156"/>
      <c r="DS765" s="156"/>
      <c r="DT765" s="156"/>
      <c r="DU765" s="156"/>
      <c r="DV765" s="156"/>
      <c r="DW765" s="156"/>
      <c r="DX765" s="156"/>
      <c r="DY765" s="156"/>
      <c r="DZ765" s="156"/>
      <c r="EA765" s="156"/>
      <c r="EB765" s="156"/>
      <c r="EC765" s="156"/>
      <c r="ED765" s="156"/>
      <c r="EE765" s="156"/>
      <c r="EF765" s="156"/>
      <c r="EG765" s="156"/>
      <c r="EH765" s="156"/>
      <c r="EI765" s="156"/>
      <c r="EJ765" s="156"/>
      <c r="EK765" s="156"/>
      <c r="EL765" s="156"/>
      <c r="EM765" s="156"/>
    </row>
    <row r="766" spans="20:143" ht="10.5" customHeight="1">
      <c r="T766" s="156"/>
      <c r="AZ766" s="156"/>
      <c r="BA766" s="156"/>
      <c r="BB766" s="156"/>
      <c r="BC766" s="156"/>
      <c r="BD766" s="156"/>
      <c r="BE766" s="156"/>
      <c r="BF766" s="156"/>
      <c r="BG766" s="156"/>
      <c r="BH766" s="156"/>
      <c r="BI766" s="156"/>
      <c r="BJ766" s="156"/>
      <c r="BK766" s="156"/>
      <c r="BL766" s="156"/>
      <c r="BM766" s="156"/>
      <c r="BN766" s="156"/>
      <c r="BO766" s="156"/>
      <c r="BP766" s="156"/>
      <c r="BQ766" s="156"/>
      <c r="BR766" s="156"/>
      <c r="BS766" s="156"/>
      <c r="BT766" s="156"/>
      <c r="BU766" s="156"/>
      <c r="BV766" s="156"/>
      <c r="BW766" s="156"/>
      <c r="BX766" s="156"/>
      <c r="BY766" s="156"/>
      <c r="BZ766" s="156"/>
      <c r="CA766" s="156"/>
      <c r="CB766" s="156"/>
      <c r="CC766" s="156"/>
      <c r="CD766" s="156"/>
      <c r="CE766" s="156"/>
      <c r="CF766" s="156"/>
      <c r="CG766" s="156"/>
      <c r="CH766" s="156"/>
      <c r="CI766" s="156"/>
      <c r="CJ766" s="156"/>
      <c r="CK766" s="156"/>
      <c r="CL766" s="156"/>
      <c r="CM766" s="156"/>
      <c r="CN766" s="156"/>
      <c r="CO766" s="156"/>
      <c r="CP766" s="156"/>
      <c r="CQ766" s="156"/>
      <c r="CR766" s="156"/>
      <c r="CS766" s="156"/>
      <c r="CT766" s="156"/>
      <c r="CU766" s="156"/>
      <c r="CV766" s="156"/>
      <c r="CW766" s="156"/>
      <c r="CX766" s="156"/>
      <c r="CY766" s="156"/>
      <c r="CZ766" s="156"/>
      <c r="DA766" s="156"/>
      <c r="DB766" s="156"/>
      <c r="DC766" s="156"/>
      <c r="DD766" s="156"/>
      <c r="DE766" s="156"/>
      <c r="DF766" s="156"/>
      <c r="DG766" s="156"/>
      <c r="DH766" s="156"/>
      <c r="DI766" s="156"/>
      <c r="DJ766" s="156"/>
      <c r="DK766" s="156"/>
      <c r="DL766" s="156"/>
      <c r="DM766" s="156"/>
      <c r="DN766" s="156"/>
      <c r="DO766" s="156"/>
      <c r="DP766" s="156"/>
      <c r="DQ766" s="156"/>
      <c r="DR766" s="156"/>
      <c r="DS766" s="156"/>
      <c r="DT766" s="156"/>
      <c r="DU766" s="156"/>
      <c r="DV766" s="156"/>
      <c r="DW766" s="156"/>
      <c r="DX766" s="156"/>
      <c r="DY766" s="156"/>
      <c r="DZ766" s="156"/>
      <c r="EA766" s="156"/>
      <c r="EB766" s="156"/>
      <c r="EC766" s="156"/>
      <c r="ED766" s="156"/>
      <c r="EE766" s="156"/>
      <c r="EF766" s="156"/>
      <c r="EG766" s="156"/>
      <c r="EH766" s="156"/>
      <c r="EI766" s="156"/>
      <c r="EJ766" s="156"/>
      <c r="EK766" s="156"/>
      <c r="EL766" s="156"/>
      <c r="EM766" s="156"/>
    </row>
    <row r="767" spans="20:143" ht="10.5" customHeight="1">
      <c r="T767" s="156"/>
      <c r="AZ767" s="156"/>
      <c r="BA767" s="156"/>
      <c r="BB767" s="156"/>
      <c r="BC767" s="156"/>
      <c r="BD767" s="156"/>
      <c r="BE767" s="156"/>
      <c r="BF767" s="156"/>
      <c r="BG767" s="156"/>
      <c r="BH767" s="156"/>
      <c r="BI767" s="156"/>
      <c r="BJ767" s="156"/>
      <c r="BK767" s="156"/>
      <c r="BL767" s="156"/>
      <c r="BM767" s="156"/>
      <c r="BN767" s="156"/>
      <c r="BO767" s="156"/>
      <c r="BP767" s="156"/>
      <c r="BQ767" s="156"/>
      <c r="BR767" s="156"/>
      <c r="BS767" s="156"/>
      <c r="BT767" s="156"/>
      <c r="BU767" s="156"/>
      <c r="BV767" s="156"/>
      <c r="BW767" s="156"/>
      <c r="BX767" s="156"/>
      <c r="BY767" s="156"/>
      <c r="BZ767" s="156"/>
      <c r="CA767" s="156"/>
      <c r="CB767" s="156"/>
      <c r="CC767" s="156"/>
      <c r="CD767" s="156"/>
      <c r="CE767" s="156"/>
      <c r="CF767" s="156"/>
      <c r="CG767" s="156"/>
      <c r="CH767" s="156"/>
      <c r="CI767" s="156"/>
      <c r="CJ767" s="156"/>
      <c r="CK767" s="156"/>
      <c r="CL767" s="156"/>
      <c r="CM767" s="156"/>
      <c r="CN767" s="156"/>
      <c r="CO767" s="156"/>
      <c r="CP767" s="156"/>
      <c r="CQ767" s="156"/>
      <c r="CR767" s="156"/>
      <c r="CS767" s="156"/>
      <c r="CT767" s="156"/>
      <c r="CU767" s="156"/>
      <c r="CV767" s="156"/>
      <c r="CW767" s="156"/>
      <c r="CX767" s="156"/>
      <c r="CY767" s="156"/>
      <c r="CZ767" s="156"/>
      <c r="DA767" s="156"/>
      <c r="DB767" s="156"/>
      <c r="DC767" s="156"/>
      <c r="DD767" s="156"/>
      <c r="DE767" s="156"/>
      <c r="DF767" s="156"/>
      <c r="DG767" s="156"/>
      <c r="DH767" s="156"/>
      <c r="DI767" s="156"/>
      <c r="DJ767" s="156"/>
      <c r="DK767" s="156"/>
      <c r="DL767" s="156"/>
      <c r="DM767" s="156"/>
      <c r="DN767" s="156"/>
      <c r="DO767" s="156"/>
      <c r="DP767" s="156"/>
      <c r="DQ767" s="156"/>
      <c r="DR767" s="156"/>
      <c r="DS767" s="156"/>
      <c r="DT767" s="156"/>
      <c r="DU767" s="156"/>
      <c r="DV767" s="156"/>
      <c r="DW767" s="156"/>
      <c r="DX767" s="156"/>
      <c r="DY767" s="156"/>
      <c r="DZ767" s="156"/>
      <c r="EA767" s="156"/>
      <c r="EB767" s="156"/>
      <c r="EC767" s="156"/>
      <c r="ED767" s="156"/>
      <c r="EE767" s="156"/>
      <c r="EF767" s="156"/>
      <c r="EG767" s="156"/>
      <c r="EH767" s="156"/>
      <c r="EI767" s="156"/>
      <c r="EJ767" s="156"/>
      <c r="EK767" s="156"/>
      <c r="EL767" s="156"/>
      <c r="EM767" s="156"/>
    </row>
    <row r="768" spans="20:143" ht="10.5" customHeight="1">
      <c r="T768" s="156"/>
      <c r="AZ768" s="156"/>
      <c r="BA768" s="156"/>
      <c r="BB768" s="156"/>
      <c r="BC768" s="156"/>
      <c r="BD768" s="156"/>
      <c r="BE768" s="156"/>
      <c r="BF768" s="156"/>
      <c r="BG768" s="156"/>
      <c r="BH768" s="156"/>
      <c r="BI768" s="156"/>
      <c r="BJ768" s="156"/>
      <c r="BK768" s="156"/>
      <c r="BL768" s="156"/>
      <c r="BM768" s="156"/>
      <c r="BN768" s="156"/>
      <c r="BO768" s="156"/>
      <c r="BP768" s="156"/>
      <c r="BQ768" s="156"/>
      <c r="BR768" s="156"/>
      <c r="BS768" s="156"/>
      <c r="BT768" s="156"/>
      <c r="BU768" s="156"/>
      <c r="BV768" s="156"/>
      <c r="BW768" s="156"/>
      <c r="BX768" s="156"/>
      <c r="BY768" s="156"/>
      <c r="BZ768" s="156"/>
      <c r="CA768" s="156"/>
      <c r="CB768" s="156"/>
      <c r="CC768" s="156"/>
      <c r="CD768" s="156"/>
      <c r="CE768" s="156"/>
      <c r="CF768" s="156"/>
      <c r="CG768" s="156"/>
      <c r="CH768" s="156"/>
      <c r="CI768" s="156"/>
      <c r="CJ768" s="156"/>
      <c r="CK768" s="156"/>
      <c r="CL768" s="156"/>
      <c r="CM768" s="156"/>
      <c r="CN768" s="156"/>
      <c r="CO768" s="156"/>
      <c r="CP768" s="156"/>
      <c r="CQ768" s="156"/>
      <c r="CR768" s="156"/>
      <c r="CS768" s="156"/>
      <c r="CT768" s="156"/>
      <c r="CU768" s="156"/>
      <c r="CV768" s="156"/>
      <c r="CW768" s="156"/>
      <c r="CX768" s="156"/>
      <c r="CY768" s="156"/>
      <c r="CZ768" s="156"/>
      <c r="DA768" s="156"/>
      <c r="DB768" s="156"/>
      <c r="DC768" s="156"/>
      <c r="DD768" s="156"/>
      <c r="DE768" s="156"/>
      <c r="DF768" s="156"/>
      <c r="DG768" s="156"/>
      <c r="DH768" s="156"/>
      <c r="DI768" s="156"/>
      <c r="DJ768" s="156"/>
      <c r="DK768" s="156"/>
      <c r="DL768" s="156"/>
      <c r="DM768" s="156"/>
      <c r="DN768" s="156"/>
      <c r="DO768" s="156"/>
      <c r="DP768" s="156"/>
      <c r="DQ768" s="156"/>
      <c r="DR768" s="156"/>
      <c r="DS768" s="156"/>
      <c r="DT768" s="156"/>
      <c r="DU768" s="156"/>
      <c r="DV768" s="156"/>
      <c r="DW768" s="156"/>
      <c r="DX768" s="156"/>
      <c r="DY768" s="156"/>
      <c r="DZ768" s="156"/>
      <c r="EA768" s="156"/>
      <c r="EB768" s="156"/>
      <c r="EC768" s="156"/>
      <c r="ED768" s="156"/>
      <c r="EE768" s="156"/>
      <c r="EF768" s="156"/>
      <c r="EG768" s="156"/>
      <c r="EH768" s="156"/>
      <c r="EI768" s="156"/>
      <c r="EJ768" s="156"/>
      <c r="EK768" s="156"/>
      <c r="EL768" s="156"/>
      <c r="EM768" s="156"/>
    </row>
    <row r="769" spans="20:143" ht="10.5" customHeight="1">
      <c r="T769" s="156"/>
      <c r="AZ769" s="156"/>
      <c r="BA769" s="156"/>
      <c r="BB769" s="156"/>
      <c r="BC769" s="156"/>
      <c r="BD769" s="156"/>
      <c r="BE769" s="156"/>
      <c r="BF769" s="156"/>
      <c r="BG769" s="156"/>
      <c r="BH769" s="156"/>
      <c r="BI769" s="156"/>
      <c r="BJ769" s="156"/>
      <c r="BK769" s="156"/>
      <c r="BL769" s="156"/>
      <c r="BM769" s="156"/>
      <c r="BN769" s="156"/>
      <c r="BO769" s="156"/>
      <c r="BP769" s="156"/>
      <c r="BQ769" s="156"/>
      <c r="BR769" s="156"/>
      <c r="BS769" s="156"/>
      <c r="BT769" s="156"/>
      <c r="BU769" s="156"/>
      <c r="BV769" s="156"/>
      <c r="BW769" s="156"/>
      <c r="BX769" s="156"/>
      <c r="BY769" s="156"/>
      <c r="BZ769" s="156"/>
      <c r="CA769" s="156"/>
      <c r="CB769" s="156"/>
      <c r="CC769" s="156"/>
      <c r="CD769" s="156"/>
      <c r="CE769" s="156"/>
      <c r="CF769" s="156"/>
      <c r="CG769" s="156"/>
      <c r="CH769" s="156"/>
      <c r="CI769" s="156"/>
      <c r="CJ769" s="156"/>
      <c r="CK769" s="156"/>
      <c r="CL769" s="156"/>
      <c r="CM769" s="156"/>
      <c r="CN769" s="156"/>
      <c r="CO769" s="156"/>
      <c r="CP769" s="156"/>
      <c r="CQ769" s="156"/>
      <c r="CR769" s="156"/>
      <c r="CS769" s="156"/>
      <c r="CT769" s="156"/>
      <c r="CU769" s="156"/>
      <c r="CV769" s="156"/>
      <c r="CW769" s="156"/>
      <c r="CX769" s="156"/>
      <c r="CY769" s="156"/>
      <c r="CZ769" s="156"/>
      <c r="DA769" s="156"/>
      <c r="DB769" s="156"/>
      <c r="DC769" s="156"/>
      <c r="DD769" s="156"/>
      <c r="DE769" s="156"/>
      <c r="DF769" s="156"/>
      <c r="DG769" s="156"/>
      <c r="DH769" s="156"/>
      <c r="DI769" s="156"/>
      <c r="DJ769" s="156"/>
      <c r="DK769" s="156"/>
      <c r="DL769" s="156"/>
      <c r="DM769" s="156"/>
      <c r="DN769" s="156"/>
      <c r="DO769" s="156"/>
      <c r="DP769" s="156"/>
      <c r="DQ769" s="156"/>
      <c r="DR769" s="156"/>
      <c r="DS769" s="156"/>
      <c r="DT769" s="156"/>
      <c r="DU769" s="156"/>
      <c r="DV769" s="156"/>
      <c r="DW769" s="156"/>
      <c r="DX769" s="156"/>
      <c r="DY769" s="156"/>
      <c r="DZ769" s="156"/>
      <c r="EA769" s="156"/>
      <c r="EB769" s="156"/>
      <c r="EC769" s="156"/>
      <c r="ED769" s="156"/>
      <c r="EE769" s="156"/>
      <c r="EF769" s="156"/>
      <c r="EG769" s="156"/>
      <c r="EH769" s="156"/>
      <c r="EI769" s="156"/>
      <c r="EJ769" s="156"/>
      <c r="EK769" s="156"/>
      <c r="EL769" s="156"/>
      <c r="EM769" s="156"/>
    </row>
    <row r="770" spans="20:143" ht="10.5" customHeight="1">
      <c r="T770" s="156"/>
      <c r="AZ770" s="156"/>
      <c r="BA770" s="156"/>
      <c r="BB770" s="156"/>
      <c r="BC770" s="156"/>
      <c r="BD770" s="156"/>
      <c r="BE770" s="156"/>
      <c r="BF770" s="156"/>
      <c r="BG770" s="156"/>
      <c r="BH770" s="156"/>
      <c r="BI770" s="156"/>
      <c r="BJ770" s="156"/>
      <c r="BK770" s="156"/>
      <c r="BL770" s="156"/>
      <c r="BM770" s="156"/>
      <c r="BN770" s="156"/>
      <c r="BO770" s="156"/>
      <c r="BP770" s="156"/>
      <c r="BQ770" s="156"/>
      <c r="BR770" s="156"/>
      <c r="BS770" s="156"/>
      <c r="BT770" s="156"/>
      <c r="BU770" s="156"/>
      <c r="BV770" s="156"/>
      <c r="BW770" s="156"/>
      <c r="BX770" s="156"/>
      <c r="BY770" s="156"/>
      <c r="BZ770" s="156"/>
      <c r="CA770" s="156"/>
      <c r="CB770" s="156"/>
      <c r="CC770" s="156"/>
      <c r="CD770" s="156"/>
      <c r="CE770" s="156"/>
      <c r="CF770" s="156"/>
      <c r="CG770" s="156"/>
      <c r="CH770" s="156"/>
      <c r="CI770" s="156"/>
      <c r="CJ770" s="156"/>
      <c r="CK770" s="156"/>
      <c r="CL770" s="156"/>
      <c r="CM770" s="156"/>
      <c r="CN770" s="156"/>
      <c r="CO770" s="156"/>
      <c r="CP770" s="156"/>
      <c r="CQ770" s="156"/>
      <c r="CR770" s="156"/>
      <c r="CS770" s="156"/>
      <c r="CT770" s="156"/>
      <c r="CU770" s="156"/>
      <c r="CV770" s="156"/>
      <c r="CW770" s="156"/>
      <c r="CX770" s="156"/>
      <c r="CY770" s="156"/>
      <c r="CZ770" s="156"/>
      <c r="DA770" s="156"/>
      <c r="DB770" s="156"/>
      <c r="DC770" s="156"/>
      <c r="DD770" s="156"/>
      <c r="DE770" s="156"/>
      <c r="DF770" s="156"/>
      <c r="DG770" s="156"/>
      <c r="DH770" s="156"/>
      <c r="DI770" s="156"/>
      <c r="DJ770" s="156"/>
      <c r="DK770" s="156"/>
      <c r="DL770" s="156"/>
      <c r="DM770" s="156"/>
      <c r="DN770" s="156"/>
      <c r="DO770" s="156"/>
      <c r="DP770" s="156"/>
      <c r="DQ770" s="156"/>
      <c r="DR770" s="156"/>
      <c r="DS770" s="156"/>
      <c r="DT770" s="156"/>
      <c r="DU770" s="156"/>
      <c r="DV770" s="156"/>
      <c r="DW770" s="156"/>
      <c r="DX770" s="156"/>
      <c r="DY770" s="156"/>
      <c r="DZ770" s="156"/>
      <c r="EA770" s="156"/>
      <c r="EB770" s="156"/>
      <c r="EC770" s="156"/>
      <c r="ED770" s="156"/>
      <c r="EE770" s="156"/>
      <c r="EF770" s="156"/>
      <c r="EG770" s="156"/>
      <c r="EH770" s="156"/>
      <c r="EI770" s="156"/>
      <c r="EJ770" s="156"/>
      <c r="EK770" s="156"/>
      <c r="EL770" s="156"/>
      <c r="EM770" s="156"/>
    </row>
    <row r="771" spans="20:143" ht="10.5" customHeight="1">
      <c r="T771" s="156"/>
      <c r="AZ771" s="156"/>
      <c r="BA771" s="156"/>
      <c r="BB771" s="156"/>
      <c r="BC771" s="156"/>
      <c r="BD771" s="156"/>
      <c r="BE771" s="156"/>
      <c r="BF771" s="156"/>
      <c r="BG771" s="156"/>
      <c r="BH771" s="156"/>
      <c r="BI771" s="156"/>
      <c r="BJ771" s="156"/>
      <c r="BK771" s="156"/>
      <c r="BL771" s="156"/>
      <c r="BM771" s="156"/>
      <c r="BN771" s="156"/>
      <c r="BO771" s="156"/>
      <c r="BP771" s="156"/>
      <c r="BQ771" s="156"/>
      <c r="BR771" s="156"/>
      <c r="BS771" s="156"/>
      <c r="BT771" s="156"/>
      <c r="BU771" s="156"/>
      <c r="BV771" s="156"/>
      <c r="BW771" s="156"/>
      <c r="BX771" s="156"/>
      <c r="BY771" s="156"/>
      <c r="BZ771" s="156"/>
      <c r="CA771" s="156"/>
      <c r="CB771" s="156"/>
      <c r="CC771" s="156"/>
      <c r="CD771" s="156"/>
      <c r="CE771" s="156"/>
      <c r="CF771" s="156"/>
      <c r="CG771" s="156"/>
      <c r="CH771" s="156"/>
      <c r="CI771" s="156"/>
      <c r="CJ771" s="156"/>
      <c r="CK771" s="156"/>
      <c r="CL771" s="156"/>
      <c r="CM771" s="156"/>
      <c r="CN771" s="156"/>
      <c r="CO771" s="156"/>
      <c r="CP771" s="156"/>
      <c r="CQ771" s="156"/>
      <c r="CR771" s="156"/>
      <c r="CS771" s="156"/>
      <c r="CT771" s="156"/>
      <c r="CU771" s="156"/>
      <c r="CV771" s="156"/>
      <c r="CW771" s="156"/>
      <c r="CX771" s="156"/>
      <c r="CY771" s="156"/>
      <c r="CZ771" s="156"/>
      <c r="DA771" s="156"/>
      <c r="DB771" s="156"/>
      <c r="DC771" s="156"/>
      <c r="DD771" s="156"/>
      <c r="DE771" s="156"/>
      <c r="DF771" s="156"/>
      <c r="DG771" s="156"/>
      <c r="DH771" s="156"/>
      <c r="DI771" s="156"/>
      <c r="DJ771" s="156"/>
      <c r="DK771" s="156"/>
      <c r="DL771" s="156"/>
      <c r="DM771" s="156"/>
      <c r="DN771" s="156"/>
      <c r="DO771" s="156"/>
      <c r="DP771" s="156"/>
      <c r="DQ771" s="156"/>
      <c r="DR771" s="156"/>
      <c r="DS771" s="156"/>
      <c r="DT771" s="156"/>
      <c r="DU771" s="156"/>
      <c r="DV771" s="156"/>
      <c r="DW771" s="156"/>
      <c r="DX771" s="156"/>
      <c r="DY771" s="156"/>
      <c r="DZ771" s="156"/>
      <c r="EA771" s="156"/>
      <c r="EB771" s="156"/>
      <c r="EC771" s="156"/>
      <c r="ED771" s="156"/>
      <c r="EE771" s="156"/>
      <c r="EF771" s="156"/>
      <c r="EG771" s="156"/>
      <c r="EH771" s="156"/>
      <c r="EI771" s="156"/>
      <c r="EJ771" s="156"/>
      <c r="EK771" s="156"/>
      <c r="EL771" s="156"/>
      <c r="EM771" s="156"/>
    </row>
    <row r="772" spans="20:143" ht="10.5" customHeight="1">
      <c r="T772" s="156"/>
      <c r="AZ772" s="156"/>
      <c r="BA772" s="156"/>
      <c r="BB772" s="156"/>
      <c r="BC772" s="156"/>
      <c r="BD772" s="156"/>
      <c r="BE772" s="156"/>
      <c r="BF772" s="156"/>
      <c r="BG772" s="156"/>
      <c r="BH772" s="156"/>
      <c r="BI772" s="156"/>
      <c r="BJ772" s="156"/>
      <c r="BK772" s="156"/>
      <c r="BL772" s="156"/>
      <c r="BM772" s="156"/>
      <c r="BN772" s="156"/>
      <c r="BO772" s="156"/>
      <c r="BP772" s="156"/>
      <c r="BQ772" s="156"/>
      <c r="BR772" s="156"/>
      <c r="BS772" s="156"/>
      <c r="BT772" s="156"/>
      <c r="BU772" s="156"/>
      <c r="BV772" s="156"/>
      <c r="BW772" s="156"/>
      <c r="BX772" s="156"/>
      <c r="BY772" s="156"/>
      <c r="BZ772" s="156"/>
      <c r="CA772" s="156"/>
      <c r="CB772" s="156"/>
      <c r="CC772" s="156"/>
      <c r="CD772" s="156"/>
      <c r="CE772" s="156"/>
      <c r="CF772" s="156"/>
      <c r="CG772" s="156"/>
      <c r="CH772" s="156"/>
      <c r="CI772" s="156"/>
      <c r="CJ772" s="156"/>
      <c r="CK772" s="156"/>
      <c r="CL772" s="156"/>
      <c r="CM772" s="156"/>
      <c r="CN772" s="156"/>
      <c r="CO772" s="156"/>
      <c r="CP772" s="156"/>
      <c r="CQ772" s="156"/>
      <c r="CR772" s="156"/>
      <c r="CS772" s="156"/>
      <c r="CT772" s="156"/>
      <c r="CU772" s="156"/>
      <c r="CV772" s="156"/>
      <c r="CW772" s="156"/>
      <c r="CX772" s="156"/>
      <c r="CY772" s="156"/>
      <c r="CZ772" s="156"/>
      <c r="DA772" s="156"/>
      <c r="DB772" s="156"/>
      <c r="DC772" s="156"/>
      <c r="DD772" s="156"/>
      <c r="DE772" s="156"/>
      <c r="DF772" s="156"/>
      <c r="DG772" s="156"/>
      <c r="DH772" s="156"/>
      <c r="DI772" s="156"/>
      <c r="DJ772" s="156"/>
      <c r="DK772" s="156"/>
      <c r="DL772" s="156"/>
      <c r="DM772" s="156"/>
      <c r="DN772" s="156"/>
      <c r="DO772" s="156"/>
      <c r="DP772" s="156"/>
      <c r="DQ772" s="156"/>
      <c r="DR772" s="156"/>
      <c r="DS772" s="156"/>
      <c r="DT772" s="156"/>
      <c r="DU772" s="156"/>
      <c r="DV772" s="156"/>
      <c r="DW772" s="156"/>
      <c r="DX772" s="156"/>
      <c r="DY772" s="156"/>
      <c r="DZ772" s="156"/>
      <c r="EA772" s="156"/>
      <c r="EB772" s="156"/>
      <c r="EC772" s="156"/>
      <c r="ED772" s="156"/>
      <c r="EE772" s="156"/>
      <c r="EF772" s="156"/>
      <c r="EG772" s="156"/>
      <c r="EH772" s="156"/>
      <c r="EI772" s="156"/>
      <c r="EJ772" s="156"/>
      <c r="EK772" s="156"/>
      <c r="EL772" s="156"/>
      <c r="EM772" s="156"/>
    </row>
    <row r="773" spans="20:143" ht="10.5" customHeight="1">
      <c r="T773" s="156"/>
      <c r="AZ773" s="156"/>
      <c r="BA773" s="156"/>
      <c r="BB773" s="156"/>
      <c r="BC773" s="156"/>
      <c r="BD773" s="156"/>
      <c r="BE773" s="156"/>
      <c r="BF773" s="156"/>
      <c r="BG773" s="156"/>
      <c r="BH773" s="156"/>
      <c r="BI773" s="156"/>
      <c r="BJ773" s="156"/>
      <c r="BK773" s="156"/>
      <c r="BL773" s="156"/>
      <c r="BM773" s="156"/>
      <c r="BN773" s="156"/>
      <c r="BO773" s="156"/>
      <c r="BP773" s="156"/>
      <c r="BQ773" s="156"/>
      <c r="BR773" s="156"/>
      <c r="BS773" s="156"/>
      <c r="BT773" s="156"/>
      <c r="BU773" s="156"/>
      <c r="BV773" s="156"/>
      <c r="BW773" s="156"/>
      <c r="BX773" s="156"/>
      <c r="BY773" s="156"/>
      <c r="BZ773" s="156"/>
      <c r="CA773" s="156"/>
      <c r="CB773" s="156"/>
      <c r="CC773" s="156"/>
      <c r="CD773" s="156"/>
      <c r="CE773" s="156"/>
      <c r="CF773" s="156"/>
      <c r="CG773" s="156"/>
      <c r="CH773" s="156"/>
      <c r="CI773" s="156"/>
      <c r="CJ773" s="156"/>
      <c r="CK773" s="156"/>
      <c r="CL773" s="156"/>
      <c r="CM773" s="156"/>
      <c r="CN773" s="156"/>
      <c r="CO773" s="156"/>
      <c r="CP773" s="156"/>
      <c r="CQ773" s="156"/>
      <c r="CR773" s="156"/>
      <c r="CS773" s="156"/>
      <c r="CT773" s="156"/>
      <c r="CU773" s="156"/>
      <c r="CV773" s="156"/>
      <c r="CW773" s="156"/>
      <c r="CX773" s="156"/>
      <c r="CY773" s="156"/>
      <c r="CZ773" s="156"/>
      <c r="DA773" s="156"/>
      <c r="DB773" s="156"/>
      <c r="DC773" s="156"/>
      <c r="DD773" s="156"/>
      <c r="DE773" s="156"/>
      <c r="DF773" s="156"/>
      <c r="DG773" s="156"/>
      <c r="DH773" s="156"/>
      <c r="DI773" s="156"/>
      <c r="DJ773" s="156"/>
      <c r="DK773" s="156"/>
      <c r="DL773" s="156"/>
      <c r="DM773" s="156"/>
      <c r="DN773" s="156"/>
      <c r="DO773" s="156"/>
      <c r="DP773" s="156"/>
      <c r="DQ773" s="156"/>
      <c r="DR773" s="156"/>
      <c r="DS773" s="156"/>
      <c r="DT773" s="156"/>
      <c r="DU773" s="156"/>
      <c r="DV773" s="156"/>
      <c r="DW773" s="156"/>
      <c r="DX773" s="156"/>
      <c r="DY773" s="156"/>
      <c r="DZ773" s="156"/>
      <c r="EA773" s="156"/>
      <c r="EB773" s="156"/>
      <c r="EC773" s="156"/>
      <c r="ED773" s="156"/>
      <c r="EE773" s="156"/>
      <c r="EF773" s="156"/>
      <c r="EG773" s="156"/>
      <c r="EH773" s="156"/>
      <c r="EI773" s="156"/>
      <c r="EJ773" s="156"/>
      <c r="EK773" s="156"/>
      <c r="EL773" s="156"/>
      <c r="EM773" s="156"/>
    </row>
    <row r="774" spans="20:143" ht="10.5" customHeight="1">
      <c r="T774" s="156"/>
      <c r="AZ774" s="156"/>
      <c r="BA774" s="156"/>
      <c r="BB774" s="156"/>
      <c r="BC774" s="156"/>
      <c r="BD774" s="156"/>
      <c r="BE774" s="156"/>
      <c r="BF774" s="156"/>
      <c r="BG774" s="156"/>
      <c r="BH774" s="156"/>
      <c r="BI774" s="156"/>
      <c r="BJ774" s="156"/>
      <c r="BK774" s="156"/>
      <c r="BL774" s="156"/>
      <c r="BM774" s="156"/>
      <c r="BN774" s="156"/>
      <c r="BO774" s="156"/>
      <c r="BP774" s="156"/>
      <c r="BQ774" s="156"/>
      <c r="BR774" s="156"/>
      <c r="BS774" s="156"/>
      <c r="BT774" s="156"/>
      <c r="BU774" s="156"/>
      <c r="BV774" s="156"/>
      <c r="BW774" s="156"/>
      <c r="BX774" s="156"/>
      <c r="BY774" s="156"/>
      <c r="BZ774" s="156"/>
      <c r="CA774" s="156"/>
      <c r="CB774" s="156"/>
      <c r="CC774" s="156"/>
      <c r="CD774" s="156"/>
      <c r="CE774" s="156"/>
      <c r="CF774" s="156"/>
      <c r="CG774" s="156"/>
      <c r="CH774" s="156"/>
      <c r="CI774" s="156"/>
      <c r="CJ774" s="156"/>
      <c r="CK774" s="156"/>
      <c r="CL774" s="156"/>
      <c r="CM774" s="156"/>
      <c r="CN774" s="156"/>
      <c r="CO774" s="156"/>
      <c r="CP774" s="156"/>
      <c r="CQ774" s="156"/>
      <c r="CR774" s="156"/>
      <c r="CS774" s="156"/>
      <c r="CT774" s="156"/>
      <c r="CU774" s="156"/>
      <c r="CV774" s="156"/>
      <c r="CW774" s="156"/>
      <c r="CX774" s="156"/>
      <c r="CY774" s="156"/>
      <c r="CZ774" s="156"/>
      <c r="DA774" s="156"/>
      <c r="DB774" s="156"/>
      <c r="DC774" s="156"/>
      <c r="DD774" s="156"/>
      <c r="DE774" s="156"/>
      <c r="DF774" s="156"/>
      <c r="DG774" s="156"/>
      <c r="DH774" s="156"/>
      <c r="DI774" s="156"/>
      <c r="DJ774" s="156"/>
      <c r="DK774" s="156"/>
      <c r="DL774" s="156"/>
      <c r="DM774" s="156"/>
      <c r="DN774" s="156"/>
      <c r="DO774" s="156"/>
      <c r="DP774" s="156"/>
      <c r="DQ774" s="156"/>
      <c r="DR774" s="156"/>
      <c r="DS774" s="156"/>
      <c r="DT774" s="156"/>
      <c r="DU774" s="156"/>
      <c r="DV774" s="156"/>
      <c r="DW774" s="156"/>
      <c r="DX774" s="156"/>
      <c r="DY774" s="156"/>
      <c r="DZ774" s="156"/>
      <c r="EA774" s="156"/>
      <c r="EB774" s="156"/>
      <c r="EC774" s="156"/>
      <c r="ED774" s="156"/>
      <c r="EE774" s="156"/>
      <c r="EF774" s="156"/>
      <c r="EG774" s="156"/>
      <c r="EH774" s="156"/>
      <c r="EI774" s="156"/>
      <c r="EJ774" s="156"/>
      <c r="EK774" s="156"/>
      <c r="EL774" s="156"/>
      <c r="EM774" s="156"/>
    </row>
    <row r="775" spans="20:143" ht="10.5" customHeight="1">
      <c r="T775" s="156"/>
      <c r="AZ775" s="156"/>
      <c r="BA775" s="156"/>
      <c r="BB775" s="156"/>
      <c r="BC775" s="156"/>
      <c r="BD775" s="156"/>
      <c r="BE775" s="156"/>
      <c r="BF775" s="156"/>
      <c r="BG775" s="156"/>
      <c r="BH775" s="156"/>
      <c r="BI775" s="156"/>
      <c r="BJ775" s="156"/>
      <c r="BK775" s="156"/>
      <c r="BL775" s="156"/>
      <c r="BM775" s="156"/>
      <c r="BN775" s="156"/>
      <c r="BO775" s="156"/>
      <c r="BP775" s="156"/>
      <c r="BQ775" s="156"/>
      <c r="BR775" s="156"/>
      <c r="BS775" s="156"/>
      <c r="BT775" s="156"/>
      <c r="BU775" s="156"/>
      <c r="BV775" s="156"/>
      <c r="BW775" s="156"/>
      <c r="BX775" s="156"/>
      <c r="BY775" s="156"/>
      <c r="BZ775" s="156"/>
      <c r="CA775" s="156"/>
      <c r="CB775" s="156"/>
      <c r="CC775" s="156"/>
      <c r="CD775" s="156"/>
      <c r="CE775" s="156"/>
      <c r="CF775" s="156"/>
      <c r="CG775" s="156"/>
      <c r="CH775" s="156"/>
      <c r="CI775" s="156"/>
      <c r="CJ775" s="156"/>
      <c r="CK775" s="156"/>
      <c r="CL775" s="156"/>
      <c r="CM775" s="156"/>
      <c r="CN775" s="156"/>
      <c r="CO775" s="156"/>
      <c r="CP775" s="156"/>
      <c r="CQ775" s="156"/>
      <c r="CR775" s="156"/>
      <c r="CS775" s="156"/>
      <c r="CT775" s="156"/>
      <c r="CU775" s="156"/>
      <c r="CV775" s="156"/>
      <c r="CW775" s="156"/>
      <c r="CX775" s="156"/>
      <c r="CY775" s="156"/>
      <c r="CZ775" s="156"/>
      <c r="DA775" s="156"/>
      <c r="DB775" s="156"/>
      <c r="DC775" s="156"/>
      <c r="DD775" s="156"/>
      <c r="DE775" s="156"/>
      <c r="DF775" s="156"/>
      <c r="DG775" s="156"/>
      <c r="DH775" s="156"/>
      <c r="DI775" s="156"/>
      <c r="DJ775" s="156"/>
      <c r="DK775" s="156"/>
      <c r="DL775" s="156"/>
      <c r="DM775" s="156"/>
      <c r="DN775" s="156"/>
      <c r="DO775" s="156"/>
      <c r="DP775" s="156"/>
      <c r="DQ775" s="156"/>
      <c r="DR775" s="156"/>
      <c r="DS775" s="156"/>
      <c r="DT775" s="156"/>
      <c r="DU775" s="156"/>
      <c r="DV775" s="156"/>
      <c r="DW775" s="156"/>
      <c r="DX775" s="156"/>
      <c r="DY775" s="156"/>
      <c r="DZ775" s="156"/>
      <c r="EA775" s="156"/>
      <c r="EB775" s="156"/>
      <c r="EC775" s="156"/>
      <c r="ED775" s="156"/>
      <c r="EE775" s="156"/>
      <c r="EF775" s="156"/>
      <c r="EG775" s="156"/>
      <c r="EH775" s="156"/>
      <c r="EI775" s="156"/>
      <c r="EJ775" s="156"/>
      <c r="EK775" s="156"/>
      <c r="EL775" s="156"/>
      <c r="EM775" s="156"/>
    </row>
    <row r="776" spans="20:143" ht="10.5" customHeight="1">
      <c r="T776" s="156"/>
      <c r="AZ776" s="156"/>
      <c r="BA776" s="156"/>
      <c r="BB776" s="156"/>
      <c r="BC776" s="156"/>
      <c r="BD776" s="156"/>
      <c r="BE776" s="156"/>
      <c r="BF776" s="156"/>
      <c r="BG776" s="156"/>
      <c r="BH776" s="156"/>
      <c r="BI776" s="156"/>
      <c r="BJ776" s="156"/>
      <c r="BK776" s="156"/>
      <c r="BL776" s="156"/>
      <c r="BM776" s="156"/>
      <c r="BN776" s="156"/>
      <c r="BO776" s="156"/>
      <c r="BP776" s="156"/>
      <c r="BQ776" s="156"/>
      <c r="BR776" s="156"/>
      <c r="BS776" s="156"/>
      <c r="BT776" s="156"/>
      <c r="BU776" s="156"/>
      <c r="BV776" s="156"/>
      <c r="BW776" s="156"/>
      <c r="BX776" s="156"/>
      <c r="BY776" s="156"/>
      <c r="BZ776" s="156"/>
      <c r="CA776" s="156"/>
      <c r="CB776" s="156"/>
      <c r="CC776" s="156"/>
      <c r="CD776" s="156"/>
      <c r="CE776" s="156"/>
      <c r="CF776" s="156"/>
      <c r="CG776" s="156"/>
      <c r="CH776" s="156"/>
      <c r="CI776" s="156"/>
      <c r="CJ776" s="156"/>
      <c r="CK776" s="156"/>
      <c r="CL776" s="156"/>
      <c r="CM776" s="156"/>
      <c r="CN776" s="156"/>
      <c r="CO776" s="156"/>
      <c r="CP776" s="156"/>
      <c r="CQ776" s="156"/>
      <c r="CR776" s="156"/>
      <c r="CS776" s="156"/>
      <c r="CT776" s="156"/>
      <c r="CU776" s="156"/>
      <c r="CV776" s="156"/>
      <c r="CW776" s="156"/>
      <c r="CX776" s="156"/>
      <c r="CY776" s="156"/>
      <c r="CZ776" s="156"/>
      <c r="DA776" s="156"/>
      <c r="DB776" s="156"/>
      <c r="DC776" s="156"/>
      <c r="DD776" s="156"/>
      <c r="DE776" s="156"/>
      <c r="DF776" s="156"/>
      <c r="DG776" s="156"/>
      <c r="DH776" s="156"/>
      <c r="DI776" s="156"/>
      <c r="DJ776" s="156"/>
      <c r="DK776" s="156"/>
      <c r="DL776" s="156"/>
      <c r="DM776" s="156"/>
      <c r="DN776" s="156"/>
      <c r="DO776" s="156"/>
      <c r="DP776" s="156"/>
      <c r="DQ776" s="156"/>
      <c r="DR776" s="156"/>
      <c r="DS776" s="156"/>
      <c r="DT776" s="156"/>
      <c r="DU776" s="156"/>
      <c r="DV776" s="156"/>
      <c r="DW776" s="156"/>
      <c r="DX776" s="156"/>
      <c r="DY776" s="156"/>
      <c r="DZ776" s="156"/>
      <c r="EA776" s="156"/>
      <c r="EB776" s="156"/>
      <c r="EC776" s="156"/>
      <c r="ED776" s="156"/>
      <c r="EE776" s="156"/>
      <c r="EF776" s="156"/>
      <c r="EG776" s="156"/>
      <c r="EH776" s="156"/>
      <c r="EI776" s="156"/>
      <c r="EJ776" s="156"/>
      <c r="EK776" s="156"/>
      <c r="EL776" s="156"/>
      <c r="EM776" s="156"/>
    </row>
    <row r="777" spans="20:143" ht="10.5" customHeight="1">
      <c r="T777" s="156"/>
      <c r="AZ777" s="156"/>
      <c r="BA777" s="156"/>
      <c r="BB777" s="156"/>
      <c r="BC777" s="156"/>
      <c r="BD777" s="156"/>
      <c r="BE777" s="156"/>
      <c r="BF777" s="156"/>
      <c r="BG777" s="156"/>
      <c r="BH777" s="156"/>
      <c r="BI777" s="156"/>
      <c r="BJ777" s="156"/>
      <c r="BK777" s="156"/>
      <c r="BL777" s="156"/>
      <c r="BM777" s="156"/>
      <c r="BN777" s="156"/>
      <c r="BO777" s="156"/>
      <c r="BP777" s="156"/>
      <c r="BQ777" s="156"/>
      <c r="BR777" s="156"/>
      <c r="BS777" s="156"/>
      <c r="BT777" s="156"/>
      <c r="BU777" s="156"/>
      <c r="BV777" s="156"/>
      <c r="BW777" s="156"/>
      <c r="BX777" s="156"/>
      <c r="BY777" s="156"/>
      <c r="BZ777" s="156"/>
      <c r="CA777" s="156"/>
      <c r="CB777" s="156"/>
      <c r="CC777" s="156"/>
      <c r="CD777" s="156"/>
      <c r="CE777" s="156"/>
      <c r="CF777" s="156"/>
      <c r="CG777" s="156"/>
      <c r="CH777" s="156"/>
      <c r="CI777" s="156"/>
      <c r="CJ777" s="156"/>
      <c r="CK777" s="156"/>
      <c r="CL777" s="156"/>
      <c r="CM777" s="156"/>
      <c r="CN777" s="156"/>
      <c r="CO777" s="156"/>
      <c r="CP777" s="156"/>
      <c r="CQ777" s="156"/>
      <c r="CR777" s="156"/>
      <c r="CS777" s="156"/>
      <c r="CT777" s="156"/>
      <c r="CU777" s="156"/>
      <c r="CV777" s="156"/>
      <c r="CW777" s="156"/>
      <c r="CX777" s="156"/>
      <c r="CY777" s="156"/>
      <c r="CZ777" s="156"/>
      <c r="DA777" s="156"/>
      <c r="DB777" s="156"/>
      <c r="DC777" s="156"/>
      <c r="DD777" s="156"/>
      <c r="DE777" s="156"/>
      <c r="DF777" s="156"/>
      <c r="DG777" s="156"/>
      <c r="DH777" s="156"/>
      <c r="DI777" s="156"/>
      <c r="DJ777" s="156"/>
      <c r="DK777" s="156"/>
      <c r="DL777" s="156"/>
      <c r="DM777" s="156"/>
      <c r="DN777" s="156"/>
      <c r="DO777" s="156"/>
      <c r="DP777" s="156"/>
      <c r="DQ777" s="156"/>
      <c r="DR777" s="156"/>
      <c r="DS777" s="156"/>
      <c r="DT777" s="156"/>
      <c r="DU777" s="156"/>
      <c r="DV777" s="156"/>
      <c r="DW777" s="156"/>
      <c r="DX777" s="156"/>
      <c r="DY777" s="156"/>
      <c r="DZ777" s="156"/>
      <c r="EA777" s="156"/>
      <c r="EB777" s="156"/>
      <c r="EC777" s="156"/>
      <c r="ED777" s="156"/>
      <c r="EE777" s="156"/>
      <c r="EF777" s="156"/>
      <c r="EG777" s="156"/>
      <c r="EH777" s="156"/>
      <c r="EI777" s="156"/>
      <c r="EJ777" s="156"/>
      <c r="EK777" s="156"/>
      <c r="EL777" s="156"/>
      <c r="EM777" s="156"/>
    </row>
    <row r="778" spans="20:143" ht="10.5" customHeight="1">
      <c r="T778" s="156"/>
      <c r="AZ778" s="156"/>
      <c r="BA778" s="156"/>
      <c r="BB778" s="156"/>
      <c r="BC778" s="156"/>
      <c r="BD778" s="156"/>
      <c r="BE778" s="156"/>
      <c r="BF778" s="156"/>
      <c r="BG778" s="156"/>
      <c r="BH778" s="156"/>
      <c r="BI778" s="156"/>
      <c r="BJ778" s="156"/>
      <c r="BK778" s="156"/>
      <c r="BL778" s="156"/>
      <c r="BM778" s="156"/>
      <c r="BN778" s="156"/>
      <c r="BO778" s="156"/>
      <c r="BP778" s="156"/>
      <c r="BQ778" s="156"/>
      <c r="BR778" s="156"/>
      <c r="BS778" s="156"/>
      <c r="BT778" s="156"/>
      <c r="BU778" s="156"/>
      <c r="BV778" s="156"/>
      <c r="BW778" s="156"/>
      <c r="BX778" s="156"/>
      <c r="BY778" s="156"/>
      <c r="BZ778" s="156"/>
      <c r="CA778" s="156"/>
      <c r="CB778" s="156"/>
      <c r="CC778" s="156"/>
      <c r="CD778" s="156"/>
      <c r="CE778" s="156"/>
      <c r="CF778" s="156"/>
      <c r="CG778" s="156"/>
      <c r="CH778" s="156"/>
      <c r="CI778" s="156"/>
      <c r="CJ778" s="156"/>
      <c r="CK778" s="156"/>
      <c r="CL778" s="156"/>
      <c r="CM778" s="156"/>
      <c r="CN778" s="156"/>
      <c r="CO778" s="156"/>
      <c r="CP778" s="156"/>
      <c r="CQ778" s="156"/>
      <c r="CR778" s="156"/>
      <c r="CS778" s="156"/>
      <c r="CT778" s="156"/>
      <c r="CU778" s="156"/>
      <c r="CV778" s="156"/>
      <c r="CW778" s="156"/>
      <c r="CX778" s="156"/>
      <c r="CY778" s="156"/>
      <c r="CZ778" s="156"/>
      <c r="DA778" s="156"/>
      <c r="DB778" s="156"/>
      <c r="DC778" s="156"/>
      <c r="DD778" s="156"/>
      <c r="DE778" s="156"/>
      <c r="DF778" s="156"/>
      <c r="DG778" s="156"/>
      <c r="DH778" s="156"/>
      <c r="DI778" s="156"/>
      <c r="DJ778" s="156"/>
      <c r="DK778" s="156"/>
      <c r="DL778" s="156"/>
      <c r="DM778" s="156"/>
      <c r="DN778" s="156"/>
      <c r="DO778" s="156"/>
      <c r="DP778" s="156"/>
      <c r="DQ778" s="156"/>
      <c r="DR778" s="156"/>
      <c r="DS778" s="156"/>
      <c r="DT778" s="156"/>
      <c r="DU778" s="156"/>
      <c r="DV778" s="156"/>
      <c r="DW778" s="156"/>
      <c r="DX778" s="156"/>
      <c r="DY778" s="156"/>
      <c r="DZ778" s="156"/>
      <c r="EA778" s="156"/>
      <c r="EB778" s="156"/>
      <c r="EC778" s="156"/>
      <c r="ED778" s="156"/>
      <c r="EE778" s="156"/>
      <c r="EF778" s="156"/>
      <c r="EG778" s="156"/>
      <c r="EH778" s="156"/>
      <c r="EI778" s="156"/>
      <c r="EJ778" s="156"/>
      <c r="EK778" s="156"/>
      <c r="EL778" s="156"/>
      <c r="EM778" s="156"/>
    </row>
    <row r="779" spans="20:143" ht="10.5" customHeight="1">
      <c r="T779" s="156"/>
      <c r="AZ779" s="156"/>
      <c r="BA779" s="156"/>
      <c r="BB779" s="156"/>
      <c r="BC779" s="156"/>
      <c r="BD779" s="156"/>
      <c r="BE779" s="156"/>
      <c r="BF779" s="156"/>
      <c r="BG779" s="156"/>
      <c r="BH779" s="156"/>
      <c r="BI779" s="156"/>
      <c r="BJ779" s="156"/>
      <c r="BK779" s="156"/>
      <c r="BL779" s="156"/>
      <c r="BM779" s="156"/>
      <c r="BN779" s="156"/>
      <c r="BO779" s="156"/>
      <c r="BP779" s="156"/>
      <c r="BQ779" s="156"/>
      <c r="BR779" s="156"/>
      <c r="BS779" s="156"/>
      <c r="BT779" s="156"/>
      <c r="BU779" s="156"/>
      <c r="BV779" s="156"/>
      <c r="BW779" s="156"/>
      <c r="BX779" s="156"/>
      <c r="BY779" s="156"/>
      <c r="BZ779" s="156"/>
      <c r="CA779" s="156"/>
      <c r="CB779" s="156"/>
      <c r="CC779" s="156"/>
      <c r="CD779" s="156"/>
      <c r="CE779" s="156"/>
      <c r="CF779" s="156"/>
      <c r="CG779" s="156"/>
      <c r="CH779" s="156"/>
      <c r="CI779" s="156"/>
      <c r="CJ779" s="156"/>
      <c r="CK779" s="156"/>
      <c r="CL779" s="156"/>
      <c r="CM779" s="156"/>
      <c r="CN779" s="156"/>
      <c r="CO779" s="156"/>
      <c r="CP779" s="156"/>
      <c r="CQ779" s="156"/>
      <c r="CR779" s="156"/>
      <c r="CS779" s="156"/>
      <c r="CT779" s="156"/>
      <c r="CU779" s="156"/>
      <c r="CV779" s="156"/>
      <c r="CW779" s="156"/>
      <c r="CX779" s="156"/>
      <c r="CY779" s="156"/>
      <c r="CZ779" s="156"/>
      <c r="DA779" s="156"/>
      <c r="DB779" s="156"/>
      <c r="DC779" s="156"/>
      <c r="DD779" s="156"/>
      <c r="DE779" s="156"/>
      <c r="DF779" s="156"/>
      <c r="DG779" s="156"/>
      <c r="DH779" s="156"/>
      <c r="DI779" s="156"/>
      <c r="DJ779" s="156"/>
      <c r="DK779" s="156"/>
      <c r="DL779" s="156"/>
      <c r="DM779" s="156"/>
      <c r="DN779" s="156"/>
      <c r="DO779" s="156"/>
      <c r="DP779" s="156"/>
      <c r="DQ779" s="156"/>
      <c r="DR779" s="156"/>
      <c r="DS779" s="156"/>
      <c r="DT779" s="156"/>
      <c r="DU779" s="156"/>
      <c r="DV779" s="156"/>
      <c r="DW779" s="156"/>
      <c r="DX779" s="156"/>
      <c r="DY779" s="156"/>
      <c r="DZ779" s="156"/>
      <c r="EA779" s="156"/>
      <c r="EB779" s="156"/>
      <c r="EC779" s="156"/>
      <c r="ED779" s="156"/>
      <c r="EE779" s="156"/>
      <c r="EF779" s="156"/>
      <c r="EG779" s="156"/>
      <c r="EH779" s="156"/>
      <c r="EI779" s="156"/>
      <c r="EJ779" s="156"/>
      <c r="EK779" s="156"/>
      <c r="EL779" s="156"/>
      <c r="EM779" s="156"/>
    </row>
    <row r="780" spans="20:143" ht="10.5" customHeight="1">
      <c r="T780" s="156"/>
      <c r="AZ780" s="156"/>
      <c r="BA780" s="156"/>
      <c r="BB780" s="156"/>
      <c r="BC780" s="156"/>
      <c r="BD780" s="156"/>
      <c r="BE780" s="156"/>
      <c r="BF780" s="156"/>
      <c r="BG780" s="156"/>
      <c r="BH780" s="156"/>
      <c r="BI780" s="156"/>
      <c r="BJ780" s="156"/>
      <c r="BK780" s="156"/>
      <c r="BL780" s="156"/>
      <c r="BM780" s="156"/>
      <c r="BN780" s="156"/>
      <c r="BO780" s="156"/>
      <c r="BP780" s="156"/>
      <c r="BQ780" s="156"/>
      <c r="BR780" s="156"/>
      <c r="BS780" s="156"/>
      <c r="BT780" s="156"/>
      <c r="BU780" s="156"/>
      <c r="BV780" s="156"/>
      <c r="BW780" s="156"/>
      <c r="BX780" s="156"/>
      <c r="BY780" s="156"/>
      <c r="BZ780" s="156"/>
      <c r="CA780" s="156"/>
      <c r="CB780" s="156"/>
      <c r="CC780" s="156"/>
      <c r="CD780" s="156"/>
      <c r="CE780" s="156"/>
      <c r="CF780" s="156"/>
      <c r="CG780" s="156"/>
      <c r="CH780" s="156"/>
      <c r="CI780" s="156"/>
      <c r="CJ780" s="156"/>
      <c r="CK780" s="156"/>
      <c r="CL780" s="156"/>
      <c r="CM780" s="156"/>
      <c r="CN780" s="156"/>
      <c r="CO780" s="156"/>
      <c r="CP780" s="156"/>
      <c r="CQ780" s="156"/>
      <c r="CR780" s="156"/>
      <c r="CS780" s="156"/>
      <c r="CT780" s="156"/>
      <c r="CU780" s="156"/>
      <c r="CV780" s="156"/>
      <c r="CW780" s="156"/>
      <c r="CX780" s="156"/>
      <c r="CY780" s="156"/>
      <c r="CZ780" s="156"/>
      <c r="DA780" s="156"/>
      <c r="DB780" s="156"/>
      <c r="DC780" s="156"/>
      <c r="DD780" s="156"/>
      <c r="DE780" s="156"/>
      <c r="DF780" s="156"/>
      <c r="DG780" s="156"/>
      <c r="DH780" s="156"/>
      <c r="DI780" s="156"/>
      <c r="DJ780" s="156"/>
      <c r="DK780" s="156"/>
      <c r="DL780" s="156"/>
      <c r="DM780" s="156"/>
      <c r="DN780" s="156"/>
      <c r="DO780" s="156"/>
      <c r="DP780" s="156"/>
      <c r="DQ780" s="156"/>
      <c r="DR780" s="156"/>
      <c r="DS780" s="156"/>
      <c r="DT780" s="156"/>
      <c r="DU780" s="156"/>
      <c r="DV780" s="156"/>
      <c r="DW780" s="156"/>
      <c r="DX780" s="156"/>
      <c r="DY780" s="156"/>
      <c r="DZ780" s="156"/>
      <c r="EA780" s="156"/>
      <c r="EB780" s="156"/>
      <c r="EC780" s="156"/>
      <c r="ED780" s="156"/>
      <c r="EE780" s="156"/>
      <c r="EF780" s="156"/>
      <c r="EG780" s="156"/>
      <c r="EH780" s="156"/>
      <c r="EI780" s="156"/>
      <c r="EJ780" s="156"/>
      <c r="EK780" s="156"/>
      <c r="EL780" s="156"/>
      <c r="EM780" s="156"/>
    </row>
    <row r="781" spans="20:143" ht="10.5" customHeight="1">
      <c r="T781" s="156"/>
      <c r="AZ781" s="156"/>
      <c r="BA781" s="156"/>
      <c r="BB781" s="156"/>
      <c r="BC781" s="156"/>
      <c r="BD781" s="156"/>
      <c r="BE781" s="156"/>
      <c r="BF781" s="156"/>
      <c r="BG781" s="156"/>
      <c r="BH781" s="156"/>
      <c r="BI781" s="156"/>
      <c r="BJ781" s="156"/>
      <c r="BK781" s="156"/>
      <c r="BL781" s="156"/>
      <c r="BM781" s="156"/>
      <c r="BN781" s="156"/>
      <c r="BO781" s="156"/>
      <c r="BP781" s="156"/>
      <c r="BQ781" s="156"/>
      <c r="BR781" s="156"/>
      <c r="BS781" s="156"/>
      <c r="BT781" s="156"/>
      <c r="BU781" s="156"/>
      <c r="BV781" s="156"/>
      <c r="BW781" s="156"/>
      <c r="BX781" s="156"/>
      <c r="BY781" s="156"/>
      <c r="BZ781" s="156"/>
      <c r="CA781" s="156"/>
      <c r="CB781" s="156"/>
      <c r="CC781" s="156"/>
      <c r="CD781" s="156"/>
      <c r="CE781" s="156"/>
      <c r="CF781" s="156"/>
      <c r="CG781" s="156"/>
      <c r="CH781" s="156"/>
      <c r="CI781" s="156"/>
      <c r="CJ781" s="156"/>
      <c r="CK781" s="156"/>
      <c r="CL781" s="156"/>
      <c r="CM781" s="156"/>
      <c r="CN781" s="156"/>
      <c r="CO781" s="156"/>
      <c r="CP781" s="156"/>
      <c r="CQ781" s="156"/>
      <c r="CR781" s="156"/>
      <c r="CS781" s="156"/>
      <c r="CT781" s="156"/>
      <c r="CU781" s="156"/>
      <c r="CV781" s="156"/>
      <c r="CW781" s="156"/>
      <c r="CX781" s="156"/>
      <c r="CY781" s="156"/>
      <c r="CZ781" s="156"/>
      <c r="DA781" s="156"/>
      <c r="DB781" s="156"/>
      <c r="DC781" s="156"/>
      <c r="DD781" s="156"/>
      <c r="DE781" s="156"/>
      <c r="DF781" s="156"/>
      <c r="DG781" s="156"/>
      <c r="DH781" s="156"/>
      <c r="DI781" s="156"/>
      <c r="DJ781" s="156"/>
      <c r="DK781" s="156"/>
      <c r="DL781" s="156"/>
      <c r="DM781" s="156"/>
      <c r="DN781" s="156"/>
      <c r="DO781" s="156"/>
      <c r="DP781" s="156"/>
      <c r="DQ781" s="156"/>
      <c r="DR781" s="156"/>
      <c r="DS781" s="156"/>
      <c r="DT781" s="156"/>
      <c r="DU781" s="156"/>
      <c r="DV781" s="156"/>
      <c r="DW781" s="156"/>
      <c r="DX781" s="156"/>
      <c r="DY781" s="156"/>
      <c r="DZ781" s="156"/>
      <c r="EA781" s="156"/>
      <c r="EB781" s="156"/>
      <c r="EC781" s="156"/>
      <c r="ED781" s="156"/>
      <c r="EE781" s="156"/>
      <c r="EF781" s="156"/>
      <c r="EG781" s="156"/>
      <c r="EH781" s="156"/>
      <c r="EI781" s="156"/>
      <c r="EJ781" s="156"/>
      <c r="EK781" s="156"/>
      <c r="EL781" s="156"/>
      <c r="EM781" s="156"/>
    </row>
    <row r="782" spans="20:143" ht="10.5" customHeight="1">
      <c r="T782" s="156"/>
      <c r="AZ782" s="156"/>
      <c r="BA782" s="156"/>
      <c r="BB782" s="156"/>
      <c r="BC782" s="156"/>
      <c r="BD782" s="156"/>
      <c r="BE782" s="156"/>
      <c r="BF782" s="156"/>
      <c r="BG782" s="156"/>
      <c r="BH782" s="156"/>
      <c r="BI782" s="156"/>
      <c r="BJ782" s="156"/>
      <c r="BK782" s="156"/>
      <c r="BL782" s="156"/>
      <c r="BM782" s="156"/>
      <c r="BN782" s="156"/>
      <c r="BO782" s="156"/>
      <c r="BP782" s="156"/>
      <c r="BQ782" s="156"/>
      <c r="BR782" s="156"/>
      <c r="BS782" s="156"/>
      <c r="BT782" s="156"/>
      <c r="BU782" s="156"/>
      <c r="BV782" s="156"/>
      <c r="BW782" s="156"/>
      <c r="BX782" s="156"/>
      <c r="BY782" s="156"/>
      <c r="BZ782" s="156"/>
      <c r="CA782" s="156"/>
      <c r="CB782" s="156"/>
      <c r="CC782" s="156"/>
      <c r="CD782" s="156"/>
      <c r="CE782" s="156"/>
      <c r="CF782" s="156"/>
      <c r="CG782" s="156"/>
      <c r="CH782" s="156"/>
      <c r="CI782" s="156"/>
      <c r="CJ782" s="156"/>
      <c r="CK782" s="156"/>
      <c r="CL782" s="156"/>
      <c r="CM782" s="156"/>
      <c r="CN782" s="156"/>
      <c r="CO782" s="156"/>
      <c r="CP782" s="156"/>
      <c r="CQ782" s="156"/>
      <c r="CR782" s="156"/>
      <c r="CS782" s="156"/>
      <c r="CT782" s="156"/>
      <c r="CU782" s="156"/>
      <c r="CV782" s="156"/>
      <c r="CW782" s="156"/>
      <c r="CX782" s="156"/>
      <c r="CY782" s="156"/>
      <c r="CZ782" s="156"/>
      <c r="DA782" s="156"/>
      <c r="DB782" s="156"/>
      <c r="DC782" s="156"/>
      <c r="DD782" s="156"/>
      <c r="DE782" s="156"/>
      <c r="DF782" s="156"/>
      <c r="DG782" s="156"/>
      <c r="DH782" s="156"/>
      <c r="DI782" s="156"/>
      <c r="DJ782" s="156"/>
      <c r="DK782" s="156"/>
      <c r="DL782" s="156"/>
      <c r="DM782" s="156"/>
      <c r="DN782" s="156"/>
      <c r="DO782" s="156"/>
      <c r="DP782" s="156"/>
      <c r="DQ782" s="156"/>
      <c r="DR782" s="156"/>
      <c r="DS782" s="156"/>
      <c r="DT782" s="156"/>
      <c r="DU782" s="156"/>
      <c r="DV782" s="156"/>
      <c r="DW782" s="156"/>
      <c r="DX782" s="156"/>
      <c r="DY782" s="156"/>
      <c r="DZ782" s="156"/>
      <c r="EA782" s="156"/>
      <c r="EB782" s="156"/>
      <c r="EC782" s="156"/>
      <c r="ED782" s="156"/>
      <c r="EE782" s="156"/>
      <c r="EF782" s="156"/>
      <c r="EG782" s="156"/>
      <c r="EH782" s="156"/>
      <c r="EI782" s="156"/>
      <c r="EJ782" s="156"/>
      <c r="EK782" s="156"/>
      <c r="EL782" s="156"/>
      <c r="EM782" s="156"/>
    </row>
    <row r="783" spans="20:143" ht="10.5" customHeight="1">
      <c r="T783" s="156"/>
      <c r="AZ783" s="156"/>
      <c r="BA783" s="156"/>
      <c r="BB783" s="156"/>
      <c r="BC783" s="156"/>
      <c r="BD783" s="156"/>
      <c r="BE783" s="156"/>
      <c r="BF783" s="156"/>
      <c r="BG783" s="156"/>
      <c r="BH783" s="156"/>
      <c r="BI783" s="156"/>
      <c r="BJ783" s="156"/>
      <c r="BK783" s="156"/>
      <c r="BL783" s="156"/>
      <c r="BM783" s="156"/>
      <c r="BN783" s="156"/>
      <c r="BO783" s="156"/>
      <c r="BP783" s="156"/>
      <c r="BQ783" s="156"/>
      <c r="BR783" s="156"/>
      <c r="BS783" s="156"/>
      <c r="BT783" s="156"/>
      <c r="BU783" s="156"/>
      <c r="BV783" s="156"/>
      <c r="BW783" s="156"/>
      <c r="BX783" s="156"/>
      <c r="BY783" s="156"/>
      <c r="BZ783" s="156"/>
      <c r="CA783" s="156"/>
      <c r="CB783" s="156"/>
      <c r="CC783" s="156"/>
      <c r="CD783" s="156"/>
      <c r="CE783" s="156"/>
      <c r="CF783" s="156"/>
      <c r="CG783" s="156"/>
      <c r="CH783" s="156"/>
      <c r="CI783" s="156"/>
      <c r="CJ783" s="156"/>
      <c r="CK783" s="156"/>
      <c r="CL783" s="156"/>
      <c r="CM783" s="156"/>
      <c r="CN783" s="156"/>
      <c r="CO783" s="156"/>
      <c r="CP783" s="156"/>
      <c r="CQ783" s="156"/>
      <c r="CR783" s="156"/>
      <c r="CS783" s="156"/>
      <c r="CT783" s="156"/>
      <c r="CU783" s="156"/>
      <c r="CV783" s="156"/>
      <c r="CW783" s="156"/>
      <c r="CX783" s="156"/>
      <c r="CY783" s="156"/>
      <c r="CZ783" s="156"/>
      <c r="DA783" s="156"/>
      <c r="DB783" s="156"/>
      <c r="DC783" s="156"/>
      <c r="DD783" s="156"/>
      <c r="DE783" s="156"/>
      <c r="DF783" s="156"/>
      <c r="DG783" s="156"/>
      <c r="DH783" s="156"/>
      <c r="DI783" s="156"/>
      <c r="DJ783" s="156"/>
      <c r="DK783" s="156"/>
      <c r="DL783" s="156"/>
      <c r="DM783" s="156"/>
      <c r="DN783" s="156"/>
      <c r="DO783" s="156"/>
      <c r="DP783" s="156"/>
      <c r="DQ783" s="156"/>
      <c r="DR783" s="156"/>
      <c r="DS783" s="156"/>
      <c r="DT783" s="156"/>
      <c r="DU783" s="156"/>
      <c r="DV783" s="156"/>
      <c r="DW783" s="156"/>
      <c r="DX783" s="156"/>
      <c r="DY783" s="156"/>
      <c r="DZ783" s="156"/>
      <c r="EA783" s="156"/>
      <c r="EB783" s="156"/>
      <c r="EC783" s="156"/>
      <c r="ED783" s="156"/>
      <c r="EE783" s="156"/>
      <c r="EF783" s="156"/>
      <c r="EG783" s="156"/>
      <c r="EH783" s="156"/>
      <c r="EI783" s="156"/>
      <c r="EJ783" s="156"/>
      <c r="EK783" s="156"/>
      <c r="EL783" s="156"/>
      <c r="EM783" s="156"/>
    </row>
    <row r="784" spans="20:143" ht="10.5" customHeight="1">
      <c r="T784" s="156"/>
      <c r="AZ784" s="156"/>
      <c r="BA784" s="156"/>
      <c r="BB784" s="156"/>
      <c r="BC784" s="156"/>
      <c r="BD784" s="156"/>
      <c r="BE784" s="156"/>
      <c r="BF784" s="156"/>
      <c r="BG784" s="156"/>
      <c r="BH784" s="156"/>
      <c r="BI784" s="156"/>
      <c r="BJ784" s="156"/>
      <c r="BK784" s="156"/>
      <c r="BL784" s="156"/>
      <c r="BM784" s="156"/>
      <c r="BN784" s="156"/>
      <c r="BO784" s="156"/>
      <c r="BP784" s="156"/>
      <c r="BQ784" s="156"/>
      <c r="BR784" s="156"/>
      <c r="BS784" s="156"/>
      <c r="BT784" s="156"/>
      <c r="BU784" s="156"/>
      <c r="BV784" s="156"/>
      <c r="BW784" s="156"/>
      <c r="BX784" s="156"/>
      <c r="BY784" s="156"/>
      <c r="BZ784" s="156"/>
      <c r="CA784" s="156"/>
      <c r="CB784" s="156"/>
      <c r="CC784" s="156"/>
      <c r="CD784" s="156"/>
      <c r="CE784" s="156"/>
      <c r="CF784" s="156"/>
      <c r="CG784" s="156"/>
      <c r="CH784" s="156"/>
      <c r="CI784" s="156"/>
      <c r="CJ784" s="156"/>
      <c r="CK784" s="156"/>
      <c r="CL784" s="156"/>
      <c r="CM784" s="156"/>
      <c r="CN784" s="156"/>
      <c r="CO784" s="156"/>
      <c r="CP784" s="156"/>
      <c r="CQ784" s="156"/>
      <c r="CR784" s="156"/>
      <c r="CS784" s="156"/>
      <c r="CT784" s="156"/>
      <c r="CU784" s="156"/>
      <c r="CV784" s="156"/>
      <c r="CW784" s="156"/>
      <c r="CX784" s="156"/>
      <c r="CY784" s="156"/>
      <c r="CZ784" s="156"/>
      <c r="DA784" s="156"/>
      <c r="DB784" s="156"/>
      <c r="DC784" s="156"/>
      <c r="DD784" s="156"/>
      <c r="DE784" s="156"/>
      <c r="DF784" s="156"/>
      <c r="DG784" s="156"/>
      <c r="DH784" s="156"/>
      <c r="DI784" s="156"/>
      <c r="DJ784" s="156"/>
      <c r="DK784" s="156"/>
      <c r="DL784" s="156"/>
      <c r="DM784" s="156"/>
      <c r="DN784" s="156"/>
      <c r="DO784" s="156"/>
      <c r="DP784" s="156"/>
      <c r="DQ784" s="156"/>
      <c r="DR784" s="156"/>
      <c r="DS784" s="156"/>
      <c r="DT784" s="156"/>
      <c r="DU784" s="156"/>
      <c r="DV784" s="156"/>
      <c r="DW784" s="156"/>
      <c r="DX784" s="156"/>
      <c r="DY784" s="156"/>
      <c r="DZ784" s="156"/>
      <c r="EA784" s="156"/>
      <c r="EB784" s="156"/>
      <c r="EC784" s="156"/>
      <c r="ED784" s="156"/>
      <c r="EE784" s="156"/>
      <c r="EF784" s="156"/>
      <c r="EG784" s="156"/>
      <c r="EH784" s="156"/>
      <c r="EI784" s="156"/>
      <c r="EJ784" s="156"/>
      <c r="EK784" s="156"/>
      <c r="EL784" s="156"/>
      <c r="EM784" s="156"/>
    </row>
    <row r="785" spans="20:143" ht="10.5" customHeight="1">
      <c r="T785" s="156"/>
      <c r="AZ785" s="156"/>
      <c r="BA785" s="156"/>
      <c r="BB785" s="156"/>
      <c r="BC785" s="156"/>
      <c r="BD785" s="156"/>
      <c r="BE785" s="156"/>
      <c r="BF785" s="156"/>
      <c r="BG785" s="156"/>
      <c r="BH785" s="156"/>
      <c r="BI785" s="156"/>
      <c r="BJ785" s="156"/>
      <c r="BK785" s="156"/>
      <c r="BL785" s="156"/>
      <c r="BM785" s="156"/>
      <c r="BN785" s="156"/>
      <c r="BO785" s="156"/>
      <c r="BP785" s="156"/>
      <c r="BQ785" s="156"/>
      <c r="BR785" s="156"/>
      <c r="BS785" s="156"/>
      <c r="BT785" s="156"/>
      <c r="BU785" s="156"/>
      <c r="BV785" s="156"/>
      <c r="BW785" s="156"/>
      <c r="BX785" s="156"/>
      <c r="BY785" s="156"/>
      <c r="BZ785" s="156"/>
      <c r="CA785" s="156"/>
      <c r="CB785" s="156"/>
      <c r="CC785" s="156"/>
      <c r="CD785" s="156"/>
      <c r="CE785" s="156"/>
      <c r="CF785" s="156"/>
      <c r="CG785" s="156"/>
      <c r="CH785" s="156"/>
      <c r="CI785" s="156"/>
      <c r="CJ785" s="156"/>
      <c r="CK785" s="156"/>
      <c r="CL785" s="156"/>
      <c r="CM785" s="156"/>
      <c r="CN785" s="156"/>
      <c r="CO785" s="156"/>
      <c r="CP785" s="156"/>
      <c r="CQ785" s="156"/>
      <c r="CR785" s="156"/>
      <c r="CS785" s="156"/>
      <c r="CT785" s="156"/>
      <c r="CU785" s="156"/>
      <c r="CV785" s="156"/>
      <c r="CW785" s="156"/>
      <c r="CX785" s="156"/>
      <c r="CY785" s="156"/>
      <c r="CZ785" s="156"/>
      <c r="DA785" s="156"/>
      <c r="DB785" s="156"/>
      <c r="DC785" s="156"/>
      <c r="DD785" s="156"/>
      <c r="DE785" s="156"/>
      <c r="DF785" s="156"/>
      <c r="DG785" s="156"/>
      <c r="DH785" s="156"/>
      <c r="DI785" s="156"/>
      <c r="DJ785" s="156"/>
      <c r="DK785" s="156"/>
      <c r="DL785" s="156"/>
      <c r="DM785" s="156"/>
      <c r="DN785" s="156"/>
      <c r="DO785" s="156"/>
      <c r="DP785" s="156"/>
      <c r="DQ785" s="156"/>
      <c r="DR785" s="156"/>
      <c r="DS785" s="156"/>
      <c r="DT785" s="156"/>
      <c r="DU785" s="156"/>
      <c r="DV785" s="156"/>
      <c r="DW785" s="156"/>
      <c r="DX785" s="156"/>
      <c r="DY785" s="156"/>
      <c r="DZ785" s="156"/>
      <c r="EA785" s="156"/>
      <c r="EB785" s="156"/>
      <c r="EC785" s="156"/>
      <c r="ED785" s="156"/>
      <c r="EE785" s="156"/>
      <c r="EF785" s="156"/>
      <c r="EG785" s="156"/>
      <c r="EH785" s="156"/>
      <c r="EI785" s="156"/>
      <c r="EJ785" s="156"/>
      <c r="EK785" s="156"/>
      <c r="EL785" s="156"/>
      <c r="EM785" s="156"/>
    </row>
    <row r="786" spans="20:143" ht="10.5" customHeight="1">
      <c r="T786" s="156"/>
      <c r="AZ786" s="156"/>
      <c r="BA786" s="156"/>
      <c r="BB786" s="156"/>
      <c r="BC786" s="156"/>
      <c r="BD786" s="156"/>
      <c r="BE786" s="156"/>
      <c r="BF786" s="156"/>
      <c r="BG786" s="156"/>
      <c r="BH786" s="156"/>
      <c r="BI786" s="156"/>
      <c r="BJ786" s="156"/>
      <c r="BK786" s="156"/>
      <c r="BL786" s="156"/>
      <c r="BM786" s="156"/>
      <c r="BN786" s="156"/>
      <c r="BO786" s="156"/>
      <c r="BP786" s="156"/>
      <c r="BQ786" s="156"/>
      <c r="BR786" s="156"/>
      <c r="BS786" s="156"/>
      <c r="BT786" s="156"/>
      <c r="BU786" s="156"/>
      <c r="BV786" s="156"/>
      <c r="BW786" s="156"/>
      <c r="BX786" s="156"/>
      <c r="BY786" s="156"/>
      <c r="BZ786" s="156"/>
      <c r="CA786" s="156"/>
      <c r="CB786" s="156"/>
      <c r="CC786" s="156"/>
      <c r="CD786" s="156"/>
      <c r="CE786" s="156"/>
      <c r="CF786" s="156"/>
      <c r="CG786" s="156"/>
      <c r="CH786" s="156"/>
      <c r="CI786" s="156"/>
      <c r="CJ786" s="156"/>
      <c r="CK786" s="156"/>
      <c r="CL786" s="156"/>
      <c r="CM786" s="156"/>
      <c r="CN786" s="156"/>
      <c r="CO786" s="156"/>
      <c r="CP786" s="156"/>
      <c r="CQ786" s="156"/>
      <c r="CR786" s="156"/>
      <c r="CS786" s="156"/>
      <c r="CT786" s="156"/>
      <c r="CU786" s="156"/>
      <c r="CV786" s="156"/>
      <c r="CW786" s="156"/>
      <c r="CX786" s="156"/>
      <c r="CY786" s="156"/>
      <c r="CZ786" s="156"/>
      <c r="DA786" s="156"/>
      <c r="DB786" s="156"/>
      <c r="DC786" s="156"/>
      <c r="DD786" s="156"/>
      <c r="DE786" s="156"/>
      <c r="DF786" s="156"/>
      <c r="DG786" s="156"/>
      <c r="DH786" s="156"/>
      <c r="DI786" s="156"/>
      <c r="DJ786" s="156"/>
      <c r="DK786" s="156"/>
      <c r="DL786" s="156"/>
      <c r="DM786" s="156"/>
      <c r="DN786" s="156"/>
      <c r="DO786" s="156"/>
      <c r="DP786" s="156"/>
      <c r="DQ786" s="156"/>
      <c r="DR786" s="156"/>
      <c r="DS786" s="156"/>
      <c r="DT786" s="156"/>
      <c r="DU786" s="156"/>
      <c r="DV786" s="156"/>
      <c r="DW786" s="156"/>
      <c r="DX786" s="156"/>
      <c r="DY786" s="156"/>
      <c r="DZ786" s="156"/>
      <c r="EA786" s="156"/>
      <c r="EB786" s="156"/>
      <c r="EC786" s="156"/>
      <c r="ED786" s="156"/>
      <c r="EE786" s="156"/>
      <c r="EF786" s="156"/>
      <c r="EG786" s="156"/>
      <c r="EH786" s="156"/>
      <c r="EI786" s="156"/>
      <c r="EJ786" s="156"/>
      <c r="EK786" s="156"/>
      <c r="EL786" s="156"/>
      <c r="EM786" s="156"/>
    </row>
    <row r="787" spans="20:143" ht="10.5" customHeight="1">
      <c r="T787" s="156"/>
      <c r="AZ787" s="156"/>
      <c r="BA787" s="156"/>
      <c r="BB787" s="156"/>
      <c r="BC787" s="156"/>
      <c r="BD787" s="156"/>
      <c r="BE787" s="156"/>
      <c r="BF787" s="156"/>
      <c r="BG787" s="156"/>
      <c r="BH787" s="156"/>
      <c r="BI787" s="156"/>
      <c r="BJ787" s="156"/>
      <c r="BK787" s="156"/>
      <c r="BL787" s="156"/>
      <c r="BM787" s="156"/>
      <c r="BN787" s="156"/>
      <c r="BO787" s="156"/>
      <c r="BP787" s="156"/>
      <c r="BQ787" s="156"/>
      <c r="BR787" s="156"/>
      <c r="BS787" s="156"/>
      <c r="BT787" s="156"/>
      <c r="BU787" s="156"/>
      <c r="BV787" s="156"/>
      <c r="BW787" s="156"/>
      <c r="BX787" s="156"/>
      <c r="BY787" s="156"/>
      <c r="BZ787" s="156"/>
      <c r="CA787" s="156"/>
      <c r="CB787" s="156"/>
      <c r="CC787" s="156"/>
      <c r="CD787" s="156"/>
      <c r="CE787" s="156"/>
      <c r="CF787" s="156"/>
      <c r="CG787" s="156"/>
      <c r="CH787" s="156"/>
      <c r="CI787" s="156"/>
      <c r="CJ787" s="156"/>
      <c r="CK787" s="156"/>
      <c r="CL787" s="156"/>
      <c r="CM787" s="156"/>
      <c r="CN787" s="156"/>
      <c r="CO787" s="156"/>
      <c r="CP787" s="156"/>
      <c r="CQ787" s="156"/>
      <c r="CR787" s="156"/>
      <c r="CS787" s="156"/>
      <c r="CT787" s="156"/>
      <c r="CU787" s="156"/>
      <c r="CV787" s="156"/>
      <c r="CW787" s="156"/>
      <c r="CX787" s="156"/>
      <c r="CY787" s="156"/>
      <c r="CZ787" s="156"/>
      <c r="DA787" s="156"/>
      <c r="DB787" s="156"/>
      <c r="DC787" s="156"/>
      <c r="DD787" s="156"/>
      <c r="DE787" s="156"/>
      <c r="DF787" s="156"/>
      <c r="DG787" s="156"/>
      <c r="DH787" s="156"/>
      <c r="DI787" s="156"/>
      <c r="DJ787" s="156"/>
      <c r="DK787" s="156"/>
      <c r="DL787" s="156"/>
      <c r="DM787" s="156"/>
      <c r="DN787" s="156"/>
      <c r="DO787" s="156"/>
      <c r="DP787" s="156"/>
      <c r="DQ787" s="156"/>
      <c r="DR787" s="156"/>
      <c r="DS787" s="156"/>
      <c r="DT787" s="156"/>
      <c r="DU787" s="156"/>
      <c r="DV787" s="156"/>
      <c r="DW787" s="156"/>
      <c r="DX787" s="156"/>
      <c r="DY787" s="156"/>
      <c r="DZ787" s="156"/>
      <c r="EA787" s="156"/>
      <c r="EB787" s="156"/>
      <c r="EC787" s="156"/>
      <c r="ED787" s="156"/>
      <c r="EE787" s="156"/>
      <c r="EF787" s="156"/>
      <c r="EG787" s="156"/>
      <c r="EH787" s="156"/>
      <c r="EI787" s="156"/>
      <c r="EJ787" s="156"/>
      <c r="EK787" s="156"/>
      <c r="EL787" s="156"/>
      <c r="EM787" s="156"/>
    </row>
    <row r="788" spans="20:143" ht="10.5" customHeight="1">
      <c r="T788" s="156"/>
      <c r="AZ788" s="156"/>
      <c r="BA788" s="156"/>
      <c r="BB788" s="156"/>
      <c r="BC788" s="156"/>
      <c r="BD788" s="156"/>
      <c r="BE788" s="156"/>
      <c r="BF788" s="156"/>
      <c r="BG788" s="156"/>
      <c r="BH788" s="156"/>
      <c r="BI788" s="156"/>
      <c r="BJ788" s="156"/>
      <c r="BK788" s="156"/>
      <c r="BL788" s="156"/>
      <c r="BM788" s="156"/>
      <c r="BN788" s="156"/>
      <c r="BO788" s="156"/>
      <c r="BP788" s="156"/>
      <c r="BQ788" s="156"/>
      <c r="BR788" s="156"/>
      <c r="BS788" s="156"/>
      <c r="BT788" s="156"/>
      <c r="BU788" s="156"/>
      <c r="BV788" s="156"/>
      <c r="BW788" s="156"/>
      <c r="BX788" s="156"/>
      <c r="BY788" s="156"/>
      <c r="BZ788" s="156"/>
      <c r="CA788" s="156"/>
      <c r="CB788" s="156"/>
      <c r="CC788" s="156"/>
      <c r="CD788" s="156"/>
      <c r="CE788" s="156"/>
      <c r="CF788" s="156"/>
      <c r="CG788" s="156"/>
      <c r="CH788" s="156"/>
      <c r="CI788" s="156"/>
      <c r="CJ788" s="156"/>
      <c r="CK788" s="156"/>
      <c r="CL788" s="156"/>
      <c r="CM788" s="156"/>
      <c r="CN788" s="156"/>
      <c r="CO788" s="156"/>
      <c r="CP788" s="156"/>
      <c r="CQ788" s="156"/>
      <c r="CR788" s="156"/>
      <c r="CS788" s="156"/>
      <c r="CT788" s="156"/>
      <c r="CU788" s="156"/>
      <c r="CV788" s="156"/>
      <c r="CW788" s="156"/>
      <c r="CX788" s="156"/>
      <c r="CY788" s="156"/>
      <c r="CZ788" s="156"/>
      <c r="DA788" s="156"/>
      <c r="DB788" s="156"/>
      <c r="DC788" s="156"/>
      <c r="DD788" s="156"/>
      <c r="DE788" s="156"/>
      <c r="DF788" s="156"/>
      <c r="DG788" s="156"/>
      <c r="DH788" s="156"/>
      <c r="DI788" s="156"/>
      <c r="DJ788" s="156"/>
      <c r="DK788" s="156"/>
      <c r="DL788" s="156"/>
      <c r="DM788" s="156"/>
      <c r="DN788" s="156"/>
      <c r="DO788" s="156"/>
      <c r="DP788" s="156"/>
      <c r="DQ788" s="156"/>
      <c r="DR788" s="156"/>
      <c r="DS788" s="156"/>
      <c r="DT788" s="156"/>
      <c r="DU788" s="156"/>
      <c r="DV788" s="156"/>
      <c r="DW788" s="156"/>
      <c r="DX788" s="156"/>
      <c r="DY788" s="156"/>
      <c r="DZ788" s="156"/>
      <c r="EA788" s="156"/>
      <c r="EB788" s="156"/>
      <c r="EC788" s="156"/>
      <c r="ED788" s="156"/>
      <c r="EE788" s="156"/>
      <c r="EF788" s="156"/>
      <c r="EG788" s="156"/>
      <c r="EH788" s="156"/>
      <c r="EI788" s="156"/>
      <c r="EJ788" s="156"/>
      <c r="EK788" s="156"/>
      <c r="EL788" s="156"/>
      <c r="EM788" s="156"/>
    </row>
    <row r="789" spans="20:143" ht="10.5" customHeight="1">
      <c r="T789" s="156"/>
      <c r="AZ789" s="156"/>
      <c r="BA789" s="156"/>
      <c r="BB789" s="156"/>
      <c r="BC789" s="156"/>
      <c r="BD789" s="156"/>
      <c r="BE789" s="156"/>
      <c r="BF789" s="156"/>
      <c r="BG789" s="156"/>
      <c r="BH789" s="156"/>
      <c r="BI789" s="156"/>
      <c r="BJ789" s="156"/>
      <c r="BK789" s="156"/>
      <c r="BL789" s="156"/>
      <c r="BM789" s="156"/>
      <c r="BN789" s="156"/>
      <c r="BO789" s="156"/>
      <c r="BP789" s="156"/>
      <c r="BQ789" s="156"/>
      <c r="BR789" s="156"/>
      <c r="BS789" s="156"/>
      <c r="BT789" s="156"/>
      <c r="BU789" s="156"/>
      <c r="BV789" s="156"/>
      <c r="BW789" s="156"/>
      <c r="BX789" s="156"/>
      <c r="BY789" s="156"/>
      <c r="BZ789" s="156"/>
      <c r="CA789" s="156"/>
      <c r="CB789" s="156"/>
      <c r="CC789" s="156"/>
      <c r="CD789" s="156"/>
      <c r="CE789" s="156"/>
      <c r="CF789" s="156"/>
      <c r="CG789" s="156"/>
      <c r="CH789" s="156"/>
      <c r="CI789" s="156"/>
      <c r="CJ789" s="156"/>
      <c r="CK789" s="156"/>
      <c r="CL789" s="156"/>
      <c r="CM789" s="156"/>
      <c r="CN789" s="156"/>
      <c r="CO789" s="156"/>
      <c r="CP789" s="156"/>
      <c r="CQ789" s="156"/>
      <c r="CR789" s="156"/>
      <c r="CS789" s="156"/>
      <c r="CT789" s="156"/>
      <c r="CU789" s="156"/>
      <c r="CV789" s="156"/>
      <c r="CW789" s="156"/>
      <c r="CX789" s="156"/>
      <c r="CY789" s="156"/>
      <c r="CZ789" s="156"/>
      <c r="DA789" s="156"/>
      <c r="DB789" s="156"/>
      <c r="DC789" s="156"/>
      <c r="DD789" s="156"/>
      <c r="DE789" s="156"/>
      <c r="DF789" s="156"/>
      <c r="DG789" s="156"/>
      <c r="DH789" s="156"/>
      <c r="DI789" s="156"/>
      <c r="DJ789" s="156"/>
      <c r="DK789" s="156"/>
      <c r="DL789" s="156"/>
      <c r="DM789" s="156"/>
      <c r="DN789" s="156"/>
      <c r="DO789" s="156"/>
      <c r="DP789" s="156"/>
      <c r="DQ789" s="156"/>
      <c r="DR789" s="156"/>
      <c r="DS789" s="156"/>
      <c r="DT789" s="156"/>
      <c r="DU789" s="156"/>
      <c r="DV789" s="156"/>
      <c r="DW789" s="156"/>
      <c r="DX789" s="156"/>
      <c r="DY789" s="156"/>
      <c r="DZ789" s="156"/>
      <c r="EA789" s="156"/>
      <c r="EB789" s="156"/>
      <c r="EC789" s="156"/>
      <c r="ED789" s="156"/>
      <c r="EE789" s="156"/>
      <c r="EF789" s="156"/>
      <c r="EG789" s="156"/>
      <c r="EH789" s="156"/>
      <c r="EI789" s="156"/>
      <c r="EJ789" s="156"/>
      <c r="EK789" s="156"/>
      <c r="EL789" s="156"/>
      <c r="EM789" s="156"/>
    </row>
    <row r="790" spans="20:143" ht="10.5" customHeight="1">
      <c r="T790" s="156"/>
      <c r="AZ790" s="156"/>
      <c r="BA790" s="156"/>
      <c r="BB790" s="156"/>
      <c r="BC790" s="156"/>
      <c r="BD790" s="156"/>
      <c r="BE790" s="156"/>
      <c r="BF790" s="156"/>
      <c r="BG790" s="156"/>
      <c r="BH790" s="156"/>
      <c r="BI790" s="156"/>
      <c r="BJ790" s="156"/>
      <c r="BK790" s="156"/>
      <c r="BL790" s="156"/>
      <c r="BM790" s="156"/>
      <c r="BN790" s="156"/>
      <c r="BO790" s="156"/>
      <c r="BP790" s="156"/>
      <c r="BQ790" s="156"/>
      <c r="BR790" s="156"/>
      <c r="BS790" s="156"/>
      <c r="BT790" s="156"/>
      <c r="BU790" s="156"/>
      <c r="BV790" s="156"/>
      <c r="BW790" s="156"/>
      <c r="BX790" s="156"/>
      <c r="BY790" s="156"/>
      <c r="BZ790" s="156"/>
      <c r="CA790" s="156"/>
      <c r="CB790" s="156"/>
      <c r="CC790" s="156"/>
      <c r="CD790" s="156"/>
      <c r="CE790" s="156"/>
      <c r="CF790" s="156"/>
      <c r="CG790" s="156"/>
      <c r="CH790" s="156"/>
      <c r="CI790" s="156"/>
      <c r="CJ790" s="156"/>
      <c r="CK790" s="156"/>
      <c r="CL790" s="156"/>
      <c r="CM790" s="156"/>
      <c r="CN790" s="156"/>
      <c r="CO790" s="156"/>
      <c r="CP790" s="156"/>
      <c r="CQ790" s="156"/>
      <c r="CR790" s="156"/>
      <c r="CS790" s="156"/>
      <c r="CT790" s="156"/>
      <c r="CU790" s="156"/>
      <c r="CV790" s="156"/>
      <c r="CW790" s="156"/>
      <c r="CX790" s="156"/>
      <c r="CY790" s="156"/>
      <c r="CZ790" s="156"/>
      <c r="DA790" s="156"/>
      <c r="DB790" s="156"/>
      <c r="DC790" s="156"/>
      <c r="DD790" s="156"/>
      <c r="DE790" s="156"/>
      <c r="DF790" s="156"/>
      <c r="DG790" s="156"/>
      <c r="DH790" s="156"/>
      <c r="DI790" s="156"/>
      <c r="DJ790" s="156"/>
      <c r="DK790" s="156"/>
      <c r="DL790" s="156"/>
      <c r="DM790" s="156"/>
      <c r="DN790" s="156"/>
      <c r="DO790" s="156"/>
      <c r="DP790" s="156"/>
      <c r="DQ790" s="156"/>
      <c r="DR790" s="156"/>
      <c r="DS790" s="156"/>
      <c r="DT790" s="156"/>
      <c r="DU790" s="156"/>
      <c r="DV790" s="156"/>
      <c r="DW790" s="156"/>
      <c r="DX790" s="156"/>
      <c r="DY790" s="156"/>
      <c r="DZ790" s="156"/>
      <c r="EA790" s="156"/>
      <c r="EB790" s="156"/>
      <c r="EC790" s="156"/>
      <c r="ED790" s="156"/>
      <c r="EE790" s="156"/>
      <c r="EF790" s="156"/>
      <c r="EG790" s="156"/>
      <c r="EH790" s="156"/>
      <c r="EI790" s="156"/>
      <c r="EJ790" s="156"/>
      <c r="EK790" s="156"/>
      <c r="EL790" s="156"/>
      <c r="EM790" s="156"/>
    </row>
    <row r="791" spans="20:143" ht="10.5" customHeight="1">
      <c r="T791" s="156"/>
      <c r="AZ791" s="156"/>
      <c r="BA791" s="156"/>
      <c r="BB791" s="156"/>
      <c r="BC791" s="156"/>
      <c r="BD791" s="156"/>
      <c r="BE791" s="156"/>
      <c r="BF791" s="156"/>
      <c r="BG791" s="156"/>
      <c r="BH791" s="156"/>
      <c r="BI791" s="156"/>
      <c r="BJ791" s="156"/>
      <c r="BK791" s="156"/>
      <c r="BL791" s="156"/>
      <c r="BM791" s="156"/>
      <c r="BN791" s="156"/>
      <c r="BO791" s="156"/>
      <c r="BP791" s="156"/>
      <c r="BQ791" s="156"/>
      <c r="BR791" s="156"/>
      <c r="BS791" s="156"/>
      <c r="BT791" s="156"/>
      <c r="BU791" s="156"/>
      <c r="BV791" s="156"/>
      <c r="BW791" s="156"/>
      <c r="BX791" s="156"/>
      <c r="BY791" s="156"/>
      <c r="BZ791" s="156"/>
      <c r="CA791" s="156"/>
      <c r="CB791" s="156"/>
      <c r="CC791" s="156"/>
      <c r="CD791" s="156"/>
      <c r="CE791" s="156"/>
      <c r="CF791" s="156"/>
      <c r="CG791" s="156"/>
      <c r="CH791" s="156"/>
      <c r="CI791" s="156"/>
      <c r="CJ791" s="156"/>
      <c r="CK791" s="156"/>
      <c r="CL791" s="156"/>
      <c r="CM791" s="156"/>
      <c r="CN791" s="156"/>
      <c r="CO791" s="156"/>
      <c r="CP791" s="156"/>
      <c r="CQ791" s="156"/>
      <c r="CR791" s="156"/>
      <c r="CS791" s="156"/>
      <c r="CT791" s="156"/>
      <c r="CU791" s="156"/>
      <c r="CV791" s="156"/>
      <c r="CW791" s="156"/>
      <c r="CX791" s="156"/>
      <c r="CY791" s="156"/>
      <c r="CZ791" s="156"/>
      <c r="DA791" s="156"/>
      <c r="DB791" s="156"/>
      <c r="DC791" s="156"/>
      <c r="DD791" s="156"/>
      <c r="DE791" s="156"/>
      <c r="DF791" s="156"/>
      <c r="DG791" s="156"/>
      <c r="DH791" s="156"/>
      <c r="DI791" s="156"/>
      <c r="DJ791" s="156"/>
      <c r="DK791" s="156"/>
      <c r="DL791" s="156"/>
      <c r="DM791" s="156"/>
      <c r="DN791" s="156"/>
      <c r="DO791" s="156"/>
      <c r="DP791" s="156"/>
      <c r="DQ791" s="156"/>
      <c r="DR791" s="156"/>
      <c r="DS791" s="156"/>
      <c r="DT791" s="156"/>
      <c r="DU791" s="156"/>
      <c r="DV791" s="156"/>
      <c r="DW791" s="156"/>
      <c r="DX791" s="156"/>
      <c r="DY791" s="156"/>
      <c r="DZ791" s="156"/>
      <c r="EA791" s="156"/>
      <c r="EB791" s="156"/>
      <c r="EC791" s="156"/>
      <c r="ED791" s="156"/>
      <c r="EE791" s="156"/>
      <c r="EF791" s="156"/>
      <c r="EG791" s="156"/>
      <c r="EH791" s="156"/>
      <c r="EI791" s="156"/>
      <c r="EJ791" s="156"/>
      <c r="EK791" s="156"/>
      <c r="EL791" s="156"/>
      <c r="EM791" s="156"/>
    </row>
    <row r="792" spans="20:143" ht="10.5" customHeight="1">
      <c r="T792" s="156"/>
      <c r="AZ792" s="156"/>
      <c r="BA792" s="156"/>
      <c r="BB792" s="156"/>
      <c r="BC792" s="156"/>
      <c r="BD792" s="156"/>
      <c r="BE792" s="156"/>
      <c r="BF792" s="156"/>
      <c r="BG792" s="156"/>
      <c r="BH792" s="156"/>
      <c r="BI792" s="156"/>
      <c r="BJ792" s="156"/>
      <c r="BK792" s="156"/>
      <c r="BL792" s="156"/>
      <c r="BM792" s="156"/>
      <c r="BN792" s="156"/>
      <c r="BO792" s="156"/>
      <c r="BP792" s="156"/>
      <c r="BQ792" s="156"/>
      <c r="BR792" s="156"/>
      <c r="BS792" s="156"/>
      <c r="BT792" s="156"/>
      <c r="BU792" s="156"/>
      <c r="BV792" s="156"/>
      <c r="BW792" s="156"/>
      <c r="BX792" s="156"/>
      <c r="BY792" s="156"/>
      <c r="BZ792" s="156"/>
      <c r="CA792" s="156"/>
      <c r="CB792" s="156"/>
      <c r="CC792" s="156"/>
      <c r="CD792" s="156"/>
      <c r="CE792" s="156"/>
      <c r="CF792" s="156"/>
      <c r="CG792" s="156"/>
      <c r="CH792" s="156"/>
      <c r="CI792" s="156"/>
      <c r="CJ792" s="156"/>
      <c r="CK792" s="156"/>
      <c r="CL792" s="156"/>
      <c r="CM792" s="156"/>
      <c r="CN792" s="156"/>
      <c r="CO792" s="156"/>
      <c r="CP792" s="156"/>
      <c r="CQ792" s="156"/>
      <c r="CR792" s="156"/>
      <c r="CS792" s="156"/>
      <c r="CT792" s="156"/>
      <c r="CU792" s="156"/>
      <c r="CV792" s="156"/>
      <c r="CW792" s="156"/>
      <c r="CX792" s="156"/>
      <c r="CY792" s="156"/>
      <c r="CZ792" s="156"/>
      <c r="DA792" s="156"/>
      <c r="DB792" s="156"/>
      <c r="DC792" s="156"/>
      <c r="DD792" s="156"/>
      <c r="DE792" s="156"/>
      <c r="DF792" s="156"/>
      <c r="DG792" s="156"/>
      <c r="DH792" s="156"/>
      <c r="DI792" s="156"/>
      <c r="DJ792" s="156"/>
      <c r="DK792" s="156"/>
      <c r="DL792" s="156"/>
      <c r="DM792" s="156"/>
      <c r="DN792" s="156"/>
      <c r="DO792" s="156"/>
      <c r="DP792" s="156"/>
      <c r="DQ792" s="156"/>
      <c r="DR792" s="156"/>
      <c r="DS792" s="156"/>
      <c r="DT792" s="156"/>
      <c r="DU792" s="156"/>
      <c r="DV792" s="156"/>
      <c r="DW792" s="156"/>
      <c r="DX792" s="156"/>
      <c r="DY792" s="156"/>
      <c r="DZ792" s="156"/>
      <c r="EA792" s="156"/>
      <c r="EB792" s="156"/>
      <c r="EC792" s="156"/>
      <c r="ED792" s="156"/>
      <c r="EE792" s="156"/>
      <c r="EF792" s="156"/>
      <c r="EG792" s="156"/>
      <c r="EH792" s="156"/>
      <c r="EI792" s="156"/>
      <c r="EJ792" s="156"/>
      <c r="EK792" s="156"/>
      <c r="EL792" s="156"/>
      <c r="EM792" s="156"/>
    </row>
    <row r="793" spans="20:143" ht="10.5" customHeight="1">
      <c r="T793" s="156"/>
      <c r="AZ793" s="156"/>
      <c r="BA793" s="156"/>
      <c r="BB793" s="156"/>
      <c r="BC793" s="156"/>
      <c r="BD793" s="156"/>
      <c r="BE793" s="156"/>
      <c r="BF793" s="156"/>
      <c r="BG793" s="156"/>
      <c r="BH793" s="156"/>
      <c r="BI793" s="156"/>
      <c r="BJ793" s="156"/>
      <c r="BK793" s="156"/>
      <c r="BL793" s="156"/>
      <c r="BM793" s="156"/>
      <c r="BN793" s="156"/>
      <c r="BO793" s="156"/>
      <c r="BP793" s="156"/>
      <c r="BQ793" s="156"/>
      <c r="BR793" s="156"/>
      <c r="BS793" s="156"/>
      <c r="BT793" s="156"/>
      <c r="BU793" s="156"/>
      <c r="BV793" s="156"/>
      <c r="BW793" s="156"/>
      <c r="BX793" s="156"/>
      <c r="BY793" s="156"/>
      <c r="BZ793" s="156"/>
      <c r="CA793" s="156"/>
      <c r="CB793" s="156"/>
      <c r="CC793" s="156"/>
      <c r="CD793" s="156"/>
      <c r="CE793" s="156"/>
      <c r="CF793" s="156"/>
      <c r="CG793" s="156"/>
      <c r="CH793" s="156"/>
      <c r="CI793" s="156"/>
      <c r="CJ793" s="156"/>
      <c r="CK793" s="156"/>
      <c r="CL793" s="156"/>
      <c r="CM793" s="156"/>
      <c r="CN793" s="156"/>
      <c r="CO793" s="156"/>
      <c r="CP793" s="156"/>
      <c r="CQ793" s="156"/>
      <c r="CR793" s="156"/>
      <c r="CS793" s="156"/>
      <c r="CT793" s="156"/>
      <c r="CU793" s="156"/>
      <c r="CV793" s="156"/>
      <c r="CW793" s="156"/>
      <c r="CX793" s="156"/>
      <c r="CY793" s="156"/>
      <c r="CZ793" s="156"/>
      <c r="DA793" s="156"/>
      <c r="DB793" s="156"/>
      <c r="DC793" s="156"/>
      <c r="DD793" s="156"/>
      <c r="DE793" s="156"/>
      <c r="DF793" s="156"/>
      <c r="DG793" s="156"/>
      <c r="DH793" s="156"/>
      <c r="DI793" s="156"/>
      <c r="DJ793" s="156"/>
      <c r="DK793" s="156"/>
      <c r="DL793" s="156"/>
      <c r="DM793" s="156"/>
      <c r="DN793" s="156"/>
      <c r="DO793" s="156"/>
      <c r="DP793" s="156"/>
      <c r="DQ793" s="156"/>
      <c r="DR793" s="156"/>
      <c r="DS793" s="156"/>
      <c r="DT793" s="156"/>
      <c r="DU793" s="156"/>
      <c r="DV793" s="156"/>
      <c r="DW793" s="156"/>
      <c r="DX793" s="156"/>
      <c r="DY793" s="156"/>
      <c r="DZ793" s="156"/>
      <c r="EA793" s="156"/>
      <c r="EB793" s="156"/>
      <c r="EC793" s="156"/>
      <c r="ED793" s="156"/>
      <c r="EE793" s="156"/>
      <c r="EF793" s="156"/>
      <c r="EG793" s="156"/>
      <c r="EH793" s="156"/>
      <c r="EI793" s="156"/>
      <c r="EJ793" s="156"/>
      <c r="EK793" s="156"/>
      <c r="EL793" s="156"/>
      <c r="EM793" s="156"/>
    </row>
    <row r="794" spans="20:143" ht="10.5" customHeight="1">
      <c r="T794" s="156"/>
      <c r="AZ794" s="156"/>
      <c r="BA794" s="156"/>
      <c r="BB794" s="156"/>
      <c r="BC794" s="156"/>
      <c r="BD794" s="156"/>
      <c r="BE794" s="156"/>
      <c r="BF794" s="156"/>
      <c r="BG794" s="156"/>
      <c r="BH794" s="156"/>
      <c r="BI794" s="156"/>
      <c r="BJ794" s="156"/>
      <c r="BK794" s="156"/>
      <c r="BL794" s="156"/>
      <c r="BM794" s="156"/>
      <c r="BN794" s="156"/>
      <c r="BO794" s="156"/>
      <c r="BP794" s="156"/>
      <c r="BQ794" s="156"/>
      <c r="BR794" s="156"/>
      <c r="BS794" s="156"/>
      <c r="BT794" s="156"/>
      <c r="BU794" s="156"/>
      <c r="BV794" s="156"/>
      <c r="BW794" s="156"/>
      <c r="BX794" s="156"/>
      <c r="BY794" s="156"/>
      <c r="BZ794" s="156"/>
      <c r="CA794" s="156"/>
      <c r="CB794" s="156"/>
      <c r="CC794" s="156"/>
      <c r="CD794" s="156"/>
      <c r="CE794" s="156"/>
      <c r="CF794" s="156"/>
      <c r="CG794" s="156"/>
      <c r="CH794" s="156"/>
      <c r="CI794" s="156"/>
      <c r="CJ794" s="156"/>
      <c r="CK794" s="156"/>
      <c r="CL794" s="156"/>
      <c r="CM794" s="156"/>
      <c r="CN794" s="156"/>
      <c r="CO794" s="156"/>
      <c r="CP794" s="156"/>
      <c r="CQ794" s="156"/>
      <c r="CR794" s="156"/>
      <c r="CS794" s="156"/>
      <c r="CT794" s="156"/>
      <c r="CU794" s="156"/>
      <c r="CV794" s="156"/>
      <c r="CW794" s="156"/>
      <c r="CX794" s="156"/>
      <c r="CY794" s="156"/>
      <c r="CZ794" s="156"/>
      <c r="DA794" s="156"/>
      <c r="DB794" s="156"/>
      <c r="DC794" s="156"/>
      <c r="DD794" s="156"/>
      <c r="DE794" s="156"/>
      <c r="DF794" s="156"/>
      <c r="DG794" s="156"/>
      <c r="DH794" s="156"/>
      <c r="DI794" s="156"/>
      <c r="DJ794" s="156"/>
      <c r="DK794" s="156"/>
      <c r="DL794" s="156"/>
      <c r="DM794" s="156"/>
      <c r="DN794" s="156"/>
      <c r="DO794" s="156"/>
      <c r="DP794" s="156"/>
      <c r="DQ794" s="156"/>
      <c r="DR794" s="156"/>
      <c r="DS794" s="156"/>
      <c r="DT794" s="156"/>
      <c r="DU794" s="156"/>
      <c r="DV794" s="156"/>
      <c r="DW794" s="156"/>
      <c r="DX794" s="156"/>
      <c r="DY794" s="156"/>
      <c r="DZ794" s="156"/>
      <c r="EA794" s="156"/>
      <c r="EB794" s="156"/>
      <c r="EC794" s="156"/>
      <c r="ED794" s="156"/>
      <c r="EE794" s="156"/>
      <c r="EF794" s="156"/>
      <c r="EG794" s="156"/>
      <c r="EH794" s="156"/>
      <c r="EI794" s="156"/>
      <c r="EJ794" s="156"/>
      <c r="EK794" s="156"/>
      <c r="EL794" s="156"/>
      <c r="EM794" s="156"/>
    </row>
    <row r="795" spans="20:143" ht="10.5" customHeight="1">
      <c r="T795" s="156"/>
      <c r="AZ795" s="156"/>
      <c r="BA795" s="156"/>
      <c r="BB795" s="156"/>
      <c r="BC795" s="156"/>
      <c r="BD795" s="156"/>
      <c r="BE795" s="156"/>
      <c r="BF795" s="156"/>
      <c r="BG795" s="156"/>
      <c r="BH795" s="156"/>
      <c r="BI795" s="156"/>
      <c r="BJ795" s="156"/>
      <c r="BK795" s="156"/>
      <c r="BL795" s="156"/>
      <c r="BM795" s="156"/>
      <c r="BN795" s="156"/>
      <c r="BO795" s="156"/>
      <c r="BP795" s="156"/>
      <c r="BQ795" s="156"/>
      <c r="BR795" s="156"/>
      <c r="BS795" s="156"/>
      <c r="BT795" s="156"/>
      <c r="BU795" s="156"/>
      <c r="BV795" s="156"/>
      <c r="BW795" s="156"/>
      <c r="BX795" s="156"/>
      <c r="BY795" s="156"/>
      <c r="BZ795" s="156"/>
      <c r="CA795" s="156"/>
      <c r="CB795" s="156"/>
      <c r="CC795" s="156"/>
      <c r="CD795" s="156"/>
      <c r="CE795" s="156"/>
      <c r="CF795" s="156"/>
      <c r="CG795" s="156"/>
      <c r="CH795" s="156"/>
      <c r="CI795" s="156"/>
      <c r="CJ795" s="156"/>
      <c r="CK795" s="156"/>
      <c r="CL795" s="156"/>
      <c r="CM795" s="156"/>
      <c r="CN795" s="156"/>
      <c r="CO795" s="156"/>
      <c r="CP795" s="156"/>
      <c r="CQ795" s="156"/>
      <c r="CR795" s="156"/>
      <c r="CS795" s="156"/>
      <c r="CT795" s="156"/>
      <c r="CU795" s="156"/>
      <c r="CV795" s="156"/>
      <c r="CW795" s="156"/>
      <c r="CX795" s="156"/>
      <c r="CY795" s="156"/>
      <c r="CZ795" s="156"/>
      <c r="DA795" s="156"/>
      <c r="DB795" s="156"/>
      <c r="DC795" s="156"/>
      <c r="DD795" s="156"/>
      <c r="DE795" s="156"/>
      <c r="DF795" s="156"/>
      <c r="DG795" s="156"/>
      <c r="DH795" s="156"/>
      <c r="DI795" s="156"/>
      <c r="DJ795" s="156"/>
      <c r="DK795" s="156"/>
      <c r="DL795" s="156"/>
      <c r="DM795" s="156"/>
      <c r="DN795" s="156"/>
      <c r="DO795" s="156"/>
      <c r="DP795" s="156"/>
      <c r="DQ795" s="156"/>
      <c r="DR795" s="156"/>
      <c r="DS795" s="156"/>
      <c r="DT795" s="156"/>
      <c r="DU795" s="156"/>
      <c r="DV795" s="156"/>
      <c r="DW795" s="156"/>
      <c r="DX795" s="156"/>
      <c r="DY795" s="156"/>
      <c r="DZ795" s="156"/>
      <c r="EA795" s="156"/>
      <c r="EB795" s="156"/>
      <c r="EC795" s="156"/>
      <c r="ED795" s="156"/>
      <c r="EE795" s="156"/>
      <c r="EF795" s="156"/>
      <c r="EG795" s="156"/>
      <c r="EH795" s="156"/>
      <c r="EI795" s="156"/>
      <c r="EJ795" s="156"/>
      <c r="EK795" s="156"/>
      <c r="EL795" s="156"/>
      <c r="EM795" s="156"/>
    </row>
    <row r="796" spans="20:143" ht="10.5" customHeight="1">
      <c r="T796" s="156"/>
      <c r="AZ796" s="156"/>
      <c r="BA796" s="156"/>
      <c r="BB796" s="156"/>
      <c r="BC796" s="156"/>
      <c r="BD796" s="156"/>
      <c r="BE796" s="156"/>
      <c r="BF796" s="156"/>
      <c r="BG796" s="156"/>
      <c r="BH796" s="156"/>
      <c r="BI796" s="156"/>
      <c r="BJ796" s="156"/>
      <c r="BK796" s="156"/>
      <c r="BL796" s="156"/>
      <c r="BM796" s="156"/>
      <c r="BN796" s="156"/>
      <c r="BO796" s="156"/>
      <c r="BP796" s="156"/>
      <c r="BQ796" s="156"/>
      <c r="BR796" s="156"/>
      <c r="BS796" s="156"/>
      <c r="BT796" s="156"/>
      <c r="BU796" s="156"/>
      <c r="BV796" s="156"/>
      <c r="BW796" s="156"/>
      <c r="BX796" s="156"/>
      <c r="BY796" s="156"/>
      <c r="BZ796" s="156"/>
      <c r="CA796" s="156"/>
      <c r="CB796" s="156"/>
      <c r="CC796" s="156"/>
      <c r="CD796" s="156"/>
      <c r="CE796" s="156"/>
      <c r="CF796" s="156"/>
      <c r="CG796" s="156"/>
      <c r="CH796" s="156"/>
      <c r="CI796" s="156"/>
      <c r="CJ796" s="156"/>
      <c r="CK796" s="156"/>
      <c r="CL796" s="156"/>
      <c r="CM796" s="156"/>
      <c r="CN796" s="156"/>
      <c r="CO796" s="156"/>
      <c r="CP796" s="156"/>
      <c r="CQ796" s="156"/>
      <c r="CR796" s="156"/>
      <c r="CS796" s="156"/>
      <c r="CT796" s="156"/>
      <c r="CU796" s="156"/>
      <c r="CV796" s="156"/>
      <c r="CW796" s="156"/>
      <c r="CX796" s="156"/>
      <c r="CY796" s="156"/>
      <c r="CZ796" s="156"/>
      <c r="DA796" s="156"/>
      <c r="DB796" s="156"/>
      <c r="DC796" s="156"/>
      <c r="DD796" s="156"/>
      <c r="DE796" s="156"/>
      <c r="DF796" s="156"/>
      <c r="DG796" s="156"/>
      <c r="DH796" s="156"/>
      <c r="DI796" s="156"/>
      <c r="DJ796" s="156"/>
      <c r="DK796" s="156"/>
      <c r="DL796" s="156"/>
      <c r="DM796" s="156"/>
      <c r="DN796" s="156"/>
      <c r="DO796" s="156"/>
      <c r="DP796" s="156"/>
      <c r="DQ796" s="156"/>
      <c r="DR796" s="156"/>
      <c r="DS796" s="156"/>
      <c r="DT796" s="156"/>
      <c r="DU796" s="156"/>
      <c r="DV796" s="156"/>
      <c r="DW796" s="156"/>
      <c r="DX796" s="156"/>
      <c r="DY796" s="156"/>
      <c r="DZ796" s="156"/>
      <c r="EA796" s="156"/>
      <c r="EB796" s="156"/>
      <c r="EC796" s="156"/>
      <c r="ED796" s="156"/>
      <c r="EE796" s="156"/>
      <c r="EF796" s="156"/>
      <c r="EG796" s="156"/>
      <c r="EH796" s="156"/>
      <c r="EI796" s="156"/>
      <c r="EJ796" s="156"/>
      <c r="EK796" s="156"/>
      <c r="EL796" s="156"/>
      <c r="EM796" s="156"/>
    </row>
    <row r="797" spans="20:143" ht="10.5" customHeight="1">
      <c r="T797" s="156"/>
      <c r="AZ797" s="156"/>
      <c r="BA797" s="156"/>
      <c r="BB797" s="156"/>
      <c r="BC797" s="156"/>
      <c r="BD797" s="156"/>
      <c r="BE797" s="156"/>
      <c r="BF797" s="156"/>
      <c r="BG797" s="156"/>
      <c r="BH797" s="156"/>
      <c r="BI797" s="156"/>
      <c r="BJ797" s="156"/>
      <c r="BK797" s="156"/>
      <c r="BL797" s="156"/>
      <c r="BM797" s="156"/>
      <c r="BN797" s="156"/>
      <c r="BO797" s="156"/>
      <c r="BP797" s="156"/>
      <c r="BQ797" s="156"/>
      <c r="BR797" s="156"/>
      <c r="BS797" s="156"/>
      <c r="BT797" s="156"/>
      <c r="BU797" s="156"/>
      <c r="BV797" s="156"/>
      <c r="BW797" s="156"/>
      <c r="BX797" s="156"/>
      <c r="BY797" s="156"/>
      <c r="BZ797" s="156"/>
      <c r="CA797" s="156"/>
      <c r="CB797" s="156"/>
      <c r="CC797" s="156"/>
      <c r="CD797" s="156"/>
      <c r="CE797" s="156"/>
      <c r="CF797" s="156"/>
      <c r="CG797" s="156"/>
      <c r="CH797" s="156"/>
      <c r="CI797" s="156"/>
      <c r="CJ797" s="156"/>
      <c r="CK797" s="156"/>
      <c r="CL797" s="156"/>
      <c r="CM797" s="156"/>
      <c r="CN797" s="156"/>
      <c r="CO797" s="156"/>
      <c r="CP797" s="156"/>
      <c r="CQ797" s="156"/>
      <c r="CR797" s="156"/>
      <c r="CS797" s="156"/>
      <c r="CT797" s="156"/>
      <c r="CU797" s="156"/>
      <c r="CV797" s="156"/>
      <c r="CW797" s="156"/>
      <c r="CX797" s="156"/>
      <c r="CY797" s="156"/>
      <c r="CZ797" s="156"/>
      <c r="DA797" s="156"/>
      <c r="DB797" s="156"/>
      <c r="DC797" s="156"/>
      <c r="DD797" s="156"/>
      <c r="DE797" s="156"/>
      <c r="DF797" s="156"/>
      <c r="DG797" s="156"/>
      <c r="DH797" s="156"/>
      <c r="DI797" s="156"/>
      <c r="DJ797" s="156"/>
      <c r="DK797" s="156"/>
      <c r="DL797" s="156"/>
      <c r="DM797" s="156"/>
      <c r="DN797" s="156"/>
      <c r="DO797" s="156"/>
      <c r="DP797" s="156"/>
      <c r="DQ797" s="156"/>
      <c r="DR797" s="156"/>
      <c r="DS797" s="156"/>
      <c r="DT797" s="156"/>
      <c r="DU797" s="156"/>
      <c r="DV797" s="156"/>
      <c r="DW797" s="156"/>
      <c r="DX797" s="156"/>
      <c r="DY797" s="156"/>
      <c r="DZ797" s="156"/>
      <c r="EA797" s="156"/>
      <c r="EB797" s="156"/>
      <c r="EC797" s="156"/>
      <c r="ED797" s="156"/>
      <c r="EE797" s="156"/>
      <c r="EF797" s="156"/>
      <c r="EG797" s="156"/>
      <c r="EH797" s="156"/>
      <c r="EI797" s="156"/>
      <c r="EJ797" s="156"/>
      <c r="EK797" s="156"/>
      <c r="EL797" s="156"/>
      <c r="EM797" s="156"/>
    </row>
    <row r="798" spans="20:143" ht="10.5" customHeight="1">
      <c r="T798" s="156"/>
      <c r="AZ798" s="156"/>
      <c r="BA798" s="156"/>
      <c r="BB798" s="156"/>
      <c r="BC798" s="156"/>
      <c r="BD798" s="156"/>
      <c r="BE798" s="156"/>
      <c r="BF798" s="156"/>
      <c r="BG798" s="156"/>
      <c r="BH798" s="156"/>
      <c r="BI798" s="156"/>
      <c r="BJ798" s="156"/>
      <c r="BK798" s="156"/>
      <c r="BL798" s="156"/>
      <c r="BM798" s="156"/>
      <c r="BN798" s="156"/>
      <c r="BO798" s="156"/>
      <c r="BP798" s="156"/>
      <c r="BQ798" s="156"/>
      <c r="BR798" s="156"/>
      <c r="BS798" s="156"/>
      <c r="BT798" s="156"/>
      <c r="BU798" s="156"/>
      <c r="BV798" s="156"/>
      <c r="BW798" s="156"/>
      <c r="BX798" s="156"/>
      <c r="BY798" s="156"/>
      <c r="BZ798" s="156"/>
      <c r="CA798" s="156"/>
      <c r="CB798" s="156"/>
      <c r="CC798" s="156"/>
      <c r="CD798" s="156"/>
      <c r="CE798" s="156"/>
      <c r="CF798" s="156"/>
      <c r="CG798" s="156"/>
      <c r="CH798" s="156"/>
      <c r="CI798" s="156"/>
      <c r="CJ798" s="156"/>
      <c r="CK798" s="156"/>
      <c r="CL798" s="156"/>
      <c r="CM798" s="156"/>
      <c r="CN798" s="156"/>
      <c r="CO798" s="156"/>
      <c r="CP798" s="156"/>
      <c r="CQ798" s="156"/>
      <c r="CR798" s="156"/>
      <c r="CS798" s="156"/>
      <c r="CT798" s="156"/>
      <c r="CU798" s="156"/>
      <c r="CV798" s="156"/>
      <c r="CW798" s="156"/>
      <c r="CX798" s="156"/>
      <c r="CY798" s="156"/>
      <c r="CZ798" s="156"/>
      <c r="DA798" s="156"/>
      <c r="DB798" s="156"/>
      <c r="DC798" s="156"/>
      <c r="DD798" s="156"/>
      <c r="DE798" s="156"/>
      <c r="DF798" s="156"/>
      <c r="DG798" s="156"/>
      <c r="DH798" s="156"/>
      <c r="DI798" s="156"/>
      <c r="DJ798" s="156"/>
      <c r="DK798" s="156"/>
      <c r="DL798" s="156"/>
      <c r="DM798" s="156"/>
      <c r="DN798" s="156"/>
      <c r="DO798" s="156"/>
      <c r="DP798" s="156"/>
      <c r="DQ798" s="156"/>
      <c r="DR798" s="156"/>
      <c r="DS798" s="156"/>
      <c r="DT798" s="156"/>
      <c r="DU798" s="156"/>
      <c r="DV798" s="156"/>
      <c r="DW798" s="156"/>
      <c r="DX798" s="156"/>
      <c r="DY798" s="156"/>
      <c r="DZ798" s="156"/>
      <c r="EA798" s="156"/>
      <c r="EB798" s="156"/>
      <c r="EC798" s="156"/>
      <c r="ED798" s="156"/>
      <c r="EE798" s="156"/>
      <c r="EF798" s="156"/>
      <c r="EG798" s="156"/>
      <c r="EH798" s="156"/>
      <c r="EI798" s="156"/>
      <c r="EJ798" s="156"/>
      <c r="EK798" s="156"/>
      <c r="EL798" s="156"/>
      <c r="EM798" s="156"/>
    </row>
    <row r="799" spans="20:143" ht="10.5" customHeight="1">
      <c r="T799" s="156"/>
      <c r="AZ799" s="156"/>
      <c r="BA799" s="156"/>
      <c r="BB799" s="156"/>
      <c r="BC799" s="156"/>
      <c r="BD799" s="156"/>
      <c r="BE799" s="156"/>
      <c r="BF799" s="156"/>
      <c r="BG799" s="156"/>
      <c r="BH799" s="156"/>
      <c r="BI799" s="156"/>
      <c r="BJ799" s="156"/>
      <c r="BK799" s="156"/>
      <c r="BL799" s="156"/>
      <c r="BM799" s="156"/>
      <c r="BN799" s="156"/>
      <c r="BO799" s="156"/>
      <c r="BP799" s="156"/>
      <c r="BQ799" s="156"/>
      <c r="BR799" s="156"/>
      <c r="BS799" s="156"/>
      <c r="BT799" s="156"/>
      <c r="BU799" s="156"/>
      <c r="BV799" s="156"/>
      <c r="BW799" s="156"/>
      <c r="BX799" s="156"/>
      <c r="BY799" s="156"/>
      <c r="BZ799" s="156"/>
      <c r="CA799" s="156"/>
      <c r="CB799" s="156"/>
      <c r="CC799" s="156"/>
      <c r="CD799" s="156"/>
      <c r="CE799" s="156"/>
      <c r="CF799" s="156"/>
      <c r="CG799" s="156"/>
      <c r="CH799" s="156"/>
      <c r="CI799" s="156"/>
      <c r="CJ799" s="156"/>
      <c r="CK799" s="156"/>
      <c r="CL799" s="156"/>
      <c r="CM799" s="156"/>
      <c r="CN799" s="156"/>
      <c r="CO799" s="156"/>
      <c r="CP799" s="156"/>
      <c r="CQ799" s="156"/>
      <c r="CR799" s="156"/>
      <c r="CS799" s="156"/>
      <c r="CT799" s="156"/>
      <c r="CU799" s="156"/>
      <c r="CV799" s="156"/>
      <c r="CW799" s="156"/>
      <c r="CX799" s="156"/>
      <c r="CY799" s="156"/>
      <c r="CZ799" s="156"/>
      <c r="DA799" s="156"/>
      <c r="DB799" s="156"/>
      <c r="DC799" s="156"/>
      <c r="DD799" s="156"/>
      <c r="DE799" s="156"/>
      <c r="DF799" s="156"/>
      <c r="DG799" s="156"/>
      <c r="DH799" s="156"/>
      <c r="DI799" s="156"/>
      <c r="DJ799" s="156"/>
      <c r="DK799" s="156"/>
      <c r="DL799" s="156"/>
      <c r="DM799" s="156"/>
      <c r="DN799" s="156"/>
      <c r="DO799" s="156"/>
      <c r="DP799" s="156"/>
      <c r="DQ799" s="156"/>
      <c r="DR799" s="156"/>
      <c r="DS799" s="156"/>
      <c r="DT799" s="156"/>
      <c r="DU799" s="156"/>
      <c r="DV799" s="156"/>
      <c r="DW799" s="156"/>
      <c r="DX799" s="156"/>
      <c r="DY799" s="156"/>
      <c r="DZ799" s="156"/>
      <c r="EA799" s="156"/>
      <c r="EB799" s="156"/>
      <c r="EC799" s="156"/>
      <c r="ED799" s="156"/>
      <c r="EE799" s="156"/>
      <c r="EF799" s="156"/>
      <c r="EG799" s="156"/>
      <c r="EH799" s="156"/>
      <c r="EI799" s="156"/>
      <c r="EJ799" s="156"/>
      <c r="EK799" s="156"/>
      <c r="EL799" s="156"/>
      <c r="EM799" s="156"/>
    </row>
    <row r="800" spans="20:143" ht="10.5" customHeight="1">
      <c r="T800" s="156"/>
      <c r="AZ800" s="156"/>
      <c r="BA800" s="156"/>
      <c r="BB800" s="156"/>
      <c r="BC800" s="156"/>
      <c r="BD800" s="156"/>
      <c r="BE800" s="156"/>
      <c r="BF800" s="156"/>
      <c r="BG800" s="156"/>
      <c r="BH800" s="156"/>
      <c r="BI800" s="156"/>
      <c r="BJ800" s="156"/>
      <c r="BK800" s="156"/>
      <c r="BL800" s="156"/>
      <c r="BM800" s="156"/>
      <c r="BN800" s="156"/>
      <c r="BO800" s="156"/>
      <c r="BP800" s="156"/>
      <c r="BQ800" s="156"/>
      <c r="BR800" s="156"/>
      <c r="BS800" s="156"/>
      <c r="BT800" s="156"/>
      <c r="BU800" s="156"/>
      <c r="BV800" s="156"/>
      <c r="BW800" s="156"/>
      <c r="BX800" s="156"/>
      <c r="BY800" s="156"/>
      <c r="BZ800" s="156"/>
      <c r="CA800" s="156"/>
      <c r="CB800" s="156"/>
      <c r="CC800" s="156"/>
      <c r="CD800" s="156"/>
      <c r="CE800" s="156"/>
      <c r="CF800" s="156"/>
      <c r="CG800" s="156"/>
      <c r="CH800" s="156"/>
      <c r="CI800" s="156"/>
      <c r="CJ800" s="156"/>
      <c r="CK800" s="156"/>
      <c r="CL800" s="156"/>
      <c r="CM800" s="156"/>
      <c r="CN800" s="156"/>
      <c r="CO800" s="156"/>
      <c r="CP800" s="156"/>
      <c r="CQ800" s="156"/>
      <c r="CR800" s="156"/>
      <c r="CS800" s="156"/>
      <c r="CT800" s="156"/>
      <c r="CU800" s="156"/>
      <c r="CV800" s="156"/>
      <c r="CW800" s="156"/>
      <c r="CX800" s="156"/>
      <c r="CY800" s="156"/>
      <c r="CZ800" s="156"/>
      <c r="DA800" s="156"/>
      <c r="DB800" s="156"/>
      <c r="DC800" s="156"/>
      <c r="DD800" s="156"/>
      <c r="DE800" s="156"/>
      <c r="DF800" s="156"/>
      <c r="DG800" s="156"/>
      <c r="DH800" s="156"/>
      <c r="DI800" s="156"/>
      <c r="DJ800" s="156"/>
      <c r="DK800" s="156"/>
      <c r="DL800" s="156"/>
      <c r="DM800" s="156"/>
      <c r="DN800" s="156"/>
      <c r="DO800" s="156"/>
      <c r="DP800" s="156"/>
      <c r="DQ800" s="156"/>
      <c r="DR800" s="156"/>
      <c r="DS800" s="156"/>
      <c r="DT800" s="156"/>
      <c r="DU800" s="156"/>
      <c r="DV800" s="156"/>
      <c r="DW800" s="156"/>
      <c r="DX800" s="156"/>
      <c r="DY800" s="156"/>
      <c r="DZ800" s="156"/>
      <c r="EA800" s="156"/>
      <c r="EB800" s="156"/>
      <c r="EC800" s="156"/>
      <c r="ED800" s="156"/>
      <c r="EE800" s="156"/>
      <c r="EF800" s="156"/>
      <c r="EG800" s="156"/>
      <c r="EH800" s="156"/>
      <c r="EI800" s="156"/>
      <c r="EJ800" s="156"/>
      <c r="EK800" s="156"/>
      <c r="EL800" s="156"/>
      <c r="EM800" s="156"/>
    </row>
    <row r="801" spans="20:143" ht="10.5" customHeight="1">
      <c r="T801" s="156"/>
      <c r="AZ801" s="156"/>
      <c r="BA801" s="156"/>
      <c r="BB801" s="156"/>
      <c r="BC801" s="156"/>
      <c r="BD801" s="156"/>
      <c r="BE801" s="156"/>
      <c r="BF801" s="156"/>
      <c r="BG801" s="156"/>
      <c r="BH801" s="156"/>
      <c r="BI801" s="156"/>
      <c r="BJ801" s="156"/>
      <c r="BK801" s="156"/>
      <c r="BL801" s="156"/>
      <c r="BM801" s="156"/>
      <c r="BN801" s="156"/>
      <c r="BO801" s="156"/>
      <c r="BP801" s="156"/>
      <c r="BQ801" s="156"/>
      <c r="BR801" s="156"/>
      <c r="BS801" s="156"/>
      <c r="BT801" s="156"/>
      <c r="BU801" s="156"/>
      <c r="BV801" s="156"/>
      <c r="BW801" s="156"/>
      <c r="BX801" s="156"/>
      <c r="BY801" s="156"/>
      <c r="BZ801" s="156"/>
      <c r="CA801" s="156"/>
      <c r="CB801" s="156"/>
      <c r="CC801" s="156"/>
      <c r="CD801" s="156"/>
      <c r="CE801" s="156"/>
      <c r="CF801" s="156"/>
      <c r="CG801" s="156"/>
      <c r="CH801" s="156"/>
      <c r="CI801" s="156"/>
      <c r="CJ801" s="156"/>
      <c r="CK801" s="156"/>
      <c r="CL801" s="156"/>
      <c r="CM801" s="156"/>
      <c r="CN801" s="156"/>
      <c r="CO801" s="156"/>
      <c r="CP801" s="156"/>
      <c r="CQ801" s="156"/>
      <c r="CR801" s="156"/>
      <c r="CS801" s="156"/>
      <c r="CT801" s="156"/>
      <c r="CU801" s="156"/>
      <c r="CV801" s="156"/>
      <c r="CW801" s="156"/>
      <c r="CX801" s="156"/>
      <c r="CY801" s="156"/>
      <c r="CZ801" s="156"/>
      <c r="DA801" s="156"/>
      <c r="DB801" s="156"/>
      <c r="DC801" s="156"/>
      <c r="DD801" s="156"/>
      <c r="DE801" s="156"/>
      <c r="DF801" s="156"/>
      <c r="DG801" s="156"/>
      <c r="DH801" s="156"/>
      <c r="DI801" s="156"/>
      <c r="DJ801" s="156"/>
      <c r="DK801" s="156"/>
      <c r="DL801" s="156"/>
      <c r="DM801" s="156"/>
      <c r="DN801" s="156"/>
      <c r="DO801" s="156"/>
      <c r="DP801" s="156"/>
      <c r="DQ801" s="156"/>
      <c r="DR801" s="156"/>
      <c r="DS801" s="156"/>
      <c r="DT801" s="156"/>
      <c r="DU801" s="156"/>
      <c r="DV801" s="156"/>
      <c r="DW801" s="156"/>
      <c r="DX801" s="156"/>
      <c r="DY801" s="156"/>
      <c r="DZ801" s="156"/>
      <c r="EA801" s="156"/>
      <c r="EB801" s="156"/>
      <c r="EC801" s="156"/>
      <c r="ED801" s="156"/>
      <c r="EE801" s="156"/>
      <c r="EF801" s="156"/>
      <c r="EG801" s="156"/>
      <c r="EH801" s="156"/>
      <c r="EI801" s="156"/>
      <c r="EJ801" s="156"/>
      <c r="EK801" s="156"/>
      <c r="EL801" s="156"/>
      <c r="EM801" s="156"/>
    </row>
    <row r="802" spans="20:143" ht="10.5" customHeight="1">
      <c r="T802" s="156"/>
      <c r="AZ802" s="156"/>
      <c r="BA802" s="156"/>
      <c r="BB802" s="156"/>
      <c r="BC802" s="156"/>
      <c r="BD802" s="156"/>
      <c r="BE802" s="156"/>
      <c r="BF802" s="156"/>
      <c r="BG802" s="156"/>
      <c r="BH802" s="156"/>
      <c r="BI802" s="156"/>
      <c r="BJ802" s="156"/>
      <c r="BK802" s="156"/>
      <c r="BL802" s="156"/>
      <c r="BM802" s="156"/>
      <c r="BN802" s="156"/>
      <c r="BO802" s="156"/>
      <c r="BP802" s="156"/>
      <c r="BQ802" s="156"/>
      <c r="BR802" s="156"/>
      <c r="BS802" s="156"/>
      <c r="BT802" s="156"/>
      <c r="BU802" s="156"/>
      <c r="BV802" s="156"/>
      <c r="BW802" s="156"/>
      <c r="BX802" s="156"/>
      <c r="BY802" s="156"/>
      <c r="BZ802" s="156"/>
      <c r="CA802" s="156"/>
      <c r="CB802" s="156"/>
      <c r="CC802" s="156"/>
      <c r="CD802" s="156"/>
      <c r="CE802" s="156"/>
      <c r="CF802" s="156"/>
      <c r="CG802" s="156"/>
      <c r="CH802" s="156"/>
      <c r="CI802" s="156"/>
      <c r="CJ802" s="156"/>
      <c r="CK802" s="156"/>
      <c r="CL802" s="156"/>
      <c r="CM802" s="156"/>
      <c r="CN802" s="156"/>
      <c r="CO802" s="156"/>
      <c r="CP802" s="156"/>
      <c r="CQ802" s="156"/>
      <c r="CR802" s="156"/>
      <c r="CS802" s="156"/>
      <c r="CT802" s="156"/>
      <c r="CU802" s="156"/>
      <c r="CV802" s="156"/>
      <c r="CW802" s="156"/>
      <c r="CX802" s="156"/>
      <c r="CY802" s="156"/>
      <c r="CZ802" s="156"/>
      <c r="DA802" s="156"/>
      <c r="DB802" s="156"/>
      <c r="DC802" s="156"/>
      <c r="DD802" s="156"/>
      <c r="DE802" s="156"/>
      <c r="DF802" s="156"/>
      <c r="DG802" s="156"/>
      <c r="DH802" s="156"/>
      <c r="DI802" s="156"/>
      <c r="DJ802" s="156"/>
      <c r="DK802" s="156"/>
      <c r="DL802" s="156"/>
      <c r="DM802" s="156"/>
      <c r="DN802" s="156"/>
      <c r="DO802" s="156"/>
      <c r="DP802" s="156"/>
      <c r="DQ802" s="156"/>
      <c r="DR802" s="156"/>
      <c r="DS802" s="156"/>
      <c r="DT802" s="156"/>
      <c r="DU802" s="156"/>
      <c r="DV802" s="156"/>
      <c r="DW802" s="156"/>
      <c r="DX802" s="156"/>
      <c r="DY802" s="156"/>
      <c r="DZ802" s="156"/>
      <c r="EA802" s="156"/>
      <c r="EB802" s="156"/>
      <c r="EC802" s="156"/>
      <c r="ED802" s="156"/>
      <c r="EE802" s="156"/>
      <c r="EF802" s="156"/>
      <c r="EG802" s="156"/>
      <c r="EH802" s="156"/>
      <c r="EI802" s="156"/>
      <c r="EJ802" s="156"/>
      <c r="EK802" s="156"/>
      <c r="EL802" s="156"/>
      <c r="EM802" s="156"/>
    </row>
    <row r="803" spans="20:143" ht="10.5" customHeight="1">
      <c r="T803" s="156"/>
      <c r="AZ803" s="156"/>
      <c r="BA803" s="156"/>
      <c r="BB803" s="156"/>
      <c r="BC803" s="156"/>
      <c r="BD803" s="156"/>
      <c r="BE803" s="156"/>
      <c r="BF803" s="156"/>
      <c r="BG803" s="156"/>
      <c r="BH803" s="156"/>
      <c r="BI803" s="156"/>
      <c r="BJ803" s="156"/>
      <c r="BK803" s="156"/>
      <c r="BL803" s="156"/>
      <c r="BM803" s="156"/>
      <c r="BN803" s="156"/>
      <c r="BO803" s="156"/>
      <c r="BP803" s="156"/>
      <c r="BQ803" s="156"/>
      <c r="BR803" s="156"/>
      <c r="BS803" s="156"/>
      <c r="BT803" s="156"/>
      <c r="BU803" s="156"/>
      <c r="BV803" s="156"/>
      <c r="BW803" s="156"/>
      <c r="BX803" s="156"/>
      <c r="BY803" s="156"/>
      <c r="BZ803" s="156"/>
      <c r="CA803" s="156"/>
      <c r="CB803" s="156"/>
      <c r="CC803" s="156"/>
      <c r="CD803" s="156"/>
      <c r="CE803" s="156"/>
      <c r="CF803" s="156"/>
      <c r="CG803" s="156"/>
      <c r="CH803" s="156"/>
      <c r="CI803" s="156"/>
      <c r="CJ803" s="156"/>
      <c r="CK803" s="156"/>
      <c r="CL803" s="156"/>
      <c r="CM803" s="156"/>
      <c r="CN803" s="156"/>
      <c r="CO803" s="156"/>
      <c r="CP803" s="156"/>
      <c r="CQ803" s="156"/>
      <c r="CR803" s="156"/>
      <c r="CS803" s="156"/>
      <c r="CT803" s="156"/>
      <c r="CU803" s="156"/>
      <c r="CV803" s="156"/>
      <c r="CW803" s="156"/>
      <c r="CX803" s="156"/>
      <c r="CY803" s="156"/>
      <c r="CZ803" s="156"/>
      <c r="DA803" s="156"/>
      <c r="DB803" s="156"/>
      <c r="DC803" s="156"/>
      <c r="DD803" s="156"/>
      <c r="DE803" s="156"/>
      <c r="DF803" s="156"/>
      <c r="DG803" s="156"/>
      <c r="DH803" s="156"/>
      <c r="DI803" s="156"/>
      <c r="DJ803" s="156"/>
      <c r="DK803" s="156"/>
      <c r="DL803" s="156"/>
      <c r="DM803" s="156"/>
      <c r="DN803" s="156"/>
      <c r="DO803" s="156"/>
      <c r="DP803" s="156"/>
      <c r="DQ803" s="156"/>
      <c r="DR803" s="156"/>
      <c r="DS803" s="156"/>
      <c r="DT803" s="156"/>
      <c r="DU803" s="156"/>
      <c r="DV803" s="156"/>
      <c r="DW803" s="156"/>
      <c r="DX803" s="156"/>
      <c r="DY803" s="156"/>
      <c r="DZ803" s="156"/>
      <c r="EA803" s="156"/>
      <c r="EB803" s="156"/>
      <c r="EC803" s="156"/>
      <c r="ED803" s="156"/>
      <c r="EE803" s="156"/>
      <c r="EF803" s="156"/>
      <c r="EG803" s="156"/>
      <c r="EH803" s="156"/>
      <c r="EI803" s="156"/>
      <c r="EJ803" s="156"/>
      <c r="EK803" s="156"/>
      <c r="EL803" s="156"/>
      <c r="EM803" s="156"/>
    </row>
    <row r="804" spans="20:143" ht="10.5" customHeight="1">
      <c r="T804" s="156"/>
      <c r="AZ804" s="156"/>
      <c r="BA804" s="156"/>
      <c r="BB804" s="156"/>
      <c r="BC804" s="156"/>
      <c r="BD804" s="156"/>
      <c r="BE804" s="156"/>
      <c r="BF804" s="156"/>
      <c r="BG804" s="156"/>
      <c r="BH804" s="156"/>
      <c r="BI804" s="156"/>
      <c r="BJ804" s="156"/>
      <c r="BK804" s="156"/>
      <c r="BL804" s="156"/>
      <c r="BM804" s="156"/>
      <c r="BN804" s="156"/>
      <c r="BO804" s="156"/>
      <c r="BP804" s="156"/>
      <c r="BQ804" s="156"/>
      <c r="BR804" s="156"/>
      <c r="BS804" s="156"/>
      <c r="BT804" s="156"/>
      <c r="BU804" s="156"/>
      <c r="BV804" s="156"/>
      <c r="BW804" s="156"/>
      <c r="BX804" s="156"/>
      <c r="BY804" s="156"/>
      <c r="BZ804" s="156"/>
      <c r="CA804" s="156"/>
      <c r="CB804" s="156"/>
      <c r="CC804" s="156"/>
      <c r="CD804" s="156"/>
      <c r="CE804" s="156"/>
      <c r="CF804" s="156"/>
      <c r="CG804" s="156"/>
      <c r="CH804" s="156"/>
      <c r="CI804" s="156"/>
      <c r="CJ804" s="156"/>
      <c r="CK804" s="156"/>
      <c r="CL804" s="156"/>
      <c r="CM804" s="156"/>
      <c r="CN804" s="156"/>
      <c r="CO804" s="156"/>
      <c r="CP804" s="156"/>
      <c r="CQ804" s="156"/>
      <c r="CR804" s="156"/>
      <c r="CS804" s="156"/>
      <c r="CT804" s="156"/>
      <c r="CU804" s="156"/>
      <c r="CV804" s="156"/>
      <c r="CW804" s="156"/>
      <c r="CX804" s="156"/>
      <c r="CY804" s="156"/>
      <c r="CZ804" s="156"/>
      <c r="DA804" s="156"/>
      <c r="DB804" s="156"/>
      <c r="DC804" s="156"/>
      <c r="DD804" s="156"/>
      <c r="DE804" s="156"/>
      <c r="DF804" s="156"/>
      <c r="DG804" s="156"/>
      <c r="DH804" s="156"/>
      <c r="DI804" s="156"/>
      <c r="DJ804" s="156"/>
      <c r="DK804" s="156"/>
      <c r="DL804" s="156"/>
      <c r="DM804" s="156"/>
      <c r="DN804" s="156"/>
      <c r="DO804" s="156"/>
      <c r="DP804" s="156"/>
      <c r="DQ804" s="156"/>
      <c r="DR804" s="156"/>
      <c r="DS804" s="156"/>
      <c r="DT804" s="156"/>
      <c r="DU804" s="156"/>
      <c r="DV804" s="156"/>
      <c r="DW804" s="156"/>
      <c r="DX804" s="156"/>
      <c r="DY804" s="156"/>
      <c r="DZ804" s="156"/>
      <c r="EA804" s="156"/>
      <c r="EB804" s="156"/>
      <c r="EC804" s="156"/>
      <c r="ED804" s="156"/>
      <c r="EE804" s="156"/>
      <c r="EF804" s="156"/>
      <c r="EG804" s="156"/>
      <c r="EH804" s="156"/>
      <c r="EI804" s="156"/>
      <c r="EJ804" s="156"/>
      <c r="EK804" s="156"/>
      <c r="EL804" s="156"/>
      <c r="EM804" s="156"/>
    </row>
    <row r="805" spans="20:143" ht="10.5" customHeight="1">
      <c r="T805" s="156"/>
      <c r="AZ805" s="156"/>
      <c r="BA805" s="156"/>
      <c r="BB805" s="156"/>
      <c r="BC805" s="156"/>
      <c r="BD805" s="156"/>
      <c r="BE805" s="156"/>
      <c r="BF805" s="156"/>
      <c r="BG805" s="156"/>
      <c r="BH805" s="156"/>
      <c r="BI805" s="156"/>
      <c r="BJ805" s="156"/>
      <c r="BK805" s="156"/>
      <c r="BL805" s="156"/>
      <c r="BM805" s="156"/>
      <c r="BN805" s="156"/>
      <c r="BO805" s="156"/>
      <c r="BP805" s="156"/>
      <c r="BQ805" s="156"/>
      <c r="BR805" s="156"/>
      <c r="BS805" s="156"/>
      <c r="BT805" s="156"/>
      <c r="BU805" s="156"/>
      <c r="BV805" s="156"/>
      <c r="BW805" s="156"/>
      <c r="BX805" s="156"/>
      <c r="BY805" s="156"/>
      <c r="BZ805" s="156"/>
      <c r="CA805" s="156"/>
      <c r="CB805" s="156"/>
      <c r="CC805" s="156"/>
      <c r="CD805" s="156"/>
      <c r="CE805" s="156"/>
      <c r="CF805" s="156"/>
      <c r="CG805" s="156"/>
      <c r="CH805" s="156"/>
      <c r="CI805" s="156"/>
      <c r="CJ805" s="156"/>
      <c r="CK805" s="156"/>
      <c r="CL805" s="156"/>
      <c r="CM805" s="156"/>
      <c r="CN805" s="156"/>
      <c r="CO805" s="156"/>
      <c r="CP805" s="156"/>
      <c r="CQ805" s="156"/>
      <c r="CR805" s="156"/>
      <c r="CS805" s="156"/>
      <c r="CT805" s="156"/>
      <c r="CU805" s="156"/>
      <c r="CV805" s="156"/>
      <c r="CW805" s="156"/>
      <c r="CX805" s="156"/>
      <c r="CY805" s="156"/>
      <c r="CZ805" s="156"/>
      <c r="DA805" s="156"/>
      <c r="DB805" s="156"/>
      <c r="DC805" s="156"/>
      <c r="DD805" s="156"/>
      <c r="DE805" s="156"/>
      <c r="DF805" s="156"/>
      <c r="DG805" s="156"/>
      <c r="DH805" s="156"/>
      <c r="DI805" s="156"/>
      <c r="DJ805" s="156"/>
      <c r="DK805" s="156"/>
      <c r="DL805" s="156"/>
      <c r="DM805" s="156"/>
      <c r="DN805" s="156"/>
      <c r="DO805" s="156"/>
      <c r="DP805" s="156"/>
      <c r="DQ805" s="156"/>
      <c r="DR805" s="156"/>
      <c r="DS805" s="156"/>
      <c r="DT805" s="156"/>
      <c r="DU805" s="156"/>
      <c r="DV805" s="156"/>
      <c r="DW805" s="156"/>
      <c r="DX805" s="156"/>
      <c r="DY805" s="156"/>
      <c r="DZ805" s="156"/>
      <c r="EA805" s="156"/>
      <c r="EB805" s="156"/>
      <c r="EC805" s="156"/>
      <c r="ED805" s="156"/>
      <c r="EE805" s="156"/>
      <c r="EF805" s="156"/>
      <c r="EG805" s="156"/>
      <c r="EH805" s="156"/>
      <c r="EI805" s="156"/>
      <c r="EJ805" s="156"/>
      <c r="EK805" s="156"/>
      <c r="EL805" s="156"/>
      <c r="EM805" s="156"/>
    </row>
    <row r="806" spans="20:143" ht="10.5" customHeight="1">
      <c r="T806" s="156"/>
      <c r="AZ806" s="156"/>
      <c r="BA806" s="156"/>
      <c r="BB806" s="156"/>
      <c r="BC806" s="156"/>
      <c r="BD806" s="156"/>
      <c r="BE806" s="156"/>
      <c r="BF806" s="156"/>
      <c r="BG806" s="156"/>
      <c r="BH806" s="156"/>
      <c r="BI806" s="156"/>
      <c r="BJ806" s="156"/>
      <c r="BK806" s="156"/>
      <c r="BL806" s="156"/>
      <c r="BM806" s="156"/>
      <c r="BN806" s="156"/>
      <c r="BO806" s="156"/>
      <c r="BP806" s="156"/>
      <c r="BQ806" s="156"/>
      <c r="BR806" s="156"/>
      <c r="BS806" s="156"/>
      <c r="BT806" s="156"/>
      <c r="BU806" s="156"/>
      <c r="BV806" s="156"/>
      <c r="BW806" s="156"/>
      <c r="BX806" s="156"/>
      <c r="BY806" s="156"/>
      <c r="BZ806" s="156"/>
      <c r="CA806" s="156"/>
      <c r="CB806" s="156"/>
      <c r="CC806" s="156"/>
      <c r="CD806" s="156"/>
      <c r="CE806" s="156"/>
      <c r="CF806" s="156"/>
      <c r="CG806" s="156"/>
      <c r="CH806" s="156"/>
      <c r="CI806" s="156"/>
      <c r="CJ806" s="156"/>
      <c r="CK806" s="156"/>
      <c r="CL806" s="156"/>
      <c r="CM806" s="156"/>
      <c r="CN806" s="156"/>
      <c r="CO806" s="156"/>
      <c r="CP806" s="156"/>
      <c r="CQ806" s="156"/>
      <c r="CR806" s="156"/>
      <c r="CS806" s="156"/>
      <c r="CT806" s="156"/>
      <c r="CU806" s="156"/>
      <c r="CV806" s="156"/>
      <c r="CW806" s="156"/>
      <c r="CX806" s="156"/>
      <c r="CY806" s="156"/>
      <c r="CZ806" s="156"/>
      <c r="DA806" s="156"/>
      <c r="DB806" s="156"/>
      <c r="DC806" s="156"/>
      <c r="DD806" s="156"/>
      <c r="DE806" s="156"/>
      <c r="DF806" s="156"/>
      <c r="DG806" s="156"/>
      <c r="DH806" s="156"/>
      <c r="DI806" s="156"/>
      <c r="DJ806" s="156"/>
      <c r="DK806" s="156"/>
      <c r="DL806" s="156"/>
      <c r="DM806" s="156"/>
      <c r="DN806" s="156"/>
      <c r="DO806" s="156"/>
      <c r="DP806" s="156"/>
      <c r="DQ806" s="156"/>
      <c r="DR806" s="156"/>
      <c r="DS806" s="156"/>
      <c r="DT806" s="156"/>
      <c r="DU806" s="156"/>
      <c r="DV806" s="156"/>
      <c r="DW806" s="156"/>
      <c r="DX806" s="156"/>
      <c r="DY806" s="156"/>
      <c r="DZ806" s="156"/>
      <c r="EA806" s="156"/>
      <c r="EB806" s="156"/>
      <c r="EC806" s="156"/>
      <c r="ED806" s="156"/>
      <c r="EE806" s="156"/>
      <c r="EF806" s="156"/>
      <c r="EG806" s="156"/>
      <c r="EH806" s="156"/>
      <c r="EI806" s="156"/>
      <c r="EJ806" s="156"/>
      <c r="EK806" s="156"/>
      <c r="EL806" s="156"/>
      <c r="EM806" s="156"/>
    </row>
    <row r="807" spans="20:143" ht="10.5" customHeight="1">
      <c r="T807" s="156"/>
      <c r="AZ807" s="156"/>
      <c r="BA807" s="156"/>
      <c r="BB807" s="156"/>
      <c r="BC807" s="156"/>
      <c r="BD807" s="156"/>
      <c r="BE807" s="156"/>
      <c r="BF807" s="156"/>
      <c r="BG807" s="156"/>
      <c r="BH807" s="156"/>
      <c r="BI807" s="156"/>
      <c r="BJ807" s="156"/>
      <c r="BK807" s="156"/>
      <c r="BL807" s="156"/>
      <c r="BM807" s="156"/>
      <c r="BN807" s="156"/>
      <c r="BO807" s="156"/>
      <c r="BP807" s="156"/>
      <c r="BQ807" s="156"/>
      <c r="BR807" s="156"/>
      <c r="BS807" s="156"/>
      <c r="BT807" s="156"/>
      <c r="BU807" s="156"/>
      <c r="BV807" s="156"/>
      <c r="BW807" s="156"/>
      <c r="BX807" s="156"/>
      <c r="BY807" s="156"/>
      <c r="BZ807" s="156"/>
      <c r="CA807" s="156"/>
      <c r="CB807" s="156"/>
      <c r="CC807" s="156"/>
      <c r="CD807" s="156"/>
      <c r="CE807" s="156"/>
      <c r="CF807" s="156"/>
      <c r="CG807" s="156"/>
      <c r="CH807" s="156"/>
      <c r="CI807" s="156"/>
      <c r="CJ807" s="156"/>
      <c r="CK807" s="156"/>
      <c r="CL807" s="156"/>
      <c r="CM807" s="156"/>
      <c r="CN807" s="156"/>
      <c r="CO807" s="156"/>
      <c r="CP807" s="156"/>
      <c r="CQ807" s="156"/>
      <c r="CR807" s="156"/>
      <c r="CS807" s="156"/>
      <c r="CT807" s="156"/>
      <c r="CU807" s="156"/>
      <c r="CV807" s="156"/>
      <c r="CW807" s="156"/>
      <c r="CX807" s="156"/>
      <c r="CY807" s="156"/>
      <c r="CZ807" s="156"/>
      <c r="DA807" s="156"/>
      <c r="DB807" s="156"/>
      <c r="DC807" s="156"/>
      <c r="DD807" s="156"/>
      <c r="DE807" s="156"/>
      <c r="DF807" s="156"/>
      <c r="DG807" s="156"/>
      <c r="DH807" s="156"/>
      <c r="DI807" s="156"/>
      <c r="DJ807" s="156"/>
      <c r="DK807" s="156"/>
      <c r="DL807" s="156"/>
      <c r="DM807" s="156"/>
      <c r="DN807" s="156"/>
      <c r="DO807" s="156"/>
      <c r="DP807" s="156"/>
      <c r="DQ807" s="156"/>
      <c r="DR807" s="156"/>
      <c r="DS807" s="156"/>
      <c r="DT807" s="156"/>
      <c r="DU807" s="156"/>
      <c r="DV807" s="156"/>
      <c r="DW807" s="156"/>
      <c r="DX807" s="156"/>
      <c r="DY807" s="156"/>
      <c r="DZ807" s="156"/>
      <c r="EA807" s="156"/>
      <c r="EB807" s="156"/>
      <c r="EC807" s="156"/>
      <c r="ED807" s="156"/>
      <c r="EE807" s="156"/>
      <c r="EF807" s="156"/>
      <c r="EG807" s="156"/>
      <c r="EH807" s="156"/>
      <c r="EI807" s="156"/>
      <c r="EJ807" s="156"/>
      <c r="EK807" s="156"/>
      <c r="EL807" s="156"/>
      <c r="EM807" s="156"/>
    </row>
    <row r="808" spans="20:143" ht="10.5" customHeight="1">
      <c r="T808" s="156"/>
      <c r="AZ808" s="156"/>
      <c r="BA808" s="156"/>
      <c r="BB808" s="156"/>
      <c r="BC808" s="156"/>
      <c r="BD808" s="156"/>
      <c r="BE808" s="156"/>
      <c r="BF808" s="156"/>
      <c r="BG808" s="156"/>
      <c r="BH808" s="156"/>
      <c r="BI808" s="156"/>
      <c r="BJ808" s="156"/>
      <c r="BK808" s="156"/>
      <c r="BL808" s="156"/>
      <c r="BM808" s="156"/>
      <c r="BN808" s="156"/>
      <c r="BO808" s="156"/>
      <c r="BP808" s="156"/>
      <c r="BQ808" s="156"/>
      <c r="BR808" s="156"/>
      <c r="BS808" s="156"/>
      <c r="BT808" s="156"/>
      <c r="BU808" s="156"/>
      <c r="BV808" s="156"/>
      <c r="BW808" s="156"/>
      <c r="BX808" s="156"/>
      <c r="BY808" s="156"/>
      <c r="BZ808" s="156"/>
      <c r="CA808" s="156"/>
      <c r="CB808" s="156"/>
      <c r="CC808" s="156"/>
      <c r="CD808" s="156"/>
      <c r="CE808" s="156"/>
      <c r="CF808" s="156"/>
      <c r="CG808" s="156"/>
      <c r="CH808" s="156"/>
      <c r="CI808" s="156"/>
      <c r="CJ808" s="156"/>
      <c r="CK808" s="156"/>
      <c r="CL808" s="156"/>
      <c r="CM808" s="156"/>
      <c r="CN808" s="156"/>
      <c r="CO808" s="156"/>
      <c r="CP808" s="156"/>
      <c r="CQ808" s="156"/>
      <c r="CR808" s="156"/>
      <c r="CS808" s="156"/>
      <c r="CT808" s="156"/>
      <c r="CU808" s="156"/>
      <c r="CV808" s="156"/>
      <c r="CW808" s="156"/>
      <c r="CX808" s="156"/>
      <c r="CY808" s="156"/>
      <c r="CZ808" s="156"/>
      <c r="DA808" s="156"/>
      <c r="DB808" s="156"/>
      <c r="DC808" s="156"/>
      <c r="DD808" s="156"/>
      <c r="DE808" s="156"/>
      <c r="DF808" s="156"/>
      <c r="DG808" s="156"/>
      <c r="DH808" s="156"/>
      <c r="DI808" s="156"/>
      <c r="DJ808" s="156"/>
      <c r="DK808" s="156"/>
      <c r="DL808" s="156"/>
      <c r="DM808" s="156"/>
      <c r="DN808" s="156"/>
      <c r="DO808" s="156"/>
      <c r="DP808" s="156"/>
      <c r="DQ808" s="156"/>
      <c r="DR808" s="156"/>
      <c r="DS808" s="156"/>
      <c r="DT808" s="156"/>
      <c r="DU808" s="156"/>
      <c r="DV808" s="156"/>
      <c r="DW808" s="156"/>
      <c r="DX808" s="156"/>
      <c r="DY808" s="156"/>
      <c r="DZ808" s="156"/>
      <c r="EA808" s="156"/>
      <c r="EB808" s="156"/>
      <c r="EC808" s="156"/>
      <c r="ED808" s="156"/>
      <c r="EE808" s="156"/>
      <c r="EF808" s="156"/>
      <c r="EG808" s="156"/>
      <c r="EH808" s="156"/>
      <c r="EI808" s="156"/>
      <c r="EJ808" s="156"/>
      <c r="EK808" s="156"/>
      <c r="EL808" s="156"/>
      <c r="EM808" s="156"/>
    </row>
    <row r="809" spans="20:143" ht="10.5" customHeight="1">
      <c r="T809" s="156"/>
      <c r="AZ809" s="156"/>
      <c r="BA809" s="156"/>
      <c r="BB809" s="156"/>
      <c r="BC809" s="156"/>
      <c r="BD809" s="156"/>
      <c r="BE809" s="156"/>
      <c r="BF809" s="156"/>
      <c r="BG809" s="156"/>
      <c r="BH809" s="156"/>
      <c r="BI809" s="156"/>
      <c r="BJ809" s="156"/>
      <c r="BK809" s="156"/>
      <c r="BL809" s="156"/>
      <c r="BM809" s="156"/>
      <c r="BN809" s="156"/>
      <c r="BO809" s="156"/>
      <c r="BP809" s="156"/>
      <c r="BQ809" s="156"/>
      <c r="BR809" s="156"/>
      <c r="BS809" s="156"/>
      <c r="BT809" s="156"/>
      <c r="BU809" s="156"/>
      <c r="BV809" s="156"/>
      <c r="BW809" s="156"/>
      <c r="BX809" s="156"/>
      <c r="BY809" s="156"/>
      <c r="BZ809" s="156"/>
      <c r="CA809" s="156"/>
      <c r="CB809" s="156"/>
      <c r="CC809" s="156"/>
      <c r="CD809" s="156"/>
      <c r="CE809" s="156"/>
      <c r="CF809" s="156"/>
      <c r="CG809" s="156"/>
      <c r="CH809" s="156"/>
      <c r="CI809" s="156"/>
      <c r="CJ809" s="156"/>
      <c r="CK809" s="156"/>
      <c r="CL809" s="156"/>
      <c r="CM809" s="156"/>
      <c r="CN809" s="156"/>
      <c r="CO809" s="156"/>
      <c r="CP809" s="156"/>
      <c r="CQ809" s="156"/>
      <c r="CR809" s="156"/>
      <c r="CS809" s="156"/>
      <c r="CT809" s="156"/>
      <c r="CU809" s="156"/>
      <c r="CV809" s="156"/>
      <c r="CW809" s="156"/>
      <c r="CX809" s="156"/>
      <c r="CY809" s="156"/>
      <c r="CZ809" s="156"/>
      <c r="DA809" s="156"/>
      <c r="DB809" s="156"/>
      <c r="DC809" s="156"/>
      <c r="DD809" s="156"/>
      <c r="DE809" s="156"/>
      <c r="DF809" s="156"/>
      <c r="DG809" s="156"/>
      <c r="DH809" s="156"/>
      <c r="DI809" s="156"/>
      <c r="DJ809" s="156"/>
      <c r="DK809" s="156"/>
      <c r="DL809" s="156"/>
      <c r="DM809" s="156"/>
      <c r="DN809" s="156"/>
      <c r="DO809" s="156"/>
      <c r="DP809" s="156"/>
      <c r="DQ809" s="156"/>
      <c r="DR809" s="156"/>
      <c r="DS809" s="156"/>
      <c r="DT809" s="156"/>
      <c r="DU809" s="156"/>
      <c r="DV809" s="156"/>
      <c r="DW809" s="156"/>
      <c r="DX809" s="156"/>
      <c r="DY809" s="156"/>
      <c r="DZ809" s="156"/>
      <c r="EA809" s="156"/>
      <c r="EB809" s="156"/>
      <c r="EC809" s="156"/>
      <c r="ED809" s="156"/>
      <c r="EE809" s="156"/>
      <c r="EF809" s="156"/>
      <c r="EG809" s="156"/>
      <c r="EH809" s="156"/>
      <c r="EI809" s="156"/>
      <c r="EJ809" s="156"/>
      <c r="EK809" s="156"/>
      <c r="EL809" s="156"/>
      <c r="EM809" s="156"/>
    </row>
    <row r="810" spans="20:143" ht="10.5" customHeight="1">
      <c r="T810" s="156"/>
      <c r="AZ810" s="156"/>
      <c r="BA810" s="156"/>
      <c r="BB810" s="156"/>
      <c r="BC810" s="156"/>
      <c r="BD810" s="156"/>
      <c r="BE810" s="156"/>
      <c r="BF810" s="156"/>
      <c r="BG810" s="156"/>
      <c r="BH810" s="156"/>
      <c r="BI810" s="156"/>
      <c r="BJ810" s="156"/>
      <c r="BK810" s="156"/>
      <c r="BL810" s="156"/>
      <c r="BM810" s="156"/>
      <c r="BN810" s="156"/>
      <c r="BO810" s="156"/>
      <c r="BP810" s="156"/>
      <c r="BQ810" s="156"/>
      <c r="BR810" s="156"/>
      <c r="BS810" s="156"/>
      <c r="BT810" s="156"/>
      <c r="BU810" s="156"/>
      <c r="BV810" s="156"/>
      <c r="BW810" s="156"/>
      <c r="BX810" s="156"/>
      <c r="BY810" s="156"/>
      <c r="BZ810" s="156"/>
      <c r="CA810" s="156"/>
      <c r="CB810" s="156"/>
      <c r="CC810" s="156"/>
      <c r="CD810" s="156"/>
      <c r="CE810" s="156"/>
      <c r="CF810" s="156"/>
      <c r="CG810" s="156"/>
      <c r="CH810" s="156"/>
      <c r="CI810" s="156"/>
      <c r="CJ810" s="156"/>
      <c r="CK810" s="156"/>
      <c r="CL810" s="156"/>
      <c r="CM810" s="156"/>
      <c r="CN810" s="156"/>
      <c r="CO810" s="156"/>
      <c r="CP810" s="156"/>
      <c r="CQ810" s="156"/>
      <c r="CR810" s="156"/>
      <c r="CS810" s="156"/>
      <c r="CT810" s="156"/>
      <c r="CU810" s="156"/>
      <c r="CV810" s="156"/>
      <c r="CW810" s="156"/>
      <c r="CX810" s="156"/>
      <c r="CY810" s="156"/>
      <c r="CZ810" s="156"/>
      <c r="DA810" s="156"/>
      <c r="DB810" s="156"/>
      <c r="DC810" s="156"/>
      <c r="DD810" s="156"/>
      <c r="DE810" s="156"/>
      <c r="DF810" s="156"/>
      <c r="DG810" s="156"/>
      <c r="DH810" s="156"/>
      <c r="DI810" s="156"/>
      <c r="DJ810" s="156"/>
      <c r="DK810" s="156"/>
      <c r="DL810" s="156"/>
      <c r="DM810" s="156"/>
      <c r="DN810" s="156"/>
      <c r="DO810" s="156"/>
      <c r="DP810" s="156"/>
      <c r="DQ810" s="156"/>
      <c r="DR810" s="156"/>
      <c r="DS810" s="156"/>
      <c r="DT810" s="156"/>
      <c r="DU810" s="156"/>
      <c r="DV810" s="156"/>
      <c r="DW810" s="156"/>
      <c r="DX810" s="156"/>
      <c r="DY810" s="156"/>
      <c r="DZ810" s="156"/>
      <c r="EA810" s="156"/>
      <c r="EB810" s="156"/>
      <c r="EC810" s="156"/>
      <c r="ED810" s="156"/>
      <c r="EE810" s="156"/>
      <c r="EF810" s="156"/>
      <c r="EG810" s="156"/>
      <c r="EH810" s="156"/>
      <c r="EI810" s="156"/>
      <c r="EJ810" s="156"/>
      <c r="EK810" s="156"/>
      <c r="EL810" s="156"/>
      <c r="EM810" s="156"/>
    </row>
    <row r="811" spans="20:143" ht="10.5" customHeight="1">
      <c r="T811" s="156"/>
      <c r="AZ811" s="156"/>
      <c r="BA811" s="156"/>
      <c r="BB811" s="156"/>
      <c r="BC811" s="156"/>
      <c r="BD811" s="156"/>
      <c r="BE811" s="156"/>
      <c r="BF811" s="156"/>
      <c r="BG811" s="156"/>
      <c r="BH811" s="156"/>
      <c r="BI811" s="156"/>
      <c r="BJ811" s="156"/>
      <c r="BK811" s="156"/>
      <c r="BL811" s="156"/>
      <c r="BM811" s="156"/>
      <c r="BN811" s="156"/>
      <c r="BO811" s="156"/>
      <c r="BP811" s="156"/>
      <c r="BQ811" s="156"/>
      <c r="BR811" s="156"/>
      <c r="BS811" s="156"/>
      <c r="BT811" s="156"/>
      <c r="BU811" s="156"/>
      <c r="BV811" s="156"/>
      <c r="BW811" s="156"/>
      <c r="BX811" s="156"/>
      <c r="BY811" s="156"/>
      <c r="BZ811" s="156"/>
      <c r="CA811" s="156"/>
      <c r="CB811" s="156"/>
      <c r="CC811" s="156"/>
      <c r="CD811" s="156"/>
      <c r="CE811" s="156"/>
      <c r="CF811" s="156"/>
      <c r="CG811" s="156"/>
      <c r="CH811" s="156"/>
      <c r="CI811" s="156"/>
      <c r="CJ811" s="156"/>
      <c r="CK811" s="156"/>
      <c r="CL811" s="156"/>
      <c r="CM811" s="156"/>
      <c r="CN811" s="156"/>
      <c r="CO811" s="156"/>
      <c r="CP811" s="156"/>
      <c r="CQ811" s="156"/>
      <c r="CR811" s="156"/>
      <c r="CS811" s="156"/>
      <c r="CT811" s="156"/>
      <c r="CU811" s="156"/>
      <c r="CV811" s="156"/>
      <c r="CW811" s="156"/>
      <c r="CX811" s="156"/>
      <c r="CY811" s="156"/>
      <c r="CZ811" s="156"/>
      <c r="DA811" s="156"/>
      <c r="DB811" s="156"/>
      <c r="DC811" s="156"/>
      <c r="DD811" s="156"/>
      <c r="DE811" s="156"/>
      <c r="DF811" s="156"/>
      <c r="DG811" s="156"/>
      <c r="DH811" s="156"/>
      <c r="DI811" s="156"/>
      <c r="DJ811" s="156"/>
      <c r="DK811" s="156"/>
      <c r="DL811" s="156"/>
      <c r="DM811" s="156"/>
      <c r="DN811" s="156"/>
      <c r="DO811" s="156"/>
      <c r="DP811" s="156"/>
      <c r="DQ811" s="156"/>
      <c r="DR811" s="156"/>
      <c r="DS811" s="156"/>
      <c r="DT811" s="156"/>
      <c r="DU811" s="156"/>
      <c r="DV811" s="156"/>
      <c r="DW811" s="156"/>
      <c r="DX811" s="156"/>
      <c r="DY811" s="156"/>
      <c r="DZ811" s="156"/>
      <c r="EA811" s="156"/>
      <c r="EB811" s="156"/>
      <c r="EC811" s="156"/>
      <c r="ED811" s="156"/>
      <c r="EE811" s="156"/>
      <c r="EF811" s="156"/>
      <c r="EG811" s="156"/>
      <c r="EH811" s="156"/>
      <c r="EI811" s="156"/>
      <c r="EJ811" s="156"/>
      <c r="EK811" s="156"/>
      <c r="EL811" s="156"/>
      <c r="EM811" s="156"/>
    </row>
    <row r="812" spans="20:143" ht="10.5" customHeight="1">
      <c r="T812" s="156"/>
      <c r="AZ812" s="156"/>
      <c r="BA812" s="156"/>
      <c r="BB812" s="156"/>
      <c r="BC812" s="156"/>
      <c r="BD812" s="156"/>
      <c r="BE812" s="156"/>
      <c r="BF812" s="156"/>
      <c r="BG812" s="156"/>
      <c r="BH812" s="156"/>
      <c r="BI812" s="156"/>
      <c r="BJ812" s="156"/>
      <c r="BK812" s="156"/>
      <c r="BL812" s="156"/>
      <c r="BM812" s="156"/>
      <c r="BN812" s="156"/>
      <c r="BO812" s="156"/>
      <c r="BP812" s="156"/>
      <c r="BQ812" s="156"/>
      <c r="BR812" s="156"/>
      <c r="BS812" s="156"/>
      <c r="BT812" s="156"/>
      <c r="BU812" s="156"/>
      <c r="BV812" s="156"/>
      <c r="BW812" s="156"/>
      <c r="BX812" s="156"/>
      <c r="BY812" s="156"/>
      <c r="BZ812" s="156"/>
      <c r="CA812" s="156"/>
      <c r="CB812" s="156"/>
      <c r="CC812" s="156"/>
      <c r="CD812" s="156"/>
      <c r="CE812" s="156"/>
      <c r="CF812" s="156"/>
      <c r="CG812" s="156"/>
      <c r="CH812" s="156"/>
      <c r="CI812" s="156"/>
      <c r="CJ812" s="156"/>
      <c r="CK812" s="156"/>
      <c r="CL812" s="156"/>
      <c r="CM812" s="156"/>
      <c r="CN812" s="156"/>
      <c r="CO812" s="156"/>
      <c r="CP812" s="156"/>
      <c r="CQ812" s="156"/>
      <c r="CR812" s="156"/>
      <c r="CS812" s="156"/>
      <c r="CT812" s="156"/>
      <c r="CU812" s="156"/>
      <c r="CV812" s="156"/>
      <c r="CW812" s="156"/>
      <c r="CX812" s="156"/>
      <c r="CY812" s="156"/>
      <c r="CZ812" s="156"/>
      <c r="DA812" s="156"/>
      <c r="DB812" s="156"/>
      <c r="DC812" s="156"/>
      <c r="DD812" s="156"/>
      <c r="DE812" s="156"/>
      <c r="DF812" s="156"/>
      <c r="DG812" s="156"/>
      <c r="DH812" s="156"/>
      <c r="DI812" s="156"/>
      <c r="DJ812" s="156"/>
      <c r="DK812" s="156"/>
      <c r="DL812" s="156"/>
      <c r="DM812" s="156"/>
      <c r="DN812" s="156"/>
      <c r="DO812" s="156"/>
      <c r="DP812" s="156"/>
      <c r="DQ812" s="156"/>
      <c r="DR812" s="156"/>
      <c r="DS812" s="156"/>
      <c r="DT812" s="156"/>
      <c r="DU812" s="156"/>
      <c r="DV812" s="156"/>
      <c r="DW812" s="156"/>
      <c r="DX812" s="156"/>
      <c r="DY812" s="156"/>
      <c r="DZ812" s="156"/>
      <c r="EA812" s="156"/>
      <c r="EB812" s="156"/>
      <c r="EC812" s="156"/>
      <c r="ED812" s="156"/>
      <c r="EE812" s="156"/>
      <c r="EF812" s="156"/>
      <c r="EG812" s="156"/>
      <c r="EH812" s="156"/>
      <c r="EI812" s="156"/>
      <c r="EJ812" s="156"/>
      <c r="EK812" s="156"/>
      <c r="EL812" s="156"/>
      <c r="EM812" s="156"/>
    </row>
    <row r="813" spans="20:143" ht="10.5" customHeight="1">
      <c r="T813" s="156"/>
      <c r="AZ813" s="156"/>
      <c r="BA813" s="156"/>
      <c r="BB813" s="156"/>
      <c r="BC813" s="156"/>
      <c r="BD813" s="156"/>
      <c r="BE813" s="156"/>
      <c r="BF813" s="156"/>
      <c r="BG813" s="156"/>
      <c r="BH813" s="156"/>
      <c r="BI813" s="156"/>
      <c r="BJ813" s="156"/>
      <c r="BK813" s="156"/>
      <c r="BL813" s="156"/>
      <c r="BM813" s="156"/>
      <c r="BN813" s="156"/>
      <c r="BO813" s="156"/>
      <c r="BP813" s="156"/>
      <c r="BQ813" s="156"/>
      <c r="BR813" s="156"/>
      <c r="BS813" s="156"/>
      <c r="BT813" s="156"/>
      <c r="BU813" s="156"/>
      <c r="BV813" s="156"/>
      <c r="BW813" s="156"/>
      <c r="BX813" s="156"/>
      <c r="BY813" s="156"/>
      <c r="BZ813" s="156"/>
      <c r="CA813" s="156"/>
      <c r="CB813" s="156"/>
      <c r="CC813" s="156"/>
      <c r="CD813" s="156"/>
      <c r="CE813" s="156"/>
      <c r="CF813" s="156"/>
      <c r="CG813" s="156"/>
      <c r="CH813" s="156"/>
      <c r="CI813" s="156"/>
      <c r="CJ813" s="156"/>
      <c r="CK813" s="156"/>
      <c r="CL813" s="156"/>
      <c r="CM813" s="156"/>
      <c r="CN813" s="156"/>
      <c r="CO813" s="156"/>
      <c r="CP813" s="156"/>
      <c r="CQ813" s="156"/>
      <c r="CR813" s="156"/>
      <c r="CS813" s="156"/>
      <c r="CT813" s="156"/>
      <c r="CU813" s="156"/>
      <c r="CV813" s="156"/>
      <c r="CW813" s="156"/>
      <c r="CX813" s="156"/>
      <c r="CY813" s="156"/>
      <c r="CZ813" s="156"/>
      <c r="DA813" s="156"/>
      <c r="DB813" s="156"/>
      <c r="DC813" s="156"/>
      <c r="DD813" s="156"/>
      <c r="DE813" s="156"/>
      <c r="DF813" s="156"/>
      <c r="DG813" s="156"/>
      <c r="DH813" s="156"/>
      <c r="DI813" s="156"/>
      <c r="DJ813" s="156"/>
      <c r="DK813" s="156"/>
      <c r="DL813" s="156"/>
      <c r="DM813" s="156"/>
      <c r="DN813" s="156"/>
      <c r="DO813" s="156"/>
      <c r="DP813" s="156"/>
      <c r="DQ813" s="156"/>
      <c r="DR813" s="156"/>
      <c r="DS813" s="156"/>
      <c r="DT813" s="156"/>
      <c r="DU813" s="156"/>
      <c r="DV813" s="156"/>
      <c r="DW813" s="156"/>
      <c r="DX813" s="156"/>
      <c r="DY813" s="156"/>
      <c r="DZ813" s="156"/>
      <c r="EA813" s="156"/>
      <c r="EB813" s="156"/>
      <c r="EC813" s="156"/>
      <c r="ED813" s="156"/>
      <c r="EE813" s="156"/>
      <c r="EF813" s="156"/>
      <c r="EG813" s="156"/>
      <c r="EH813" s="156"/>
      <c r="EI813" s="156"/>
      <c r="EJ813" s="156"/>
      <c r="EK813" s="156"/>
      <c r="EL813" s="156"/>
      <c r="EM813" s="156"/>
    </row>
    <row r="814" spans="20:143" ht="10.5" customHeight="1">
      <c r="T814" s="156"/>
      <c r="AZ814" s="156"/>
      <c r="BA814" s="156"/>
      <c r="BB814" s="156"/>
      <c r="BC814" s="156"/>
      <c r="BD814" s="156"/>
      <c r="BE814" s="156"/>
      <c r="BF814" s="156"/>
      <c r="BG814" s="156"/>
      <c r="BH814" s="156"/>
      <c r="BI814" s="156"/>
      <c r="BJ814" s="156"/>
      <c r="BK814" s="156"/>
      <c r="BL814" s="156"/>
      <c r="BM814" s="156"/>
      <c r="BN814" s="156"/>
      <c r="BO814" s="156"/>
      <c r="BP814" s="156"/>
      <c r="BQ814" s="156"/>
      <c r="BR814" s="156"/>
      <c r="BS814" s="156"/>
      <c r="BT814" s="156"/>
      <c r="BU814" s="156"/>
      <c r="BV814" s="156"/>
      <c r="BW814" s="156"/>
      <c r="BX814" s="156"/>
      <c r="BY814" s="156"/>
      <c r="BZ814" s="156"/>
      <c r="CA814" s="156"/>
      <c r="CB814" s="156"/>
      <c r="CC814" s="156"/>
      <c r="CD814" s="156"/>
      <c r="CE814" s="156"/>
      <c r="CF814" s="156"/>
      <c r="CG814" s="156"/>
      <c r="CH814" s="156"/>
      <c r="CI814" s="156"/>
      <c r="CJ814" s="156"/>
      <c r="CK814" s="156"/>
      <c r="CL814" s="156"/>
      <c r="CM814" s="156"/>
      <c r="CN814" s="156"/>
      <c r="CO814" s="156"/>
      <c r="CP814" s="156"/>
      <c r="CQ814" s="156"/>
      <c r="CR814" s="156"/>
      <c r="CS814" s="156"/>
      <c r="CT814" s="156"/>
      <c r="CU814" s="156"/>
      <c r="CV814" s="156"/>
      <c r="CW814" s="156"/>
      <c r="CX814" s="156"/>
      <c r="CY814" s="156"/>
      <c r="CZ814" s="156"/>
      <c r="DA814" s="156"/>
      <c r="DB814" s="156"/>
      <c r="DC814" s="156"/>
      <c r="DD814" s="156"/>
      <c r="DE814" s="156"/>
      <c r="DF814" s="156"/>
      <c r="DG814" s="156"/>
      <c r="DH814" s="156"/>
      <c r="DI814" s="156"/>
      <c r="DJ814" s="156"/>
      <c r="DK814" s="156"/>
      <c r="DL814" s="156"/>
      <c r="DM814" s="156"/>
      <c r="DN814" s="156"/>
      <c r="DO814" s="156"/>
      <c r="DP814" s="156"/>
      <c r="DQ814" s="156"/>
      <c r="DR814" s="156"/>
      <c r="DS814" s="156"/>
      <c r="DT814" s="156"/>
      <c r="DU814" s="156"/>
      <c r="DV814" s="156"/>
      <c r="DW814" s="156"/>
      <c r="DX814" s="156"/>
      <c r="DY814" s="156"/>
      <c r="DZ814" s="156"/>
      <c r="EA814" s="156"/>
      <c r="EB814" s="156"/>
      <c r="EC814" s="156"/>
      <c r="ED814" s="156"/>
      <c r="EE814" s="156"/>
      <c r="EF814" s="156"/>
      <c r="EG814" s="156"/>
      <c r="EH814" s="156"/>
      <c r="EI814" s="156"/>
      <c r="EJ814" s="156"/>
      <c r="EK814" s="156"/>
      <c r="EL814" s="156"/>
      <c r="EM814" s="156"/>
    </row>
    <row r="815" spans="20:143" ht="10.5" customHeight="1">
      <c r="T815" s="156"/>
      <c r="AZ815" s="156"/>
      <c r="BA815" s="156"/>
      <c r="BB815" s="156"/>
      <c r="BC815" s="156"/>
      <c r="BD815" s="156"/>
      <c r="BE815" s="156"/>
      <c r="BF815" s="156"/>
      <c r="BG815" s="156"/>
      <c r="BH815" s="156"/>
      <c r="BI815" s="156"/>
      <c r="BJ815" s="156"/>
      <c r="BK815" s="156"/>
      <c r="BL815" s="156"/>
      <c r="BM815" s="156"/>
      <c r="BN815" s="156"/>
      <c r="BO815" s="156"/>
      <c r="BP815" s="156"/>
      <c r="BQ815" s="156"/>
      <c r="BR815" s="156"/>
      <c r="BS815" s="156"/>
      <c r="BT815" s="156"/>
      <c r="BU815" s="156"/>
      <c r="BV815" s="156"/>
      <c r="BW815" s="156"/>
      <c r="BX815" s="156"/>
      <c r="BY815" s="156"/>
      <c r="BZ815" s="156"/>
      <c r="CA815" s="156"/>
      <c r="CB815" s="156"/>
      <c r="CC815" s="156"/>
      <c r="CD815" s="156"/>
      <c r="CE815" s="156"/>
      <c r="CF815" s="156"/>
      <c r="CG815" s="156"/>
      <c r="CH815" s="156"/>
      <c r="CI815" s="156"/>
      <c r="CJ815" s="156"/>
      <c r="CK815" s="156"/>
      <c r="CL815" s="156"/>
      <c r="CM815" s="156"/>
      <c r="CN815" s="156"/>
      <c r="CO815" s="156"/>
      <c r="CP815" s="156"/>
      <c r="CQ815" s="156"/>
      <c r="CR815" s="156"/>
      <c r="CS815" s="156"/>
      <c r="CT815" s="156"/>
      <c r="CU815" s="156"/>
      <c r="CV815" s="156"/>
      <c r="CW815" s="156"/>
      <c r="CX815" s="156"/>
      <c r="CY815" s="156"/>
      <c r="CZ815" s="156"/>
      <c r="DA815" s="156"/>
      <c r="DB815" s="156"/>
      <c r="DC815" s="156"/>
      <c r="DD815" s="156"/>
      <c r="DE815" s="156"/>
      <c r="DF815" s="156"/>
      <c r="DG815" s="156"/>
      <c r="DH815" s="156"/>
      <c r="DI815" s="156"/>
      <c r="DJ815" s="156"/>
      <c r="DK815" s="156"/>
      <c r="DL815" s="156"/>
      <c r="DM815" s="156"/>
      <c r="DN815" s="156"/>
      <c r="DO815" s="156"/>
      <c r="DP815" s="156"/>
      <c r="DQ815" s="156"/>
      <c r="DR815" s="156"/>
      <c r="DS815" s="156"/>
      <c r="DT815" s="156"/>
      <c r="DU815" s="156"/>
      <c r="DV815" s="156"/>
      <c r="DW815" s="156"/>
      <c r="DX815" s="156"/>
      <c r="DY815" s="156"/>
      <c r="DZ815" s="156"/>
      <c r="EA815" s="156"/>
      <c r="EB815" s="156"/>
      <c r="EC815" s="156"/>
      <c r="ED815" s="156"/>
      <c r="EE815" s="156"/>
      <c r="EF815" s="156"/>
      <c r="EG815" s="156"/>
      <c r="EH815" s="156"/>
      <c r="EI815" s="156"/>
      <c r="EJ815" s="156"/>
      <c r="EK815" s="156"/>
      <c r="EL815" s="156"/>
      <c r="EM815" s="156"/>
    </row>
    <row r="816" spans="20:143" ht="10.5" customHeight="1">
      <c r="T816" s="156"/>
      <c r="AZ816" s="156"/>
      <c r="BA816" s="156"/>
      <c r="BB816" s="156"/>
      <c r="BC816" s="156"/>
      <c r="BD816" s="156"/>
      <c r="BE816" s="156"/>
      <c r="BF816" s="156"/>
      <c r="BG816" s="156"/>
      <c r="BH816" s="156"/>
      <c r="BI816" s="156"/>
      <c r="BJ816" s="156"/>
      <c r="BK816" s="156"/>
      <c r="BL816" s="156"/>
      <c r="BM816" s="156"/>
      <c r="BN816" s="156"/>
      <c r="BO816" s="156"/>
      <c r="BP816" s="156"/>
      <c r="BQ816" s="156"/>
      <c r="BR816" s="156"/>
      <c r="BS816" s="156"/>
      <c r="BT816" s="156"/>
      <c r="BU816" s="156"/>
      <c r="BV816" s="156"/>
      <c r="BW816" s="156"/>
      <c r="BX816" s="156"/>
      <c r="BY816" s="156"/>
      <c r="BZ816" s="156"/>
      <c r="CA816" s="156"/>
      <c r="CB816" s="156"/>
      <c r="CC816" s="156"/>
      <c r="CD816" s="156"/>
      <c r="CE816" s="156"/>
      <c r="CF816" s="156"/>
      <c r="CG816" s="156"/>
      <c r="CH816" s="156"/>
      <c r="CI816" s="156"/>
      <c r="CJ816" s="156"/>
      <c r="CK816" s="156"/>
      <c r="CL816" s="156"/>
      <c r="CM816" s="156"/>
      <c r="CN816" s="156"/>
      <c r="CO816" s="156"/>
      <c r="CP816" s="156"/>
      <c r="CQ816" s="156"/>
      <c r="CR816" s="156"/>
      <c r="CS816" s="156"/>
      <c r="CT816" s="156"/>
      <c r="CU816" s="156"/>
      <c r="CV816" s="156"/>
      <c r="CW816" s="156"/>
      <c r="CX816" s="156"/>
      <c r="CY816" s="156"/>
      <c r="CZ816" s="156"/>
      <c r="DA816" s="156"/>
      <c r="DB816" s="156"/>
      <c r="DC816" s="156"/>
      <c r="DD816" s="156"/>
      <c r="DE816" s="156"/>
      <c r="DF816" s="156"/>
      <c r="DG816" s="156"/>
      <c r="DH816" s="156"/>
      <c r="DI816" s="156"/>
      <c r="DJ816" s="156"/>
      <c r="DK816" s="156"/>
      <c r="DL816" s="156"/>
      <c r="DM816" s="156"/>
      <c r="DN816" s="156"/>
      <c r="DO816" s="156"/>
      <c r="DP816" s="156"/>
      <c r="DQ816" s="156"/>
      <c r="DR816" s="156"/>
      <c r="DS816" s="156"/>
      <c r="DT816" s="156"/>
      <c r="DU816" s="156"/>
      <c r="DV816" s="156"/>
      <c r="DW816" s="156"/>
      <c r="DX816" s="156"/>
      <c r="DY816" s="156"/>
      <c r="DZ816" s="156"/>
      <c r="EA816" s="156"/>
      <c r="EB816" s="156"/>
      <c r="EC816" s="156"/>
      <c r="ED816" s="156"/>
      <c r="EE816" s="156"/>
      <c r="EF816" s="156"/>
      <c r="EG816" s="156"/>
      <c r="EH816" s="156"/>
      <c r="EI816" s="156"/>
      <c r="EJ816" s="156"/>
      <c r="EK816" s="156"/>
      <c r="EL816" s="156"/>
      <c r="EM816" s="156"/>
    </row>
    <row r="817" spans="20:143" ht="10.5" customHeight="1">
      <c r="T817" s="156"/>
      <c r="AZ817" s="156"/>
      <c r="BA817" s="156"/>
      <c r="BB817" s="156"/>
      <c r="BC817" s="156"/>
      <c r="BD817" s="156"/>
      <c r="BE817" s="156"/>
      <c r="BF817" s="156"/>
      <c r="BG817" s="156"/>
      <c r="BH817" s="156"/>
      <c r="BI817" s="156"/>
      <c r="BJ817" s="156"/>
      <c r="BK817" s="156"/>
      <c r="BL817" s="156"/>
      <c r="BM817" s="156"/>
      <c r="BN817" s="156"/>
      <c r="BO817" s="156"/>
      <c r="BP817" s="156"/>
      <c r="BQ817" s="156"/>
      <c r="BR817" s="156"/>
      <c r="BS817" s="156"/>
      <c r="BT817" s="156"/>
      <c r="BU817" s="156"/>
      <c r="BV817" s="156"/>
      <c r="BW817" s="156"/>
      <c r="BX817" s="156"/>
      <c r="BY817" s="156"/>
      <c r="BZ817" s="156"/>
      <c r="CA817" s="156"/>
      <c r="CB817" s="156"/>
      <c r="CC817" s="156"/>
      <c r="CD817" s="156"/>
      <c r="CE817" s="156"/>
      <c r="CF817" s="156"/>
      <c r="CG817" s="156"/>
      <c r="CH817" s="156"/>
      <c r="CI817" s="156"/>
      <c r="CJ817" s="156"/>
      <c r="CK817" s="156"/>
      <c r="CL817" s="156"/>
      <c r="CM817" s="156"/>
      <c r="CN817" s="156"/>
      <c r="CO817" s="156"/>
      <c r="CP817" s="156"/>
      <c r="CQ817" s="156"/>
      <c r="CR817" s="156"/>
      <c r="CS817" s="156"/>
      <c r="CT817" s="156"/>
      <c r="CU817" s="156"/>
      <c r="CV817" s="156"/>
      <c r="CW817" s="156"/>
      <c r="CX817" s="156"/>
      <c r="CY817" s="156"/>
      <c r="CZ817" s="156"/>
      <c r="DA817" s="156"/>
      <c r="DB817" s="156"/>
      <c r="DC817" s="156"/>
      <c r="DD817" s="156"/>
      <c r="DE817" s="156"/>
      <c r="DF817" s="156"/>
      <c r="DG817" s="156"/>
      <c r="DH817" s="156"/>
      <c r="DI817" s="156"/>
      <c r="DJ817" s="156"/>
      <c r="DK817" s="156"/>
      <c r="DL817" s="156"/>
      <c r="DM817" s="156"/>
      <c r="DN817" s="156"/>
      <c r="DO817" s="156"/>
      <c r="DP817" s="156"/>
      <c r="DQ817" s="156"/>
      <c r="DR817" s="156"/>
      <c r="DS817" s="156"/>
      <c r="DT817" s="156"/>
      <c r="DU817" s="156"/>
      <c r="DV817" s="156"/>
      <c r="DW817" s="156"/>
      <c r="DX817" s="156"/>
      <c r="DY817" s="156"/>
      <c r="DZ817" s="156"/>
      <c r="EA817" s="156"/>
      <c r="EB817" s="156"/>
      <c r="EC817" s="156"/>
      <c r="ED817" s="156"/>
      <c r="EE817" s="156"/>
      <c r="EF817" s="156"/>
      <c r="EG817" s="156"/>
      <c r="EH817" s="156"/>
      <c r="EI817" s="156"/>
      <c r="EJ817" s="156"/>
      <c r="EK817" s="156"/>
      <c r="EL817" s="156"/>
      <c r="EM817" s="156"/>
    </row>
    <row r="818" spans="20:143" ht="10.5" customHeight="1">
      <c r="T818" s="156"/>
      <c r="AZ818" s="156"/>
      <c r="BA818" s="156"/>
      <c r="BB818" s="156"/>
      <c r="BC818" s="156"/>
      <c r="BD818" s="156"/>
      <c r="BE818" s="156"/>
      <c r="BF818" s="156"/>
      <c r="BG818" s="156"/>
      <c r="BH818" s="156"/>
      <c r="BI818" s="156"/>
      <c r="BJ818" s="156"/>
      <c r="BK818" s="156"/>
      <c r="BL818" s="156"/>
      <c r="BM818" s="156"/>
      <c r="BN818" s="156"/>
      <c r="BO818" s="156"/>
      <c r="BP818" s="156"/>
      <c r="BQ818" s="156"/>
      <c r="BR818" s="156"/>
      <c r="BS818" s="156"/>
      <c r="BT818" s="156"/>
      <c r="BU818" s="156"/>
      <c r="BV818" s="156"/>
      <c r="BW818" s="156"/>
      <c r="BX818" s="156"/>
      <c r="BY818" s="156"/>
      <c r="BZ818" s="156"/>
      <c r="CA818" s="156"/>
      <c r="CB818" s="156"/>
      <c r="CC818" s="156"/>
      <c r="CD818" s="156"/>
      <c r="CE818" s="156"/>
      <c r="CF818" s="156"/>
      <c r="CG818" s="156"/>
      <c r="CH818" s="156"/>
      <c r="CI818" s="156"/>
      <c r="CJ818" s="156"/>
      <c r="CK818" s="156"/>
      <c r="CL818" s="156"/>
      <c r="CM818" s="156"/>
      <c r="CN818" s="156"/>
      <c r="CO818" s="156"/>
      <c r="CP818" s="156"/>
      <c r="CQ818" s="156"/>
      <c r="CR818" s="156"/>
      <c r="CS818" s="156"/>
      <c r="CT818" s="156"/>
      <c r="CU818" s="156"/>
      <c r="CV818" s="156"/>
      <c r="CW818" s="156"/>
      <c r="CX818" s="156"/>
      <c r="CY818" s="156"/>
      <c r="CZ818" s="156"/>
      <c r="DA818" s="156"/>
      <c r="DB818" s="156"/>
      <c r="DC818" s="156"/>
      <c r="DD818" s="156"/>
      <c r="DE818" s="156"/>
      <c r="DF818" s="156"/>
      <c r="DG818" s="156"/>
      <c r="DH818" s="156"/>
      <c r="DI818" s="156"/>
      <c r="DJ818" s="156"/>
      <c r="DK818" s="156"/>
      <c r="DL818" s="156"/>
      <c r="DM818" s="156"/>
      <c r="DN818" s="156"/>
      <c r="DO818" s="156"/>
      <c r="DP818" s="156"/>
      <c r="DQ818" s="156"/>
      <c r="DR818" s="156"/>
      <c r="DS818" s="156"/>
      <c r="DT818" s="156"/>
      <c r="DU818" s="156"/>
      <c r="DV818" s="156"/>
      <c r="DW818" s="156"/>
      <c r="DX818" s="156"/>
      <c r="DY818" s="156"/>
      <c r="DZ818" s="156"/>
      <c r="EA818" s="156"/>
      <c r="EB818" s="156"/>
      <c r="EC818" s="156"/>
      <c r="ED818" s="156"/>
      <c r="EE818" s="156"/>
      <c r="EF818" s="156"/>
      <c r="EG818" s="156"/>
      <c r="EH818" s="156"/>
      <c r="EI818" s="156"/>
      <c r="EJ818" s="156"/>
      <c r="EK818" s="156"/>
      <c r="EL818" s="156"/>
      <c r="EM818" s="156"/>
    </row>
    <row r="819" spans="20:143" ht="10.5" customHeight="1">
      <c r="T819" s="156"/>
      <c r="AZ819" s="156"/>
      <c r="BA819" s="156"/>
      <c r="BB819" s="156"/>
      <c r="BC819" s="156"/>
      <c r="BD819" s="156"/>
      <c r="BE819" s="156"/>
      <c r="BF819" s="156"/>
      <c r="BG819" s="156"/>
      <c r="BH819" s="156"/>
      <c r="BI819" s="156"/>
      <c r="BJ819" s="156"/>
      <c r="BK819" s="156"/>
      <c r="BL819" s="156"/>
      <c r="BM819" s="156"/>
      <c r="BN819" s="156"/>
      <c r="BO819" s="156"/>
      <c r="BP819" s="156"/>
      <c r="BQ819" s="156"/>
      <c r="BR819" s="156"/>
      <c r="BS819" s="156"/>
      <c r="BT819" s="156"/>
      <c r="BU819" s="156"/>
      <c r="BV819" s="156"/>
      <c r="BW819" s="156"/>
      <c r="BX819" s="156"/>
      <c r="BY819" s="156"/>
      <c r="BZ819" s="156"/>
      <c r="CA819" s="156"/>
      <c r="CB819" s="156"/>
      <c r="CC819" s="156"/>
      <c r="CD819" s="156"/>
      <c r="CE819" s="156"/>
      <c r="CF819" s="156"/>
      <c r="CG819" s="156"/>
      <c r="CH819" s="156"/>
      <c r="CI819" s="156"/>
      <c r="CJ819" s="156"/>
      <c r="CK819" s="156"/>
      <c r="CL819" s="156"/>
      <c r="CM819" s="156"/>
      <c r="CN819" s="156"/>
      <c r="CO819" s="156"/>
      <c r="CP819" s="156"/>
      <c r="CQ819" s="156"/>
      <c r="CR819" s="156"/>
      <c r="CS819" s="156"/>
      <c r="CT819" s="156"/>
      <c r="CU819" s="156"/>
      <c r="CV819" s="156"/>
      <c r="CW819" s="156"/>
      <c r="CX819" s="156"/>
      <c r="CY819" s="156"/>
      <c r="CZ819" s="156"/>
      <c r="DA819" s="156"/>
      <c r="DB819" s="156"/>
      <c r="DC819" s="156"/>
      <c r="DD819" s="156"/>
      <c r="DE819" s="156"/>
      <c r="DF819" s="156"/>
      <c r="DG819" s="156"/>
      <c r="DH819" s="156"/>
      <c r="DI819" s="156"/>
      <c r="DJ819" s="156"/>
      <c r="DK819" s="156"/>
      <c r="DL819" s="156"/>
      <c r="DM819" s="156"/>
      <c r="DN819" s="156"/>
      <c r="DO819" s="156"/>
      <c r="DP819" s="156"/>
      <c r="DQ819" s="156"/>
      <c r="DR819" s="156"/>
      <c r="DS819" s="156"/>
      <c r="DT819" s="156"/>
      <c r="DU819" s="156"/>
      <c r="DV819" s="156"/>
      <c r="DW819" s="156"/>
      <c r="DX819" s="156"/>
      <c r="DY819" s="156"/>
      <c r="DZ819" s="156"/>
      <c r="EA819" s="156"/>
      <c r="EB819" s="156"/>
      <c r="EC819" s="156"/>
      <c r="ED819" s="156"/>
      <c r="EE819" s="156"/>
      <c r="EF819" s="156"/>
      <c r="EG819" s="156"/>
      <c r="EH819" s="156"/>
      <c r="EI819" s="156"/>
      <c r="EJ819" s="156"/>
      <c r="EK819" s="156"/>
      <c r="EL819" s="156"/>
      <c r="EM819" s="156"/>
    </row>
    <row r="820" spans="20:143" ht="10.5" customHeight="1">
      <c r="T820" s="156"/>
      <c r="AZ820" s="156"/>
      <c r="BA820" s="156"/>
      <c r="BB820" s="156"/>
      <c r="BC820" s="156"/>
      <c r="BD820" s="156"/>
      <c r="BE820" s="156"/>
      <c r="BF820" s="156"/>
      <c r="BG820" s="156"/>
      <c r="BH820" s="156"/>
      <c r="BI820" s="156"/>
      <c r="BJ820" s="156"/>
      <c r="BK820" s="156"/>
      <c r="BL820" s="156"/>
      <c r="BM820" s="156"/>
      <c r="BN820" s="156"/>
      <c r="BO820" s="156"/>
      <c r="BP820" s="156"/>
      <c r="BQ820" s="156"/>
      <c r="BR820" s="156"/>
      <c r="BS820" s="156"/>
      <c r="BT820" s="156"/>
      <c r="BU820" s="156"/>
      <c r="BV820" s="156"/>
      <c r="BW820" s="156"/>
      <c r="BX820" s="156"/>
      <c r="BY820" s="156"/>
      <c r="BZ820" s="156"/>
      <c r="CA820" s="156"/>
      <c r="CB820" s="156"/>
      <c r="CC820" s="156"/>
      <c r="CD820" s="156"/>
      <c r="CE820" s="156"/>
      <c r="CF820" s="156"/>
      <c r="CG820" s="156"/>
      <c r="CH820" s="156"/>
      <c r="CI820" s="156"/>
      <c r="CJ820" s="156"/>
      <c r="CK820" s="156"/>
      <c r="CL820" s="156"/>
      <c r="CM820" s="156"/>
      <c r="CN820" s="156"/>
      <c r="CO820" s="156"/>
      <c r="CP820" s="156"/>
      <c r="CQ820" s="156"/>
      <c r="CR820" s="156"/>
      <c r="CS820" s="156"/>
      <c r="CT820" s="156"/>
      <c r="CU820" s="156"/>
      <c r="CV820" s="156"/>
      <c r="CW820" s="156"/>
      <c r="CX820" s="156"/>
      <c r="CY820" s="156"/>
      <c r="CZ820" s="156"/>
      <c r="DA820" s="156"/>
      <c r="DB820" s="156"/>
      <c r="DC820" s="156"/>
      <c r="DD820" s="156"/>
      <c r="DE820" s="156"/>
      <c r="DF820" s="156"/>
      <c r="DG820" s="156"/>
      <c r="DH820" s="156"/>
      <c r="DI820" s="156"/>
      <c r="DJ820" s="156"/>
      <c r="DK820" s="156"/>
      <c r="DL820" s="156"/>
      <c r="DM820" s="156"/>
      <c r="DN820" s="156"/>
      <c r="DO820" s="156"/>
      <c r="DP820" s="156"/>
      <c r="DQ820" s="156"/>
      <c r="DR820" s="156"/>
      <c r="DS820" s="156"/>
      <c r="DT820" s="156"/>
      <c r="DU820" s="156"/>
      <c r="DV820" s="156"/>
      <c r="DW820" s="156"/>
      <c r="DX820" s="156"/>
      <c r="DY820" s="156"/>
      <c r="DZ820" s="156"/>
      <c r="EA820" s="156"/>
      <c r="EB820" s="156"/>
      <c r="EC820" s="156"/>
      <c r="ED820" s="156"/>
      <c r="EE820" s="156"/>
      <c r="EF820" s="156"/>
      <c r="EG820" s="156"/>
      <c r="EH820" s="156"/>
      <c r="EI820" s="156"/>
      <c r="EJ820" s="156"/>
      <c r="EK820" s="156"/>
      <c r="EL820" s="156"/>
      <c r="EM820" s="156"/>
    </row>
    <row r="821" spans="20:143" ht="10.5" customHeight="1">
      <c r="T821" s="156"/>
      <c r="AZ821" s="156"/>
      <c r="BA821" s="156"/>
      <c r="BB821" s="156"/>
      <c r="BC821" s="156"/>
      <c r="BD821" s="156"/>
      <c r="BE821" s="156"/>
      <c r="BF821" s="156"/>
      <c r="BG821" s="156"/>
      <c r="BH821" s="156"/>
      <c r="BI821" s="156"/>
      <c r="BJ821" s="156"/>
      <c r="BK821" s="156"/>
      <c r="BL821" s="156"/>
      <c r="BM821" s="156"/>
      <c r="BN821" s="156"/>
      <c r="BO821" s="156"/>
      <c r="BP821" s="156"/>
      <c r="BQ821" s="156"/>
      <c r="BR821" s="156"/>
      <c r="BS821" s="156"/>
      <c r="BT821" s="156"/>
      <c r="BU821" s="156"/>
      <c r="BV821" s="156"/>
      <c r="BW821" s="156"/>
      <c r="BX821" s="156"/>
      <c r="BY821" s="156"/>
      <c r="BZ821" s="156"/>
      <c r="CA821" s="156"/>
      <c r="CB821" s="156"/>
      <c r="CC821" s="156"/>
      <c r="CD821" s="156"/>
      <c r="CE821" s="156"/>
      <c r="CF821" s="156"/>
      <c r="CG821" s="156"/>
      <c r="CH821" s="156"/>
      <c r="CI821" s="156"/>
      <c r="CJ821" s="156"/>
      <c r="CK821" s="156"/>
      <c r="CL821" s="156"/>
      <c r="CM821" s="156"/>
      <c r="CN821" s="156"/>
      <c r="CO821" s="156"/>
      <c r="CP821" s="156"/>
      <c r="CQ821" s="156"/>
      <c r="CR821" s="156"/>
      <c r="CS821" s="156"/>
      <c r="CT821" s="156"/>
      <c r="CU821" s="156"/>
      <c r="CV821" s="156"/>
      <c r="CW821" s="156"/>
      <c r="CX821" s="156"/>
      <c r="CY821" s="156"/>
      <c r="CZ821" s="156"/>
      <c r="DA821" s="156"/>
      <c r="DB821" s="156"/>
      <c r="DC821" s="156"/>
      <c r="DD821" s="156"/>
      <c r="DE821" s="156"/>
      <c r="DF821" s="156"/>
      <c r="DG821" s="156"/>
      <c r="DH821" s="156"/>
      <c r="DI821" s="156"/>
      <c r="DJ821" s="156"/>
      <c r="DK821" s="156"/>
      <c r="DL821" s="156"/>
      <c r="DM821" s="156"/>
      <c r="DN821" s="156"/>
      <c r="DO821" s="156"/>
      <c r="DP821" s="156"/>
      <c r="DQ821" s="156"/>
      <c r="DR821" s="156"/>
      <c r="DS821" s="156"/>
      <c r="DT821" s="156"/>
      <c r="DU821" s="156"/>
      <c r="DV821" s="156"/>
      <c r="DW821" s="156"/>
      <c r="DX821" s="156"/>
      <c r="DY821" s="156"/>
      <c r="DZ821" s="156"/>
      <c r="EA821" s="156"/>
      <c r="EB821" s="156"/>
      <c r="EC821" s="156"/>
      <c r="ED821" s="156"/>
      <c r="EE821" s="156"/>
      <c r="EF821" s="156"/>
      <c r="EG821" s="156"/>
      <c r="EH821" s="156"/>
      <c r="EI821" s="156"/>
      <c r="EJ821" s="156"/>
      <c r="EK821" s="156"/>
      <c r="EL821" s="156"/>
      <c r="EM821" s="156"/>
    </row>
    <row r="822" spans="20:143" ht="10.5" customHeight="1">
      <c r="T822" s="156"/>
      <c r="AZ822" s="156"/>
      <c r="BA822" s="156"/>
      <c r="BB822" s="156"/>
      <c r="BC822" s="156"/>
      <c r="BD822" s="156"/>
      <c r="BE822" s="156"/>
      <c r="BF822" s="156"/>
      <c r="BG822" s="156"/>
      <c r="BH822" s="156"/>
      <c r="BI822" s="156"/>
      <c r="BJ822" s="156"/>
      <c r="BK822" s="156"/>
      <c r="BL822" s="156"/>
      <c r="BM822" s="156"/>
      <c r="BN822" s="156"/>
      <c r="BO822" s="156"/>
      <c r="BP822" s="156"/>
      <c r="BQ822" s="156"/>
      <c r="BR822" s="156"/>
      <c r="BS822" s="156"/>
      <c r="BT822" s="156"/>
      <c r="BU822" s="156"/>
      <c r="BV822" s="156"/>
      <c r="BW822" s="156"/>
      <c r="BX822" s="156"/>
      <c r="BY822" s="156"/>
      <c r="BZ822" s="156"/>
      <c r="CA822" s="156"/>
      <c r="CB822" s="156"/>
      <c r="CC822" s="156"/>
      <c r="CD822" s="156"/>
      <c r="CE822" s="156"/>
      <c r="CF822" s="156"/>
      <c r="CG822" s="156"/>
      <c r="CH822" s="156"/>
      <c r="CI822" s="156"/>
      <c r="CJ822" s="156"/>
      <c r="CK822" s="156"/>
      <c r="CL822" s="156"/>
      <c r="CM822" s="156"/>
      <c r="CN822" s="156"/>
      <c r="CO822" s="156"/>
      <c r="CP822" s="156"/>
      <c r="CQ822" s="156"/>
      <c r="CR822" s="156"/>
      <c r="CS822" s="156"/>
      <c r="CT822" s="156"/>
      <c r="CU822" s="156"/>
      <c r="CV822" s="156"/>
      <c r="CW822" s="156"/>
      <c r="CX822" s="156"/>
      <c r="CY822" s="156"/>
      <c r="CZ822" s="156"/>
      <c r="DA822" s="156"/>
      <c r="DB822" s="156"/>
      <c r="DC822" s="156"/>
      <c r="DD822" s="156"/>
      <c r="DE822" s="156"/>
      <c r="DF822" s="156"/>
      <c r="DG822" s="156"/>
      <c r="DH822" s="156"/>
      <c r="DI822" s="156"/>
      <c r="DJ822" s="156"/>
      <c r="DK822" s="156"/>
      <c r="DL822" s="156"/>
      <c r="DM822" s="156"/>
      <c r="DN822" s="156"/>
      <c r="DO822" s="156"/>
      <c r="DP822" s="156"/>
      <c r="DQ822" s="156"/>
      <c r="DR822" s="156"/>
      <c r="DS822" s="156"/>
      <c r="DT822" s="156"/>
      <c r="DU822" s="156"/>
      <c r="DV822" s="156"/>
      <c r="DW822" s="156"/>
      <c r="DX822" s="156"/>
      <c r="DY822" s="156"/>
      <c r="DZ822" s="156"/>
      <c r="EA822" s="156"/>
      <c r="EB822" s="156"/>
      <c r="EC822" s="156"/>
      <c r="ED822" s="156"/>
      <c r="EE822" s="156"/>
      <c r="EF822" s="156"/>
      <c r="EG822" s="156"/>
      <c r="EH822" s="156"/>
      <c r="EI822" s="156"/>
      <c r="EJ822" s="156"/>
      <c r="EK822" s="156"/>
      <c r="EL822" s="156"/>
      <c r="EM822" s="156"/>
    </row>
    <row r="823" spans="20:143" ht="10.5" customHeight="1">
      <c r="T823" s="156"/>
      <c r="AZ823" s="156"/>
      <c r="BA823" s="156"/>
      <c r="BB823" s="156"/>
      <c r="BC823" s="156"/>
      <c r="BD823" s="156"/>
      <c r="BE823" s="156"/>
      <c r="BF823" s="156"/>
      <c r="BG823" s="156"/>
      <c r="BH823" s="156"/>
      <c r="BI823" s="156"/>
      <c r="BJ823" s="156"/>
      <c r="BK823" s="156"/>
      <c r="BL823" s="156"/>
      <c r="BM823" s="156"/>
      <c r="BN823" s="156"/>
      <c r="BO823" s="156"/>
      <c r="BP823" s="156"/>
      <c r="BQ823" s="156"/>
      <c r="BR823" s="156"/>
      <c r="BS823" s="156"/>
      <c r="BT823" s="156"/>
      <c r="BU823" s="156"/>
      <c r="BV823" s="156"/>
      <c r="BW823" s="156"/>
      <c r="BX823" s="156"/>
      <c r="BY823" s="156"/>
      <c r="BZ823" s="156"/>
      <c r="CA823" s="156"/>
      <c r="CB823" s="156"/>
      <c r="CC823" s="156"/>
      <c r="CD823" s="156"/>
      <c r="CE823" s="156"/>
      <c r="CF823" s="156"/>
      <c r="CG823" s="156"/>
      <c r="CH823" s="156"/>
      <c r="CI823" s="156"/>
      <c r="CJ823" s="156"/>
      <c r="CK823" s="156"/>
      <c r="CL823" s="156"/>
      <c r="CM823" s="156"/>
      <c r="CN823" s="156"/>
      <c r="CO823" s="156"/>
      <c r="CP823" s="156"/>
      <c r="CQ823" s="156"/>
      <c r="CR823" s="156"/>
      <c r="CS823" s="156"/>
      <c r="CT823" s="156"/>
      <c r="CU823" s="156"/>
      <c r="CV823" s="156"/>
      <c r="CW823" s="156"/>
      <c r="CX823" s="156"/>
      <c r="CY823" s="156"/>
      <c r="CZ823" s="156"/>
      <c r="DA823" s="156"/>
      <c r="DB823" s="156"/>
      <c r="DC823" s="156"/>
      <c r="DD823" s="156"/>
      <c r="DE823" s="156"/>
      <c r="DF823" s="156"/>
      <c r="DG823" s="156"/>
      <c r="DH823" s="156"/>
      <c r="DI823" s="156"/>
      <c r="DJ823" s="156"/>
      <c r="DK823" s="156"/>
      <c r="DL823" s="156"/>
      <c r="DM823" s="156"/>
      <c r="DN823" s="156"/>
      <c r="DO823" s="156"/>
      <c r="DP823" s="156"/>
      <c r="DQ823" s="156"/>
      <c r="DR823" s="156"/>
      <c r="DS823" s="156"/>
      <c r="DT823" s="156"/>
      <c r="DU823" s="156"/>
      <c r="DV823" s="156"/>
      <c r="DW823" s="156"/>
      <c r="DX823" s="156"/>
      <c r="DY823" s="156"/>
      <c r="DZ823" s="156"/>
      <c r="EA823" s="156"/>
      <c r="EB823" s="156"/>
      <c r="EC823" s="156"/>
      <c r="ED823" s="156"/>
      <c r="EE823" s="156"/>
      <c r="EF823" s="156"/>
      <c r="EG823" s="156"/>
      <c r="EH823" s="156"/>
      <c r="EI823" s="156"/>
      <c r="EJ823" s="156"/>
      <c r="EK823" s="156"/>
      <c r="EL823" s="156"/>
      <c r="EM823" s="156"/>
    </row>
    <row r="824" spans="20:143" ht="10.5" customHeight="1">
      <c r="T824" s="156"/>
      <c r="AZ824" s="156"/>
      <c r="BA824" s="156"/>
      <c r="BB824" s="156"/>
      <c r="BC824" s="156"/>
      <c r="BD824" s="156"/>
      <c r="BE824" s="156"/>
      <c r="BF824" s="156"/>
      <c r="BG824" s="156"/>
      <c r="BH824" s="156"/>
      <c r="BI824" s="156"/>
      <c r="BJ824" s="156"/>
      <c r="BK824" s="156"/>
      <c r="BL824" s="156"/>
      <c r="BM824" s="156"/>
      <c r="BN824" s="156"/>
      <c r="BO824" s="156"/>
      <c r="BP824" s="156"/>
      <c r="BQ824" s="156"/>
      <c r="BR824" s="156"/>
      <c r="BS824" s="156"/>
      <c r="BT824" s="156"/>
      <c r="BU824" s="156"/>
      <c r="BV824" s="156"/>
      <c r="BW824" s="156"/>
      <c r="BX824" s="156"/>
      <c r="BY824" s="156"/>
      <c r="BZ824" s="156"/>
      <c r="CA824" s="156"/>
      <c r="CB824" s="156"/>
      <c r="CC824" s="156"/>
      <c r="CD824" s="156"/>
      <c r="CE824" s="156"/>
      <c r="CF824" s="156"/>
      <c r="CG824" s="156"/>
      <c r="CH824" s="156"/>
      <c r="CI824" s="156"/>
      <c r="CJ824" s="156"/>
      <c r="CK824" s="156"/>
      <c r="CL824" s="156"/>
      <c r="CM824" s="156"/>
      <c r="CN824" s="156"/>
      <c r="CO824" s="156"/>
      <c r="CP824" s="156"/>
      <c r="CQ824" s="156"/>
      <c r="CR824" s="156"/>
      <c r="CS824" s="156"/>
      <c r="CT824" s="156"/>
      <c r="CU824" s="156"/>
      <c r="CV824" s="156"/>
      <c r="CW824" s="156"/>
      <c r="CX824" s="156"/>
      <c r="CY824" s="156"/>
      <c r="CZ824" s="156"/>
      <c r="DA824" s="156"/>
      <c r="DB824" s="156"/>
      <c r="DC824" s="156"/>
      <c r="DD824" s="156"/>
      <c r="DE824" s="156"/>
      <c r="DF824" s="156"/>
      <c r="DG824" s="156"/>
      <c r="DH824" s="156"/>
      <c r="DI824" s="156"/>
      <c r="DJ824" s="156"/>
      <c r="DK824" s="156"/>
      <c r="DL824" s="156"/>
      <c r="DM824" s="156"/>
      <c r="DN824" s="156"/>
      <c r="DO824" s="156"/>
      <c r="DP824" s="156"/>
      <c r="DQ824" s="156"/>
      <c r="DR824" s="156"/>
      <c r="DS824" s="156"/>
      <c r="DT824" s="156"/>
      <c r="DU824" s="156"/>
      <c r="DV824" s="156"/>
      <c r="DW824" s="156"/>
      <c r="DX824" s="156"/>
      <c r="DY824" s="156"/>
      <c r="DZ824" s="156"/>
      <c r="EA824" s="156"/>
      <c r="EB824" s="156"/>
      <c r="EC824" s="156"/>
      <c r="ED824" s="156"/>
      <c r="EE824" s="156"/>
      <c r="EF824" s="156"/>
      <c r="EG824" s="156"/>
      <c r="EH824" s="156"/>
      <c r="EI824" s="156"/>
      <c r="EJ824" s="156"/>
      <c r="EK824" s="156"/>
      <c r="EL824" s="156"/>
      <c r="EM824" s="156"/>
    </row>
    <row r="825" spans="20:143" ht="10.5" customHeight="1">
      <c r="T825" s="156"/>
      <c r="AZ825" s="156"/>
      <c r="BA825" s="156"/>
      <c r="BB825" s="156"/>
      <c r="BC825" s="156"/>
      <c r="BD825" s="156"/>
      <c r="BE825" s="156"/>
      <c r="BF825" s="156"/>
      <c r="BG825" s="156"/>
      <c r="BH825" s="156"/>
      <c r="BI825" s="156"/>
      <c r="BJ825" s="156"/>
      <c r="BK825" s="156"/>
      <c r="BL825" s="156"/>
      <c r="BM825" s="156"/>
      <c r="BN825" s="156"/>
      <c r="BO825" s="156"/>
      <c r="BP825" s="156"/>
      <c r="BQ825" s="156"/>
      <c r="BR825" s="156"/>
      <c r="BS825" s="156"/>
      <c r="BT825" s="156"/>
      <c r="BU825" s="156"/>
      <c r="BV825" s="156"/>
      <c r="BW825" s="156"/>
      <c r="BX825" s="156"/>
      <c r="BY825" s="156"/>
      <c r="BZ825" s="156"/>
      <c r="CA825" s="156"/>
      <c r="CB825" s="156"/>
      <c r="CC825" s="156"/>
      <c r="CD825" s="156"/>
      <c r="CE825" s="156"/>
      <c r="CF825" s="156"/>
      <c r="CG825" s="156"/>
      <c r="CH825" s="156"/>
      <c r="CI825" s="156"/>
      <c r="CJ825" s="156"/>
      <c r="CK825" s="156"/>
      <c r="CL825" s="156"/>
      <c r="CM825" s="156"/>
      <c r="CN825" s="156"/>
      <c r="CO825" s="156"/>
      <c r="CP825" s="156"/>
      <c r="CQ825" s="156"/>
      <c r="CR825" s="156"/>
      <c r="CS825" s="156"/>
      <c r="CT825" s="156"/>
      <c r="CU825" s="156"/>
      <c r="CV825" s="156"/>
      <c r="CW825" s="156"/>
      <c r="CX825" s="156"/>
      <c r="CY825" s="156"/>
      <c r="CZ825" s="156"/>
      <c r="DA825" s="156"/>
      <c r="DB825" s="156"/>
      <c r="DC825" s="156"/>
      <c r="DD825" s="156"/>
      <c r="DE825" s="156"/>
      <c r="DF825" s="156"/>
      <c r="DG825" s="156"/>
      <c r="DH825" s="156"/>
      <c r="DI825" s="156"/>
      <c r="DJ825" s="156"/>
      <c r="DK825" s="156"/>
      <c r="DL825" s="156"/>
      <c r="DM825" s="156"/>
      <c r="DN825" s="156"/>
      <c r="DO825" s="156"/>
      <c r="DP825" s="156"/>
      <c r="DQ825" s="156"/>
      <c r="DR825" s="156"/>
      <c r="DS825" s="156"/>
      <c r="DT825" s="156"/>
      <c r="DU825" s="156"/>
      <c r="DV825" s="156"/>
      <c r="DW825" s="156"/>
      <c r="DX825" s="156"/>
      <c r="DY825" s="156"/>
      <c r="DZ825" s="156"/>
      <c r="EA825" s="156"/>
      <c r="EB825" s="156"/>
      <c r="EC825" s="156"/>
      <c r="ED825" s="156"/>
      <c r="EE825" s="156"/>
      <c r="EF825" s="156"/>
      <c r="EG825" s="156"/>
      <c r="EH825" s="156"/>
      <c r="EI825" s="156"/>
      <c r="EJ825" s="156"/>
      <c r="EK825" s="156"/>
      <c r="EL825" s="156"/>
      <c r="EM825" s="156"/>
    </row>
    <row r="826" spans="20:143" ht="10.5" customHeight="1">
      <c r="T826" s="156"/>
      <c r="AZ826" s="156"/>
      <c r="BA826" s="156"/>
      <c r="BB826" s="156"/>
      <c r="BC826" s="156"/>
      <c r="BD826" s="156"/>
      <c r="BE826" s="156"/>
      <c r="BF826" s="156"/>
      <c r="BG826" s="156"/>
      <c r="BH826" s="156"/>
      <c r="BI826" s="156"/>
      <c r="BJ826" s="156"/>
      <c r="BK826" s="156"/>
      <c r="BL826" s="156"/>
      <c r="BM826" s="156"/>
      <c r="BN826" s="156"/>
      <c r="BO826" s="156"/>
      <c r="BP826" s="156"/>
      <c r="BQ826" s="156"/>
      <c r="BR826" s="156"/>
      <c r="BS826" s="156"/>
      <c r="BT826" s="156"/>
      <c r="BU826" s="156"/>
      <c r="BV826" s="156"/>
      <c r="BW826" s="156"/>
      <c r="BX826" s="156"/>
      <c r="BY826" s="156"/>
      <c r="BZ826" s="156"/>
      <c r="CA826" s="156"/>
      <c r="CB826" s="156"/>
      <c r="CC826" s="156"/>
      <c r="CD826" s="156"/>
      <c r="CE826" s="156"/>
      <c r="CF826" s="156"/>
      <c r="CG826" s="156"/>
      <c r="CH826" s="156"/>
      <c r="CI826" s="156"/>
      <c r="CJ826" s="156"/>
      <c r="CK826" s="156"/>
      <c r="CL826" s="156"/>
      <c r="CM826" s="156"/>
      <c r="CN826" s="156"/>
      <c r="CO826" s="156"/>
      <c r="CP826" s="156"/>
      <c r="CQ826" s="156"/>
      <c r="CR826" s="156"/>
      <c r="CS826" s="156"/>
      <c r="CT826" s="156"/>
      <c r="CU826" s="156"/>
      <c r="CV826" s="156"/>
      <c r="CW826" s="156"/>
      <c r="CX826" s="156"/>
      <c r="CY826" s="156"/>
      <c r="CZ826" s="156"/>
      <c r="DA826" s="156"/>
      <c r="DB826" s="156"/>
      <c r="DC826" s="156"/>
      <c r="DD826" s="156"/>
      <c r="DE826" s="156"/>
      <c r="DF826" s="156"/>
      <c r="DG826" s="156"/>
      <c r="DH826" s="156"/>
      <c r="DI826" s="156"/>
      <c r="DJ826" s="156"/>
      <c r="DK826" s="156"/>
      <c r="DL826" s="156"/>
      <c r="DM826" s="156"/>
      <c r="DN826" s="156"/>
      <c r="DO826" s="156"/>
      <c r="DP826" s="156"/>
      <c r="DQ826" s="156"/>
      <c r="DR826" s="156"/>
      <c r="DS826" s="156"/>
      <c r="DT826" s="156"/>
      <c r="DU826" s="156"/>
      <c r="DV826" s="156"/>
      <c r="DW826" s="156"/>
      <c r="DX826" s="156"/>
      <c r="DY826" s="156"/>
      <c r="DZ826" s="156"/>
      <c r="EA826" s="156"/>
      <c r="EB826" s="156"/>
      <c r="EC826" s="156"/>
      <c r="ED826" s="156"/>
      <c r="EE826" s="156"/>
      <c r="EF826" s="156"/>
      <c r="EG826" s="156"/>
      <c r="EH826" s="156"/>
      <c r="EI826" s="156"/>
      <c r="EJ826" s="156"/>
      <c r="EK826" s="156"/>
      <c r="EL826" s="156"/>
      <c r="EM826" s="156"/>
    </row>
    <row r="827" spans="20:143" ht="10.5" customHeight="1">
      <c r="T827" s="156"/>
      <c r="AZ827" s="156"/>
      <c r="BA827" s="156"/>
      <c r="BB827" s="156"/>
      <c r="BC827" s="156"/>
      <c r="BD827" s="156"/>
      <c r="BE827" s="156"/>
      <c r="BF827" s="156"/>
      <c r="BG827" s="156"/>
      <c r="BH827" s="156"/>
      <c r="BI827" s="156"/>
      <c r="BJ827" s="156"/>
      <c r="BK827" s="156"/>
      <c r="BL827" s="156"/>
      <c r="BM827" s="156"/>
      <c r="BN827" s="156"/>
      <c r="BO827" s="156"/>
      <c r="BP827" s="156"/>
      <c r="BQ827" s="156"/>
      <c r="BR827" s="156"/>
      <c r="BS827" s="156"/>
      <c r="BT827" s="156"/>
      <c r="BU827" s="156"/>
      <c r="BV827" s="156"/>
      <c r="BW827" s="156"/>
      <c r="BX827" s="156"/>
      <c r="BY827" s="156"/>
      <c r="BZ827" s="156"/>
      <c r="CA827" s="156"/>
      <c r="CB827" s="156"/>
      <c r="CC827" s="156"/>
      <c r="CD827" s="156"/>
      <c r="CE827" s="156"/>
      <c r="CF827" s="156"/>
      <c r="CG827" s="156"/>
      <c r="CH827" s="156"/>
      <c r="CI827" s="156"/>
      <c r="CJ827" s="156"/>
      <c r="CK827" s="156"/>
      <c r="CL827" s="156"/>
      <c r="CM827" s="156"/>
      <c r="CN827" s="156"/>
      <c r="CO827" s="156"/>
      <c r="CP827" s="156"/>
      <c r="CQ827" s="156"/>
      <c r="CR827" s="156"/>
      <c r="CS827" s="156"/>
      <c r="CT827" s="156"/>
      <c r="CU827" s="156"/>
      <c r="CV827" s="156"/>
      <c r="CW827" s="156"/>
      <c r="CX827" s="156"/>
      <c r="CY827" s="156"/>
      <c r="CZ827" s="156"/>
      <c r="DA827" s="156"/>
      <c r="DB827" s="156"/>
      <c r="DC827" s="156"/>
      <c r="DD827" s="156"/>
      <c r="DE827" s="156"/>
      <c r="DF827" s="156"/>
      <c r="DG827" s="156"/>
      <c r="DH827" s="156"/>
      <c r="DI827" s="156"/>
      <c r="DJ827" s="156"/>
      <c r="DK827" s="156"/>
      <c r="DL827" s="156"/>
      <c r="DM827" s="156"/>
      <c r="DN827" s="156"/>
      <c r="DO827" s="156"/>
      <c r="DP827" s="156"/>
      <c r="DQ827" s="156"/>
      <c r="DR827" s="156"/>
      <c r="DS827" s="156"/>
      <c r="DT827" s="156"/>
      <c r="DU827" s="156"/>
      <c r="DV827" s="156"/>
      <c r="DW827" s="156"/>
      <c r="DX827" s="156"/>
      <c r="DY827" s="156"/>
      <c r="DZ827" s="156"/>
      <c r="EA827" s="156"/>
      <c r="EB827" s="156"/>
      <c r="EC827" s="156"/>
      <c r="ED827" s="156"/>
      <c r="EE827" s="156"/>
      <c r="EF827" s="156"/>
      <c r="EG827" s="156"/>
      <c r="EH827" s="156"/>
      <c r="EI827" s="156"/>
      <c r="EJ827" s="156"/>
      <c r="EK827" s="156"/>
      <c r="EL827" s="156"/>
      <c r="EM827" s="156"/>
    </row>
    <row r="828" spans="20:143" ht="10.5" customHeight="1">
      <c r="T828" s="156"/>
      <c r="AZ828" s="156"/>
      <c r="BA828" s="156"/>
      <c r="BB828" s="156"/>
      <c r="BC828" s="156"/>
      <c r="BD828" s="156"/>
      <c r="BE828" s="156"/>
      <c r="BF828" s="156"/>
      <c r="BG828" s="156"/>
      <c r="BH828" s="156"/>
      <c r="BI828" s="156"/>
      <c r="BJ828" s="156"/>
      <c r="BK828" s="156"/>
      <c r="BL828" s="156"/>
      <c r="BM828" s="156"/>
      <c r="BN828" s="156"/>
      <c r="BO828" s="156"/>
      <c r="BP828" s="156"/>
      <c r="BQ828" s="156"/>
      <c r="BR828" s="156"/>
      <c r="BS828" s="156"/>
      <c r="BT828" s="156"/>
      <c r="BU828" s="156"/>
      <c r="BV828" s="156"/>
      <c r="BW828" s="156"/>
      <c r="BX828" s="156"/>
      <c r="BY828" s="156"/>
      <c r="BZ828" s="156"/>
      <c r="CA828" s="156"/>
      <c r="CB828" s="156"/>
      <c r="CC828" s="156"/>
      <c r="CD828" s="156"/>
      <c r="CE828" s="156"/>
      <c r="CF828" s="156"/>
      <c r="CG828" s="156"/>
      <c r="CH828" s="156"/>
      <c r="CI828" s="156"/>
      <c r="CJ828" s="156"/>
      <c r="CK828" s="156"/>
      <c r="CL828" s="156"/>
      <c r="CM828" s="156"/>
      <c r="CN828" s="156"/>
      <c r="CO828" s="156"/>
      <c r="CP828" s="156"/>
      <c r="CQ828" s="156"/>
      <c r="CR828" s="156"/>
      <c r="CS828" s="156"/>
      <c r="CT828" s="156"/>
      <c r="CU828" s="156"/>
      <c r="CV828" s="156"/>
      <c r="CW828" s="156"/>
      <c r="CX828" s="156"/>
      <c r="CY828" s="156"/>
      <c r="CZ828" s="156"/>
      <c r="DA828" s="156"/>
      <c r="DB828" s="156"/>
      <c r="DC828" s="156"/>
      <c r="DD828" s="156"/>
      <c r="DE828" s="156"/>
      <c r="DF828" s="156"/>
      <c r="DG828" s="156"/>
      <c r="DH828" s="156"/>
      <c r="DI828" s="156"/>
      <c r="DJ828" s="156"/>
      <c r="DK828" s="156"/>
      <c r="DL828" s="156"/>
      <c r="DM828" s="156"/>
      <c r="DN828" s="156"/>
      <c r="DO828" s="156"/>
      <c r="DP828" s="156"/>
      <c r="DQ828" s="156"/>
      <c r="DR828" s="156"/>
      <c r="DS828" s="156"/>
      <c r="DT828" s="156"/>
      <c r="DU828" s="156"/>
      <c r="DV828" s="156"/>
      <c r="DW828" s="156"/>
      <c r="DX828" s="156"/>
      <c r="DY828" s="156"/>
      <c r="DZ828" s="156"/>
      <c r="EA828" s="156"/>
      <c r="EB828" s="156"/>
      <c r="EC828" s="156"/>
      <c r="ED828" s="156"/>
      <c r="EE828" s="156"/>
      <c r="EF828" s="156"/>
      <c r="EG828" s="156"/>
      <c r="EH828" s="156"/>
      <c r="EI828" s="156"/>
      <c r="EJ828" s="156"/>
      <c r="EK828" s="156"/>
      <c r="EL828" s="156"/>
      <c r="EM828" s="156"/>
    </row>
    <row r="829" spans="20:143" ht="10.5" customHeight="1">
      <c r="T829" s="156"/>
      <c r="AZ829" s="156"/>
      <c r="BA829" s="156"/>
      <c r="BB829" s="156"/>
      <c r="BC829" s="156"/>
      <c r="BD829" s="156"/>
      <c r="BE829" s="156"/>
      <c r="BF829" s="156"/>
      <c r="BG829" s="156"/>
      <c r="BH829" s="156"/>
      <c r="BI829" s="156"/>
      <c r="BJ829" s="156"/>
      <c r="BK829" s="156"/>
      <c r="BL829" s="156"/>
      <c r="BM829" s="156"/>
      <c r="BN829" s="156"/>
      <c r="BO829" s="156"/>
      <c r="BP829" s="156"/>
      <c r="BQ829" s="156"/>
      <c r="BR829" s="156"/>
      <c r="BS829" s="156"/>
      <c r="BT829" s="156"/>
      <c r="BU829" s="156"/>
      <c r="BV829" s="156"/>
      <c r="BW829" s="156"/>
      <c r="BX829" s="156"/>
      <c r="BY829" s="156"/>
      <c r="BZ829" s="156"/>
      <c r="CA829" s="156"/>
      <c r="CB829" s="156"/>
      <c r="CC829" s="156"/>
      <c r="CD829" s="156"/>
      <c r="CE829" s="156"/>
      <c r="CF829" s="156"/>
      <c r="CG829" s="156"/>
      <c r="CH829" s="156"/>
      <c r="CI829" s="156"/>
      <c r="CJ829" s="156"/>
      <c r="CK829" s="156"/>
      <c r="CL829" s="156"/>
      <c r="CM829" s="156"/>
      <c r="CN829" s="156"/>
      <c r="CO829" s="156"/>
      <c r="CP829" s="156"/>
      <c r="CQ829" s="156"/>
      <c r="CR829" s="156"/>
      <c r="CS829" s="156"/>
      <c r="CT829" s="156"/>
      <c r="CU829" s="156"/>
      <c r="CV829" s="156"/>
      <c r="CW829" s="156"/>
      <c r="CX829" s="156"/>
      <c r="CY829" s="156"/>
      <c r="CZ829" s="156"/>
      <c r="DA829" s="156"/>
      <c r="DB829" s="156"/>
      <c r="DC829" s="156"/>
      <c r="DD829" s="156"/>
      <c r="DE829" s="156"/>
      <c r="DF829" s="156"/>
      <c r="DG829" s="156"/>
      <c r="DH829" s="156"/>
      <c r="DI829" s="156"/>
      <c r="DJ829" s="156"/>
      <c r="DK829" s="156"/>
      <c r="DL829" s="156"/>
      <c r="DM829" s="156"/>
      <c r="DN829" s="156"/>
      <c r="DO829" s="156"/>
      <c r="DP829" s="156"/>
      <c r="DQ829" s="156"/>
      <c r="DR829" s="156"/>
      <c r="DS829" s="156"/>
      <c r="DT829" s="156"/>
      <c r="DU829" s="156"/>
      <c r="DV829" s="156"/>
      <c r="DW829" s="156"/>
      <c r="DX829" s="156"/>
      <c r="DY829" s="156"/>
      <c r="DZ829" s="156"/>
      <c r="EA829" s="156"/>
      <c r="EB829" s="156"/>
      <c r="EC829" s="156"/>
      <c r="ED829" s="156"/>
      <c r="EE829" s="156"/>
      <c r="EF829" s="156"/>
      <c r="EG829" s="156"/>
      <c r="EH829" s="156"/>
      <c r="EI829" s="156"/>
      <c r="EJ829" s="156"/>
      <c r="EK829" s="156"/>
      <c r="EL829" s="156"/>
      <c r="EM829" s="156"/>
    </row>
    <row r="830" spans="20:143" ht="10.5" customHeight="1">
      <c r="T830" s="156"/>
      <c r="AZ830" s="156"/>
      <c r="BA830" s="156"/>
      <c r="BB830" s="156"/>
      <c r="BC830" s="156"/>
      <c r="BD830" s="156"/>
      <c r="BE830" s="156"/>
      <c r="BF830" s="156"/>
      <c r="BG830" s="156"/>
      <c r="BH830" s="156"/>
      <c r="BI830" s="156"/>
      <c r="BJ830" s="156"/>
      <c r="BK830" s="156"/>
      <c r="BL830" s="156"/>
      <c r="BM830" s="156"/>
      <c r="BN830" s="156"/>
      <c r="BO830" s="156"/>
      <c r="BP830" s="156"/>
      <c r="BQ830" s="156"/>
      <c r="BR830" s="156"/>
      <c r="BS830" s="156"/>
      <c r="BT830" s="156"/>
      <c r="BU830" s="156"/>
      <c r="BV830" s="156"/>
      <c r="BW830" s="156"/>
      <c r="BX830" s="156"/>
      <c r="BY830" s="156"/>
      <c r="BZ830" s="156"/>
      <c r="CA830" s="156"/>
      <c r="CB830" s="156"/>
      <c r="CC830" s="156"/>
      <c r="CD830" s="156"/>
      <c r="CE830" s="156"/>
      <c r="CF830" s="156"/>
      <c r="CG830" s="156"/>
      <c r="CH830" s="156"/>
      <c r="CI830" s="156"/>
      <c r="CJ830" s="156"/>
      <c r="CK830" s="156"/>
      <c r="CL830" s="156"/>
      <c r="CM830" s="156"/>
      <c r="CN830" s="156"/>
      <c r="CO830" s="156"/>
      <c r="CP830" s="156"/>
      <c r="CQ830" s="156"/>
      <c r="CR830" s="156"/>
      <c r="CS830" s="156"/>
      <c r="CT830" s="156"/>
      <c r="CU830" s="156"/>
      <c r="CV830" s="156"/>
      <c r="CW830" s="156"/>
      <c r="CX830" s="156"/>
      <c r="CY830" s="156"/>
      <c r="CZ830" s="156"/>
      <c r="DA830" s="156"/>
      <c r="DB830" s="156"/>
      <c r="DC830" s="156"/>
      <c r="DD830" s="156"/>
      <c r="DE830" s="156"/>
      <c r="DF830" s="156"/>
      <c r="DG830" s="156"/>
      <c r="DH830" s="156"/>
      <c r="DI830" s="156"/>
      <c r="DJ830" s="156"/>
      <c r="DK830" s="156"/>
      <c r="DL830" s="156"/>
      <c r="DM830" s="156"/>
      <c r="DN830" s="156"/>
      <c r="DO830" s="156"/>
      <c r="DP830" s="156"/>
      <c r="DQ830" s="156"/>
      <c r="DR830" s="156"/>
      <c r="DS830" s="156"/>
      <c r="DT830" s="156"/>
      <c r="DU830" s="156"/>
      <c r="DV830" s="156"/>
      <c r="DW830" s="156"/>
      <c r="DX830" s="156"/>
      <c r="DY830" s="156"/>
      <c r="DZ830" s="156"/>
      <c r="EA830" s="156"/>
      <c r="EB830" s="156"/>
      <c r="EC830" s="156"/>
      <c r="ED830" s="156"/>
      <c r="EE830" s="156"/>
      <c r="EF830" s="156"/>
      <c r="EG830" s="156"/>
      <c r="EH830" s="156"/>
      <c r="EI830" s="156"/>
      <c r="EJ830" s="156"/>
      <c r="EK830" s="156"/>
      <c r="EL830" s="156"/>
      <c r="EM830" s="156"/>
    </row>
    <row r="831" spans="20:143" ht="10.5" customHeight="1">
      <c r="T831" s="156"/>
      <c r="AZ831" s="156"/>
      <c r="BA831" s="156"/>
      <c r="BB831" s="156"/>
      <c r="BC831" s="156"/>
      <c r="BD831" s="156"/>
      <c r="BE831" s="156"/>
      <c r="BF831" s="156"/>
      <c r="BG831" s="156"/>
      <c r="BH831" s="156"/>
      <c r="BI831" s="156"/>
      <c r="BJ831" s="156"/>
      <c r="BK831" s="156"/>
      <c r="BL831" s="156"/>
      <c r="BM831" s="156"/>
      <c r="BN831" s="156"/>
      <c r="BO831" s="156"/>
      <c r="BP831" s="156"/>
      <c r="BQ831" s="156"/>
      <c r="BR831" s="156"/>
      <c r="BS831" s="156"/>
      <c r="BT831" s="156"/>
      <c r="BU831" s="156"/>
      <c r="BV831" s="156"/>
      <c r="BW831" s="156"/>
      <c r="BX831" s="156"/>
      <c r="BY831" s="156"/>
      <c r="BZ831" s="156"/>
      <c r="CA831" s="156"/>
      <c r="CB831" s="156"/>
      <c r="CC831" s="156"/>
      <c r="CD831" s="156"/>
      <c r="CE831" s="156"/>
      <c r="CF831" s="156"/>
      <c r="CG831" s="156"/>
      <c r="CH831" s="156"/>
      <c r="CI831" s="156"/>
      <c r="CJ831" s="156"/>
      <c r="CK831" s="156"/>
      <c r="CL831" s="156"/>
      <c r="CM831" s="156"/>
      <c r="CN831" s="156"/>
      <c r="CO831" s="156"/>
      <c r="CP831" s="156"/>
      <c r="CQ831" s="156"/>
      <c r="CR831" s="156"/>
      <c r="CS831" s="156"/>
      <c r="CT831" s="156"/>
      <c r="CU831" s="156"/>
      <c r="CV831" s="156"/>
      <c r="CW831" s="156"/>
      <c r="CX831" s="156"/>
      <c r="CY831" s="156"/>
      <c r="CZ831" s="156"/>
      <c r="DA831" s="156"/>
      <c r="DB831" s="156"/>
      <c r="DC831" s="156"/>
      <c r="DD831" s="156"/>
      <c r="DE831" s="156"/>
      <c r="DF831" s="156"/>
      <c r="DG831" s="156"/>
      <c r="DH831" s="156"/>
      <c r="DI831" s="156"/>
      <c r="DJ831" s="156"/>
      <c r="DK831" s="156"/>
      <c r="DL831" s="156"/>
      <c r="DM831" s="156"/>
      <c r="DN831" s="156"/>
      <c r="DO831" s="156"/>
      <c r="DP831" s="156"/>
      <c r="DQ831" s="156"/>
      <c r="DR831" s="156"/>
      <c r="DS831" s="156"/>
      <c r="DT831" s="156"/>
      <c r="DU831" s="156"/>
      <c r="DV831" s="156"/>
      <c r="DW831" s="156"/>
      <c r="DX831" s="156"/>
      <c r="DY831" s="156"/>
      <c r="DZ831" s="156"/>
      <c r="EA831" s="156"/>
      <c r="EB831" s="156"/>
      <c r="EC831" s="156"/>
      <c r="ED831" s="156"/>
      <c r="EE831" s="156"/>
      <c r="EF831" s="156"/>
      <c r="EG831" s="156"/>
      <c r="EH831" s="156"/>
      <c r="EI831" s="156"/>
      <c r="EJ831" s="156"/>
      <c r="EK831" s="156"/>
      <c r="EL831" s="156"/>
      <c r="EM831" s="156"/>
    </row>
    <row r="832" spans="20:143" ht="10.5" customHeight="1">
      <c r="T832" s="156"/>
      <c r="AZ832" s="156"/>
      <c r="BA832" s="156"/>
      <c r="BB832" s="156"/>
      <c r="BC832" s="156"/>
      <c r="BD832" s="156"/>
      <c r="BE832" s="156"/>
      <c r="BF832" s="156"/>
      <c r="BG832" s="156"/>
      <c r="BH832" s="156"/>
      <c r="BI832" s="156"/>
      <c r="BJ832" s="156"/>
      <c r="BK832" s="156"/>
      <c r="BL832" s="156"/>
      <c r="BM832" s="156"/>
      <c r="BN832" s="156"/>
      <c r="BO832" s="156"/>
      <c r="BP832" s="156"/>
      <c r="BQ832" s="156"/>
      <c r="BR832" s="156"/>
      <c r="BS832" s="156"/>
      <c r="BT832" s="156"/>
      <c r="BU832" s="156"/>
      <c r="BV832" s="156"/>
      <c r="BW832" s="156"/>
      <c r="BX832" s="156"/>
      <c r="BY832" s="156"/>
      <c r="BZ832" s="156"/>
      <c r="CA832" s="156"/>
      <c r="CB832" s="156"/>
      <c r="CC832" s="156"/>
      <c r="CD832" s="156"/>
      <c r="CE832" s="156"/>
      <c r="CF832" s="156"/>
      <c r="CG832" s="156"/>
      <c r="CH832" s="156"/>
      <c r="CI832" s="156"/>
      <c r="CJ832" s="156"/>
      <c r="CK832" s="156"/>
      <c r="CL832" s="156"/>
      <c r="CM832" s="156"/>
      <c r="CN832" s="156"/>
      <c r="CO832" s="156"/>
      <c r="CP832" s="156"/>
      <c r="CQ832" s="156"/>
      <c r="CR832" s="156"/>
      <c r="CS832" s="156"/>
      <c r="CT832" s="156"/>
      <c r="CU832" s="156"/>
      <c r="CV832" s="156"/>
      <c r="CW832" s="156"/>
      <c r="CX832" s="156"/>
      <c r="CY832" s="156"/>
      <c r="CZ832" s="156"/>
      <c r="DA832" s="156"/>
      <c r="DB832" s="156"/>
      <c r="DC832" s="156"/>
      <c r="DD832" s="156"/>
      <c r="DE832" s="156"/>
      <c r="DF832" s="156"/>
      <c r="DG832" s="156"/>
      <c r="DH832" s="156"/>
      <c r="DI832" s="156"/>
      <c r="DJ832" s="156"/>
      <c r="DK832" s="156"/>
      <c r="DL832" s="156"/>
      <c r="DM832" s="156"/>
      <c r="DN832" s="156"/>
      <c r="DO832" s="156"/>
      <c r="DP832" s="156"/>
      <c r="DQ832" s="156"/>
      <c r="DR832" s="156"/>
      <c r="DS832" s="156"/>
      <c r="DT832" s="156"/>
      <c r="DU832" s="156"/>
      <c r="DV832" s="156"/>
      <c r="DW832" s="156"/>
      <c r="DX832" s="156"/>
      <c r="DY832" s="156"/>
      <c r="DZ832" s="156"/>
      <c r="EA832" s="156"/>
      <c r="EB832" s="156"/>
      <c r="EC832" s="156"/>
      <c r="ED832" s="156"/>
      <c r="EE832" s="156"/>
      <c r="EF832" s="156"/>
      <c r="EG832" s="156"/>
      <c r="EH832" s="156"/>
      <c r="EI832" s="156"/>
      <c r="EJ832" s="156"/>
      <c r="EK832" s="156"/>
      <c r="EL832" s="156"/>
      <c r="EM832" s="156"/>
    </row>
    <row r="833" spans="20:143" ht="10.5" customHeight="1">
      <c r="T833" s="156"/>
      <c r="AZ833" s="156"/>
      <c r="BA833" s="156"/>
      <c r="BB833" s="156"/>
      <c r="BC833" s="156"/>
      <c r="BD833" s="156"/>
      <c r="BE833" s="156"/>
      <c r="BF833" s="156"/>
      <c r="BG833" s="156"/>
      <c r="BH833" s="156"/>
      <c r="BI833" s="156"/>
      <c r="BJ833" s="156"/>
      <c r="BK833" s="156"/>
      <c r="BL833" s="156"/>
      <c r="BM833" s="156"/>
      <c r="BN833" s="156"/>
      <c r="BO833" s="156"/>
      <c r="BP833" s="156"/>
      <c r="BQ833" s="156"/>
      <c r="BR833" s="156"/>
      <c r="BS833" s="156"/>
      <c r="BT833" s="156"/>
      <c r="BU833" s="156"/>
      <c r="BV833" s="156"/>
      <c r="BW833" s="156"/>
      <c r="BX833" s="156"/>
      <c r="BY833" s="156"/>
      <c r="BZ833" s="156"/>
      <c r="CA833" s="156"/>
      <c r="CB833" s="156"/>
      <c r="CC833" s="156"/>
      <c r="CD833" s="156"/>
      <c r="CE833" s="156"/>
      <c r="CF833" s="156"/>
      <c r="CG833" s="156"/>
      <c r="CH833" s="156"/>
      <c r="CI833" s="156"/>
      <c r="CJ833" s="156"/>
      <c r="CK833" s="156"/>
      <c r="CL833" s="156"/>
      <c r="CM833" s="156"/>
      <c r="CN833" s="156"/>
      <c r="CO833" s="156"/>
      <c r="CP833" s="156"/>
      <c r="CQ833" s="156"/>
      <c r="CR833" s="156"/>
      <c r="CS833" s="156"/>
      <c r="CT833" s="156"/>
      <c r="CU833" s="156"/>
      <c r="CV833" s="156"/>
      <c r="CW833" s="156"/>
      <c r="CX833" s="156"/>
      <c r="CY833" s="156"/>
      <c r="CZ833" s="156"/>
      <c r="DA833" s="156"/>
      <c r="DB833" s="156"/>
      <c r="DC833" s="156"/>
      <c r="DD833" s="156"/>
      <c r="DE833" s="156"/>
      <c r="DF833" s="156"/>
      <c r="DG833" s="156"/>
      <c r="DH833" s="156"/>
      <c r="DI833" s="156"/>
      <c r="DJ833" s="156"/>
      <c r="DK833" s="156"/>
      <c r="DL833" s="156"/>
      <c r="DM833" s="156"/>
      <c r="DN833" s="156"/>
      <c r="DO833" s="156"/>
      <c r="DP833" s="156"/>
      <c r="DQ833" s="156"/>
      <c r="DR833" s="156"/>
      <c r="DS833" s="156"/>
      <c r="DT833" s="156"/>
      <c r="DU833" s="156"/>
      <c r="DV833" s="156"/>
      <c r="DW833" s="156"/>
      <c r="DX833" s="156"/>
      <c r="DY833" s="156"/>
      <c r="DZ833" s="156"/>
      <c r="EA833" s="156"/>
      <c r="EB833" s="156"/>
      <c r="EC833" s="156"/>
      <c r="ED833" s="156"/>
      <c r="EE833" s="156"/>
      <c r="EF833" s="156"/>
      <c r="EG833" s="156"/>
      <c r="EH833" s="156"/>
      <c r="EI833" s="156"/>
      <c r="EJ833" s="156"/>
      <c r="EK833" s="156"/>
      <c r="EL833" s="156"/>
      <c r="EM833" s="156"/>
    </row>
    <row r="834" spans="20:143" ht="10.5" customHeight="1">
      <c r="T834" s="156"/>
      <c r="AZ834" s="156"/>
      <c r="BA834" s="156"/>
      <c r="BB834" s="156"/>
      <c r="BC834" s="156"/>
      <c r="BD834" s="156"/>
      <c r="BE834" s="156"/>
      <c r="BF834" s="156"/>
      <c r="BG834" s="156"/>
      <c r="BH834" s="156"/>
      <c r="BI834" s="156"/>
      <c r="BJ834" s="156"/>
      <c r="BK834" s="156"/>
      <c r="BL834" s="156"/>
      <c r="BM834" s="156"/>
      <c r="BN834" s="156"/>
      <c r="BO834" s="156"/>
      <c r="BP834" s="156"/>
      <c r="BQ834" s="156"/>
      <c r="BR834" s="156"/>
      <c r="BS834" s="156"/>
      <c r="BT834" s="156"/>
      <c r="BU834" s="156"/>
      <c r="BV834" s="156"/>
      <c r="BW834" s="156"/>
      <c r="BX834" s="156"/>
      <c r="BY834" s="156"/>
      <c r="BZ834" s="156"/>
      <c r="CA834" s="156"/>
      <c r="CB834" s="156"/>
      <c r="CC834" s="156"/>
      <c r="CD834" s="156"/>
      <c r="CE834" s="156"/>
      <c r="CF834" s="156"/>
      <c r="CG834" s="156"/>
      <c r="CH834" s="156"/>
      <c r="CI834" s="156"/>
      <c r="CJ834" s="156"/>
      <c r="CK834" s="156"/>
      <c r="CL834" s="156"/>
      <c r="CM834" s="156"/>
      <c r="CN834" s="156"/>
      <c r="CO834" s="156"/>
      <c r="CP834" s="156"/>
      <c r="CQ834" s="156"/>
      <c r="CR834" s="156"/>
      <c r="CS834" s="156"/>
      <c r="CT834" s="156"/>
      <c r="CU834" s="156"/>
      <c r="CV834" s="156"/>
      <c r="CW834" s="156"/>
      <c r="CX834" s="156"/>
      <c r="CY834" s="156"/>
      <c r="CZ834" s="156"/>
      <c r="DA834" s="156"/>
      <c r="DB834" s="156"/>
      <c r="DC834" s="156"/>
      <c r="DD834" s="156"/>
      <c r="DE834" s="156"/>
      <c r="DF834" s="156"/>
      <c r="DG834" s="156"/>
      <c r="DH834" s="156"/>
      <c r="DI834" s="156"/>
      <c r="DJ834" s="156"/>
      <c r="DK834" s="156"/>
      <c r="DL834" s="156"/>
      <c r="DM834" s="156"/>
      <c r="DN834" s="156"/>
      <c r="DO834" s="156"/>
      <c r="DP834" s="156"/>
      <c r="DQ834" s="156"/>
      <c r="DR834" s="156"/>
      <c r="DS834" s="156"/>
      <c r="DT834" s="156"/>
      <c r="DU834" s="156"/>
      <c r="DV834" s="156"/>
      <c r="DW834" s="156"/>
      <c r="DX834" s="156"/>
      <c r="DY834" s="156"/>
      <c r="DZ834" s="156"/>
      <c r="EA834" s="156"/>
      <c r="EB834" s="156"/>
      <c r="EC834" s="156"/>
      <c r="ED834" s="156"/>
      <c r="EE834" s="156"/>
      <c r="EF834" s="156"/>
      <c r="EG834" s="156"/>
      <c r="EH834" s="156"/>
      <c r="EI834" s="156"/>
      <c r="EJ834" s="156"/>
      <c r="EK834" s="156"/>
      <c r="EL834" s="156"/>
      <c r="EM834" s="156"/>
    </row>
    <row r="835" spans="20:143" ht="10.5" customHeight="1">
      <c r="T835" s="156"/>
      <c r="AZ835" s="156"/>
      <c r="BA835" s="156"/>
      <c r="BB835" s="156"/>
      <c r="BC835" s="156"/>
      <c r="BD835" s="156"/>
      <c r="BE835" s="156"/>
      <c r="BF835" s="156"/>
      <c r="BG835" s="156"/>
      <c r="BH835" s="156"/>
      <c r="BI835" s="156"/>
      <c r="BJ835" s="156"/>
      <c r="BK835" s="156"/>
      <c r="BL835" s="156"/>
      <c r="BM835" s="156"/>
      <c r="BN835" s="156"/>
      <c r="BO835" s="156"/>
      <c r="BP835" s="156"/>
      <c r="BQ835" s="156"/>
      <c r="BR835" s="156"/>
      <c r="BS835" s="156"/>
      <c r="BT835" s="156"/>
      <c r="BU835" s="156"/>
      <c r="BV835" s="156"/>
      <c r="BW835" s="156"/>
      <c r="BX835" s="156"/>
      <c r="BY835" s="156"/>
      <c r="BZ835" s="156"/>
      <c r="CA835" s="156"/>
      <c r="CB835" s="156"/>
      <c r="CC835" s="156"/>
      <c r="CD835" s="156"/>
      <c r="CE835" s="156"/>
      <c r="CF835" s="156"/>
      <c r="CG835" s="156"/>
      <c r="CH835" s="156"/>
      <c r="CI835" s="156"/>
      <c r="CJ835" s="156"/>
      <c r="CK835" s="156"/>
      <c r="CL835" s="156"/>
      <c r="CM835" s="156"/>
      <c r="CN835" s="156"/>
      <c r="CO835" s="156"/>
      <c r="CP835" s="156"/>
      <c r="CQ835" s="156"/>
      <c r="CR835" s="156"/>
      <c r="CS835" s="156"/>
      <c r="CT835" s="156"/>
      <c r="CU835" s="156"/>
      <c r="CV835" s="156"/>
      <c r="CW835" s="156"/>
      <c r="CX835" s="156"/>
      <c r="CY835" s="156"/>
      <c r="CZ835" s="156"/>
      <c r="DA835" s="156"/>
      <c r="DB835" s="156"/>
      <c r="DC835" s="156"/>
      <c r="DD835" s="156"/>
      <c r="DE835" s="156"/>
      <c r="DF835" s="156"/>
      <c r="DG835" s="156"/>
      <c r="DH835" s="156"/>
      <c r="DI835" s="156"/>
      <c r="DJ835" s="156"/>
      <c r="DK835" s="156"/>
      <c r="DL835" s="156"/>
      <c r="DM835" s="156"/>
      <c r="DN835" s="156"/>
      <c r="DO835" s="156"/>
      <c r="DP835" s="156"/>
      <c r="DQ835" s="156"/>
      <c r="DR835" s="156"/>
      <c r="DS835" s="156"/>
      <c r="DT835" s="156"/>
      <c r="DU835" s="156"/>
      <c r="DV835" s="156"/>
      <c r="DW835" s="156"/>
      <c r="DX835" s="156"/>
      <c r="DY835" s="156"/>
      <c r="DZ835" s="156"/>
      <c r="EA835" s="156"/>
      <c r="EB835" s="156"/>
      <c r="EC835" s="156"/>
      <c r="ED835" s="156"/>
      <c r="EE835" s="156"/>
      <c r="EF835" s="156"/>
      <c r="EG835" s="156"/>
      <c r="EH835" s="156"/>
      <c r="EI835" s="156"/>
      <c r="EJ835" s="156"/>
      <c r="EK835" s="156"/>
      <c r="EL835" s="156"/>
      <c r="EM835" s="156"/>
    </row>
    <row r="836" spans="20:143" ht="10.5" customHeight="1">
      <c r="T836" s="156"/>
      <c r="AZ836" s="156"/>
      <c r="BA836" s="156"/>
      <c r="BB836" s="156"/>
      <c r="BC836" s="156"/>
      <c r="BD836" s="156"/>
      <c r="BE836" s="156"/>
      <c r="BF836" s="156"/>
      <c r="BG836" s="156"/>
      <c r="BH836" s="156"/>
      <c r="BI836" s="156"/>
      <c r="BJ836" s="156"/>
      <c r="BK836" s="156"/>
      <c r="BL836" s="156"/>
      <c r="BM836" s="156"/>
      <c r="BN836" s="156"/>
      <c r="BO836" s="156"/>
      <c r="BP836" s="156"/>
      <c r="BQ836" s="156"/>
      <c r="BR836" s="156"/>
      <c r="BS836" s="156"/>
      <c r="BT836" s="156"/>
      <c r="BU836" s="156"/>
      <c r="BV836" s="156"/>
      <c r="BW836" s="156"/>
      <c r="BX836" s="156"/>
      <c r="BY836" s="156"/>
      <c r="BZ836" s="156"/>
      <c r="CA836" s="156"/>
      <c r="CB836" s="156"/>
      <c r="CC836" s="156"/>
      <c r="CD836" s="156"/>
      <c r="CE836" s="156"/>
      <c r="CF836" s="156"/>
      <c r="CG836" s="156"/>
      <c r="CH836" s="156"/>
      <c r="CI836" s="156"/>
      <c r="CJ836" s="156"/>
      <c r="CK836" s="156"/>
      <c r="CL836" s="156"/>
      <c r="CM836" s="156"/>
      <c r="CN836" s="156"/>
      <c r="CO836" s="156"/>
      <c r="CP836" s="156"/>
      <c r="CQ836" s="156"/>
      <c r="CR836" s="156"/>
      <c r="CS836" s="156"/>
      <c r="CT836" s="156"/>
      <c r="CU836" s="156"/>
      <c r="CV836" s="156"/>
      <c r="CW836" s="156"/>
      <c r="CX836" s="156"/>
      <c r="CY836" s="156"/>
      <c r="CZ836" s="156"/>
      <c r="DA836" s="156"/>
      <c r="DB836" s="156"/>
      <c r="DC836" s="156"/>
      <c r="DD836" s="156"/>
      <c r="DE836" s="156"/>
      <c r="DF836" s="156"/>
      <c r="DG836" s="156"/>
      <c r="DH836" s="156"/>
      <c r="DI836" s="156"/>
      <c r="DJ836" s="156"/>
      <c r="DK836" s="156"/>
      <c r="DL836" s="156"/>
      <c r="DM836" s="156"/>
      <c r="DN836" s="156"/>
      <c r="DO836" s="156"/>
      <c r="DP836" s="156"/>
      <c r="DQ836" s="156"/>
      <c r="DR836" s="156"/>
      <c r="DS836" s="156"/>
      <c r="DT836" s="156"/>
      <c r="DU836" s="156"/>
      <c r="DV836" s="156"/>
      <c r="DW836" s="156"/>
      <c r="DX836" s="156"/>
      <c r="DY836" s="156"/>
      <c r="DZ836" s="156"/>
      <c r="EA836" s="156"/>
      <c r="EB836" s="156"/>
      <c r="EC836" s="156"/>
      <c r="ED836" s="156"/>
      <c r="EE836" s="156"/>
      <c r="EF836" s="156"/>
      <c r="EG836" s="156"/>
      <c r="EH836" s="156"/>
      <c r="EI836" s="156"/>
      <c r="EJ836" s="156"/>
      <c r="EK836" s="156"/>
      <c r="EL836" s="156"/>
      <c r="EM836" s="156"/>
    </row>
    <row r="837" spans="20:143" ht="10.5" customHeight="1">
      <c r="T837" s="156"/>
      <c r="AZ837" s="156"/>
      <c r="BA837" s="156"/>
      <c r="BB837" s="156"/>
      <c r="BC837" s="156"/>
      <c r="BD837" s="156"/>
      <c r="BE837" s="156"/>
      <c r="BF837" s="156"/>
      <c r="BG837" s="156"/>
      <c r="BH837" s="156"/>
      <c r="BI837" s="156"/>
      <c r="BJ837" s="156"/>
      <c r="BK837" s="156"/>
      <c r="BL837" s="156"/>
      <c r="BM837" s="156"/>
      <c r="BN837" s="156"/>
      <c r="BO837" s="156"/>
      <c r="BP837" s="156"/>
      <c r="BQ837" s="156"/>
      <c r="BR837" s="156"/>
      <c r="BS837" s="156"/>
      <c r="BT837" s="156"/>
      <c r="BU837" s="156"/>
      <c r="BV837" s="156"/>
      <c r="BW837" s="156"/>
      <c r="BX837" s="156"/>
      <c r="BY837" s="156"/>
      <c r="BZ837" s="156"/>
      <c r="CA837" s="156"/>
      <c r="CB837" s="156"/>
      <c r="CC837" s="156"/>
      <c r="CD837" s="156"/>
      <c r="CE837" s="156"/>
      <c r="CF837" s="156"/>
      <c r="CG837" s="156"/>
      <c r="CH837" s="156"/>
      <c r="CI837" s="156"/>
      <c r="CJ837" s="156"/>
      <c r="CK837" s="156"/>
      <c r="CL837" s="156"/>
      <c r="CM837" s="156"/>
      <c r="CN837" s="156"/>
      <c r="CO837" s="156"/>
      <c r="CP837" s="156"/>
      <c r="CQ837" s="156"/>
      <c r="CR837" s="156"/>
      <c r="CS837" s="156"/>
      <c r="CT837" s="156"/>
      <c r="CU837" s="156"/>
      <c r="CV837" s="156"/>
      <c r="CW837" s="156"/>
      <c r="CX837" s="156"/>
      <c r="CY837" s="156"/>
      <c r="CZ837" s="156"/>
      <c r="DA837" s="156"/>
      <c r="DB837" s="156"/>
      <c r="DC837" s="156"/>
      <c r="DD837" s="156"/>
      <c r="DE837" s="156"/>
      <c r="DF837" s="156"/>
      <c r="DG837" s="156"/>
      <c r="DH837" s="156"/>
      <c r="DI837" s="156"/>
      <c r="DJ837" s="156"/>
      <c r="DK837" s="156"/>
      <c r="DL837" s="156"/>
      <c r="DM837" s="156"/>
      <c r="DN837" s="156"/>
      <c r="DO837" s="156"/>
      <c r="DP837" s="156"/>
      <c r="DQ837" s="156"/>
      <c r="DR837" s="156"/>
      <c r="DS837" s="156"/>
      <c r="DT837" s="156"/>
      <c r="DU837" s="156"/>
      <c r="DV837" s="156"/>
      <c r="DW837" s="156"/>
      <c r="DX837" s="156"/>
      <c r="DY837" s="156"/>
      <c r="DZ837" s="156"/>
      <c r="EA837" s="156"/>
      <c r="EB837" s="156"/>
      <c r="EC837" s="156"/>
      <c r="ED837" s="156"/>
      <c r="EE837" s="156"/>
      <c r="EF837" s="156"/>
      <c r="EG837" s="156"/>
      <c r="EH837" s="156"/>
      <c r="EI837" s="156"/>
      <c r="EJ837" s="156"/>
      <c r="EK837" s="156"/>
      <c r="EL837" s="156"/>
      <c r="EM837" s="156"/>
    </row>
    <row r="838" spans="20:143" ht="10.5" customHeight="1">
      <c r="T838" s="156"/>
      <c r="AZ838" s="156"/>
      <c r="BA838" s="156"/>
      <c r="BB838" s="156"/>
      <c r="BC838" s="156"/>
      <c r="BD838" s="156"/>
      <c r="BE838" s="156"/>
      <c r="BF838" s="156"/>
      <c r="BG838" s="156"/>
      <c r="BH838" s="156"/>
      <c r="BI838" s="156"/>
      <c r="BJ838" s="156"/>
      <c r="BK838" s="156"/>
      <c r="BL838" s="156"/>
      <c r="BM838" s="156"/>
      <c r="BN838" s="156"/>
      <c r="BO838" s="156"/>
      <c r="BP838" s="156"/>
      <c r="BQ838" s="156"/>
      <c r="BR838" s="156"/>
      <c r="BS838" s="156"/>
      <c r="BT838" s="156"/>
      <c r="BU838" s="156"/>
      <c r="BV838" s="156"/>
      <c r="BW838" s="156"/>
      <c r="BX838" s="156"/>
      <c r="BY838" s="156"/>
      <c r="BZ838" s="156"/>
      <c r="CA838" s="156"/>
      <c r="CB838" s="156"/>
      <c r="CC838" s="156"/>
      <c r="CD838" s="156"/>
      <c r="CE838" s="156"/>
      <c r="CF838" s="156"/>
      <c r="CG838" s="156"/>
      <c r="CH838" s="156"/>
      <c r="CI838" s="156"/>
      <c r="CJ838" s="156"/>
      <c r="CK838" s="156"/>
      <c r="CL838" s="156"/>
      <c r="CM838" s="156"/>
      <c r="CN838" s="156"/>
      <c r="CO838" s="156"/>
      <c r="CP838" s="156"/>
      <c r="CQ838" s="156"/>
      <c r="CR838" s="156"/>
      <c r="CS838" s="156"/>
      <c r="CT838" s="156"/>
      <c r="CU838" s="156"/>
      <c r="CV838" s="156"/>
      <c r="CW838" s="156"/>
      <c r="CX838" s="156"/>
      <c r="CY838" s="156"/>
      <c r="CZ838" s="156"/>
      <c r="DA838" s="156"/>
      <c r="DB838" s="156"/>
      <c r="DC838" s="156"/>
      <c r="DD838" s="156"/>
      <c r="DE838" s="156"/>
      <c r="DF838" s="156"/>
      <c r="DG838" s="156"/>
      <c r="DH838" s="156"/>
      <c r="DI838" s="156"/>
      <c r="DJ838" s="156"/>
      <c r="DK838" s="156"/>
      <c r="DL838" s="156"/>
      <c r="DM838" s="156"/>
      <c r="DN838" s="156"/>
      <c r="DO838" s="156"/>
      <c r="DP838" s="156"/>
      <c r="DQ838" s="156"/>
      <c r="DR838" s="156"/>
      <c r="DS838" s="156"/>
      <c r="DT838" s="156"/>
      <c r="DU838" s="156"/>
      <c r="DV838" s="156"/>
      <c r="DW838" s="156"/>
      <c r="DX838" s="156"/>
      <c r="DY838" s="156"/>
      <c r="DZ838" s="156"/>
      <c r="EA838" s="156"/>
      <c r="EB838" s="156"/>
      <c r="EC838" s="156"/>
      <c r="ED838" s="156"/>
      <c r="EE838" s="156"/>
      <c r="EF838" s="156"/>
      <c r="EG838" s="156"/>
      <c r="EH838" s="156"/>
      <c r="EI838" s="156"/>
      <c r="EJ838" s="156"/>
      <c r="EK838" s="156"/>
      <c r="EL838" s="156"/>
      <c r="EM838" s="156"/>
    </row>
    <row r="839" spans="20:143" ht="10.5" customHeight="1">
      <c r="T839" s="156"/>
      <c r="AZ839" s="156"/>
      <c r="BA839" s="156"/>
      <c r="BB839" s="156"/>
      <c r="BC839" s="156"/>
      <c r="BD839" s="156"/>
      <c r="BE839" s="156"/>
      <c r="BF839" s="156"/>
      <c r="BG839" s="156"/>
      <c r="BH839" s="156"/>
      <c r="BI839" s="156"/>
      <c r="BJ839" s="156"/>
      <c r="BK839" s="156"/>
      <c r="BL839" s="156"/>
      <c r="BM839" s="156"/>
      <c r="BN839" s="156"/>
      <c r="BO839" s="156"/>
      <c r="BP839" s="156"/>
      <c r="BQ839" s="156"/>
      <c r="BR839" s="156"/>
      <c r="BS839" s="156"/>
      <c r="BT839" s="156"/>
      <c r="BU839" s="156"/>
      <c r="BV839" s="156"/>
      <c r="BW839" s="156"/>
      <c r="BX839" s="156"/>
      <c r="BY839" s="156"/>
      <c r="BZ839" s="156"/>
      <c r="CA839" s="156"/>
      <c r="CB839" s="156"/>
      <c r="CC839" s="156"/>
      <c r="CD839" s="156"/>
      <c r="CE839" s="156"/>
      <c r="CF839" s="156"/>
      <c r="CG839" s="156"/>
      <c r="CH839" s="156"/>
      <c r="CI839" s="156"/>
      <c r="CJ839" s="156"/>
      <c r="CK839" s="156"/>
      <c r="CL839" s="156"/>
      <c r="CM839" s="156"/>
      <c r="CN839" s="156"/>
      <c r="CO839" s="156"/>
      <c r="CP839" s="156"/>
      <c r="CQ839" s="156"/>
      <c r="CR839" s="156"/>
      <c r="CS839" s="156"/>
      <c r="CT839" s="156"/>
      <c r="CU839" s="156"/>
      <c r="CV839" s="156"/>
      <c r="CW839" s="156"/>
      <c r="CX839" s="156"/>
      <c r="CY839" s="156"/>
      <c r="CZ839" s="156"/>
      <c r="DA839" s="156"/>
      <c r="DB839" s="156"/>
      <c r="DC839" s="156"/>
      <c r="DD839" s="156"/>
      <c r="DE839" s="156"/>
      <c r="DF839" s="156"/>
      <c r="DG839" s="156"/>
      <c r="DH839" s="156"/>
      <c r="DI839" s="156"/>
      <c r="DJ839" s="156"/>
      <c r="DK839" s="156"/>
      <c r="DL839" s="156"/>
      <c r="DM839" s="156"/>
      <c r="DN839" s="156"/>
      <c r="DO839" s="156"/>
      <c r="DP839" s="156"/>
      <c r="DQ839" s="156"/>
      <c r="DR839" s="156"/>
      <c r="DS839" s="156"/>
      <c r="DT839" s="156"/>
      <c r="DU839" s="156"/>
      <c r="DV839" s="156"/>
      <c r="DW839" s="156"/>
      <c r="DX839" s="156"/>
      <c r="DY839" s="156"/>
      <c r="DZ839" s="156"/>
      <c r="EA839" s="156"/>
      <c r="EB839" s="156"/>
      <c r="EC839" s="156"/>
      <c r="ED839" s="156"/>
      <c r="EE839" s="156"/>
      <c r="EF839" s="156"/>
      <c r="EG839" s="156"/>
      <c r="EH839" s="156"/>
      <c r="EI839" s="156"/>
      <c r="EJ839" s="156"/>
      <c r="EK839" s="156"/>
      <c r="EL839" s="156"/>
      <c r="EM839" s="156"/>
    </row>
    <row r="840" spans="20:143" ht="10.5" customHeight="1">
      <c r="T840" s="156"/>
      <c r="AZ840" s="156"/>
      <c r="BA840" s="156"/>
      <c r="BB840" s="156"/>
      <c r="BC840" s="156"/>
      <c r="BD840" s="156"/>
      <c r="BE840" s="156"/>
      <c r="BF840" s="156"/>
      <c r="BG840" s="156"/>
      <c r="BH840" s="156"/>
      <c r="BI840" s="156"/>
      <c r="BJ840" s="156"/>
      <c r="BK840" s="156"/>
      <c r="BL840" s="156"/>
      <c r="BM840" s="156"/>
      <c r="BN840" s="156"/>
      <c r="BO840" s="156"/>
      <c r="BP840" s="156"/>
      <c r="BQ840" s="156"/>
      <c r="BR840" s="156"/>
      <c r="BS840" s="156"/>
      <c r="BT840" s="156"/>
      <c r="BU840" s="156"/>
      <c r="BV840" s="156"/>
      <c r="BW840" s="156"/>
      <c r="BX840" s="156"/>
      <c r="BY840" s="156"/>
      <c r="BZ840" s="156"/>
      <c r="CA840" s="156"/>
      <c r="CB840" s="156"/>
      <c r="CC840" s="156"/>
      <c r="CD840" s="156"/>
      <c r="CE840" s="156"/>
      <c r="CF840" s="156"/>
      <c r="CG840" s="156"/>
      <c r="CH840" s="156"/>
      <c r="CI840" s="156"/>
      <c r="CJ840" s="156"/>
      <c r="CK840" s="156"/>
      <c r="CL840" s="156"/>
      <c r="CM840" s="156"/>
      <c r="CN840" s="156"/>
      <c r="CO840" s="156"/>
      <c r="CP840" s="156"/>
      <c r="CQ840" s="156"/>
      <c r="CR840" s="156"/>
      <c r="CS840" s="156"/>
      <c r="CT840" s="156"/>
      <c r="CU840" s="156"/>
      <c r="CV840" s="156"/>
      <c r="CW840" s="156"/>
      <c r="CX840" s="156"/>
      <c r="CY840" s="156"/>
      <c r="CZ840" s="156"/>
      <c r="DA840" s="156"/>
      <c r="DB840" s="156"/>
      <c r="DC840" s="156"/>
      <c r="DD840" s="156"/>
      <c r="DE840" s="156"/>
      <c r="DF840" s="156"/>
      <c r="DG840" s="156"/>
      <c r="DH840" s="156"/>
      <c r="DI840" s="156"/>
      <c r="DJ840" s="156"/>
      <c r="DK840" s="156"/>
      <c r="DL840" s="156"/>
      <c r="DM840" s="156"/>
      <c r="DN840" s="156"/>
      <c r="DO840" s="156"/>
      <c r="DP840" s="156"/>
      <c r="DQ840" s="156"/>
      <c r="DR840" s="156"/>
      <c r="DS840" s="156"/>
      <c r="DT840" s="156"/>
      <c r="DU840" s="156"/>
      <c r="DV840" s="156"/>
      <c r="DW840" s="156"/>
      <c r="DX840" s="156"/>
      <c r="DY840" s="156"/>
      <c r="DZ840" s="156"/>
      <c r="EA840" s="156"/>
      <c r="EB840" s="156"/>
      <c r="EC840" s="156"/>
      <c r="ED840" s="156"/>
      <c r="EE840" s="156"/>
      <c r="EF840" s="156"/>
      <c r="EG840" s="156"/>
      <c r="EH840" s="156"/>
      <c r="EI840" s="156"/>
      <c r="EJ840" s="156"/>
      <c r="EK840" s="156"/>
      <c r="EL840" s="156"/>
      <c r="EM840" s="156"/>
    </row>
    <row r="841" spans="20:143" ht="10.5" customHeight="1">
      <c r="T841" s="156"/>
      <c r="AZ841" s="156"/>
      <c r="BA841" s="156"/>
      <c r="BB841" s="156"/>
      <c r="BC841" s="156"/>
      <c r="BD841" s="156"/>
      <c r="BE841" s="156"/>
      <c r="BF841" s="156"/>
      <c r="BG841" s="156"/>
      <c r="BH841" s="156"/>
      <c r="BI841" s="156"/>
      <c r="BJ841" s="156"/>
      <c r="BK841" s="156"/>
      <c r="BL841" s="156"/>
      <c r="BM841" s="156"/>
      <c r="BN841" s="156"/>
      <c r="BO841" s="156"/>
      <c r="BP841" s="156"/>
      <c r="BQ841" s="156"/>
      <c r="BR841" s="156"/>
      <c r="BS841" s="156"/>
      <c r="BT841" s="156"/>
      <c r="BU841" s="156"/>
      <c r="BV841" s="156"/>
      <c r="BW841" s="156"/>
      <c r="BX841" s="156"/>
      <c r="BY841" s="156"/>
      <c r="BZ841" s="156"/>
      <c r="CA841" s="156"/>
      <c r="CB841" s="156"/>
      <c r="CC841" s="156"/>
      <c r="CD841" s="156"/>
      <c r="CE841" s="156"/>
      <c r="CF841" s="156"/>
      <c r="CG841" s="156"/>
      <c r="CH841" s="156"/>
      <c r="CI841" s="156"/>
      <c r="CJ841" s="156"/>
      <c r="CK841" s="156"/>
      <c r="CL841" s="156"/>
      <c r="CM841" s="156"/>
      <c r="CN841" s="156"/>
      <c r="CO841" s="156"/>
      <c r="CP841" s="156"/>
      <c r="CQ841" s="156"/>
      <c r="CR841" s="156"/>
      <c r="CS841" s="156"/>
      <c r="CT841" s="156"/>
      <c r="CU841" s="156"/>
      <c r="CV841" s="156"/>
      <c r="CW841" s="156"/>
      <c r="CX841" s="156"/>
      <c r="CY841" s="156"/>
      <c r="CZ841" s="156"/>
      <c r="DA841" s="156"/>
      <c r="DB841" s="156"/>
      <c r="DC841" s="156"/>
      <c r="DD841" s="156"/>
      <c r="DE841" s="156"/>
      <c r="DF841" s="156"/>
      <c r="DG841" s="156"/>
      <c r="DH841" s="156"/>
      <c r="DI841" s="156"/>
      <c r="DJ841" s="156"/>
      <c r="DK841" s="156"/>
      <c r="DL841" s="156"/>
      <c r="DM841" s="156"/>
      <c r="DN841" s="156"/>
      <c r="DO841" s="156"/>
      <c r="DP841" s="156"/>
      <c r="DQ841" s="156"/>
      <c r="DR841" s="156"/>
      <c r="DS841" s="156"/>
      <c r="DT841" s="156"/>
      <c r="DU841" s="156"/>
      <c r="DV841" s="156"/>
      <c r="DW841" s="156"/>
      <c r="DX841" s="156"/>
      <c r="DY841" s="156"/>
      <c r="DZ841" s="156"/>
      <c r="EA841" s="156"/>
      <c r="EB841" s="156"/>
      <c r="EC841" s="156"/>
      <c r="ED841" s="156"/>
      <c r="EE841" s="156"/>
      <c r="EF841" s="156"/>
      <c r="EG841" s="156"/>
      <c r="EH841" s="156"/>
      <c r="EI841" s="156"/>
      <c r="EJ841" s="156"/>
      <c r="EK841" s="156"/>
      <c r="EL841" s="156"/>
      <c r="EM841" s="156"/>
    </row>
    <row r="842" spans="20:143" ht="10.5" customHeight="1">
      <c r="T842" s="156"/>
      <c r="AZ842" s="156"/>
      <c r="BA842" s="156"/>
      <c r="BB842" s="156"/>
      <c r="BC842" s="156"/>
      <c r="BD842" s="156"/>
      <c r="BE842" s="156"/>
      <c r="BF842" s="156"/>
      <c r="BG842" s="156"/>
      <c r="BH842" s="156"/>
      <c r="BI842" s="156"/>
      <c r="BJ842" s="156"/>
      <c r="BK842" s="156"/>
      <c r="BL842" s="156"/>
      <c r="BM842" s="156"/>
      <c r="BN842" s="156"/>
      <c r="BO842" s="156"/>
      <c r="BP842" s="156"/>
      <c r="BQ842" s="156"/>
      <c r="BR842" s="156"/>
      <c r="BS842" s="156"/>
      <c r="BT842" s="156"/>
      <c r="BU842" s="156"/>
      <c r="BV842" s="156"/>
      <c r="BW842" s="156"/>
      <c r="BX842" s="156"/>
      <c r="BY842" s="156"/>
      <c r="BZ842" s="156"/>
      <c r="CA842" s="156"/>
      <c r="CB842" s="156"/>
      <c r="CC842" s="156"/>
      <c r="CD842" s="156"/>
      <c r="CE842" s="156"/>
      <c r="CF842" s="156"/>
      <c r="CG842" s="156"/>
      <c r="CH842" s="156"/>
      <c r="CI842" s="156"/>
      <c r="CJ842" s="156"/>
      <c r="CK842" s="156"/>
      <c r="CL842" s="156"/>
      <c r="CM842" s="156"/>
      <c r="CN842" s="156"/>
      <c r="CO842" s="156"/>
      <c r="CP842" s="156"/>
      <c r="CQ842" s="156"/>
      <c r="CR842" s="156"/>
      <c r="CS842" s="156"/>
      <c r="CT842" s="156"/>
      <c r="CU842" s="156"/>
      <c r="CV842" s="156"/>
      <c r="CW842" s="156"/>
      <c r="CX842" s="156"/>
      <c r="CY842" s="156"/>
      <c r="CZ842" s="156"/>
      <c r="DA842" s="156"/>
      <c r="DB842" s="156"/>
      <c r="DC842" s="156"/>
      <c r="DD842" s="156"/>
      <c r="DE842" s="156"/>
      <c r="DF842" s="156"/>
      <c r="DG842" s="156"/>
      <c r="DH842" s="156"/>
      <c r="DI842" s="156"/>
      <c r="DJ842" s="156"/>
      <c r="DK842" s="156"/>
      <c r="DL842" s="156"/>
      <c r="DM842" s="156"/>
      <c r="DN842" s="156"/>
      <c r="DO842" s="156"/>
      <c r="DP842" s="156"/>
      <c r="DQ842" s="156"/>
      <c r="DR842" s="156"/>
      <c r="DS842" s="156"/>
      <c r="DT842" s="156"/>
      <c r="DU842" s="156"/>
      <c r="DV842" s="156"/>
      <c r="DW842" s="156"/>
      <c r="DX842" s="156"/>
      <c r="DY842" s="156"/>
      <c r="DZ842" s="156"/>
      <c r="EA842" s="156"/>
      <c r="EB842" s="156"/>
      <c r="EC842" s="156"/>
      <c r="ED842" s="156"/>
      <c r="EE842" s="156"/>
      <c r="EF842" s="156"/>
      <c r="EG842" s="156"/>
      <c r="EH842" s="156"/>
      <c r="EI842" s="156"/>
      <c r="EJ842" s="156"/>
      <c r="EK842" s="156"/>
      <c r="EL842" s="156"/>
      <c r="EM842" s="156"/>
    </row>
    <row r="843" spans="20:143" ht="10.5" customHeight="1">
      <c r="T843" s="156"/>
      <c r="AZ843" s="156"/>
      <c r="BA843" s="156"/>
      <c r="BB843" s="156"/>
      <c r="BC843" s="156"/>
      <c r="BD843" s="156"/>
      <c r="BE843" s="156"/>
      <c r="BF843" s="156"/>
      <c r="BG843" s="156"/>
      <c r="BH843" s="156"/>
      <c r="BI843" s="156"/>
      <c r="BJ843" s="156"/>
      <c r="BK843" s="156"/>
      <c r="BL843" s="156"/>
      <c r="BM843" s="156"/>
      <c r="BN843" s="156"/>
      <c r="BO843" s="156"/>
      <c r="BP843" s="156"/>
      <c r="BQ843" s="156"/>
      <c r="BR843" s="156"/>
      <c r="BS843" s="156"/>
      <c r="BT843" s="156"/>
      <c r="BU843" s="156"/>
      <c r="BV843" s="156"/>
      <c r="BW843" s="156"/>
      <c r="BX843" s="156"/>
      <c r="BY843" s="156"/>
      <c r="BZ843" s="156"/>
      <c r="CA843" s="156"/>
      <c r="CB843" s="156"/>
      <c r="CC843" s="156"/>
      <c r="CD843" s="156"/>
      <c r="CE843" s="156"/>
      <c r="CF843" s="156"/>
      <c r="CG843" s="156"/>
      <c r="CH843" s="156"/>
      <c r="CI843" s="156"/>
      <c r="CJ843" s="156"/>
      <c r="CK843" s="156"/>
      <c r="CL843" s="156"/>
      <c r="CM843" s="156"/>
      <c r="CN843" s="156"/>
      <c r="CO843" s="156"/>
      <c r="CP843" s="156"/>
      <c r="CQ843" s="156"/>
      <c r="CR843" s="156"/>
      <c r="CS843" s="156"/>
      <c r="CT843" s="156"/>
      <c r="CU843" s="156"/>
      <c r="CV843" s="156"/>
      <c r="CW843" s="156"/>
      <c r="CX843" s="156"/>
      <c r="CY843" s="156"/>
      <c r="CZ843" s="156"/>
      <c r="DA843" s="156"/>
      <c r="DB843" s="156"/>
      <c r="DC843" s="156"/>
      <c r="DD843" s="156"/>
      <c r="DE843" s="156"/>
      <c r="DF843" s="156"/>
      <c r="DG843" s="156"/>
      <c r="DH843" s="156"/>
      <c r="DI843" s="156"/>
      <c r="DJ843" s="156"/>
      <c r="DK843" s="156"/>
      <c r="DL843" s="156"/>
      <c r="DM843" s="156"/>
      <c r="DN843" s="156"/>
      <c r="DO843" s="156"/>
      <c r="DP843" s="156"/>
      <c r="DQ843" s="156"/>
      <c r="DR843" s="156"/>
      <c r="DS843" s="156"/>
      <c r="DT843" s="156"/>
      <c r="DU843" s="156"/>
      <c r="DV843" s="156"/>
      <c r="DW843" s="156"/>
      <c r="DX843" s="156"/>
      <c r="DY843" s="156"/>
      <c r="DZ843" s="156"/>
      <c r="EA843" s="156"/>
      <c r="EB843" s="156"/>
      <c r="EC843" s="156"/>
      <c r="ED843" s="156"/>
      <c r="EE843" s="156"/>
      <c r="EF843" s="156"/>
      <c r="EG843" s="156"/>
      <c r="EH843" s="156"/>
      <c r="EI843" s="156"/>
      <c r="EJ843" s="156"/>
      <c r="EK843" s="156"/>
      <c r="EL843" s="156"/>
      <c r="EM843" s="156"/>
    </row>
    <row r="844" spans="20:143" ht="10.5" customHeight="1">
      <c r="T844" s="156"/>
      <c r="AZ844" s="156"/>
      <c r="BA844" s="156"/>
      <c r="BB844" s="156"/>
      <c r="BC844" s="156"/>
      <c r="BD844" s="156"/>
      <c r="BE844" s="156"/>
      <c r="BF844" s="156"/>
      <c r="BG844" s="156"/>
      <c r="BH844" s="156"/>
      <c r="BI844" s="156"/>
      <c r="BJ844" s="156"/>
      <c r="BK844" s="156"/>
      <c r="BL844" s="156"/>
      <c r="BM844" s="156"/>
      <c r="BN844" s="156"/>
      <c r="BO844" s="156"/>
      <c r="BP844" s="156"/>
      <c r="BQ844" s="156"/>
      <c r="BR844" s="156"/>
      <c r="BS844" s="156"/>
      <c r="BT844" s="156"/>
      <c r="BU844" s="156"/>
      <c r="BV844" s="156"/>
      <c r="BW844" s="156"/>
      <c r="BX844" s="156"/>
      <c r="BY844" s="156"/>
      <c r="BZ844" s="156"/>
      <c r="CA844" s="156"/>
      <c r="CB844" s="156"/>
      <c r="CC844" s="156"/>
      <c r="CD844" s="156"/>
      <c r="CE844" s="156"/>
      <c r="CF844" s="156"/>
      <c r="CG844" s="156"/>
      <c r="CH844" s="156"/>
      <c r="CI844" s="156"/>
      <c r="CJ844" s="156"/>
      <c r="CK844" s="156"/>
      <c r="CL844" s="156"/>
      <c r="CM844" s="156"/>
      <c r="CN844" s="156"/>
      <c r="CO844" s="156"/>
      <c r="CP844" s="156"/>
      <c r="CQ844" s="156"/>
      <c r="CR844" s="156"/>
      <c r="CS844" s="156"/>
      <c r="CT844" s="156"/>
      <c r="CU844" s="156"/>
      <c r="CV844" s="156"/>
      <c r="CW844" s="156"/>
      <c r="CX844" s="156"/>
      <c r="CY844" s="156"/>
      <c r="CZ844" s="156"/>
      <c r="DA844" s="156"/>
      <c r="DB844" s="156"/>
      <c r="DC844" s="156"/>
      <c r="DD844" s="156"/>
      <c r="DE844" s="156"/>
      <c r="DF844" s="156"/>
      <c r="DG844" s="156"/>
      <c r="DH844" s="156"/>
      <c r="DI844" s="156"/>
      <c r="DJ844" s="156"/>
      <c r="DK844" s="156"/>
      <c r="DL844" s="156"/>
      <c r="DM844" s="156"/>
      <c r="DN844" s="156"/>
      <c r="DO844" s="156"/>
      <c r="DP844" s="156"/>
      <c r="DQ844" s="156"/>
      <c r="DR844" s="156"/>
      <c r="DS844" s="156"/>
      <c r="DT844" s="156"/>
      <c r="DU844" s="156"/>
      <c r="DV844" s="156"/>
      <c r="DW844" s="156"/>
      <c r="DX844" s="156"/>
      <c r="DY844" s="156"/>
      <c r="DZ844" s="156"/>
      <c r="EA844" s="156"/>
      <c r="EB844" s="156"/>
      <c r="EC844" s="156"/>
      <c r="ED844" s="156"/>
      <c r="EE844" s="156"/>
      <c r="EF844" s="156"/>
      <c r="EG844" s="156"/>
      <c r="EH844" s="156"/>
      <c r="EI844" s="156"/>
      <c r="EJ844" s="156"/>
      <c r="EK844" s="156"/>
      <c r="EL844" s="156"/>
      <c r="EM844" s="156"/>
    </row>
    <row r="845" spans="20:143" ht="10.5" customHeight="1">
      <c r="T845" s="156"/>
      <c r="AZ845" s="156"/>
      <c r="BA845" s="156"/>
      <c r="BB845" s="156"/>
      <c r="BC845" s="156"/>
      <c r="BD845" s="156"/>
      <c r="BE845" s="156"/>
      <c r="BF845" s="156"/>
      <c r="BG845" s="156"/>
      <c r="BH845" s="156"/>
      <c r="BI845" s="156"/>
      <c r="BJ845" s="156"/>
      <c r="BK845" s="156"/>
      <c r="BL845" s="156"/>
      <c r="BM845" s="156"/>
      <c r="BN845" s="156"/>
      <c r="BO845" s="156"/>
      <c r="BP845" s="156"/>
      <c r="BQ845" s="156"/>
      <c r="BR845" s="156"/>
      <c r="BS845" s="156"/>
      <c r="BT845" s="156"/>
      <c r="BU845" s="156"/>
      <c r="BV845" s="156"/>
      <c r="BW845" s="156"/>
      <c r="BX845" s="156"/>
      <c r="BY845" s="156"/>
      <c r="BZ845" s="156"/>
      <c r="CA845" s="156"/>
      <c r="CB845" s="156"/>
      <c r="CC845" s="156"/>
      <c r="CD845" s="156"/>
      <c r="CE845" s="156"/>
      <c r="CF845" s="156"/>
      <c r="CG845" s="156"/>
      <c r="CH845" s="156"/>
      <c r="CI845" s="156"/>
      <c r="CJ845" s="156"/>
      <c r="CK845" s="156"/>
      <c r="CL845" s="156"/>
      <c r="CM845" s="156"/>
      <c r="CN845" s="156"/>
      <c r="CO845" s="156"/>
      <c r="CP845" s="156"/>
      <c r="CQ845" s="156"/>
      <c r="CR845" s="156"/>
      <c r="CS845" s="156"/>
      <c r="CT845" s="156"/>
      <c r="CU845" s="156"/>
      <c r="CV845" s="156"/>
      <c r="CW845" s="156"/>
      <c r="CX845" s="156"/>
      <c r="CY845" s="156"/>
      <c r="CZ845" s="156"/>
      <c r="DA845" s="156"/>
      <c r="DB845" s="156"/>
      <c r="DC845" s="156"/>
      <c r="DD845" s="156"/>
      <c r="DE845" s="156"/>
      <c r="DF845" s="156"/>
      <c r="DG845" s="156"/>
      <c r="DH845" s="156"/>
      <c r="DI845" s="156"/>
      <c r="DJ845" s="156"/>
      <c r="DK845" s="156"/>
      <c r="DL845" s="156"/>
      <c r="DM845" s="156"/>
      <c r="DN845" s="156"/>
      <c r="DO845" s="156"/>
      <c r="DP845" s="156"/>
      <c r="DQ845" s="156"/>
      <c r="DR845" s="156"/>
      <c r="DS845" s="156"/>
      <c r="DT845" s="156"/>
      <c r="DU845" s="156"/>
      <c r="DV845" s="156"/>
      <c r="DW845" s="156"/>
      <c r="DX845" s="156"/>
      <c r="DY845" s="156"/>
      <c r="DZ845" s="156"/>
      <c r="EA845" s="156"/>
      <c r="EB845" s="156"/>
      <c r="EC845" s="156"/>
      <c r="ED845" s="156"/>
      <c r="EE845" s="156"/>
      <c r="EF845" s="156"/>
      <c r="EG845" s="156"/>
      <c r="EH845" s="156"/>
      <c r="EI845" s="156"/>
      <c r="EJ845" s="156"/>
      <c r="EK845" s="156"/>
      <c r="EL845" s="156"/>
      <c r="EM845" s="156"/>
    </row>
    <row r="846" spans="20:143" ht="10.5" customHeight="1">
      <c r="T846" s="156"/>
      <c r="AZ846" s="156"/>
      <c r="BA846" s="156"/>
      <c r="BB846" s="156"/>
      <c r="BC846" s="156"/>
      <c r="BD846" s="156"/>
      <c r="BE846" s="156"/>
      <c r="BF846" s="156"/>
      <c r="BG846" s="156"/>
      <c r="BH846" s="156"/>
      <c r="BI846" s="156"/>
      <c r="BJ846" s="156"/>
      <c r="BK846" s="156"/>
      <c r="BL846" s="156"/>
      <c r="BM846" s="156"/>
      <c r="BN846" s="156"/>
      <c r="BO846" s="156"/>
      <c r="BP846" s="156"/>
      <c r="BQ846" s="156"/>
      <c r="BR846" s="156"/>
      <c r="BS846" s="156"/>
      <c r="BT846" s="156"/>
      <c r="BU846" s="156"/>
      <c r="BV846" s="156"/>
      <c r="BW846" s="156"/>
      <c r="BX846" s="156"/>
      <c r="BY846" s="156"/>
      <c r="BZ846" s="156"/>
      <c r="CA846" s="156"/>
      <c r="CB846" s="156"/>
      <c r="CC846" s="156"/>
      <c r="CD846" s="156"/>
      <c r="CE846" s="156"/>
      <c r="CF846" s="156"/>
      <c r="CG846" s="156"/>
      <c r="CH846" s="156"/>
      <c r="CI846" s="156"/>
      <c r="CJ846" s="156"/>
      <c r="CK846" s="156"/>
      <c r="CL846" s="156"/>
      <c r="CM846" s="156"/>
      <c r="CN846" s="156"/>
      <c r="CO846" s="156"/>
      <c r="CP846" s="156"/>
      <c r="CQ846" s="156"/>
      <c r="CR846" s="156"/>
      <c r="CS846" s="156"/>
      <c r="CT846" s="156"/>
      <c r="CU846" s="156"/>
      <c r="CV846" s="156"/>
      <c r="CW846" s="156"/>
      <c r="CX846" s="156"/>
      <c r="CY846" s="156"/>
      <c r="CZ846" s="156"/>
      <c r="DA846" s="156"/>
      <c r="DB846" s="156"/>
      <c r="DC846" s="156"/>
      <c r="DD846" s="156"/>
      <c r="DE846" s="156"/>
      <c r="DF846" s="156"/>
      <c r="DG846" s="156"/>
      <c r="DH846" s="156"/>
      <c r="DI846" s="156"/>
      <c r="DJ846" s="156"/>
      <c r="DK846" s="156"/>
      <c r="DL846" s="156"/>
      <c r="DM846" s="156"/>
      <c r="DN846" s="156"/>
      <c r="DO846" s="156"/>
      <c r="DP846" s="156"/>
      <c r="DQ846" s="156"/>
      <c r="DR846" s="156"/>
      <c r="DS846" s="156"/>
      <c r="DT846" s="156"/>
      <c r="DU846" s="156"/>
      <c r="DV846" s="156"/>
      <c r="DW846" s="156"/>
      <c r="DX846" s="156"/>
      <c r="DY846" s="156"/>
      <c r="DZ846" s="156"/>
      <c r="EA846" s="156"/>
      <c r="EB846" s="156"/>
      <c r="EC846" s="156"/>
      <c r="ED846" s="156"/>
      <c r="EE846" s="156"/>
      <c r="EF846" s="156"/>
      <c r="EG846" s="156"/>
      <c r="EH846" s="156"/>
      <c r="EI846" s="156"/>
      <c r="EJ846" s="156"/>
      <c r="EK846" s="156"/>
      <c r="EL846" s="156"/>
      <c r="EM846" s="156"/>
    </row>
    <row r="847" spans="20:143" ht="10.5" customHeight="1">
      <c r="T847" s="156"/>
      <c r="AZ847" s="156"/>
      <c r="BA847" s="156"/>
      <c r="BB847" s="156"/>
      <c r="BC847" s="156"/>
      <c r="BD847" s="156"/>
      <c r="BE847" s="156"/>
      <c r="BF847" s="156"/>
      <c r="BG847" s="156"/>
      <c r="BH847" s="156"/>
      <c r="BI847" s="156"/>
      <c r="BJ847" s="156"/>
      <c r="BK847" s="156"/>
      <c r="BL847" s="156"/>
      <c r="BM847" s="156"/>
      <c r="BN847" s="156"/>
      <c r="BO847" s="156"/>
      <c r="BP847" s="156"/>
      <c r="BQ847" s="156"/>
      <c r="BR847" s="156"/>
      <c r="BS847" s="156"/>
      <c r="BT847" s="156"/>
      <c r="BU847" s="156"/>
      <c r="BV847" s="156"/>
      <c r="BW847" s="156"/>
      <c r="BX847" s="156"/>
      <c r="BY847" s="156"/>
      <c r="BZ847" s="156"/>
      <c r="CA847" s="156"/>
      <c r="CB847" s="156"/>
      <c r="CC847" s="156"/>
      <c r="CD847" s="156"/>
      <c r="CE847" s="156"/>
      <c r="CF847" s="156"/>
      <c r="CG847" s="156"/>
      <c r="CH847" s="156"/>
      <c r="CI847" s="156"/>
      <c r="CJ847" s="156"/>
      <c r="CK847" s="156"/>
      <c r="CL847" s="156"/>
      <c r="CM847" s="156"/>
      <c r="CN847" s="156"/>
      <c r="CO847" s="156"/>
      <c r="CP847" s="156"/>
      <c r="CQ847" s="156"/>
      <c r="CR847" s="156"/>
      <c r="CS847" s="156"/>
      <c r="CT847" s="156"/>
      <c r="CU847" s="156"/>
      <c r="CV847" s="156"/>
      <c r="CW847" s="156"/>
      <c r="CX847" s="156"/>
      <c r="CY847" s="156"/>
      <c r="CZ847" s="156"/>
      <c r="DA847" s="156"/>
      <c r="DB847" s="156"/>
      <c r="DC847" s="156"/>
      <c r="DD847" s="156"/>
      <c r="DE847" s="156"/>
      <c r="DF847" s="156"/>
      <c r="DG847" s="156"/>
      <c r="DH847" s="156"/>
      <c r="DI847" s="156"/>
      <c r="DJ847" s="156"/>
      <c r="DK847" s="156"/>
      <c r="DL847" s="156"/>
      <c r="DM847" s="156"/>
      <c r="DN847" s="156"/>
      <c r="DO847" s="156"/>
      <c r="DP847" s="156"/>
      <c r="DQ847" s="156"/>
      <c r="DR847" s="156"/>
      <c r="DS847" s="156"/>
      <c r="DT847" s="156"/>
      <c r="DU847" s="156"/>
      <c r="DV847" s="156"/>
      <c r="DW847" s="156"/>
      <c r="DX847" s="156"/>
      <c r="DY847" s="156"/>
      <c r="DZ847" s="156"/>
      <c r="EA847" s="156"/>
      <c r="EB847" s="156"/>
      <c r="EC847" s="156"/>
      <c r="ED847" s="156"/>
      <c r="EE847" s="156"/>
      <c r="EF847" s="156"/>
      <c r="EG847" s="156"/>
      <c r="EH847" s="156"/>
      <c r="EI847" s="156"/>
      <c r="EJ847" s="156"/>
      <c r="EK847" s="156"/>
      <c r="EL847" s="156"/>
      <c r="EM847" s="156"/>
    </row>
    <row r="848" spans="20:143" ht="10.5" customHeight="1">
      <c r="T848" s="156"/>
      <c r="AZ848" s="156"/>
      <c r="BA848" s="156"/>
      <c r="BB848" s="156"/>
      <c r="BC848" s="156"/>
      <c r="BD848" s="156"/>
      <c r="BE848" s="156"/>
      <c r="BF848" s="156"/>
      <c r="BG848" s="156"/>
      <c r="BH848" s="156"/>
      <c r="BI848" s="156"/>
      <c r="BJ848" s="156"/>
      <c r="BK848" s="156"/>
      <c r="BL848" s="156"/>
      <c r="BM848" s="156"/>
      <c r="BN848" s="156"/>
      <c r="BO848" s="156"/>
      <c r="BP848" s="156"/>
      <c r="BQ848" s="156"/>
      <c r="BR848" s="156"/>
      <c r="BS848" s="156"/>
      <c r="BT848" s="156"/>
      <c r="BU848" s="156"/>
      <c r="BV848" s="156"/>
      <c r="BW848" s="156"/>
      <c r="BX848" s="156"/>
      <c r="BY848" s="156"/>
      <c r="BZ848" s="156"/>
      <c r="CA848" s="156"/>
      <c r="CB848" s="156"/>
      <c r="CC848" s="156"/>
      <c r="CD848" s="156"/>
      <c r="CE848" s="156"/>
      <c r="CF848" s="156"/>
      <c r="CG848" s="156"/>
      <c r="CH848" s="156"/>
      <c r="CI848" s="156"/>
      <c r="CJ848" s="156"/>
      <c r="CK848" s="156"/>
      <c r="CL848" s="156"/>
      <c r="CM848" s="156"/>
      <c r="CN848" s="156"/>
      <c r="CO848" s="156"/>
      <c r="CP848" s="156"/>
      <c r="CQ848" s="156"/>
      <c r="CR848" s="156"/>
      <c r="CS848" s="156"/>
      <c r="CT848" s="156"/>
      <c r="CU848" s="156"/>
      <c r="CV848" s="156"/>
      <c r="CW848" s="156"/>
      <c r="CX848" s="156"/>
      <c r="CY848" s="156"/>
      <c r="CZ848" s="156"/>
      <c r="DA848" s="156"/>
      <c r="DB848" s="156"/>
      <c r="DC848" s="156"/>
      <c r="DD848" s="156"/>
      <c r="DE848" s="156"/>
      <c r="DF848" s="156"/>
      <c r="DG848" s="156"/>
      <c r="DH848" s="156"/>
      <c r="DI848" s="156"/>
      <c r="DJ848" s="156"/>
      <c r="DK848" s="156"/>
      <c r="DL848" s="156"/>
      <c r="DM848" s="156"/>
      <c r="DN848" s="156"/>
      <c r="DO848" s="156"/>
      <c r="DP848" s="156"/>
      <c r="DQ848" s="156"/>
      <c r="DR848" s="156"/>
      <c r="DS848" s="156"/>
      <c r="DT848" s="156"/>
      <c r="DU848" s="156"/>
      <c r="DV848" s="156"/>
      <c r="DW848" s="156"/>
      <c r="DX848" s="156"/>
      <c r="DY848" s="156"/>
      <c r="DZ848" s="156"/>
      <c r="EA848" s="156"/>
      <c r="EB848" s="156"/>
      <c r="EC848" s="156"/>
      <c r="ED848" s="156"/>
      <c r="EE848" s="156"/>
      <c r="EF848" s="156"/>
      <c r="EG848" s="156"/>
      <c r="EH848" s="156"/>
      <c r="EI848" s="156"/>
      <c r="EJ848" s="156"/>
      <c r="EK848" s="156"/>
      <c r="EL848" s="156"/>
      <c r="EM848" s="156"/>
    </row>
    <row r="849" spans="20:143" ht="10.5" customHeight="1">
      <c r="T849" s="156"/>
      <c r="AZ849" s="156"/>
      <c r="BA849" s="156"/>
      <c r="BB849" s="156"/>
      <c r="BC849" s="156"/>
      <c r="BD849" s="156"/>
      <c r="BE849" s="156"/>
      <c r="BF849" s="156"/>
      <c r="BG849" s="156"/>
      <c r="BH849" s="156"/>
      <c r="BI849" s="156"/>
      <c r="BJ849" s="156"/>
      <c r="BK849" s="156"/>
      <c r="BL849" s="156"/>
      <c r="BM849" s="156"/>
      <c r="BN849" s="156"/>
      <c r="BO849" s="156"/>
      <c r="BP849" s="156"/>
      <c r="BQ849" s="156"/>
      <c r="BR849" s="156"/>
      <c r="BS849" s="156"/>
      <c r="BT849" s="156"/>
      <c r="BU849" s="156"/>
      <c r="BV849" s="156"/>
      <c r="BW849" s="156"/>
      <c r="BX849" s="156"/>
      <c r="BY849" s="156"/>
      <c r="BZ849" s="156"/>
      <c r="CA849" s="156"/>
      <c r="CB849" s="156"/>
      <c r="CC849" s="156"/>
      <c r="CD849" s="156"/>
      <c r="CE849" s="156"/>
      <c r="CF849" s="156"/>
      <c r="CG849" s="156"/>
      <c r="CH849" s="156"/>
      <c r="CI849" s="156"/>
      <c r="CJ849" s="156"/>
      <c r="CK849" s="156"/>
      <c r="CL849" s="156"/>
      <c r="CM849" s="156"/>
      <c r="CN849" s="156"/>
      <c r="CO849" s="156"/>
      <c r="CP849" s="156"/>
      <c r="CQ849" s="156"/>
      <c r="CR849" s="156"/>
      <c r="CS849" s="156"/>
      <c r="CT849" s="156"/>
      <c r="CU849" s="156"/>
      <c r="CV849" s="156"/>
      <c r="CW849" s="156"/>
      <c r="CX849" s="156"/>
      <c r="CY849" s="156"/>
      <c r="CZ849" s="156"/>
      <c r="DA849" s="156"/>
      <c r="DB849" s="156"/>
      <c r="DC849" s="156"/>
      <c r="DD849" s="156"/>
      <c r="DE849" s="156"/>
      <c r="DF849" s="156"/>
      <c r="DG849" s="156"/>
      <c r="DH849" s="156"/>
      <c r="DI849" s="156"/>
      <c r="DJ849" s="156"/>
      <c r="DK849" s="156"/>
      <c r="DL849" s="156"/>
      <c r="DM849" s="156"/>
      <c r="DN849" s="156"/>
      <c r="DO849" s="156"/>
      <c r="DP849" s="156"/>
      <c r="DQ849" s="156"/>
      <c r="DR849" s="156"/>
      <c r="DS849" s="156"/>
      <c r="DT849" s="156"/>
      <c r="DU849" s="156"/>
      <c r="DV849" s="156"/>
      <c r="DW849" s="156"/>
      <c r="DX849" s="156"/>
      <c r="DY849" s="156"/>
      <c r="DZ849" s="156"/>
      <c r="EA849" s="156"/>
      <c r="EB849" s="156"/>
      <c r="EC849" s="156"/>
      <c r="ED849" s="156"/>
      <c r="EE849" s="156"/>
      <c r="EF849" s="156"/>
      <c r="EG849" s="156"/>
      <c r="EH849" s="156"/>
      <c r="EI849" s="156"/>
      <c r="EJ849" s="156"/>
      <c r="EK849" s="156"/>
      <c r="EL849" s="156"/>
      <c r="EM849" s="156"/>
    </row>
    <row r="850" spans="20:143" ht="10.5" customHeight="1">
      <c r="T850" s="156"/>
      <c r="AZ850" s="156"/>
      <c r="BA850" s="156"/>
      <c r="BB850" s="156"/>
      <c r="BC850" s="156"/>
      <c r="BD850" s="156"/>
      <c r="BE850" s="156"/>
      <c r="BF850" s="156"/>
      <c r="BG850" s="156"/>
      <c r="BH850" s="156"/>
      <c r="BI850" s="156"/>
      <c r="BJ850" s="156"/>
      <c r="BK850" s="156"/>
      <c r="BL850" s="156"/>
      <c r="BM850" s="156"/>
      <c r="BN850" s="156"/>
      <c r="BO850" s="156"/>
      <c r="BP850" s="156"/>
      <c r="BQ850" s="156"/>
      <c r="BR850" s="156"/>
      <c r="BS850" s="156"/>
      <c r="BT850" s="156"/>
      <c r="BU850" s="156"/>
      <c r="BV850" s="156"/>
      <c r="BW850" s="156"/>
      <c r="BX850" s="156"/>
      <c r="BY850" s="156"/>
      <c r="BZ850" s="156"/>
      <c r="CA850" s="156"/>
      <c r="CB850" s="156"/>
      <c r="CC850" s="156"/>
      <c r="CD850" s="156"/>
      <c r="CE850" s="156"/>
      <c r="CF850" s="156"/>
      <c r="CG850" s="156"/>
      <c r="CH850" s="156"/>
      <c r="CI850" s="156"/>
      <c r="CJ850" s="156"/>
      <c r="CK850" s="156"/>
      <c r="CL850" s="156"/>
      <c r="CM850" s="156"/>
      <c r="CN850" s="156"/>
      <c r="CO850" s="156"/>
      <c r="CP850" s="156"/>
      <c r="CQ850" s="156"/>
      <c r="CR850" s="156"/>
      <c r="CS850" s="156"/>
      <c r="CT850" s="156"/>
      <c r="CU850" s="156"/>
      <c r="CV850" s="156"/>
      <c r="CW850" s="156"/>
      <c r="CX850" s="156"/>
      <c r="CY850" s="156"/>
      <c r="CZ850" s="156"/>
      <c r="DA850" s="156"/>
      <c r="DB850" s="156"/>
      <c r="DC850" s="156"/>
      <c r="DD850" s="156"/>
      <c r="DE850" s="156"/>
      <c r="DF850" s="156"/>
      <c r="DG850" s="156"/>
      <c r="DH850" s="156"/>
      <c r="DI850" s="156"/>
      <c r="DJ850" s="156"/>
      <c r="DK850" s="156"/>
      <c r="DL850" s="156"/>
      <c r="DM850" s="156"/>
      <c r="DN850" s="156"/>
      <c r="DO850" s="156"/>
      <c r="DP850" s="156"/>
      <c r="DQ850" s="156"/>
      <c r="DR850" s="156"/>
      <c r="DS850" s="156"/>
      <c r="DT850" s="156"/>
      <c r="DU850" s="156"/>
      <c r="DV850" s="156"/>
      <c r="DW850" s="156"/>
      <c r="DX850" s="156"/>
      <c r="DY850" s="156"/>
      <c r="DZ850" s="156"/>
      <c r="EA850" s="156"/>
      <c r="EB850" s="156"/>
      <c r="EC850" s="156"/>
      <c r="ED850" s="156"/>
      <c r="EE850" s="156"/>
      <c r="EF850" s="156"/>
      <c r="EG850" s="156"/>
      <c r="EH850" s="156"/>
      <c r="EI850" s="156"/>
      <c r="EJ850" s="156"/>
      <c r="EK850" s="156"/>
      <c r="EL850" s="156"/>
      <c r="EM850" s="156"/>
    </row>
    <row r="851" spans="20:143" ht="10.5" customHeight="1">
      <c r="T851" s="156"/>
      <c r="AZ851" s="156"/>
      <c r="BA851" s="156"/>
      <c r="BB851" s="156"/>
      <c r="BC851" s="156"/>
      <c r="BD851" s="156"/>
      <c r="BE851" s="156"/>
      <c r="BF851" s="156"/>
      <c r="BG851" s="156"/>
      <c r="BH851" s="156"/>
      <c r="BI851" s="156"/>
      <c r="BJ851" s="156"/>
      <c r="BK851" s="156"/>
      <c r="BL851" s="156"/>
      <c r="BM851" s="156"/>
      <c r="BN851" s="156"/>
      <c r="BO851" s="156"/>
      <c r="BP851" s="156"/>
      <c r="BQ851" s="156"/>
      <c r="BR851" s="156"/>
      <c r="BS851" s="156"/>
      <c r="BT851" s="156"/>
      <c r="BU851" s="156"/>
      <c r="BV851" s="156"/>
      <c r="BW851" s="156"/>
      <c r="BX851" s="156"/>
      <c r="BY851" s="156"/>
      <c r="BZ851" s="156"/>
      <c r="CA851" s="156"/>
      <c r="CB851" s="156"/>
      <c r="CC851" s="156"/>
      <c r="CD851" s="156"/>
      <c r="CE851" s="156"/>
      <c r="CF851" s="156"/>
      <c r="CG851" s="156"/>
      <c r="CH851" s="156"/>
      <c r="CI851" s="156"/>
      <c r="CJ851" s="156"/>
      <c r="CK851" s="156"/>
      <c r="CL851" s="156"/>
      <c r="CM851" s="156"/>
      <c r="CN851" s="156"/>
      <c r="CO851" s="156"/>
      <c r="CP851" s="156"/>
      <c r="CQ851" s="156"/>
      <c r="CR851" s="156"/>
      <c r="CS851" s="156"/>
      <c r="CT851" s="156"/>
      <c r="CU851" s="156"/>
      <c r="CV851" s="156"/>
      <c r="CW851" s="156"/>
      <c r="CX851" s="156"/>
      <c r="CY851" s="156"/>
      <c r="CZ851" s="156"/>
      <c r="DA851" s="156"/>
      <c r="DB851" s="156"/>
      <c r="DC851" s="156"/>
      <c r="DD851" s="156"/>
      <c r="DE851" s="156"/>
      <c r="DF851" s="156"/>
      <c r="DG851" s="156"/>
      <c r="DH851" s="156"/>
      <c r="DI851" s="156"/>
      <c r="DJ851" s="156"/>
      <c r="DK851" s="156"/>
      <c r="DL851" s="156"/>
      <c r="DM851" s="156"/>
      <c r="DN851" s="156"/>
      <c r="DO851" s="156"/>
      <c r="DP851" s="156"/>
      <c r="DQ851" s="156"/>
      <c r="DR851" s="156"/>
      <c r="DS851" s="156"/>
      <c r="DT851" s="156"/>
      <c r="DU851" s="156"/>
      <c r="DV851" s="156"/>
      <c r="DW851" s="156"/>
      <c r="DX851" s="156"/>
      <c r="DY851" s="156"/>
      <c r="DZ851" s="156"/>
      <c r="EA851" s="156"/>
      <c r="EB851" s="156"/>
      <c r="EC851" s="156"/>
      <c r="ED851" s="156"/>
      <c r="EE851" s="156"/>
      <c r="EF851" s="156"/>
      <c r="EG851" s="156"/>
      <c r="EH851" s="156"/>
      <c r="EI851" s="156"/>
      <c r="EJ851" s="156"/>
      <c r="EK851" s="156"/>
      <c r="EL851" s="156"/>
      <c r="EM851" s="156"/>
    </row>
    <row r="852" spans="20:143" ht="10.5" customHeight="1">
      <c r="T852" s="156"/>
      <c r="AZ852" s="156"/>
      <c r="BA852" s="156"/>
      <c r="BB852" s="156"/>
      <c r="BC852" s="156"/>
      <c r="BD852" s="156"/>
      <c r="BE852" s="156"/>
      <c r="BF852" s="156"/>
      <c r="BG852" s="156"/>
      <c r="BH852" s="156"/>
      <c r="BI852" s="156"/>
      <c r="BJ852" s="156"/>
      <c r="BK852" s="156"/>
      <c r="BL852" s="156"/>
      <c r="BM852" s="156"/>
      <c r="BN852" s="156"/>
      <c r="BO852" s="156"/>
      <c r="BP852" s="156"/>
      <c r="BQ852" s="156"/>
      <c r="BR852" s="156"/>
      <c r="BS852" s="156"/>
      <c r="BT852" s="156"/>
      <c r="BU852" s="156"/>
      <c r="BV852" s="156"/>
      <c r="BW852" s="156"/>
      <c r="BX852" s="156"/>
      <c r="BY852" s="156"/>
      <c r="BZ852" s="156"/>
      <c r="CA852" s="156"/>
      <c r="CB852" s="156"/>
      <c r="CC852" s="156"/>
      <c r="CD852" s="156"/>
      <c r="CE852" s="156"/>
      <c r="CF852" s="156"/>
      <c r="CG852" s="156"/>
      <c r="CH852" s="156"/>
      <c r="CI852" s="156"/>
      <c r="CJ852" s="156"/>
      <c r="CK852" s="156"/>
      <c r="CL852" s="156"/>
      <c r="CM852" s="156"/>
      <c r="CN852" s="156"/>
      <c r="CO852" s="156"/>
      <c r="CP852" s="156"/>
      <c r="CQ852" s="156"/>
      <c r="CR852" s="156"/>
      <c r="CS852" s="156"/>
      <c r="CT852" s="156"/>
      <c r="CU852" s="156"/>
      <c r="CV852" s="156"/>
      <c r="CW852" s="156"/>
      <c r="CX852" s="156"/>
      <c r="CY852" s="156"/>
      <c r="CZ852" s="156"/>
      <c r="DA852" s="156"/>
      <c r="DB852" s="156"/>
      <c r="DC852" s="156"/>
      <c r="DD852" s="156"/>
      <c r="DE852" s="156"/>
      <c r="DF852" s="156"/>
      <c r="DG852" s="156"/>
      <c r="DH852" s="156"/>
      <c r="DI852" s="156"/>
      <c r="DJ852" s="156"/>
      <c r="DK852" s="156"/>
      <c r="DL852" s="156"/>
      <c r="DM852" s="156"/>
      <c r="DN852" s="156"/>
      <c r="DO852" s="156"/>
      <c r="DP852" s="156"/>
      <c r="DQ852" s="156"/>
      <c r="DR852" s="156"/>
      <c r="DS852" s="156"/>
      <c r="DT852" s="156"/>
      <c r="DU852" s="156"/>
      <c r="DV852" s="156"/>
      <c r="DW852" s="156"/>
      <c r="DX852" s="156"/>
      <c r="DY852" s="156"/>
      <c r="DZ852" s="156"/>
      <c r="EA852" s="156"/>
      <c r="EB852" s="156"/>
      <c r="EC852" s="156"/>
      <c r="ED852" s="156"/>
      <c r="EE852" s="156"/>
      <c r="EF852" s="156"/>
      <c r="EG852" s="156"/>
      <c r="EH852" s="156"/>
      <c r="EI852" s="156"/>
      <c r="EJ852" s="156"/>
      <c r="EK852" s="156"/>
      <c r="EL852" s="156"/>
      <c r="EM852" s="156"/>
    </row>
    <row r="853" spans="20:143" ht="10.5" customHeight="1">
      <c r="T853" s="156"/>
      <c r="AZ853" s="156"/>
      <c r="BA853" s="156"/>
      <c r="BB853" s="156"/>
      <c r="BC853" s="156"/>
      <c r="BD853" s="156"/>
      <c r="BE853" s="156"/>
      <c r="BF853" s="156"/>
      <c r="BG853" s="156"/>
      <c r="BH853" s="156"/>
      <c r="BI853" s="156"/>
      <c r="BJ853" s="156"/>
      <c r="BK853" s="156"/>
      <c r="BL853" s="156"/>
      <c r="BM853" s="156"/>
      <c r="BN853" s="156"/>
      <c r="BO853" s="156"/>
      <c r="BP853" s="156"/>
      <c r="BQ853" s="156"/>
      <c r="BR853" s="156"/>
      <c r="BS853" s="156"/>
      <c r="BT853" s="156"/>
      <c r="BU853" s="156"/>
      <c r="BV853" s="156"/>
      <c r="BW853" s="156"/>
      <c r="BX853" s="156"/>
      <c r="BY853" s="156"/>
      <c r="BZ853" s="156"/>
      <c r="CA853" s="156"/>
      <c r="CB853" s="156"/>
      <c r="CC853" s="156"/>
      <c r="CD853" s="156"/>
      <c r="CE853" s="156"/>
      <c r="CF853" s="156"/>
      <c r="CG853" s="156"/>
      <c r="CH853" s="156"/>
      <c r="CI853" s="156"/>
      <c r="CJ853" s="156"/>
      <c r="CK853" s="156"/>
      <c r="CL853" s="156"/>
      <c r="CM853" s="156"/>
      <c r="CN853" s="156"/>
      <c r="CO853" s="156"/>
      <c r="CP853" s="156"/>
      <c r="CQ853" s="156"/>
      <c r="CR853" s="156"/>
      <c r="CS853" s="156"/>
      <c r="CT853" s="156"/>
      <c r="CU853" s="156"/>
      <c r="CV853" s="156"/>
      <c r="CW853" s="156"/>
      <c r="CX853" s="156"/>
      <c r="CY853" s="156"/>
      <c r="CZ853" s="156"/>
      <c r="DA853" s="156"/>
      <c r="DB853" s="156"/>
      <c r="DC853" s="156"/>
      <c r="DD853" s="156"/>
      <c r="DE853" s="156"/>
      <c r="DF853" s="156"/>
      <c r="DG853" s="156"/>
      <c r="DH853" s="156"/>
      <c r="DI853" s="156"/>
      <c r="DJ853" s="156"/>
      <c r="DK853" s="156"/>
      <c r="DL853" s="156"/>
      <c r="DM853" s="156"/>
      <c r="DN853" s="156"/>
      <c r="DO853" s="156"/>
      <c r="DP853" s="156"/>
      <c r="DQ853" s="156"/>
      <c r="DR853" s="156"/>
      <c r="DS853" s="156"/>
      <c r="DT853" s="156"/>
      <c r="DU853" s="156"/>
      <c r="DV853" s="156"/>
      <c r="DW853" s="156"/>
      <c r="DX853" s="156"/>
      <c r="DY853" s="156"/>
      <c r="DZ853" s="156"/>
      <c r="EA853" s="156"/>
      <c r="EB853" s="156"/>
      <c r="EC853" s="156"/>
      <c r="ED853" s="156"/>
      <c r="EE853" s="156"/>
      <c r="EF853" s="156"/>
      <c r="EG853" s="156"/>
      <c r="EH853" s="156"/>
      <c r="EI853" s="156"/>
      <c r="EJ853" s="156"/>
      <c r="EK853" s="156"/>
      <c r="EL853" s="156"/>
      <c r="EM853" s="156"/>
    </row>
    <row r="854" spans="20:143" ht="10.5" customHeight="1">
      <c r="T854" s="156"/>
      <c r="AZ854" s="156"/>
      <c r="BA854" s="156"/>
      <c r="BB854" s="156"/>
      <c r="BC854" s="156"/>
      <c r="BD854" s="156"/>
      <c r="BE854" s="156"/>
      <c r="BF854" s="156"/>
      <c r="BG854" s="156"/>
      <c r="BH854" s="156"/>
      <c r="BI854" s="156"/>
      <c r="BJ854" s="156"/>
      <c r="BK854" s="156"/>
      <c r="BL854" s="156"/>
      <c r="BM854" s="156"/>
      <c r="BN854" s="156"/>
      <c r="BO854" s="156"/>
      <c r="BP854" s="156"/>
      <c r="BQ854" s="156"/>
      <c r="BR854" s="156"/>
      <c r="BS854" s="156"/>
      <c r="BT854" s="156"/>
      <c r="BU854" s="156"/>
      <c r="BV854" s="156"/>
      <c r="BW854" s="156"/>
      <c r="BX854" s="156"/>
      <c r="BY854" s="156"/>
      <c r="BZ854" s="156"/>
      <c r="CA854" s="156"/>
      <c r="CB854" s="156"/>
      <c r="CC854" s="156"/>
      <c r="CD854" s="156"/>
      <c r="CE854" s="156"/>
      <c r="CF854" s="156"/>
      <c r="CG854" s="156"/>
      <c r="CH854" s="156"/>
      <c r="CI854" s="156"/>
      <c r="CJ854" s="156"/>
      <c r="CK854" s="156"/>
      <c r="CL854" s="156"/>
      <c r="CM854" s="156"/>
      <c r="CN854" s="156"/>
      <c r="CO854" s="156"/>
      <c r="CP854" s="156"/>
      <c r="CQ854" s="156"/>
      <c r="CR854" s="156"/>
      <c r="CS854" s="156"/>
      <c r="CT854" s="156"/>
      <c r="CU854" s="156"/>
      <c r="CV854" s="156"/>
      <c r="CW854" s="156"/>
      <c r="CX854" s="156"/>
      <c r="CY854" s="156"/>
      <c r="CZ854" s="156"/>
      <c r="DA854" s="156"/>
      <c r="DB854" s="156"/>
      <c r="DC854" s="156"/>
      <c r="DD854" s="156"/>
      <c r="DE854" s="156"/>
      <c r="DF854" s="156"/>
      <c r="DG854" s="156"/>
      <c r="DH854" s="156"/>
      <c r="DI854" s="156"/>
      <c r="DJ854" s="156"/>
      <c r="DK854" s="156"/>
      <c r="DL854" s="156"/>
      <c r="DM854" s="156"/>
      <c r="DN854" s="156"/>
      <c r="DO854" s="156"/>
      <c r="DP854" s="156"/>
      <c r="DQ854" s="156"/>
      <c r="DR854" s="156"/>
      <c r="DS854" s="156"/>
      <c r="DT854" s="156"/>
      <c r="DU854" s="156"/>
      <c r="DV854" s="156"/>
      <c r="DW854" s="156"/>
      <c r="DX854" s="156"/>
      <c r="DY854" s="156"/>
      <c r="DZ854" s="156"/>
      <c r="EA854" s="156"/>
      <c r="EB854" s="156"/>
      <c r="EC854" s="156"/>
      <c r="ED854" s="156"/>
      <c r="EE854" s="156"/>
      <c r="EF854" s="156"/>
      <c r="EG854" s="156"/>
      <c r="EH854" s="156"/>
      <c r="EI854" s="156"/>
      <c r="EJ854" s="156"/>
      <c r="EK854" s="156"/>
      <c r="EL854" s="156"/>
      <c r="EM854" s="156"/>
    </row>
    <row r="855" spans="20:143" ht="10.5" customHeight="1">
      <c r="T855" s="156"/>
      <c r="AZ855" s="156"/>
      <c r="BA855" s="156"/>
      <c r="BB855" s="156"/>
      <c r="BC855" s="156"/>
      <c r="BD855" s="156"/>
      <c r="BE855" s="156"/>
      <c r="BF855" s="156"/>
      <c r="BG855" s="156"/>
      <c r="BH855" s="156"/>
      <c r="BI855" s="156"/>
      <c r="BJ855" s="156"/>
      <c r="BK855" s="156"/>
      <c r="BL855" s="156"/>
      <c r="BM855" s="156"/>
      <c r="BN855" s="156"/>
      <c r="BO855" s="156"/>
      <c r="BP855" s="156"/>
      <c r="BQ855" s="156"/>
      <c r="BR855" s="156"/>
      <c r="BS855" s="156"/>
      <c r="BT855" s="156"/>
      <c r="BU855" s="156"/>
      <c r="BV855" s="156"/>
      <c r="BW855" s="156"/>
      <c r="BX855" s="156"/>
      <c r="BY855" s="156"/>
      <c r="BZ855" s="156"/>
      <c r="CA855" s="156"/>
      <c r="CB855" s="156"/>
      <c r="CC855" s="156"/>
      <c r="CD855" s="156"/>
      <c r="CE855" s="156"/>
      <c r="CF855" s="156"/>
      <c r="CG855" s="156"/>
      <c r="CH855" s="156"/>
      <c r="CI855" s="156"/>
      <c r="CJ855" s="156"/>
      <c r="CK855" s="156"/>
      <c r="CL855" s="156"/>
      <c r="CM855" s="156"/>
      <c r="CN855" s="156"/>
      <c r="CO855" s="156"/>
      <c r="CP855" s="156"/>
      <c r="CQ855" s="156"/>
      <c r="CR855" s="156"/>
      <c r="CS855" s="156"/>
      <c r="CT855" s="156"/>
      <c r="CU855" s="156"/>
      <c r="CV855" s="156"/>
      <c r="CW855" s="156"/>
      <c r="CX855" s="156"/>
      <c r="CY855" s="156"/>
      <c r="CZ855" s="156"/>
      <c r="DA855" s="156"/>
      <c r="DB855" s="156"/>
      <c r="DC855" s="156"/>
      <c r="DD855" s="156"/>
      <c r="DE855" s="156"/>
      <c r="DF855" s="156"/>
      <c r="DG855" s="156"/>
      <c r="DH855" s="156"/>
      <c r="DI855" s="156"/>
      <c r="DJ855" s="156"/>
      <c r="DK855" s="156"/>
      <c r="DL855" s="156"/>
      <c r="DM855" s="156"/>
      <c r="DN855" s="156"/>
      <c r="DO855" s="156"/>
      <c r="DP855" s="156"/>
      <c r="DQ855" s="156"/>
      <c r="DR855" s="156"/>
      <c r="DS855" s="156"/>
      <c r="DT855" s="156"/>
      <c r="DU855" s="156"/>
      <c r="DV855" s="156"/>
      <c r="DW855" s="156"/>
      <c r="DX855" s="156"/>
      <c r="DY855" s="156"/>
      <c r="DZ855" s="156"/>
      <c r="EA855" s="156"/>
      <c r="EB855" s="156"/>
      <c r="EC855" s="156"/>
      <c r="ED855" s="156"/>
      <c r="EE855" s="156"/>
      <c r="EF855" s="156"/>
      <c r="EG855" s="156"/>
      <c r="EH855" s="156"/>
      <c r="EI855" s="156"/>
      <c r="EJ855" s="156"/>
      <c r="EK855" s="156"/>
      <c r="EL855" s="156"/>
      <c r="EM855" s="156"/>
    </row>
    <row r="856" spans="20:143" ht="10.5" customHeight="1">
      <c r="T856" s="156"/>
      <c r="AZ856" s="156"/>
      <c r="BA856" s="156"/>
      <c r="BB856" s="156"/>
      <c r="BC856" s="156"/>
      <c r="BD856" s="156"/>
      <c r="BE856" s="156"/>
      <c r="BF856" s="156"/>
      <c r="BG856" s="156"/>
      <c r="BH856" s="156"/>
      <c r="BI856" s="156"/>
      <c r="BJ856" s="156"/>
      <c r="BK856" s="156"/>
      <c r="BL856" s="156"/>
      <c r="BM856" s="156"/>
      <c r="BN856" s="156"/>
      <c r="BO856" s="156"/>
      <c r="BP856" s="156"/>
      <c r="BQ856" s="156"/>
      <c r="BR856" s="156"/>
      <c r="BS856" s="156"/>
      <c r="BT856" s="156"/>
      <c r="BU856" s="156"/>
      <c r="BV856" s="156"/>
      <c r="BW856" s="156"/>
      <c r="BX856" s="156"/>
      <c r="BY856" s="156"/>
      <c r="BZ856" s="156"/>
      <c r="CA856" s="156"/>
      <c r="CB856" s="156"/>
      <c r="CC856" s="156"/>
      <c r="CD856" s="156"/>
      <c r="CE856" s="156"/>
      <c r="CF856" s="156"/>
      <c r="CG856" s="156"/>
      <c r="CH856" s="156"/>
      <c r="CI856" s="156"/>
      <c r="CJ856" s="156"/>
      <c r="CK856" s="156"/>
      <c r="CL856" s="156"/>
      <c r="CM856" s="156"/>
      <c r="CN856" s="156"/>
      <c r="CO856" s="156"/>
      <c r="CP856" s="156"/>
      <c r="CQ856" s="156"/>
      <c r="CR856" s="156"/>
      <c r="CS856" s="156"/>
      <c r="CT856" s="156"/>
      <c r="CU856" s="156"/>
      <c r="CV856" s="156"/>
      <c r="CW856" s="156"/>
      <c r="CX856" s="156"/>
      <c r="CY856" s="156"/>
      <c r="CZ856" s="156"/>
      <c r="DA856" s="156"/>
      <c r="DB856" s="156"/>
      <c r="DC856" s="156"/>
      <c r="DD856" s="156"/>
      <c r="DE856" s="156"/>
      <c r="DF856" s="156"/>
      <c r="DG856" s="156"/>
      <c r="DH856" s="156"/>
      <c r="DI856" s="156"/>
      <c r="DJ856" s="156"/>
      <c r="DK856" s="156"/>
      <c r="DL856" s="156"/>
      <c r="DM856" s="156"/>
      <c r="DN856" s="156"/>
      <c r="DO856" s="156"/>
      <c r="DP856" s="156"/>
      <c r="DQ856" s="156"/>
      <c r="DR856" s="156"/>
      <c r="DS856" s="156"/>
      <c r="DT856" s="156"/>
      <c r="DU856" s="156"/>
      <c r="DV856" s="156"/>
      <c r="DW856" s="156"/>
      <c r="DX856" s="156"/>
      <c r="DY856" s="156"/>
      <c r="DZ856" s="156"/>
      <c r="EA856" s="156"/>
      <c r="EB856" s="156"/>
      <c r="EC856" s="156"/>
      <c r="ED856" s="156"/>
      <c r="EE856" s="156"/>
      <c r="EF856" s="156"/>
      <c r="EG856" s="156"/>
      <c r="EH856" s="156"/>
      <c r="EI856" s="156"/>
      <c r="EJ856" s="156"/>
      <c r="EK856" s="156"/>
      <c r="EL856" s="156"/>
      <c r="EM856" s="156"/>
    </row>
    <row r="857" spans="20:143" ht="10.5" customHeight="1">
      <c r="T857" s="156"/>
      <c r="AZ857" s="156"/>
      <c r="BA857" s="156"/>
      <c r="BB857" s="156"/>
      <c r="BC857" s="156"/>
      <c r="BD857" s="156"/>
      <c r="BE857" s="156"/>
      <c r="BF857" s="156"/>
      <c r="BG857" s="156"/>
      <c r="BH857" s="156"/>
      <c r="BI857" s="156"/>
      <c r="BJ857" s="156"/>
      <c r="BK857" s="156"/>
      <c r="BL857" s="156"/>
      <c r="BM857" s="156"/>
      <c r="BN857" s="156"/>
      <c r="BO857" s="156"/>
      <c r="BP857" s="156"/>
      <c r="BQ857" s="156"/>
      <c r="BR857" s="156"/>
      <c r="BS857" s="156"/>
      <c r="BT857" s="156"/>
      <c r="BU857" s="156"/>
      <c r="BV857" s="156"/>
      <c r="BW857" s="156"/>
      <c r="BX857" s="156"/>
      <c r="BY857" s="156"/>
      <c r="BZ857" s="156"/>
      <c r="CA857" s="156"/>
      <c r="CB857" s="156"/>
      <c r="CC857" s="156"/>
      <c r="CD857" s="156"/>
      <c r="CE857" s="156"/>
      <c r="CF857" s="156"/>
      <c r="CG857" s="156"/>
      <c r="CH857" s="156"/>
      <c r="CI857" s="156"/>
      <c r="CJ857" s="156"/>
      <c r="CK857" s="156"/>
      <c r="CL857" s="156"/>
      <c r="CM857" s="156"/>
      <c r="CN857" s="156"/>
      <c r="CO857" s="156"/>
      <c r="CP857" s="156"/>
      <c r="CQ857" s="156"/>
      <c r="CR857" s="156"/>
      <c r="CS857" s="156"/>
      <c r="CT857" s="156"/>
      <c r="CU857" s="156"/>
      <c r="CV857" s="156"/>
      <c r="CW857" s="156"/>
      <c r="CX857" s="156"/>
      <c r="CY857" s="156"/>
      <c r="CZ857" s="156"/>
      <c r="DA857" s="156"/>
      <c r="DB857" s="156"/>
      <c r="DC857" s="156"/>
      <c r="DD857" s="156"/>
      <c r="DE857" s="156"/>
      <c r="DF857" s="156"/>
      <c r="DG857" s="156"/>
      <c r="DH857" s="156"/>
      <c r="DI857" s="156"/>
      <c r="DJ857" s="156"/>
      <c r="DK857" s="156"/>
      <c r="DL857" s="156"/>
      <c r="DM857" s="156"/>
      <c r="DN857" s="156"/>
      <c r="DO857" s="156"/>
      <c r="DP857" s="156"/>
      <c r="DQ857" s="156"/>
      <c r="DR857" s="156"/>
      <c r="DS857" s="156"/>
      <c r="DT857" s="156"/>
      <c r="DU857" s="156"/>
      <c r="DV857" s="156"/>
      <c r="DW857" s="156"/>
      <c r="DX857" s="156"/>
      <c r="DY857" s="156"/>
      <c r="DZ857" s="156"/>
      <c r="EA857" s="156"/>
      <c r="EB857" s="156"/>
      <c r="EC857" s="156"/>
      <c r="ED857" s="156"/>
      <c r="EE857" s="156"/>
      <c r="EF857" s="156"/>
      <c r="EG857" s="156"/>
      <c r="EH857" s="156"/>
      <c r="EI857" s="156"/>
      <c r="EJ857" s="156"/>
      <c r="EK857" s="156"/>
      <c r="EL857" s="156"/>
      <c r="EM857" s="156"/>
    </row>
    <row r="858" spans="20:143" ht="10.5" customHeight="1">
      <c r="T858" s="156"/>
      <c r="AZ858" s="156"/>
      <c r="BA858" s="156"/>
      <c r="BB858" s="156"/>
      <c r="BC858" s="156"/>
      <c r="BD858" s="156"/>
      <c r="BE858" s="156"/>
      <c r="BF858" s="156"/>
      <c r="BG858" s="156"/>
      <c r="BH858" s="156"/>
      <c r="BI858" s="156"/>
      <c r="BJ858" s="156"/>
      <c r="BK858" s="156"/>
      <c r="BL858" s="156"/>
      <c r="BM858" s="156"/>
      <c r="BN858" s="156"/>
      <c r="BO858" s="156"/>
      <c r="BP858" s="156"/>
      <c r="BQ858" s="156"/>
      <c r="BR858" s="156"/>
      <c r="BS858" s="156"/>
      <c r="BT858" s="156"/>
      <c r="BU858" s="156"/>
      <c r="BV858" s="156"/>
      <c r="BW858" s="156"/>
      <c r="BX858" s="156"/>
      <c r="BY858" s="156"/>
      <c r="BZ858" s="156"/>
      <c r="CA858" s="156"/>
      <c r="CB858" s="156"/>
      <c r="CC858" s="156"/>
      <c r="CD858" s="156"/>
      <c r="CE858" s="156"/>
      <c r="CF858" s="156"/>
      <c r="CG858" s="156"/>
      <c r="CH858" s="156"/>
      <c r="CI858" s="156"/>
      <c r="CJ858" s="156"/>
      <c r="CK858" s="156"/>
      <c r="CL858" s="156"/>
      <c r="CM858" s="156"/>
      <c r="CN858" s="156"/>
      <c r="CO858" s="156"/>
      <c r="CP858" s="156"/>
      <c r="CQ858" s="156"/>
      <c r="CR858" s="156"/>
      <c r="CS858" s="156"/>
      <c r="CT858" s="156"/>
      <c r="CU858" s="156"/>
      <c r="CV858" s="156"/>
      <c r="CW858" s="156"/>
      <c r="CX858" s="156"/>
      <c r="CY858" s="156"/>
      <c r="CZ858" s="156"/>
      <c r="DA858" s="156"/>
      <c r="DB858" s="156"/>
      <c r="DC858" s="156"/>
      <c r="DD858" s="156"/>
      <c r="DE858" s="156"/>
      <c r="DF858" s="156"/>
      <c r="DG858" s="156"/>
      <c r="DH858" s="156"/>
      <c r="DI858" s="156"/>
      <c r="DJ858" s="156"/>
      <c r="DK858" s="156"/>
      <c r="DL858" s="156"/>
      <c r="DM858" s="156"/>
      <c r="DN858" s="156"/>
      <c r="DO858" s="156"/>
      <c r="DP858" s="156"/>
      <c r="DQ858" s="156"/>
      <c r="DR858" s="156"/>
      <c r="DS858" s="156"/>
      <c r="DT858" s="156"/>
      <c r="DU858" s="156"/>
      <c r="DV858" s="156"/>
      <c r="DW858" s="156"/>
      <c r="DX858" s="156"/>
      <c r="DY858" s="156"/>
      <c r="DZ858" s="156"/>
      <c r="EA858" s="156"/>
      <c r="EB858" s="156"/>
      <c r="EC858" s="156"/>
      <c r="ED858" s="156"/>
      <c r="EE858" s="156"/>
      <c r="EF858" s="156"/>
      <c r="EG858" s="156"/>
      <c r="EH858" s="156"/>
      <c r="EI858" s="156"/>
      <c r="EJ858" s="156"/>
      <c r="EK858" s="156"/>
      <c r="EL858" s="156"/>
      <c r="EM858" s="156"/>
    </row>
    <row r="859" spans="20:143" ht="10.5" customHeight="1">
      <c r="T859" s="156"/>
      <c r="AZ859" s="156"/>
      <c r="BA859" s="156"/>
      <c r="BB859" s="156"/>
      <c r="BC859" s="156"/>
      <c r="BD859" s="156"/>
      <c r="BE859" s="156"/>
      <c r="BF859" s="156"/>
      <c r="BG859" s="156"/>
      <c r="BH859" s="156"/>
      <c r="BI859" s="156"/>
      <c r="BJ859" s="156"/>
      <c r="BK859" s="156"/>
      <c r="BL859" s="156"/>
      <c r="BM859" s="156"/>
      <c r="BN859" s="156"/>
      <c r="BO859" s="156"/>
      <c r="BP859" s="156"/>
      <c r="BQ859" s="156"/>
      <c r="BR859" s="156"/>
      <c r="BS859" s="156"/>
      <c r="BT859" s="156"/>
      <c r="BU859" s="156"/>
      <c r="BV859" s="156"/>
      <c r="BW859" s="156"/>
      <c r="BX859" s="156"/>
      <c r="BY859" s="156"/>
      <c r="BZ859" s="156"/>
      <c r="CA859" s="156"/>
      <c r="CB859" s="156"/>
      <c r="CC859" s="156"/>
      <c r="CD859" s="156"/>
      <c r="CE859" s="156"/>
      <c r="CF859" s="156"/>
      <c r="CG859" s="156"/>
      <c r="CH859" s="156"/>
      <c r="CI859" s="156"/>
      <c r="CJ859" s="156"/>
      <c r="CK859" s="156"/>
      <c r="CL859" s="156"/>
      <c r="CM859" s="156"/>
      <c r="CN859" s="156"/>
      <c r="CO859" s="156"/>
      <c r="CP859" s="156"/>
      <c r="CQ859" s="156"/>
      <c r="CR859" s="156"/>
      <c r="CS859" s="156"/>
      <c r="CT859" s="156"/>
      <c r="CU859" s="156"/>
      <c r="CV859" s="156"/>
      <c r="CW859" s="156"/>
      <c r="CX859" s="156"/>
      <c r="CY859" s="156"/>
      <c r="CZ859" s="156"/>
      <c r="DA859" s="156"/>
      <c r="DB859" s="156"/>
      <c r="DC859" s="156"/>
      <c r="DD859" s="156"/>
      <c r="DE859" s="156"/>
      <c r="DF859" s="156"/>
      <c r="DG859" s="156"/>
      <c r="DH859" s="156"/>
      <c r="DI859" s="156"/>
      <c r="DJ859" s="156"/>
      <c r="DK859" s="156"/>
      <c r="DL859" s="156"/>
      <c r="DM859" s="156"/>
      <c r="DN859" s="156"/>
      <c r="DO859" s="156"/>
      <c r="DP859" s="156"/>
      <c r="DQ859" s="156"/>
      <c r="DR859" s="156"/>
      <c r="DS859" s="156"/>
      <c r="DT859" s="156"/>
      <c r="DU859" s="156"/>
      <c r="DV859" s="156"/>
      <c r="DW859" s="156"/>
      <c r="DX859" s="156"/>
      <c r="DY859" s="156"/>
      <c r="DZ859" s="156"/>
      <c r="EA859" s="156"/>
      <c r="EB859" s="156"/>
      <c r="EC859" s="156"/>
      <c r="ED859" s="156"/>
      <c r="EE859" s="156"/>
      <c r="EF859" s="156"/>
      <c r="EG859" s="156"/>
      <c r="EH859" s="156"/>
      <c r="EI859" s="156"/>
      <c r="EJ859" s="156"/>
      <c r="EK859" s="156"/>
      <c r="EL859" s="156"/>
      <c r="EM859" s="156"/>
    </row>
    <row r="860" spans="20:143" ht="10.5" customHeight="1">
      <c r="T860" s="156"/>
      <c r="AZ860" s="156"/>
      <c r="BA860" s="156"/>
      <c r="BB860" s="156"/>
      <c r="BC860" s="156"/>
      <c r="BD860" s="156"/>
      <c r="BE860" s="156"/>
      <c r="BF860" s="156"/>
      <c r="BG860" s="156"/>
      <c r="BH860" s="156"/>
      <c r="BI860" s="156"/>
      <c r="BJ860" s="156"/>
      <c r="BK860" s="156"/>
      <c r="BL860" s="156"/>
      <c r="BM860" s="156"/>
      <c r="BN860" s="156"/>
      <c r="BO860" s="156"/>
      <c r="BP860" s="156"/>
      <c r="BQ860" s="156"/>
      <c r="BR860" s="156"/>
      <c r="BS860" s="156"/>
      <c r="BT860" s="156"/>
      <c r="BU860" s="156"/>
      <c r="BV860" s="156"/>
      <c r="BW860" s="156"/>
      <c r="BX860" s="156"/>
      <c r="BY860" s="156"/>
      <c r="BZ860" s="156"/>
      <c r="CA860" s="156"/>
      <c r="CB860" s="156"/>
      <c r="CC860" s="156"/>
      <c r="CD860" s="156"/>
      <c r="CE860" s="156"/>
      <c r="CF860" s="156"/>
      <c r="CG860" s="156"/>
      <c r="CH860" s="156"/>
      <c r="CI860" s="156"/>
      <c r="CJ860" s="156"/>
      <c r="CK860" s="156"/>
      <c r="CL860" s="156"/>
      <c r="CM860" s="156"/>
      <c r="CN860" s="156"/>
      <c r="CO860" s="156"/>
      <c r="CP860" s="156"/>
      <c r="CQ860" s="156"/>
      <c r="CR860" s="156"/>
      <c r="CS860" s="156"/>
      <c r="CT860" s="156"/>
      <c r="CU860" s="156"/>
      <c r="CV860" s="156"/>
      <c r="CW860" s="156"/>
      <c r="CX860" s="156"/>
      <c r="CY860" s="156"/>
      <c r="CZ860" s="156"/>
      <c r="DA860" s="156"/>
      <c r="DB860" s="156"/>
      <c r="DC860" s="156"/>
      <c r="DD860" s="156"/>
      <c r="DE860" s="156"/>
      <c r="DF860" s="156"/>
      <c r="DG860" s="156"/>
      <c r="DH860" s="156"/>
      <c r="DI860" s="156"/>
      <c r="DJ860" s="156"/>
      <c r="DK860" s="156"/>
      <c r="DL860" s="156"/>
      <c r="DM860" s="156"/>
      <c r="DN860" s="156"/>
      <c r="DO860" s="156"/>
      <c r="DP860" s="156"/>
      <c r="DQ860" s="156"/>
      <c r="DR860" s="156"/>
      <c r="DS860" s="156"/>
      <c r="DT860" s="156"/>
      <c r="DU860" s="156"/>
      <c r="DV860" s="156"/>
      <c r="DW860" s="156"/>
      <c r="DX860" s="156"/>
      <c r="DY860" s="156"/>
      <c r="DZ860" s="156"/>
      <c r="EA860" s="156"/>
      <c r="EB860" s="156"/>
      <c r="EC860" s="156"/>
      <c r="ED860" s="156"/>
      <c r="EE860" s="156"/>
      <c r="EF860" s="156"/>
      <c r="EG860" s="156"/>
      <c r="EH860" s="156"/>
      <c r="EI860" s="156"/>
      <c r="EJ860" s="156"/>
      <c r="EK860" s="156"/>
      <c r="EL860" s="156"/>
      <c r="EM860" s="156"/>
    </row>
    <row r="861" spans="20:143" ht="10.5" customHeight="1">
      <c r="T861" s="156"/>
      <c r="AZ861" s="156"/>
      <c r="BA861" s="156"/>
      <c r="BB861" s="156"/>
      <c r="BC861" s="156"/>
      <c r="BD861" s="156"/>
      <c r="BE861" s="156"/>
      <c r="BF861" s="156"/>
      <c r="BG861" s="156"/>
      <c r="BH861" s="156"/>
      <c r="BI861" s="156"/>
      <c r="BJ861" s="156"/>
      <c r="BK861" s="156"/>
      <c r="BL861" s="156"/>
      <c r="BM861" s="156"/>
      <c r="BN861" s="156"/>
      <c r="BO861" s="156"/>
      <c r="BP861" s="156"/>
      <c r="BQ861" s="156"/>
      <c r="BR861" s="156"/>
      <c r="BS861" s="156"/>
      <c r="BT861" s="156"/>
      <c r="BU861" s="156"/>
      <c r="BV861" s="156"/>
      <c r="BW861" s="156"/>
      <c r="BX861" s="156"/>
      <c r="BY861" s="156"/>
      <c r="BZ861" s="156"/>
      <c r="CA861" s="156"/>
      <c r="CB861" s="156"/>
      <c r="CC861" s="156"/>
      <c r="CD861" s="156"/>
      <c r="CE861" s="156"/>
      <c r="CF861" s="156"/>
      <c r="CG861" s="156"/>
      <c r="CH861" s="156"/>
      <c r="CI861" s="156"/>
      <c r="CJ861" s="156"/>
      <c r="CK861" s="156"/>
      <c r="CL861" s="156"/>
      <c r="CM861" s="156"/>
      <c r="CN861" s="156"/>
      <c r="CO861" s="156"/>
      <c r="CP861" s="156"/>
      <c r="CQ861" s="156"/>
      <c r="CR861" s="156"/>
      <c r="CS861" s="156"/>
      <c r="CT861" s="156"/>
      <c r="CU861" s="156"/>
      <c r="CV861" s="156"/>
      <c r="CW861" s="156"/>
      <c r="CX861" s="156"/>
      <c r="CY861" s="156"/>
      <c r="CZ861" s="156"/>
      <c r="DA861" s="156"/>
      <c r="DB861" s="156"/>
      <c r="DC861" s="156"/>
      <c r="DD861" s="156"/>
      <c r="DE861" s="156"/>
      <c r="DF861" s="156"/>
      <c r="DG861" s="156"/>
      <c r="DH861" s="156"/>
      <c r="DI861" s="156"/>
      <c r="DJ861" s="156"/>
      <c r="DK861" s="156"/>
      <c r="DL861" s="156"/>
      <c r="DM861" s="156"/>
      <c r="DN861" s="156"/>
      <c r="DO861" s="156"/>
      <c r="DP861" s="156"/>
      <c r="DQ861" s="156"/>
      <c r="DR861" s="156"/>
      <c r="DS861" s="156"/>
      <c r="DT861" s="156"/>
      <c r="DU861" s="156"/>
      <c r="DV861" s="156"/>
      <c r="DW861" s="156"/>
      <c r="DX861" s="156"/>
      <c r="DY861" s="156"/>
      <c r="DZ861" s="156"/>
      <c r="EA861" s="156"/>
      <c r="EB861" s="156"/>
      <c r="EC861" s="156"/>
      <c r="ED861" s="156"/>
      <c r="EE861" s="156"/>
      <c r="EF861" s="156"/>
      <c r="EG861" s="156"/>
      <c r="EH861" s="156"/>
      <c r="EI861" s="156"/>
      <c r="EJ861" s="156"/>
      <c r="EK861" s="156"/>
      <c r="EL861" s="156"/>
      <c r="EM861" s="156"/>
    </row>
    <row r="862" spans="20:143" ht="10.5" customHeight="1">
      <c r="T862" s="156"/>
      <c r="AZ862" s="156"/>
      <c r="BA862" s="156"/>
      <c r="BB862" s="156"/>
      <c r="BC862" s="156"/>
      <c r="BD862" s="156"/>
      <c r="BE862" s="156"/>
      <c r="BF862" s="156"/>
      <c r="BG862" s="156"/>
      <c r="BH862" s="156"/>
      <c r="BI862" s="156"/>
      <c r="BJ862" s="156"/>
      <c r="BK862" s="156"/>
      <c r="BL862" s="156"/>
      <c r="BM862" s="156"/>
      <c r="BN862" s="156"/>
      <c r="BO862" s="156"/>
      <c r="BP862" s="156"/>
      <c r="BQ862" s="156"/>
      <c r="BR862" s="156"/>
      <c r="BS862" s="156"/>
      <c r="BT862" s="156"/>
      <c r="BU862" s="156"/>
      <c r="BV862" s="156"/>
      <c r="BW862" s="156"/>
      <c r="BX862" s="156"/>
      <c r="BY862" s="156"/>
      <c r="BZ862" s="156"/>
      <c r="CA862" s="156"/>
      <c r="CB862" s="156"/>
      <c r="CC862" s="156"/>
      <c r="CD862" s="156"/>
      <c r="CE862" s="156"/>
      <c r="CF862" s="156"/>
      <c r="CG862" s="156"/>
      <c r="CH862" s="156"/>
      <c r="CI862" s="156"/>
      <c r="CJ862" s="156"/>
      <c r="CK862" s="156"/>
      <c r="CL862" s="156"/>
      <c r="CM862" s="156"/>
      <c r="CN862" s="156"/>
      <c r="CO862" s="156"/>
      <c r="CP862" s="156"/>
      <c r="CQ862" s="156"/>
      <c r="CR862" s="156"/>
      <c r="CS862" s="156"/>
      <c r="CT862" s="156"/>
      <c r="CU862" s="156"/>
      <c r="CV862" s="156"/>
      <c r="CW862" s="156"/>
      <c r="CX862" s="156"/>
      <c r="CY862" s="156"/>
      <c r="CZ862" s="156"/>
      <c r="DA862" s="156"/>
      <c r="DB862" s="156"/>
      <c r="DC862" s="156"/>
      <c r="DD862" s="156"/>
      <c r="DE862" s="156"/>
      <c r="DF862" s="156"/>
      <c r="DG862" s="156"/>
      <c r="DH862" s="156"/>
      <c r="DI862" s="156"/>
      <c r="DJ862" s="156"/>
      <c r="DK862" s="156"/>
      <c r="DL862" s="156"/>
      <c r="DM862" s="156"/>
      <c r="DN862" s="156"/>
      <c r="DO862" s="156"/>
      <c r="DP862" s="156"/>
      <c r="DQ862" s="156"/>
      <c r="DR862" s="156"/>
      <c r="DS862" s="156"/>
      <c r="DT862" s="156"/>
      <c r="DU862" s="156"/>
      <c r="DV862" s="156"/>
      <c r="DW862" s="156"/>
      <c r="DX862" s="156"/>
      <c r="DY862" s="156"/>
      <c r="DZ862" s="156"/>
      <c r="EA862" s="156"/>
      <c r="EB862" s="156"/>
      <c r="EC862" s="156"/>
      <c r="ED862" s="156"/>
      <c r="EE862" s="156"/>
      <c r="EF862" s="156"/>
      <c r="EG862" s="156"/>
      <c r="EH862" s="156"/>
      <c r="EI862" s="156"/>
      <c r="EJ862" s="156"/>
      <c r="EK862" s="156"/>
      <c r="EL862" s="156"/>
      <c r="EM862" s="156"/>
    </row>
    <row r="863" spans="20:143" ht="10.5" customHeight="1">
      <c r="T863" s="156"/>
      <c r="AZ863" s="156"/>
      <c r="BA863" s="156"/>
      <c r="BB863" s="156"/>
      <c r="BC863" s="156"/>
      <c r="BD863" s="156"/>
      <c r="BE863" s="156"/>
      <c r="BF863" s="156"/>
      <c r="BG863" s="156"/>
      <c r="BH863" s="156"/>
      <c r="BI863" s="156"/>
      <c r="BJ863" s="156"/>
      <c r="BK863" s="156"/>
      <c r="BL863" s="156"/>
      <c r="BM863" s="156"/>
      <c r="BN863" s="156"/>
      <c r="BO863" s="156"/>
      <c r="BP863" s="156"/>
      <c r="BQ863" s="156"/>
      <c r="BR863" s="156"/>
      <c r="BS863" s="156"/>
      <c r="BT863" s="156"/>
      <c r="BU863" s="156"/>
      <c r="BV863" s="156"/>
      <c r="BW863" s="156"/>
      <c r="BX863" s="156"/>
      <c r="BY863" s="156"/>
      <c r="BZ863" s="156"/>
      <c r="CA863" s="156"/>
      <c r="CB863" s="156"/>
      <c r="CC863" s="156"/>
      <c r="CD863" s="156"/>
      <c r="CE863" s="156"/>
      <c r="CF863" s="156"/>
      <c r="CG863" s="156"/>
      <c r="CH863" s="156"/>
      <c r="CI863" s="156"/>
      <c r="CJ863" s="156"/>
      <c r="CK863" s="156"/>
      <c r="CL863" s="156"/>
      <c r="CM863" s="156"/>
      <c r="CN863" s="156"/>
      <c r="CO863" s="156"/>
      <c r="CP863" s="156"/>
      <c r="CQ863" s="156"/>
      <c r="CR863" s="156"/>
      <c r="CS863" s="156"/>
      <c r="CT863" s="156"/>
      <c r="CU863" s="156"/>
      <c r="CV863" s="156"/>
      <c r="CW863" s="156"/>
      <c r="CX863" s="156"/>
      <c r="CY863" s="156"/>
      <c r="CZ863" s="156"/>
      <c r="DA863" s="156"/>
      <c r="DB863" s="156"/>
      <c r="DC863" s="156"/>
      <c r="DD863" s="156"/>
      <c r="DE863" s="156"/>
      <c r="DF863" s="156"/>
      <c r="DG863" s="156"/>
      <c r="DH863" s="156"/>
      <c r="DI863" s="156"/>
      <c r="DJ863" s="156"/>
      <c r="DK863" s="156"/>
      <c r="DL863" s="156"/>
      <c r="DM863" s="156"/>
      <c r="DN863" s="156"/>
      <c r="DO863" s="156"/>
      <c r="DP863" s="156"/>
      <c r="DQ863" s="156"/>
      <c r="DR863" s="156"/>
      <c r="DS863" s="156"/>
      <c r="DT863" s="156"/>
      <c r="DU863" s="156"/>
      <c r="DV863" s="156"/>
      <c r="DW863" s="156"/>
      <c r="DX863" s="156"/>
      <c r="DY863" s="156"/>
      <c r="DZ863" s="156"/>
      <c r="EA863" s="156"/>
      <c r="EB863" s="156"/>
      <c r="EC863" s="156"/>
      <c r="ED863" s="156"/>
      <c r="EE863" s="156"/>
      <c r="EF863" s="156"/>
      <c r="EG863" s="156"/>
      <c r="EH863" s="156"/>
      <c r="EI863" s="156"/>
      <c r="EJ863" s="156"/>
      <c r="EK863" s="156"/>
      <c r="EL863" s="156"/>
      <c r="EM863" s="156"/>
    </row>
    <row r="864" spans="20:143" ht="10.5" customHeight="1">
      <c r="T864" s="156"/>
      <c r="AZ864" s="156"/>
      <c r="BA864" s="156"/>
      <c r="BB864" s="156"/>
      <c r="BC864" s="156"/>
      <c r="BD864" s="156"/>
      <c r="BE864" s="156"/>
      <c r="BF864" s="156"/>
      <c r="BG864" s="156"/>
      <c r="BH864" s="156"/>
      <c r="BI864" s="156"/>
      <c r="BJ864" s="156"/>
      <c r="BK864" s="156"/>
      <c r="BL864" s="156"/>
      <c r="BM864" s="156"/>
      <c r="BN864" s="156"/>
      <c r="BO864" s="156"/>
      <c r="BP864" s="156"/>
      <c r="BQ864" s="156"/>
      <c r="BR864" s="156"/>
      <c r="BS864" s="156"/>
      <c r="BT864" s="156"/>
      <c r="BU864" s="156"/>
      <c r="BV864" s="156"/>
      <c r="BW864" s="156"/>
      <c r="BX864" s="156"/>
      <c r="BY864" s="156"/>
      <c r="BZ864" s="156"/>
      <c r="CA864" s="156"/>
      <c r="CB864" s="156"/>
      <c r="CC864" s="156"/>
      <c r="CD864" s="156"/>
      <c r="CE864" s="156"/>
      <c r="CF864" s="156"/>
      <c r="CG864" s="156"/>
      <c r="CH864" s="156"/>
      <c r="CI864" s="156"/>
      <c r="CJ864" s="156"/>
      <c r="CK864" s="156"/>
      <c r="CL864" s="156"/>
      <c r="CM864" s="156"/>
      <c r="CN864" s="156"/>
      <c r="CO864" s="156"/>
      <c r="CP864" s="156"/>
      <c r="CQ864" s="156"/>
      <c r="CR864" s="156"/>
      <c r="CS864" s="156"/>
      <c r="CT864" s="156"/>
      <c r="CU864" s="156"/>
      <c r="CV864" s="156"/>
      <c r="CW864" s="156"/>
      <c r="CX864" s="156"/>
      <c r="CY864" s="156"/>
      <c r="CZ864" s="156"/>
      <c r="DA864" s="156"/>
      <c r="DB864" s="156"/>
      <c r="DC864" s="156"/>
      <c r="DD864" s="156"/>
      <c r="DE864" s="156"/>
      <c r="DF864" s="156"/>
      <c r="DG864" s="156"/>
      <c r="DH864" s="156"/>
      <c r="DI864" s="156"/>
      <c r="DJ864" s="156"/>
      <c r="DK864" s="156"/>
      <c r="DL864" s="156"/>
      <c r="DM864" s="156"/>
      <c r="DN864" s="156"/>
      <c r="DO864" s="156"/>
      <c r="DP864" s="156"/>
      <c r="DQ864" s="156"/>
      <c r="DR864" s="156"/>
      <c r="DS864" s="156"/>
      <c r="DT864" s="156"/>
      <c r="DU864" s="156"/>
      <c r="DV864" s="156"/>
      <c r="DW864" s="156"/>
      <c r="DX864" s="156"/>
      <c r="DY864" s="156"/>
      <c r="DZ864" s="156"/>
      <c r="EA864" s="156"/>
      <c r="EB864" s="156"/>
      <c r="EC864" s="156"/>
      <c r="ED864" s="156"/>
      <c r="EE864" s="156"/>
      <c r="EF864" s="156"/>
      <c r="EG864" s="156"/>
      <c r="EH864" s="156"/>
      <c r="EI864" s="156"/>
      <c r="EJ864" s="156"/>
      <c r="EK864" s="156"/>
      <c r="EL864" s="156"/>
      <c r="EM864" s="156"/>
    </row>
    <row r="865" spans="20:143" ht="10.5" customHeight="1">
      <c r="T865" s="156"/>
      <c r="AZ865" s="156"/>
      <c r="BA865" s="156"/>
      <c r="BB865" s="156"/>
      <c r="BC865" s="156"/>
      <c r="BD865" s="156"/>
      <c r="BE865" s="156"/>
      <c r="BF865" s="156"/>
      <c r="BG865" s="156"/>
      <c r="BH865" s="156"/>
      <c r="BI865" s="156"/>
      <c r="BJ865" s="156"/>
      <c r="BK865" s="156"/>
      <c r="BL865" s="156"/>
      <c r="BM865" s="156"/>
      <c r="BN865" s="156"/>
      <c r="BO865" s="156"/>
      <c r="BP865" s="156"/>
      <c r="BQ865" s="156"/>
      <c r="BR865" s="156"/>
      <c r="BS865" s="156"/>
      <c r="BT865" s="156"/>
      <c r="BU865" s="156"/>
      <c r="BV865" s="156"/>
      <c r="BW865" s="156"/>
      <c r="BX865" s="156"/>
      <c r="BY865" s="156"/>
      <c r="BZ865" s="156"/>
      <c r="CA865" s="156"/>
      <c r="CB865" s="156"/>
      <c r="CC865" s="156"/>
      <c r="CD865" s="156"/>
      <c r="CE865" s="156"/>
      <c r="CF865" s="156"/>
      <c r="CG865" s="156"/>
      <c r="CH865" s="156"/>
      <c r="CI865" s="156"/>
      <c r="CJ865" s="156"/>
      <c r="CK865" s="156"/>
      <c r="CL865" s="156"/>
      <c r="CM865" s="156"/>
      <c r="CN865" s="156"/>
      <c r="CO865" s="156"/>
      <c r="CP865" s="156"/>
      <c r="CQ865" s="156"/>
      <c r="CR865" s="156"/>
      <c r="CS865" s="156"/>
      <c r="CT865" s="156"/>
      <c r="CU865" s="156"/>
      <c r="CV865" s="156"/>
      <c r="CW865" s="156"/>
      <c r="CX865" s="156"/>
      <c r="CY865" s="156"/>
      <c r="CZ865" s="156"/>
      <c r="DA865" s="156"/>
      <c r="DB865" s="156"/>
      <c r="DC865" s="156"/>
      <c r="DD865" s="156"/>
      <c r="DE865" s="156"/>
      <c r="DF865" s="156"/>
      <c r="DG865" s="156"/>
      <c r="DH865" s="156"/>
      <c r="DI865" s="156"/>
      <c r="DJ865" s="156"/>
      <c r="DK865" s="156"/>
      <c r="DL865" s="156"/>
      <c r="DM865" s="156"/>
      <c r="DN865" s="156"/>
      <c r="DO865" s="156"/>
      <c r="DP865" s="156"/>
      <c r="DQ865" s="156"/>
      <c r="DR865" s="156"/>
      <c r="DS865" s="156"/>
      <c r="DT865" s="156"/>
      <c r="DU865" s="156"/>
      <c r="DV865" s="156"/>
      <c r="DW865" s="156"/>
      <c r="DX865" s="156"/>
      <c r="DY865" s="156"/>
      <c r="DZ865" s="156"/>
      <c r="EA865" s="156"/>
      <c r="EB865" s="156"/>
      <c r="EC865" s="156"/>
      <c r="ED865" s="156"/>
      <c r="EE865" s="156"/>
      <c r="EF865" s="156"/>
      <c r="EG865" s="156"/>
      <c r="EH865" s="156"/>
      <c r="EI865" s="156"/>
      <c r="EJ865" s="156"/>
      <c r="EK865" s="156"/>
      <c r="EL865" s="156"/>
      <c r="EM865" s="156"/>
    </row>
    <row r="866" spans="20:143" ht="10.5" customHeight="1">
      <c r="T866" s="156"/>
      <c r="AZ866" s="156"/>
      <c r="BA866" s="156"/>
      <c r="BB866" s="156"/>
      <c r="BC866" s="156"/>
      <c r="BD866" s="156"/>
      <c r="BE866" s="156"/>
      <c r="BF866" s="156"/>
      <c r="BG866" s="156"/>
      <c r="BH866" s="156"/>
      <c r="BI866" s="156"/>
      <c r="BJ866" s="156"/>
      <c r="BK866" s="156"/>
      <c r="BL866" s="156"/>
      <c r="BM866" s="156"/>
      <c r="BN866" s="156"/>
      <c r="BO866" s="156"/>
      <c r="BP866" s="156"/>
      <c r="BQ866" s="156"/>
      <c r="BR866" s="156"/>
      <c r="BS866" s="156"/>
      <c r="BT866" s="156"/>
      <c r="BU866" s="156"/>
      <c r="BV866" s="156"/>
      <c r="BW866" s="156"/>
      <c r="BX866" s="156"/>
      <c r="BY866" s="156"/>
      <c r="BZ866" s="156"/>
      <c r="CA866" s="156"/>
      <c r="CB866" s="156"/>
      <c r="CC866" s="156"/>
      <c r="CD866" s="156"/>
      <c r="CE866" s="156"/>
      <c r="CF866" s="156"/>
      <c r="CG866" s="156"/>
      <c r="CH866" s="156"/>
      <c r="CI866" s="156"/>
      <c r="CJ866" s="156"/>
      <c r="CK866" s="156"/>
      <c r="CL866" s="156"/>
      <c r="CM866" s="156"/>
      <c r="CN866" s="156"/>
      <c r="CO866" s="156"/>
      <c r="CP866" s="156"/>
      <c r="CQ866" s="156"/>
      <c r="CR866" s="156"/>
      <c r="CS866" s="156"/>
      <c r="CT866" s="156"/>
      <c r="CU866" s="156"/>
      <c r="CV866" s="156"/>
      <c r="CW866" s="156"/>
      <c r="CX866" s="156"/>
      <c r="CY866" s="156"/>
      <c r="CZ866" s="156"/>
      <c r="DA866" s="156"/>
      <c r="DB866" s="156"/>
      <c r="DC866" s="156"/>
      <c r="DD866" s="156"/>
      <c r="DE866" s="156"/>
      <c r="DF866" s="156"/>
      <c r="DG866" s="156"/>
      <c r="DH866" s="156"/>
      <c r="DI866" s="156"/>
      <c r="DJ866" s="156"/>
      <c r="DK866" s="156"/>
      <c r="DL866" s="156"/>
      <c r="DM866" s="156"/>
      <c r="DN866" s="156"/>
      <c r="DO866" s="156"/>
      <c r="DP866" s="156"/>
      <c r="DQ866" s="156"/>
      <c r="DR866" s="156"/>
      <c r="DS866" s="156"/>
      <c r="DT866" s="156"/>
      <c r="DU866" s="156"/>
      <c r="DV866" s="156"/>
      <c r="DW866" s="156"/>
      <c r="DX866" s="156"/>
      <c r="DY866" s="156"/>
      <c r="DZ866" s="156"/>
      <c r="EA866" s="156"/>
      <c r="EB866" s="156"/>
      <c r="EC866" s="156"/>
      <c r="ED866" s="156"/>
      <c r="EE866" s="156"/>
      <c r="EF866" s="156"/>
      <c r="EG866" s="156"/>
      <c r="EH866" s="156"/>
      <c r="EI866" s="156"/>
      <c r="EJ866" s="156"/>
      <c r="EK866" s="156"/>
      <c r="EL866" s="156"/>
      <c r="EM866" s="156"/>
    </row>
    <row r="867" spans="20:143" ht="10.5" customHeight="1">
      <c r="T867" s="156"/>
      <c r="AZ867" s="156"/>
      <c r="BA867" s="156"/>
      <c r="BB867" s="156"/>
      <c r="BC867" s="156"/>
      <c r="BD867" s="156"/>
      <c r="BE867" s="156"/>
      <c r="BF867" s="156"/>
      <c r="BG867" s="156"/>
      <c r="BH867" s="156"/>
      <c r="BI867" s="156"/>
      <c r="BJ867" s="156"/>
      <c r="BK867" s="156"/>
      <c r="BL867" s="156"/>
      <c r="BM867" s="156"/>
      <c r="BN867" s="156"/>
      <c r="BO867" s="156"/>
      <c r="BP867" s="156"/>
      <c r="BQ867" s="156"/>
      <c r="BR867" s="156"/>
      <c r="BS867" s="156"/>
      <c r="BT867" s="156"/>
      <c r="BU867" s="156"/>
      <c r="BV867" s="156"/>
      <c r="BW867" s="156"/>
      <c r="BX867" s="156"/>
      <c r="BY867" s="156"/>
      <c r="BZ867" s="156"/>
      <c r="CA867" s="156"/>
      <c r="CB867" s="156"/>
      <c r="CC867" s="156"/>
      <c r="CD867" s="156"/>
      <c r="CE867" s="156"/>
      <c r="CF867" s="156"/>
      <c r="CG867" s="156"/>
      <c r="CH867" s="156"/>
      <c r="CI867" s="156"/>
      <c r="CJ867" s="156"/>
      <c r="CK867" s="156"/>
      <c r="CL867" s="156"/>
      <c r="CM867" s="156"/>
      <c r="CN867" s="156"/>
      <c r="CO867" s="156"/>
      <c r="CP867" s="156"/>
      <c r="CQ867" s="156"/>
      <c r="CR867" s="156"/>
      <c r="CS867" s="156"/>
      <c r="CT867" s="156"/>
      <c r="CU867" s="156"/>
      <c r="CV867" s="156"/>
      <c r="CW867" s="156"/>
      <c r="CX867" s="156"/>
      <c r="CY867" s="156"/>
      <c r="CZ867" s="156"/>
      <c r="DA867" s="156"/>
      <c r="DB867" s="156"/>
      <c r="DC867" s="156"/>
      <c r="DD867" s="156"/>
      <c r="DE867" s="156"/>
      <c r="DF867" s="156"/>
      <c r="DG867" s="156"/>
      <c r="DH867" s="156"/>
      <c r="DI867" s="156"/>
      <c r="DJ867" s="156"/>
      <c r="DK867" s="156"/>
      <c r="DL867" s="156"/>
      <c r="DM867" s="156"/>
      <c r="DN867" s="156"/>
      <c r="DO867" s="156"/>
      <c r="DP867" s="156"/>
      <c r="DQ867" s="156"/>
      <c r="DR867" s="156"/>
      <c r="DS867" s="156"/>
      <c r="DT867" s="156"/>
      <c r="DU867" s="156"/>
      <c r="DV867" s="156"/>
      <c r="DW867" s="156"/>
      <c r="DX867" s="156"/>
      <c r="DY867" s="156"/>
      <c r="DZ867" s="156"/>
      <c r="EA867" s="156"/>
      <c r="EB867" s="156"/>
      <c r="EC867" s="156"/>
      <c r="ED867" s="156"/>
      <c r="EE867" s="156"/>
      <c r="EF867" s="156"/>
      <c r="EG867" s="156"/>
      <c r="EH867" s="156"/>
      <c r="EI867" s="156"/>
      <c r="EJ867" s="156"/>
      <c r="EK867" s="156"/>
      <c r="EL867" s="156"/>
      <c r="EM867" s="156"/>
    </row>
    <row r="868" spans="20:143" ht="10.5" customHeight="1">
      <c r="T868" s="156"/>
      <c r="AZ868" s="156"/>
      <c r="BA868" s="156"/>
      <c r="BB868" s="156"/>
      <c r="BC868" s="156"/>
      <c r="BD868" s="156"/>
      <c r="BE868" s="156"/>
      <c r="BF868" s="156"/>
      <c r="BG868" s="156"/>
      <c r="BH868" s="156"/>
      <c r="BI868" s="156"/>
      <c r="BJ868" s="156"/>
      <c r="BK868" s="156"/>
      <c r="BL868" s="156"/>
      <c r="BM868" s="156"/>
      <c r="BN868" s="156"/>
      <c r="BO868" s="156"/>
      <c r="BP868" s="156"/>
      <c r="BQ868" s="156"/>
      <c r="BR868" s="156"/>
      <c r="BS868" s="156"/>
      <c r="BT868" s="156"/>
      <c r="BU868" s="156"/>
      <c r="BV868" s="156"/>
      <c r="BW868" s="156"/>
      <c r="BX868" s="156"/>
      <c r="BY868" s="156"/>
      <c r="BZ868" s="156"/>
      <c r="CA868" s="156"/>
      <c r="CB868" s="156"/>
      <c r="CC868" s="156"/>
      <c r="CD868" s="156"/>
      <c r="CE868" s="156"/>
      <c r="CF868" s="156"/>
      <c r="CG868" s="156"/>
      <c r="CH868" s="156"/>
      <c r="CI868" s="156"/>
      <c r="CJ868" s="156"/>
      <c r="CK868" s="156"/>
      <c r="CL868" s="156"/>
      <c r="CM868" s="156"/>
      <c r="CN868" s="156"/>
      <c r="CO868" s="156"/>
      <c r="CP868" s="156"/>
      <c r="CQ868" s="156"/>
      <c r="CR868" s="156"/>
      <c r="CS868" s="156"/>
      <c r="CT868" s="156"/>
      <c r="CU868" s="156"/>
      <c r="CV868" s="156"/>
      <c r="CW868" s="156"/>
      <c r="CX868" s="156"/>
      <c r="CY868" s="156"/>
      <c r="CZ868" s="156"/>
      <c r="DA868" s="156"/>
      <c r="DB868" s="156"/>
      <c r="DC868" s="156"/>
      <c r="DD868" s="156"/>
      <c r="DE868" s="156"/>
      <c r="DF868" s="156"/>
      <c r="DG868" s="156"/>
      <c r="DH868" s="156"/>
      <c r="DI868" s="156"/>
      <c r="DJ868" s="156"/>
      <c r="DK868" s="156"/>
      <c r="DL868" s="156"/>
      <c r="DM868" s="156"/>
      <c r="DN868" s="156"/>
      <c r="DO868" s="156"/>
      <c r="DP868" s="156"/>
      <c r="DQ868" s="156"/>
      <c r="DR868" s="156"/>
      <c r="DS868" s="156"/>
      <c r="DT868" s="156"/>
      <c r="DU868" s="156"/>
      <c r="DV868" s="156"/>
      <c r="DW868" s="156"/>
      <c r="DX868" s="156"/>
      <c r="DY868" s="156"/>
      <c r="DZ868" s="156"/>
      <c r="EA868" s="156"/>
      <c r="EB868" s="156"/>
      <c r="EC868" s="156"/>
      <c r="ED868" s="156"/>
      <c r="EE868" s="156"/>
      <c r="EF868" s="156"/>
      <c r="EG868" s="156"/>
      <c r="EH868" s="156"/>
      <c r="EI868" s="156"/>
      <c r="EJ868" s="156"/>
      <c r="EK868" s="156"/>
      <c r="EL868" s="156"/>
      <c r="EM868" s="156"/>
    </row>
    <row r="869" spans="20:143" ht="10.5" customHeight="1">
      <c r="T869" s="156"/>
      <c r="AZ869" s="156"/>
      <c r="BA869" s="156"/>
      <c r="BB869" s="156"/>
      <c r="BC869" s="156"/>
      <c r="BD869" s="156"/>
      <c r="BE869" s="156"/>
      <c r="BF869" s="156"/>
      <c r="BG869" s="156"/>
      <c r="BH869" s="156"/>
      <c r="BI869" s="156"/>
      <c r="BJ869" s="156"/>
      <c r="BK869" s="156"/>
      <c r="BL869" s="156"/>
      <c r="BM869" s="156"/>
      <c r="BN869" s="156"/>
      <c r="BO869" s="156"/>
      <c r="BP869" s="156"/>
      <c r="BQ869" s="156"/>
      <c r="BR869" s="156"/>
      <c r="BS869" s="156"/>
      <c r="BT869" s="156"/>
      <c r="BU869" s="156"/>
      <c r="BV869" s="156"/>
      <c r="BW869" s="156"/>
      <c r="BX869" s="156"/>
      <c r="BY869" s="156"/>
      <c r="BZ869" s="156"/>
      <c r="CA869" s="156"/>
      <c r="CB869" s="156"/>
      <c r="CC869" s="156"/>
      <c r="CD869" s="156"/>
      <c r="CE869" s="156"/>
      <c r="CF869" s="156"/>
      <c r="CG869" s="156"/>
      <c r="CH869" s="156"/>
      <c r="CI869" s="156"/>
      <c r="CJ869" s="156"/>
      <c r="CK869" s="156"/>
      <c r="CL869" s="156"/>
      <c r="CM869" s="156"/>
      <c r="CN869" s="156"/>
      <c r="CO869" s="156"/>
      <c r="CP869" s="156"/>
      <c r="CQ869" s="156"/>
      <c r="CR869" s="156"/>
      <c r="CS869" s="156"/>
      <c r="CT869" s="156"/>
      <c r="CU869" s="156"/>
      <c r="CV869" s="156"/>
      <c r="CW869" s="156"/>
      <c r="CX869" s="156"/>
      <c r="CY869" s="156"/>
      <c r="CZ869" s="156"/>
      <c r="DA869" s="156"/>
      <c r="DB869" s="156"/>
      <c r="DC869" s="156"/>
      <c r="DD869" s="156"/>
      <c r="DE869" s="156"/>
      <c r="DF869" s="156"/>
      <c r="DG869" s="156"/>
      <c r="DH869" s="156"/>
      <c r="DI869" s="156"/>
      <c r="DJ869" s="156"/>
      <c r="DK869" s="156"/>
      <c r="DL869" s="156"/>
      <c r="DM869" s="156"/>
      <c r="DN869" s="156"/>
      <c r="DO869" s="156"/>
      <c r="DP869" s="156"/>
      <c r="DQ869" s="156"/>
      <c r="DR869" s="156"/>
      <c r="DS869" s="156"/>
      <c r="DT869" s="156"/>
      <c r="DU869" s="156"/>
      <c r="DV869" s="156"/>
      <c r="DW869" s="156"/>
      <c r="DX869" s="156"/>
      <c r="DY869" s="156"/>
      <c r="DZ869" s="156"/>
      <c r="EA869" s="156"/>
      <c r="EB869" s="156"/>
      <c r="EC869" s="156"/>
      <c r="ED869" s="156"/>
      <c r="EE869" s="156"/>
      <c r="EF869" s="156"/>
      <c r="EG869" s="156"/>
      <c r="EH869" s="156"/>
      <c r="EI869" s="156"/>
      <c r="EJ869" s="156"/>
      <c r="EK869" s="156"/>
      <c r="EL869" s="156"/>
      <c r="EM869" s="156"/>
    </row>
    <row r="870" spans="20:143" ht="10.5" customHeight="1">
      <c r="T870" s="156"/>
      <c r="AZ870" s="156"/>
      <c r="BA870" s="156"/>
      <c r="BB870" s="156"/>
      <c r="BC870" s="156"/>
      <c r="BD870" s="156"/>
      <c r="BE870" s="156"/>
      <c r="BF870" s="156"/>
      <c r="BG870" s="156"/>
      <c r="BH870" s="156"/>
      <c r="BI870" s="156"/>
      <c r="BJ870" s="156"/>
      <c r="BK870" s="156"/>
      <c r="BL870" s="156"/>
      <c r="BM870" s="156"/>
      <c r="BN870" s="156"/>
      <c r="BO870" s="156"/>
      <c r="BP870" s="156"/>
      <c r="BQ870" s="156"/>
      <c r="BR870" s="156"/>
      <c r="BS870" s="156"/>
      <c r="BT870" s="156"/>
      <c r="BU870" s="156"/>
      <c r="BV870" s="156"/>
      <c r="BW870" s="156"/>
      <c r="BX870" s="156"/>
      <c r="BY870" s="156"/>
      <c r="BZ870" s="156"/>
      <c r="CA870" s="156"/>
      <c r="CB870" s="156"/>
      <c r="CC870" s="156"/>
      <c r="CD870" s="156"/>
      <c r="CE870" s="156"/>
      <c r="CF870" s="156"/>
      <c r="CG870" s="156"/>
      <c r="CH870" s="156"/>
      <c r="CI870" s="156"/>
      <c r="CJ870" s="156"/>
      <c r="CK870" s="156"/>
      <c r="CL870" s="156"/>
      <c r="CM870" s="156"/>
      <c r="CN870" s="156"/>
      <c r="CO870" s="156"/>
      <c r="CP870" s="156"/>
      <c r="CQ870" s="156"/>
      <c r="CR870" s="156"/>
      <c r="CS870" s="156"/>
      <c r="CT870" s="156"/>
      <c r="CU870" s="156"/>
      <c r="CV870" s="156"/>
      <c r="CW870" s="156"/>
      <c r="CX870" s="156"/>
      <c r="CY870" s="156"/>
      <c r="CZ870" s="156"/>
      <c r="DA870" s="156"/>
      <c r="DB870" s="156"/>
      <c r="DC870" s="156"/>
      <c r="DD870" s="156"/>
      <c r="DE870" s="156"/>
      <c r="DF870" s="156"/>
      <c r="DG870" s="156"/>
      <c r="DH870" s="156"/>
      <c r="DI870" s="156"/>
      <c r="DJ870" s="156"/>
      <c r="DK870" s="156"/>
      <c r="DL870" s="156"/>
      <c r="DM870" s="156"/>
      <c r="DN870" s="156"/>
      <c r="DO870" s="156"/>
      <c r="DP870" s="156"/>
      <c r="DQ870" s="156"/>
      <c r="DR870" s="156"/>
      <c r="DS870" s="156"/>
      <c r="DT870" s="156"/>
      <c r="DU870" s="156"/>
      <c r="DV870" s="156"/>
      <c r="DW870" s="156"/>
      <c r="DX870" s="156"/>
      <c r="DY870" s="156"/>
      <c r="DZ870" s="156"/>
      <c r="EA870" s="156"/>
      <c r="EB870" s="156"/>
      <c r="EC870" s="156"/>
      <c r="ED870" s="156"/>
      <c r="EE870" s="156"/>
      <c r="EF870" s="156"/>
      <c r="EG870" s="156"/>
      <c r="EH870" s="156"/>
      <c r="EI870" s="156"/>
      <c r="EJ870" s="156"/>
      <c r="EK870" s="156"/>
      <c r="EL870" s="156"/>
      <c r="EM870" s="156"/>
    </row>
    <row r="871" spans="20:143" ht="10.5" customHeight="1">
      <c r="T871" s="156"/>
      <c r="AZ871" s="156"/>
      <c r="BA871" s="156"/>
      <c r="BB871" s="156"/>
      <c r="BC871" s="156"/>
      <c r="BD871" s="156"/>
      <c r="BE871" s="156"/>
      <c r="BF871" s="156"/>
      <c r="BG871" s="156"/>
      <c r="BH871" s="156"/>
      <c r="BI871" s="156"/>
      <c r="BJ871" s="156"/>
      <c r="BK871" s="156"/>
      <c r="BL871" s="156"/>
      <c r="BM871" s="156"/>
      <c r="BN871" s="156"/>
      <c r="BO871" s="156"/>
      <c r="BP871" s="156"/>
      <c r="BQ871" s="156"/>
      <c r="BR871" s="156"/>
      <c r="BS871" s="156"/>
      <c r="BT871" s="156"/>
      <c r="BU871" s="156"/>
      <c r="BV871" s="156"/>
      <c r="BW871" s="156"/>
      <c r="BX871" s="156"/>
      <c r="BY871" s="156"/>
      <c r="BZ871" s="156"/>
      <c r="CA871" s="156"/>
      <c r="CB871" s="156"/>
      <c r="CC871" s="156"/>
      <c r="CD871" s="156"/>
      <c r="CE871" s="156"/>
      <c r="CF871" s="156"/>
      <c r="CG871" s="156"/>
      <c r="CH871" s="156"/>
      <c r="CI871" s="156"/>
      <c r="CJ871" s="156"/>
      <c r="CK871" s="156"/>
      <c r="CL871" s="156"/>
      <c r="CM871" s="156"/>
      <c r="CN871" s="156"/>
      <c r="CO871" s="156"/>
      <c r="CP871" s="156"/>
      <c r="CQ871" s="156"/>
      <c r="CR871" s="156"/>
      <c r="CS871" s="156"/>
      <c r="CT871" s="156"/>
      <c r="CU871" s="156"/>
      <c r="CV871" s="156"/>
      <c r="CW871" s="156"/>
      <c r="CX871" s="156"/>
      <c r="CY871" s="156"/>
      <c r="CZ871" s="156"/>
      <c r="DA871" s="156"/>
      <c r="DB871" s="156"/>
      <c r="DC871" s="156"/>
      <c r="DD871" s="156"/>
      <c r="DE871" s="156"/>
      <c r="DF871" s="156"/>
      <c r="DG871" s="156"/>
      <c r="DH871" s="156"/>
      <c r="DI871" s="156"/>
      <c r="DJ871" s="156"/>
      <c r="DK871" s="156"/>
      <c r="DL871" s="156"/>
      <c r="DM871" s="156"/>
      <c r="DN871" s="156"/>
      <c r="DO871" s="156"/>
      <c r="DP871" s="156"/>
      <c r="DQ871" s="156"/>
      <c r="DR871" s="156"/>
      <c r="DS871" s="156"/>
      <c r="DT871" s="156"/>
      <c r="DU871" s="156"/>
      <c r="DV871" s="156"/>
      <c r="DW871" s="156"/>
      <c r="DX871" s="156"/>
      <c r="DY871" s="156"/>
      <c r="DZ871" s="156"/>
      <c r="EA871" s="156"/>
      <c r="EB871" s="156"/>
      <c r="EC871" s="156"/>
      <c r="ED871" s="156"/>
      <c r="EE871" s="156"/>
      <c r="EF871" s="156"/>
      <c r="EG871" s="156"/>
      <c r="EH871" s="156"/>
      <c r="EI871" s="156"/>
      <c r="EJ871" s="156"/>
      <c r="EK871" s="156"/>
      <c r="EL871" s="156"/>
      <c r="EM871" s="156"/>
    </row>
    <row r="872" spans="20:143" ht="10.5" customHeight="1">
      <c r="T872" s="156"/>
      <c r="AZ872" s="156"/>
      <c r="BA872" s="156"/>
      <c r="BB872" s="156"/>
      <c r="BC872" s="156"/>
      <c r="BD872" s="156"/>
      <c r="BE872" s="156"/>
      <c r="BF872" s="156"/>
      <c r="BG872" s="156"/>
      <c r="BH872" s="156"/>
      <c r="BI872" s="156"/>
      <c r="BJ872" s="156"/>
      <c r="BK872" s="156"/>
      <c r="BL872" s="156"/>
      <c r="BM872" s="156"/>
      <c r="BN872" s="156"/>
      <c r="BO872" s="156"/>
      <c r="BP872" s="156"/>
      <c r="BQ872" s="156"/>
      <c r="BR872" s="156"/>
      <c r="BS872" s="156"/>
      <c r="BT872" s="156"/>
      <c r="BU872" s="156"/>
      <c r="BV872" s="156"/>
      <c r="BW872" s="156"/>
      <c r="BX872" s="156"/>
      <c r="BY872" s="156"/>
      <c r="BZ872" s="156"/>
      <c r="CA872" s="156"/>
      <c r="CB872" s="156"/>
      <c r="CC872" s="156"/>
      <c r="CD872" s="156"/>
      <c r="CE872" s="156"/>
      <c r="CF872" s="156"/>
      <c r="CG872" s="156"/>
      <c r="CH872" s="156"/>
      <c r="CI872" s="156"/>
      <c r="CJ872" s="156"/>
      <c r="CK872" s="156"/>
      <c r="CL872" s="156"/>
      <c r="CM872" s="156"/>
      <c r="CN872" s="156"/>
      <c r="CO872" s="156"/>
      <c r="CP872" s="156"/>
      <c r="CQ872" s="156"/>
      <c r="CR872" s="156"/>
      <c r="CS872" s="156"/>
      <c r="CT872" s="156"/>
      <c r="CU872" s="156"/>
      <c r="CV872" s="156"/>
      <c r="CW872" s="156"/>
      <c r="CX872" s="156"/>
      <c r="CY872" s="156"/>
      <c r="CZ872" s="156"/>
      <c r="DA872" s="156"/>
      <c r="DB872" s="156"/>
      <c r="DC872" s="156"/>
      <c r="DD872" s="156"/>
      <c r="DE872" s="156"/>
      <c r="DF872" s="156"/>
      <c r="DG872" s="156"/>
      <c r="DH872" s="156"/>
      <c r="DI872" s="156"/>
      <c r="DJ872" s="156"/>
      <c r="DK872" s="156"/>
      <c r="DL872" s="156"/>
      <c r="DM872" s="156"/>
      <c r="DN872" s="156"/>
      <c r="DO872" s="156"/>
      <c r="DP872" s="156"/>
      <c r="DQ872" s="156"/>
      <c r="DR872" s="156"/>
      <c r="DS872" s="156"/>
      <c r="DT872" s="156"/>
      <c r="DU872" s="156"/>
      <c r="DV872" s="156"/>
      <c r="DW872" s="156"/>
      <c r="DX872" s="156"/>
      <c r="DY872" s="156"/>
      <c r="DZ872" s="156"/>
      <c r="EA872" s="156"/>
      <c r="EB872" s="156"/>
      <c r="EC872" s="156"/>
      <c r="ED872" s="156"/>
      <c r="EE872" s="156"/>
      <c r="EF872" s="156"/>
      <c r="EG872" s="156"/>
      <c r="EH872" s="156"/>
      <c r="EI872" s="156"/>
      <c r="EJ872" s="156"/>
      <c r="EK872" s="156"/>
      <c r="EL872" s="156"/>
      <c r="EM872" s="156"/>
    </row>
    <row r="873" spans="20:143" ht="10.5" customHeight="1">
      <c r="T873" s="156"/>
      <c r="AZ873" s="156"/>
      <c r="BA873" s="156"/>
      <c r="BB873" s="156"/>
      <c r="BC873" s="156"/>
      <c r="BD873" s="156"/>
      <c r="BE873" s="156"/>
      <c r="BF873" s="156"/>
      <c r="BG873" s="156"/>
      <c r="BH873" s="156"/>
      <c r="BI873" s="156"/>
      <c r="BJ873" s="156"/>
      <c r="BK873" s="156"/>
      <c r="BL873" s="156"/>
      <c r="BM873" s="156"/>
      <c r="BN873" s="156"/>
      <c r="BO873" s="156"/>
      <c r="BP873" s="156"/>
      <c r="BQ873" s="156"/>
      <c r="BR873" s="156"/>
      <c r="BS873" s="156"/>
      <c r="BT873" s="156"/>
      <c r="BU873" s="156"/>
      <c r="BV873" s="156"/>
      <c r="BW873" s="156"/>
      <c r="BX873" s="156"/>
      <c r="BY873" s="156"/>
      <c r="BZ873" s="156"/>
      <c r="CA873" s="156"/>
      <c r="CB873" s="156"/>
      <c r="CC873" s="156"/>
      <c r="CD873" s="156"/>
      <c r="CE873" s="156"/>
      <c r="CF873" s="156"/>
      <c r="CG873" s="156"/>
      <c r="CH873" s="156"/>
      <c r="CI873" s="156"/>
      <c r="CJ873" s="156"/>
      <c r="CK873" s="156"/>
      <c r="CL873" s="156"/>
      <c r="CM873" s="156"/>
      <c r="CN873" s="156"/>
      <c r="CO873" s="156"/>
      <c r="CP873" s="156"/>
      <c r="CQ873" s="156"/>
      <c r="CR873" s="156"/>
      <c r="CS873" s="156"/>
      <c r="CT873" s="156"/>
      <c r="CU873" s="156"/>
      <c r="CV873" s="156"/>
      <c r="CW873" s="156"/>
      <c r="CX873" s="156"/>
      <c r="CY873" s="156"/>
      <c r="CZ873" s="156"/>
      <c r="DA873" s="156"/>
      <c r="DB873" s="156"/>
      <c r="DC873" s="156"/>
      <c r="DD873" s="156"/>
      <c r="DE873" s="156"/>
      <c r="DF873" s="156"/>
      <c r="DG873" s="156"/>
      <c r="DH873" s="156"/>
      <c r="DI873" s="156"/>
      <c r="DJ873" s="156"/>
      <c r="DK873" s="156"/>
      <c r="DL873" s="156"/>
      <c r="DM873" s="156"/>
      <c r="DN873" s="156"/>
      <c r="DO873" s="156"/>
      <c r="DP873" s="156"/>
      <c r="DQ873" s="156"/>
      <c r="DR873" s="156"/>
      <c r="DS873" s="156"/>
      <c r="DT873" s="156"/>
      <c r="DU873" s="156"/>
      <c r="DV873" s="156"/>
      <c r="DW873" s="156"/>
      <c r="DX873" s="156"/>
      <c r="DY873" s="156"/>
      <c r="DZ873" s="156"/>
      <c r="EA873" s="156"/>
      <c r="EB873" s="156"/>
      <c r="EC873" s="156"/>
      <c r="ED873" s="156"/>
      <c r="EE873" s="156"/>
      <c r="EF873" s="156"/>
      <c r="EG873" s="156"/>
      <c r="EH873" s="156"/>
      <c r="EI873" s="156"/>
      <c r="EJ873" s="156"/>
      <c r="EK873" s="156"/>
      <c r="EL873" s="156"/>
      <c r="EM873" s="156"/>
    </row>
    <row r="874" spans="20:143" ht="10.5" customHeight="1">
      <c r="T874" s="156"/>
      <c r="AZ874" s="156"/>
      <c r="BA874" s="156"/>
      <c r="BB874" s="156"/>
      <c r="BC874" s="156"/>
      <c r="BD874" s="156"/>
      <c r="BE874" s="156"/>
      <c r="BF874" s="156"/>
      <c r="BG874" s="156"/>
      <c r="BH874" s="156"/>
      <c r="BI874" s="156"/>
      <c r="BJ874" s="156"/>
      <c r="BK874" s="156"/>
      <c r="BL874" s="156"/>
      <c r="BM874" s="156"/>
      <c r="BN874" s="156"/>
      <c r="BO874" s="156"/>
      <c r="BP874" s="156"/>
      <c r="BQ874" s="156"/>
      <c r="BR874" s="156"/>
      <c r="BS874" s="156"/>
      <c r="BT874" s="156"/>
      <c r="BU874" s="156"/>
      <c r="BV874" s="156"/>
      <c r="BW874" s="156"/>
      <c r="BX874" s="156"/>
      <c r="BY874" s="156"/>
      <c r="BZ874" s="156"/>
      <c r="CA874" s="156"/>
      <c r="CB874" s="156"/>
      <c r="CC874" s="156"/>
      <c r="CD874" s="156"/>
      <c r="CE874" s="156"/>
      <c r="CF874" s="156"/>
      <c r="CG874" s="156"/>
      <c r="CH874" s="156"/>
      <c r="CI874" s="156"/>
      <c r="CJ874" s="156"/>
      <c r="CK874" s="156"/>
      <c r="CL874" s="156"/>
      <c r="CM874" s="156"/>
      <c r="CN874" s="156"/>
      <c r="CO874" s="156"/>
      <c r="CP874" s="156"/>
      <c r="CQ874" s="156"/>
      <c r="CR874" s="156"/>
      <c r="CS874" s="156"/>
      <c r="CT874" s="156"/>
      <c r="CU874" s="156"/>
      <c r="CV874" s="156"/>
      <c r="CW874" s="156"/>
      <c r="CX874" s="156"/>
      <c r="CY874" s="156"/>
      <c r="CZ874" s="156"/>
      <c r="DA874" s="156"/>
      <c r="DB874" s="156"/>
      <c r="DC874" s="156"/>
      <c r="DD874" s="156"/>
      <c r="DE874" s="156"/>
      <c r="DF874" s="156"/>
      <c r="DG874" s="156"/>
      <c r="DH874" s="156"/>
      <c r="DI874" s="156"/>
      <c r="DJ874" s="156"/>
      <c r="DK874" s="156"/>
      <c r="DL874" s="156"/>
      <c r="DM874" s="156"/>
      <c r="DN874" s="156"/>
      <c r="DO874" s="156"/>
      <c r="DP874" s="156"/>
      <c r="DQ874" s="156"/>
      <c r="DR874" s="156"/>
      <c r="DS874" s="156"/>
      <c r="DT874" s="156"/>
      <c r="DU874" s="156"/>
      <c r="DV874" s="156"/>
      <c r="DW874" s="156"/>
      <c r="DX874" s="156"/>
      <c r="DY874" s="156"/>
      <c r="DZ874" s="156"/>
      <c r="EA874" s="156"/>
      <c r="EB874" s="156"/>
      <c r="EC874" s="156"/>
      <c r="ED874" s="156"/>
      <c r="EE874" s="156"/>
      <c r="EF874" s="156"/>
      <c r="EG874" s="156"/>
      <c r="EH874" s="156"/>
      <c r="EI874" s="156"/>
      <c r="EJ874" s="156"/>
      <c r="EK874" s="156"/>
      <c r="EL874" s="156"/>
      <c r="EM874" s="156"/>
    </row>
    <row r="875" spans="20:143" ht="10.5" customHeight="1">
      <c r="T875" s="156"/>
      <c r="AZ875" s="156"/>
      <c r="BA875" s="156"/>
      <c r="BB875" s="156"/>
      <c r="BC875" s="156"/>
      <c r="BD875" s="156"/>
      <c r="BE875" s="156"/>
      <c r="BF875" s="156"/>
      <c r="BG875" s="156"/>
      <c r="BH875" s="156"/>
      <c r="BI875" s="156"/>
      <c r="BJ875" s="156"/>
      <c r="BK875" s="156"/>
      <c r="BL875" s="156"/>
      <c r="BM875" s="156"/>
      <c r="BN875" s="156"/>
      <c r="BO875" s="156"/>
      <c r="BP875" s="156"/>
      <c r="BQ875" s="156"/>
      <c r="BR875" s="156"/>
      <c r="BS875" s="156"/>
      <c r="BT875" s="156"/>
      <c r="BU875" s="156"/>
      <c r="BV875" s="156"/>
      <c r="BW875" s="156"/>
      <c r="BX875" s="156"/>
      <c r="BY875" s="156"/>
      <c r="BZ875" s="156"/>
      <c r="CA875" s="156"/>
      <c r="CB875" s="156"/>
      <c r="CC875" s="156"/>
      <c r="CD875" s="156"/>
      <c r="CE875" s="156"/>
      <c r="CF875" s="156"/>
      <c r="CG875" s="156"/>
      <c r="CH875" s="156"/>
      <c r="CI875" s="156"/>
      <c r="CJ875" s="156"/>
      <c r="CK875" s="156"/>
      <c r="CL875" s="156"/>
      <c r="CM875" s="156"/>
      <c r="CN875" s="156"/>
      <c r="CO875" s="156"/>
      <c r="CP875" s="156"/>
      <c r="CQ875" s="156"/>
      <c r="CR875" s="156"/>
      <c r="CS875" s="156"/>
      <c r="CT875" s="156"/>
      <c r="CU875" s="156"/>
      <c r="CV875" s="156"/>
      <c r="CW875" s="156"/>
      <c r="CX875" s="156"/>
      <c r="CY875" s="156"/>
      <c r="CZ875" s="156"/>
      <c r="DA875" s="156"/>
      <c r="DB875" s="156"/>
      <c r="DC875" s="156"/>
      <c r="DD875" s="156"/>
      <c r="DE875" s="156"/>
      <c r="DF875" s="156"/>
      <c r="DG875" s="156"/>
      <c r="DH875" s="156"/>
      <c r="DI875" s="156"/>
      <c r="DJ875" s="156"/>
      <c r="DK875" s="156"/>
      <c r="DL875" s="156"/>
      <c r="DM875" s="156"/>
      <c r="DN875" s="156"/>
      <c r="DO875" s="156"/>
      <c r="DP875" s="156"/>
      <c r="DQ875" s="156"/>
      <c r="DR875" s="156"/>
      <c r="DS875" s="156"/>
      <c r="DT875" s="156"/>
      <c r="DU875" s="156"/>
      <c r="DV875" s="156"/>
      <c r="DW875" s="156"/>
      <c r="DX875" s="156"/>
      <c r="DY875" s="156"/>
      <c r="DZ875" s="156"/>
      <c r="EA875" s="156"/>
      <c r="EB875" s="156"/>
      <c r="EC875" s="156"/>
      <c r="ED875" s="156"/>
      <c r="EE875" s="156"/>
      <c r="EF875" s="156"/>
      <c r="EG875" s="156"/>
      <c r="EH875" s="156"/>
      <c r="EI875" s="156"/>
      <c r="EJ875" s="156"/>
      <c r="EK875" s="156"/>
      <c r="EL875" s="156"/>
      <c r="EM875" s="156"/>
    </row>
    <row r="876" spans="20:143" ht="10.5" customHeight="1">
      <c r="T876" s="156"/>
      <c r="AZ876" s="156"/>
      <c r="BA876" s="156"/>
      <c r="BB876" s="156"/>
      <c r="BC876" s="156"/>
      <c r="BD876" s="156"/>
      <c r="BE876" s="156"/>
      <c r="BF876" s="156"/>
      <c r="BG876" s="156"/>
      <c r="BH876" s="156"/>
      <c r="BI876" s="156"/>
      <c r="BJ876" s="156"/>
      <c r="BK876" s="156"/>
      <c r="BL876" s="156"/>
      <c r="BM876" s="156"/>
      <c r="BN876" s="156"/>
      <c r="BO876" s="156"/>
      <c r="BP876" s="156"/>
      <c r="BQ876" s="156"/>
      <c r="BR876" s="156"/>
      <c r="BS876" s="156"/>
      <c r="BT876" s="156"/>
      <c r="BU876" s="156"/>
      <c r="BV876" s="156"/>
      <c r="BW876" s="156"/>
      <c r="BX876" s="156"/>
      <c r="BY876" s="156"/>
      <c r="BZ876" s="156"/>
      <c r="CA876" s="156"/>
      <c r="CB876" s="156"/>
      <c r="CC876" s="156"/>
      <c r="CD876" s="156"/>
      <c r="CE876" s="156"/>
      <c r="CF876" s="156"/>
      <c r="CG876" s="156"/>
      <c r="CH876" s="156"/>
      <c r="CI876" s="156"/>
      <c r="CJ876" s="156"/>
      <c r="CK876" s="156"/>
      <c r="CL876" s="156"/>
      <c r="CM876" s="156"/>
      <c r="CN876" s="156"/>
      <c r="CO876" s="156"/>
      <c r="CP876" s="156"/>
      <c r="CQ876" s="156"/>
      <c r="CR876" s="156"/>
      <c r="CS876" s="156"/>
      <c r="CT876" s="156"/>
      <c r="CU876" s="156"/>
      <c r="CV876" s="156"/>
      <c r="CW876" s="156"/>
      <c r="CX876" s="156"/>
      <c r="CY876" s="156"/>
      <c r="CZ876" s="156"/>
      <c r="DA876" s="156"/>
      <c r="DB876" s="156"/>
      <c r="DC876" s="156"/>
      <c r="DD876" s="156"/>
      <c r="DE876" s="156"/>
      <c r="DF876" s="156"/>
      <c r="DG876" s="156"/>
      <c r="DH876" s="156"/>
      <c r="DI876" s="156"/>
      <c r="DJ876" s="156"/>
      <c r="DK876" s="156"/>
      <c r="DL876" s="156"/>
      <c r="DM876" s="156"/>
      <c r="DN876" s="156"/>
      <c r="DO876" s="156"/>
      <c r="DP876" s="156"/>
      <c r="DQ876" s="156"/>
      <c r="DR876" s="156"/>
      <c r="DS876" s="156"/>
      <c r="DT876" s="156"/>
      <c r="DU876" s="156"/>
      <c r="DV876" s="156"/>
      <c r="DW876" s="156"/>
      <c r="DX876" s="156"/>
      <c r="DY876" s="156"/>
      <c r="DZ876" s="156"/>
      <c r="EA876" s="156"/>
      <c r="EB876" s="156"/>
      <c r="EC876" s="156"/>
      <c r="ED876" s="156"/>
      <c r="EE876" s="156"/>
      <c r="EF876" s="156"/>
      <c r="EG876" s="156"/>
      <c r="EH876" s="156"/>
      <c r="EI876" s="156"/>
      <c r="EJ876" s="156"/>
      <c r="EK876" s="156"/>
      <c r="EL876" s="156"/>
      <c r="EM876" s="156"/>
    </row>
    <row r="877" spans="20:143" ht="10.5" customHeight="1">
      <c r="T877" s="156"/>
      <c r="AZ877" s="156"/>
      <c r="BA877" s="156"/>
      <c r="BB877" s="156"/>
      <c r="BC877" s="156"/>
      <c r="BD877" s="156"/>
      <c r="BE877" s="156"/>
      <c r="BF877" s="156"/>
      <c r="BG877" s="156"/>
      <c r="BH877" s="156"/>
      <c r="BI877" s="156"/>
      <c r="BJ877" s="156"/>
      <c r="BK877" s="156"/>
      <c r="BL877" s="156"/>
      <c r="BM877" s="156"/>
      <c r="BN877" s="156"/>
      <c r="BO877" s="156"/>
      <c r="BP877" s="156"/>
      <c r="BQ877" s="156"/>
      <c r="BR877" s="156"/>
      <c r="BS877" s="156"/>
      <c r="BT877" s="156"/>
      <c r="BU877" s="156"/>
      <c r="BV877" s="156"/>
      <c r="BW877" s="156"/>
      <c r="BX877" s="156"/>
      <c r="BY877" s="156"/>
      <c r="BZ877" s="156"/>
      <c r="CA877" s="156"/>
      <c r="CB877" s="156"/>
      <c r="CC877" s="156"/>
      <c r="CD877" s="156"/>
      <c r="CE877" s="156"/>
      <c r="CF877" s="156"/>
      <c r="CG877" s="156"/>
      <c r="CH877" s="156"/>
      <c r="CI877" s="156"/>
      <c r="CJ877" s="156"/>
      <c r="CK877" s="156"/>
      <c r="CL877" s="156"/>
      <c r="CM877" s="156"/>
      <c r="CN877" s="156"/>
      <c r="CO877" s="156"/>
      <c r="CP877" s="156"/>
      <c r="CQ877" s="156"/>
      <c r="CR877" s="156"/>
      <c r="CS877" s="156"/>
      <c r="CT877" s="156"/>
      <c r="CU877" s="156"/>
      <c r="CV877" s="156"/>
      <c r="CW877" s="156"/>
      <c r="CX877" s="156"/>
      <c r="CY877" s="156"/>
      <c r="CZ877" s="156"/>
      <c r="DA877" s="156"/>
      <c r="DB877" s="156"/>
      <c r="DC877" s="156"/>
      <c r="DD877" s="156"/>
      <c r="DE877" s="156"/>
      <c r="DF877" s="156"/>
      <c r="DG877" s="156"/>
      <c r="DH877" s="156"/>
      <c r="DI877" s="156"/>
      <c r="DJ877" s="156"/>
      <c r="DK877" s="156"/>
      <c r="DL877" s="156"/>
      <c r="DM877" s="156"/>
      <c r="DN877" s="156"/>
      <c r="DO877" s="156"/>
      <c r="DP877" s="156"/>
      <c r="DQ877" s="156"/>
      <c r="DR877" s="156"/>
      <c r="DS877" s="156"/>
      <c r="DT877" s="156"/>
      <c r="DU877" s="156"/>
      <c r="DV877" s="156"/>
      <c r="DW877" s="156"/>
      <c r="DX877" s="156"/>
      <c r="DY877" s="156"/>
      <c r="DZ877" s="156"/>
      <c r="EA877" s="156"/>
      <c r="EB877" s="156"/>
      <c r="EC877" s="156"/>
      <c r="ED877" s="156"/>
      <c r="EE877" s="156"/>
      <c r="EF877" s="156"/>
      <c r="EG877" s="156"/>
      <c r="EH877" s="156"/>
      <c r="EI877" s="156"/>
      <c r="EJ877" s="156"/>
      <c r="EK877" s="156"/>
      <c r="EL877" s="156"/>
      <c r="EM877" s="156"/>
    </row>
    <row r="878" spans="20:143" ht="10.5" customHeight="1">
      <c r="T878" s="156"/>
      <c r="AZ878" s="156"/>
      <c r="BA878" s="156"/>
      <c r="BB878" s="156"/>
      <c r="BC878" s="156"/>
      <c r="BD878" s="156"/>
      <c r="BE878" s="156"/>
      <c r="BF878" s="156"/>
      <c r="BG878" s="156"/>
      <c r="BH878" s="156"/>
      <c r="BI878" s="156"/>
      <c r="BJ878" s="156"/>
      <c r="BK878" s="156"/>
      <c r="BL878" s="156"/>
      <c r="BM878" s="156"/>
      <c r="BN878" s="156"/>
      <c r="BO878" s="156"/>
      <c r="BP878" s="156"/>
      <c r="BQ878" s="156"/>
      <c r="BR878" s="156"/>
      <c r="BS878" s="156"/>
      <c r="BT878" s="156"/>
      <c r="BU878" s="156"/>
      <c r="BV878" s="156"/>
      <c r="BW878" s="156"/>
      <c r="BX878" s="156"/>
      <c r="BY878" s="156"/>
      <c r="BZ878" s="156"/>
      <c r="CA878" s="156"/>
      <c r="CB878" s="156"/>
      <c r="CC878" s="156"/>
      <c r="CD878" s="156"/>
      <c r="CE878" s="156"/>
      <c r="CF878" s="156"/>
      <c r="CG878" s="156"/>
      <c r="CH878" s="156"/>
      <c r="CI878" s="156"/>
      <c r="CJ878" s="156"/>
      <c r="CK878" s="156"/>
      <c r="CL878" s="156"/>
      <c r="CM878" s="156"/>
      <c r="CN878" s="156"/>
      <c r="CO878" s="156"/>
      <c r="CP878" s="156"/>
      <c r="CQ878" s="156"/>
      <c r="CR878" s="156"/>
      <c r="CS878" s="156"/>
      <c r="CT878" s="156"/>
      <c r="CU878" s="156"/>
      <c r="CV878" s="156"/>
      <c r="CW878" s="156"/>
      <c r="CX878" s="156"/>
      <c r="CY878" s="156"/>
      <c r="CZ878" s="156"/>
      <c r="DA878" s="156"/>
      <c r="DB878" s="156"/>
      <c r="DC878" s="156"/>
      <c r="DD878" s="156"/>
      <c r="DE878" s="156"/>
      <c r="DF878" s="156"/>
      <c r="DG878" s="156"/>
      <c r="DH878" s="156"/>
      <c r="DI878" s="156"/>
      <c r="DJ878" s="156"/>
      <c r="DK878" s="156"/>
      <c r="DL878" s="156"/>
      <c r="DM878" s="156"/>
      <c r="DN878" s="156"/>
      <c r="DO878" s="156"/>
      <c r="DP878" s="156"/>
      <c r="DQ878" s="156"/>
      <c r="DR878" s="156"/>
      <c r="DS878" s="156"/>
      <c r="DT878" s="156"/>
      <c r="DU878" s="156"/>
      <c r="DV878" s="156"/>
      <c r="DW878" s="156"/>
      <c r="DX878" s="156"/>
      <c r="DY878" s="156"/>
      <c r="DZ878" s="156"/>
      <c r="EA878" s="156"/>
      <c r="EB878" s="156"/>
      <c r="EC878" s="156"/>
      <c r="ED878" s="156"/>
      <c r="EE878" s="156"/>
      <c r="EF878" s="156"/>
      <c r="EG878" s="156"/>
      <c r="EH878" s="156"/>
      <c r="EI878" s="156"/>
      <c r="EJ878" s="156"/>
      <c r="EK878" s="156"/>
      <c r="EL878" s="156"/>
      <c r="EM878" s="156"/>
    </row>
    <row r="879" spans="20:143" ht="10.5" customHeight="1">
      <c r="T879" s="156"/>
      <c r="AZ879" s="156"/>
      <c r="BA879" s="156"/>
      <c r="BB879" s="156"/>
      <c r="BC879" s="156"/>
      <c r="BD879" s="156"/>
      <c r="BE879" s="156"/>
      <c r="BF879" s="156"/>
      <c r="BG879" s="156"/>
      <c r="BH879" s="156"/>
      <c r="BI879" s="156"/>
      <c r="BJ879" s="156"/>
      <c r="BK879" s="156"/>
      <c r="BL879" s="156"/>
      <c r="BM879" s="156"/>
      <c r="BN879" s="156"/>
      <c r="BO879" s="156"/>
      <c r="BP879" s="156"/>
      <c r="BQ879" s="156"/>
      <c r="BR879" s="156"/>
      <c r="BS879" s="156"/>
      <c r="BT879" s="156"/>
      <c r="BU879" s="156"/>
      <c r="BV879" s="156"/>
      <c r="BW879" s="156"/>
      <c r="BX879" s="156"/>
      <c r="BY879" s="156"/>
      <c r="BZ879" s="156"/>
      <c r="CA879" s="156"/>
      <c r="CB879" s="156"/>
      <c r="CC879" s="156"/>
      <c r="CD879" s="156"/>
      <c r="CE879" s="156"/>
      <c r="CF879" s="156"/>
      <c r="CG879" s="156"/>
      <c r="CH879" s="156"/>
      <c r="CI879" s="156"/>
      <c r="CJ879" s="156"/>
      <c r="CK879" s="156"/>
      <c r="CL879" s="156"/>
      <c r="CM879" s="156"/>
      <c r="CN879" s="156"/>
      <c r="CO879" s="156"/>
      <c r="CP879" s="156"/>
      <c r="CQ879" s="156"/>
      <c r="CR879" s="156"/>
      <c r="CS879" s="156"/>
      <c r="CT879" s="156"/>
      <c r="CU879" s="156"/>
      <c r="CV879" s="156"/>
      <c r="CW879" s="156"/>
      <c r="CX879" s="156"/>
      <c r="CY879" s="156"/>
      <c r="CZ879" s="156"/>
      <c r="DA879" s="156"/>
      <c r="DB879" s="156"/>
      <c r="DC879" s="156"/>
      <c r="DD879" s="156"/>
      <c r="DE879" s="156"/>
      <c r="DF879" s="156"/>
      <c r="DG879" s="156"/>
      <c r="DH879" s="156"/>
      <c r="DI879" s="156"/>
      <c r="DJ879" s="156"/>
      <c r="DK879" s="156"/>
      <c r="DL879" s="156"/>
      <c r="DM879" s="156"/>
      <c r="DN879" s="156"/>
      <c r="DO879" s="156"/>
      <c r="DP879" s="156"/>
      <c r="DQ879" s="156"/>
      <c r="DR879" s="156"/>
      <c r="DS879" s="156"/>
      <c r="DT879" s="156"/>
      <c r="DU879" s="156"/>
      <c r="DV879" s="156"/>
      <c r="DW879" s="156"/>
      <c r="DX879" s="156"/>
      <c r="DY879" s="156"/>
      <c r="DZ879" s="156"/>
      <c r="EA879" s="156"/>
      <c r="EB879" s="156"/>
      <c r="EC879" s="156"/>
      <c r="ED879" s="156"/>
      <c r="EE879" s="156"/>
      <c r="EF879" s="156"/>
      <c r="EG879" s="156"/>
      <c r="EH879" s="156"/>
      <c r="EI879" s="156"/>
      <c r="EJ879" s="156"/>
      <c r="EK879" s="156"/>
      <c r="EL879" s="156"/>
      <c r="EM879" s="156"/>
    </row>
    <row r="880" spans="20:143" ht="10.5" customHeight="1">
      <c r="T880" s="156"/>
      <c r="AZ880" s="156"/>
      <c r="BA880" s="156"/>
      <c r="BB880" s="156"/>
      <c r="BC880" s="156"/>
      <c r="BD880" s="156"/>
      <c r="BE880" s="156"/>
      <c r="BF880" s="156"/>
      <c r="BG880" s="156"/>
      <c r="BH880" s="156"/>
      <c r="BI880" s="156"/>
      <c r="BJ880" s="156"/>
      <c r="BK880" s="156"/>
      <c r="BL880" s="156"/>
      <c r="BM880" s="156"/>
      <c r="BN880" s="156"/>
      <c r="BO880" s="156"/>
      <c r="BP880" s="156"/>
      <c r="BQ880" s="156"/>
      <c r="BR880" s="156"/>
      <c r="BS880" s="156"/>
      <c r="BT880" s="156"/>
      <c r="BU880" s="156"/>
      <c r="BV880" s="156"/>
      <c r="BW880" s="156"/>
      <c r="BX880" s="156"/>
      <c r="BY880" s="156"/>
      <c r="BZ880" s="156"/>
      <c r="CA880" s="156"/>
      <c r="CB880" s="156"/>
      <c r="CC880" s="156"/>
      <c r="CD880" s="156"/>
      <c r="CE880" s="156"/>
      <c r="CF880" s="156"/>
      <c r="CG880" s="156"/>
      <c r="CH880" s="156"/>
      <c r="CI880" s="156"/>
      <c r="CJ880" s="156"/>
      <c r="CK880" s="156"/>
      <c r="CL880" s="156"/>
      <c r="CM880" s="156"/>
      <c r="CN880" s="156"/>
      <c r="CO880" s="156"/>
      <c r="CP880" s="156"/>
      <c r="CQ880" s="156"/>
      <c r="CR880" s="156"/>
      <c r="CS880" s="156"/>
      <c r="CT880" s="156"/>
      <c r="CU880" s="156"/>
      <c r="CV880" s="156"/>
      <c r="CW880" s="156"/>
      <c r="CX880" s="156"/>
      <c r="CY880" s="156"/>
      <c r="CZ880" s="156"/>
      <c r="DA880" s="156"/>
      <c r="DB880" s="156"/>
      <c r="DC880" s="156"/>
      <c r="DD880" s="156"/>
      <c r="DE880" s="156"/>
      <c r="DF880" s="156"/>
      <c r="DG880" s="156"/>
      <c r="DH880" s="156"/>
      <c r="DI880" s="156"/>
      <c r="DJ880" s="156"/>
      <c r="DK880" s="156"/>
      <c r="DL880" s="156"/>
      <c r="DM880" s="156"/>
      <c r="DN880" s="156"/>
      <c r="DO880" s="156"/>
      <c r="DP880" s="156"/>
      <c r="DQ880" s="156"/>
      <c r="DR880" s="156"/>
      <c r="DS880" s="156"/>
      <c r="DT880" s="156"/>
      <c r="DU880" s="156"/>
      <c r="DV880" s="156"/>
      <c r="DW880" s="156"/>
      <c r="DX880" s="156"/>
      <c r="DY880" s="156"/>
      <c r="DZ880" s="156"/>
      <c r="EA880" s="156"/>
      <c r="EB880" s="156"/>
      <c r="EC880" s="156"/>
      <c r="ED880" s="156"/>
      <c r="EE880" s="156"/>
      <c r="EF880" s="156"/>
      <c r="EG880" s="156"/>
      <c r="EH880" s="156"/>
      <c r="EI880" s="156"/>
      <c r="EJ880" s="156"/>
      <c r="EK880" s="156"/>
      <c r="EL880" s="156"/>
      <c r="EM880" s="156"/>
    </row>
    <row r="881" spans="20:143" ht="10.5" customHeight="1">
      <c r="T881" s="156"/>
      <c r="AZ881" s="156"/>
      <c r="BA881" s="156"/>
      <c r="BB881" s="156"/>
      <c r="BC881" s="156"/>
      <c r="BD881" s="156"/>
      <c r="BE881" s="156"/>
      <c r="BF881" s="156"/>
      <c r="BG881" s="156"/>
      <c r="BH881" s="156"/>
      <c r="BI881" s="156"/>
      <c r="BJ881" s="156"/>
      <c r="BK881" s="156"/>
      <c r="BL881" s="156"/>
      <c r="BM881" s="156"/>
      <c r="BN881" s="156"/>
      <c r="BO881" s="156"/>
      <c r="BP881" s="156"/>
      <c r="BQ881" s="156"/>
      <c r="BR881" s="156"/>
      <c r="BS881" s="156"/>
      <c r="BT881" s="156"/>
      <c r="BU881" s="156"/>
      <c r="BV881" s="156"/>
      <c r="BW881" s="156"/>
      <c r="BX881" s="156"/>
      <c r="BY881" s="156"/>
      <c r="BZ881" s="156"/>
      <c r="CA881" s="156"/>
      <c r="CB881" s="156"/>
      <c r="CC881" s="156"/>
      <c r="CD881" s="156"/>
      <c r="CE881" s="156"/>
      <c r="CF881" s="156"/>
      <c r="CG881" s="156"/>
      <c r="CH881" s="156"/>
      <c r="CI881" s="156"/>
      <c r="CJ881" s="156"/>
      <c r="CK881" s="156"/>
      <c r="CL881" s="156"/>
      <c r="CM881" s="156"/>
      <c r="CN881" s="156"/>
      <c r="CO881" s="156"/>
      <c r="CP881" s="156"/>
      <c r="CQ881" s="156"/>
      <c r="CR881" s="156"/>
      <c r="CS881" s="156"/>
      <c r="CT881" s="156"/>
      <c r="CU881" s="156"/>
      <c r="CV881" s="156"/>
      <c r="CW881" s="156"/>
      <c r="CX881" s="156"/>
      <c r="CY881" s="156"/>
      <c r="CZ881" s="156"/>
      <c r="DA881" s="156"/>
      <c r="DB881" s="156"/>
      <c r="DC881" s="156"/>
      <c r="DD881" s="156"/>
      <c r="DE881" s="156"/>
      <c r="DF881" s="156"/>
      <c r="DG881" s="156"/>
      <c r="DH881" s="156"/>
      <c r="DI881" s="156"/>
      <c r="DJ881" s="156"/>
      <c r="DK881" s="156"/>
      <c r="DL881" s="156"/>
      <c r="DM881" s="156"/>
      <c r="DN881" s="156"/>
      <c r="DO881" s="156"/>
      <c r="DP881" s="156"/>
      <c r="DQ881" s="156"/>
      <c r="DR881" s="156"/>
      <c r="DS881" s="156"/>
      <c r="DT881" s="156"/>
      <c r="DU881" s="156"/>
      <c r="DV881" s="156"/>
      <c r="DW881" s="156"/>
      <c r="DX881" s="156"/>
      <c r="DY881" s="156"/>
      <c r="DZ881" s="156"/>
      <c r="EA881" s="156"/>
      <c r="EB881" s="156"/>
      <c r="EC881" s="156"/>
      <c r="ED881" s="156"/>
      <c r="EE881" s="156"/>
      <c r="EF881" s="156"/>
      <c r="EG881" s="156"/>
      <c r="EH881" s="156"/>
      <c r="EI881" s="156"/>
      <c r="EJ881" s="156"/>
      <c r="EK881" s="156"/>
      <c r="EL881" s="156"/>
      <c r="EM881" s="156"/>
    </row>
    <row r="882" spans="20:143" ht="10.5" customHeight="1">
      <c r="T882" s="156"/>
      <c r="AZ882" s="156"/>
      <c r="BA882" s="156"/>
      <c r="BB882" s="156"/>
      <c r="BC882" s="156"/>
      <c r="BD882" s="156"/>
      <c r="BE882" s="156"/>
      <c r="BF882" s="156"/>
      <c r="BG882" s="156"/>
      <c r="BH882" s="156"/>
      <c r="BI882" s="156"/>
      <c r="BJ882" s="156"/>
      <c r="BK882" s="156"/>
      <c r="BL882" s="156"/>
      <c r="BM882" s="156"/>
      <c r="BN882" s="156"/>
      <c r="BO882" s="156"/>
      <c r="BP882" s="156"/>
      <c r="BQ882" s="156"/>
      <c r="BR882" s="156"/>
      <c r="BS882" s="156"/>
      <c r="BT882" s="156"/>
      <c r="BU882" s="156"/>
      <c r="BV882" s="156"/>
      <c r="BW882" s="156"/>
      <c r="BX882" s="156"/>
      <c r="BY882" s="156"/>
      <c r="BZ882" s="156"/>
      <c r="CA882" s="156"/>
      <c r="CB882" s="156"/>
      <c r="CC882" s="156"/>
      <c r="CD882" s="156"/>
      <c r="CE882" s="156"/>
      <c r="CF882" s="156"/>
      <c r="CG882" s="156"/>
      <c r="CH882" s="156"/>
      <c r="CI882" s="156"/>
      <c r="CJ882" s="156"/>
      <c r="CK882" s="156"/>
      <c r="CL882" s="156"/>
      <c r="CM882" s="156"/>
      <c r="CN882" s="156"/>
      <c r="CO882" s="156"/>
      <c r="CP882" s="156"/>
      <c r="CQ882" s="156"/>
      <c r="CR882" s="156"/>
      <c r="CS882" s="156"/>
      <c r="CT882" s="156"/>
      <c r="CU882" s="156"/>
      <c r="CV882" s="156"/>
      <c r="CW882" s="156"/>
      <c r="CX882" s="156"/>
      <c r="CY882" s="156"/>
      <c r="CZ882" s="156"/>
      <c r="DA882" s="156"/>
      <c r="DB882" s="156"/>
      <c r="DC882" s="156"/>
      <c r="DD882" s="156"/>
      <c r="DE882" s="156"/>
      <c r="DF882" s="156"/>
      <c r="DG882" s="156"/>
      <c r="DH882" s="156"/>
      <c r="DI882" s="156"/>
      <c r="DJ882" s="156"/>
      <c r="DK882" s="156"/>
      <c r="DL882" s="156"/>
      <c r="DM882" s="156"/>
      <c r="DN882" s="156"/>
      <c r="DO882" s="156"/>
      <c r="DP882" s="156"/>
      <c r="DQ882" s="156"/>
      <c r="DR882" s="156"/>
      <c r="DS882" s="156"/>
      <c r="DT882" s="156"/>
      <c r="DU882" s="156"/>
      <c r="DV882" s="156"/>
      <c r="DW882" s="156"/>
      <c r="DX882" s="156"/>
      <c r="DY882" s="156"/>
      <c r="DZ882" s="156"/>
      <c r="EA882" s="156"/>
      <c r="EB882" s="156"/>
      <c r="EC882" s="156"/>
      <c r="ED882" s="156"/>
      <c r="EE882" s="156"/>
      <c r="EF882" s="156"/>
      <c r="EG882" s="156"/>
      <c r="EH882" s="156"/>
      <c r="EI882" s="156"/>
      <c r="EJ882" s="156"/>
      <c r="EK882" s="156"/>
      <c r="EL882" s="156"/>
      <c r="EM882" s="156"/>
    </row>
    <row r="883" spans="20:143" ht="10.5" customHeight="1">
      <c r="T883" s="156"/>
      <c r="AZ883" s="156"/>
      <c r="BA883" s="156"/>
      <c r="BB883" s="156"/>
      <c r="BC883" s="156"/>
      <c r="BD883" s="156"/>
      <c r="BE883" s="156"/>
      <c r="BF883" s="156"/>
      <c r="BG883" s="156"/>
      <c r="BH883" s="156"/>
      <c r="BI883" s="156"/>
      <c r="BJ883" s="156"/>
      <c r="BK883" s="156"/>
      <c r="BL883" s="156"/>
      <c r="BM883" s="156"/>
      <c r="BN883" s="156"/>
      <c r="BO883" s="156"/>
      <c r="BP883" s="156"/>
      <c r="BQ883" s="156"/>
      <c r="BR883" s="156"/>
      <c r="BS883" s="156"/>
      <c r="BT883" s="156"/>
      <c r="BU883" s="156"/>
      <c r="BV883" s="156"/>
      <c r="BW883" s="156"/>
      <c r="BX883" s="156"/>
      <c r="BY883" s="156"/>
      <c r="BZ883" s="156"/>
      <c r="CA883" s="156"/>
      <c r="CB883" s="156"/>
      <c r="CC883" s="156"/>
      <c r="CD883" s="156"/>
      <c r="CE883" s="156"/>
      <c r="CF883" s="156"/>
      <c r="CG883" s="156"/>
      <c r="CH883" s="156"/>
      <c r="CI883" s="156"/>
      <c r="CJ883" s="156"/>
      <c r="CK883" s="156"/>
      <c r="CL883" s="156"/>
      <c r="CM883" s="156"/>
      <c r="CN883" s="156"/>
      <c r="CO883" s="156"/>
      <c r="CP883" s="156"/>
      <c r="CQ883" s="156"/>
      <c r="CR883" s="156"/>
      <c r="CS883" s="156"/>
      <c r="CT883" s="156"/>
      <c r="CU883" s="156"/>
      <c r="CV883" s="156"/>
      <c r="CW883" s="156"/>
      <c r="CX883" s="156"/>
      <c r="CY883" s="156"/>
      <c r="CZ883" s="156"/>
      <c r="DA883" s="156"/>
      <c r="DB883" s="156"/>
      <c r="DC883" s="156"/>
      <c r="DD883" s="156"/>
      <c r="DE883" s="156"/>
      <c r="DF883" s="156"/>
      <c r="DG883" s="156"/>
      <c r="DH883" s="156"/>
      <c r="DI883" s="156"/>
      <c r="DJ883" s="156"/>
      <c r="DK883" s="156"/>
      <c r="DL883" s="156"/>
      <c r="DM883" s="156"/>
      <c r="DN883" s="156"/>
      <c r="DO883" s="156"/>
      <c r="DP883" s="156"/>
      <c r="DQ883" s="156"/>
      <c r="DR883" s="156"/>
      <c r="DS883" s="156"/>
      <c r="DT883" s="156"/>
      <c r="DU883" s="156"/>
      <c r="DV883" s="156"/>
      <c r="DW883" s="156"/>
      <c r="DX883" s="156"/>
      <c r="DY883" s="156"/>
      <c r="DZ883" s="156"/>
      <c r="EA883" s="156"/>
      <c r="EB883" s="156"/>
      <c r="EC883" s="156"/>
      <c r="ED883" s="156"/>
      <c r="EE883" s="156"/>
      <c r="EF883" s="156"/>
      <c r="EG883" s="156"/>
      <c r="EH883" s="156"/>
      <c r="EI883" s="156"/>
      <c r="EJ883" s="156"/>
      <c r="EK883" s="156"/>
      <c r="EL883" s="156"/>
      <c r="EM883" s="156"/>
    </row>
    <row r="884" spans="20:143" ht="10.5" customHeight="1">
      <c r="T884" s="156"/>
      <c r="AZ884" s="156"/>
      <c r="BA884" s="156"/>
      <c r="BB884" s="156"/>
      <c r="BC884" s="156"/>
      <c r="BD884" s="156"/>
      <c r="BE884" s="156"/>
      <c r="BF884" s="156"/>
      <c r="BG884" s="156"/>
      <c r="BH884" s="156"/>
      <c r="BI884" s="156"/>
      <c r="BJ884" s="156"/>
      <c r="BK884" s="156"/>
      <c r="BL884" s="156"/>
      <c r="BM884" s="156"/>
      <c r="BN884" s="156"/>
      <c r="BO884" s="156"/>
      <c r="BP884" s="156"/>
      <c r="BQ884" s="156"/>
      <c r="BR884" s="156"/>
      <c r="BS884" s="156"/>
      <c r="BT884" s="156"/>
      <c r="BU884" s="156"/>
      <c r="BV884" s="156"/>
      <c r="BW884" s="156"/>
      <c r="BX884" s="156"/>
      <c r="BY884" s="156"/>
      <c r="BZ884" s="156"/>
      <c r="CA884" s="156"/>
      <c r="CB884" s="156"/>
      <c r="CC884" s="156"/>
      <c r="CD884" s="156"/>
      <c r="CE884" s="156"/>
      <c r="CF884" s="156"/>
      <c r="CG884" s="156"/>
      <c r="CH884" s="156"/>
      <c r="CI884" s="156"/>
      <c r="CJ884" s="156"/>
      <c r="CK884" s="156"/>
      <c r="CL884" s="156"/>
      <c r="CM884" s="156"/>
      <c r="CN884" s="156"/>
      <c r="CO884" s="156"/>
      <c r="CP884" s="156"/>
      <c r="CQ884" s="156"/>
      <c r="CR884" s="156"/>
      <c r="CS884" s="156"/>
      <c r="CT884" s="156"/>
      <c r="CU884" s="156"/>
      <c r="CV884" s="156"/>
      <c r="CW884" s="156"/>
      <c r="CX884" s="156"/>
      <c r="CY884" s="156"/>
      <c r="CZ884" s="156"/>
      <c r="DA884" s="156"/>
      <c r="DB884" s="156"/>
      <c r="DC884" s="156"/>
      <c r="DD884" s="156"/>
      <c r="DE884" s="156"/>
      <c r="DF884" s="156"/>
      <c r="DG884" s="156"/>
      <c r="DH884" s="156"/>
      <c r="DI884" s="156"/>
      <c r="DJ884" s="156"/>
      <c r="DK884" s="156"/>
      <c r="DL884" s="156"/>
      <c r="DM884" s="156"/>
      <c r="DN884" s="156"/>
      <c r="DO884" s="156"/>
      <c r="DP884" s="156"/>
      <c r="DQ884" s="156"/>
      <c r="DR884" s="156"/>
      <c r="DS884" s="156"/>
      <c r="DT884" s="156"/>
      <c r="DU884" s="156"/>
      <c r="DV884" s="156"/>
      <c r="DW884" s="156"/>
      <c r="DX884" s="156"/>
      <c r="DY884" s="156"/>
      <c r="DZ884" s="156"/>
      <c r="EA884" s="156"/>
      <c r="EB884" s="156"/>
      <c r="EC884" s="156"/>
      <c r="ED884" s="156"/>
      <c r="EE884" s="156"/>
      <c r="EF884" s="156"/>
      <c r="EG884" s="156"/>
      <c r="EH884" s="156"/>
      <c r="EI884" s="156"/>
      <c r="EJ884" s="156"/>
      <c r="EK884" s="156"/>
      <c r="EL884" s="156"/>
      <c r="EM884" s="156"/>
    </row>
    <row r="885" spans="20:143" ht="10.5" customHeight="1">
      <c r="T885" s="156"/>
      <c r="AZ885" s="156"/>
      <c r="BA885" s="156"/>
      <c r="BB885" s="156"/>
      <c r="BC885" s="156"/>
      <c r="BD885" s="156"/>
      <c r="BE885" s="156"/>
      <c r="BF885" s="156"/>
      <c r="BG885" s="156"/>
      <c r="BH885" s="156"/>
      <c r="BI885" s="156"/>
      <c r="BJ885" s="156"/>
      <c r="BK885" s="156"/>
      <c r="BL885" s="156"/>
      <c r="BM885" s="156"/>
      <c r="BN885" s="156"/>
      <c r="BO885" s="156"/>
      <c r="BP885" s="156"/>
      <c r="BQ885" s="156"/>
      <c r="BR885" s="156"/>
      <c r="BS885" s="156"/>
      <c r="BT885" s="156"/>
      <c r="BU885" s="156"/>
      <c r="BV885" s="156"/>
      <c r="BW885" s="156"/>
      <c r="BX885" s="156"/>
      <c r="BY885" s="156"/>
      <c r="BZ885" s="156"/>
      <c r="CA885" s="156"/>
      <c r="CB885" s="156"/>
      <c r="CC885" s="156"/>
      <c r="CD885" s="156"/>
      <c r="CE885" s="156"/>
      <c r="CF885" s="156"/>
      <c r="CG885" s="156"/>
      <c r="CH885" s="156"/>
      <c r="CI885" s="156"/>
      <c r="CJ885" s="156"/>
      <c r="CK885" s="156"/>
      <c r="CL885" s="156"/>
      <c r="CM885" s="156"/>
      <c r="CN885" s="156"/>
      <c r="CO885" s="156"/>
      <c r="CP885" s="156"/>
      <c r="CQ885" s="156"/>
      <c r="CR885" s="156"/>
      <c r="CS885" s="156"/>
      <c r="CT885" s="156"/>
      <c r="CU885" s="156"/>
      <c r="CV885" s="156"/>
      <c r="CW885" s="156"/>
      <c r="CX885" s="156"/>
      <c r="CY885" s="156"/>
      <c r="CZ885" s="156"/>
      <c r="DA885" s="156"/>
      <c r="DB885" s="156"/>
      <c r="DC885" s="156"/>
      <c r="DD885" s="156"/>
      <c r="DE885" s="156"/>
      <c r="DF885" s="156"/>
      <c r="DG885" s="156"/>
      <c r="DH885" s="156"/>
      <c r="DI885" s="156"/>
      <c r="DJ885" s="156"/>
      <c r="DK885" s="156"/>
      <c r="DL885" s="156"/>
      <c r="DM885" s="156"/>
      <c r="DN885" s="156"/>
      <c r="DO885" s="156"/>
      <c r="DP885" s="156"/>
      <c r="DQ885" s="156"/>
      <c r="DR885" s="156"/>
      <c r="DS885" s="156"/>
      <c r="DT885" s="156"/>
      <c r="DU885" s="156"/>
      <c r="DV885" s="156"/>
      <c r="DW885" s="156"/>
      <c r="DX885" s="156"/>
      <c r="DY885" s="156"/>
      <c r="DZ885" s="156"/>
      <c r="EA885" s="156"/>
      <c r="EB885" s="156"/>
      <c r="EC885" s="156"/>
      <c r="ED885" s="156"/>
      <c r="EE885" s="156"/>
      <c r="EF885" s="156"/>
      <c r="EG885" s="156"/>
      <c r="EH885" s="156"/>
      <c r="EI885" s="156"/>
      <c r="EJ885" s="156"/>
      <c r="EK885" s="156"/>
      <c r="EL885" s="156"/>
      <c r="EM885" s="156"/>
    </row>
    <row r="886" spans="20:143" ht="10.5" customHeight="1">
      <c r="T886" s="156"/>
      <c r="AZ886" s="156"/>
      <c r="BA886" s="156"/>
      <c r="BB886" s="156"/>
      <c r="BC886" s="156"/>
      <c r="BD886" s="156"/>
      <c r="BE886" s="156"/>
      <c r="BF886" s="156"/>
      <c r="BG886" s="156"/>
      <c r="BH886" s="156"/>
      <c r="BI886" s="156"/>
      <c r="BJ886" s="156"/>
      <c r="BK886" s="156"/>
      <c r="BL886" s="156"/>
      <c r="BM886" s="156"/>
      <c r="BN886" s="156"/>
      <c r="BO886" s="156"/>
      <c r="BP886" s="156"/>
      <c r="BQ886" s="156"/>
      <c r="BR886" s="156"/>
      <c r="BS886" s="156"/>
      <c r="BT886" s="156"/>
      <c r="BU886" s="156"/>
      <c r="BV886" s="156"/>
      <c r="BW886" s="156"/>
      <c r="BX886" s="156"/>
      <c r="BY886" s="156"/>
      <c r="BZ886" s="156"/>
      <c r="CA886" s="156"/>
      <c r="CB886" s="156"/>
      <c r="CC886" s="156"/>
      <c r="CD886" s="156"/>
      <c r="CE886" s="156"/>
      <c r="CF886" s="156"/>
      <c r="CG886" s="156"/>
      <c r="CH886" s="156"/>
      <c r="CI886" s="156"/>
      <c r="CJ886" s="156"/>
      <c r="CK886" s="156"/>
      <c r="CL886" s="156"/>
      <c r="CM886" s="156"/>
      <c r="CN886" s="156"/>
      <c r="CO886" s="156"/>
      <c r="CP886" s="156"/>
      <c r="CQ886" s="156"/>
      <c r="CR886" s="156"/>
      <c r="CS886" s="156"/>
      <c r="CT886" s="156"/>
      <c r="CU886" s="156"/>
      <c r="CV886" s="156"/>
      <c r="CW886" s="156"/>
      <c r="CX886" s="156"/>
      <c r="CY886" s="156"/>
      <c r="CZ886" s="156"/>
      <c r="DA886" s="156"/>
      <c r="DB886" s="156"/>
      <c r="DC886" s="156"/>
      <c r="DD886" s="156"/>
      <c r="DE886" s="156"/>
      <c r="DF886" s="156"/>
      <c r="DG886" s="156"/>
      <c r="DH886" s="156"/>
      <c r="DI886" s="156"/>
      <c r="DJ886" s="156"/>
      <c r="DK886" s="156"/>
      <c r="DL886" s="156"/>
      <c r="DM886" s="156"/>
      <c r="DN886" s="156"/>
      <c r="DO886" s="156"/>
      <c r="DP886" s="156"/>
      <c r="DQ886" s="156"/>
      <c r="DR886" s="156"/>
      <c r="DS886" s="156"/>
      <c r="DT886" s="156"/>
      <c r="DU886" s="156"/>
      <c r="DV886" s="156"/>
      <c r="DW886" s="156"/>
      <c r="DX886" s="156"/>
      <c r="DY886" s="156"/>
      <c r="DZ886" s="156"/>
      <c r="EA886" s="156"/>
      <c r="EB886" s="156"/>
      <c r="EC886" s="156"/>
      <c r="ED886" s="156"/>
      <c r="EE886" s="156"/>
      <c r="EF886" s="156"/>
      <c r="EG886" s="156"/>
      <c r="EH886" s="156"/>
      <c r="EI886" s="156"/>
      <c r="EJ886" s="156"/>
      <c r="EK886" s="156"/>
      <c r="EL886" s="156"/>
      <c r="EM886" s="156"/>
    </row>
    <row r="887" spans="20:143" ht="10.5" customHeight="1">
      <c r="T887" s="156"/>
      <c r="AZ887" s="156"/>
      <c r="BA887" s="156"/>
      <c r="BB887" s="156"/>
      <c r="BC887" s="156"/>
      <c r="BD887" s="156"/>
      <c r="BE887" s="156"/>
      <c r="BF887" s="156"/>
      <c r="BG887" s="156"/>
      <c r="BH887" s="156"/>
      <c r="BI887" s="156"/>
      <c r="BJ887" s="156"/>
      <c r="BK887" s="156"/>
      <c r="BL887" s="156"/>
      <c r="BM887" s="156"/>
      <c r="BN887" s="156"/>
      <c r="BO887" s="156"/>
      <c r="BP887" s="156"/>
      <c r="BQ887" s="156"/>
      <c r="BR887" s="156"/>
      <c r="BS887" s="156"/>
      <c r="BT887" s="156"/>
      <c r="BU887" s="156"/>
      <c r="BV887" s="156"/>
      <c r="BW887" s="156"/>
      <c r="BX887" s="156"/>
      <c r="BY887" s="156"/>
      <c r="BZ887" s="156"/>
      <c r="CA887" s="156"/>
      <c r="CB887" s="156"/>
      <c r="CC887" s="156"/>
      <c r="CD887" s="156"/>
      <c r="CE887" s="156"/>
      <c r="CF887" s="156"/>
      <c r="CG887" s="156"/>
      <c r="CH887" s="156"/>
      <c r="CI887" s="156"/>
      <c r="CJ887" s="156"/>
      <c r="CK887" s="156"/>
      <c r="CL887" s="156"/>
      <c r="CM887" s="156"/>
      <c r="CN887" s="156"/>
      <c r="CO887" s="156"/>
      <c r="CP887" s="156"/>
      <c r="CQ887" s="156"/>
      <c r="CR887" s="156"/>
      <c r="CS887" s="156"/>
      <c r="CT887" s="156"/>
      <c r="CU887" s="156"/>
      <c r="CV887" s="156"/>
      <c r="CW887" s="156"/>
      <c r="CX887" s="156"/>
      <c r="CY887" s="156"/>
      <c r="CZ887" s="156"/>
      <c r="DA887" s="156"/>
      <c r="DB887" s="156"/>
      <c r="DC887" s="156"/>
      <c r="DD887" s="156"/>
      <c r="DE887" s="156"/>
      <c r="DF887" s="156"/>
      <c r="DG887" s="156"/>
      <c r="DH887" s="156"/>
      <c r="DI887" s="156"/>
      <c r="DJ887" s="156"/>
      <c r="DK887" s="156"/>
      <c r="DL887" s="156"/>
      <c r="DM887" s="156"/>
      <c r="DN887" s="156"/>
      <c r="DO887" s="156"/>
      <c r="DP887" s="156"/>
      <c r="DQ887" s="156"/>
      <c r="DR887" s="156"/>
      <c r="DS887" s="156"/>
      <c r="DT887" s="156"/>
      <c r="DU887" s="156"/>
      <c r="DV887" s="156"/>
      <c r="DW887" s="156"/>
      <c r="DX887" s="156"/>
      <c r="DY887" s="156"/>
      <c r="DZ887" s="156"/>
      <c r="EA887" s="156"/>
      <c r="EB887" s="156"/>
      <c r="EC887" s="156"/>
      <c r="ED887" s="156"/>
      <c r="EE887" s="156"/>
      <c r="EF887" s="156"/>
      <c r="EG887" s="156"/>
      <c r="EH887" s="156"/>
      <c r="EI887" s="156"/>
      <c r="EJ887" s="156"/>
      <c r="EK887" s="156"/>
      <c r="EL887" s="156"/>
      <c r="EM887" s="156"/>
    </row>
    <row r="888" spans="20:143" ht="10.5" customHeight="1">
      <c r="T888" s="156"/>
      <c r="AZ888" s="156"/>
      <c r="BA888" s="156"/>
      <c r="BB888" s="156"/>
      <c r="BC888" s="156"/>
      <c r="BD888" s="156"/>
      <c r="BE888" s="156"/>
      <c r="BF888" s="156"/>
      <c r="BG888" s="156"/>
      <c r="BH888" s="156"/>
      <c r="BI888" s="156"/>
      <c r="BJ888" s="156"/>
      <c r="BK888" s="156"/>
      <c r="BL888" s="156"/>
      <c r="BM888" s="156"/>
      <c r="BN888" s="156"/>
      <c r="BO888" s="156"/>
      <c r="BP888" s="156"/>
      <c r="BQ888" s="156"/>
      <c r="BR888" s="156"/>
      <c r="BS888" s="156"/>
      <c r="BT888" s="156"/>
      <c r="BU888" s="156"/>
      <c r="BV888" s="156"/>
      <c r="BW888" s="156"/>
      <c r="BX888" s="156"/>
      <c r="BY888" s="156"/>
      <c r="BZ888" s="156"/>
      <c r="CA888" s="156"/>
      <c r="CB888" s="156"/>
      <c r="CC888" s="156"/>
      <c r="CD888" s="156"/>
      <c r="CE888" s="156"/>
      <c r="CF888" s="156"/>
      <c r="CG888" s="156"/>
      <c r="CH888" s="156"/>
      <c r="CI888" s="156"/>
      <c r="CJ888" s="156"/>
      <c r="CK888" s="156"/>
      <c r="CL888" s="156"/>
      <c r="CM888" s="156"/>
      <c r="CN888" s="156"/>
      <c r="CO888" s="156"/>
      <c r="CP888" s="156"/>
      <c r="CQ888" s="156"/>
      <c r="CR888" s="156"/>
      <c r="CS888" s="156"/>
      <c r="CT888" s="156"/>
      <c r="CU888" s="156"/>
      <c r="CV888" s="156"/>
      <c r="CW888" s="156"/>
      <c r="CX888" s="156"/>
      <c r="CY888" s="156"/>
      <c r="CZ888" s="156"/>
      <c r="DA888" s="156"/>
      <c r="DB888" s="156"/>
      <c r="DC888" s="156"/>
      <c r="DD888" s="156"/>
      <c r="DE888" s="156"/>
      <c r="DF888" s="156"/>
      <c r="DG888" s="156"/>
      <c r="DH888" s="156"/>
      <c r="DI888" s="156"/>
      <c r="DJ888" s="156"/>
      <c r="DK888" s="156"/>
      <c r="DL888" s="156"/>
      <c r="DM888" s="156"/>
      <c r="DN888" s="156"/>
      <c r="DO888" s="156"/>
      <c r="DP888" s="156"/>
      <c r="DQ888" s="156"/>
      <c r="DR888" s="156"/>
      <c r="DS888" s="156"/>
      <c r="DT888" s="156"/>
      <c r="DU888" s="156"/>
      <c r="DV888" s="156"/>
      <c r="DW888" s="156"/>
      <c r="DX888" s="156"/>
      <c r="DY888" s="156"/>
      <c r="DZ888" s="156"/>
      <c r="EA888" s="156"/>
      <c r="EB888" s="156"/>
      <c r="EC888" s="156"/>
      <c r="ED888" s="156"/>
      <c r="EE888" s="156"/>
      <c r="EF888" s="156"/>
      <c r="EG888" s="156"/>
      <c r="EH888" s="156"/>
      <c r="EI888" s="156"/>
      <c r="EJ888" s="156"/>
      <c r="EK888" s="156"/>
      <c r="EL888" s="156"/>
      <c r="EM888" s="156"/>
    </row>
    <row r="889" spans="20:143" ht="10.5" customHeight="1">
      <c r="T889" s="156"/>
      <c r="AZ889" s="156"/>
      <c r="BA889" s="156"/>
      <c r="BB889" s="156"/>
      <c r="BC889" s="156"/>
      <c r="BD889" s="156"/>
      <c r="BE889" s="156"/>
      <c r="BF889" s="156"/>
      <c r="BG889" s="156"/>
      <c r="BH889" s="156"/>
      <c r="BI889" s="156"/>
      <c r="BJ889" s="156"/>
      <c r="BK889" s="156"/>
      <c r="BL889" s="156"/>
      <c r="BM889" s="156"/>
      <c r="BN889" s="156"/>
      <c r="BO889" s="156"/>
      <c r="BP889" s="156"/>
      <c r="BQ889" s="156"/>
      <c r="BR889" s="156"/>
      <c r="BS889" s="156"/>
      <c r="BT889" s="156"/>
      <c r="BU889" s="156"/>
      <c r="BV889" s="156"/>
      <c r="BW889" s="156"/>
      <c r="BX889" s="156"/>
      <c r="BY889" s="156"/>
      <c r="BZ889" s="156"/>
      <c r="CA889" s="156"/>
      <c r="CB889" s="156"/>
      <c r="CC889" s="156"/>
      <c r="CD889" s="156"/>
      <c r="CE889" s="156"/>
      <c r="CF889" s="156"/>
      <c r="CG889" s="156"/>
      <c r="CH889" s="156"/>
      <c r="CI889" s="156"/>
      <c r="CJ889" s="156"/>
      <c r="CK889" s="156"/>
      <c r="CL889" s="156"/>
      <c r="CM889" s="156"/>
      <c r="CN889" s="156"/>
      <c r="CO889" s="156"/>
      <c r="CP889" s="156"/>
      <c r="CQ889" s="156"/>
      <c r="CR889" s="156"/>
      <c r="CS889" s="156"/>
      <c r="CT889" s="156"/>
      <c r="CU889" s="156"/>
      <c r="CV889" s="156"/>
      <c r="CW889" s="156"/>
      <c r="CX889" s="156"/>
      <c r="CY889" s="156"/>
      <c r="CZ889" s="156"/>
      <c r="DA889" s="156"/>
      <c r="DB889" s="156"/>
      <c r="DC889" s="156"/>
      <c r="DD889" s="156"/>
      <c r="DE889" s="156"/>
      <c r="DF889" s="156"/>
      <c r="DG889" s="156"/>
      <c r="DH889" s="156"/>
      <c r="DI889" s="156"/>
      <c r="DJ889" s="156"/>
      <c r="DK889" s="156"/>
      <c r="DL889" s="156"/>
      <c r="DM889" s="156"/>
      <c r="DN889" s="156"/>
      <c r="DO889" s="156"/>
      <c r="DP889" s="156"/>
      <c r="DQ889" s="156"/>
      <c r="DR889" s="156"/>
      <c r="DS889" s="156"/>
      <c r="DT889" s="156"/>
      <c r="DU889" s="156"/>
      <c r="DV889" s="156"/>
      <c r="DW889" s="156"/>
      <c r="DX889" s="156"/>
      <c r="DY889" s="156"/>
      <c r="DZ889" s="156"/>
      <c r="EA889" s="156"/>
      <c r="EB889" s="156"/>
      <c r="EC889" s="156"/>
      <c r="ED889" s="156"/>
      <c r="EE889" s="156"/>
      <c r="EF889" s="156"/>
      <c r="EG889" s="156"/>
      <c r="EH889" s="156"/>
      <c r="EI889" s="156"/>
      <c r="EJ889" s="156"/>
      <c r="EK889" s="156"/>
      <c r="EL889" s="156"/>
      <c r="EM889" s="156"/>
    </row>
    <row r="890" spans="20:143" ht="10.5" customHeight="1">
      <c r="T890" s="156"/>
      <c r="AZ890" s="156"/>
      <c r="BA890" s="156"/>
      <c r="BB890" s="156"/>
      <c r="BC890" s="156"/>
      <c r="BD890" s="156"/>
      <c r="BE890" s="156"/>
      <c r="BF890" s="156"/>
      <c r="BG890" s="156"/>
      <c r="BH890" s="156"/>
      <c r="BI890" s="156"/>
      <c r="BJ890" s="156"/>
      <c r="BK890" s="156"/>
      <c r="BL890" s="156"/>
      <c r="BM890" s="156"/>
      <c r="BN890" s="156"/>
      <c r="BO890" s="156"/>
      <c r="BP890" s="156"/>
      <c r="BQ890" s="156"/>
      <c r="BR890" s="156"/>
      <c r="BS890" s="156"/>
      <c r="BT890" s="156"/>
      <c r="BU890" s="156"/>
      <c r="BV890" s="156"/>
      <c r="BW890" s="156"/>
      <c r="BX890" s="156"/>
      <c r="BY890" s="156"/>
      <c r="BZ890" s="156"/>
      <c r="CA890" s="156"/>
      <c r="CB890" s="156"/>
      <c r="CC890" s="156"/>
      <c r="CD890" s="156"/>
      <c r="CE890" s="156"/>
      <c r="CF890" s="156"/>
      <c r="CG890" s="156"/>
      <c r="CH890" s="156"/>
      <c r="CI890" s="156"/>
      <c r="CJ890" s="156"/>
      <c r="CK890" s="156"/>
      <c r="CL890" s="156"/>
      <c r="CM890" s="156"/>
      <c r="CN890" s="156"/>
      <c r="CO890" s="156"/>
      <c r="CP890" s="156"/>
      <c r="CQ890" s="156"/>
      <c r="CR890" s="156"/>
      <c r="CS890" s="156"/>
      <c r="CT890" s="156"/>
      <c r="CU890" s="156"/>
      <c r="CV890" s="156"/>
      <c r="CW890" s="156"/>
      <c r="CX890" s="156"/>
      <c r="CY890" s="156"/>
      <c r="CZ890" s="156"/>
      <c r="DA890" s="156"/>
      <c r="DB890" s="156"/>
      <c r="DC890" s="156"/>
      <c r="DD890" s="156"/>
      <c r="DE890" s="156"/>
      <c r="DF890" s="156"/>
      <c r="DG890" s="156"/>
      <c r="DH890" s="156"/>
      <c r="DI890" s="156"/>
      <c r="DJ890" s="156"/>
      <c r="DK890" s="156"/>
      <c r="DL890" s="156"/>
      <c r="DM890" s="156"/>
      <c r="DN890" s="156"/>
      <c r="DO890" s="156"/>
      <c r="DP890" s="156"/>
      <c r="DQ890" s="156"/>
      <c r="DR890" s="156"/>
      <c r="DS890" s="156"/>
      <c r="DT890" s="156"/>
      <c r="DU890" s="156"/>
      <c r="DV890" s="156"/>
      <c r="DW890" s="156"/>
      <c r="DX890" s="156"/>
      <c r="DY890" s="156"/>
      <c r="DZ890" s="156"/>
      <c r="EA890" s="156"/>
      <c r="EB890" s="156"/>
      <c r="EC890" s="156"/>
      <c r="ED890" s="156"/>
      <c r="EE890" s="156"/>
      <c r="EF890" s="156"/>
      <c r="EG890" s="156"/>
      <c r="EH890" s="156"/>
      <c r="EI890" s="156"/>
      <c r="EJ890" s="156"/>
      <c r="EK890" s="156"/>
      <c r="EL890" s="156"/>
      <c r="EM890" s="156"/>
    </row>
    <row r="891" spans="20:143" ht="10.5" customHeight="1">
      <c r="T891" s="156"/>
      <c r="AZ891" s="156"/>
      <c r="BA891" s="156"/>
      <c r="BB891" s="156"/>
      <c r="BC891" s="156"/>
      <c r="BD891" s="156"/>
      <c r="BE891" s="156"/>
      <c r="BF891" s="156"/>
      <c r="BG891" s="156"/>
      <c r="BH891" s="156"/>
      <c r="BI891" s="156"/>
      <c r="BJ891" s="156"/>
      <c r="BK891" s="156"/>
      <c r="BL891" s="156"/>
      <c r="BM891" s="156"/>
      <c r="BN891" s="156"/>
      <c r="BO891" s="156"/>
      <c r="BP891" s="156"/>
      <c r="BQ891" s="156"/>
      <c r="BR891" s="156"/>
      <c r="BS891" s="156"/>
      <c r="BT891" s="156"/>
      <c r="BU891" s="156"/>
      <c r="BV891" s="156"/>
      <c r="BW891" s="156"/>
      <c r="BX891" s="156"/>
      <c r="BY891" s="156"/>
      <c r="BZ891" s="156"/>
      <c r="CA891" s="156"/>
      <c r="CB891" s="156"/>
      <c r="CC891" s="156"/>
      <c r="CD891" s="156"/>
      <c r="CE891" s="156"/>
      <c r="CF891" s="156"/>
      <c r="CG891" s="156"/>
      <c r="CH891" s="156"/>
      <c r="CI891" s="156"/>
      <c r="CJ891" s="156"/>
      <c r="CK891" s="156"/>
      <c r="CL891" s="156"/>
      <c r="CM891" s="156"/>
      <c r="CN891" s="156"/>
      <c r="CO891" s="156"/>
      <c r="CP891" s="156"/>
      <c r="CQ891" s="156"/>
      <c r="CR891" s="156"/>
      <c r="CS891" s="156"/>
      <c r="CT891" s="156"/>
      <c r="CU891" s="156"/>
      <c r="CV891" s="156"/>
      <c r="CW891" s="156"/>
      <c r="CX891" s="156"/>
      <c r="CY891" s="156"/>
      <c r="CZ891" s="156"/>
      <c r="DA891" s="156"/>
      <c r="DB891" s="156"/>
      <c r="DC891" s="156"/>
      <c r="DD891" s="156"/>
      <c r="DE891" s="156"/>
      <c r="DF891" s="156"/>
      <c r="DG891" s="156"/>
      <c r="DH891" s="156"/>
      <c r="DI891" s="156"/>
      <c r="DJ891" s="156"/>
      <c r="DK891" s="156"/>
      <c r="DL891" s="156"/>
      <c r="DM891" s="156"/>
      <c r="DN891" s="156"/>
      <c r="DO891" s="156"/>
      <c r="DP891" s="156"/>
      <c r="DQ891" s="156"/>
      <c r="DR891" s="156"/>
      <c r="DS891" s="156"/>
      <c r="DT891" s="156"/>
      <c r="DU891" s="156"/>
      <c r="DV891" s="156"/>
      <c r="DW891" s="156"/>
      <c r="DX891" s="156"/>
      <c r="DY891" s="156"/>
      <c r="DZ891" s="156"/>
      <c r="EA891" s="156"/>
      <c r="EB891" s="156"/>
      <c r="EC891" s="156"/>
      <c r="ED891" s="156"/>
      <c r="EE891" s="156"/>
      <c r="EF891" s="156"/>
      <c r="EG891" s="156"/>
      <c r="EH891" s="156"/>
      <c r="EI891" s="156"/>
      <c r="EJ891" s="156"/>
      <c r="EK891" s="156"/>
      <c r="EL891" s="156"/>
      <c r="EM891" s="156"/>
    </row>
    <row r="892" spans="20:143" ht="10.5" customHeight="1">
      <c r="T892" s="156"/>
      <c r="AZ892" s="156"/>
      <c r="BA892" s="156"/>
      <c r="BB892" s="156"/>
      <c r="BC892" s="156"/>
      <c r="BD892" s="156"/>
      <c r="BE892" s="156"/>
      <c r="BF892" s="156"/>
      <c r="BG892" s="156"/>
      <c r="BH892" s="156"/>
      <c r="BI892" s="156"/>
      <c r="BJ892" s="156"/>
      <c r="BK892" s="156"/>
      <c r="BL892" s="156"/>
      <c r="BM892" s="156"/>
      <c r="BN892" s="156"/>
      <c r="BO892" s="156"/>
      <c r="BP892" s="156"/>
      <c r="BQ892" s="156"/>
      <c r="BR892" s="156"/>
      <c r="BS892" s="156"/>
      <c r="BT892" s="156"/>
      <c r="BU892" s="156"/>
      <c r="BV892" s="156"/>
      <c r="BW892" s="156"/>
      <c r="BX892" s="156"/>
      <c r="BY892" s="156"/>
      <c r="BZ892" s="156"/>
      <c r="CA892" s="156"/>
      <c r="CB892" s="156"/>
      <c r="CC892" s="156"/>
      <c r="CD892" s="156"/>
      <c r="CE892" s="156"/>
      <c r="CF892" s="156"/>
      <c r="CG892" s="156"/>
      <c r="CH892" s="156"/>
      <c r="CI892" s="156"/>
      <c r="CJ892" s="156"/>
      <c r="CK892" s="156"/>
      <c r="CL892" s="156"/>
      <c r="CM892" s="156"/>
      <c r="CN892" s="156"/>
      <c r="CO892" s="156"/>
      <c r="CP892" s="156"/>
      <c r="CQ892" s="156"/>
      <c r="CR892" s="156"/>
      <c r="CS892" s="156"/>
      <c r="CT892" s="156"/>
      <c r="CU892" s="156"/>
      <c r="CV892" s="156"/>
      <c r="CW892" s="156"/>
      <c r="CX892" s="156"/>
      <c r="CY892" s="156"/>
      <c r="CZ892" s="156"/>
      <c r="DA892" s="156"/>
      <c r="DB892" s="156"/>
      <c r="DC892" s="156"/>
      <c r="DD892" s="156"/>
      <c r="DE892" s="156"/>
      <c r="DF892" s="156"/>
      <c r="DG892" s="156"/>
      <c r="DH892" s="156"/>
      <c r="DI892" s="156"/>
      <c r="DJ892" s="156"/>
      <c r="DK892" s="156"/>
      <c r="DL892" s="156"/>
      <c r="DM892" s="156"/>
      <c r="DN892" s="156"/>
      <c r="DO892" s="156"/>
      <c r="DP892" s="156"/>
      <c r="DQ892" s="156"/>
      <c r="DR892" s="156"/>
      <c r="DS892" s="156"/>
      <c r="DT892" s="156"/>
      <c r="DU892" s="156"/>
      <c r="DV892" s="156"/>
      <c r="DW892" s="156"/>
      <c r="DX892" s="156"/>
      <c r="DY892" s="156"/>
      <c r="DZ892" s="156"/>
      <c r="EA892" s="156"/>
      <c r="EB892" s="156"/>
      <c r="EC892" s="156"/>
      <c r="ED892" s="156"/>
      <c r="EE892" s="156"/>
      <c r="EF892" s="156"/>
      <c r="EG892" s="156"/>
      <c r="EH892" s="156"/>
      <c r="EI892" s="156"/>
      <c r="EJ892" s="156"/>
      <c r="EK892" s="156"/>
      <c r="EL892" s="156"/>
      <c r="EM892" s="156"/>
    </row>
    <row r="893" spans="20:143" ht="10.5" customHeight="1">
      <c r="T893" s="156"/>
      <c r="AZ893" s="156"/>
      <c r="BA893" s="156"/>
      <c r="BB893" s="156"/>
      <c r="BC893" s="156"/>
      <c r="BD893" s="156"/>
      <c r="BE893" s="156"/>
      <c r="BF893" s="156"/>
      <c r="BG893" s="156"/>
      <c r="BH893" s="156"/>
      <c r="BI893" s="156"/>
      <c r="BJ893" s="156"/>
      <c r="BK893" s="156"/>
      <c r="BL893" s="156"/>
      <c r="BM893" s="156"/>
      <c r="BN893" s="156"/>
      <c r="BO893" s="156"/>
      <c r="BP893" s="156"/>
      <c r="BQ893" s="156"/>
      <c r="BR893" s="156"/>
      <c r="BS893" s="156"/>
      <c r="BT893" s="156"/>
      <c r="BU893" s="156"/>
      <c r="BV893" s="156"/>
      <c r="BW893" s="156"/>
      <c r="BX893" s="156"/>
      <c r="BY893" s="156"/>
      <c r="BZ893" s="156"/>
      <c r="CA893" s="156"/>
      <c r="CB893" s="156"/>
      <c r="CC893" s="156"/>
      <c r="CD893" s="156"/>
      <c r="CE893" s="156"/>
      <c r="CF893" s="156"/>
      <c r="CG893" s="156"/>
      <c r="CH893" s="156"/>
      <c r="CI893" s="156"/>
      <c r="CJ893" s="156"/>
      <c r="CK893" s="156"/>
      <c r="CL893" s="156"/>
      <c r="CM893" s="156"/>
      <c r="CN893" s="156"/>
      <c r="CO893" s="156"/>
      <c r="CP893" s="156"/>
      <c r="CQ893" s="156"/>
      <c r="CR893" s="156"/>
      <c r="CS893" s="156"/>
      <c r="CT893" s="156"/>
      <c r="CU893" s="156"/>
      <c r="CV893" s="156"/>
      <c r="CW893" s="156"/>
      <c r="CX893" s="156"/>
      <c r="CY893" s="156"/>
      <c r="CZ893" s="156"/>
      <c r="DA893" s="156"/>
      <c r="DB893" s="156"/>
      <c r="DC893" s="156"/>
      <c r="DD893" s="156"/>
      <c r="DE893" s="156"/>
      <c r="DF893" s="156"/>
      <c r="DG893" s="156"/>
      <c r="DH893" s="156"/>
      <c r="DI893" s="156"/>
      <c r="DJ893" s="156"/>
      <c r="DK893" s="156"/>
      <c r="DL893" s="156"/>
      <c r="DM893" s="156"/>
      <c r="DN893" s="156"/>
      <c r="DO893" s="156"/>
      <c r="DP893" s="156"/>
      <c r="DQ893" s="156"/>
      <c r="DR893" s="156"/>
      <c r="DS893" s="156"/>
      <c r="DT893" s="156"/>
      <c r="DU893" s="156"/>
      <c r="DV893" s="156"/>
      <c r="DW893" s="156"/>
      <c r="DX893" s="156"/>
      <c r="DY893" s="156"/>
      <c r="DZ893" s="156"/>
      <c r="EA893" s="156"/>
      <c r="EB893" s="156"/>
      <c r="EC893" s="156"/>
      <c r="ED893" s="156"/>
      <c r="EE893" s="156"/>
      <c r="EF893" s="156"/>
      <c r="EG893" s="156"/>
      <c r="EH893" s="156"/>
      <c r="EI893" s="156"/>
      <c r="EJ893" s="156"/>
      <c r="EK893" s="156"/>
      <c r="EL893" s="156"/>
      <c r="EM893" s="156"/>
    </row>
    <row r="894" spans="20:143" ht="10.5" customHeight="1">
      <c r="T894" s="156"/>
      <c r="AZ894" s="156"/>
      <c r="BA894" s="156"/>
      <c r="BB894" s="156"/>
      <c r="BC894" s="156"/>
      <c r="BD894" s="156"/>
      <c r="BE894" s="156"/>
      <c r="BF894" s="156"/>
      <c r="BG894" s="156"/>
      <c r="BH894" s="156"/>
      <c r="BI894" s="156"/>
      <c r="BJ894" s="156"/>
      <c r="BK894" s="156"/>
      <c r="BL894" s="156"/>
      <c r="BM894" s="156"/>
      <c r="BN894" s="156"/>
      <c r="BO894" s="156"/>
      <c r="BP894" s="156"/>
      <c r="BQ894" s="156"/>
      <c r="BR894" s="156"/>
      <c r="BS894" s="156"/>
      <c r="BT894" s="156"/>
      <c r="BU894" s="156"/>
      <c r="BV894" s="156"/>
      <c r="BW894" s="156"/>
      <c r="BX894" s="156"/>
      <c r="BY894" s="156"/>
      <c r="BZ894" s="156"/>
      <c r="CA894" s="156"/>
      <c r="CB894" s="156"/>
      <c r="CC894" s="156"/>
      <c r="CD894" s="156"/>
      <c r="CE894" s="156"/>
      <c r="CF894" s="156"/>
      <c r="CG894" s="156"/>
      <c r="CH894" s="156"/>
      <c r="CI894" s="156"/>
      <c r="CJ894" s="156"/>
      <c r="CK894" s="156"/>
      <c r="CL894" s="156"/>
      <c r="CM894" s="156"/>
      <c r="CN894" s="156"/>
      <c r="CO894" s="156"/>
      <c r="CP894" s="156"/>
      <c r="CQ894" s="156"/>
      <c r="CR894" s="156"/>
      <c r="CS894" s="156"/>
      <c r="CT894" s="156"/>
      <c r="CU894" s="156"/>
      <c r="CV894" s="156"/>
      <c r="CW894" s="156"/>
      <c r="CX894" s="156"/>
      <c r="CY894" s="156"/>
      <c r="CZ894" s="156"/>
      <c r="DA894" s="156"/>
      <c r="DB894" s="156"/>
      <c r="DC894" s="156"/>
      <c r="DD894" s="156"/>
      <c r="DE894" s="156"/>
      <c r="DF894" s="156"/>
      <c r="DG894" s="156"/>
      <c r="DH894" s="156"/>
      <c r="DI894" s="156"/>
      <c r="DJ894" s="156"/>
      <c r="DK894" s="156"/>
      <c r="DL894" s="156"/>
      <c r="DM894" s="156"/>
      <c r="DN894" s="156"/>
      <c r="DO894" s="156"/>
      <c r="DP894" s="156"/>
      <c r="DQ894" s="156"/>
      <c r="DR894" s="156"/>
      <c r="DS894" s="156"/>
      <c r="DT894" s="156"/>
      <c r="DU894" s="156"/>
      <c r="DV894" s="156"/>
      <c r="DW894" s="156"/>
      <c r="DX894" s="156"/>
      <c r="DY894" s="156"/>
      <c r="DZ894" s="156"/>
      <c r="EA894" s="156"/>
      <c r="EB894" s="156"/>
      <c r="EC894" s="156"/>
      <c r="ED894" s="156"/>
      <c r="EE894" s="156"/>
      <c r="EF894" s="156"/>
      <c r="EG894" s="156"/>
      <c r="EH894" s="156"/>
      <c r="EI894" s="156"/>
      <c r="EJ894" s="156"/>
      <c r="EK894" s="156"/>
      <c r="EL894" s="156"/>
      <c r="EM894" s="156"/>
    </row>
    <row r="895" spans="20:143" ht="10.5" customHeight="1">
      <c r="T895" s="156"/>
      <c r="AZ895" s="156"/>
      <c r="BA895" s="156"/>
      <c r="BB895" s="156"/>
      <c r="BC895" s="156"/>
      <c r="BD895" s="156"/>
      <c r="BE895" s="156"/>
      <c r="BF895" s="156"/>
      <c r="BG895" s="156"/>
      <c r="BH895" s="156"/>
      <c r="BI895" s="156"/>
      <c r="BJ895" s="156"/>
      <c r="BK895" s="156"/>
      <c r="BL895" s="156"/>
      <c r="BM895" s="156"/>
      <c r="BN895" s="156"/>
      <c r="BO895" s="156"/>
      <c r="BP895" s="156"/>
      <c r="BQ895" s="156"/>
      <c r="BR895" s="156"/>
      <c r="BS895" s="156"/>
      <c r="BT895" s="156"/>
      <c r="BU895" s="156"/>
      <c r="BV895" s="156"/>
      <c r="BW895" s="156"/>
      <c r="BX895" s="156"/>
      <c r="BY895" s="156"/>
      <c r="BZ895" s="156"/>
      <c r="CA895" s="156"/>
      <c r="CB895" s="156"/>
      <c r="CC895" s="156"/>
      <c r="CD895" s="156"/>
      <c r="CE895" s="156"/>
      <c r="CF895" s="156"/>
      <c r="CG895" s="156"/>
      <c r="CH895" s="156"/>
      <c r="CI895" s="156"/>
      <c r="CJ895" s="156"/>
      <c r="CK895" s="156"/>
      <c r="CL895" s="156"/>
      <c r="CM895" s="156"/>
      <c r="CN895" s="156"/>
      <c r="CO895" s="156"/>
      <c r="CP895" s="156"/>
      <c r="CQ895" s="156"/>
      <c r="CR895" s="156"/>
      <c r="CS895" s="156"/>
      <c r="CT895" s="156"/>
      <c r="CU895" s="156"/>
      <c r="CV895" s="156"/>
      <c r="CW895" s="156"/>
      <c r="CX895" s="156"/>
      <c r="CY895" s="156"/>
      <c r="CZ895" s="156"/>
      <c r="DA895" s="156"/>
      <c r="DB895" s="156"/>
      <c r="DC895" s="156"/>
      <c r="DD895" s="156"/>
      <c r="DE895" s="156"/>
      <c r="DF895" s="156"/>
      <c r="DG895" s="156"/>
      <c r="DH895" s="156"/>
      <c r="DI895" s="156"/>
      <c r="DJ895" s="156"/>
      <c r="DK895" s="156"/>
      <c r="DL895" s="156"/>
      <c r="DM895" s="156"/>
      <c r="DN895" s="156"/>
      <c r="DO895" s="156"/>
      <c r="DP895" s="156"/>
      <c r="DQ895" s="156"/>
      <c r="DR895" s="156"/>
      <c r="DS895" s="156"/>
      <c r="DT895" s="156"/>
      <c r="DU895" s="156"/>
      <c r="DV895" s="156"/>
      <c r="DW895" s="156"/>
      <c r="DX895" s="156"/>
      <c r="DY895" s="156"/>
      <c r="DZ895" s="156"/>
      <c r="EA895" s="156"/>
      <c r="EB895" s="156"/>
      <c r="EC895" s="156"/>
      <c r="ED895" s="156"/>
      <c r="EE895" s="156"/>
      <c r="EF895" s="156"/>
      <c r="EG895" s="156"/>
      <c r="EH895" s="156"/>
      <c r="EI895" s="156"/>
      <c r="EJ895" s="156"/>
      <c r="EK895" s="156"/>
      <c r="EL895" s="156"/>
      <c r="EM895" s="156"/>
    </row>
    <row r="896" spans="20:143" ht="10.5" customHeight="1">
      <c r="T896" s="156"/>
      <c r="AZ896" s="156"/>
      <c r="BA896" s="156"/>
      <c r="BB896" s="156"/>
      <c r="BC896" s="156"/>
      <c r="BD896" s="156"/>
      <c r="BE896" s="156"/>
      <c r="BF896" s="156"/>
      <c r="BG896" s="156"/>
      <c r="BH896" s="156"/>
      <c r="BI896" s="156"/>
      <c r="BJ896" s="156"/>
      <c r="BK896" s="156"/>
      <c r="BL896" s="156"/>
      <c r="BM896" s="156"/>
      <c r="BN896" s="156"/>
      <c r="BO896" s="156"/>
      <c r="BP896" s="156"/>
      <c r="BQ896" s="156"/>
      <c r="BR896" s="156"/>
      <c r="BS896" s="156"/>
      <c r="BT896" s="156"/>
      <c r="BU896" s="156"/>
      <c r="BV896" s="156"/>
      <c r="BW896" s="156"/>
      <c r="BX896" s="156"/>
      <c r="BY896" s="156"/>
      <c r="BZ896" s="156"/>
      <c r="CA896" s="156"/>
      <c r="CB896" s="156"/>
      <c r="CC896" s="156"/>
      <c r="CD896" s="156"/>
      <c r="CE896" s="156"/>
      <c r="CF896" s="156"/>
      <c r="CG896" s="156"/>
      <c r="CH896" s="156"/>
      <c r="CI896" s="156"/>
      <c r="CJ896" s="156"/>
      <c r="CK896" s="156"/>
      <c r="CL896" s="156"/>
      <c r="CM896" s="156"/>
      <c r="CN896" s="156"/>
      <c r="CO896" s="156"/>
      <c r="CP896" s="156"/>
      <c r="CQ896" s="156"/>
      <c r="CR896" s="156"/>
      <c r="CS896" s="156"/>
      <c r="CT896" s="156"/>
      <c r="CU896" s="156"/>
      <c r="CV896" s="156"/>
      <c r="CW896" s="156"/>
      <c r="CX896" s="156"/>
      <c r="CY896" s="156"/>
      <c r="CZ896" s="156"/>
      <c r="DA896" s="156"/>
      <c r="DB896" s="156"/>
      <c r="DC896" s="156"/>
      <c r="DD896" s="156"/>
      <c r="DE896" s="156"/>
      <c r="DF896" s="156"/>
      <c r="DG896" s="156"/>
      <c r="DH896" s="156"/>
      <c r="DI896" s="156"/>
      <c r="DJ896" s="156"/>
      <c r="DK896" s="156"/>
      <c r="DL896" s="156"/>
      <c r="DM896" s="156"/>
      <c r="DN896" s="156"/>
      <c r="DO896" s="156"/>
      <c r="DP896" s="156"/>
      <c r="DQ896" s="156"/>
      <c r="DR896" s="156"/>
      <c r="DS896" s="156"/>
      <c r="DT896" s="156"/>
      <c r="DU896" s="156"/>
      <c r="DV896" s="156"/>
      <c r="DW896" s="156"/>
      <c r="DX896" s="156"/>
      <c r="DY896" s="156"/>
      <c r="DZ896" s="156"/>
      <c r="EA896" s="156"/>
      <c r="EB896" s="156"/>
      <c r="EC896" s="156"/>
      <c r="ED896" s="156"/>
      <c r="EE896" s="156"/>
      <c r="EF896" s="156"/>
      <c r="EG896" s="156"/>
      <c r="EH896" s="156"/>
      <c r="EI896" s="156"/>
      <c r="EJ896" s="156"/>
      <c r="EK896" s="156"/>
      <c r="EL896" s="156"/>
      <c r="EM896" s="156"/>
    </row>
    <row r="897" spans="20:143" ht="10.5" customHeight="1">
      <c r="T897" s="156"/>
      <c r="AZ897" s="156"/>
      <c r="BA897" s="156"/>
      <c r="BB897" s="156"/>
      <c r="BC897" s="156"/>
      <c r="BD897" s="156"/>
      <c r="BE897" s="156"/>
      <c r="BF897" s="156"/>
      <c r="BG897" s="156"/>
      <c r="BH897" s="156"/>
      <c r="BI897" s="156"/>
      <c r="BJ897" s="156"/>
      <c r="BK897" s="156"/>
      <c r="BL897" s="156"/>
      <c r="BM897" s="156"/>
      <c r="BN897" s="156"/>
      <c r="BO897" s="156"/>
      <c r="BP897" s="156"/>
      <c r="BQ897" s="156"/>
      <c r="BR897" s="156"/>
      <c r="BS897" s="156"/>
      <c r="BT897" s="156"/>
      <c r="BU897" s="156"/>
      <c r="BV897" s="156"/>
      <c r="BW897" s="156"/>
      <c r="BX897" s="156"/>
      <c r="BY897" s="156"/>
      <c r="BZ897" s="156"/>
      <c r="CA897" s="156"/>
      <c r="CB897" s="156"/>
      <c r="CC897" s="156"/>
      <c r="CD897" s="156"/>
      <c r="CE897" s="156"/>
      <c r="CF897" s="156"/>
      <c r="CG897" s="156"/>
      <c r="CH897" s="156"/>
      <c r="CI897" s="156"/>
      <c r="CJ897" s="156"/>
      <c r="CK897" s="156"/>
      <c r="CL897" s="156"/>
      <c r="CM897" s="156"/>
      <c r="CN897" s="156"/>
      <c r="CO897" s="156"/>
      <c r="CP897" s="156"/>
      <c r="CQ897" s="156"/>
      <c r="CR897" s="156"/>
      <c r="CS897" s="156"/>
      <c r="CT897" s="156"/>
      <c r="CU897" s="156"/>
      <c r="CV897" s="156"/>
      <c r="CW897" s="156"/>
      <c r="CX897" s="156"/>
      <c r="CY897" s="156"/>
      <c r="CZ897" s="156"/>
      <c r="DA897" s="156"/>
      <c r="DB897" s="156"/>
      <c r="DC897" s="156"/>
      <c r="DD897" s="156"/>
      <c r="DE897" s="156"/>
      <c r="DF897" s="156"/>
      <c r="DG897" s="156"/>
      <c r="DH897" s="156"/>
      <c r="DI897" s="156"/>
      <c r="DJ897" s="156"/>
      <c r="DK897" s="156"/>
      <c r="DL897" s="156"/>
      <c r="DM897" s="156"/>
      <c r="DN897" s="156"/>
      <c r="DO897" s="156"/>
      <c r="DP897" s="156"/>
      <c r="DQ897" s="156"/>
      <c r="DR897" s="156"/>
      <c r="DS897" s="156"/>
      <c r="DT897" s="156"/>
      <c r="DU897" s="156"/>
      <c r="DV897" s="156"/>
      <c r="DW897" s="156"/>
      <c r="DX897" s="156"/>
      <c r="DY897" s="156"/>
      <c r="DZ897" s="156"/>
      <c r="EA897" s="156"/>
      <c r="EB897" s="156"/>
      <c r="EC897" s="156"/>
      <c r="ED897" s="156"/>
      <c r="EE897" s="156"/>
      <c r="EF897" s="156"/>
      <c r="EG897" s="156"/>
      <c r="EH897" s="156"/>
      <c r="EI897" s="156"/>
      <c r="EJ897" s="156"/>
      <c r="EK897" s="156"/>
      <c r="EL897" s="156"/>
      <c r="EM897" s="156"/>
    </row>
    <row r="898" spans="20:143" ht="10.5" customHeight="1">
      <c r="T898" s="156"/>
      <c r="AZ898" s="156"/>
      <c r="BA898" s="156"/>
      <c r="BB898" s="156"/>
      <c r="BC898" s="156"/>
      <c r="BD898" s="156"/>
      <c r="BE898" s="156"/>
      <c r="BF898" s="156"/>
      <c r="BG898" s="156"/>
      <c r="BH898" s="156"/>
      <c r="BI898" s="156"/>
      <c r="BJ898" s="156"/>
      <c r="BK898" s="156"/>
      <c r="BL898" s="156"/>
      <c r="BM898" s="156"/>
      <c r="BN898" s="156"/>
      <c r="BO898" s="156"/>
      <c r="BP898" s="156"/>
      <c r="BQ898" s="156"/>
      <c r="BR898" s="156"/>
      <c r="BS898" s="156"/>
      <c r="BT898" s="156"/>
      <c r="BU898" s="156"/>
      <c r="BV898" s="156"/>
      <c r="BW898" s="156"/>
      <c r="BX898" s="156"/>
      <c r="BY898" s="156"/>
      <c r="BZ898" s="156"/>
      <c r="CA898" s="156"/>
      <c r="CB898" s="156"/>
      <c r="CC898" s="156"/>
      <c r="CD898" s="156"/>
      <c r="CE898" s="156"/>
      <c r="CF898" s="156"/>
      <c r="CG898" s="156"/>
      <c r="CH898" s="156"/>
      <c r="CI898" s="156"/>
      <c r="CJ898" s="156"/>
      <c r="CK898" s="156"/>
      <c r="CL898" s="156"/>
      <c r="CM898" s="156"/>
      <c r="CN898" s="156"/>
      <c r="CO898" s="156"/>
      <c r="CP898" s="156"/>
      <c r="CQ898" s="156"/>
      <c r="CR898" s="156"/>
      <c r="CS898" s="156"/>
      <c r="CT898" s="156"/>
      <c r="CU898" s="156"/>
      <c r="CV898" s="156"/>
      <c r="CW898" s="156"/>
      <c r="CX898" s="156"/>
      <c r="CY898" s="156"/>
      <c r="CZ898" s="156"/>
      <c r="DA898" s="156"/>
      <c r="DB898" s="156"/>
      <c r="DC898" s="156"/>
      <c r="DD898" s="156"/>
      <c r="DE898" s="156"/>
      <c r="DF898" s="156"/>
      <c r="DG898" s="156"/>
      <c r="DH898" s="156"/>
      <c r="DI898" s="156"/>
      <c r="DJ898" s="156"/>
      <c r="DK898" s="156"/>
      <c r="DL898" s="156"/>
      <c r="DM898" s="156"/>
      <c r="DN898" s="156"/>
      <c r="DO898" s="156"/>
      <c r="DP898" s="156"/>
      <c r="DQ898" s="156"/>
      <c r="DR898" s="156"/>
      <c r="DS898" s="156"/>
      <c r="DT898" s="156"/>
      <c r="DU898" s="156"/>
      <c r="DV898" s="156"/>
      <c r="DW898" s="156"/>
      <c r="DX898" s="156"/>
      <c r="DY898" s="156"/>
      <c r="DZ898" s="156"/>
      <c r="EA898" s="156"/>
      <c r="EB898" s="156"/>
      <c r="EC898" s="156"/>
      <c r="ED898" s="156"/>
      <c r="EE898" s="156"/>
      <c r="EF898" s="156"/>
      <c r="EG898" s="156"/>
      <c r="EH898" s="156"/>
      <c r="EI898" s="156"/>
      <c r="EJ898" s="156"/>
      <c r="EK898" s="156"/>
      <c r="EL898" s="156"/>
      <c r="EM898" s="156"/>
    </row>
    <row r="899" spans="20:143" ht="10.5" customHeight="1">
      <c r="T899" s="156"/>
      <c r="AZ899" s="156"/>
      <c r="BA899" s="156"/>
      <c r="BB899" s="156"/>
      <c r="BC899" s="156"/>
      <c r="BD899" s="156"/>
      <c r="BE899" s="156"/>
      <c r="BF899" s="156"/>
      <c r="BG899" s="156"/>
      <c r="BH899" s="156"/>
      <c r="BI899" s="156"/>
      <c r="BJ899" s="156"/>
      <c r="BK899" s="156"/>
      <c r="BL899" s="156"/>
      <c r="BM899" s="156"/>
      <c r="BN899" s="156"/>
      <c r="BO899" s="156"/>
      <c r="BP899" s="156"/>
      <c r="BQ899" s="156"/>
      <c r="BR899" s="156"/>
      <c r="BS899" s="156"/>
      <c r="BT899" s="156"/>
      <c r="BU899" s="156"/>
      <c r="BV899" s="156"/>
      <c r="BW899" s="156"/>
      <c r="BX899" s="156"/>
      <c r="BY899" s="156"/>
      <c r="BZ899" s="156"/>
      <c r="CA899" s="156"/>
      <c r="CB899" s="156"/>
      <c r="CC899" s="156"/>
      <c r="CD899" s="156"/>
      <c r="CE899" s="156"/>
      <c r="CF899" s="156"/>
      <c r="CG899" s="156"/>
      <c r="CH899" s="156"/>
      <c r="CI899" s="156"/>
      <c r="CJ899" s="156"/>
      <c r="CK899" s="156"/>
      <c r="CL899" s="156"/>
      <c r="CM899" s="156"/>
      <c r="CN899" s="156"/>
      <c r="CO899" s="156"/>
      <c r="CP899" s="156"/>
      <c r="CQ899" s="156"/>
      <c r="CR899" s="156"/>
      <c r="CS899" s="156"/>
      <c r="CT899" s="156"/>
      <c r="CU899" s="156"/>
      <c r="CV899" s="156"/>
      <c r="CW899" s="156"/>
      <c r="CX899" s="156"/>
      <c r="CY899" s="156"/>
      <c r="CZ899" s="156"/>
      <c r="DA899" s="156"/>
      <c r="DB899" s="156"/>
      <c r="DC899" s="156"/>
      <c r="DD899" s="156"/>
      <c r="DE899" s="156"/>
      <c r="DF899" s="156"/>
      <c r="DG899" s="156"/>
      <c r="DH899" s="156"/>
      <c r="DI899" s="156"/>
      <c r="DJ899" s="156"/>
      <c r="DK899" s="156"/>
      <c r="DL899" s="156"/>
      <c r="DM899" s="156"/>
      <c r="DN899" s="156"/>
      <c r="DO899" s="156"/>
      <c r="DP899" s="156"/>
      <c r="DQ899" s="156"/>
      <c r="DR899" s="156"/>
      <c r="DS899" s="156"/>
      <c r="DT899" s="156"/>
      <c r="DU899" s="156"/>
      <c r="DV899" s="156"/>
      <c r="DW899" s="156"/>
      <c r="DX899" s="156"/>
      <c r="DY899" s="156"/>
      <c r="DZ899" s="156"/>
      <c r="EA899" s="156"/>
      <c r="EB899" s="156"/>
      <c r="EC899" s="156"/>
      <c r="ED899" s="156"/>
      <c r="EE899" s="156"/>
      <c r="EF899" s="156"/>
      <c r="EG899" s="156"/>
      <c r="EH899" s="156"/>
      <c r="EI899" s="156"/>
      <c r="EJ899" s="156"/>
      <c r="EK899" s="156"/>
      <c r="EL899" s="156"/>
      <c r="EM899" s="156"/>
    </row>
    <row r="900" spans="20:143" ht="10.5" customHeight="1">
      <c r="T900" s="156"/>
      <c r="AZ900" s="156"/>
      <c r="BA900" s="156"/>
      <c r="BB900" s="156"/>
      <c r="BC900" s="156"/>
      <c r="BD900" s="156"/>
      <c r="BE900" s="156"/>
      <c r="BF900" s="156"/>
      <c r="BG900" s="156"/>
      <c r="BH900" s="156"/>
      <c r="BI900" s="156"/>
      <c r="BJ900" s="156"/>
      <c r="BK900" s="156"/>
      <c r="BL900" s="156"/>
      <c r="BM900" s="156"/>
      <c r="BN900" s="156"/>
      <c r="BO900" s="156"/>
      <c r="BP900" s="156"/>
      <c r="BQ900" s="156"/>
      <c r="BR900" s="156"/>
      <c r="BS900" s="156"/>
      <c r="BT900" s="156"/>
      <c r="BU900" s="156"/>
      <c r="BV900" s="156"/>
      <c r="BW900" s="156"/>
      <c r="BX900" s="156"/>
      <c r="BY900" s="156"/>
      <c r="BZ900" s="156"/>
      <c r="CA900" s="156"/>
      <c r="CB900" s="156"/>
      <c r="CC900" s="156"/>
      <c r="CD900" s="156"/>
      <c r="CE900" s="156"/>
      <c r="CF900" s="156"/>
      <c r="CG900" s="156"/>
      <c r="CH900" s="156"/>
      <c r="CI900" s="156"/>
      <c r="CJ900" s="156"/>
      <c r="CK900" s="156"/>
      <c r="CL900" s="156"/>
      <c r="CM900" s="156"/>
      <c r="CN900" s="156"/>
      <c r="CO900" s="156"/>
      <c r="CP900" s="156"/>
      <c r="CQ900" s="156"/>
      <c r="CR900" s="156"/>
      <c r="CS900" s="156"/>
      <c r="CT900" s="156"/>
      <c r="CU900" s="156"/>
      <c r="CV900" s="156"/>
      <c r="CW900" s="156"/>
      <c r="CX900" s="156"/>
      <c r="CY900" s="156"/>
      <c r="CZ900" s="156"/>
      <c r="DA900" s="156"/>
      <c r="DB900" s="156"/>
      <c r="DC900" s="156"/>
      <c r="DD900" s="156"/>
      <c r="DE900" s="156"/>
      <c r="DF900" s="156"/>
      <c r="DG900" s="156"/>
      <c r="DH900" s="156"/>
      <c r="DI900" s="156"/>
      <c r="DJ900" s="156"/>
      <c r="DK900" s="156"/>
      <c r="DL900" s="156"/>
      <c r="DM900" s="156"/>
      <c r="DN900" s="156"/>
      <c r="DO900" s="156"/>
      <c r="DP900" s="156"/>
      <c r="DQ900" s="156"/>
      <c r="DR900" s="156"/>
      <c r="DS900" s="156"/>
      <c r="DT900" s="156"/>
      <c r="DU900" s="156"/>
      <c r="DV900" s="156"/>
      <c r="DW900" s="156"/>
      <c r="DX900" s="156"/>
      <c r="DY900" s="156"/>
      <c r="DZ900" s="156"/>
      <c r="EA900" s="156"/>
      <c r="EB900" s="156"/>
      <c r="EC900" s="156"/>
      <c r="ED900" s="156"/>
      <c r="EE900" s="156"/>
      <c r="EF900" s="156"/>
      <c r="EG900" s="156"/>
      <c r="EH900" s="156"/>
      <c r="EI900" s="156"/>
      <c r="EJ900" s="156"/>
      <c r="EK900" s="156"/>
      <c r="EL900" s="156"/>
      <c r="EM900" s="156"/>
    </row>
    <row r="901" spans="20:143" ht="10.5" customHeight="1">
      <c r="T901" s="156"/>
      <c r="AZ901" s="156"/>
      <c r="BA901" s="156"/>
      <c r="BB901" s="156"/>
      <c r="BC901" s="156"/>
      <c r="BD901" s="156"/>
      <c r="BE901" s="156"/>
      <c r="BF901" s="156"/>
      <c r="BG901" s="156"/>
      <c r="BH901" s="156"/>
      <c r="BI901" s="156"/>
      <c r="BJ901" s="156"/>
      <c r="BK901" s="156"/>
      <c r="BL901" s="156"/>
      <c r="BM901" s="156"/>
      <c r="BN901" s="156"/>
      <c r="BO901" s="156"/>
      <c r="BP901" s="156"/>
      <c r="BQ901" s="156"/>
      <c r="BR901" s="156"/>
      <c r="BS901" s="156"/>
      <c r="BT901" s="156"/>
      <c r="BU901" s="156"/>
      <c r="BV901" s="156"/>
      <c r="BW901" s="156"/>
      <c r="BX901" s="156"/>
      <c r="BY901" s="156"/>
      <c r="BZ901" s="156"/>
      <c r="CA901" s="156"/>
      <c r="CB901" s="156"/>
      <c r="CC901" s="156"/>
      <c r="CD901" s="156"/>
      <c r="CE901" s="156"/>
      <c r="CF901" s="156"/>
      <c r="CG901" s="156"/>
      <c r="CH901" s="156"/>
      <c r="CI901" s="156"/>
      <c r="CJ901" s="156"/>
      <c r="CK901" s="156"/>
      <c r="CL901" s="156"/>
      <c r="CM901" s="156"/>
      <c r="CN901" s="156"/>
      <c r="CO901" s="156"/>
      <c r="CP901" s="156"/>
      <c r="CQ901" s="156"/>
      <c r="CR901" s="156"/>
      <c r="CS901" s="156"/>
      <c r="CT901" s="156"/>
      <c r="CU901" s="156"/>
      <c r="CV901" s="156"/>
      <c r="CW901" s="156"/>
      <c r="CX901" s="156"/>
      <c r="CY901" s="156"/>
      <c r="CZ901" s="156"/>
      <c r="DA901" s="156"/>
      <c r="DB901" s="156"/>
      <c r="DC901" s="156"/>
      <c r="DD901" s="156"/>
      <c r="DE901" s="156"/>
      <c r="DF901" s="156"/>
      <c r="DG901" s="156"/>
      <c r="DH901" s="156"/>
      <c r="DI901" s="156"/>
      <c r="DJ901" s="156"/>
      <c r="DK901" s="156"/>
      <c r="DL901" s="156"/>
      <c r="DM901" s="156"/>
      <c r="DN901" s="156"/>
      <c r="DO901" s="156"/>
      <c r="DP901" s="156"/>
      <c r="DQ901" s="156"/>
      <c r="DR901" s="156"/>
      <c r="DS901" s="156"/>
      <c r="DT901" s="156"/>
      <c r="DU901" s="156"/>
      <c r="DV901" s="156"/>
      <c r="DW901" s="156"/>
      <c r="DX901" s="156"/>
      <c r="DY901" s="156"/>
      <c r="DZ901" s="156"/>
      <c r="EA901" s="156"/>
      <c r="EB901" s="156"/>
      <c r="EC901" s="156"/>
      <c r="ED901" s="156"/>
      <c r="EE901" s="156"/>
      <c r="EF901" s="156"/>
      <c r="EG901" s="156"/>
      <c r="EH901" s="156"/>
      <c r="EI901" s="156"/>
      <c r="EJ901" s="156"/>
      <c r="EK901" s="156"/>
      <c r="EL901" s="156"/>
      <c r="EM901" s="156"/>
    </row>
    <row r="902" spans="20:143" ht="10.5" customHeight="1">
      <c r="T902" s="156"/>
      <c r="AZ902" s="156"/>
      <c r="BA902" s="156"/>
      <c r="BB902" s="156"/>
      <c r="BC902" s="156"/>
      <c r="BD902" s="156"/>
      <c r="BE902" s="156"/>
      <c r="BF902" s="156"/>
      <c r="BG902" s="156"/>
      <c r="BH902" s="156"/>
      <c r="BI902" s="156"/>
      <c r="BJ902" s="156"/>
      <c r="BK902" s="156"/>
      <c r="BL902" s="156"/>
      <c r="BM902" s="156"/>
      <c r="BN902" s="156"/>
      <c r="BO902" s="156"/>
      <c r="BP902" s="156"/>
      <c r="BQ902" s="156"/>
      <c r="BR902" s="156"/>
      <c r="BS902" s="156"/>
      <c r="BT902" s="156"/>
      <c r="BU902" s="156"/>
      <c r="BV902" s="156"/>
      <c r="BW902" s="156"/>
      <c r="BX902" s="156"/>
      <c r="BY902" s="156"/>
      <c r="BZ902" s="156"/>
      <c r="CA902" s="156"/>
      <c r="CB902" s="156"/>
      <c r="CC902" s="156"/>
      <c r="CD902" s="156"/>
      <c r="CE902" s="156"/>
      <c r="CF902" s="156"/>
      <c r="CG902" s="156"/>
      <c r="CH902" s="156"/>
      <c r="CI902" s="156"/>
      <c r="CJ902" s="156"/>
      <c r="CK902" s="156"/>
      <c r="CL902" s="156"/>
      <c r="CM902" s="156"/>
      <c r="CN902" s="156"/>
      <c r="CO902" s="156"/>
      <c r="CP902" s="156"/>
      <c r="CQ902" s="156"/>
      <c r="CR902" s="156"/>
      <c r="CS902" s="156"/>
      <c r="CT902" s="156"/>
      <c r="CU902" s="156"/>
      <c r="CV902" s="156"/>
      <c r="CW902" s="156"/>
      <c r="CX902" s="156"/>
      <c r="CY902" s="156"/>
      <c r="CZ902" s="156"/>
      <c r="DA902" s="156"/>
      <c r="DB902" s="156"/>
      <c r="DC902" s="156"/>
      <c r="DD902" s="156"/>
      <c r="DE902" s="156"/>
      <c r="DF902" s="156"/>
      <c r="DG902" s="156"/>
      <c r="DH902" s="156"/>
      <c r="DI902" s="156"/>
      <c r="DJ902" s="156"/>
      <c r="DK902" s="156"/>
      <c r="DL902" s="156"/>
      <c r="DM902" s="156"/>
      <c r="DN902" s="156"/>
      <c r="DO902" s="156"/>
      <c r="DP902" s="156"/>
      <c r="DQ902" s="156"/>
      <c r="DR902" s="156"/>
      <c r="DS902" s="156"/>
      <c r="DT902" s="156"/>
      <c r="DU902" s="156"/>
      <c r="DV902" s="156"/>
      <c r="DW902" s="156"/>
      <c r="DX902" s="156"/>
      <c r="DY902" s="156"/>
      <c r="DZ902" s="156"/>
      <c r="EA902" s="156"/>
      <c r="EB902" s="156"/>
      <c r="EC902" s="156"/>
      <c r="ED902" s="156"/>
      <c r="EE902" s="156"/>
      <c r="EF902" s="156"/>
      <c r="EG902" s="156"/>
      <c r="EH902" s="156"/>
      <c r="EI902" s="156"/>
      <c r="EJ902" s="156"/>
      <c r="EK902" s="156"/>
      <c r="EL902" s="156"/>
      <c r="EM902" s="156"/>
    </row>
    <row r="903" spans="20:143" ht="10.5" customHeight="1">
      <c r="T903" s="156"/>
      <c r="AZ903" s="156"/>
      <c r="BA903" s="156"/>
      <c r="BB903" s="156"/>
      <c r="BC903" s="156"/>
      <c r="BD903" s="156"/>
      <c r="BE903" s="156"/>
      <c r="BF903" s="156"/>
      <c r="BG903" s="156"/>
      <c r="BH903" s="156"/>
      <c r="BI903" s="156"/>
      <c r="BJ903" s="156"/>
      <c r="BK903" s="156"/>
      <c r="BL903" s="156"/>
      <c r="BM903" s="156"/>
      <c r="BN903" s="156"/>
      <c r="BO903" s="156"/>
      <c r="BP903" s="156"/>
      <c r="BQ903" s="156"/>
      <c r="BR903" s="156"/>
      <c r="BS903" s="156"/>
      <c r="BT903" s="156"/>
      <c r="BU903" s="156"/>
      <c r="BV903" s="156"/>
      <c r="BW903" s="156"/>
      <c r="BX903" s="156"/>
      <c r="BY903" s="156"/>
      <c r="BZ903" s="156"/>
      <c r="CA903" s="156"/>
      <c r="CB903" s="156"/>
      <c r="CC903" s="156"/>
      <c r="CD903" s="156"/>
      <c r="CE903" s="156"/>
      <c r="CF903" s="156"/>
      <c r="CG903" s="156"/>
      <c r="CH903" s="156"/>
      <c r="CI903" s="156"/>
      <c r="CJ903" s="156"/>
      <c r="CK903" s="156"/>
      <c r="CL903" s="156"/>
      <c r="CM903" s="156"/>
      <c r="CN903" s="156"/>
      <c r="CO903" s="156"/>
      <c r="CP903" s="156"/>
      <c r="CQ903" s="156"/>
      <c r="CR903" s="156"/>
      <c r="CS903" s="156"/>
      <c r="CT903" s="156"/>
      <c r="CU903" s="156"/>
      <c r="CV903" s="156"/>
      <c r="CW903" s="156"/>
      <c r="CX903" s="156"/>
      <c r="CY903" s="156"/>
      <c r="CZ903" s="156"/>
      <c r="DA903" s="156"/>
      <c r="DB903" s="156"/>
      <c r="DC903" s="156"/>
      <c r="DD903" s="156"/>
      <c r="DE903" s="156"/>
      <c r="DF903" s="156"/>
      <c r="DG903" s="156"/>
      <c r="DH903" s="156"/>
      <c r="DI903" s="156"/>
      <c r="DJ903" s="156"/>
      <c r="DK903" s="156"/>
      <c r="DL903" s="156"/>
      <c r="DM903" s="156"/>
      <c r="DN903" s="156"/>
      <c r="DO903" s="156"/>
      <c r="DP903" s="156"/>
      <c r="DQ903" s="156"/>
      <c r="DR903" s="156"/>
      <c r="DS903" s="156"/>
      <c r="DT903" s="156"/>
      <c r="DU903" s="156"/>
      <c r="DV903" s="156"/>
      <c r="DW903" s="156"/>
      <c r="DX903" s="156"/>
      <c r="DY903" s="156"/>
      <c r="DZ903" s="156"/>
      <c r="EA903" s="156"/>
      <c r="EB903" s="156"/>
      <c r="EC903" s="156"/>
      <c r="ED903" s="156"/>
      <c r="EE903" s="156"/>
      <c r="EF903" s="156"/>
      <c r="EG903" s="156"/>
      <c r="EH903" s="156"/>
      <c r="EI903" s="156"/>
      <c r="EJ903" s="156"/>
      <c r="EK903" s="156"/>
      <c r="EL903" s="156"/>
      <c r="EM903" s="156"/>
    </row>
    <row r="904" spans="20:143" ht="10.5" customHeight="1">
      <c r="T904" s="156"/>
      <c r="AZ904" s="156"/>
      <c r="BA904" s="156"/>
      <c r="BB904" s="156"/>
      <c r="BC904" s="156"/>
      <c r="BD904" s="156"/>
      <c r="BE904" s="156"/>
      <c r="BF904" s="156"/>
      <c r="BG904" s="156"/>
      <c r="BH904" s="156"/>
      <c r="BI904" s="156"/>
      <c r="BJ904" s="156"/>
      <c r="BK904" s="156"/>
      <c r="BL904" s="156"/>
      <c r="BM904" s="156"/>
      <c r="BN904" s="156"/>
      <c r="BO904" s="156"/>
      <c r="BP904" s="156"/>
      <c r="BQ904" s="156"/>
      <c r="BR904" s="156"/>
      <c r="BS904" s="156"/>
      <c r="BT904" s="156"/>
      <c r="BU904" s="156"/>
      <c r="BV904" s="156"/>
      <c r="BW904" s="156"/>
      <c r="BX904" s="156"/>
      <c r="BY904" s="156"/>
      <c r="BZ904" s="156"/>
      <c r="CA904" s="156"/>
      <c r="CB904" s="156"/>
      <c r="CC904" s="156"/>
      <c r="CD904" s="156"/>
      <c r="CE904" s="156"/>
      <c r="CF904" s="156"/>
      <c r="CG904" s="156"/>
      <c r="CH904" s="156"/>
      <c r="CI904" s="156"/>
      <c r="CJ904" s="156"/>
      <c r="CK904" s="156"/>
      <c r="CL904" s="156"/>
      <c r="CM904" s="156"/>
      <c r="CN904" s="156"/>
      <c r="CO904" s="156"/>
      <c r="CP904" s="156"/>
      <c r="CQ904" s="156"/>
      <c r="CR904" s="156"/>
      <c r="CS904" s="156"/>
      <c r="CT904" s="156"/>
      <c r="CU904" s="156"/>
      <c r="CV904" s="156"/>
      <c r="CW904" s="156"/>
      <c r="CX904" s="156"/>
      <c r="CY904" s="156"/>
      <c r="CZ904" s="156"/>
      <c r="DA904" s="156"/>
      <c r="DB904" s="156"/>
      <c r="DC904" s="156"/>
      <c r="DD904" s="156"/>
      <c r="DE904" s="156"/>
      <c r="DF904" s="156"/>
      <c r="DG904" s="156"/>
      <c r="DH904" s="156"/>
      <c r="DI904" s="156"/>
      <c r="DJ904" s="156"/>
      <c r="DK904" s="156"/>
      <c r="DL904" s="156"/>
      <c r="DM904" s="156"/>
      <c r="DN904" s="156"/>
      <c r="DO904" s="156"/>
      <c r="DP904" s="156"/>
      <c r="DQ904" s="156"/>
      <c r="DR904" s="156"/>
      <c r="DS904" s="156"/>
      <c r="DT904" s="156"/>
      <c r="DU904" s="156"/>
      <c r="DV904" s="156"/>
      <c r="DW904" s="156"/>
      <c r="DX904" s="156"/>
      <c r="DY904" s="156"/>
      <c r="DZ904" s="156"/>
      <c r="EA904" s="156"/>
      <c r="EB904" s="156"/>
      <c r="EC904" s="156"/>
      <c r="ED904" s="156"/>
      <c r="EE904" s="156"/>
      <c r="EF904" s="156"/>
      <c r="EG904" s="156"/>
      <c r="EH904" s="156"/>
      <c r="EI904" s="156"/>
      <c r="EJ904" s="156"/>
      <c r="EK904" s="156"/>
      <c r="EL904" s="156"/>
      <c r="EM904" s="156"/>
    </row>
    <row r="905" spans="20:143" ht="10.5" customHeight="1">
      <c r="T905" s="156"/>
      <c r="AZ905" s="156"/>
      <c r="BA905" s="156"/>
      <c r="BB905" s="156"/>
      <c r="BC905" s="156"/>
      <c r="BD905" s="156"/>
      <c r="BE905" s="156"/>
      <c r="BF905" s="156"/>
      <c r="BG905" s="156"/>
      <c r="BH905" s="156"/>
      <c r="BI905" s="156"/>
      <c r="BJ905" s="156"/>
      <c r="BK905" s="156"/>
      <c r="BL905" s="156"/>
      <c r="BM905" s="156"/>
      <c r="BN905" s="156"/>
      <c r="BO905" s="156"/>
      <c r="BP905" s="156"/>
      <c r="BQ905" s="156"/>
      <c r="BR905" s="156"/>
      <c r="BS905" s="156"/>
      <c r="BT905" s="156"/>
      <c r="BU905" s="156"/>
      <c r="BV905" s="156"/>
      <c r="BW905" s="156"/>
      <c r="BX905" s="156"/>
      <c r="BY905" s="156"/>
      <c r="BZ905" s="156"/>
      <c r="CA905" s="156"/>
      <c r="CB905" s="156"/>
      <c r="CC905" s="156"/>
      <c r="CD905" s="156"/>
      <c r="CE905" s="156"/>
      <c r="CF905" s="156"/>
      <c r="CG905" s="156"/>
      <c r="CH905" s="156"/>
      <c r="CI905" s="156"/>
      <c r="CJ905" s="156"/>
      <c r="CK905" s="156"/>
      <c r="CL905" s="156"/>
      <c r="CM905" s="156"/>
      <c r="CN905" s="156"/>
      <c r="CO905" s="156"/>
      <c r="CP905" s="156"/>
      <c r="CQ905" s="156"/>
      <c r="CR905" s="156"/>
      <c r="CS905" s="156"/>
      <c r="CT905" s="156"/>
      <c r="CU905" s="156"/>
      <c r="CV905" s="156"/>
      <c r="CW905" s="156"/>
      <c r="CX905" s="156"/>
      <c r="CY905" s="156"/>
      <c r="CZ905" s="156"/>
      <c r="DA905" s="156"/>
      <c r="DB905" s="156"/>
      <c r="DC905" s="156"/>
      <c r="DD905" s="156"/>
      <c r="DE905" s="156"/>
      <c r="DF905" s="156"/>
      <c r="DG905" s="156"/>
      <c r="DH905" s="156"/>
      <c r="DI905" s="156"/>
      <c r="DJ905" s="156"/>
      <c r="DK905" s="156"/>
      <c r="DL905" s="156"/>
      <c r="DM905" s="156"/>
      <c r="DN905" s="156"/>
      <c r="DO905" s="156"/>
      <c r="DP905" s="156"/>
      <c r="DQ905" s="156"/>
      <c r="DR905" s="156"/>
      <c r="DS905" s="156"/>
      <c r="DT905" s="156"/>
      <c r="DU905" s="156"/>
      <c r="DV905" s="156"/>
      <c r="DW905" s="156"/>
      <c r="DX905" s="156"/>
      <c r="DY905" s="156"/>
      <c r="DZ905" s="156"/>
      <c r="EA905" s="156"/>
      <c r="EB905" s="156"/>
      <c r="EC905" s="156"/>
      <c r="ED905" s="156"/>
      <c r="EE905" s="156"/>
      <c r="EF905" s="156"/>
      <c r="EG905" s="156"/>
      <c r="EH905" s="156"/>
      <c r="EI905" s="156"/>
      <c r="EJ905" s="156"/>
      <c r="EK905" s="156"/>
      <c r="EL905" s="156"/>
      <c r="EM905" s="156"/>
    </row>
    <row r="906" spans="20:143" ht="10.5" customHeight="1">
      <c r="T906" s="156"/>
      <c r="AZ906" s="156"/>
      <c r="BA906" s="156"/>
      <c r="BB906" s="156"/>
      <c r="BC906" s="156"/>
      <c r="BD906" s="156"/>
      <c r="BE906" s="156"/>
      <c r="BF906" s="156"/>
      <c r="BG906" s="156"/>
      <c r="BH906" s="156"/>
      <c r="BI906" s="156"/>
      <c r="BJ906" s="156"/>
      <c r="BK906" s="156"/>
      <c r="BL906" s="156"/>
      <c r="BM906" s="156"/>
      <c r="BN906" s="156"/>
      <c r="BO906" s="156"/>
      <c r="BP906" s="156"/>
      <c r="BQ906" s="156"/>
      <c r="BR906" s="156"/>
      <c r="BS906" s="156"/>
      <c r="BT906" s="156"/>
      <c r="BU906" s="156"/>
      <c r="BV906" s="156"/>
      <c r="BW906" s="156"/>
      <c r="BX906" s="156"/>
      <c r="BY906" s="156"/>
      <c r="BZ906" s="156"/>
      <c r="CA906" s="156"/>
      <c r="CB906" s="156"/>
      <c r="CC906" s="156"/>
      <c r="CD906" s="156"/>
      <c r="CE906" s="156"/>
      <c r="CF906" s="156"/>
      <c r="CG906" s="156"/>
      <c r="CH906" s="156"/>
      <c r="CI906" s="156"/>
      <c r="CJ906" s="156"/>
      <c r="CK906" s="156"/>
      <c r="CL906" s="156"/>
      <c r="CM906" s="156"/>
      <c r="CN906" s="156"/>
      <c r="CO906" s="156"/>
      <c r="CP906" s="156"/>
      <c r="CQ906" s="156"/>
      <c r="CR906" s="156"/>
      <c r="CS906" s="156"/>
      <c r="CT906" s="156"/>
      <c r="CU906" s="156"/>
      <c r="CV906" s="156"/>
      <c r="CW906" s="156"/>
      <c r="CX906" s="156"/>
      <c r="CY906" s="156"/>
      <c r="CZ906" s="156"/>
      <c r="DA906" s="156"/>
      <c r="DB906" s="156"/>
      <c r="DC906" s="156"/>
      <c r="DD906" s="156"/>
      <c r="DE906" s="156"/>
      <c r="DF906" s="156"/>
      <c r="DG906" s="156"/>
      <c r="DH906" s="156"/>
      <c r="DI906" s="156"/>
      <c r="DJ906" s="156"/>
      <c r="DK906" s="156"/>
      <c r="DL906" s="156"/>
      <c r="DM906" s="156"/>
      <c r="DN906" s="156"/>
      <c r="DO906" s="156"/>
      <c r="DP906" s="156"/>
      <c r="DQ906" s="156"/>
      <c r="DR906" s="156"/>
      <c r="DS906" s="156"/>
      <c r="DT906" s="156"/>
      <c r="DU906" s="156"/>
      <c r="DV906" s="156"/>
      <c r="DW906" s="156"/>
      <c r="DX906" s="156"/>
      <c r="DY906" s="156"/>
      <c r="DZ906" s="156"/>
      <c r="EA906" s="156"/>
      <c r="EB906" s="156"/>
      <c r="EC906" s="156"/>
      <c r="ED906" s="156"/>
      <c r="EE906" s="156"/>
      <c r="EF906" s="156"/>
      <c r="EG906" s="156"/>
      <c r="EH906" s="156"/>
      <c r="EI906" s="156"/>
      <c r="EJ906" s="156"/>
      <c r="EK906" s="156"/>
      <c r="EL906" s="156"/>
      <c r="EM906" s="156"/>
    </row>
    <row r="907" spans="20:143" ht="10.5" customHeight="1">
      <c r="T907" s="156"/>
      <c r="AZ907" s="156"/>
      <c r="BA907" s="156"/>
      <c r="BB907" s="156"/>
      <c r="BC907" s="156"/>
      <c r="BD907" s="156"/>
      <c r="BE907" s="156"/>
      <c r="BF907" s="156"/>
      <c r="BG907" s="156"/>
      <c r="BH907" s="156"/>
      <c r="BI907" s="156"/>
      <c r="BJ907" s="156"/>
      <c r="BK907" s="156"/>
      <c r="BL907" s="156"/>
      <c r="BM907" s="156"/>
      <c r="BN907" s="156"/>
      <c r="BO907" s="156"/>
      <c r="BP907" s="156"/>
      <c r="BQ907" s="156"/>
      <c r="BR907" s="156"/>
      <c r="BS907" s="156"/>
      <c r="BT907" s="156"/>
      <c r="BU907" s="156"/>
      <c r="BV907" s="156"/>
      <c r="BW907" s="156"/>
      <c r="BX907" s="156"/>
      <c r="BY907" s="156"/>
      <c r="BZ907" s="156"/>
      <c r="CA907" s="156"/>
      <c r="CB907" s="156"/>
      <c r="CC907" s="156"/>
      <c r="CD907" s="156"/>
      <c r="CE907" s="156"/>
      <c r="CF907" s="156"/>
      <c r="CG907" s="156"/>
      <c r="CH907" s="156"/>
      <c r="CI907" s="156"/>
      <c r="CJ907" s="156"/>
      <c r="CK907" s="156"/>
      <c r="CL907" s="156"/>
      <c r="CM907" s="156"/>
      <c r="CN907" s="156"/>
      <c r="CO907" s="156"/>
      <c r="CP907" s="156"/>
      <c r="CQ907" s="156"/>
      <c r="CR907" s="156"/>
      <c r="CS907" s="156"/>
      <c r="CT907" s="156"/>
      <c r="CU907" s="156"/>
      <c r="CV907" s="156"/>
      <c r="CW907" s="156"/>
      <c r="CX907" s="156"/>
      <c r="CY907" s="156"/>
      <c r="CZ907" s="156"/>
      <c r="DA907" s="156"/>
      <c r="DB907" s="156"/>
      <c r="DC907" s="156"/>
      <c r="DD907" s="156"/>
      <c r="DE907" s="156"/>
      <c r="DF907" s="156"/>
      <c r="DG907" s="156"/>
      <c r="DH907" s="156"/>
      <c r="DI907" s="156"/>
      <c r="DJ907" s="156"/>
      <c r="DK907" s="156"/>
      <c r="DL907" s="156"/>
      <c r="DM907" s="156"/>
      <c r="DN907" s="156"/>
      <c r="DO907" s="156"/>
      <c r="DP907" s="156"/>
      <c r="DQ907" s="156"/>
      <c r="DR907" s="156"/>
      <c r="DS907" s="156"/>
      <c r="DT907" s="156"/>
      <c r="DU907" s="156"/>
      <c r="DV907" s="156"/>
      <c r="DW907" s="156"/>
      <c r="DX907" s="156"/>
      <c r="DY907" s="156"/>
      <c r="DZ907" s="156"/>
      <c r="EA907" s="156"/>
      <c r="EB907" s="156"/>
      <c r="EC907" s="156"/>
      <c r="ED907" s="156"/>
      <c r="EE907" s="156"/>
      <c r="EF907" s="156"/>
      <c r="EG907" s="156"/>
      <c r="EH907" s="156"/>
      <c r="EI907" s="156"/>
      <c r="EJ907" s="156"/>
      <c r="EK907" s="156"/>
      <c r="EL907" s="156"/>
      <c r="EM907" s="156"/>
    </row>
    <row r="908" spans="20:143" ht="10.5" customHeight="1">
      <c r="T908" s="156"/>
      <c r="AZ908" s="156"/>
      <c r="BA908" s="156"/>
      <c r="BB908" s="156"/>
      <c r="BC908" s="156"/>
      <c r="BD908" s="156"/>
      <c r="BE908" s="156"/>
      <c r="BF908" s="156"/>
      <c r="BG908" s="156"/>
      <c r="BH908" s="156"/>
      <c r="BI908" s="156"/>
      <c r="BJ908" s="156"/>
      <c r="BK908" s="156"/>
      <c r="BL908" s="156"/>
      <c r="BM908" s="156"/>
      <c r="BN908" s="156"/>
      <c r="BO908" s="156"/>
      <c r="BP908" s="156"/>
      <c r="BQ908" s="156"/>
      <c r="BR908" s="156"/>
      <c r="BS908" s="156"/>
      <c r="BT908" s="156"/>
      <c r="BU908" s="156"/>
      <c r="BV908" s="156"/>
      <c r="BW908" s="156"/>
      <c r="BX908" s="156"/>
      <c r="BY908" s="156"/>
      <c r="BZ908" s="156"/>
      <c r="CA908" s="156"/>
      <c r="CB908" s="156"/>
      <c r="CC908" s="156"/>
      <c r="CD908" s="156"/>
      <c r="CE908" s="156"/>
      <c r="CF908" s="156"/>
      <c r="CG908" s="156"/>
      <c r="CH908" s="156"/>
      <c r="CI908" s="156"/>
      <c r="CJ908" s="156"/>
      <c r="CK908" s="156"/>
      <c r="CL908" s="156"/>
      <c r="CM908" s="156"/>
      <c r="CN908" s="156"/>
      <c r="CO908" s="156"/>
      <c r="CP908" s="156"/>
      <c r="CQ908" s="156"/>
      <c r="CR908" s="156"/>
      <c r="CS908" s="156"/>
      <c r="CT908" s="156"/>
      <c r="CU908" s="156"/>
      <c r="CV908" s="156"/>
      <c r="CW908" s="156"/>
      <c r="CX908" s="156"/>
      <c r="CY908" s="156"/>
      <c r="CZ908" s="156"/>
      <c r="DA908" s="156"/>
      <c r="DB908" s="156"/>
      <c r="DC908" s="156"/>
      <c r="DD908" s="156"/>
      <c r="DE908" s="156"/>
      <c r="DF908" s="156"/>
      <c r="DG908" s="156"/>
      <c r="DH908" s="156"/>
      <c r="DI908" s="156"/>
      <c r="DJ908" s="156"/>
      <c r="DK908" s="156"/>
      <c r="DL908" s="156"/>
      <c r="DM908" s="156"/>
      <c r="DN908" s="156"/>
      <c r="DO908" s="156"/>
      <c r="DP908" s="156"/>
      <c r="DQ908" s="156"/>
      <c r="DR908" s="156"/>
      <c r="DS908" s="156"/>
      <c r="DT908" s="156"/>
      <c r="DU908" s="156"/>
      <c r="DV908" s="156"/>
      <c r="DW908" s="156"/>
      <c r="DX908" s="156"/>
      <c r="DY908" s="156"/>
      <c r="DZ908" s="156"/>
      <c r="EA908" s="156"/>
      <c r="EB908" s="156"/>
      <c r="EC908" s="156"/>
      <c r="ED908" s="156"/>
      <c r="EE908" s="156"/>
      <c r="EF908" s="156"/>
      <c r="EG908" s="156"/>
      <c r="EH908" s="156"/>
      <c r="EI908" s="156"/>
      <c r="EJ908" s="156"/>
      <c r="EK908" s="156"/>
      <c r="EL908" s="156"/>
      <c r="EM908" s="156"/>
    </row>
    <row r="909" spans="20:143" ht="10.5" customHeight="1">
      <c r="T909" s="156"/>
      <c r="AZ909" s="156"/>
      <c r="BA909" s="156"/>
      <c r="BB909" s="156"/>
      <c r="BC909" s="156"/>
      <c r="BD909" s="156"/>
      <c r="BE909" s="156"/>
      <c r="BF909" s="156"/>
      <c r="BG909" s="156"/>
      <c r="BH909" s="156"/>
      <c r="BI909" s="156"/>
      <c r="BJ909" s="156"/>
      <c r="BK909" s="156"/>
      <c r="BL909" s="156"/>
      <c r="BM909" s="156"/>
      <c r="BN909" s="156"/>
      <c r="BO909" s="156"/>
      <c r="BP909" s="156"/>
      <c r="BQ909" s="156"/>
      <c r="BR909" s="156"/>
      <c r="BS909" s="156"/>
      <c r="BT909" s="156"/>
      <c r="BU909" s="156"/>
      <c r="BV909" s="156"/>
      <c r="BW909" s="156"/>
      <c r="BX909" s="156"/>
      <c r="BY909" s="156"/>
      <c r="BZ909" s="156"/>
      <c r="CA909" s="156"/>
      <c r="CB909" s="156"/>
      <c r="CC909" s="156"/>
      <c r="CD909" s="156"/>
      <c r="CE909" s="156"/>
      <c r="CF909" s="156"/>
      <c r="CG909" s="156"/>
      <c r="CH909" s="156"/>
      <c r="CI909" s="156"/>
      <c r="CJ909" s="156"/>
      <c r="CK909" s="156"/>
      <c r="CL909" s="156"/>
      <c r="CM909" s="156"/>
      <c r="CN909" s="156"/>
      <c r="CO909" s="156"/>
      <c r="CP909" s="156"/>
      <c r="CQ909" s="156"/>
      <c r="CR909" s="156"/>
      <c r="CS909" s="156"/>
      <c r="CT909" s="156"/>
      <c r="CU909" s="156"/>
      <c r="CV909" s="156"/>
      <c r="CW909" s="156"/>
      <c r="CX909" s="156"/>
      <c r="CY909" s="156"/>
      <c r="CZ909" s="156"/>
      <c r="DA909" s="156"/>
      <c r="DB909" s="156"/>
      <c r="DC909" s="156"/>
      <c r="DD909" s="156"/>
      <c r="DE909" s="156"/>
      <c r="DF909" s="156"/>
      <c r="DG909" s="156"/>
      <c r="DH909" s="156"/>
      <c r="DI909" s="156"/>
      <c r="DJ909" s="156"/>
      <c r="DK909" s="156"/>
      <c r="DL909" s="156"/>
      <c r="DM909" s="156"/>
      <c r="DN909" s="156"/>
      <c r="DO909" s="156"/>
      <c r="DP909" s="156"/>
      <c r="DQ909" s="156"/>
      <c r="DR909" s="156"/>
      <c r="DS909" s="156"/>
      <c r="DT909" s="156"/>
      <c r="DU909" s="156"/>
      <c r="DV909" s="156"/>
      <c r="DW909" s="156"/>
      <c r="DX909" s="156"/>
      <c r="DY909" s="156"/>
      <c r="DZ909" s="156"/>
      <c r="EA909" s="156"/>
      <c r="EB909" s="156"/>
      <c r="EC909" s="156"/>
      <c r="ED909" s="156"/>
      <c r="EE909" s="156"/>
      <c r="EF909" s="156"/>
      <c r="EG909" s="156"/>
      <c r="EH909" s="156"/>
      <c r="EI909" s="156"/>
      <c r="EJ909" s="156"/>
      <c r="EK909" s="156"/>
      <c r="EL909" s="156"/>
      <c r="EM909" s="156"/>
    </row>
    <row r="910" spans="20:143" ht="10.5" customHeight="1">
      <c r="T910" s="156"/>
      <c r="AZ910" s="156"/>
      <c r="BA910" s="156"/>
      <c r="BB910" s="156"/>
      <c r="BC910" s="156"/>
      <c r="BD910" s="156"/>
      <c r="BE910" s="156"/>
      <c r="BF910" s="156"/>
      <c r="BG910" s="156"/>
      <c r="BH910" s="156"/>
      <c r="BI910" s="156"/>
      <c r="BJ910" s="156"/>
      <c r="BK910" s="156"/>
      <c r="BL910" s="156"/>
      <c r="BM910" s="156"/>
      <c r="BN910" s="156"/>
      <c r="BO910" s="156"/>
      <c r="BP910" s="156"/>
      <c r="BQ910" s="156"/>
      <c r="BR910" s="156"/>
      <c r="BS910" s="156"/>
      <c r="BT910" s="156"/>
      <c r="BU910" s="156"/>
      <c r="BV910" s="156"/>
      <c r="BW910" s="156"/>
      <c r="BX910" s="156"/>
      <c r="BY910" s="156"/>
      <c r="BZ910" s="156"/>
      <c r="CA910" s="156"/>
      <c r="CB910" s="156"/>
      <c r="CC910" s="156"/>
      <c r="CD910" s="156"/>
      <c r="CE910" s="156"/>
      <c r="CF910" s="156"/>
      <c r="CG910" s="156"/>
      <c r="CH910" s="156"/>
      <c r="CI910" s="156"/>
      <c r="CJ910" s="156"/>
      <c r="CK910" s="156"/>
      <c r="CL910" s="156"/>
      <c r="CM910" s="156"/>
      <c r="CN910" s="156"/>
      <c r="CO910" s="156"/>
      <c r="CP910" s="156"/>
      <c r="CQ910" s="156"/>
      <c r="CR910" s="156"/>
      <c r="CS910" s="156"/>
      <c r="CT910" s="156"/>
      <c r="CU910" s="156"/>
      <c r="CV910" s="156"/>
      <c r="CW910" s="156"/>
      <c r="CX910" s="156"/>
      <c r="CY910" s="156"/>
      <c r="CZ910" s="156"/>
      <c r="DA910" s="156"/>
      <c r="DB910" s="156"/>
      <c r="DC910" s="156"/>
      <c r="DD910" s="156"/>
      <c r="DE910" s="156"/>
      <c r="DF910" s="156"/>
      <c r="DG910" s="156"/>
      <c r="DH910" s="156"/>
      <c r="DI910" s="156"/>
      <c r="DJ910" s="156"/>
      <c r="DK910" s="156"/>
      <c r="DL910" s="156"/>
      <c r="DM910" s="156"/>
      <c r="DN910" s="156"/>
      <c r="DO910" s="156"/>
      <c r="DP910" s="156"/>
      <c r="DQ910" s="156"/>
      <c r="DR910" s="156"/>
      <c r="DS910" s="156"/>
      <c r="DT910" s="156"/>
      <c r="DU910" s="156"/>
      <c r="DV910" s="156"/>
      <c r="DW910" s="156"/>
      <c r="DX910" s="156"/>
      <c r="DY910" s="156"/>
      <c r="DZ910" s="156"/>
      <c r="EA910" s="156"/>
      <c r="EB910" s="156"/>
      <c r="EC910" s="156"/>
      <c r="ED910" s="156"/>
      <c r="EE910" s="156"/>
      <c r="EF910" s="156"/>
      <c r="EG910" s="156"/>
      <c r="EH910" s="156"/>
      <c r="EI910" s="156"/>
      <c r="EJ910" s="156"/>
      <c r="EK910" s="156"/>
      <c r="EL910" s="156"/>
      <c r="EM910" s="156"/>
    </row>
    <row r="911" spans="20:143" ht="10.5" customHeight="1">
      <c r="T911" s="156"/>
      <c r="AZ911" s="156"/>
      <c r="BA911" s="156"/>
      <c r="BB911" s="156"/>
      <c r="BC911" s="156"/>
      <c r="BD911" s="156"/>
      <c r="BE911" s="156"/>
      <c r="BF911" s="156"/>
      <c r="BG911" s="156"/>
      <c r="BH911" s="156"/>
      <c r="BI911" s="156"/>
      <c r="BJ911" s="156"/>
      <c r="BK911" s="156"/>
      <c r="BL911" s="156"/>
      <c r="BM911" s="156"/>
      <c r="BN911" s="156"/>
      <c r="BO911" s="156"/>
      <c r="BP911" s="156"/>
      <c r="BQ911" s="156"/>
      <c r="BR911" s="156"/>
      <c r="BS911" s="156"/>
      <c r="BT911" s="156"/>
      <c r="BU911" s="156"/>
      <c r="BV911" s="156"/>
      <c r="BW911" s="156"/>
      <c r="BX911" s="156"/>
      <c r="BY911" s="156"/>
      <c r="BZ911" s="156"/>
      <c r="CA911" s="156"/>
      <c r="CB911" s="156"/>
      <c r="CC911" s="156"/>
      <c r="CD911" s="156"/>
      <c r="CE911" s="156"/>
      <c r="CF911" s="156"/>
      <c r="CG911" s="156"/>
      <c r="CH911" s="156"/>
      <c r="CI911" s="156"/>
      <c r="CJ911" s="156"/>
      <c r="CK911" s="156"/>
      <c r="CL911" s="156"/>
      <c r="CM911" s="156"/>
      <c r="CN911" s="156"/>
      <c r="CO911" s="156"/>
      <c r="CP911" s="156"/>
      <c r="CQ911" s="156"/>
      <c r="CR911" s="156"/>
      <c r="CS911" s="156"/>
      <c r="CT911" s="156"/>
      <c r="CU911" s="156"/>
      <c r="CV911" s="156"/>
      <c r="CW911" s="156"/>
      <c r="CX911" s="156"/>
      <c r="CY911" s="156"/>
      <c r="CZ911" s="156"/>
      <c r="DA911" s="156"/>
      <c r="DB911" s="156"/>
      <c r="DC911" s="156"/>
      <c r="DD911" s="156"/>
      <c r="DE911" s="156"/>
      <c r="DF911" s="156"/>
      <c r="DG911" s="156"/>
      <c r="DH911" s="156"/>
      <c r="DI911" s="156"/>
      <c r="DJ911" s="156"/>
      <c r="DK911" s="156"/>
      <c r="DL911" s="156"/>
      <c r="DM911" s="156"/>
      <c r="DN911" s="156"/>
      <c r="DO911" s="156"/>
      <c r="DP911" s="156"/>
      <c r="DQ911" s="156"/>
      <c r="DR911" s="156"/>
      <c r="DS911" s="156"/>
      <c r="DT911" s="156"/>
      <c r="DU911" s="156"/>
      <c r="DV911" s="156"/>
      <c r="DW911" s="156"/>
      <c r="DX911" s="156"/>
      <c r="DY911" s="156"/>
      <c r="DZ911" s="156"/>
      <c r="EA911" s="156"/>
      <c r="EB911" s="156"/>
      <c r="EC911" s="156"/>
      <c r="ED911" s="156"/>
      <c r="EE911" s="156"/>
      <c r="EF911" s="156"/>
      <c r="EG911" s="156"/>
      <c r="EH911" s="156"/>
      <c r="EI911" s="156"/>
      <c r="EJ911" s="156"/>
      <c r="EK911" s="156"/>
      <c r="EL911" s="156"/>
      <c r="EM911" s="156"/>
    </row>
    <row r="912" spans="20:143" ht="10.5" customHeight="1">
      <c r="T912" s="156"/>
      <c r="AZ912" s="156"/>
      <c r="BA912" s="156"/>
      <c r="BB912" s="156"/>
      <c r="BC912" s="156"/>
      <c r="BD912" s="156"/>
      <c r="BE912" s="156"/>
      <c r="BF912" s="156"/>
      <c r="BG912" s="156"/>
      <c r="BH912" s="156"/>
      <c r="BI912" s="156"/>
      <c r="BJ912" s="156"/>
      <c r="BK912" s="156"/>
      <c r="BL912" s="156"/>
      <c r="BM912" s="156"/>
      <c r="BN912" s="156"/>
      <c r="BO912" s="156"/>
      <c r="BP912" s="156"/>
      <c r="BQ912" s="156"/>
      <c r="BR912" s="156"/>
      <c r="BS912" s="156"/>
      <c r="BT912" s="156"/>
      <c r="BU912" s="156"/>
      <c r="BV912" s="156"/>
      <c r="BW912" s="156"/>
      <c r="BX912" s="156"/>
      <c r="BY912" s="156"/>
      <c r="BZ912" s="156"/>
      <c r="CA912" s="156"/>
      <c r="CB912" s="156"/>
      <c r="CC912" s="156"/>
      <c r="CD912" s="156"/>
      <c r="CE912" s="156"/>
      <c r="CF912" s="156"/>
      <c r="CG912" s="156"/>
      <c r="CH912" s="156"/>
      <c r="CI912" s="156"/>
      <c r="CJ912" s="156"/>
      <c r="CK912" s="156"/>
      <c r="CL912" s="156"/>
      <c r="CM912" s="156"/>
      <c r="CN912" s="156"/>
      <c r="CO912" s="156"/>
      <c r="CP912" s="156"/>
      <c r="CQ912" s="156"/>
      <c r="CR912" s="156"/>
      <c r="CS912" s="156"/>
      <c r="CT912" s="156"/>
      <c r="CU912" s="156"/>
      <c r="CV912" s="156"/>
      <c r="CW912" s="156"/>
      <c r="CX912" s="156"/>
      <c r="CY912" s="156"/>
      <c r="CZ912" s="156"/>
      <c r="DA912" s="156"/>
      <c r="DB912" s="156"/>
      <c r="DC912" s="156"/>
      <c r="DD912" s="156"/>
      <c r="DE912" s="156"/>
      <c r="DF912" s="156"/>
      <c r="DG912" s="156"/>
      <c r="DH912" s="156"/>
      <c r="DI912" s="156"/>
      <c r="DJ912" s="156"/>
      <c r="DK912" s="156"/>
      <c r="DL912" s="156"/>
      <c r="DM912" s="156"/>
      <c r="DN912" s="156"/>
      <c r="DO912" s="156"/>
      <c r="DP912" s="156"/>
      <c r="DQ912" s="156"/>
      <c r="DR912" s="156"/>
      <c r="DS912" s="156"/>
      <c r="DT912" s="156"/>
      <c r="DU912" s="156"/>
      <c r="DV912" s="156"/>
      <c r="DW912" s="156"/>
      <c r="DX912" s="156"/>
      <c r="DY912" s="156"/>
      <c r="DZ912" s="156"/>
      <c r="EA912" s="156"/>
      <c r="EB912" s="156"/>
      <c r="EC912" s="156"/>
      <c r="ED912" s="156"/>
      <c r="EE912" s="156"/>
      <c r="EF912" s="156"/>
      <c r="EG912" s="156"/>
      <c r="EH912" s="156"/>
      <c r="EI912" s="156"/>
      <c r="EJ912" s="156"/>
      <c r="EK912" s="156"/>
      <c r="EL912" s="156"/>
      <c r="EM912" s="156"/>
    </row>
    <row r="913" spans="20:143" ht="10.5" customHeight="1">
      <c r="T913" s="156"/>
      <c r="AZ913" s="156"/>
      <c r="BA913" s="156"/>
      <c r="BB913" s="156"/>
      <c r="BC913" s="156"/>
      <c r="BD913" s="156"/>
      <c r="BE913" s="156"/>
      <c r="BF913" s="156"/>
      <c r="BG913" s="156"/>
      <c r="BH913" s="156"/>
      <c r="BI913" s="156"/>
      <c r="BJ913" s="156"/>
      <c r="BK913" s="156"/>
      <c r="BL913" s="156"/>
      <c r="BM913" s="156"/>
      <c r="BN913" s="156"/>
      <c r="BO913" s="156"/>
      <c r="BP913" s="156"/>
      <c r="BQ913" s="156"/>
      <c r="BR913" s="156"/>
      <c r="BS913" s="156"/>
      <c r="BT913" s="156"/>
      <c r="BU913" s="156"/>
      <c r="BV913" s="156"/>
      <c r="BW913" s="156"/>
      <c r="BX913" s="156"/>
      <c r="BY913" s="156"/>
      <c r="BZ913" s="156"/>
      <c r="CA913" s="156"/>
      <c r="CB913" s="156"/>
      <c r="CC913" s="156"/>
      <c r="CD913" s="156"/>
      <c r="CE913" s="156"/>
      <c r="CF913" s="156"/>
      <c r="CG913" s="156"/>
      <c r="CH913" s="156"/>
      <c r="CI913" s="156"/>
      <c r="CJ913" s="156"/>
      <c r="CK913" s="156"/>
      <c r="CL913" s="156"/>
      <c r="CM913" s="156"/>
      <c r="CN913" s="156"/>
      <c r="CO913" s="156"/>
      <c r="CP913" s="156"/>
      <c r="CQ913" s="156"/>
      <c r="CR913" s="156"/>
      <c r="CS913" s="156"/>
      <c r="CT913" s="156"/>
      <c r="CU913" s="156"/>
      <c r="CV913" s="156"/>
      <c r="CW913" s="156"/>
      <c r="CX913" s="156"/>
      <c r="CY913" s="156"/>
      <c r="CZ913" s="156"/>
      <c r="DA913" s="156"/>
      <c r="DB913" s="156"/>
      <c r="DC913" s="156"/>
      <c r="DD913" s="156"/>
      <c r="DE913" s="156"/>
      <c r="DF913" s="156"/>
      <c r="DG913" s="156"/>
      <c r="DH913" s="156"/>
      <c r="DI913" s="156"/>
      <c r="DJ913" s="156"/>
      <c r="DK913" s="156"/>
      <c r="DL913" s="156"/>
      <c r="DM913" s="156"/>
      <c r="DN913" s="156"/>
      <c r="DO913" s="156"/>
      <c r="DP913" s="156"/>
      <c r="DQ913" s="156"/>
      <c r="DR913" s="156"/>
      <c r="DS913" s="156"/>
      <c r="DT913" s="156"/>
      <c r="DU913" s="156"/>
      <c r="DV913" s="156"/>
      <c r="DW913" s="156"/>
      <c r="DX913" s="156"/>
      <c r="DY913" s="156"/>
      <c r="DZ913" s="156"/>
      <c r="EA913" s="156"/>
      <c r="EB913" s="156"/>
      <c r="EC913" s="156"/>
      <c r="ED913" s="156"/>
      <c r="EE913" s="156"/>
      <c r="EF913" s="156"/>
      <c r="EG913" s="156"/>
      <c r="EH913" s="156"/>
      <c r="EI913" s="156"/>
      <c r="EJ913" s="156"/>
      <c r="EK913" s="156"/>
      <c r="EL913" s="156"/>
      <c r="EM913" s="156"/>
    </row>
    <row r="914" spans="20:143" ht="10.5" customHeight="1">
      <c r="T914" s="156"/>
      <c r="AZ914" s="156"/>
      <c r="BA914" s="156"/>
      <c r="BB914" s="156"/>
      <c r="BC914" s="156"/>
      <c r="BD914" s="156"/>
      <c r="BE914" s="156"/>
      <c r="BF914" s="156"/>
      <c r="BG914" s="156"/>
      <c r="BH914" s="156"/>
      <c r="BI914" s="156"/>
      <c r="BJ914" s="156"/>
      <c r="BK914" s="156"/>
      <c r="BL914" s="156"/>
      <c r="BM914" s="156"/>
      <c r="BN914" s="156"/>
      <c r="BO914" s="156"/>
      <c r="BP914" s="156"/>
      <c r="BQ914" s="156"/>
      <c r="BR914" s="156"/>
      <c r="BS914" s="156"/>
      <c r="BT914" s="156"/>
      <c r="BU914" s="156"/>
      <c r="BV914" s="156"/>
      <c r="BW914" s="156"/>
      <c r="BX914" s="156"/>
      <c r="BY914" s="156"/>
      <c r="BZ914" s="156"/>
      <c r="CA914" s="156"/>
      <c r="CB914" s="156"/>
      <c r="CC914" s="156"/>
      <c r="CD914" s="156"/>
      <c r="CE914" s="156"/>
      <c r="CF914" s="156"/>
      <c r="CG914" s="156"/>
      <c r="CH914" s="156"/>
      <c r="CI914" s="156"/>
      <c r="CJ914" s="156"/>
      <c r="CK914" s="156"/>
      <c r="CL914" s="156"/>
      <c r="CM914" s="156"/>
      <c r="CN914" s="156"/>
      <c r="CO914" s="156"/>
      <c r="CP914" s="156"/>
      <c r="CQ914" s="156"/>
      <c r="CR914" s="156"/>
      <c r="CS914" s="156"/>
      <c r="CT914" s="156"/>
      <c r="CU914" s="156"/>
      <c r="CV914" s="156"/>
      <c r="CW914" s="156"/>
      <c r="CX914" s="156"/>
      <c r="CY914" s="156"/>
      <c r="CZ914" s="156"/>
      <c r="DA914" s="156"/>
      <c r="DB914" s="156"/>
      <c r="DC914" s="156"/>
      <c r="DD914" s="156"/>
      <c r="DE914" s="156"/>
      <c r="DF914" s="156"/>
      <c r="DG914" s="156"/>
      <c r="DH914" s="156"/>
      <c r="DI914" s="156"/>
      <c r="DJ914" s="156"/>
      <c r="DK914" s="156"/>
      <c r="DL914" s="156"/>
      <c r="DM914" s="156"/>
      <c r="DN914" s="156"/>
      <c r="DO914" s="156"/>
      <c r="DP914" s="156"/>
      <c r="DQ914" s="156"/>
      <c r="DR914" s="156"/>
      <c r="DS914" s="156"/>
      <c r="DT914" s="156"/>
      <c r="DU914" s="156"/>
      <c r="DV914" s="156"/>
      <c r="DW914" s="156"/>
      <c r="DX914" s="156"/>
      <c r="DY914" s="156"/>
      <c r="DZ914" s="156"/>
      <c r="EA914" s="156"/>
      <c r="EB914" s="156"/>
      <c r="EC914" s="156"/>
      <c r="ED914" s="156"/>
      <c r="EE914" s="156"/>
      <c r="EF914" s="156"/>
      <c r="EG914" s="156"/>
      <c r="EH914" s="156"/>
      <c r="EI914" s="156"/>
      <c r="EJ914" s="156"/>
      <c r="EK914" s="156"/>
      <c r="EL914" s="156"/>
      <c r="EM914" s="156"/>
    </row>
    <row r="915" spans="20:143" ht="10.5" customHeight="1">
      <c r="T915" s="156"/>
      <c r="AZ915" s="156"/>
      <c r="BA915" s="156"/>
      <c r="BB915" s="156"/>
      <c r="BC915" s="156"/>
      <c r="BD915" s="156"/>
      <c r="BE915" s="156"/>
      <c r="BF915" s="156"/>
      <c r="BG915" s="156"/>
      <c r="BH915" s="156"/>
      <c r="BI915" s="156"/>
      <c r="BJ915" s="156"/>
      <c r="BK915" s="156"/>
      <c r="BL915" s="156"/>
      <c r="BM915" s="156"/>
      <c r="BN915" s="156"/>
      <c r="BO915" s="156"/>
      <c r="BP915" s="156"/>
      <c r="BQ915" s="156"/>
      <c r="BR915" s="156"/>
      <c r="BS915" s="156"/>
      <c r="BT915" s="156"/>
      <c r="BU915" s="156"/>
      <c r="BV915" s="156"/>
      <c r="BW915" s="156"/>
      <c r="BX915" s="156"/>
      <c r="BY915" s="156"/>
      <c r="BZ915" s="156"/>
      <c r="CA915" s="156"/>
      <c r="CB915" s="156"/>
      <c r="CC915" s="156"/>
      <c r="CD915" s="156"/>
      <c r="CE915" s="156"/>
      <c r="CF915" s="156"/>
      <c r="CG915" s="156"/>
      <c r="CH915" s="156"/>
      <c r="CI915" s="156"/>
      <c r="CJ915" s="156"/>
      <c r="CK915" s="156"/>
      <c r="CL915" s="156"/>
      <c r="CM915" s="156"/>
      <c r="CN915" s="156"/>
      <c r="CO915" s="156"/>
      <c r="CP915" s="156"/>
      <c r="CQ915" s="156"/>
      <c r="CR915" s="156"/>
      <c r="CS915" s="156"/>
      <c r="CT915" s="156"/>
      <c r="CU915" s="156"/>
      <c r="CV915" s="156"/>
      <c r="CW915" s="156"/>
      <c r="CX915" s="156"/>
      <c r="CY915" s="156"/>
      <c r="CZ915" s="156"/>
      <c r="DA915" s="156"/>
      <c r="DB915" s="156"/>
      <c r="DC915" s="156"/>
      <c r="DD915" s="156"/>
      <c r="DE915" s="156"/>
      <c r="DF915" s="156"/>
      <c r="DG915" s="156"/>
      <c r="DH915" s="156"/>
      <c r="DI915" s="156"/>
      <c r="DJ915" s="156"/>
      <c r="DK915" s="156"/>
      <c r="DL915" s="156"/>
      <c r="DM915" s="156"/>
      <c r="DN915" s="156"/>
      <c r="DO915" s="156"/>
      <c r="DP915" s="156"/>
      <c r="DQ915" s="156"/>
      <c r="DR915" s="156"/>
      <c r="DS915" s="156"/>
      <c r="DT915" s="156"/>
      <c r="DU915" s="156"/>
      <c r="DV915" s="156"/>
      <c r="DW915" s="156"/>
      <c r="DX915" s="156"/>
      <c r="DY915" s="156"/>
      <c r="DZ915" s="156"/>
      <c r="EA915" s="156"/>
      <c r="EB915" s="156"/>
      <c r="EC915" s="156"/>
      <c r="ED915" s="156"/>
      <c r="EE915" s="156"/>
      <c r="EF915" s="156"/>
      <c r="EG915" s="156"/>
      <c r="EH915" s="156"/>
      <c r="EI915" s="156"/>
      <c r="EJ915" s="156"/>
      <c r="EK915" s="156"/>
      <c r="EL915" s="156"/>
      <c r="EM915" s="156"/>
    </row>
    <row r="916" spans="20:143" ht="10.5" customHeight="1">
      <c r="T916" s="156"/>
      <c r="AZ916" s="156"/>
      <c r="BA916" s="156"/>
      <c r="BB916" s="156"/>
      <c r="BC916" s="156"/>
      <c r="BD916" s="156"/>
      <c r="BE916" s="156"/>
      <c r="BF916" s="156"/>
      <c r="BG916" s="156"/>
      <c r="BH916" s="156"/>
      <c r="BI916" s="156"/>
      <c r="BJ916" s="156"/>
      <c r="BK916" s="156"/>
      <c r="BL916" s="156"/>
      <c r="BM916" s="156"/>
      <c r="BN916" s="156"/>
      <c r="BO916" s="156"/>
      <c r="BP916" s="156"/>
      <c r="BQ916" s="156"/>
      <c r="BR916" s="156"/>
      <c r="BS916" s="156"/>
      <c r="BT916" s="156"/>
      <c r="BU916" s="156"/>
      <c r="BV916" s="156"/>
      <c r="BW916" s="156"/>
      <c r="BX916" s="156"/>
      <c r="BY916" s="156"/>
      <c r="BZ916" s="156"/>
      <c r="CA916" s="156"/>
      <c r="CB916" s="156"/>
      <c r="CC916" s="156"/>
      <c r="CD916" s="156"/>
      <c r="CE916" s="156"/>
      <c r="CF916" s="156"/>
      <c r="CG916" s="156"/>
      <c r="CH916" s="156"/>
      <c r="CI916" s="156"/>
      <c r="CJ916" s="156"/>
      <c r="CK916" s="156"/>
      <c r="CL916" s="156"/>
      <c r="CM916" s="156"/>
      <c r="CN916" s="156"/>
      <c r="CO916" s="156"/>
      <c r="CP916" s="156"/>
      <c r="CQ916" s="156"/>
      <c r="CR916" s="156"/>
      <c r="CS916" s="156"/>
      <c r="CT916" s="156"/>
      <c r="CU916" s="156"/>
      <c r="CV916" s="156"/>
      <c r="CW916" s="156"/>
      <c r="CX916" s="156"/>
      <c r="CY916" s="156"/>
      <c r="CZ916" s="156"/>
      <c r="DA916" s="156"/>
      <c r="DB916" s="156"/>
      <c r="DC916" s="156"/>
      <c r="DD916" s="156"/>
      <c r="DE916" s="156"/>
      <c r="DF916" s="156"/>
      <c r="DG916" s="156"/>
      <c r="DH916" s="156"/>
      <c r="DI916" s="156"/>
      <c r="DJ916" s="156"/>
      <c r="DK916" s="156"/>
      <c r="DL916" s="156"/>
      <c r="DM916" s="156"/>
      <c r="DN916" s="156"/>
      <c r="DO916" s="156"/>
      <c r="DP916" s="156"/>
      <c r="DQ916" s="156"/>
      <c r="DR916" s="156"/>
      <c r="DS916" s="156"/>
      <c r="DT916" s="156"/>
      <c r="DU916" s="156"/>
      <c r="DV916" s="156"/>
      <c r="DW916" s="156"/>
      <c r="DX916" s="156"/>
      <c r="DY916" s="156"/>
      <c r="DZ916" s="156"/>
      <c r="EA916" s="156"/>
      <c r="EB916" s="156"/>
      <c r="EC916" s="156"/>
      <c r="ED916" s="156"/>
      <c r="EE916" s="156"/>
      <c r="EF916" s="156"/>
      <c r="EG916" s="156"/>
      <c r="EH916" s="156"/>
      <c r="EI916" s="156"/>
      <c r="EJ916" s="156"/>
      <c r="EK916" s="156"/>
      <c r="EL916" s="156"/>
      <c r="EM916" s="156"/>
    </row>
    <row r="917" spans="20:143" ht="10.5" customHeight="1">
      <c r="T917" s="156"/>
      <c r="AZ917" s="156"/>
      <c r="BA917" s="156"/>
      <c r="BB917" s="156"/>
      <c r="BC917" s="156"/>
      <c r="BD917" s="156"/>
      <c r="BE917" s="156"/>
      <c r="BF917" s="156"/>
      <c r="BG917" s="156"/>
      <c r="BH917" s="156"/>
      <c r="BI917" s="156"/>
      <c r="BJ917" s="156"/>
      <c r="BK917" s="156"/>
      <c r="BL917" s="156"/>
      <c r="BM917" s="156"/>
      <c r="BN917" s="156"/>
      <c r="BO917" s="156"/>
      <c r="BP917" s="156"/>
      <c r="BQ917" s="156"/>
      <c r="BR917" s="156"/>
      <c r="BS917" s="156"/>
      <c r="BT917" s="156"/>
      <c r="BU917" s="156"/>
      <c r="BV917" s="156"/>
      <c r="BW917" s="156"/>
      <c r="BX917" s="156"/>
      <c r="BY917" s="156"/>
      <c r="BZ917" s="156"/>
      <c r="CA917" s="156"/>
      <c r="CB917" s="156"/>
      <c r="CC917" s="156"/>
      <c r="CD917" s="156"/>
      <c r="CE917" s="156"/>
      <c r="CF917" s="156"/>
      <c r="CG917" s="156"/>
      <c r="CH917" s="156"/>
      <c r="CI917" s="156"/>
      <c r="CJ917" s="156"/>
      <c r="CK917" s="156"/>
      <c r="CL917" s="156"/>
      <c r="CM917" s="156"/>
      <c r="CN917" s="156"/>
      <c r="CO917" s="156"/>
      <c r="CP917" s="156"/>
      <c r="CQ917" s="156"/>
      <c r="CR917" s="156"/>
      <c r="CS917" s="156"/>
      <c r="CT917" s="156"/>
      <c r="CU917" s="156"/>
      <c r="CV917" s="156"/>
      <c r="CW917" s="156"/>
      <c r="CX917" s="156"/>
      <c r="CY917" s="156"/>
      <c r="CZ917" s="156"/>
      <c r="DA917" s="156"/>
      <c r="DB917" s="156"/>
      <c r="DC917" s="156"/>
      <c r="DD917" s="156"/>
      <c r="DE917" s="156"/>
      <c r="DF917" s="156"/>
      <c r="DG917" s="156"/>
      <c r="DH917" s="156"/>
      <c r="DI917" s="156"/>
      <c r="DJ917" s="156"/>
      <c r="DK917" s="156"/>
      <c r="DL917" s="156"/>
      <c r="DM917" s="156"/>
      <c r="DN917" s="156"/>
      <c r="DO917" s="156"/>
      <c r="DP917" s="156"/>
      <c r="DQ917" s="156"/>
      <c r="DR917" s="156"/>
      <c r="DS917" s="156"/>
      <c r="DT917" s="156"/>
      <c r="DU917" s="156"/>
      <c r="DV917" s="156"/>
      <c r="DW917" s="156"/>
      <c r="DX917" s="156"/>
      <c r="DY917" s="156"/>
      <c r="DZ917" s="156"/>
      <c r="EA917" s="156"/>
      <c r="EB917" s="156"/>
      <c r="EC917" s="156"/>
      <c r="ED917" s="156"/>
      <c r="EE917" s="156"/>
      <c r="EF917" s="156"/>
      <c r="EG917" s="156"/>
      <c r="EH917" s="156"/>
      <c r="EI917" s="156"/>
      <c r="EJ917" s="156"/>
      <c r="EK917" s="156"/>
      <c r="EL917" s="156"/>
      <c r="EM917" s="156"/>
    </row>
    <row r="918" spans="20:143" ht="10.5" customHeight="1">
      <c r="T918" s="156"/>
      <c r="AZ918" s="156"/>
      <c r="BA918" s="156"/>
      <c r="BB918" s="156"/>
      <c r="BC918" s="156"/>
      <c r="BD918" s="156"/>
      <c r="BE918" s="156"/>
      <c r="BF918" s="156"/>
      <c r="BG918" s="156"/>
      <c r="BH918" s="156"/>
      <c r="BI918" s="156"/>
      <c r="BJ918" s="156"/>
      <c r="BK918" s="156"/>
      <c r="BL918" s="156"/>
      <c r="BM918" s="156"/>
      <c r="BN918" s="156"/>
      <c r="BO918" s="156"/>
      <c r="BP918" s="156"/>
      <c r="BQ918" s="156"/>
      <c r="BR918" s="156"/>
      <c r="BS918" s="156"/>
      <c r="BT918" s="156"/>
      <c r="BU918" s="156"/>
      <c r="BV918" s="156"/>
      <c r="BW918" s="156"/>
      <c r="BX918" s="156"/>
      <c r="BY918" s="156"/>
      <c r="BZ918" s="156"/>
      <c r="CA918" s="156"/>
      <c r="CB918" s="156"/>
      <c r="CC918" s="156"/>
      <c r="CD918" s="156"/>
      <c r="CE918" s="156"/>
      <c r="CF918" s="156"/>
      <c r="CG918" s="156"/>
      <c r="CH918" s="156"/>
      <c r="CI918" s="156"/>
      <c r="CJ918" s="156"/>
      <c r="CK918" s="156"/>
      <c r="CL918" s="156"/>
      <c r="CM918" s="156"/>
      <c r="CN918" s="156"/>
      <c r="CO918" s="156"/>
      <c r="CP918" s="156"/>
      <c r="CQ918" s="156"/>
      <c r="CR918" s="156"/>
      <c r="CS918" s="156"/>
      <c r="CT918" s="156"/>
      <c r="CU918" s="156"/>
      <c r="CV918" s="156"/>
      <c r="CW918" s="156"/>
      <c r="CX918" s="156"/>
      <c r="CY918" s="156"/>
      <c r="CZ918" s="156"/>
      <c r="DA918" s="156"/>
      <c r="DB918" s="156"/>
      <c r="DC918" s="156"/>
      <c r="DD918" s="156"/>
      <c r="DE918" s="156"/>
      <c r="DF918" s="156"/>
      <c r="DG918" s="156"/>
      <c r="DH918" s="156"/>
      <c r="DI918" s="156"/>
      <c r="DJ918" s="156"/>
      <c r="DK918" s="156"/>
      <c r="DL918" s="156"/>
      <c r="DM918" s="156"/>
      <c r="DN918" s="156"/>
      <c r="DO918" s="156"/>
      <c r="DP918" s="156"/>
      <c r="DQ918" s="156"/>
      <c r="DR918" s="156"/>
      <c r="DS918" s="156"/>
      <c r="DT918" s="156"/>
      <c r="DU918" s="156"/>
      <c r="DV918" s="156"/>
      <c r="DW918" s="156"/>
      <c r="DX918" s="156"/>
      <c r="DY918" s="156"/>
      <c r="DZ918" s="156"/>
      <c r="EA918" s="156"/>
      <c r="EB918" s="156"/>
      <c r="EC918" s="156"/>
      <c r="ED918" s="156"/>
      <c r="EE918" s="156"/>
      <c r="EF918" s="156"/>
      <c r="EG918" s="156"/>
      <c r="EH918" s="156"/>
      <c r="EI918" s="156"/>
      <c r="EJ918" s="156"/>
      <c r="EK918" s="156"/>
      <c r="EL918" s="156"/>
      <c r="EM918" s="156"/>
    </row>
    <row r="919" spans="20:143" ht="10.5" customHeight="1">
      <c r="T919" s="156"/>
      <c r="AZ919" s="156"/>
      <c r="BA919" s="156"/>
      <c r="BB919" s="156"/>
      <c r="BC919" s="156"/>
      <c r="BD919" s="156"/>
      <c r="BE919" s="156"/>
      <c r="BF919" s="156"/>
      <c r="BG919" s="156"/>
      <c r="BH919" s="156"/>
      <c r="BI919" s="156"/>
      <c r="BJ919" s="156"/>
      <c r="BK919" s="156"/>
      <c r="BL919" s="156"/>
      <c r="BM919" s="156"/>
      <c r="BN919" s="156"/>
      <c r="BO919" s="156"/>
      <c r="BP919" s="156"/>
      <c r="BQ919" s="156"/>
      <c r="BR919" s="156"/>
      <c r="BS919" s="156"/>
      <c r="BT919" s="156"/>
      <c r="BU919" s="156"/>
      <c r="BV919" s="156"/>
      <c r="BW919" s="156"/>
      <c r="BX919" s="156"/>
      <c r="BY919" s="156"/>
      <c r="BZ919" s="156"/>
      <c r="CA919" s="156"/>
      <c r="CB919" s="156"/>
      <c r="CC919" s="156"/>
      <c r="CD919" s="156"/>
      <c r="CE919" s="156"/>
      <c r="CF919" s="156"/>
      <c r="CG919" s="156"/>
      <c r="CH919" s="156"/>
      <c r="CI919" s="156"/>
      <c r="CJ919" s="156"/>
      <c r="CK919" s="156"/>
      <c r="CL919" s="156"/>
      <c r="CM919" s="156"/>
      <c r="CN919" s="156"/>
      <c r="CO919" s="156"/>
      <c r="CP919" s="156"/>
      <c r="CQ919" s="156"/>
      <c r="CR919" s="156"/>
      <c r="CS919" s="156"/>
      <c r="CT919" s="156"/>
      <c r="CU919" s="156"/>
      <c r="CV919" s="156"/>
      <c r="CW919" s="156"/>
      <c r="CX919" s="156"/>
      <c r="CY919" s="156"/>
      <c r="CZ919" s="156"/>
      <c r="DA919" s="156"/>
      <c r="DB919" s="156"/>
      <c r="DC919" s="156"/>
      <c r="DD919" s="156"/>
      <c r="DE919" s="156"/>
      <c r="DF919" s="156"/>
      <c r="DG919" s="156"/>
      <c r="DH919" s="156"/>
      <c r="DI919" s="156"/>
      <c r="DJ919" s="156"/>
      <c r="DK919" s="156"/>
      <c r="DL919" s="156"/>
      <c r="DM919" s="156"/>
      <c r="DN919" s="156"/>
      <c r="DO919" s="156"/>
      <c r="DP919" s="156"/>
      <c r="DQ919" s="156"/>
      <c r="DR919" s="156"/>
      <c r="DS919" s="156"/>
      <c r="DT919" s="156"/>
      <c r="DU919" s="156"/>
      <c r="DV919" s="156"/>
      <c r="DW919" s="156"/>
      <c r="DX919" s="156"/>
      <c r="DY919" s="156"/>
      <c r="DZ919" s="156"/>
      <c r="EA919" s="156"/>
      <c r="EB919" s="156"/>
      <c r="EC919" s="156"/>
      <c r="ED919" s="156"/>
      <c r="EE919" s="156"/>
      <c r="EF919" s="156"/>
      <c r="EG919" s="156"/>
      <c r="EH919" s="156"/>
      <c r="EI919" s="156"/>
      <c r="EJ919" s="156"/>
      <c r="EK919" s="156"/>
      <c r="EL919" s="156"/>
      <c r="EM919" s="156"/>
    </row>
    <row r="920" spans="20:143" ht="10.5" customHeight="1">
      <c r="T920" s="156"/>
      <c r="AZ920" s="156"/>
      <c r="BA920" s="156"/>
      <c r="BB920" s="156"/>
      <c r="BC920" s="156"/>
      <c r="BD920" s="156"/>
      <c r="BE920" s="156"/>
      <c r="BF920" s="156"/>
      <c r="BG920" s="156"/>
      <c r="BH920" s="156"/>
      <c r="BI920" s="156"/>
      <c r="BJ920" s="156"/>
      <c r="BK920" s="156"/>
      <c r="BL920" s="156"/>
      <c r="BM920" s="156"/>
      <c r="BN920" s="156"/>
      <c r="BO920" s="156"/>
      <c r="BP920" s="156"/>
      <c r="BQ920" s="156"/>
      <c r="BR920" s="156"/>
      <c r="BS920" s="156"/>
      <c r="BT920" s="156"/>
      <c r="BU920" s="156"/>
      <c r="BV920" s="156"/>
      <c r="BW920" s="156"/>
      <c r="BX920" s="156"/>
      <c r="BY920" s="156"/>
      <c r="BZ920" s="156"/>
      <c r="CA920" s="156"/>
      <c r="CB920" s="156"/>
      <c r="CC920" s="156"/>
      <c r="CD920" s="156"/>
      <c r="CE920" s="156"/>
      <c r="CF920" s="156"/>
      <c r="CG920" s="156"/>
      <c r="CH920" s="156"/>
      <c r="CI920" s="156"/>
      <c r="CJ920" s="156"/>
      <c r="CK920" s="156"/>
      <c r="CL920" s="156"/>
      <c r="CM920" s="156"/>
      <c r="CN920" s="156"/>
      <c r="CO920" s="156"/>
      <c r="CP920" s="156"/>
      <c r="CQ920" s="156"/>
      <c r="CR920" s="156"/>
      <c r="CS920" s="156"/>
      <c r="CT920" s="156"/>
      <c r="CU920" s="156"/>
      <c r="CV920" s="156"/>
      <c r="CW920" s="156"/>
      <c r="CX920" s="156"/>
      <c r="CY920" s="156"/>
      <c r="CZ920" s="156"/>
      <c r="DA920" s="156"/>
      <c r="DB920" s="156"/>
      <c r="DC920" s="156"/>
      <c r="DD920" s="156"/>
      <c r="DE920" s="156"/>
      <c r="DF920" s="156"/>
      <c r="DG920" s="156"/>
      <c r="DH920" s="156"/>
      <c r="DI920" s="156"/>
      <c r="DJ920" s="156"/>
      <c r="DK920" s="156"/>
      <c r="DL920" s="156"/>
      <c r="DM920" s="156"/>
      <c r="DN920" s="156"/>
      <c r="DO920" s="156"/>
      <c r="DP920" s="156"/>
      <c r="DQ920" s="156"/>
      <c r="DR920" s="156"/>
      <c r="DS920" s="156"/>
      <c r="DT920" s="156"/>
      <c r="DU920" s="156"/>
      <c r="DV920" s="156"/>
      <c r="DW920" s="156"/>
      <c r="DX920" s="156"/>
      <c r="DY920" s="156"/>
      <c r="DZ920" s="156"/>
      <c r="EA920" s="156"/>
      <c r="EB920" s="156"/>
      <c r="EC920" s="156"/>
      <c r="ED920" s="156"/>
      <c r="EE920" s="156"/>
      <c r="EF920" s="156"/>
      <c r="EG920" s="156"/>
      <c r="EH920" s="156"/>
      <c r="EI920" s="156"/>
      <c r="EJ920" s="156"/>
      <c r="EK920" s="156"/>
      <c r="EL920" s="156"/>
      <c r="EM920" s="156"/>
    </row>
    <row r="921" spans="20:143" ht="10.5" customHeight="1">
      <c r="T921" s="156"/>
      <c r="AZ921" s="156"/>
      <c r="BA921" s="156"/>
      <c r="BB921" s="156"/>
      <c r="BC921" s="156"/>
      <c r="BD921" s="156"/>
      <c r="BE921" s="156"/>
      <c r="BF921" s="156"/>
      <c r="BG921" s="156"/>
      <c r="BH921" s="156"/>
      <c r="BI921" s="156"/>
      <c r="BJ921" s="156"/>
      <c r="BK921" s="156"/>
      <c r="BL921" s="156"/>
      <c r="BM921" s="156"/>
      <c r="BN921" s="156"/>
      <c r="BO921" s="156"/>
      <c r="BP921" s="156"/>
      <c r="BQ921" s="156"/>
      <c r="BR921" s="156"/>
      <c r="BS921" s="156"/>
      <c r="BT921" s="156"/>
      <c r="BU921" s="156"/>
      <c r="BV921" s="156"/>
      <c r="BW921" s="156"/>
      <c r="BX921" s="156"/>
      <c r="BY921" s="156"/>
      <c r="BZ921" s="156"/>
      <c r="CA921" s="156"/>
      <c r="CB921" s="156"/>
      <c r="CC921" s="156"/>
      <c r="CD921" s="156"/>
      <c r="CE921" s="156"/>
      <c r="CF921" s="156"/>
      <c r="CG921" s="156"/>
      <c r="CH921" s="156"/>
      <c r="CI921" s="156"/>
      <c r="CJ921" s="156"/>
      <c r="CK921" s="156"/>
      <c r="CL921" s="156"/>
      <c r="CM921" s="156"/>
      <c r="CN921" s="156"/>
      <c r="CO921" s="156"/>
      <c r="CP921" s="156"/>
      <c r="CQ921" s="156"/>
      <c r="CR921" s="156"/>
      <c r="CS921" s="156"/>
      <c r="CT921" s="156"/>
      <c r="CU921" s="156"/>
      <c r="CV921" s="156"/>
      <c r="CW921" s="156"/>
      <c r="CX921" s="156"/>
      <c r="CY921" s="156"/>
      <c r="CZ921" s="156"/>
      <c r="DA921" s="156"/>
      <c r="DB921" s="156"/>
      <c r="DC921" s="156"/>
      <c r="DD921" s="156"/>
      <c r="DE921" s="156"/>
      <c r="DF921" s="156"/>
      <c r="DG921" s="156"/>
      <c r="DH921" s="156"/>
      <c r="DI921" s="156"/>
      <c r="DJ921" s="156"/>
      <c r="DK921" s="156"/>
      <c r="DL921" s="156"/>
      <c r="DM921" s="156"/>
      <c r="DN921" s="156"/>
      <c r="DO921" s="156"/>
      <c r="DP921" s="156"/>
      <c r="DQ921" s="156"/>
      <c r="DR921" s="156"/>
      <c r="DS921" s="156"/>
      <c r="DT921" s="156"/>
      <c r="DU921" s="156"/>
      <c r="DV921" s="156"/>
      <c r="DW921" s="156"/>
      <c r="DX921" s="156"/>
      <c r="DY921" s="156"/>
      <c r="DZ921" s="156"/>
      <c r="EA921" s="156"/>
      <c r="EB921" s="156"/>
      <c r="EC921" s="156"/>
      <c r="ED921" s="156"/>
      <c r="EE921" s="156"/>
      <c r="EF921" s="156"/>
      <c r="EG921" s="156"/>
      <c r="EH921" s="156"/>
      <c r="EI921" s="156"/>
      <c r="EJ921" s="156"/>
      <c r="EK921" s="156"/>
      <c r="EL921" s="156"/>
      <c r="EM921" s="156"/>
    </row>
    <row r="922" spans="20:143" ht="10.5" customHeight="1">
      <c r="T922" s="156"/>
      <c r="AZ922" s="156"/>
      <c r="BA922" s="156"/>
      <c r="BB922" s="156"/>
      <c r="BC922" s="156"/>
      <c r="BD922" s="156"/>
      <c r="BE922" s="156"/>
      <c r="BF922" s="156"/>
      <c r="BG922" s="156"/>
      <c r="BH922" s="156"/>
      <c r="BI922" s="156"/>
      <c r="BJ922" s="156"/>
      <c r="BK922" s="156"/>
      <c r="BL922" s="156"/>
      <c r="BM922" s="156"/>
      <c r="BN922" s="156"/>
      <c r="BO922" s="156"/>
      <c r="BP922" s="156"/>
      <c r="BQ922" s="156"/>
      <c r="BR922" s="156"/>
      <c r="BS922" s="156"/>
      <c r="BT922" s="156"/>
      <c r="BU922" s="156"/>
      <c r="BV922" s="156"/>
      <c r="BW922" s="156"/>
      <c r="BX922" s="156"/>
      <c r="BY922" s="156"/>
      <c r="BZ922" s="156"/>
      <c r="CA922" s="156"/>
      <c r="CB922" s="156"/>
      <c r="CC922" s="156"/>
      <c r="CD922" s="156"/>
      <c r="CE922" s="156"/>
      <c r="CF922" s="156"/>
      <c r="CG922" s="156"/>
      <c r="CH922" s="156"/>
      <c r="CI922" s="156"/>
      <c r="CJ922" s="156"/>
      <c r="CK922" s="156"/>
      <c r="CL922" s="156"/>
      <c r="CM922" s="156"/>
      <c r="CN922" s="156"/>
      <c r="CO922" s="156"/>
      <c r="CP922" s="156"/>
      <c r="CQ922" s="156"/>
      <c r="CR922" s="156"/>
      <c r="CS922" s="156"/>
      <c r="CT922" s="156"/>
      <c r="CU922" s="156"/>
      <c r="CV922" s="156"/>
      <c r="CW922" s="156"/>
      <c r="CX922" s="156"/>
      <c r="CY922" s="156"/>
      <c r="CZ922" s="156"/>
      <c r="DA922" s="156"/>
      <c r="DB922" s="156"/>
      <c r="DC922" s="156"/>
      <c r="DD922" s="156"/>
      <c r="DE922" s="156"/>
      <c r="DF922" s="156"/>
      <c r="DG922" s="156"/>
      <c r="DH922" s="156"/>
      <c r="DI922" s="156"/>
      <c r="DJ922" s="156"/>
      <c r="DK922" s="156"/>
      <c r="DL922" s="156"/>
      <c r="DM922" s="156"/>
      <c r="DN922" s="156"/>
      <c r="DO922" s="156"/>
      <c r="DP922" s="156"/>
      <c r="DQ922" s="156"/>
      <c r="DR922" s="156"/>
      <c r="DS922" s="156"/>
      <c r="DT922" s="156"/>
      <c r="DU922" s="156"/>
      <c r="DV922" s="156"/>
      <c r="DW922" s="156"/>
      <c r="DX922" s="156"/>
      <c r="DY922" s="156"/>
      <c r="DZ922" s="156"/>
      <c r="EA922" s="156"/>
      <c r="EB922" s="156"/>
      <c r="EC922" s="156"/>
      <c r="ED922" s="156"/>
      <c r="EE922" s="156"/>
      <c r="EF922" s="156"/>
      <c r="EG922" s="156"/>
      <c r="EH922" s="156"/>
      <c r="EI922" s="156"/>
      <c r="EJ922" s="156"/>
      <c r="EK922" s="156"/>
      <c r="EL922" s="156"/>
      <c r="EM922" s="156"/>
    </row>
    <row r="923" spans="20:143" ht="10.5" customHeight="1">
      <c r="T923" s="156"/>
      <c r="AZ923" s="156"/>
      <c r="BA923" s="156"/>
      <c r="BB923" s="156"/>
      <c r="BC923" s="156"/>
      <c r="BD923" s="156"/>
      <c r="BE923" s="156"/>
      <c r="BF923" s="156"/>
      <c r="BG923" s="156"/>
      <c r="BH923" s="156"/>
      <c r="BI923" s="156"/>
      <c r="BJ923" s="156"/>
      <c r="BK923" s="156"/>
      <c r="BL923" s="156"/>
      <c r="BM923" s="156"/>
      <c r="BN923" s="156"/>
      <c r="BO923" s="156"/>
      <c r="BP923" s="156"/>
      <c r="BQ923" s="156"/>
      <c r="BR923" s="156"/>
      <c r="BS923" s="156"/>
      <c r="BT923" s="156"/>
      <c r="BU923" s="156"/>
      <c r="BV923" s="156"/>
      <c r="BW923" s="156"/>
      <c r="BX923" s="156"/>
      <c r="BY923" s="156"/>
      <c r="BZ923" s="156"/>
      <c r="CA923" s="156"/>
      <c r="CB923" s="156"/>
      <c r="CC923" s="156"/>
      <c r="CD923" s="156"/>
      <c r="CE923" s="156"/>
      <c r="CF923" s="156"/>
      <c r="CG923" s="156"/>
      <c r="CH923" s="156"/>
      <c r="CI923" s="156"/>
      <c r="CJ923" s="156"/>
      <c r="CK923" s="156"/>
      <c r="CL923" s="156"/>
      <c r="CM923" s="156"/>
      <c r="CN923" s="156"/>
      <c r="CO923" s="156"/>
      <c r="CP923" s="156"/>
      <c r="CQ923" s="156"/>
      <c r="CR923" s="156"/>
      <c r="CS923" s="156"/>
      <c r="CT923" s="156"/>
      <c r="CU923" s="156"/>
      <c r="CV923" s="156"/>
      <c r="CW923" s="156"/>
      <c r="CX923" s="156"/>
      <c r="CY923" s="156"/>
      <c r="CZ923" s="156"/>
      <c r="DA923" s="156"/>
      <c r="DB923" s="156"/>
      <c r="DC923" s="156"/>
      <c r="DD923" s="156"/>
      <c r="DE923" s="156"/>
      <c r="DF923" s="156"/>
      <c r="DG923" s="156"/>
      <c r="DH923" s="156"/>
      <c r="DI923" s="156"/>
      <c r="DJ923" s="156"/>
      <c r="DK923" s="156"/>
      <c r="DL923" s="156"/>
      <c r="DM923" s="156"/>
      <c r="DN923" s="156"/>
      <c r="DO923" s="156"/>
      <c r="DP923" s="156"/>
      <c r="DQ923" s="156"/>
      <c r="DR923" s="156"/>
      <c r="DS923" s="156"/>
      <c r="DT923" s="156"/>
      <c r="DU923" s="156"/>
      <c r="DV923" s="156"/>
      <c r="DW923" s="156"/>
      <c r="DX923" s="156"/>
      <c r="DY923" s="156"/>
      <c r="DZ923" s="156"/>
      <c r="EA923" s="156"/>
      <c r="EB923" s="156"/>
      <c r="EC923" s="156"/>
      <c r="ED923" s="156"/>
      <c r="EE923" s="156"/>
      <c r="EF923" s="156"/>
      <c r="EG923" s="156"/>
      <c r="EH923" s="156"/>
      <c r="EI923" s="156"/>
      <c r="EJ923" s="156"/>
      <c r="EK923" s="156"/>
      <c r="EL923" s="156"/>
      <c r="EM923" s="156"/>
    </row>
    <row r="924" spans="20:143" ht="10.5" customHeight="1">
      <c r="T924" s="156"/>
      <c r="AZ924" s="156"/>
      <c r="BA924" s="156"/>
      <c r="BB924" s="156"/>
      <c r="BC924" s="156"/>
      <c r="BD924" s="156"/>
      <c r="BE924" s="156"/>
      <c r="BF924" s="156"/>
      <c r="BG924" s="156"/>
      <c r="BH924" s="156"/>
      <c r="BI924" s="156"/>
      <c r="BJ924" s="156"/>
      <c r="BK924" s="156"/>
      <c r="BL924" s="156"/>
      <c r="BM924" s="156"/>
      <c r="BN924" s="156"/>
      <c r="BO924" s="156"/>
      <c r="BP924" s="156"/>
      <c r="BQ924" s="156"/>
      <c r="BR924" s="156"/>
      <c r="BS924" s="156"/>
      <c r="BT924" s="156"/>
      <c r="BU924" s="156"/>
      <c r="BV924" s="156"/>
      <c r="BW924" s="156"/>
      <c r="BX924" s="156"/>
      <c r="BY924" s="156"/>
      <c r="BZ924" s="156"/>
      <c r="CA924" s="156"/>
      <c r="CB924" s="156"/>
      <c r="CC924" s="156"/>
      <c r="CD924" s="156"/>
      <c r="CE924" s="156"/>
      <c r="CF924" s="156"/>
      <c r="CG924" s="156"/>
      <c r="CH924" s="156"/>
      <c r="CI924" s="156"/>
      <c r="CJ924" s="156"/>
      <c r="CK924" s="156"/>
      <c r="CL924" s="156"/>
      <c r="CM924" s="156"/>
      <c r="CN924" s="156"/>
      <c r="CO924" s="156"/>
      <c r="CP924" s="156"/>
      <c r="CQ924" s="156"/>
      <c r="CR924" s="156"/>
      <c r="CS924" s="156"/>
      <c r="CT924" s="156"/>
      <c r="CU924" s="156"/>
      <c r="CV924" s="156"/>
      <c r="CW924" s="156"/>
      <c r="CX924" s="156"/>
      <c r="CY924" s="156"/>
      <c r="CZ924" s="156"/>
      <c r="DA924" s="156"/>
      <c r="DB924" s="156"/>
      <c r="DC924" s="156"/>
      <c r="DD924" s="156"/>
      <c r="DE924" s="156"/>
      <c r="DF924" s="156"/>
      <c r="DG924" s="156"/>
      <c r="DH924" s="156"/>
      <c r="DI924" s="156"/>
      <c r="DJ924" s="156"/>
      <c r="DK924" s="156"/>
      <c r="DL924" s="156"/>
      <c r="DM924" s="156"/>
      <c r="DN924" s="156"/>
      <c r="DO924" s="156"/>
      <c r="DP924" s="156"/>
      <c r="DQ924" s="156"/>
      <c r="DR924" s="156"/>
      <c r="DS924" s="156"/>
      <c r="DT924" s="156"/>
      <c r="DU924" s="156"/>
      <c r="DV924" s="156"/>
      <c r="DW924" s="156"/>
      <c r="DX924" s="156"/>
      <c r="DY924" s="156"/>
      <c r="DZ924" s="156"/>
      <c r="EA924" s="156"/>
      <c r="EB924" s="156"/>
      <c r="EC924" s="156"/>
      <c r="ED924" s="156"/>
      <c r="EE924" s="156"/>
      <c r="EF924" s="156"/>
      <c r="EG924" s="156"/>
      <c r="EH924" s="156"/>
      <c r="EI924" s="156"/>
      <c r="EJ924" s="156"/>
      <c r="EK924" s="156"/>
      <c r="EL924" s="156"/>
      <c r="EM924" s="156"/>
    </row>
    <row r="925" spans="20:143" ht="10.5" customHeight="1">
      <c r="T925" s="156"/>
      <c r="AZ925" s="156"/>
      <c r="BA925" s="156"/>
      <c r="BB925" s="156"/>
      <c r="BC925" s="156"/>
      <c r="BD925" s="156"/>
      <c r="BE925" s="156"/>
      <c r="BF925" s="156"/>
      <c r="BG925" s="156"/>
      <c r="BH925" s="156"/>
      <c r="BI925" s="156"/>
      <c r="BJ925" s="156"/>
      <c r="BK925" s="156"/>
      <c r="BL925" s="156"/>
      <c r="BM925" s="156"/>
      <c r="BN925" s="156"/>
      <c r="BO925" s="156"/>
      <c r="BP925" s="156"/>
      <c r="BQ925" s="156"/>
      <c r="BR925" s="156"/>
      <c r="BS925" s="156"/>
      <c r="BT925" s="156"/>
      <c r="BU925" s="156"/>
      <c r="BV925" s="156"/>
      <c r="BW925" s="156"/>
      <c r="BX925" s="156"/>
      <c r="BY925" s="156"/>
      <c r="BZ925" s="156"/>
      <c r="CA925" s="156"/>
      <c r="CB925" s="156"/>
      <c r="CC925" s="156"/>
      <c r="CD925" s="156"/>
      <c r="CE925" s="156"/>
      <c r="CF925" s="156"/>
      <c r="CG925" s="156"/>
      <c r="CH925" s="156"/>
      <c r="CI925" s="156"/>
      <c r="CJ925" s="156"/>
      <c r="CK925" s="156"/>
      <c r="CL925" s="156"/>
      <c r="CM925" s="156"/>
      <c r="CN925" s="156"/>
      <c r="CO925" s="156"/>
      <c r="CP925" s="156"/>
      <c r="CQ925" s="156"/>
      <c r="CR925" s="156"/>
      <c r="CS925" s="156"/>
      <c r="CT925" s="156"/>
      <c r="CU925" s="156"/>
      <c r="CV925" s="156"/>
      <c r="CW925" s="156"/>
      <c r="CX925" s="156"/>
      <c r="CY925" s="156"/>
      <c r="CZ925" s="156"/>
      <c r="DA925" s="156"/>
      <c r="DB925" s="156"/>
      <c r="DC925" s="156"/>
      <c r="DD925" s="156"/>
      <c r="DE925" s="156"/>
      <c r="DF925" s="156"/>
      <c r="DG925" s="156"/>
      <c r="DH925" s="156"/>
      <c r="DI925" s="156"/>
      <c r="DJ925" s="156"/>
      <c r="DK925" s="156"/>
      <c r="DL925" s="156"/>
      <c r="DM925" s="156"/>
      <c r="DN925" s="156"/>
      <c r="DO925" s="156"/>
      <c r="DP925" s="156"/>
      <c r="DQ925" s="156"/>
      <c r="DR925" s="156"/>
      <c r="DS925" s="156"/>
      <c r="DT925" s="156"/>
      <c r="DU925" s="156"/>
      <c r="DV925" s="156"/>
      <c r="DW925" s="156"/>
      <c r="DX925" s="156"/>
      <c r="DY925" s="156"/>
      <c r="DZ925" s="156"/>
      <c r="EA925" s="156"/>
      <c r="EB925" s="156"/>
      <c r="EC925" s="156"/>
      <c r="ED925" s="156"/>
      <c r="EE925" s="156"/>
      <c r="EF925" s="156"/>
      <c r="EG925" s="156"/>
      <c r="EH925" s="156"/>
      <c r="EI925" s="156"/>
      <c r="EJ925" s="156"/>
      <c r="EK925" s="156"/>
      <c r="EL925" s="156"/>
      <c r="EM925" s="156"/>
    </row>
    <row r="926" spans="20:143" ht="10.5" customHeight="1">
      <c r="T926" s="156"/>
      <c r="AZ926" s="156"/>
      <c r="BA926" s="156"/>
      <c r="BB926" s="156"/>
      <c r="BC926" s="156"/>
      <c r="BD926" s="156"/>
      <c r="BE926" s="156"/>
      <c r="BF926" s="156"/>
      <c r="BG926" s="156"/>
      <c r="BH926" s="156"/>
      <c r="BI926" s="156"/>
      <c r="BJ926" s="156"/>
      <c r="BK926" s="156"/>
      <c r="BL926" s="156"/>
      <c r="BM926" s="156"/>
      <c r="BN926" s="156"/>
      <c r="BO926" s="156"/>
      <c r="BP926" s="156"/>
      <c r="BQ926" s="156"/>
      <c r="BR926" s="156"/>
      <c r="BS926" s="156"/>
      <c r="BT926" s="156"/>
      <c r="BU926" s="156"/>
      <c r="BV926" s="156"/>
      <c r="BW926" s="156"/>
      <c r="BX926" s="156"/>
      <c r="BY926" s="156"/>
      <c r="BZ926" s="156"/>
      <c r="CA926" s="156"/>
      <c r="CB926" s="156"/>
      <c r="CC926" s="156"/>
      <c r="CD926" s="156"/>
      <c r="CE926" s="156"/>
      <c r="CF926" s="156"/>
      <c r="CG926" s="156"/>
      <c r="CH926" s="156"/>
      <c r="CI926" s="156"/>
      <c r="CJ926" s="156"/>
      <c r="CK926" s="156"/>
      <c r="CL926" s="156"/>
      <c r="CM926" s="156"/>
      <c r="CN926" s="156"/>
      <c r="CO926" s="156"/>
      <c r="CP926" s="156"/>
      <c r="CQ926" s="156"/>
      <c r="CR926" s="156"/>
      <c r="CS926" s="156"/>
      <c r="CT926" s="156"/>
      <c r="CU926" s="156"/>
      <c r="CV926" s="156"/>
      <c r="CW926" s="156"/>
      <c r="CX926" s="156"/>
      <c r="CY926" s="156"/>
      <c r="CZ926" s="156"/>
      <c r="DA926" s="156"/>
      <c r="DB926" s="156"/>
      <c r="DC926" s="156"/>
      <c r="DD926" s="156"/>
      <c r="DE926" s="156"/>
      <c r="DF926" s="156"/>
      <c r="DG926" s="156"/>
      <c r="DH926" s="156"/>
      <c r="DI926" s="156"/>
      <c r="DJ926" s="156"/>
      <c r="DK926" s="156"/>
      <c r="DL926" s="156"/>
      <c r="DM926" s="156"/>
      <c r="DN926" s="156"/>
      <c r="DO926" s="156"/>
      <c r="DP926" s="156"/>
      <c r="DQ926" s="156"/>
      <c r="DR926" s="156"/>
      <c r="DS926" s="156"/>
      <c r="DT926" s="156"/>
      <c r="DU926" s="156"/>
      <c r="DV926" s="156"/>
      <c r="DW926" s="156"/>
      <c r="DX926" s="156"/>
      <c r="DY926" s="156"/>
      <c r="DZ926" s="156"/>
      <c r="EA926" s="156"/>
      <c r="EB926" s="156"/>
      <c r="EC926" s="156"/>
      <c r="ED926" s="156"/>
      <c r="EE926" s="156"/>
      <c r="EF926" s="156"/>
      <c r="EG926" s="156"/>
      <c r="EH926" s="156"/>
      <c r="EI926" s="156"/>
      <c r="EJ926" s="156"/>
      <c r="EK926" s="156"/>
      <c r="EL926" s="156"/>
      <c r="EM926" s="156"/>
    </row>
    <row r="927" spans="20:143" ht="10.5" customHeight="1">
      <c r="T927" s="156"/>
      <c r="AZ927" s="156"/>
      <c r="BA927" s="156"/>
      <c r="BB927" s="156"/>
      <c r="BC927" s="156"/>
      <c r="BD927" s="156"/>
      <c r="BE927" s="156"/>
      <c r="BF927" s="156"/>
      <c r="BG927" s="156"/>
      <c r="BH927" s="156"/>
      <c r="BI927" s="156"/>
      <c r="BJ927" s="156"/>
      <c r="BK927" s="156"/>
      <c r="BL927" s="156"/>
      <c r="BM927" s="156"/>
      <c r="BN927" s="156"/>
      <c r="BO927" s="156"/>
      <c r="BP927" s="156"/>
      <c r="BQ927" s="156"/>
      <c r="BR927" s="156"/>
      <c r="BS927" s="156"/>
      <c r="BT927" s="156"/>
      <c r="BU927" s="156"/>
      <c r="BV927" s="156"/>
      <c r="BW927" s="156"/>
      <c r="BX927" s="156"/>
      <c r="BY927" s="156"/>
      <c r="BZ927" s="156"/>
      <c r="CA927" s="156"/>
      <c r="CB927" s="156"/>
      <c r="CC927" s="156"/>
      <c r="CD927" s="156"/>
      <c r="CE927" s="156"/>
      <c r="CF927" s="156"/>
      <c r="CG927" s="156"/>
      <c r="CH927" s="156"/>
      <c r="CI927" s="156"/>
      <c r="CJ927" s="156"/>
      <c r="CK927" s="156"/>
      <c r="CL927" s="156"/>
      <c r="CM927" s="156"/>
      <c r="CN927" s="156"/>
      <c r="CO927" s="156"/>
      <c r="CP927" s="156"/>
      <c r="CQ927" s="156"/>
      <c r="CR927" s="156"/>
      <c r="CS927" s="156"/>
      <c r="CT927" s="156"/>
      <c r="CU927" s="156"/>
      <c r="CV927" s="156"/>
      <c r="CW927" s="156"/>
      <c r="CX927" s="156"/>
      <c r="CY927" s="156"/>
      <c r="CZ927" s="156"/>
      <c r="DA927" s="156"/>
      <c r="DB927" s="156"/>
      <c r="DC927" s="156"/>
      <c r="DD927" s="156"/>
      <c r="DE927" s="156"/>
      <c r="DF927" s="156"/>
      <c r="DG927" s="156"/>
      <c r="DH927" s="156"/>
      <c r="DI927" s="156"/>
      <c r="DJ927" s="156"/>
      <c r="DK927" s="156"/>
      <c r="DL927" s="156"/>
      <c r="DM927" s="156"/>
      <c r="DN927" s="156"/>
      <c r="DO927" s="156"/>
      <c r="DP927" s="156"/>
      <c r="DQ927" s="156"/>
      <c r="DR927" s="156"/>
      <c r="DS927" s="156"/>
      <c r="DT927" s="156"/>
      <c r="DU927" s="156"/>
      <c r="DV927" s="156"/>
      <c r="DW927" s="156"/>
      <c r="DX927" s="156"/>
      <c r="DY927" s="156"/>
      <c r="DZ927" s="156"/>
      <c r="EA927" s="156"/>
      <c r="EB927" s="156"/>
      <c r="EC927" s="156"/>
      <c r="ED927" s="156"/>
      <c r="EE927" s="156"/>
      <c r="EF927" s="156"/>
      <c r="EG927" s="156"/>
      <c r="EH927" s="156"/>
      <c r="EI927" s="156"/>
      <c r="EJ927" s="156"/>
      <c r="EK927" s="156"/>
      <c r="EL927" s="156"/>
      <c r="EM927" s="156"/>
    </row>
    <row r="928" spans="20:143" ht="10.5" customHeight="1">
      <c r="T928" s="156"/>
      <c r="AZ928" s="156"/>
      <c r="BA928" s="156"/>
      <c r="BB928" s="156"/>
      <c r="BC928" s="156"/>
      <c r="BD928" s="156"/>
      <c r="BE928" s="156"/>
      <c r="BF928" s="156"/>
      <c r="BG928" s="156"/>
      <c r="BH928" s="156"/>
      <c r="BI928" s="156"/>
      <c r="BJ928" s="156"/>
      <c r="BK928" s="156"/>
      <c r="BL928" s="156"/>
      <c r="BM928" s="156"/>
      <c r="BN928" s="156"/>
      <c r="BO928" s="156"/>
      <c r="BP928" s="156"/>
      <c r="BQ928" s="156"/>
      <c r="BR928" s="156"/>
      <c r="BS928" s="156"/>
      <c r="BT928" s="156"/>
      <c r="BU928" s="156"/>
      <c r="BV928" s="156"/>
      <c r="BW928" s="156"/>
      <c r="BX928" s="156"/>
      <c r="BY928" s="156"/>
      <c r="BZ928" s="156"/>
      <c r="CA928" s="156"/>
      <c r="CB928" s="156"/>
      <c r="CC928" s="156"/>
      <c r="CD928" s="156"/>
      <c r="CE928" s="156"/>
      <c r="CF928" s="156"/>
      <c r="CG928" s="156"/>
      <c r="CH928" s="156"/>
      <c r="CI928" s="156"/>
      <c r="CJ928" s="156"/>
      <c r="CK928" s="156"/>
      <c r="CL928" s="156"/>
      <c r="CM928" s="156"/>
      <c r="CN928" s="156"/>
      <c r="CO928" s="156"/>
      <c r="CP928" s="156"/>
      <c r="CQ928" s="156"/>
      <c r="CR928" s="156"/>
      <c r="CS928" s="156"/>
      <c r="CT928" s="156"/>
      <c r="CU928" s="156"/>
      <c r="CV928" s="156"/>
      <c r="CW928" s="156"/>
      <c r="CX928" s="156"/>
      <c r="CY928" s="156"/>
      <c r="CZ928" s="156"/>
      <c r="DA928" s="156"/>
      <c r="DB928" s="156"/>
      <c r="DC928" s="156"/>
      <c r="DD928" s="156"/>
      <c r="DE928" s="156"/>
      <c r="DF928" s="156"/>
      <c r="DG928" s="156"/>
      <c r="DH928" s="156"/>
      <c r="DI928" s="156"/>
      <c r="DJ928" s="156"/>
      <c r="DK928" s="156"/>
      <c r="DL928" s="156"/>
      <c r="DM928" s="156"/>
      <c r="DN928" s="156"/>
      <c r="DO928" s="156"/>
      <c r="DP928" s="156"/>
      <c r="DQ928" s="156"/>
      <c r="DR928" s="156"/>
      <c r="DS928" s="156"/>
      <c r="DT928" s="156"/>
      <c r="DU928" s="156"/>
      <c r="DV928" s="156"/>
      <c r="DW928" s="156"/>
      <c r="DX928" s="156"/>
      <c r="DY928" s="156"/>
      <c r="DZ928" s="156"/>
      <c r="EA928" s="156"/>
      <c r="EB928" s="156"/>
      <c r="EC928" s="156"/>
      <c r="ED928" s="156"/>
      <c r="EE928" s="156"/>
      <c r="EF928" s="156"/>
      <c r="EG928" s="156"/>
      <c r="EH928" s="156"/>
      <c r="EI928" s="156"/>
      <c r="EJ928" s="156"/>
      <c r="EK928" s="156"/>
      <c r="EL928" s="156"/>
      <c r="EM928" s="156"/>
    </row>
    <row r="929" spans="20:143" ht="10.5" customHeight="1">
      <c r="T929" s="156"/>
      <c r="AZ929" s="156"/>
      <c r="BA929" s="156"/>
      <c r="BB929" s="156"/>
      <c r="BC929" s="156"/>
      <c r="BD929" s="156"/>
      <c r="BE929" s="156"/>
      <c r="BF929" s="156"/>
      <c r="BG929" s="156"/>
      <c r="BH929" s="156"/>
      <c r="BI929" s="156"/>
      <c r="BJ929" s="156"/>
      <c r="BK929" s="156"/>
      <c r="BL929" s="156"/>
      <c r="BM929" s="156"/>
      <c r="BN929" s="156"/>
      <c r="BO929" s="156"/>
      <c r="BP929" s="156"/>
      <c r="BQ929" s="156"/>
      <c r="BR929" s="156"/>
      <c r="BS929" s="156"/>
      <c r="BT929" s="156"/>
      <c r="BU929" s="156"/>
      <c r="BV929" s="156"/>
      <c r="BW929" s="156"/>
      <c r="BX929" s="156"/>
      <c r="BY929" s="156"/>
      <c r="BZ929" s="156"/>
      <c r="CA929" s="156"/>
      <c r="CB929" s="156"/>
      <c r="CC929" s="156"/>
      <c r="CD929" s="156"/>
      <c r="CE929" s="156"/>
      <c r="CF929" s="156"/>
      <c r="CG929" s="156"/>
      <c r="CH929" s="156"/>
      <c r="CI929" s="156"/>
      <c r="CJ929" s="156"/>
      <c r="CK929" s="156"/>
      <c r="CL929" s="156"/>
      <c r="CM929" s="156"/>
      <c r="CN929" s="156"/>
      <c r="CO929" s="156"/>
      <c r="CP929" s="156"/>
      <c r="CQ929" s="156"/>
      <c r="CR929" s="156"/>
      <c r="CS929" s="156"/>
      <c r="CT929" s="156"/>
      <c r="CU929" s="156"/>
      <c r="CV929" s="156"/>
      <c r="CW929" s="156"/>
      <c r="CX929" s="156"/>
      <c r="CY929" s="156"/>
      <c r="CZ929" s="156"/>
      <c r="DA929" s="156"/>
      <c r="DB929" s="156"/>
      <c r="DC929" s="156"/>
      <c r="DD929" s="156"/>
      <c r="DE929" s="156"/>
      <c r="DF929" s="156"/>
      <c r="DG929" s="156"/>
      <c r="DH929" s="156"/>
      <c r="DI929" s="156"/>
      <c r="DJ929" s="156"/>
      <c r="DK929" s="156"/>
      <c r="DL929" s="156"/>
      <c r="DM929" s="156"/>
      <c r="DN929" s="156"/>
      <c r="DO929" s="156"/>
      <c r="DP929" s="156"/>
      <c r="DQ929" s="156"/>
      <c r="DR929" s="156"/>
      <c r="DS929" s="156"/>
      <c r="DT929" s="156"/>
      <c r="DU929" s="156"/>
      <c r="DV929" s="156"/>
      <c r="DW929" s="156"/>
      <c r="DX929" s="156"/>
      <c r="DY929" s="156"/>
      <c r="DZ929" s="156"/>
      <c r="EA929" s="156"/>
      <c r="EB929" s="156"/>
      <c r="EC929" s="156"/>
      <c r="ED929" s="156"/>
      <c r="EE929" s="156"/>
      <c r="EF929" s="156"/>
      <c r="EG929" s="156"/>
      <c r="EH929" s="156"/>
      <c r="EI929" s="156"/>
      <c r="EJ929" s="156"/>
      <c r="EK929" s="156"/>
      <c r="EL929" s="156"/>
      <c r="EM929" s="156"/>
    </row>
    <row r="930" spans="20:143" ht="10.5" customHeight="1">
      <c r="T930" s="156"/>
      <c r="AZ930" s="156"/>
      <c r="BA930" s="156"/>
      <c r="BB930" s="156"/>
      <c r="BC930" s="156"/>
      <c r="BD930" s="156"/>
      <c r="BE930" s="156"/>
      <c r="BF930" s="156"/>
      <c r="BG930" s="156"/>
      <c r="BH930" s="156"/>
      <c r="BI930" s="156"/>
      <c r="BJ930" s="156"/>
      <c r="BK930" s="156"/>
      <c r="BL930" s="156"/>
      <c r="BM930" s="156"/>
      <c r="BN930" s="156"/>
      <c r="BO930" s="156"/>
      <c r="BP930" s="156"/>
      <c r="BQ930" s="156"/>
      <c r="BR930" s="156"/>
      <c r="BS930" s="156"/>
      <c r="BT930" s="156"/>
      <c r="BU930" s="156"/>
      <c r="BV930" s="156"/>
      <c r="BW930" s="156"/>
      <c r="BX930" s="156"/>
      <c r="BY930" s="156"/>
      <c r="BZ930" s="156"/>
      <c r="CA930" s="156"/>
      <c r="CB930" s="156"/>
      <c r="CC930" s="156"/>
      <c r="CD930" s="156"/>
      <c r="CE930" s="156"/>
      <c r="CF930" s="156"/>
      <c r="CG930" s="156"/>
      <c r="CH930" s="156"/>
      <c r="CI930" s="156"/>
      <c r="CJ930" s="156"/>
      <c r="CK930" s="156"/>
      <c r="CL930" s="156"/>
      <c r="CM930" s="156"/>
      <c r="CN930" s="156"/>
      <c r="CO930" s="156"/>
      <c r="CP930" s="156"/>
      <c r="CQ930" s="156"/>
      <c r="CR930" s="156"/>
      <c r="CS930" s="156"/>
      <c r="CT930" s="156"/>
      <c r="CU930" s="156"/>
      <c r="CV930" s="156"/>
      <c r="CW930" s="156"/>
      <c r="CX930" s="156"/>
      <c r="CY930" s="156"/>
      <c r="CZ930" s="156"/>
      <c r="DA930" s="156"/>
      <c r="DB930" s="156"/>
      <c r="DC930" s="156"/>
      <c r="DD930" s="156"/>
      <c r="DE930" s="156"/>
      <c r="DF930" s="156"/>
      <c r="DG930" s="156"/>
      <c r="DH930" s="156"/>
      <c r="DI930" s="156"/>
      <c r="DJ930" s="156"/>
      <c r="DK930" s="156"/>
      <c r="DL930" s="156"/>
      <c r="DM930" s="156"/>
      <c r="DN930" s="156"/>
      <c r="DO930" s="156"/>
      <c r="DP930" s="156"/>
      <c r="DQ930" s="156"/>
      <c r="DR930" s="156"/>
      <c r="DS930" s="156"/>
      <c r="DT930" s="156"/>
      <c r="DU930" s="156"/>
      <c r="DV930" s="156"/>
      <c r="DW930" s="156"/>
      <c r="DX930" s="156"/>
      <c r="DY930" s="156"/>
      <c r="DZ930" s="156"/>
      <c r="EA930" s="156"/>
      <c r="EB930" s="156"/>
      <c r="EC930" s="156"/>
      <c r="ED930" s="156"/>
      <c r="EE930" s="156"/>
      <c r="EF930" s="156"/>
      <c r="EG930" s="156"/>
      <c r="EH930" s="156"/>
      <c r="EI930" s="156"/>
      <c r="EJ930" s="156"/>
      <c r="EK930" s="156"/>
      <c r="EL930" s="156"/>
      <c r="EM930" s="156"/>
    </row>
    <row r="931" spans="20:143" ht="10.5" customHeight="1">
      <c r="T931" s="156"/>
      <c r="AZ931" s="156"/>
      <c r="BA931" s="156"/>
      <c r="BB931" s="156"/>
      <c r="BC931" s="156"/>
      <c r="BD931" s="156"/>
      <c r="BE931" s="156"/>
      <c r="BF931" s="156"/>
      <c r="BG931" s="156"/>
      <c r="BH931" s="156"/>
      <c r="BI931" s="156"/>
      <c r="BJ931" s="156"/>
      <c r="BK931" s="156"/>
      <c r="BL931" s="156"/>
      <c r="BM931" s="156"/>
      <c r="BN931" s="156"/>
      <c r="BO931" s="156"/>
      <c r="BP931" s="156"/>
      <c r="BQ931" s="156"/>
      <c r="BR931" s="156"/>
      <c r="BS931" s="156"/>
      <c r="BT931" s="156"/>
      <c r="BU931" s="156"/>
      <c r="BV931" s="156"/>
      <c r="BW931" s="156"/>
      <c r="BX931" s="156"/>
      <c r="BY931" s="156"/>
      <c r="BZ931" s="156"/>
      <c r="CA931" s="156"/>
      <c r="CB931" s="156"/>
      <c r="CC931" s="156"/>
      <c r="CD931" s="156"/>
      <c r="CE931" s="156"/>
      <c r="CF931" s="156"/>
      <c r="CG931" s="156"/>
      <c r="CH931" s="156"/>
      <c r="CI931" s="156"/>
      <c r="CJ931" s="156"/>
      <c r="CK931" s="156"/>
      <c r="CL931" s="156"/>
      <c r="CM931" s="156"/>
      <c r="CN931" s="156"/>
      <c r="CO931" s="156"/>
      <c r="CP931" s="156"/>
      <c r="CQ931" s="156"/>
      <c r="CR931" s="156"/>
      <c r="CS931" s="156"/>
      <c r="CT931" s="156"/>
      <c r="CU931" s="156"/>
      <c r="CV931" s="156"/>
      <c r="CW931" s="156"/>
      <c r="CX931" s="156"/>
      <c r="CY931" s="156"/>
      <c r="CZ931" s="156"/>
      <c r="DA931" s="156"/>
      <c r="DB931" s="156"/>
      <c r="DC931" s="156"/>
      <c r="DD931" s="156"/>
      <c r="DE931" s="156"/>
      <c r="DF931" s="156"/>
      <c r="DG931" s="156"/>
      <c r="DH931" s="156"/>
      <c r="DI931" s="156"/>
      <c r="DJ931" s="156"/>
      <c r="DK931" s="156"/>
      <c r="DL931" s="156"/>
      <c r="DM931" s="156"/>
      <c r="DN931" s="156"/>
      <c r="DO931" s="156"/>
      <c r="DP931" s="156"/>
      <c r="DQ931" s="156"/>
      <c r="DR931" s="156"/>
      <c r="DS931" s="156"/>
      <c r="DT931" s="156"/>
      <c r="DU931" s="156"/>
      <c r="DV931" s="156"/>
      <c r="DW931" s="156"/>
      <c r="DX931" s="156"/>
      <c r="DY931" s="156"/>
      <c r="DZ931" s="156"/>
      <c r="EA931" s="156"/>
      <c r="EB931" s="156"/>
      <c r="EC931" s="156"/>
      <c r="ED931" s="156"/>
      <c r="EE931" s="156"/>
      <c r="EF931" s="156"/>
      <c r="EG931" s="156"/>
      <c r="EH931" s="156"/>
      <c r="EI931" s="156"/>
      <c r="EJ931" s="156"/>
      <c r="EK931" s="156"/>
      <c r="EL931" s="156"/>
      <c r="EM931" s="156"/>
    </row>
    <row r="932" spans="20:143" ht="10.5" customHeight="1">
      <c r="T932" s="156"/>
      <c r="AZ932" s="156"/>
      <c r="BA932" s="156"/>
      <c r="BB932" s="156"/>
      <c r="BC932" s="156"/>
      <c r="BD932" s="156"/>
      <c r="BE932" s="156"/>
      <c r="BF932" s="156"/>
      <c r="BG932" s="156"/>
      <c r="BH932" s="156"/>
      <c r="BI932" s="156"/>
      <c r="BJ932" s="156"/>
      <c r="BK932" s="156"/>
      <c r="BL932" s="156"/>
      <c r="BM932" s="156"/>
      <c r="BN932" s="156"/>
      <c r="BO932" s="156"/>
      <c r="BP932" s="156"/>
      <c r="BQ932" s="156"/>
      <c r="BR932" s="156"/>
      <c r="BS932" s="156"/>
      <c r="BT932" s="156"/>
      <c r="BU932" s="156"/>
      <c r="BV932" s="156"/>
      <c r="BW932" s="156"/>
      <c r="BX932" s="156"/>
      <c r="BY932" s="156"/>
      <c r="BZ932" s="156"/>
      <c r="CA932" s="156"/>
      <c r="CB932" s="156"/>
      <c r="CC932" s="156"/>
      <c r="CD932" s="156"/>
      <c r="CE932" s="156"/>
      <c r="CF932" s="156"/>
      <c r="CG932" s="156"/>
      <c r="CH932" s="156"/>
      <c r="CI932" s="156"/>
      <c r="CJ932" s="156"/>
      <c r="CK932" s="156"/>
      <c r="CL932" s="156"/>
      <c r="CM932" s="156"/>
      <c r="CN932" s="156"/>
      <c r="CO932" s="156"/>
      <c r="CP932" s="156"/>
      <c r="CQ932" s="156"/>
      <c r="CR932" s="156"/>
      <c r="CS932" s="156"/>
      <c r="CT932" s="156"/>
      <c r="CU932" s="156"/>
      <c r="CV932" s="156"/>
      <c r="CW932" s="156"/>
      <c r="CX932" s="156"/>
      <c r="CY932" s="156"/>
      <c r="CZ932" s="156"/>
      <c r="DA932" s="156"/>
      <c r="DB932" s="156"/>
      <c r="DC932" s="156"/>
      <c r="DD932" s="156"/>
      <c r="DE932" s="156"/>
      <c r="DF932" s="156"/>
      <c r="DG932" s="156"/>
      <c r="DH932" s="156"/>
      <c r="DI932" s="156"/>
      <c r="DJ932" s="156"/>
      <c r="DK932" s="156"/>
      <c r="DL932" s="156"/>
      <c r="DM932" s="156"/>
      <c r="DN932" s="156"/>
      <c r="DO932" s="156"/>
      <c r="DP932" s="156"/>
      <c r="DQ932" s="156"/>
      <c r="DR932" s="156"/>
      <c r="DS932" s="156"/>
      <c r="DT932" s="156"/>
      <c r="DU932" s="156"/>
      <c r="DV932" s="156"/>
      <c r="DW932" s="156"/>
      <c r="DX932" s="156"/>
      <c r="DY932" s="156"/>
      <c r="DZ932" s="156"/>
      <c r="EA932" s="156"/>
      <c r="EB932" s="156"/>
      <c r="EC932" s="156"/>
      <c r="ED932" s="156"/>
      <c r="EE932" s="156"/>
      <c r="EF932" s="156"/>
      <c r="EG932" s="156"/>
      <c r="EH932" s="156"/>
      <c r="EI932" s="156"/>
      <c r="EJ932" s="156"/>
      <c r="EK932" s="156"/>
      <c r="EL932" s="156"/>
      <c r="EM932" s="156"/>
    </row>
    <row r="933" spans="20:143" ht="10.5" customHeight="1">
      <c r="T933" s="156"/>
      <c r="AZ933" s="156"/>
      <c r="BA933" s="156"/>
      <c r="BB933" s="156"/>
      <c r="BC933" s="156"/>
      <c r="BD933" s="156"/>
      <c r="BE933" s="156"/>
      <c r="BF933" s="156"/>
      <c r="BG933" s="156"/>
      <c r="BH933" s="156"/>
      <c r="BI933" s="156"/>
      <c r="BJ933" s="156"/>
      <c r="BK933" s="156"/>
      <c r="BL933" s="156"/>
      <c r="BM933" s="156"/>
      <c r="BN933" s="156"/>
      <c r="BO933" s="156"/>
      <c r="BP933" s="156"/>
      <c r="BQ933" s="156"/>
      <c r="BR933" s="156"/>
      <c r="BS933" s="156"/>
      <c r="BT933" s="156"/>
      <c r="BU933" s="156"/>
      <c r="BV933" s="156"/>
      <c r="BW933" s="156"/>
      <c r="BX933" s="156"/>
      <c r="BY933" s="156"/>
      <c r="BZ933" s="156"/>
      <c r="CA933" s="156"/>
      <c r="CB933" s="156"/>
      <c r="CC933" s="156"/>
      <c r="CD933" s="156"/>
      <c r="CE933" s="156"/>
      <c r="CF933" s="156"/>
      <c r="CG933" s="156"/>
      <c r="CH933" s="156"/>
      <c r="CI933" s="156"/>
      <c r="CJ933" s="156"/>
      <c r="CK933" s="156"/>
      <c r="CL933" s="156"/>
      <c r="CM933" s="156"/>
      <c r="CN933" s="156"/>
      <c r="CO933" s="156"/>
      <c r="CP933" s="156"/>
      <c r="CQ933" s="156"/>
      <c r="CR933" s="156"/>
      <c r="CS933" s="156"/>
      <c r="CT933" s="156"/>
      <c r="CU933" s="156"/>
      <c r="CV933" s="156"/>
      <c r="CW933" s="156"/>
      <c r="CX933" s="156"/>
      <c r="CY933" s="156"/>
      <c r="CZ933" s="156"/>
      <c r="DA933" s="156"/>
      <c r="DB933" s="156"/>
      <c r="DC933" s="156"/>
      <c r="DD933" s="156"/>
      <c r="DE933" s="156"/>
      <c r="DF933" s="156"/>
      <c r="DG933" s="156"/>
      <c r="DH933" s="156"/>
      <c r="DI933" s="156"/>
      <c r="DJ933" s="156"/>
      <c r="DK933" s="156"/>
      <c r="DL933" s="156"/>
      <c r="DM933" s="156"/>
      <c r="DN933" s="156"/>
      <c r="DO933" s="156"/>
      <c r="DP933" s="156"/>
      <c r="DQ933" s="156"/>
      <c r="DR933" s="156"/>
      <c r="DS933" s="156"/>
      <c r="DT933" s="156"/>
      <c r="DU933" s="156"/>
      <c r="DV933" s="156"/>
      <c r="DW933" s="156"/>
      <c r="DX933" s="156"/>
      <c r="DY933" s="156"/>
      <c r="DZ933" s="156"/>
      <c r="EA933" s="156"/>
      <c r="EB933" s="156"/>
      <c r="EC933" s="156"/>
      <c r="ED933" s="156"/>
      <c r="EE933" s="156"/>
      <c r="EF933" s="156"/>
      <c r="EG933" s="156"/>
      <c r="EH933" s="156"/>
      <c r="EI933" s="156"/>
      <c r="EJ933" s="156"/>
      <c r="EK933" s="156"/>
      <c r="EL933" s="156"/>
      <c r="EM933" s="156"/>
    </row>
    <row r="934" spans="20:143" ht="10.5" customHeight="1">
      <c r="T934" s="156"/>
      <c r="AZ934" s="156"/>
      <c r="BA934" s="156"/>
      <c r="BB934" s="156"/>
      <c r="BC934" s="156"/>
      <c r="BD934" s="156"/>
      <c r="BE934" s="156"/>
      <c r="BF934" s="156"/>
      <c r="BG934" s="156"/>
      <c r="BH934" s="156"/>
      <c r="BI934" s="156"/>
      <c r="BJ934" s="156"/>
      <c r="BK934" s="156"/>
      <c r="BL934" s="156"/>
      <c r="BM934" s="156"/>
      <c r="BN934" s="156"/>
      <c r="BO934" s="156"/>
      <c r="BP934" s="156"/>
      <c r="BQ934" s="156"/>
      <c r="BR934" s="156"/>
      <c r="BS934" s="156"/>
      <c r="BT934" s="156"/>
      <c r="BU934" s="156"/>
      <c r="BV934" s="156"/>
      <c r="BW934" s="156"/>
      <c r="BX934" s="156"/>
      <c r="BY934" s="156"/>
      <c r="BZ934" s="156"/>
      <c r="CA934" s="156"/>
      <c r="CB934" s="156"/>
      <c r="CC934" s="156"/>
      <c r="CD934" s="156"/>
      <c r="CE934" s="156"/>
      <c r="CF934" s="156"/>
      <c r="CG934" s="156"/>
      <c r="CH934" s="156"/>
      <c r="CI934" s="156"/>
      <c r="CJ934" s="156"/>
      <c r="CK934" s="156"/>
      <c r="CL934" s="156"/>
      <c r="CM934" s="156"/>
      <c r="CN934" s="156"/>
      <c r="CO934" s="156"/>
      <c r="CP934" s="156"/>
      <c r="CQ934" s="156"/>
      <c r="CR934" s="156"/>
      <c r="CS934" s="156"/>
      <c r="CT934" s="156"/>
      <c r="CU934" s="156"/>
      <c r="CV934" s="156"/>
      <c r="CW934" s="156"/>
      <c r="CX934" s="156"/>
      <c r="CY934" s="156"/>
      <c r="CZ934" s="156"/>
      <c r="DA934" s="156"/>
      <c r="DB934" s="156"/>
      <c r="DC934" s="156"/>
      <c r="DD934" s="156"/>
      <c r="DE934" s="156"/>
      <c r="DF934" s="156"/>
      <c r="DG934" s="156"/>
      <c r="DH934" s="156"/>
      <c r="DI934" s="156"/>
      <c r="DJ934" s="156"/>
      <c r="DK934" s="156"/>
      <c r="DL934" s="156"/>
      <c r="DM934" s="156"/>
      <c r="DN934" s="156"/>
      <c r="DO934" s="156"/>
      <c r="DP934" s="156"/>
      <c r="DQ934" s="156"/>
      <c r="DR934" s="156"/>
      <c r="DS934" s="156"/>
      <c r="DT934" s="156"/>
      <c r="DU934" s="156"/>
      <c r="DV934" s="156"/>
      <c r="DW934" s="156"/>
      <c r="DX934" s="156"/>
      <c r="DY934" s="156"/>
      <c r="DZ934" s="156"/>
      <c r="EA934" s="156"/>
      <c r="EB934" s="156"/>
      <c r="EC934" s="156"/>
      <c r="ED934" s="156"/>
      <c r="EE934" s="156"/>
      <c r="EF934" s="156"/>
      <c r="EG934" s="156"/>
      <c r="EH934" s="156"/>
      <c r="EI934" s="156"/>
      <c r="EJ934" s="156"/>
      <c r="EK934" s="156"/>
      <c r="EL934" s="156"/>
      <c r="EM934" s="156"/>
    </row>
    <row r="935" spans="20:143" ht="10.5" customHeight="1">
      <c r="T935" s="156"/>
      <c r="AZ935" s="156"/>
      <c r="BA935" s="156"/>
      <c r="BB935" s="156"/>
      <c r="BC935" s="156"/>
      <c r="BD935" s="156"/>
      <c r="BE935" s="156"/>
      <c r="BF935" s="156"/>
      <c r="BG935" s="156"/>
      <c r="BH935" s="156"/>
      <c r="BI935" s="156"/>
      <c r="BJ935" s="156"/>
      <c r="BK935" s="156"/>
      <c r="BL935" s="156"/>
      <c r="BM935" s="156"/>
      <c r="BN935" s="156"/>
      <c r="BO935" s="156"/>
      <c r="BP935" s="156"/>
      <c r="BQ935" s="156"/>
      <c r="BR935" s="156"/>
      <c r="BS935" s="156"/>
      <c r="BT935" s="156"/>
      <c r="BU935" s="156"/>
      <c r="BV935" s="156"/>
      <c r="BW935" s="156"/>
      <c r="BX935" s="156"/>
      <c r="BY935" s="156"/>
      <c r="BZ935" s="156"/>
      <c r="CA935" s="156"/>
      <c r="CB935" s="156"/>
      <c r="CC935" s="156"/>
      <c r="CD935" s="156"/>
      <c r="CE935" s="156"/>
      <c r="CF935" s="156"/>
      <c r="CG935" s="156"/>
      <c r="CH935" s="156"/>
      <c r="CI935" s="156"/>
      <c r="CJ935" s="156"/>
      <c r="CK935" s="156"/>
      <c r="CL935" s="156"/>
      <c r="CM935" s="156"/>
      <c r="CN935" s="156"/>
      <c r="CO935" s="156"/>
      <c r="CP935" s="156"/>
      <c r="CQ935" s="156"/>
      <c r="CR935" s="156"/>
      <c r="CS935" s="156"/>
      <c r="CT935" s="156"/>
      <c r="CU935" s="156"/>
      <c r="CV935" s="156"/>
      <c r="CW935" s="156"/>
      <c r="CX935" s="156"/>
      <c r="CY935" s="156"/>
      <c r="CZ935" s="156"/>
      <c r="DA935" s="156"/>
      <c r="DB935" s="156"/>
      <c r="DC935" s="156"/>
      <c r="DD935" s="156"/>
      <c r="DE935" s="156"/>
      <c r="DF935" s="156"/>
      <c r="DG935" s="156"/>
      <c r="DH935" s="156"/>
      <c r="DI935" s="156"/>
      <c r="DJ935" s="156"/>
      <c r="DK935" s="156"/>
      <c r="DL935" s="156"/>
      <c r="DM935" s="156"/>
      <c r="DN935" s="156"/>
      <c r="DO935" s="156"/>
      <c r="DP935" s="156"/>
      <c r="DQ935" s="156"/>
      <c r="DR935" s="156"/>
      <c r="DS935" s="156"/>
      <c r="DT935" s="156"/>
      <c r="DU935" s="156"/>
      <c r="DV935" s="156"/>
      <c r="DW935" s="156"/>
      <c r="DX935" s="156"/>
      <c r="DY935" s="156"/>
      <c r="DZ935" s="156"/>
      <c r="EA935" s="156"/>
      <c r="EB935" s="156"/>
      <c r="EC935" s="156"/>
      <c r="ED935" s="156"/>
      <c r="EE935" s="156"/>
      <c r="EF935" s="156"/>
      <c r="EG935" s="156"/>
      <c r="EH935" s="156"/>
      <c r="EI935" s="156"/>
      <c r="EJ935" s="156"/>
      <c r="EK935" s="156"/>
      <c r="EL935" s="156"/>
      <c r="EM935" s="156"/>
    </row>
    <row r="936" spans="20:143" ht="10.5" customHeight="1">
      <c r="T936" s="156"/>
      <c r="AZ936" s="156"/>
      <c r="BA936" s="156"/>
      <c r="BB936" s="156"/>
      <c r="BC936" s="156"/>
      <c r="BD936" s="156"/>
      <c r="BE936" s="156"/>
      <c r="BF936" s="156"/>
      <c r="BG936" s="156"/>
      <c r="BH936" s="156"/>
      <c r="BI936" s="156"/>
      <c r="BJ936" s="156"/>
      <c r="BK936" s="156"/>
      <c r="BL936" s="156"/>
      <c r="BM936" s="156"/>
      <c r="BN936" s="156"/>
      <c r="BO936" s="156"/>
      <c r="BP936" s="156"/>
      <c r="BQ936" s="156"/>
      <c r="BR936" s="156"/>
      <c r="BS936" s="156"/>
      <c r="BT936" s="156"/>
      <c r="BU936" s="156"/>
      <c r="BV936" s="156"/>
      <c r="BW936" s="156"/>
      <c r="BX936" s="156"/>
      <c r="BY936" s="156"/>
      <c r="BZ936" s="156"/>
      <c r="CA936" s="156"/>
      <c r="CB936" s="156"/>
      <c r="CC936" s="156"/>
      <c r="CD936" s="156"/>
      <c r="CE936" s="156"/>
      <c r="CF936" s="156"/>
      <c r="CG936" s="156"/>
      <c r="CH936" s="156"/>
      <c r="CI936" s="156"/>
      <c r="CJ936" s="156"/>
      <c r="CK936" s="156"/>
      <c r="CL936" s="156"/>
      <c r="CM936" s="156"/>
      <c r="CN936" s="156"/>
      <c r="CO936" s="156"/>
      <c r="CP936" s="156"/>
      <c r="CQ936" s="156"/>
      <c r="CR936" s="156"/>
      <c r="CS936" s="156"/>
      <c r="CT936" s="156"/>
      <c r="CU936" s="156"/>
      <c r="CV936" s="156"/>
      <c r="CW936" s="156"/>
      <c r="CX936" s="156"/>
      <c r="CY936" s="156"/>
      <c r="CZ936" s="156"/>
      <c r="DA936" s="156"/>
      <c r="DB936" s="156"/>
      <c r="DC936" s="156"/>
      <c r="DD936" s="156"/>
      <c r="DE936" s="156"/>
      <c r="DF936" s="156"/>
      <c r="DG936" s="156"/>
      <c r="DH936" s="156"/>
      <c r="DI936" s="156"/>
      <c r="DJ936" s="156"/>
      <c r="DK936" s="156"/>
      <c r="DL936" s="156"/>
      <c r="DM936" s="156"/>
      <c r="DN936" s="156"/>
      <c r="DO936" s="156"/>
      <c r="DP936" s="156"/>
      <c r="DQ936" s="156"/>
      <c r="DR936" s="156"/>
      <c r="DS936" s="156"/>
      <c r="DT936" s="156"/>
      <c r="DU936" s="156"/>
      <c r="DV936" s="156"/>
      <c r="DW936" s="156"/>
      <c r="DX936" s="156"/>
      <c r="DY936" s="156"/>
      <c r="DZ936" s="156"/>
      <c r="EA936" s="156"/>
      <c r="EB936" s="156"/>
      <c r="EC936" s="156"/>
      <c r="ED936" s="156"/>
      <c r="EE936" s="156"/>
      <c r="EF936" s="156"/>
      <c r="EG936" s="156"/>
      <c r="EH936" s="156"/>
      <c r="EI936" s="156"/>
      <c r="EJ936" s="156"/>
      <c r="EK936" s="156"/>
      <c r="EL936" s="156"/>
      <c r="EM936" s="156"/>
    </row>
    <row r="937" spans="20:143" ht="10.5" customHeight="1">
      <c r="T937" s="156"/>
      <c r="AZ937" s="156"/>
      <c r="BA937" s="156"/>
      <c r="BB937" s="156"/>
      <c r="BC937" s="156"/>
      <c r="BD937" s="156"/>
      <c r="BE937" s="156"/>
      <c r="BF937" s="156"/>
      <c r="BG937" s="156"/>
      <c r="BH937" s="156"/>
      <c r="BI937" s="156"/>
      <c r="BJ937" s="156"/>
      <c r="BK937" s="156"/>
      <c r="BL937" s="156"/>
      <c r="BM937" s="156"/>
      <c r="BN937" s="156"/>
      <c r="BO937" s="156"/>
      <c r="BP937" s="156"/>
      <c r="BQ937" s="156"/>
      <c r="BR937" s="156"/>
      <c r="BS937" s="156"/>
      <c r="BT937" s="156"/>
      <c r="BU937" s="156"/>
      <c r="BV937" s="156"/>
      <c r="BW937" s="156"/>
      <c r="BX937" s="156"/>
      <c r="BY937" s="156"/>
      <c r="BZ937" s="156"/>
      <c r="CA937" s="156"/>
      <c r="CB937" s="156"/>
      <c r="CC937" s="156"/>
      <c r="CD937" s="156"/>
      <c r="CE937" s="156"/>
      <c r="CF937" s="156"/>
      <c r="CG937" s="156"/>
      <c r="CH937" s="156"/>
      <c r="CI937" s="156"/>
      <c r="CJ937" s="156"/>
      <c r="CK937" s="156"/>
      <c r="CL937" s="156"/>
      <c r="CM937" s="156"/>
      <c r="CN937" s="156"/>
      <c r="CO937" s="156"/>
      <c r="CP937" s="156"/>
      <c r="CQ937" s="156"/>
      <c r="CR937" s="156"/>
      <c r="CS937" s="156"/>
      <c r="CT937" s="156"/>
      <c r="CU937" s="156"/>
      <c r="CV937" s="156"/>
      <c r="CW937" s="156"/>
      <c r="CX937" s="156"/>
      <c r="CY937" s="156"/>
      <c r="CZ937" s="156"/>
      <c r="DA937" s="156"/>
      <c r="DB937" s="156"/>
      <c r="DC937" s="156"/>
      <c r="DD937" s="156"/>
      <c r="DE937" s="156"/>
      <c r="DF937" s="156"/>
      <c r="DG937" s="156"/>
      <c r="DH937" s="156"/>
      <c r="DI937" s="156"/>
      <c r="DJ937" s="156"/>
      <c r="DK937" s="156"/>
      <c r="DL937" s="156"/>
      <c r="DM937" s="156"/>
      <c r="DN937" s="156"/>
      <c r="DO937" s="156"/>
      <c r="DP937" s="156"/>
      <c r="DQ937" s="156"/>
      <c r="DR937" s="156"/>
      <c r="DS937" s="156"/>
      <c r="DT937" s="156"/>
      <c r="DU937" s="156"/>
      <c r="DV937" s="156"/>
      <c r="DW937" s="156"/>
      <c r="DX937" s="156"/>
      <c r="DY937" s="156"/>
      <c r="DZ937" s="156"/>
      <c r="EA937" s="156"/>
      <c r="EB937" s="156"/>
      <c r="EC937" s="156"/>
      <c r="ED937" s="156"/>
      <c r="EE937" s="156"/>
      <c r="EF937" s="156"/>
      <c r="EG937" s="156"/>
      <c r="EH937" s="156"/>
      <c r="EI937" s="156"/>
      <c r="EJ937" s="156"/>
      <c r="EK937" s="156"/>
      <c r="EL937" s="156"/>
      <c r="EM937" s="156"/>
    </row>
    <row r="938" spans="20:143" ht="10.5" customHeight="1">
      <c r="T938" s="156"/>
      <c r="AZ938" s="156"/>
      <c r="BA938" s="156"/>
      <c r="BB938" s="156"/>
      <c r="BC938" s="156"/>
      <c r="BD938" s="156"/>
      <c r="BE938" s="156"/>
      <c r="BF938" s="156"/>
      <c r="BG938" s="156"/>
      <c r="BH938" s="156"/>
      <c r="BI938" s="156"/>
      <c r="BJ938" s="156"/>
      <c r="BK938" s="156"/>
      <c r="BL938" s="156"/>
      <c r="BM938" s="156"/>
      <c r="BN938" s="156"/>
      <c r="BO938" s="156"/>
      <c r="BP938" s="156"/>
      <c r="BQ938" s="156"/>
      <c r="BR938" s="156"/>
      <c r="BS938" s="156"/>
      <c r="BT938" s="156"/>
      <c r="BU938" s="156"/>
      <c r="BV938" s="156"/>
      <c r="BW938" s="156"/>
      <c r="BX938" s="156"/>
      <c r="BY938" s="156"/>
      <c r="BZ938" s="156"/>
      <c r="CA938" s="156"/>
      <c r="CB938" s="156"/>
      <c r="CC938" s="156"/>
      <c r="CD938" s="156"/>
      <c r="CE938" s="156"/>
      <c r="CF938" s="156"/>
      <c r="CG938" s="156"/>
      <c r="CH938" s="156"/>
      <c r="CI938" s="156"/>
      <c r="CJ938" s="156"/>
      <c r="CK938" s="156"/>
      <c r="CL938" s="156"/>
      <c r="CM938" s="156"/>
      <c r="CN938" s="156"/>
      <c r="CO938" s="156"/>
      <c r="CP938" s="156"/>
      <c r="CQ938" s="156"/>
      <c r="CR938" s="156"/>
      <c r="CS938" s="156"/>
      <c r="CT938" s="156"/>
      <c r="CU938" s="156"/>
      <c r="CV938" s="156"/>
      <c r="CW938" s="156"/>
      <c r="CX938" s="156"/>
      <c r="CY938" s="156"/>
      <c r="CZ938" s="156"/>
      <c r="DA938" s="156"/>
      <c r="DB938" s="156"/>
      <c r="DC938" s="156"/>
      <c r="DD938" s="156"/>
      <c r="DE938" s="156"/>
      <c r="DF938" s="156"/>
      <c r="DG938" s="156"/>
      <c r="DH938" s="156"/>
      <c r="DI938" s="156"/>
      <c r="DJ938" s="156"/>
      <c r="DK938" s="156"/>
      <c r="DL938" s="156"/>
      <c r="DM938" s="156"/>
      <c r="DN938" s="156"/>
      <c r="DO938" s="156"/>
      <c r="DP938" s="156"/>
      <c r="DQ938" s="156"/>
      <c r="DR938" s="156"/>
      <c r="DS938" s="156"/>
      <c r="DT938" s="156"/>
      <c r="DU938" s="156"/>
      <c r="DV938" s="156"/>
      <c r="DW938" s="156"/>
      <c r="DX938" s="156"/>
      <c r="DY938" s="156"/>
      <c r="DZ938" s="156"/>
      <c r="EA938" s="156"/>
      <c r="EB938" s="156"/>
      <c r="EC938" s="156"/>
      <c r="ED938" s="156"/>
      <c r="EE938" s="156"/>
      <c r="EF938" s="156"/>
      <c r="EG938" s="156"/>
      <c r="EH938" s="156"/>
      <c r="EI938" s="156"/>
      <c r="EJ938" s="156"/>
      <c r="EK938" s="156"/>
      <c r="EL938" s="156"/>
      <c r="EM938" s="156"/>
    </row>
    <row r="939" spans="20:143" ht="10.5" customHeight="1">
      <c r="T939" s="156"/>
      <c r="AZ939" s="156"/>
      <c r="BA939" s="156"/>
      <c r="BB939" s="156"/>
      <c r="BC939" s="156"/>
      <c r="BD939" s="156"/>
      <c r="BE939" s="156"/>
      <c r="BF939" s="156"/>
      <c r="BG939" s="156"/>
      <c r="BH939" s="156"/>
      <c r="BI939" s="156"/>
      <c r="BJ939" s="156"/>
      <c r="BK939" s="156"/>
      <c r="BL939" s="156"/>
      <c r="BM939" s="156"/>
      <c r="BN939" s="156"/>
      <c r="BO939" s="156"/>
      <c r="BP939" s="156"/>
      <c r="BQ939" s="156"/>
      <c r="BR939" s="156"/>
      <c r="BS939" s="156"/>
      <c r="BT939" s="156"/>
      <c r="BU939" s="156"/>
      <c r="BV939" s="156"/>
      <c r="BW939" s="156"/>
      <c r="BX939" s="156"/>
      <c r="BY939" s="156"/>
      <c r="BZ939" s="156"/>
      <c r="CA939" s="156"/>
      <c r="CB939" s="156"/>
      <c r="CC939" s="156"/>
      <c r="CD939" s="156"/>
      <c r="CE939" s="156"/>
      <c r="CF939" s="156"/>
      <c r="CG939" s="156"/>
      <c r="CH939" s="156"/>
      <c r="CI939" s="156"/>
      <c r="CJ939" s="156"/>
      <c r="CK939" s="156"/>
      <c r="CL939" s="156"/>
      <c r="CM939" s="156"/>
      <c r="CN939" s="156"/>
      <c r="CO939" s="156"/>
      <c r="CP939" s="156"/>
      <c r="CQ939" s="156"/>
      <c r="CR939" s="156"/>
      <c r="CS939" s="156"/>
      <c r="CT939" s="156"/>
      <c r="CU939" s="156"/>
      <c r="CV939" s="156"/>
      <c r="CW939" s="156"/>
      <c r="CX939" s="156"/>
      <c r="CY939" s="156"/>
      <c r="CZ939" s="156"/>
      <c r="DA939" s="156"/>
      <c r="DB939" s="156"/>
      <c r="DC939" s="156"/>
      <c r="DD939" s="156"/>
      <c r="DE939" s="156"/>
      <c r="DF939" s="156"/>
      <c r="DG939" s="156"/>
      <c r="DH939" s="156"/>
      <c r="DI939" s="156"/>
      <c r="DJ939" s="156"/>
      <c r="DK939" s="156"/>
      <c r="DL939" s="156"/>
      <c r="DM939" s="156"/>
      <c r="DN939" s="156"/>
      <c r="DO939" s="156"/>
      <c r="DP939" s="156"/>
      <c r="DQ939" s="156"/>
      <c r="DR939" s="156"/>
      <c r="DS939" s="156"/>
      <c r="DT939" s="156"/>
      <c r="DU939" s="156"/>
      <c r="DV939" s="156"/>
      <c r="DW939" s="156"/>
      <c r="DX939" s="156"/>
      <c r="DY939" s="156"/>
      <c r="DZ939" s="156"/>
      <c r="EA939" s="156"/>
      <c r="EB939" s="156"/>
      <c r="EC939" s="156"/>
      <c r="ED939" s="156"/>
      <c r="EE939" s="156"/>
      <c r="EF939" s="156"/>
      <c r="EG939" s="156"/>
      <c r="EH939" s="156"/>
      <c r="EI939" s="156"/>
      <c r="EJ939" s="156"/>
      <c r="EK939" s="156"/>
      <c r="EL939" s="156"/>
      <c r="EM939" s="156"/>
    </row>
    <row r="940" spans="20:143" ht="10.5" customHeight="1">
      <c r="T940" s="156"/>
      <c r="AZ940" s="156"/>
      <c r="BA940" s="156"/>
      <c r="BB940" s="156"/>
      <c r="BC940" s="156"/>
      <c r="BD940" s="156"/>
      <c r="BE940" s="156"/>
      <c r="BF940" s="156"/>
      <c r="BG940" s="156"/>
      <c r="BH940" s="156"/>
      <c r="BI940" s="156"/>
      <c r="BJ940" s="156"/>
      <c r="BK940" s="156"/>
      <c r="BL940" s="156"/>
      <c r="BM940" s="156"/>
      <c r="BN940" s="156"/>
      <c r="BO940" s="156"/>
      <c r="BP940" s="156"/>
      <c r="BQ940" s="156"/>
      <c r="BR940" s="156"/>
      <c r="BS940" s="156"/>
      <c r="BT940" s="156"/>
      <c r="BU940" s="156"/>
      <c r="BV940" s="156"/>
      <c r="BW940" s="156"/>
      <c r="BX940" s="156"/>
      <c r="BY940" s="156"/>
      <c r="BZ940" s="156"/>
      <c r="CA940" s="156"/>
      <c r="CB940" s="156"/>
      <c r="CC940" s="156"/>
      <c r="CD940" s="156"/>
      <c r="CE940" s="156"/>
      <c r="CF940" s="156"/>
      <c r="CG940" s="156"/>
      <c r="CH940" s="156"/>
      <c r="CI940" s="156"/>
      <c r="CJ940" s="156"/>
      <c r="CK940" s="156"/>
      <c r="CL940" s="156"/>
      <c r="CM940" s="156"/>
      <c r="CN940" s="156"/>
      <c r="CO940" s="156"/>
      <c r="CP940" s="156"/>
      <c r="CQ940" s="156"/>
      <c r="CR940" s="156"/>
      <c r="CS940" s="156"/>
      <c r="CT940" s="156"/>
      <c r="CU940" s="156"/>
      <c r="CV940" s="156"/>
      <c r="CW940" s="156"/>
      <c r="CX940" s="156"/>
      <c r="CY940" s="156"/>
      <c r="CZ940" s="156"/>
      <c r="DA940" s="156"/>
      <c r="DB940" s="156"/>
      <c r="DC940" s="156"/>
      <c r="DD940" s="156"/>
      <c r="DE940" s="156"/>
      <c r="DF940" s="156"/>
      <c r="DG940" s="156"/>
      <c r="DH940" s="156"/>
      <c r="DI940" s="156"/>
      <c r="DJ940" s="156"/>
      <c r="DK940" s="156"/>
      <c r="DL940" s="156"/>
      <c r="DM940" s="156"/>
      <c r="DN940" s="156"/>
      <c r="DO940" s="156"/>
      <c r="DP940" s="156"/>
      <c r="DQ940" s="156"/>
      <c r="DR940" s="156"/>
      <c r="DS940" s="156"/>
      <c r="DT940" s="156"/>
      <c r="DU940" s="156"/>
      <c r="DV940" s="156"/>
      <c r="DW940" s="156"/>
      <c r="DX940" s="156"/>
      <c r="DY940" s="156"/>
      <c r="DZ940" s="156"/>
      <c r="EA940" s="156"/>
      <c r="EB940" s="156"/>
      <c r="EC940" s="156"/>
      <c r="ED940" s="156"/>
      <c r="EE940" s="156"/>
      <c r="EF940" s="156"/>
      <c r="EG940" s="156"/>
      <c r="EH940" s="156"/>
      <c r="EI940" s="156"/>
      <c r="EJ940" s="156"/>
      <c r="EK940" s="156"/>
      <c r="EL940" s="156"/>
      <c r="EM940" s="156"/>
    </row>
    <row r="941" spans="20:143" ht="10.5" customHeight="1">
      <c r="T941" s="156"/>
      <c r="AZ941" s="156"/>
      <c r="BA941" s="156"/>
      <c r="BB941" s="156"/>
      <c r="BC941" s="156"/>
      <c r="BD941" s="156"/>
      <c r="BE941" s="156"/>
      <c r="BF941" s="156"/>
      <c r="BG941" s="156"/>
      <c r="BH941" s="156"/>
      <c r="BI941" s="156"/>
      <c r="BJ941" s="156"/>
      <c r="BK941" s="156"/>
      <c r="BL941" s="156"/>
      <c r="BM941" s="156"/>
      <c r="BN941" s="156"/>
      <c r="BO941" s="156"/>
      <c r="BP941" s="156"/>
      <c r="BQ941" s="156"/>
      <c r="BR941" s="156"/>
      <c r="BS941" s="156"/>
      <c r="BT941" s="156"/>
      <c r="BU941" s="156"/>
      <c r="BV941" s="156"/>
      <c r="BW941" s="156"/>
      <c r="BX941" s="156"/>
      <c r="BY941" s="156"/>
      <c r="BZ941" s="156"/>
      <c r="CA941" s="156"/>
      <c r="CB941" s="156"/>
      <c r="CC941" s="156"/>
      <c r="CD941" s="156"/>
      <c r="CE941" s="156"/>
      <c r="CF941" s="156"/>
      <c r="CG941" s="156"/>
      <c r="CH941" s="156"/>
      <c r="CI941" s="156"/>
      <c r="CJ941" s="156"/>
      <c r="CK941" s="156"/>
      <c r="CL941" s="156"/>
      <c r="CM941" s="156"/>
      <c r="CN941" s="156"/>
      <c r="CO941" s="156"/>
      <c r="CP941" s="156"/>
      <c r="CQ941" s="156"/>
      <c r="CR941" s="156"/>
      <c r="CS941" s="156"/>
      <c r="CT941" s="156"/>
      <c r="CU941" s="156"/>
      <c r="CV941" s="156"/>
      <c r="CW941" s="156"/>
      <c r="CX941" s="156"/>
      <c r="CY941" s="156"/>
      <c r="CZ941" s="156"/>
      <c r="DA941" s="156"/>
      <c r="DB941" s="156"/>
      <c r="DC941" s="156"/>
      <c r="DD941" s="156"/>
      <c r="DE941" s="156"/>
      <c r="DF941" s="156"/>
      <c r="DG941" s="156"/>
      <c r="DH941" s="156"/>
      <c r="DI941" s="156"/>
      <c r="DJ941" s="156"/>
      <c r="DK941" s="156"/>
      <c r="DL941" s="156"/>
      <c r="DM941" s="156"/>
      <c r="DN941" s="156"/>
      <c r="DO941" s="156"/>
      <c r="DP941" s="156"/>
      <c r="DQ941" s="156"/>
      <c r="DR941" s="156"/>
      <c r="DS941" s="156"/>
      <c r="DT941" s="156"/>
      <c r="DU941" s="156"/>
      <c r="DV941" s="156"/>
      <c r="DW941" s="156"/>
      <c r="DX941" s="156"/>
      <c r="DY941" s="156"/>
      <c r="DZ941" s="156"/>
      <c r="EA941" s="156"/>
      <c r="EB941" s="156"/>
      <c r="EC941" s="156"/>
      <c r="ED941" s="156"/>
      <c r="EE941" s="156"/>
      <c r="EF941" s="156"/>
      <c r="EG941" s="156"/>
      <c r="EH941" s="156"/>
      <c r="EI941" s="156"/>
      <c r="EJ941" s="156"/>
      <c r="EK941" s="156"/>
      <c r="EL941" s="156"/>
      <c r="EM941" s="156"/>
    </row>
    <row r="942" spans="20:143" ht="10.5" customHeight="1">
      <c r="T942" s="156"/>
      <c r="AZ942" s="156"/>
      <c r="BA942" s="156"/>
      <c r="BB942" s="156"/>
      <c r="BC942" s="156"/>
      <c r="BD942" s="156"/>
      <c r="BE942" s="156"/>
      <c r="BF942" s="156"/>
      <c r="BG942" s="156"/>
      <c r="BH942" s="156"/>
      <c r="BI942" s="156"/>
      <c r="BJ942" s="156"/>
      <c r="BK942" s="156"/>
      <c r="BL942" s="156"/>
      <c r="BM942" s="156"/>
      <c r="BN942" s="156"/>
      <c r="BO942" s="156"/>
      <c r="BP942" s="156"/>
      <c r="BQ942" s="156"/>
      <c r="BR942" s="156"/>
      <c r="BS942" s="156"/>
      <c r="BT942" s="156"/>
      <c r="BU942" s="156"/>
      <c r="BV942" s="156"/>
      <c r="BW942" s="156"/>
      <c r="BX942" s="156"/>
      <c r="BY942" s="156"/>
      <c r="BZ942" s="156"/>
      <c r="CA942" s="156"/>
      <c r="CB942" s="156"/>
      <c r="CC942" s="156"/>
      <c r="CD942" s="156"/>
      <c r="CE942" s="156"/>
      <c r="CF942" s="156"/>
      <c r="CG942" s="156"/>
      <c r="CH942" s="156"/>
      <c r="CI942" s="156"/>
      <c r="CJ942" s="156"/>
      <c r="CK942" s="156"/>
      <c r="CL942" s="156"/>
      <c r="CM942" s="156"/>
      <c r="CN942" s="156"/>
      <c r="CO942" s="156"/>
      <c r="CP942" s="156"/>
      <c r="CQ942" s="156"/>
      <c r="CR942" s="156"/>
      <c r="CS942" s="156"/>
      <c r="CT942" s="156"/>
      <c r="CU942" s="156"/>
      <c r="CV942" s="156"/>
      <c r="CW942" s="156"/>
      <c r="CX942" s="156"/>
      <c r="CY942" s="156"/>
      <c r="CZ942" s="156"/>
      <c r="DA942" s="156"/>
      <c r="DB942" s="156"/>
      <c r="DC942" s="156"/>
      <c r="DD942" s="156"/>
      <c r="DE942" s="156"/>
      <c r="DF942" s="156"/>
      <c r="DG942" s="156"/>
      <c r="DH942" s="156"/>
      <c r="DI942" s="156"/>
      <c r="DJ942" s="156"/>
      <c r="DK942" s="156"/>
      <c r="DL942" s="156"/>
      <c r="DM942" s="156"/>
      <c r="DN942" s="156"/>
      <c r="DO942" s="156"/>
      <c r="DP942" s="156"/>
      <c r="DQ942" s="156"/>
      <c r="DR942" s="156"/>
      <c r="DS942" s="156"/>
      <c r="DT942" s="156"/>
      <c r="DU942" s="156"/>
      <c r="DV942" s="156"/>
      <c r="DW942" s="156"/>
      <c r="DX942" s="156"/>
      <c r="DY942" s="156"/>
      <c r="DZ942" s="156"/>
      <c r="EA942" s="156"/>
      <c r="EB942" s="156"/>
      <c r="EC942" s="156"/>
      <c r="ED942" s="156"/>
      <c r="EE942" s="156"/>
      <c r="EF942" s="156"/>
      <c r="EG942" s="156"/>
      <c r="EH942" s="156"/>
      <c r="EI942" s="156"/>
      <c r="EJ942" s="156"/>
      <c r="EK942" s="156"/>
      <c r="EL942" s="156"/>
      <c r="EM942" s="156"/>
    </row>
    <row r="943" spans="20:143" ht="10.5" customHeight="1">
      <c r="T943" s="156"/>
      <c r="AZ943" s="156"/>
      <c r="BA943" s="156"/>
      <c r="BB943" s="156"/>
      <c r="BC943" s="156"/>
      <c r="BD943" s="156"/>
      <c r="BE943" s="156"/>
      <c r="BF943" s="156"/>
      <c r="BG943" s="156"/>
      <c r="BH943" s="156"/>
      <c r="BI943" s="156"/>
      <c r="BJ943" s="156"/>
      <c r="BK943" s="156"/>
      <c r="BL943" s="156"/>
      <c r="BM943" s="156"/>
      <c r="BN943" s="156"/>
      <c r="BO943" s="156"/>
      <c r="BP943" s="156"/>
      <c r="BQ943" s="156"/>
      <c r="BR943" s="156"/>
      <c r="BS943" s="156"/>
      <c r="BT943" s="156"/>
      <c r="BU943" s="156"/>
      <c r="BV943" s="156"/>
      <c r="BW943" s="156"/>
      <c r="BX943" s="156"/>
      <c r="BY943" s="156"/>
      <c r="BZ943" s="156"/>
      <c r="CA943" s="156"/>
      <c r="CB943" s="156"/>
      <c r="CC943" s="156"/>
      <c r="CD943" s="156"/>
      <c r="CE943" s="156"/>
      <c r="CF943" s="156"/>
      <c r="CG943" s="156"/>
      <c r="CH943" s="156"/>
      <c r="CI943" s="156"/>
      <c r="CJ943" s="156"/>
      <c r="CK943" s="156"/>
      <c r="CL943" s="156"/>
      <c r="CM943" s="156"/>
      <c r="CN943" s="156"/>
      <c r="CO943" s="156"/>
      <c r="CP943" s="156"/>
      <c r="CQ943" s="156"/>
      <c r="CR943" s="156"/>
      <c r="CS943" s="156"/>
      <c r="CT943" s="156"/>
      <c r="CU943" s="156"/>
      <c r="CV943" s="156"/>
      <c r="CW943" s="156"/>
      <c r="CX943" s="156"/>
      <c r="CY943" s="156"/>
      <c r="CZ943" s="156"/>
      <c r="DA943" s="156"/>
      <c r="DB943" s="156"/>
      <c r="DC943" s="156"/>
      <c r="DD943" s="156"/>
      <c r="DE943" s="156"/>
      <c r="DF943" s="156"/>
      <c r="DG943" s="156"/>
      <c r="DH943" s="156"/>
      <c r="DI943" s="156"/>
      <c r="DJ943" s="156"/>
      <c r="DK943" s="156"/>
      <c r="DL943" s="156"/>
      <c r="DM943" s="156"/>
      <c r="DN943" s="156"/>
      <c r="DO943" s="156"/>
      <c r="DP943" s="156"/>
      <c r="DQ943" s="156"/>
      <c r="DR943" s="156"/>
      <c r="DS943" s="156"/>
      <c r="DT943" s="156"/>
      <c r="DU943" s="156"/>
      <c r="DV943" s="156"/>
      <c r="DW943" s="156"/>
      <c r="DX943" s="156"/>
      <c r="DY943" s="156"/>
      <c r="DZ943" s="156"/>
      <c r="EA943" s="156"/>
      <c r="EB943" s="156"/>
      <c r="EC943" s="156"/>
      <c r="ED943" s="156"/>
      <c r="EE943" s="156"/>
      <c r="EF943" s="156"/>
      <c r="EG943" s="156"/>
      <c r="EH943" s="156"/>
      <c r="EI943" s="156"/>
      <c r="EJ943" s="156"/>
      <c r="EK943" s="156"/>
      <c r="EL943" s="156"/>
      <c r="EM943" s="156"/>
    </row>
    <row r="944" spans="20:143" ht="10.5" customHeight="1">
      <c r="T944" s="156"/>
      <c r="AZ944" s="156"/>
      <c r="BA944" s="156"/>
      <c r="BB944" s="156"/>
      <c r="BC944" s="156"/>
      <c r="BD944" s="156"/>
      <c r="BE944" s="156"/>
      <c r="BF944" s="156"/>
      <c r="BG944" s="156"/>
      <c r="BH944" s="156"/>
      <c r="BI944" s="156"/>
      <c r="BJ944" s="156"/>
      <c r="BK944" s="156"/>
      <c r="BL944" s="156"/>
      <c r="BM944" s="156"/>
      <c r="BN944" s="156"/>
      <c r="BO944" s="156"/>
      <c r="BP944" s="156"/>
      <c r="BQ944" s="156"/>
      <c r="BR944" s="156"/>
      <c r="BS944" s="156"/>
      <c r="BT944" s="156"/>
      <c r="BU944" s="156"/>
      <c r="BV944" s="156"/>
      <c r="BW944" s="156"/>
      <c r="BX944" s="156"/>
      <c r="BY944" s="156"/>
      <c r="BZ944" s="156"/>
      <c r="CA944" s="156"/>
      <c r="CB944" s="156"/>
      <c r="CC944" s="156"/>
      <c r="CD944" s="156"/>
      <c r="CE944" s="156"/>
      <c r="CF944" s="156"/>
      <c r="CG944" s="156"/>
      <c r="CH944" s="156"/>
      <c r="CI944" s="156"/>
      <c r="CJ944" s="156"/>
      <c r="CK944" s="156"/>
      <c r="CL944" s="156"/>
      <c r="CM944" s="156"/>
      <c r="CN944" s="156"/>
      <c r="CO944" s="156"/>
      <c r="CP944" s="156"/>
      <c r="CQ944" s="156"/>
      <c r="CR944" s="156"/>
      <c r="CS944" s="156"/>
      <c r="CT944" s="156"/>
      <c r="CU944" s="156"/>
      <c r="CV944" s="156"/>
      <c r="CW944" s="156"/>
      <c r="CX944" s="156"/>
      <c r="CY944" s="156"/>
      <c r="CZ944" s="156"/>
      <c r="DA944" s="156"/>
      <c r="DB944" s="156"/>
      <c r="DC944" s="156"/>
      <c r="DD944" s="156"/>
      <c r="DE944" s="156"/>
      <c r="DF944" s="156"/>
      <c r="DG944" s="156"/>
      <c r="DH944" s="156"/>
      <c r="DI944" s="156"/>
      <c r="DJ944" s="156"/>
      <c r="DK944" s="156"/>
      <c r="DL944" s="156"/>
      <c r="DM944" s="156"/>
      <c r="DN944" s="156"/>
      <c r="DO944" s="156"/>
      <c r="DP944" s="156"/>
      <c r="DQ944" s="156"/>
      <c r="DR944" s="156"/>
      <c r="DS944" s="156"/>
      <c r="DT944" s="156"/>
      <c r="DU944" s="156"/>
      <c r="DV944" s="156"/>
      <c r="DW944" s="156"/>
      <c r="DX944" s="156"/>
      <c r="DY944" s="156"/>
      <c r="DZ944" s="156"/>
      <c r="EA944" s="156"/>
      <c r="EB944" s="156"/>
      <c r="EC944" s="156"/>
      <c r="ED944" s="156"/>
      <c r="EE944" s="156"/>
      <c r="EF944" s="156"/>
      <c r="EG944" s="156"/>
      <c r="EH944" s="156"/>
      <c r="EI944" s="156"/>
      <c r="EJ944" s="156"/>
      <c r="EK944" s="156"/>
      <c r="EL944" s="156"/>
      <c r="EM944" s="156"/>
    </row>
    <row r="945" spans="20:143" ht="10.5" customHeight="1">
      <c r="T945" s="156"/>
      <c r="AZ945" s="156"/>
      <c r="BA945" s="156"/>
      <c r="BB945" s="156"/>
      <c r="BC945" s="156"/>
      <c r="BD945" s="156"/>
      <c r="BE945" s="156"/>
      <c r="BF945" s="156"/>
      <c r="BG945" s="156"/>
      <c r="BH945" s="156"/>
      <c r="BI945" s="156"/>
      <c r="BJ945" s="156"/>
      <c r="BK945" s="156"/>
      <c r="BL945" s="156"/>
      <c r="BM945" s="156"/>
      <c r="BN945" s="156"/>
      <c r="BO945" s="156"/>
      <c r="BP945" s="156"/>
      <c r="BQ945" s="156"/>
      <c r="BR945" s="156"/>
      <c r="BS945" s="156"/>
      <c r="BT945" s="156"/>
      <c r="BU945" s="156"/>
      <c r="BV945" s="156"/>
      <c r="BW945" s="156"/>
      <c r="BX945" s="156"/>
      <c r="BY945" s="156"/>
      <c r="BZ945" s="156"/>
      <c r="CA945" s="156"/>
      <c r="CB945" s="156"/>
      <c r="CC945" s="156"/>
      <c r="CD945" s="156"/>
      <c r="CE945" s="156"/>
      <c r="CF945" s="156"/>
      <c r="CG945" s="156"/>
      <c r="CH945" s="156"/>
      <c r="CI945" s="156"/>
      <c r="CJ945" s="156"/>
      <c r="CK945" s="156"/>
      <c r="CL945" s="156"/>
      <c r="CM945" s="156"/>
      <c r="CN945" s="156"/>
      <c r="CO945" s="156"/>
      <c r="CP945" s="156"/>
      <c r="CQ945" s="156"/>
      <c r="CR945" s="156"/>
      <c r="CS945" s="156"/>
      <c r="CT945" s="156"/>
      <c r="CU945" s="156"/>
      <c r="CV945" s="156"/>
      <c r="CW945" s="156"/>
      <c r="CX945" s="156"/>
      <c r="CY945" s="156"/>
      <c r="CZ945" s="156"/>
      <c r="DA945" s="156"/>
      <c r="DB945" s="156"/>
      <c r="DC945" s="156"/>
      <c r="DD945" s="156"/>
      <c r="DE945" s="156"/>
      <c r="DF945" s="156"/>
      <c r="DG945" s="156"/>
      <c r="DH945" s="156"/>
      <c r="DI945" s="156"/>
      <c r="DJ945" s="156"/>
      <c r="DK945" s="156"/>
      <c r="DL945" s="156"/>
      <c r="DM945" s="156"/>
      <c r="DN945" s="156"/>
      <c r="DO945" s="156"/>
      <c r="DP945" s="156"/>
      <c r="DQ945" s="156"/>
      <c r="DR945" s="156"/>
      <c r="DS945" s="156"/>
      <c r="DT945" s="156"/>
      <c r="DU945" s="156"/>
      <c r="DV945" s="156"/>
      <c r="DW945" s="156"/>
      <c r="DX945" s="156"/>
      <c r="DY945" s="156"/>
      <c r="DZ945" s="156"/>
      <c r="EA945" s="156"/>
      <c r="EB945" s="156"/>
      <c r="EC945" s="156"/>
      <c r="ED945" s="156"/>
      <c r="EE945" s="156"/>
      <c r="EF945" s="156"/>
      <c r="EG945" s="156"/>
      <c r="EH945" s="156"/>
      <c r="EI945" s="156"/>
      <c r="EJ945" s="156"/>
      <c r="EK945" s="156"/>
      <c r="EL945" s="156"/>
      <c r="EM945" s="156"/>
    </row>
    <row r="946" spans="20:143" ht="10.5" customHeight="1">
      <c r="T946" s="156"/>
      <c r="AZ946" s="156"/>
      <c r="BA946" s="156"/>
      <c r="BB946" s="156"/>
      <c r="BC946" s="156"/>
      <c r="BD946" s="156"/>
      <c r="BE946" s="156"/>
      <c r="BF946" s="156"/>
      <c r="BG946" s="156"/>
      <c r="BH946" s="156"/>
      <c r="BI946" s="156"/>
      <c r="BJ946" s="156"/>
      <c r="BK946" s="156"/>
      <c r="BL946" s="156"/>
      <c r="BM946" s="156"/>
      <c r="BN946" s="156"/>
      <c r="BO946" s="156"/>
      <c r="BP946" s="156"/>
      <c r="BQ946" s="156"/>
      <c r="BR946" s="156"/>
      <c r="BS946" s="156"/>
      <c r="BT946" s="156"/>
      <c r="BU946" s="156"/>
      <c r="BV946" s="156"/>
      <c r="BW946" s="156"/>
      <c r="BX946" s="156"/>
      <c r="BY946" s="156"/>
      <c r="BZ946" s="156"/>
      <c r="CA946" s="156"/>
      <c r="CB946" s="156"/>
      <c r="CC946" s="156"/>
      <c r="CD946" s="156"/>
      <c r="CE946" s="156"/>
      <c r="CF946" s="156"/>
      <c r="CG946" s="156"/>
      <c r="CH946" s="156"/>
      <c r="CI946" s="156"/>
      <c r="CJ946" s="156"/>
      <c r="CK946" s="156"/>
      <c r="CL946" s="156"/>
      <c r="CM946" s="156"/>
      <c r="CN946" s="156"/>
      <c r="CO946" s="156"/>
      <c r="CP946" s="156"/>
      <c r="CQ946" s="156"/>
      <c r="CR946" s="156"/>
      <c r="CS946" s="156"/>
      <c r="CT946" s="156"/>
      <c r="CU946" s="156"/>
      <c r="CV946" s="156"/>
      <c r="CW946" s="156"/>
      <c r="CX946" s="156"/>
      <c r="CY946" s="156"/>
      <c r="CZ946" s="156"/>
      <c r="DA946" s="156"/>
      <c r="DB946" s="156"/>
      <c r="DC946" s="156"/>
      <c r="DD946" s="156"/>
      <c r="DE946" s="156"/>
      <c r="DF946" s="156"/>
      <c r="DG946" s="156"/>
      <c r="DH946" s="156"/>
      <c r="DI946" s="156"/>
      <c r="DJ946" s="156"/>
      <c r="DK946" s="156"/>
      <c r="DL946" s="156"/>
      <c r="DM946" s="156"/>
      <c r="DN946" s="156"/>
      <c r="DO946" s="156"/>
      <c r="DP946" s="156"/>
      <c r="DQ946" s="156"/>
      <c r="DR946" s="156"/>
      <c r="DS946" s="156"/>
      <c r="DT946" s="156"/>
      <c r="DU946" s="156"/>
      <c r="DV946" s="156"/>
      <c r="DW946" s="156"/>
      <c r="DX946" s="156"/>
      <c r="DY946" s="156"/>
      <c r="DZ946" s="156"/>
      <c r="EA946" s="156"/>
      <c r="EB946" s="156"/>
      <c r="EC946" s="156"/>
      <c r="ED946" s="156"/>
      <c r="EE946" s="156"/>
      <c r="EF946" s="156"/>
      <c r="EG946" s="156"/>
      <c r="EH946" s="156"/>
      <c r="EI946" s="156"/>
      <c r="EJ946" s="156"/>
      <c r="EK946" s="156"/>
      <c r="EL946" s="156"/>
      <c r="EM946" s="156"/>
    </row>
    <row r="947" spans="20:143" ht="10.5" customHeight="1">
      <c r="T947" s="156"/>
      <c r="AZ947" s="156"/>
      <c r="BA947" s="156"/>
      <c r="BB947" s="156"/>
      <c r="BC947" s="156"/>
      <c r="BD947" s="156"/>
      <c r="BE947" s="156"/>
      <c r="BF947" s="156"/>
      <c r="BG947" s="156"/>
      <c r="BH947" s="156"/>
      <c r="BI947" s="156"/>
      <c r="BJ947" s="156"/>
      <c r="BK947" s="156"/>
      <c r="BL947" s="156"/>
      <c r="BM947" s="156"/>
      <c r="BN947" s="156"/>
      <c r="BO947" s="156"/>
      <c r="BP947" s="156"/>
      <c r="BQ947" s="156"/>
      <c r="BR947" s="156"/>
      <c r="BS947" s="156"/>
      <c r="BT947" s="156"/>
      <c r="BU947" s="156"/>
      <c r="BV947" s="156"/>
      <c r="BW947" s="156"/>
      <c r="BX947" s="156"/>
      <c r="BY947" s="156"/>
      <c r="BZ947" s="156"/>
      <c r="CA947" s="156"/>
      <c r="CB947" s="156"/>
      <c r="CC947" s="156"/>
      <c r="CD947" s="156"/>
      <c r="CE947" s="156"/>
      <c r="CF947" s="156"/>
      <c r="CG947" s="156"/>
      <c r="CH947" s="156"/>
      <c r="CI947" s="156"/>
      <c r="CJ947" s="156"/>
      <c r="CK947" s="156"/>
      <c r="CL947" s="156"/>
      <c r="CM947" s="156"/>
      <c r="CN947" s="156"/>
      <c r="CO947" s="156"/>
      <c r="CP947" s="156"/>
      <c r="CQ947" s="156"/>
      <c r="CR947" s="156"/>
      <c r="CS947" s="156"/>
      <c r="CT947" s="156"/>
      <c r="CU947" s="156"/>
      <c r="CV947" s="156"/>
      <c r="CW947" s="156"/>
      <c r="CX947" s="156"/>
      <c r="CY947" s="156"/>
      <c r="CZ947" s="156"/>
      <c r="DA947" s="156"/>
      <c r="DB947" s="156"/>
      <c r="DC947" s="156"/>
      <c r="DD947" s="156"/>
      <c r="DE947" s="156"/>
      <c r="DF947" s="156"/>
      <c r="DG947" s="156"/>
      <c r="DH947" s="156"/>
      <c r="DI947" s="156"/>
      <c r="DJ947" s="156"/>
      <c r="DK947" s="156"/>
      <c r="DL947" s="156"/>
      <c r="DM947" s="156"/>
      <c r="DN947" s="156"/>
      <c r="DO947" s="156"/>
      <c r="DP947" s="156"/>
      <c r="DQ947" s="156"/>
      <c r="DR947" s="156"/>
      <c r="DS947" s="156"/>
      <c r="DT947" s="156"/>
      <c r="DU947" s="156"/>
      <c r="DV947" s="156"/>
      <c r="DW947" s="156"/>
      <c r="DX947" s="156"/>
      <c r="DY947" s="156"/>
      <c r="DZ947" s="156"/>
      <c r="EA947" s="156"/>
      <c r="EB947" s="156"/>
      <c r="EC947" s="156"/>
      <c r="ED947" s="156"/>
      <c r="EE947" s="156"/>
      <c r="EF947" s="156"/>
      <c r="EG947" s="156"/>
      <c r="EH947" s="156"/>
      <c r="EI947" s="156"/>
      <c r="EJ947" s="156"/>
      <c r="EK947" s="156"/>
      <c r="EL947" s="156"/>
      <c r="EM947" s="156"/>
    </row>
    <row r="948" spans="20:143" ht="10.5" customHeight="1">
      <c r="T948" s="156"/>
      <c r="AZ948" s="156"/>
      <c r="BA948" s="156"/>
      <c r="BB948" s="156"/>
      <c r="BC948" s="156"/>
      <c r="BD948" s="156"/>
      <c r="BE948" s="156"/>
      <c r="BF948" s="156"/>
      <c r="BG948" s="156"/>
      <c r="BH948" s="156"/>
      <c r="BI948" s="156"/>
      <c r="BJ948" s="156"/>
      <c r="BK948" s="156"/>
      <c r="BL948" s="156"/>
      <c r="BM948" s="156"/>
      <c r="BN948" s="156"/>
      <c r="BO948" s="156"/>
      <c r="BP948" s="156"/>
      <c r="BQ948" s="156"/>
      <c r="BR948" s="156"/>
      <c r="BS948" s="156"/>
      <c r="BT948" s="156"/>
      <c r="BU948" s="156"/>
      <c r="BV948" s="156"/>
      <c r="BW948" s="156"/>
      <c r="BX948" s="156"/>
      <c r="BY948" s="156"/>
      <c r="BZ948" s="156"/>
      <c r="CA948" s="156"/>
      <c r="CB948" s="156"/>
      <c r="CC948" s="156"/>
      <c r="CD948" s="156"/>
      <c r="CE948" s="156"/>
      <c r="CF948" s="156"/>
      <c r="CG948" s="156"/>
      <c r="CH948" s="156"/>
      <c r="CI948" s="156"/>
      <c r="CJ948" s="156"/>
      <c r="CK948" s="156"/>
      <c r="CL948" s="156"/>
      <c r="CM948" s="156"/>
      <c r="CN948" s="156"/>
      <c r="CO948" s="156"/>
      <c r="CP948" s="156"/>
      <c r="CQ948" s="156"/>
      <c r="CR948" s="156"/>
      <c r="CS948" s="156"/>
      <c r="CT948" s="156"/>
      <c r="CU948" s="156"/>
      <c r="CV948" s="156"/>
      <c r="CW948" s="156"/>
      <c r="CX948" s="156"/>
      <c r="CY948" s="156"/>
      <c r="CZ948" s="156"/>
      <c r="DA948" s="156"/>
      <c r="DB948" s="156"/>
      <c r="DC948" s="156"/>
      <c r="DD948" s="156"/>
      <c r="DE948" s="156"/>
      <c r="DF948" s="156"/>
      <c r="DG948" s="156"/>
      <c r="DH948" s="156"/>
      <c r="DI948" s="156"/>
      <c r="DJ948" s="156"/>
      <c r="DK948" s="156"/>
      <c r="DL948" s="156"/>
      <c r="DM948" s="156"/>
      <c r="DN948" s="156"/>
      <c r="DO948" s="156"/>
      <c r="DP948" s="156"/>
      <c r="DQ948" s="156"/>
      <c r="DR948" s="156"/>
      <c r="DS948" s="156"/>
      <c r="DT948" s="156"/>
      <c r="DU948" s="156"/>
      <c r="DV948" s="156"/>
      <c r="DW948" s="156"/>
      <c r="DX948" s="156"/>
      <c r="DY948" s="156"/>
      <c r="DZ948" s="156"/>
      <c r="EA948" s="156"/>
      <c r="EB948" s="156"/>
      <c r="EC948" s="156"/>
      <c r="ED948" s="156"/>
      <c r="EE948" s="156"/>
      <c r="EF948" s="156"/>
      <c r="EG948" s="156"/>
      <c r="EH948" s="156"/>
      <c r="EI948" s="156"/>
      <c r="EJ948" s="156"/>
      <c r="EK948" s="156"/>
      <c r="EL948" s="156"/>
      <c r="EM948" s="156"/>
    </row>
    <row r="949" spans="20:143" ht="10.5" customHeight="1">
      <c r="T949" s="156"/>
      <c r="AZ949" s="156"/>
      <c r="BA949" s="156"/>
      <c r="BB949" s="156"/>
      <c r="BC949" s="156"/>
      <c r="BD949" s="156"/>
      <c r="BE949" s="156"/>
      <c r="BF949" s="156"/>
      <c r="BG949" s="156"/>
      <c r="BH949" s="156"/>
      <c r="BI949" s="156"/>
      <c r="BJ949" s="156"/>
      <c r="BK949" s="156"/>
      <c r="BL949" s="156"/>
      <c r="BM949" s="156"/>
      <c r="BN949" s="156"/>
      <c r="BO949" s="156"/>
      <c r="BP949" s="156"/>
      <c r="BQ949" s="156"/>
      <c r="BR949" s="156"/>
      <c r="BS949" s="156"/>
      <c r="BT949" s="156"/>
      <c r="BU949" s="156"/>
      <c r="BV949" s="156"/>
      <c r="BW949" s="156"/>
      <c r="BX949" s="156"/>
      <c r="BY949" s="156"/>
      <c r="BZ949" s="156"/>
      <c r="CA949" s="156"/>
      <c r="CB949" s="156"/>
      <c r="CC949" s="156"/>
      <c r="CD949" s="156"/>
      <c r="CE949" s="156"/>
      <c r="CF949" s="156"/>
      <c r="CG949" s="156"/>
      <c r="CH949" s="156"/>
      <c r="CI949" s="156"/>
      <c r="CJ949" s="156"/>
      <c r="CK949" s="156"/>
      <c r="CL949" s="156"/>
      <c r="CM949" s="156"/>
      <c r="CN949" s="156"/>
      <c r="CO949" s="156"/>
      <c r="CP949" s="156"/>
      <c r="CQ949" s="156"/>
      <c r="CR949" s="156"/>
      <c r="CS949" s="156"/>
      <c r="CT949" s="156"/>
      <c r="CU949" s="156"/>
      <c r="CV949" s="156"/>
      <c r="CW949" s="156"/>
      <c r="CX949" s="156"/>
      <c r="CY949" s="156"/>
      <c r="CZ949" s="156"/>
      <c r="DA949" s="156"/>
      <c r="DB949" s="156"/>
      <c r="DC949" s="156"/>
      <c r="DD949" s="156"/>
      <c r="DE949" s="156"/>
      <c r="DF949" s="156"/>
      <c r="DG949" s="156"/>
      <c r="DH949" s="156"/>
      <c r="DI949" s="156"/>
      <c r="DJ949" s="156"/>
      <c r="DK949" s="156"/>
      <c r="DL949" s="156"/>
      <c r="DM949" s="156"/>
      <c r="DN949" s="156"/>
      <c r="DO949" s="156"/>
      <c r="DP949" s="156"/>
      <c r="DQ949" s="156"/>
      <c r="DR949" s="156"/>
      <c r="DS949" s="156"/>
      <c r="DT949" s="156"/>
      <c r="DU949" s="156"/>
      <c r="DV949" s="156"/>
      <c r="DW949" s="156"/>
      <c r="DX949" s="156"/>
      <c r="DY949" s="156"/>
      <c r="DZ949" s="156"/>
      <c r="EA949" s="156"/>
      <c r="EB949" s="156"/>
      <c r="EC949" s="156"/>
      <c r="ED949" s="156"/>
      <c r="EE949" s="156"/>
      <c r="EF949" s="156"/>
      <c r="EG949" s="156"/>
      <c r="EH949" s="156"/>
      <c r="EI949" s="156"/>
      <c r="EJ949" s="156"/>
      <c r="EK949" s="156"/>
      <c r="EL949" s="156"/>
      <c r="EM949" s="156"/>
    </row>
    <row r="950" spans="20:143" ht="10.5" customHeight="1">
      <c r="T950" s="156"/>
      <c r="AZ950" s="156"/>
      <c r="BA950" s="156"/>
      <c r="BB950" s="156"/>
      <c r="BC950" s="156"/>
      <c r="BD950" s="156"/>
      <c r="BE950" s="156"/>
      <c r="BF950" s="156"/>
      <c r="BG950" s="156"/>
      <c r="BH950" s="156"/>
      <c r="BI950" s="156"/>
      <c r="BJ950" s="156"/>
      <c r="BK950" s="156"/>
      <c r="BL950" s="156"/>
      <c r="BM950" s="156"/>
      <c r="BN950" s="156"/>
      <c r="BO950" s="156"/>
      <c r="BP950" s="156"/>
      <c r="BQ950" s="156"/>
      <c r="BR950" s="156"/>
      <c r="BS950" s="156"/>
      <c r="BT950" s="156"/>
      <c r="BU950" s="156"/>
      <c r="BV950" s="156"/>
      <c r="BW950" s="156"/>
      <c r="BX950" s="156"/>
      <c r="BY950" s="156"/>
      <c r="BZ950" s="156"/>
      <c r="CA950" s="156"/>
      <c r="CB950" s="156"/>
      <c r="CC950" s="156"/>
      <c r="CD950" s="156"/>
      <c r="CE950" s="156"/>
      <c r="CF950" s="156"/>
      <c r="CG950" s="156"/>
      <c r="CH950" s="156"/>
      <c r="CI950" s="156"/>
      <c r="CJ950" s="156"/>
      <c r="CK950" s="156"/>
      <c r="CL950" s="156"/>
      <c r="CM950" s="156"/>
      <c r="CN950" s="156"/>
      <c r="CO950" s="156"/>
      <c r="CP950" s="156"/>
      <c r="CQ950" s="156"/>
      <c r="CR950" s="156"/>
      <c r="CS950" s="156"/>
      <c r="CT950" s="156"/>
      <c r="CU950" s="156"/>
      <c r="CV950" s="156"/>
      <c r="CW950" s="156"/>
      <c r="CX950" s="156"/>
      <c r="CY950" s="156"/>
      <c r="CZ950" s="156"/>
      <c r="DA950" s="156"/>
      <c r="DB950" s="156"/>
      <c r="DC950" s="156"/>
      <c r="DD950" s="156"/>
      <c r="DE950" s="156"/>
      <c r="DF950" s="156"/>
      <c r="DG950" s="156"/>
      <c r="DH950" s="156"/>
      <c r="DI950" s="156"/>
      <c r="DJ950" s="156"/>
      <c r="DK950" s="156"/>
      <c r="DL950" s="156"/>
      <c r="DM950" s="156"/>
      <c r="DN950" s="156"/>
      <c r="DO950" s="156"/>
      <c r="DP950" s="156"/>
      <c r="DQ950" s="156"/>
      <c r="DR950" s="156"/>
      <c r="DS950" s="156"/>
      <c r="DT950" s="156"/>
      <c r="DU950" s="156"/>
      <c r="DV950" s="156"/>
      <c r="DW950" s="156"/>
      <c r="DX950" s="156"/>
      <c r="DY950" s="156"/>
      <c r="DZ950" s="156"/>
      <c r="EA950" s="156"/>
      <c r="EB950" s="156"/>
      <c r="EC950" s="156"/>
      <c r="ED950" s="156"/>
      <c r="EE950" s="156"/>
      <c r="EF950" s="156"/>
      <c r="EG950" s="156"/>
      <c r="EH950" s="156"/>
      <c r="EI950" s="156"/>
      <c r="EJ950" s="156"/>
      <c r="EK950" s="156"/>
      <c r="EL950" s="156"/>
      <c r="EM950" s="156"/>
    </row>
    <row r="951" spans="20:143" ht="10.5" customHeight="1">
      <c r="T951" s="156"/>
      <c r="AZ951" s="156"/>
      <c r="BA951" s="156"/>
      <c r="BB951" s="156"/>
      <c r="BC951" s="156"/>
      <c r="BD951" s="156"/>
      <c r="BE951" s="156"/>
      <c r="BF951" s="156"/>
      <c r="BG951" s="156"/>
      <c r="BH951" s="156"/>
      <c r="BI951" s="156"/>
      <c r="BJ951" s="156"/>
      <c r="BK951" s="156"/>
      <c r="BL951" s="156"/>
      <c r="BM951" s="156"/>
      <c r="BN951" s="156"/>
      <c r="BO951" s="156"/>
      <c r="BP951" s="156"/>
      <c r="BQ951" s="156"/>
      <c r="BR951" s="156"/>
      <c r="BS951" s="156"/>
      <c r="BT951" s="156"/>
      <c r="BU951" s="156"/>
      <c r="BV951" s="156"/>
      <c r="BW951" s="156"/>
      <c r="BX951" s="156"/>
      <c r="BY951" s="156"/>
      <c r="BZ951" s="156"/>
      <c r="CA951" s="156"/>
      <c r="CB951" s="156"/>
      <c r="CC951" s="156"/>
      <c r="CD951" s="156"/>
      <c r="CE951" s="156"/>
      <c r="CF951" s="156"/>
      <c r="CG951" s="156"/>
      <c r="CH951" s="156"/>
      <c r="CI951" s="156"/>
      <c r="CJ951" s="156"/>
      <c r="CK951" s="156"/>
      <c r="CL951" s="156"/>
      <c r="CM951" s="156"/>
      <c r="CN951" s="156"/>
      <c r="CO951" s="156"/>
      <c r="CP951" s="156"/>
      <c r="CQ951" s="156"/>
      <c r="CR951" s="156"/>
      <c r="CS951" s="156"/>
      <c r="CT951" s="156"/>
      <c r="CU951" s="156"/>
      <c r="CV951" s="156"/>
      <c r="CW951" s="156"/>
      <c r="CX951" s="156"/>
      <c r="CY951" s="156"/>
      <c r="CZ951" s="156"/>
      <c r="DA951" s="156"/>
      <c r="DB951" s="156"/>
      <c r="DC951" s="156"/>
      <c r="DD951" s="156"/>
      <c r="DE951" s="156"/>
      <c r="DF951" s="156"/>
      <c r="DG951" s="156"/>
      <c r="DH951" s="156"/>
      <c r="DI951" s="156"/>
      <c r="DJ951" s="156"/>
      <c r="DK951" s="156"/>
      <c r="DL951" s="156"/>
      <c r="DM951" s="156"/>
      <c r="DN951" s="156"/>
      <c r="DO951" s="156"/>
      <c r="DP951" s="156"/>
      <c r="DQ951" s="156"/>
      <c r="DR951" s="156"/>
      <c r="DS951" s="156"/>
      <c r="DT951" s="156"/>
      <c r="DU951" s="156"/>
      <c r="DV951" s="156"/>
      <c r="DW951" s="156"/>
      <c r="DX951" s="156"/>
      <c r="DY951" s="156"/>
      <c r="DZ951" s="156"/>
      <c r="EA951" s="156"/>
      <c r="EB951" s="156"/>
      <c r="EC951" s="156"/>
      <c r="ED951" s="156"/>
      <c r="EE951" s="156"/>
      <c r="EF951" s="156"/>
      <c r="EG951" s="156"/>
      <c r="EH951" s="156"/>
      <c r="EI951" s="156"/>
      <c r="EJ951" s="156"/>
      <c r="EK951" s="156"/>
      <c r="EL951" s="156"/>
      <c r="EM951" s="156"/>
    </row>
    <row r="952" spans="20:143" ht="10.5" customHeight="1">
      <c r="T952" s="156"/>
      <c r="AZ952" s="156"/>
      <c r="BA952" s="156"/>
      <c r="BB952" s="156"/>
      <c r="BC952" s="156"/>
      <c r="BD952" s="156"/>
      <c r="BE952" s="156"/>
      <c r="BF952" s="156"/>
      <c r="BG952" s="156"/>
      <c r="BH952" s="156"/>
      <c r="BI952" s="156"/>
      <c r="BJ952" s="156"/>
      <c r="BK952" s="156"/>
      <c r="BL952" s="156"/>
      <c r="BM952" s="156"/>
      <c r="BN952" s="156"/>
      <c r="BO952" s="156"/>
      <c r="BP952" s="156"/>
      <c r="BQ952" s="156"/>
      <c r="BR952" s="156"/>
      <c r="BS952" s="156"/>
      <c r="BT952" s="156"/>
      <c r="BU952" s="156"/>
      <c r="BV952" s="156"/>
      <c r="BW952" s="156"/>
      <c r="BX952" s="156"/>
      <c r="BY952" s="156"/>
      <c r="BZ952" s="156"/>
      <c r="CA952" s="156"/>
      <c r="CB952" s="156"/>
      <c r="CC952" s="156"/>
      <c r="CD952" s="156"/>
      <c r="CE952" s="156"/>
      <c r="CF952" s="156"/>
      <c r="CG952" s="156"/>
      <c r="CH952" s="156"/>
      <c r="CI952" s="156"/>
      <c r="CJ952" s="156"/>
      <c r="CK952" s="156"/>
      <c r="CL952" s="156"/>
      <c r="CM952" s="156"/>
      <c r="CN952" s="156"/>
      <c r="CO952" s="156"/>
      <c r="CP952" s="156"/>
      <c r="CQ952" s="156"/>
      <c r="CR952" s="156"/>
      <c r="CS952" s="156"/>
      <c r="CT952" s="156"/>
      <c r="CU952" s="156"/>
      <c r="CV952" s="156"/>
      <c r="CW952" s="156"/>
      <c r="CX952" s="156"/>
      <c r="CY952" s="156"/>
      <c r="CZ952" s="156"/>
      <c r="DA952" s="156"/>
      <c r="DB952" s="156"/>
      <c r="DC952" s="156"/>
      <c r="DD952" s="156"/>
      <c r="DE952" s="156"/>
      <c r="DF952" s="156"/>
      <c r="DG952" s="156"/>
      <c r="DH952" s="156"/>
      <c r="DI952" s="156"/>
      <c r="DJ952" s="156"/>
      <c r="DK952" s="156"/>
      <c r="DL952" s="156"/>
      <c r="DM952" s="156"/>
      <c r="DN952" s="156"/>
      <c r="DO952" s="156"/>
      <c r="DP952" s="156"/>
      <c r="DQ952" s="156"/>
      <c r="DR952" s="156"/>
      <c r="DS952" s="156"/>
      <c r="DT952" s="156"/>
      <c r="DU952" s="156"/>
      <c r="DV952" s="156"/>
      <c r="DW952" s="156"/>
      <c r="DX952" s="156"/>
      <c r="DY952" s="156"/>
      <c r="DZ952" s="156"/>
      <c r="EA952" s="156"/>
      <c r="EB952" s="156"/>
      <c r="EC952" s="156"/>
      <c r="ED952" s="156"/>
      <c r="EE952" s="156"/>
      <c r="EF952" s="156"/>
      <c r="EG952" s="156"/>
      <c r="EH952" s="156"/>
      <c r="EI952" s="156"/>
      <c r="EJ952" s="156"/>
      <c r="EK952" s="156"/>
      <c r="EL952" s="156"/>
      <c r="EM952" s="156"/>
    </row>
    <row r="953" spans="20:143" ht="10.5" customHeight="1">
      <c r="T953" s="156"/>
      <c r="AZ953" s="156"/>
      <c r="BA953" s="156"/>
      <c r="BB953" s="156"/>
      <c r="BC953" s="156"/>
      <c r="BD953" s="156"/>
      <c r="BE953" s="156"/>
      <c r="BF953" s="156"/>
      <c r="BG953" s="156"/>
      <c r="BH953" s="156"/>
      <c r="BI953" s="156"/>
      <c r="BJ953" s="156"/>
      <c r="BK953" s="156"/>
      <c r="BL953" s="156"/>
      <c r="BM953" s="156"/>
      <c r="BN953" s="156"/>
      <c r="BO953" s="156"/>
      <c r="BP953" s="156"/>
      <c r="BQ953" s="156"/>
      <c r="BR953" s="156"/>
      <c r="BS953" s="156"/>
      <c r="BT953" s="156"/>
      <c r="BU953" s="156"/>
      <c r="BV953" s="156"/>
      <c r="BW953" s="156"/>
      <c r="BX953" s="156"/>
      <c r="BY953" s="156"/>
      <c r="BZ953" s="156"/>
      <c r="CA953" s="156"/>
      <c r="CB953" s="156"/>
      <c r="CC953" s="156"/>
      <c r="CD953" s="156"/>
      <c r="CE953" s="156"/>
      <c r="CF953" s="156"/>
      <c r="CG953" s="156"/>
      <c r="CH953" s="156"/>
      <c r="CI953" s="156"/>
      <c r="CJ953" s="156"/>
      <c r="CK953" s="156"/>
      <c r="CL953" s="156"/>
      <c r="CM953" s="156"/>
      <c r="CN953" s="156"/>
      <c r="CO953" s="156"/>
      <c r="CP953" s="156"/>
      <c r="CQ953" s="156"/>
      <c r="CR953" s="156"/>
      <c r="CS953" s="156"/>
      <c r="CT953" s="156"/>
      <c r="CU953" s="156"/>
      <c r="CV953" s="156"/>
      <c r="CW953" s="156"/>
      <c r="CX953" s="156"/>
      <c r="CY953" s="156"/>
      <c r="CZ953" s="156"/>
      <c r="DA953" s="156"/>
      <c r="DB953" s="156"/>
      <c r="DC953" s="156"/>
      <c r="DD953" s="156"/>
      <c r="DE953" s="156"/>
      <c r="DF953" s="156"/>
      <c r="DG953" s="156"/>
      <c r="DH953" s="156"/>
      <c r="DI953" s="156"/>
      <c r="DJ953" s="156"/>
      <c r="DK953" s="156"/>
      <c r="DL953" s="156"/>
      <c r="DM953" s="156"/>
      <c r="DN953" s="156"/>
      <c r="DO953" s="156"/>
      <c r="DP953" s="156"/>
      <c r="DQ953" s="156"/>
      <c r="DR953" s="156"/>
      <c r="DS953" s="156"/>
      <c r="DT953" s="156"/>
      <c r="DU953" s="156"/>
      <c r="DV953" s="156"/>
      <c r="DW953" s="156"/>
      <c r="DX953" s="156"/>
      <c r="DY953" s="156"/>
      <c r="DZ953" s="156"/>
      <c r="EA953" s="156"/>
      <c r="EB953" s="156"/>
      <c r="EC953" s="156"/>
      <c r="ED953" s="156"/>
      <c r="EE953" s="156"/>
      <c r="EF953" s="156"/>
      <c r="EG953" s="156"/>
      <c r="EH953" s="156"/>
      <c r="EI953" s="156"/>
      <c r="EJ953" s="156"/>
      <c r="EK953" s="156"/>
      <c r="EL953" s="156"/>
      <c r="EM953" s="156"/>
    </row>
    <row r="954" spans="20:143" ht="10.5" customHeight="1">
      <c r="T954" s="156"/>
      <c r="AZ954" s="156"/>
      <c r="BA954" s="156"/>
      <c r="BB954" s="156"/>
      <c r="BC954" s="156"/>
      <c r="BD954" s="156"/>
      <c r="BE954" s="156"/>
      <c r="BF954" s="156"/>
      <c r="BG954" s="156"/>
      <c r="BH954" s="156"/>
      <c r="BI954" s="156"/>
      <c r="BJ954" s="156"/>
      <c r="BK954" s="156"/>
      <c r="BL954" s="156"/>
      <c r="BM954" s="156"/>
      <c r="BN954" s="156"/>
      <c r="BO954" s="156"/>
      <c r="BP954" s="156"/>
      <c r="BQ954" s="156"/>
      <c r="BR954" s="156"/>
      <c r="BS954" s="156"/>
      <c r="BT954" s="156"/>
      <c r="BU954" s="156"/>
      <c r="BV954" s="156"/>
      <c r="BW954" s="156"/>
      <c r="BX954" s="156"/>
      <c r="BY954" s="156"/>
      <c r="BZ954" s="156"/>
      <c r="CA954" s="156"/>
      <c r="CB954" s="156"/>
      <c r="CC954" s="156"/>
      <c r="CD954" s="156"/>
      <c r="CE954" s="156"/>
      <c r="CF954" s="156"/>
      <c r="CG954" s="156"/>
      <c r="CH954" s="156"/>
      <c r="CI954" s="156"/>
      <c r="CJ954" s="156"/>
      <c r="CK954" s="156"/>
      <c r="CL954" s="156"/>
      <c r="CM954" s="156"/>
      <c r="CN954" s="156"/>
      <c r="CO954" s="156"/>
      <c r="CP954" s="156"/>
      <c r="CQ954" s="156"/>
      <c r="CR954" s="156"/>
      <c r="CS954" s="156"/>
      <c r="CT954" s="156"/>
      <c r="CU954" s="156"/>
      <c r="CV954" s="156"/>
      <c r="CW954" s="156"/>
      <c r="CX954" s="156"/>
      <c r="CY954" s="156"/>
      <c r="CZ954" s="156"/>
      <c r="DA954" s="156"/>
      <c r="DB954" s="156"/>
      <c r="DC954" s="156"/>
      <c r="DD954" s="156"/>
      <c r="DE954" s="156"/>
      <c r="DF954" s="156"/>
      <c r="DG954" s="156"/>
      <c r="DH954" s="156"/>
      <c r="DI954" s="156"/>
      <c r="DJ954" s="156"/>
      <c r="DK954" s="156"/>
      <c r="DL954" s="156"/>
      <c r="DM954" s="156"/>
      <c r="DN954" s="156"/>
      <c r="DO954" s="156"/>
      <c r="DP954" s="156"/>
      <c r="DQ954" s="156"/>
      <c r="DR954" s="156"/>
      <c r="DS954" s="156"/>
      <c r="DT954" s="156"/>
      <c r="DU954" s="156"/>
      <c r="DV954" s="156"/>
      <c r="DW954" s="156"/>
      <c r="DX954" s="156"/>
      <c r="DY954" s="156"/>
      <c r="DZ954" s="156"/>
      <c r="EA954" s="156"/>
      <c r="EB954" s="156"/>
      <c r="EC954" s="156"/>
      <c r="ED954" s="156"/>
      <c r="EE954" s="156"/>
      <c r="EF954" s="156"/>
      <c r="EG954" s="156"/>
      <c r="EH954" s="156"/>
      <c r="EI954" s="156"/>
      <c r="EJ954" s="156"/>
      <c r="EK954" s="156"/>
      <c r="EL954" s="156"/>
      <c r="EM954" s="156"/>
    </row>
    <row r="955" spans="20:143" ht="10.5" customHeight="1">
      <c r="T955" s="156"/>
      <c r="AZ955" s="156"/>
      <c r="BA955" s="156"/>
      <c r="BB955" s="156"/>
      <c r="BC955" s="156"/>
      <c r="BD955" s="156"/>
      <c r="BE955" s="156"/>
      <c r="BF955" s="156"/>
      <c r="BG955" s="156"/>
      <c r="BH955" s="156"/>
      <c r="BI955" s="156"/>
      <c r="BJ955" s="156"/>
      <c r="BK955" s="156"/>
      <c r="BL955" s="156"/>
      <c r="BM955" s="156"/>
      <c r="BN955" s="156"/>
      <c r="BO955" s="156"/>
      <c r="BP955" s="156"/>
      <c r="BQ955" s="156"/>
      <c r="BR955" s="156"/>
      <c r="BS955" s="156"/>
      <c r="BT955" s="156"/>
      <c r="BU955" s="156"/>
      <c r="BV955" s="156"/>
      <c r="BW955" s="156"/>
      <c r="BX955" s="156"/>
      <c r="BY955" s="156"/>
      <c r="BZ955" s="156"/>
      <c r="CA955" s="156"/>
      <c r="CB955" s="156"/>
      <c r="CC955" s="156"/>
      <c r="CD955" s="156"/>
      <c r="CE955" s="156"/>
      <c r="CF955" s="156"/>
      <c r="CG955" s="156"/>
      <c r="CH955" s="156"/>
      <c r="CI955" s="156"/>
      <c r="CJ955" s="156"/>
      <c r="CK955" s="156"/>
      <c r="CL955" s="156"/>
      <c r="CM955" s="156"/>
      <c r="CN955" s="156"/>
      <c r="CO955" s="156"/>
      <c r="CP955" s="156"/>
      <c r="CQ955" s="156"/>
      <c r="CR955" s="156"/>
      <c r="CS955" s="156"/>
      <c r="CT955" s="156"/>
      <c r="CU955" s="156"/>
      <c r="CV955" s="156"/>
      <c r="CW955" s="156"/>
      <c r="CX955" s="156"/>
      <c r="CY955" s="156"/>
      <c r="CZ955" s="156"/>
      <c r="DA955" s="156"/>
      <c r="DB955" s="156"/>
      <c r="DC955" s="156"/>
      <c r="DD955" s="156"/>
      <c r="DE955" s="156"/>
      <c r="DF955" s="156"/>
      <c r="DG955" s="156"/>
      <c r="DH955" s="156"/>
      <c r="DI955" s="156"/>
      <c r="DJ955" s="156"/>
      <c r="DK955" s="156"/>
      <c r="DL955" s="156"/>
      <c r="DM955" s="156"/>
      <c r="DN955" s="156"/>
      <c r="DO955" s="156"/>
      <c r="DP955" s="156"/>
      <c r="DQ955" s="156"/>
      <c r="DR955" s="156"/>
      <c r="DS955" s="156"/>
      <c r="DT955" s="156"/>
      <c r="DU955" s="156"/>
      <c r="DV955" s="156"/>
      <c r="DW955" s="156"/>
      <c r="DX955" s="156"/>
      <c r="DY955" s="156"/>
      <c r="DZ955" s="156"/>
      <c r="EA955" s="156"/>
      <c r="EB955" s="156"/>
      <c r="EC955" s="156"/>
      <c r="ED955" s="156"/>
      <c r="EE955" s="156"/>
      <c r="EF955" s="156"/>
      <c r="EG955" s="156"/>
      <c r="EH955" s="156"/>
      <c r="EI955" s="156"/>
      <c r="EJ955" s="156"/>
      <c r="EK955" s="156"/>
      <c r="EL955" s="156"/>
      <c r="EM955" s="156"/>
    </row>
    <row r="956" spans="20:143" ht="10.5" customHeight="1">
      <c r="T956" s="156"/>
      <c r="AZ956" s="156"/>
      <c r="BA956" s="156"/>
      <c r="BB956" s="156"/>
      <c r="BC956" s="156"/>
      <c r="BD956" s="156"/>
      <c r="BE956" s="156"/>
      <c r="BF956" s="156"/>
      <c r="BG956" s="156"/>
      <c r="BH956" s="156"/>
      <c r="BI956" s="156"/>
      <c r="BJ956" s="156"/>
      <c r="BK956" s="156"/>
      <c r="BL956" s="156"/>
      <c r="BM956" s="156"/>
      <c r="BN956" s="156"/>
      <c r="BO956" s="156"/>
      <c r="BP956" s="156"/>
      <c r="BQ956" s="156"/>
      <c r="BR956" s="156"/>
      <c r="BS956" s="156"/>
      <c r="BT956" s="156"/>
      <c r="BU956" s="156"/>
      <c r="BV956" s="156"/>
      <c r="BW956" s="156"/>
      <c r="BX956" s="156"/>
      <c r="BY956" s="156"/>
      <c r="BZ956" s="156"/>
      <c r="CA956" s="156"/>
      <c r="CB956" s="156"/>
      <c r="CC956" s="156"/>
      <c r="CD956" s="156"/>
      <c r="CE956" s="156"/>
      <c r="CF956" s="156"/>
      <c r="CG956" s="156"/>
      <c r="CH956" s="156"/>
      <c r="CI956" s="156"/>
      <c r="CJ956" s="156"/>
      <c r="CK956" s="156"/>
      <c r="CL956" s="156"/>
      <c r="CM956" s="156"/>
      <c r="CN956" s="156"/>
      <c r="CO956" s="156"/>
      <c r="CP956" s="156"/>
      <c r="CQ956" s="156"/>
      <c r="CR956" s="156"/>
      <c r="CS956" s="156"/>
      <c r="CT956" s="156"/>
      <c r="CU956" s="156"/>
      <c r="CV956" s="156"/>
      <c r="CW956" s="156"/>
      <c r="CX956" s="156"/>
      <c r="CY956" s="156"/>
      <c r="CZ956" s="156"/>
      <c r="DA956" s="156"/>
      <c r="DB956" s="156"/>
      <c r="DC956" s="156"/>
      <c r="DD956" s="156"/>
      <c r="DE956" s="156"/>
      <c r="DF956" s="156"/>
      <c r="DG956" s="156"/>
      <c r="DH956" s="156"/>
      <c r="DI956" s="156"/>
      <c r="DJ956" s="156"/>
      <c r="DK956" s="156"/>
      <c r="DL956" s="156"/>
      <c r="DM956" s="156"/>
      <c r="DN956" s="156"/>
      <c r="DO956" s="156"/>
      <c r="DP956" s="156"/>
      <c r="DQ956" s="156"/>
      <c r="DR956" s="156"/>
      <c r="DS956" s="156"/>
      <c r="DT956" s="156"/>
      <c r="DU956" s="156"/>
      <c r="DV956" s="156"/>
      <c r="DW956" s="156"/>
      <c r="DX956" s="156"/>
      <c r="DY956" s="156"/>
      <c r="DZ956" s="156"/>
      <c r="EA956" s="156"/>
      <c r="EB956" s="156"/>
      <c r="EC956" s="156"/>
      <c r="ED956" s="156"/>
      <c r="EE956" s="156"/>
      <c r="EF956" s="156"/>
      <c r="EG956" s="156"/>
      <c r="EH956" s="156"/>
      <c r="EI956" s="156"/>
      <c r="EJ956" s="156"/>
      <c r="EK956" s="156"/>
      <c r="EL956" s="156"/>
      <c r="EM956" s="156"/>
    </row>
    <row r="957" spans="20:143" ht="10.5" customHeight="1">
      <c r="T957" s="156"/>
      <c r="AZ957" s="156"/>
      <c r="BA957" s="156"/>
      <c r="BB957" s="156"/>
      <c r="BC957" s="156"/>
      <c r="BD957" s="156"/>
      <c r="BE957" s="156"/>
      <c r="BF957" s="156"/>
      <c r="BG957" s="156"/>
      <c r="BH957" s="156"/>
      <c r="BI957" s="156"/>
      <c r="BJ957" s="156"/>
      <c r="BK957" s="156"/>
      <c r="BL957" s="156"/>
      <c r="BM957" s="156"/>
      <c r="BN957" s="156"/>
      <c r="BO957" s="156"/>
      <c r="BP957" s="156"/>
      <c r="BQ957" s="156"/>
      <c r="BR957" s="156"/>
      <c r="BS957" s="156"/>
      <c r="BT957" s="156"/>
      <c r="BU957" s="156"/>
      <c r="BV957" s="156"/>
      <c r="BW957" s="156"/>
      <c r="BX957" s="156"/>
      <c r="BY957" s="156"/>
      <c r="BZ957" s="156"/>
      <c r="CA957" s="156"/>
      <c r="CB957" s="156"/>
      <c r="CC957" s="156"/>
      <c r="CD957" s="156"/>
      <c r="CE957" s="156"/>
      <c r="CF957" s="156"/>
      <c r="CG957" s="156"/>
      <c r="CH957" s="156"/>
      <c r="CI957" s="156"/>
      <c r="CJ957" s="156"/>
      <c r="CK957" s="156"/>
      <c r="CL957" s="156"/>
      <c r="CM957" s="156"/>
      <c r="CN957" s="156"/>
      <c r="CO957" s="156"/>
      <c r="CP957" s="156"/>
      <c r="CQ957" s="156"/>
      <c r="CR957" s="156"/>
      <c r="CS957" s="156"/>
      <c r="CT957" s="156"/>
      <c r="CU957" s="156"/>
      <c r="CV957" s="156"/>
      <c r="CW957" s="156"/>
      <c r="CX957" s="156"/>
      <c r="CY957" s="156"/>
      <c r="CZ957" s="156"/>
      <c r="DA957" s="156"/>
      <c r="DB957" s="156"/>
      <c r="DC957" s="156"/>
      <c r="DD957" s="156"/>
      <c r="DE957" s="156"/>
      <c r="DF957" s="156"/>
      <c r="DG957" s="156"/>
      <c r="DH957" s="156"/>
      <c r="DI957" s="156"/>
      <c r="DJ957" s="156"/>
      <c r="DK957" s="156"/>
      <c r="DL957" s="156"/>
      <c r="DM957" s="156"/>
      <c r="DN957" s="156"/>
      <c r="DO957" s="156"/>
      <c r="DP957" s="156"/>
      <c r="DQ957" s="156"/>
      <c r="DR957" s="156"/>
      <c r="DS957" s="156"/>
      <c r="DT957" s="156"/>
      <c r="DU957" s="156"/>
      <c r="DV957" s="156"/>
      <c r="DW957" s="156"/>
      <c r="DX957" s="156"/>
      <c r="DY957" s="156"/>
      <c r="DZ957" s="156"/>
      <c r="EA957" s="156"/>
      <c r="EB957" s="156"/>
      <c r="EC957" s="156"/>
      <c r="ED957" s="156"/>
      <c r="EE957" s="156"/>
      <c r="EF957" s="156"/>
      <c r="EG957" s="156"/>
      <c r="EH957" s="156"/>
      <c r="EI957" s="156"/>
      <c r="EJ957" s="156"/>
      <c r="EK957" s="156"/>
      <c r="EL957" s="156"/>
      <c r="EM957" s="156"/>
    </row>
    <row r="958" spans="20:143" ht="10.5" customHeight="1">
      <c r="T958" s="156"/>
      <c r="AZ958" s="156"/>
      <c r="BA958" s="156"/>
      <c r="BB958" s="156"/>
      <c r="BC958" s="156"/>
      <c r="BD958" s="156"/>
      <c r="BE958" s="156"/>
      <c r="BF958" s="156"/>
      <c r="BG958" s="156"/>
      <c r="BH958" s="156"/>
      <c r="BI958" s="156"/>
      <c r="BJ958" s="156"/>
      <c r="BK958" s="156"/>
      <c r="BL958" s="156"/>
      <c r="BM958" s="156"/>
      <c r="BN958" s="156"/>
      <c r="BO958" s="156"/>
      <c r="BP958" s="156"/>
      <c r="BQ958" s="156"/>
      <c r="BR958" s="156"/>
      <c r="BS958" s="156"/>
      <c r="BT958" s="156"/>
      <c r="BU958" s="156"/>
      <c r="BV958" s="156"/>
      <c r="BW958" s="156"/>
      <c r="BX958" s="156"/>
      <c r="BY958" s="156"/>
      <c r="BZ958" s="156"/>
      <c r="CA958" s="156"/>
      <c r="CB958" s="156"/>
      <c r="CC958" s="156"/>
      <c r="CD958" s="156"/>
      <c r="CE958" s="156"/>
      <c r="CF958" s="156"/>
      <c r="CG958" s="156"/>
      <c r="CH958" s="156"/>
      <c r="CI958" s="156"/>
      <c r="CJ958" s="156"/>
      <c r="CK958" s="156"/>
      <c r="CL958" s="156"/>
      <c r="CM958" s="156"/>
      <c r="CN958" s="156"/>
      <c r="CO958" s="156"/>
      <c r="CP958" s="156"/>
      <c r="CQ958" s="156"/>
      <c r="CR958" s="156"/>
      <c r="CS958" s="156"/>
      <c r="CT958" s="156"/>
      <c r="CU958" s="156"/>
      <c r="CV958" s="156"/>
      <c r="CW958" s="156"/>
      <c r="CX958" s="156"/>
      <c r="CY958" s="156"/>
      <c r="CZ958" s="156"/>
      <c r="DA958" s="156"/>
      <c r="DB958" s="156"/>
      <c r="DC958" s="156"/>
      <c r="DD958" s="156"/>
      <c r="DE958" s="156"/>
      <c r="DF958" s="156"/>
      <c r="DG958" s="156"/>
      <c r="DH958" s="156"/>
      <c r="DI958" s="156"/>
      <c r="DJ958" s="156"/>
      <c r="DK958" s="156"/>
      <c r="DL958" s="156"/>
      <c r="DM958" s="156"/>
      <c r="DN958" s="156"/>
      <c r="DO958" s="156"/>
      <c r="DP958" s="156"/>
      <c r="DQ958" s="156"/>
      <c r="DR958" s="156"/>
      <c r="DS958" s="156"/>
      <c r="DT958" s="156"/>
      <c r="DU958" s="156"/>
      <c r="DV958" s="156"/>
      <c r="DW958" s="156"/>
      <c r="DX958" s="156"/>
      <c r="DY958" s="156"/>
      <c r="DZ958" s="156"/>
      <c r="EA958" s="156"/>
      <c r="EB958" s="156"/>
      <c r="EC958" s="156"/>
      <c r="ED958" s="156"/>
      <c r="EE958" s="156"/>
      <c r="EF958" s="156"/>
      <c r="EG958" s="156"/>
      <c r="EH958" s="156"/>
      <c r="EI958" s="156"/>
      <c r="EJ958" s="156"/>
      <c r="EK958" s="156"/>
      <c r="EL958" s="156"/>
      <c r="EM958" s="156"/>
    </row>
    <row r="959" spans="20:143" ht="10.5" customHeight="1">
      <c r="T959" s="156"/>
      <c r="AZ959" s="156"/>
      <c r="BA959" s="156"/>
      <c r="BB959" s="156"/>
      <c r="BC959" s="156"/>
      <c r="BD959" s="156"/>
      <c r="BE959" s="156"/>
      <c r="BF959" s="156"/>
      <c r="BG959" s="156"/>
      <c r="BH959" s="156"/>
      <c r="BI959" s="156"/>
      <c r="BJ959" s="156"/>
      <c r="BK959" s="156"/>
      <c r="BL959" s="156"/>
      <c r="BM959" s="156"/>
      <c r="BN959" s="156"/>
      <c r="BO959" s="156"/>
      <c r="BP959" s="156"/>
      <c r="BQ959" s="156"/>
      <c r="BR959" s="156"/>
      <c r="BS959" s="156"/>
      <c r="BT959" s="156"/>
      <c r="BU959" s="156"/>
      <c r="BV959" s="156"/>
      <c r="BW959" s="156"/>
      <c r="BX959" s="156"/>
      <c r="BY959" s="156"/>
      <c r="BZ959" s="156"/>
      <c r="CA959" s="156"/>
      <c r="CB959" s="156"/>
      <c r="CC959" s="156"/>
      <c r="CD959" s="156"/>
      <c r="CE959" s="156"/>
      <c r="CF959" s="156"/>
      <c r="CG959" s="156"/>
      <c r="CH959" s="156"/>
      <c r="CI959" s="156"/>
      <c r="CJ959" s="156"/>
      <c r="CK959" s="156"/>
      <c r="CL959" s="156"/>
      <c r="CM959" s="156"/>
      <c r="CN959" s="156"/>
      <c r="CO959" s="156"/>
      <c r="CP959" s="156"/>
      <c r="CQ959" s="156"/>
      <c r="CR959" s="156"/>
      <c r="CS959" s="156"/>
      <c r="CT959" s="156"/>
      <c r="CU959" s="156"/>
      <c r="CV959" s="156"/>
      <c r="CW959" s="156"/>
      <c r="CX959" s="156"/>
      <c r="CY959" s="156"/>
      <c r="CZ959" s="156"/>
      <c r="DA959" s="156"/>
      <c r="DB959" s="156"/>
      <c r="DC959" s="156"/>
      <c r="DD959" s="156"/>
      <c r="DE959" s="156"/>
      <c r="DF959" s="156"/>
      <c r="DG959" s="156"/>
      <c r="DH959" s="156"/>
      <c r="DI959" s="156"/>
      <c r="DJ959" s="156"/>
      <c r="DK959" s="156"/>
      <c r="DL959" s="156"/>
      <c r="DM959" s="156"/>
      <c r="DN959" s="156"/>
      <c r="DO959" s="156"/>
      <c r="DP959" s="156"/>
      <c r="DQ959" s="156"/>
      <c r="DR959" s="156"/>
      <c r="DS959" s="156"/>
      <c r="DT959" s="156"/>
      <c r="DU959" s="156"/>
      <c r="DV959" s="156"/>
      <c r="DW959" s="156"/>
      <c r="DX959" s="156"/>
      <c r="DY959" s="156"/>
      <c r="DZ959" s="156"/>
      <c r="EA959" s="156"/>
      <c r="EB959" s="156"/>
      <c r="EC959" s="156"/>
      <c r="ED959" s="156"/>
      <c r="EE959" s="156"/>
      <c r="EF959" s="156"/>
      <c r="EG959" s="156"/>
      <c r="EH959" s="156"/>
      <c r="EI959" s="156"/>
      <c r="EJ959" s="156"/>
      <c r="EK959" s="156"/>
      <c r="EL959" s="156"/>
      <c r="EM959" s="156"/>
    </row>
    <row r="960" spans="20:143" ht="10.5" customHeight="1">
      <c r="T960" s="156"/>
      <c r="AZ960" s="156"/>
      <c r="BA960" s="156"/>
      <c r="BB960" s="156"/>
      <c r="BC960" s="156"/>
      <c r="BD960" s="156"/>
      <c r="BE960" s="156"/>
      <c r="BF960" s="156"/>
      <c r="BG960" s="156"/>
      <c r="BH960" s="156"/>
      <c r="BI960" s="156"/>
      <c r="BJ960" s="156"/>
      <c r="BK960" s="156"/>
      <c r="BL960" s="156"/>
      <c r="BM960" s="156"/>
      <c r="BN960" s="156"/>
      <c r="BO960" s="156"/>
      <c r="BP960" s="156"/>
      <c r="BQ960" s="156"/>
      <c r="BR960" s="156"/>
      <c r="BS960" s="156"/>
      <c r="BT960" s="156"/>
      <c r="BU960" s="156"/>
      <c r="BV960" s="156"/>
      <c r="BW960" s="156"/>
      <c r="BX960" s="156"/>
      <c r="BY960" s="156"/>
      <c r="BZ960" s="156"/>
      <c r="CA960" s="156"/>
      <c r="CB960" s="156"/>
      <c r="CC960" s="156"/>
      <c r="CD960" s="156"/>
      <c r="CE960" s="156"/>
      <c r="CF960" s="156"/>
      <c r="CG960" s="156"/>
      <c r="CH960" s="156"/>
      <c r="CI960" s="156"/>
      <c r="CJ960" s="156"/>
      <c r="CK960" s="156"/>
      <c r="CL960" s="156"/>
      <c r="CM960" s="156"/>
      <c r="CN960" s="156"/>
      <c r="CO960" s="156"/>
      <c r="CP960" s="156"/>
      <c r="CQ960" s="156"/>
      <c r="CR960" s="156"/>
      <c r="CS960" s="156"/>
      <c r="CT960" s="156"/>
      <c r="CU960" s="156"/>
      <c r="CV960" s="156"/>
      <c r="CW960" s="156"/>
      <c r="CX960" s="156"/>
      <c r="CY960" s="156"/>
      <c r="CZ960" s="156"/>
      <c r="DA960" s="156"/>
      <c r="DB960" s="156"/>
      <c r="DC960" s="156"/>
      <c r="DD960" s="156"/>
      <c r="DE960" s="156"/>
      <c r="DF960" s="156"/>
      <c r="DG960" s="156"/>
      <c r="DH960" s="156"/>
      <c r="DI960" s="156"/>
      <c r="DJ960" s="156"/>
      <c r="DK960" s="156"/>
      <c r="DL960" s="156"/>
      <c r="DM960" s="156"/>
      <c r="DN960" s="156"/>
      <c r="DO960" s="156"/>
      <c r="DP960" s="156"/>
      <c r="DQ960" s="156"/>
      <c r="DR960" s="156"/>
      <c r="DS960" s="156"/>
      <c r="DT960" s="156"/>
      <c r="DU960" s="156"/>
      <c r="DV960" s="156"/>
      <c r="DW960" s="156"/>
      <c r="DX960" s="156"/>
      <c r="DY960" s="156"/>
      <c r="DZ960" s="156"/>
      <c r="EA960" s="156"/>
      <c r="EB960" s="156"/>
      <c r="EC960" s="156"/>
      <c r="ED960" s="156"/>
      <c r="EE960" s="156"/>
      <c r="EF960" s="156"/>
      <c r="EG960" s="156"/>
      <c r="EH960" s="156"/>
      <c r="EI960" s="156"/>
      <c r="EJ960" s="156"/>
      <c r="EK960" s="156"/>
      <c r="EL960" s="156"/>
      <c r="EM960" s="156"/>
    </row>
    <row r="961" spans="20:143" ht="10.5" customHeight="1">
      <c r="T961" s="156"/>
      <c r="AZ961" s="156"/>
      <c r="BA961" s="156"/>
      <c r="BB961" s="156"/>
      <c r="BC961" s="156"/>
      <c r="BD961" s="156"/>
      <c r="BE961" s="156"/>
      <c r="BF961" s="156"/>
      <c r="BG961" s="156"/>
      <c r="BH961" s="156"/>
      <c r="BI961" s="156"/>
      <c r="BJ961" s="156"/>
      <c r="BK961" s="156"/>
      <c r="BL961" s="156"/>
      <c r="BM961" s="156"/>
      <c r="BN961" s="156"/>
      <c r="BO961" s="156"/>
      <c r="BP961" s="156"/>
      <c r="BQ961" s="156"/>
      <c r="BR961" s="156"/>
      <c r="BS961" s="156"/>
      <c r="BT961" s="156"/>
      <c r="BU961" s="156"/>
      <c r="BV961" s="156"/>
      <c r="BW961" s="156"/>
      <c r="BX961" s="156"/>
      <c r="BY961" s="156"/>
      <c r="BZ961" s="156"/>
      <c r="CA961" s="156"/>
      <c r="CB961" s="156"/>
      <c r="CC961" s="156"/>
      <c r="CD961" s="156"/>
      <c r="CE961" s="156"/>
      <c r="CF961" s="156"/>
      <c r="CG961" s="156"/>
      <c r="CH961" s="156"/>
      <c r="CI961" s="156"/>
      <c r="CJ961" s="156"/>
      <c r="CK961" s="156"/>
      <c r="CL961" s="156"/>
      <c r="CM961" s="156"/>
      <c r="CN961" s="156"/>
      <c r="CO961" s="156"/>
      <c r="CP961" s="156"/>
      <c r="CQ961" s="156"/>
      <c r="CR961" s="156"/>
      <c r="CS961" s="156"/>
      <c r="CT961" s="156"/>
      <c r="CU961" s="156"/>
      <c r="CV961" s="156"/>
      <c r="CW961" s="156"/>
      <c r="CX961" s="156"/>
      <c r="CY961" s="156"/>
      <c r="CZ961" s="156"/>
      <c r="DA961" s="156"/>
      <c r="DB961" s="156"/>
      <c r="DC961" s="156"/>
      <c r="DD961" s="156"/>
      <c r="DE961" s="156"/>
      <c r="DF961" s="156"/>
      <c r="DG961" s="156"/>
      <c r="DH961" s="156"/>
      <c r="DI961" s="156"/>
      <c r="DJ961" s="156"/>
      <c r="DK961" s="156"/>
      <c r="DL961" s="156"/>
      <c r="DM961" s="156"/>
      <c r="DN961" s="156"/>
      <c r="DO961" s="156"/>
      <c r="DP961" s="156"/>
      <c r="DQ961" s="156"/>
      <c r="DR961" s="156"/>
      <c r="DS961" s="156"/>
      <c r="DT961" s="156"/>
      <c r="DU961" s="156"/>
      <c r="DV961" s="156"/>
      <c r="DW961" s="156"/>
      <c r="DX961" s="156"/>
      <c r="DY961" s="156"/>
      <c r="DZ961" s="156"/>
      <c r="EA961" s="156"/>
      <c r="EB961" s="156"/>
      <c r="EC961" s="156"/>
      <c r="ED961" s="156"/>
      <c r="EE961" s="156"/>
      <c r="EF961" s="156"/>
      <c r="EG961" s="156"/>
      <c r="EH961" s="156"/>
      <c r="EI961" s="156"/>
      <c r="EJ961" s="156"/>
      <c r="EK961" s="156"/>
      <c r="EL961" s="156"/>
      <c r="EM961" s="156"/>
    </row>
    <row r="962" spans="20:143" ht="10.5" customHeight="1">
      <c r="T962" s="156"/>
      <c r="AZ962" s="156"/>
      <c r="BA962" s="156"/>
      <c r="BB962" s="156"/>
      <c r="BC962" s="156"/>
      <c r="BD962" s="156"/>
      <c r="BE962" s="156"/>
      <c r="BF962" s="156"/>
      <c r="BG962" s="156"/>
      <c r="BH962" s="156"/>
      <c r="BI962" s="156"/>
      <c r="BJ962" s="156"/>
      <c r="BK962" s="156"/>
      <c r="BL962" s="156"/>
      <c r="BM962" s="156"/>
      <c r="BN962" s="156"/>
      <c r="BO962" s="156"/>
      <c r="BP962" s="156"/>
      <c r="BQ962" s="156"/>
      <c r="BR962" s="156"/>
      <c r="BS962" s="156"/>
      <c r="BT962" s="156"/>
      <c r="BU962" s="156"/>
      <c r="BV962" s="156"/>
      <c r="BW962" s="156"/>
      <c r="BX962" s="156"/>
      <c r="BY962" s="156"/>
      <c r="BZ962" s="156"/>
      <c r="CA962" s="156"/>
      <c r="CB962" s="156"/>
      <c r="CC962" s="156"/>
      <c r="CD962" s="156"/>
      <c r="CE962" s="156"/>
      <c r="CF962" s="156"/>
      <c r="CG962" s="156"/>
      <c r="CH962" s="156"/>
      <c r="CI962" s="156"/>
      <c r="CJ962" s="156"/>
      <c r="CK962" s="156"/>
      <c r="CL962" s="156"/>
      <c r="CM962" s="156"/>
      <c r="CN962" s="156"/>
      <c r="CO962" s="156"/>
      <c r="CP962" s="156"/>
      <c r="CQ962" s="156"/>
      <c r="CR962" s="156"/>
      <c r="CS962" s="156"/>
      <c r="CT962" s="156"/>
      <c r="CU962" s="156"/>
      <c r="CV962" s="156"/>
      <c r="CW962" s="156"/>
      <c r="CX962" s="156"/>
      <c r="CY962" s="156"/>
      <c r="CZ962" s="156"/>
      <c r="DA962" s="156"/>
      <c r="DB962" s="156"/>
      <c r="DC962" s="156"/>
      <c r="DD962" s="156"/>
      <c r="DE962" s="156"/>
      <c r="DF962" s="156"/>
      <c r="DG962" s="156"/>
      <c r="DH962" s="156"/>
      <c r="DI962" s="156"/>
      <c r="DJ962" s="156"/>
      <c r="DK962" s="156"/>
      <c r="DL962" s="156"/>
      <c r="DM962" s="156"/>
      <c r="DN962" s="156"/>
      <c r="DO962" s="156"/>
      <c r="DP962" s="156"/>
      <c r="DQ962" s="156"/>
      <c r="DR962" s="156"/>
      <c r="DS962" s="156"/>
      <c r="DT962" s="156"/>
      <c r="DU962" s="156"/>
      <c r="DV962" s="156"/>
      <c r="DW962" s="156"/>
      <c r="DX962" s="156"/>
      <c r="DY962" s="156"/>
      <c r="DZ962" s="156"/>
      <c r="EA962" s="156"/>
      <c r="EB962" s="156"/>
      <c r="EC962" s="156"/>
      <c r="ED962" s="156"/>
      <c r="EE962" s="156"/>
      <c r="EF962" s="156"/>
      <c r="EG962" s="156"/>
      <c r="EH962" s="156"/>
      <c r="EI962" s="156"/>
      <c r="EJ962" s="156"/>
      <c r="EK962" s="156"/>
      <c r="EL962" s="156"/>
      <c r="EM962" s="156"/>
    </row>
    <row r="963" spans="20:143" ht="10.5" customHeight="1">
      <c r="T963" s="156"/>
      <c r="AZ963" s="156"/>
      <c r="BA963" s="156"/>
      <c r="BB963" s="156"/>
      <c r="BC963" s="156"/>
      <c r="BD963" s="156"/>
      <c r="BE963" s="156"/>
      <c r="BF963" s="156"/>
      <c r="BG963" s="156"/>
      <c r="BH963" s="156"/>
      <c r="BI963" s="156"/>
      <c r="BJ963" s="156"/>
      <c r="BK963" s="156"/>
      <c r="BL963" s="156"/>
      <c r="BM963" s="156"/>
      <c r="BN963" s="156"/>
      <c r="BO963" s="156"/>
      <c r="BP963" s="156"/>
      <c r="BQ963" s="156"/>
      <c r="BR963" s="156"/>
      <c r="BS963" s="156"/>
      <c r="BT963" s="156"/>
      <c r="BU963" s="156"/>
      <c r="BV963" s="156"/>
      <c r="BW963" s="156"/>
      <c r="BX963" s="156"/>
      <c r="BY963" s="156"/>
      <c r="BZ963" s="156"/>
      <c r="CA963" s="156"/>
      <c r="CB963" s="156"/>
      <c r="CC963" s="156"/>
      <c r="CD963" s="156"/>
      <c r="CE963" s="156"/>
      <c r="CF963" s="156"/>
      <c r="CG963" s="156"/>
      <c r="CH963" s="156"/>
      <c r="CI963" s="156"/>
      <c r="CJ963" s="156"/>
      <c r="CK963" s="156"/>
      <c r="CL963" s="156"/>
      <c r="CM963" s="156"/>
      <c r="CN963" s="156"/>
      <c r="CO963" s="156"/>
      <c r="CP963" s="156"/>
      <c r="CQ963" s="156"/>
      <c r="CR963" s="156"/>
      <c r="CS963" s="156"/>
      <c r="CT963" s="156"/>
      <c r="CU963" s="156"/>
      <c r="CV963" s="156"/>
      <c r="CW963" s="156"/>
      <c r="CX963" s="156"/>
      <c r="CY963" s="156"/>
      <c r="CZ963" s="156"/>
      <c r="DA963" s="156"/>
      <c r="DB963" s="156"/>
      <c r="DC963" s="156"/>
      <c r="DD963" s="156"/>
      <c r="DE963" s="156"/>
      <c r="DF963" s="156"/>
      <c r="DG963" s="156"/>
      <c r="DH963" s="156"/>
      <c r="DI963" s="156"/>
      <c r="DJ963" s="156"/>
      <c r="DK963" s="156"/>
      <c r="DL963" s="156"/>
      <c r="DM963" s="156"/>
      <c r="DN963" s="156"/>
      <c r="DO963" s="156"/>
      <c r="DP963" s="156"/>
      <c r="DQ963" s="156"/>
      <c r="DR963" s="156"/>
      <c r="DS963" s="156"/>
      <c r="DT963" s="156"/>
      <c r="DU963" s="156"/>
      <c r="DV963" s="156"/>
      <c r="DW963" s="156"/>
      <c r="DX963" s="156"/>
      <c r="DY963" s="156"/>
      <c r="DZ963" s="156"/>
      <c r="EA963" s="156"/>
      <c r="EB963" s="156"/>
      <c r="EC963" s="156"/>
      <c r="ED963" s="156"/>
      <c r="EE963" s="156"/>
      <c r="EF963" s="156"/>
      <c r="EG963" s="156"/>
      <c r="EH963" s="156"/>
      <c r="EI963" s="156"/>
      <c r="EJ963" s="156"/>
      <c r="EK963" s="156"/>
      <c r="EL963" s="156"/>
      <c r="EM963" s="156"/>
    </row>
    <row r="964" spans="20:143" ht="10.5" customHeight="1">
      <c r="T964" s="156"/>
      <c r="AZ964" s="156"/>
      <c r="BA964" s="156"/>
      <c r="BB964" s="156"/>
      <c r="BC964" s="156"/>
      <c r="BD964" s="156"/>
      <c r="BE964" s="156"/>
      <c r="BF964" s="156"/>
      <c r="BG964" s="156"/>
      <c r="BH964" s="156"/>
      <c r="BI964" s="156"/>
      <c r="BJ964" s="156"/>
      <c r="BK964" s="156"/>
      <c r="BL964" s="156"/>
      <c r="BM964" s="156"/>
      <c r="BN964" s="156"/>
      <c r="BO964" s="156"/>
      <c r="BP964" s="156"/>
      <c r="BQ964" s="156"/>
      <c r="BR964" s="156"/>
      <c r="BS964" s="156"/>
      <c r="BT964" s="156"/>
      <c r="BU964" s="156"/>
      <c r="BV964" s="156"/>
      <c r="BW964" s="156"/>
      <c r="BX964" s="156"/>
      <c r="BY964" s="156"/>
      <c r="BZ964" s="156"/>
      <c r="CA964" s="156"/>
      <c r="CB964" s="156"/>
      <c r="CC964" s="156"/>
      <c r="CD964" s="156"/>
      <c r="CE964" s="156"/>
      <c r="CF964" s="156"/>
      <c r="CG964" s="156"/>
      <c r="CH964" s="156"/>
      <c r="CI964" s="156"/>
      <c r="CJ964" s="156"/>
      <c r="CK964" s="156"/>
      <c r="CL964" s="156"/>
      <c r="CM964" s="156"/>
      <c r="CN964" s="156"/>
      <c r="CO964" s="156"/>
      <c r="CP964" s="156"/>
      <c r="CQ964" s="156"/>
      <c r="CR964" s="156"/>
      <c r="CS964" s="156"/>
      <c r="CT964" s="156"/>
      <c r="CU964" s="156"/>
      <c r="CV964" s="156"/>
      <c r="CW964" s="156"/>
      <c r="CX964" s="156"/>
      <c r="CY964" s="156"/>
      <c r="CZ964" s="156"/>
      <c r="DA964" s="156"/>
      <c r="DB964" s="156"/>
      <c r="DC964" s="156"/>
      <c r="DD964" s="156"/>
      <c r="DE964" s="156"/>
      <c r="DF964" s="156"/>
      <c r="DG964" s="156"/>
      <c r="DH964" s="156"/>
      <c r="DI964" s="156"/>
      <c r="DJ964" s="156"/>
      <c r="DK964" s="156"/>
      <c r="DL964" s="156"/>
      <c r="DM964" s="156"/>
      <c r="DN964" s="156"/>
      <c r="DO964" s="156"/>
      <c r="DP964" s="156"/>
      <c r="DQ964" s="156"/>
      <c r="DR964" s="156"/>
      <c r="DS964" s="156"/>
      <c r="DT964" s="156"/>
      <c r="DU964" s="156"/>
      <c r="DV964" s="156"/>
      <c r="DW964" s="156"/>
      <c r="DX964" s="156"/>
      <c r="DY964" s="156"/>
      <c r="DZ964" s="156"/>
      <c r="EA964" s="156"/>
      <c r="EB964" s="156"/>
      <c r="EC964" s="156"/>
      <c r="ED964" s="156"/>
      <c r="EE964" s="156"/>
      <c r="EF964" s="156"/>
      <c r="EG964" s="156"/>
      <c r="EH964" s="156"/>
      <c r="EI964" s="156"/>
      <c r="EJ964" s="156"/>
      <c r="EK964" s="156"/>
      <c r="EL964" s="156"/>
      <c r="EM964" s="156"/>
    </row>
    <row r="965" spans="20:143" ht="10.5" customHeight="1">
      <c r="T965" s="156"/>
      <c r="AZ965" s="156"/>
      <c r="BA965" s="156"/>
      <c r="BB965" s="156"/>
      <c r="BC965" s="156"/>
      <c r="BD965" s="156"/>
      <c r="BE965" s="156"/>
      <c r="BF965" s="156"/>
      <c r="BG965" s="156"/>
      <c r="BH965" s="156"/>
      <c r="BI965" s="156"/>
      <c r="BJ965" s="156"/>
      <c r="BK965" s="156"/>
      <c r="BL965" s="156"/>
      <c r="BM965" s="156"/>
      <c r="BN965" s="156"/>
      <c r="BO965" s="156"/>
      <c r="BP965" s="156"/>
      <c r="BQ965" s="156"/>
      <c r="BR965" s="156"/>
      <c r="BS965" s="156"/>
      <c r="BT965" s="156"/>
      <c r="BU965" s="156"/>
      <c r="BV965" s="156"/>
      <c r="BW965" s="156"/>
      <c r="BX965" s="156"/>
      <c r="BY965" s="156"/>
      <c r="BZ965" s="156"/>
      <c r="CA965" s="156"/>
      <c r="CB965" s="156"/>
      <c r="CC965" s="156"/>
      <c r="CD965" s="156"/>
      <c r="CE965" s="156"/>
      <c r="CF965" s="156"/>
      <c r="CG965" s="156"/>
      <c r="CH965" s="156"/>
      <c r="CI965" s="156"/>
      <c r="CJ965" s="156"/>
      <c r="CK965" s="156"/>
      <c r="CL965" s="156"/>
      <c r="CM965" s="156"/>
      <c r="CN965" s="156"/>
      <c r="CO965" s="156"/>
      <c r="CP965" s="156"/>
      <c r="CQ965" s="156"/>
      <c r="CR965" s="156"/>
      <c r="CS965" s="156"/>
      <c r="CT965" s="156"/>
      <c r="CU965" s="156"/>
      <c r="CV965" s="156"/>
      <c r="CW965" s="156"/>
      <c r="CX965" s="156"/>
      <c r="CY965" s="156"/>
      <c r="CZ965" s="156"/>
      <c r="DA965" s="156"/>
      <c r="DB965" s="156"/>
      <c r="DC965" s="156"/>
      <c r="DD965" s="156"/>
      <c r="DE965" s="156"/>
      <c r="DF965" s="156"/>
      <c r="DG965" s="156"/>
      <c r="DH965" s="156"/>
      <c r="DI965" s="156"/>
      <c r="DJ965" s="156"/>
      <c r="DK965" s="156"/>
      <c r="DL965" s="156"/>
      <c r="DM965" s="156"/>
      <c r="DN965" s="156"/>
      <c r="DO965" s="156"/>
      <c r="DP965" s="156"/>
      <c r="DQ965" s="156"/>
      <c r="DR965" s="156"/>
      <c r="DS965" s="156"/>
      <c r="DT965" s="156"/>
      <c r="DU965" s="156"/>
      <c r="DV965" s="156"/>
      <c r="DW965" s="156"/>
      <c r="DX965" s="156"/>
      <c r="DY965" s="156"/>
      <c r="DZ965" s="156"/>
      <c r="EA965" s="156"/>
      <c r="EB965" s="156"/>
      <c r="EC965" s="156"/>
      <c r="ED965" s="156"/>
      <c r="EE965" s="156"/>
      <c r="EF965" s="156"/>
      <c r="EG965" s="156"/>
      <c r="EH965" s="156"/>
      <c r="EI965" s="156"/>
      <c r="EJ965" s="156"/>
      <c r="EK965" s="156"/>
      <c r="EL965" s="156"/>
      <c r="EM965" s="156"/>
    </row>
    <row r="966" spans="20:143" ht="10.5" customHeight="1">
      <c r="T966" s="156"/>
      <c r="AZ966" s="156"/>
      <c r="BA966" s="156"/>
      <c r="BB966" s="156"/>
      <c r="BC966" s="156"/>
      <c r="BD966" s="156"/>
      <c r="BE966" s="156"/>
      <c r="BF966" s="156"/>
      <c r="BG966" s="156"/>
      <c r="BH966" s="156"/>
      <c r="BI966" s="156"/>
      <c r="BJ966" s="156"/>
      <c r="BK966" s="156"/>
      <c r="BL966" s="156"/>
      <c r="BM966" s="156"/>
      <c r="BN966" s="156"/>
      <c r="BO966" s="156"/>
      <c r="BP966" s="156"/>
      <c r="BQ966" s="156"/>
      <c r="BR966" s="156"/>
      <c r="BS966" s="156"/>
      <c r="BT966" s="156"/>
      <c r="BU966" s="156"/>
      <c r="BV966" s="156"/>
      <c r="BW966" s="156"/>
      <c r="BX966" s="156"/>
      <c r="BY966" s="156"/>
      <c r="BZ966" s="156"/>
      <c r="CA966" s="156"/>
      <c r="CB966" s="156"/>
      <c r="CC966" s="156"/>
      <c r="CD966" s="156"/>
      <c r="CE966" s="156"/>
      <c r="CF966" s="156"/>
      <c r="CG966" s="156"/>
      <c r="CH966" s="156"/>
      <c r="CI966" s="156"/>
      <c r="CJ966" s="156"/>
      <c r="CK966" s="156"/>
      <c r="CL966" s="156"/>
      <c r="CM966" s="156"/>
      <c r="CN966" s="156"/>
      <c r="CO966" s="156"/>
      <c r="CP966" s="156"/>
      <c r="CQ966" s="156"/>
      <c r="CR966" s="156"/>
      <c r="CS966" s="156"/>
      <c r="CT966" s="156"/>
      <c r="CU966" s="156"/>
      <c r="CV966" s="156"/>
      <c r="CW966" s="156"/>
      <c r="CX966" s="156"/>
      <c r="CY966" s="156"/>
      <c r="CZ966" s="156"/>
      <c r="DA966" s="156"/>
      <c r="DB966" s="156"/>
      <c r="DC966" s="156"/>
      <c r="DD966" s="156"/>
      <c r="DE966" s="156"/>
      <c r="DF966" s="156"/>
      <c r="DG966" s="156"/>
      <c r="DH966" s="156"/>
      <c r="DI966" s="156"/>
      <c r="DJ966" s="156"/>
      <c r="DK966" s="156"/>
      <c r="DL966" s="156"/>
      <c r="DM966" s="156"/>
      <c r="DN966" s="156"/>
      <c r="DO966" s="156"/>
      <c r="DP966" s="156"/>
      <c r="DQ966" s="156"/>
      <c r="DR966" s="156"/>
      <c r="DS966" s="156"/>
      <c r="DT966" s="156"/>
      <c r="DU966" s="156"/>
      <c r="DV966" s="156"/>
      <c r="DW966" s="156"/>
      <c r="DX966" s="156"/>
      <c r="DY966" s="156"/>
      <c r="DZ966" s="156"/>
      <c r="EA966" s="156"/>
      <c r="EB966" s="156"/>
      <c r="EC966" s="156"/>
      <c r="ED966" s="156"/>
      <c r="EE966" s="156"/>
      <c r="EF966" s="156"/>
      <c r="EG966" s="156"/>
      <c r="EH966" s="156"/>
      <c r="EI966" s="156"/>
      <c r="EJ966" s="156"/>
      <c r="EK966" s="156"/>
      <c r="EL966" s="156"/>
      <c r="EM966" s="156"/>
    </row>
    <row r="967" spans="20:143" ht="10.5" customHeight="1">
      <c r="T967" s="156"/>
      <c r="AZ967" s="156"/>
      <c r="BA967" s="156"/>
      <c r="BB967" s="156"/>
      <c r="BC967" s="156"/>
      <c r="BD967" s="156"/>
      <c r="BE967" s="156"/>
      <c r="BF967" s="156"/>
      <c r="BG967" s="156"/>
      <c r="BH967" s="156"/>
      <c r="BI967" s="156"/>
      <c r="BJ967" s="156"/>
      <c r="BK967" s="156"/>
      <c r="BL967" s="156"/>
      <c r="BM967" s="156"/>
      <c r="BN967" s="156"/>
      <c r="BO967" s="156"/>
      <c r="BP967" s="156"/>
      <c r="BQ967" s="156"/>
      <c r="BR967" s="156"/>
      <c r="BS967" s="156"/>
      <c r="BT967" s="156"/>
      <c r="BU967" s="156"/>
      <c r="BV967" s="156"/>
      <c r="BW967" s="156"/>
      <c r="BX967" s="156"/>
      <c r="BY967" s="156"/>
      <c r="BZ967" s="156"/>
      <c r="CA967" s="156"/>
      <c r="CB967" s="156"/>
      <c r="CC967" s="156"/>
      <c r="CD967" s="156"/>
      <c r="CE967" s="156"/>
      <c r="CF967" s="156"/>
      <c r="CG967" s="156"/>
      <c r="CH967" s="156"/>
      <c r="CI967" s="156"/>
      <c r="CJ967" s="156"/>
      <c r="CK967" s="156"/>
      <c r="CL967" s="156"/>
      <c r="CM967" s="156"/>
      <c r="CN967" s="156"/>
      <c r="CO967" s="156"/>
      <c r="CP967" s="156"/>
      <c r="CQ967" s="156"/>
      <c r="CR967" s="156"/>
      <c r="CS967" s="156"/>
      <c r="CT967" s="156"/>
      <c r="CU967" s="156"/>
      <c r="CV967" s="156"/>
      <c r="CW967" s="156"/>
      <c r="CX967" s="156"/>
      <c r="CY967" s="156"/>
      <c r="CZ967" s="156"/>
      <c r="DA967" s="156"/>
      <c r="DB967" s="156"/>
      <c r="DC967" s="156"/>
      <c r="DD967" s="156"/>
      <c r="DE967" s="156"/>
      <c r="DF967" s="156"/>
      <c r="DG967" s="156"/>
      <c r="DH967" s="156"/>
      <c r="DI967" s="156"/>
      <c r="DJ967" s="156"/>
      <c r="DK967" s="156"/>
      <c r="DL967" s="156"/>
      <c r="DM967" s="156"/>
      <c r="DN967" s="156"/>
      <c r="DO967" s="156"/>
      <c r="DP967" s="156"/>
      <c r="DQ967" s="156"/>
      <c r="DR967" s="156"/>
      <c r="DS967" s="156"/>
      <c r="DT967" s="156"/>
      <c r="DU967" s="156"/>
      <c r="DV967" s="156"/>
      <c r="DW967" s="156"/>
      <c r="DX967" s="156"/>
      <c r="DY967" s="156"/>
      <c r="DZ967" s="156"/>
      <c r="EA967" s="156"/>
      <c r="EB967" s="156"/>
      <c r="EC967" s="156"/>
      <c r="ED967" s="156"/>
      <c r="EE967" s="156"/>
      <c r="EF967" s="156"/>
      <c r="EG967" s="156"/>
      <c r="EH967" s="156"/>
      <c r="EI967" s="156"/>
      <c r="EJ967" s="156"/>
      <c r="EK967" s="156"/>
      <c r="EL967" s="156"/>
      <c r="EM967" s="156"/>
    </row>
    <row r="968" spans="20:143" ht="10.5" customHeight="1">
      <c r="T968" s="156"/>
      <c r="AZ968" s="156"/>
      <c r="BA968" s="156"/>
      <c r="BB968" s="156"/>
      <c r="BC968" s="156"/>
      <c r="BD968" s="156"/>
      <c r="BE968" s="156"/>
      <c r="BF968" s="156"/>
      <c r="BG968" s="156"/>
      <c r="BH968" s="156"/>
      <c r="BI968" s="156"/>
      <c r="BJ968" s="156"/>
      <c r="BK968" s="156"/>
      <c r="BL968" s="156"/>
      <c r="BM968" s="156"/>
      <c r="BN968" s="156"/>
      <c r="BO968" s="156"/>
      <c r="BP968" s="156"/>
      <c r="BQ968" s="156"/>
      <c r="BR968" s="156"/>
      <c r="BS968" s="156"/>
      <c r="BT968" s="156"/>
      <c r="BU968" s="156"/>
      <c r="BV968" s="156"/>
      <c r="BW968" s="156"/>
      <c r="BX968" s="156"/>
      <c r="BY968" s="156"/>
      <c r="BZ968" s="156"/>
      <c r="CA968" s="156"/>
      <c r="CB968" s="156"/>
      <c r="CC968" s="156"/>
      <c r="CD968" s="156"/>
      <c r="CE968" s="156"/>
      <c r="CF968" s="156"/>
      <c r="CG968" s="156"/>
      <c r="CH968" s="156"/>
      <c r="CI968" s="156"/>
      <c r="CJ968" s="156"/>
      <c r="CK968" s="156"/>
      <c r="CL968" s="156"/>
      <c r="CM968" s="156"/>
      <c r="CN968" s="156"/>
      <c r="CO968" s="156"/>
      <c r="CP968" s="156"/>
      <c r="CQ968" s="156"/>
      <c r="CR968" s="156"/>
      <c r="CS968" s="156"/>
      <c r="CT968" s="156"/>
      <c r="CU968" s="156"/>
      <c r="CV968" s="156"/>
      <c r="CW968" s="156"/>
      <c r="CX968" s="156"/>
      <c r="CY968" s="156"/>
      <c r="CZ968" s="156"/>
      <c r="DA968" s="156"/>
      <c r="DB968" s="156"/>
      <c r="DC968" s="156"/>
      <c r="DD968" s="156"/>
      <c r="DE968" s="156"/>
      <c r="DF968" s="156"/>
      <c r="DG968" s="156"/>
      <c r="DH968" s="156"/>
      <c r="DI968" s="156"/>
      <c r="DJ968" s="156"/>
      <c r="DK968" s="156"/>
      <c r="DL968" s="156"/>
      <c r="DM968" s="156"/>
      <c r="DN968" s="156"/>
      <c r="DO968" s="156"/>
      <c r="DP968" s="156"/>
      <c r="DQ968" s="156"/>
      <c r="DR968" s="156"/>
      <c r="DS968" s="156"/>
      <c r="DT968" s="156"/>
      <c r="DU968" s="156"/>
      <c r="DV968" s="156"/>
      <c r="DW968" s="156"/>
      <c r="DX968" s="156"/>
      <c r="DY968" s="156"/>
      <c r="DZ968" s="156"/>
      <c r="EA968" s="156"/>
      <c r="EB968" s="156"/>
      <c r="EC968" s="156"/>
      <c r="ED968" s="156"/>
      <c r="EE968" s="156"/>
      <c r="EF968" s="156"/>
      <c r="EG968" s="156"/>
      <c r="EH968" s="156"/>
      <c r="EI968" s="156"/>
      <c r="EJ968" s="156"/>
      <c r="EK968" s="156"/>
      <c r="EL968" s="156"/>
      <c r="EM968" s="156"/>
    </row>
    <row r="969" spans="20:143" ht="10.5" customHeight="1">
      <c r="T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M969" s="156"/>
      <c r="CN969" s="156"/>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c r="DM969" s="156"/>
      <c r="DN969" s="156"/>
      <c r="DO969" s="156"/>
      <c r="DP969" s="156"/>
      <c r="DQ969" s="156"/>
      <c r="DR969" s="156"/>
      <c r="DS969" s="156"/>
      <c r="DT969" s="156"/>
      <c r="DU969" s="156"/>
      <c r="DV969" s="156"/>
      <c r="DW969" s="156"/>
      <c r="DX969" s="156"/>
      <c r="DY969" s="156"/>
      <c r="DZ969" s="156"/>
      <c r="EA969" s="156"/>
      <c r="EB969" s="156"/>
      <c r="EC969" s="156"/>
      <c r="ED969" s="156"/>
      <c r="EE969" s="156"/>
      <c r="EF969" s="156"/>
      <c r="EG969" s="156"/>
      <c r="EH969" s="156"/>
      <c r="EI969" s="156"/>
      <c r="EJ969" s="156"/>
      <c r="EK969" s="156"/>
      <c r="EL969" s="156"/>
      <c r="EM969" s="156"/>
    </row>
    <row r="970" spans="20:143" ht="10.5" customHeight="1">
      <c r="T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M970" s="156"/>
      <c r="CN970" s="156"/>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c r="DM970" s="156"/>
      <c r="DN970" s="156"/>
      <c r="DO970" s="156"/>
      <c r="DP970" s="156"/>
      <c r="DQ970" s="156"/>
      <c r="DR970" s="156"/>
      <c r="DS970" s="156"/>
      <c r="DT970" s="156"/>
      <c r="DU970" s="156"/>
      <c r="DV970" s="156"/>
      <c r="DW970" s="156"/>
      <c r="DX970" s="156"/>
      <c r="DY970" s="156"/>
      <c r="DZ970" s="156"/>
      <c r="EA970" s="156"/>
      <c r="EB970" s="156"/>
      <c r="EC970" s="156"/>
      <c r="ED970" s="156"/>
      <c r="EE970" s="156"/>
      <c r="EF970" s="156"/>
      <c r="EG970" s="156"/>
      <c r="EH970" s="156"/>
      <c r="EI970" s="156"/>
      <c r="EJ970" s="156"/>
      <c r="EK970" s="156"/>
      <c r="EL970" s="156"/>
      <c r="EM970" s="156"/>
    </row>
    <row r="971" spans="20:143" ht="10.5" customHeight="1">
      <c r="T971" s="156"/>
      <c r="AZ971" s="156"/>
      <c r="BA971" s="156"/>
      <c r="BB971" s="156"/>
      <c r="BC971" s="156"/>
      <c r="BD971" s="156"/>
      <c r="BE971" s="156"/>
      <c r="BF971" s="156"/>
      <c r="BG971" s="156"/>
      <c r="BH971" s="156"/>
      <c r="BI971" s="156"/>
      <c r="BJ971" s="156"/>
      <c r="BK971" s="156"/>
      <c r="BL971" s="156"/>
      <c r="BM971" s="156"/>
      <c r="BN971" s="156"/>
      <c r="BO971" s="156"/>
      <c r="BP971" s="156"/>
      <c r="BQ971" s="156"/>
      <c r="BR971" s="156"/>
      <c r="BS971" s="156"/>
      <c r="BT971" s="156"/>
      <c r="BU971" s="156"/>
      <c r="BV971" s="156"/>
      <c r="BW971" s="156"/>
      <c r="BX971" s="156"/>
      <c r="BY971" s="156"/>
      <c r="BZ971" s="156"/>
      <c r="CA971" s="156"/>
      <c r="CB971" s="156"/>
      <c r="CC971" s="156"/>
      <c r="CD971" s="156"/>
      <c r="CE971" s="156"/>
      <c r="CF971" s="156"/>
      <c r="CG971" s="156"/>
      <c r="CH971" s="156"/>
      <c r="CI971" s="156"/>
      <c r="CJ971" s="156"/>
      <c r="CK971" s="156"/>
      <c r="CL971" s="156"/>
      <c r="CM971" s="156"/>
      <c r="CN971" s="156"/>
      <c r="CO971" s="156"/>
      <c r="CP971" s="156"/>
      <c r="CQ971" s="156"/>
      <c r="CR971" s="156"/>
      <c r="CS971" s="156"/>
      <c r="CT971" s="156"/>
      <c r="CU971" s="156"/>
      <c r="CV971" s="156"/>
      <c r="CW971" s="156"/>
      <c r="CX971" s="156"/>
      <c r="CY971" s="156"/>
      <c r="CZ971" s="156"/>
      <c r="DA971" s="156"/>
      <c r="DB971" s="156"/>
      <c r="DC971" s="156"/>
      <c r="DD971" s="156"/>
      <c r="DE971" s="156"/>
      <c r="DF971" s="156"/>
      <c r="DG971" s="156"/>
      <c r="DH971" s="156"/>
      <c r="DI971" s="156"/>
      <c r="DJ971" s="156"/>
      <c r="DK971" s="156"/>
      <c r="DL971" s="156"/>
      <c r="DM971" s="156"/>
      <c r="DN971" s="156"/>
      <c r="DO971" s="156"/>
      <c r="DP971" s="156"/>
      <c r="DQ971" s="156"/>
      <c r="DR971" s="156"/>
      <c r="DS971" s="156"/>
      <c r="DT971" s="156"/>
      <c r="DU971" s="156"/>
      <c r="DV971" s="156"/>
      <c r="DW971" s="156"/>
      <c r="DX971" s="156"/>
      <c r="DY971" s="156"/>
      <c r="DZ971" s="156"/>
      <c r="EA971" s="156"/>
      <c r="EB971" s="156"/>
      <c r="EC971" s="156"/>
      <c r="ED971" s="156"/>
      <c r="EE971" s="156"/>
      <c r="EF971" s="156"/>
      <c r="EG971" s="156"/>
      <c r="EH971" s="156"/>
      <c r="EI971" s="156"/>
      <c r="EJ971" s="156"/>
      <c r="EK971" s="156"/>
      <c r="EL971" s="156"/>
      <c r="EM971" s="156"/>
    </row>
    <row r="972" spans="20:143" ht="10.5" customHeight="1">
      <c r="T972" s="156"/>
      <c r="AZ972" s="156"/>
      <c r="BA972" s="156"/>
      <c r="BB972" s="156"/>
      <c r="BC972" s="156"/>
      <c r="BD972" s="156"/>
      <c r="BE972" s="156"/>
      <c r="BF972" s="156"/>
      <c r="BG972" s="156"/>
      <c r="BH972" s="156"/>
      <c r="BI972" s="156"/>
      <c r="BJ972" s="156"/>
      <c r="BK972" s="156"/>
      <c r="BL972" s="156"/>
      <c r="BM972" s="156"/>
      <c r="BN972" s="156"/>
      <c r="BO972" s="156"/>
      <c r="BP972" s="156"/>
      <c r="BQ972" s="156"/>
      <c r="BR972" s="156"/>
      <c r="BS972" s="156"/>
      <c r="BT972" s="156"/>
      <c r="BU972" s="156"/>
      <c r="BV972" s="156"/>
      <c r="BW972" s="156"/>
      <c r="BX972" s="156"/>
      <c r="BY972" s="156"/>
      <c r="BZ972" s="156"/>
      <c r="CA972" s="156"/>
      <c r="CB972" s="156"/>
      <c r="CC972" s="156"/>
      <c r="CD972" s="156"/>
      <c r="CE972" s="156"/>
      <c r="CF972" s="156"/>
      <c r="CG972" s="156"/>
      <c r="CH972" s="156"/>
      <c r="CI972" s="156"/>
      <c r="CJ972" s="156"/>
      <c r="CK972" s="156"/>
      <c r="CL972" s="156"/>
      <c r="CM972" s="156"/>
      <c r="CN972" s="156"/>
      <c r="CO972" s="156"/>
      <c r="CP972" s="156"/>
      <c r="CQ972" s="156"/>
      <c r="CR972" s="156"/>
      <c r="CS972" s="156"/>
      <c r="CT972" s="156"/>
      <c r="CU972" s="156"/>
      <c r="CV972" s="156"/>
      <c r="CW972" s="156"/>
      <c r="CX972" s="156"/>
      <c r="CY972" s="156"/>
      <c r="CZ972" s="156"/>
      <c r="DA972" s="156"/>
      <c r="DB972" s="156"/>
      <c r="DC972" s="156"/>
      <c r="DD972" s="156"/>
      <c r="DE972" s="156"/>
      <c r="DF972" s="156"/>
      <c r="DG972" s="156"/>
      <c r="DH972" s="156"/>
      <c r="DI972" s="156"/>
      <c r="DJ972" s="156"/>
      <c r="DK972" s="156"/>
      <c r="DL972" s="156"/>
      <c r="DM972" s="156"/>
      <c r="DN972" s="156"/>
      <c r="DO972" s="156"/>
      <c r="DP972" s="156"/>
      <c r="DQ972" s="156"/>
      <c r="DR972" s="156"/>
      <c r="DS972" s="156"/>
      <c r="DT972" s="156"/>
      <c r="DU972" s="156"/>
      <c r="DV972" s="156"/>
      <c r="DW972" s="156"/>
      <c r="DX972" s="156"/>
      <c r="DY972" s="156"/>
      <c r="DZ972" s="156"/>
      <c r="EA972" s="156"/>
      <c r="EB972" s="156"/>
      <c r="EC972" s="156"/>
      <c r="ED972" s="156"/>
      <c r="EE972" s="156"/>
      <c r="EF972" s="156"/>
      <c r="EG972" s="156"/>
      <c r="EH972" s="156"/>
      <c r="EI972" s="156"/>
      <c r="EJ972" s="156"/>
      <c r="EK972" s="156"/>
      <c r="EL972" s="156"/>
      <c r="EM972" s="156"/>
    </row>
    <row r="973" spans="20:143" ht="10.5" customHeight="1">
      <c r="T973" s="156"/>
      <c r="AZ973" s="156"/>
      <c r="BA973" s="156"/>
      <c r="BB973" s="156"/>
      <c r="BC973" s="156"/>
      <c r="BD973" s="156"/>
      <c r="BE973" s="156"/>
      <c r="BF973" s="156"/>
      <c r="BG973" s="156"/>
      <c r="BH973" s="156"/>
      <c r="BI973" s="156"/>
      <c r="BJ973" s="156"/>
      <c r="BK973" s="156"/>
      <c r="BL973" s="156"/>
      <c r="BM973" s="156"/>
      <c r="BN973" s="156"/>
      <c r="BO973" s="156"/>
      <c r="BP973" s="156"/>
      <c r="BQ973" s="156"/>
      <c r="BR973" s="156"/>
      <c r="BS973" s="156"/>
      <c r="BT973" s="156"/>
      <c r="BU973" s="156"/>
      <c r="BV973" s="156"/>
      <c r="BW973" s="156"/>
      <c r="BX973" s="156"/>
      <c r="BY973" s="156"/>
      <c r="BZ973" s="156"/>
      <c r="CA973" s="156"/>
      <c r="CB973" s="156"/>
      <c r="CC973" s="156"/>
      <c r="CD973" s="156"/>
      <c r="CE973" s="156"/>
      <c r="CF973" s="156"/>
      <c r="CG973" s="156"/>
      <c r="CH973" s="156"/>
      <c r="CI973" s="156"/>
      <c r="CJ973" s="156"/>
      <c r="CK973" s="156"/>
      <c r="CL973" s="156"/>
      <c r="CM973" s="156"/>
      <c r="CN973" s="156"/>
      <c r="CO973" s="156"/>
      <c r="CP973" s="156"/>
      <c r="CQ973" s="156"/>
      <c r="CR973" s="156"/>
      <c r="CS973" s="156"/>
      <c r="CT973" s="156"/>
      <c r="CU973" s="156"/>
      <c r="CV973" s="156"/>
      <c r="CW973" s="156"/>
      <c r="CX973" s="156"/>
      <c r="CY973" s="156"/>
      <c r="CZ973" s="156"/>
      <c r="DA973" s="156"/>
      <c r="DB973" s="156"/>
      <c r="DC973" s="156"/>
      <c r="DD973" s="156"/>
      <c r="DE973" s="156"/>
      <c r="DF973" s="156"/>
      <c r="DG973" s="156"/>
      <c r="DH973" s="156"/>
      <c r="DI973" s="156"/>
      <c r="DJ973" s="156"/>
      <c r="DK973" s="156"/>
      <c r="DL973" s="156"/>
      <c r="DM973" s="156"/>
      <c r="DN973" s="156"/>
      <c r="DO973" s="156"/>
      <c r="DP973" s="156"/>
      <c r="DQ973" s="156"/>
      <c r="DR973" s="156"/>
      <c r="DS973" s="156"/>
      <c r="DT973" s="156"/>
      <c r="DU973" s="156"/>
      <c r="DV973" s="156"/>
      <c r="DW973" s="156"/>
      <c r="DX973" s="156"/>
      <c r="DY973" s="156"/>
      <c r="DZ973" s="156"/>
      <c r="EA973" s="156"/>
      <c r="EB973" s="156"/>
      <c r="EC973" s="156"/>
      <c r="ED973" s="156"/>
      <c r="EE973" s="156"/>
      <c r="EF973" s="156"/>
      <c r="EG973" s="156"/>
      <c r="EH973" s="156"/>
      <c r="EI973" s="156"/>
      <c r="EJ973" s="156"/>
      <c r="EK973" s="156"/>
      <c r="EL973" s="156"/>
      <c r="EM973" s="156"/>
    </row>
    <row r="974" spans="20:143" ht="10.5" customHeight="1">
      <c r="T974" s="156"/>
      <c r="AZ974" s="156"/>
      <c r="BA974" s="156"/>
      <c r="BB974" s="156"/>
      <c r="BC974" s="156"/>
      <c r="BD974" s="156"/>
      <c r="BE974" s="156"/>
      <c r="BF974" s="156"/>
      <c r="BG974" s="156"/>
      <c r="BH974" s="156"/>
      <c r="BI974" s="156"/>
      <c r="BJ974" s="156"/>
      <c r="BK974" s="156"/>
      <c r="BL974" s="156"/>
      <c r="BM974" s="156"/>
      <c r="BN974" s="156"/>
      <c r="BO974" s="156"/>
      <c r="BP974" s="156"/>
      <c r="BQ974" s="156"/>
      <c r="BR974" s="156"/>
      <c r="BS974" s="156"/>
      <c r="BT974" s="156"/>
      <c r="BU974" s="156"/>
      <c r="BV974" s="156"/>
      <c r="BW974" s="156"/>
      <c r="BX974" s="156"/>
      <c r="BY974" s="156"/>
      <c r="BZ974" s="156"/>
      <c r="CA974" s="156"/>
      <c r="CB974" s="156"/>
      <c r="CC974" s="156"/>
      <c r="CD974" s="156"/>
      <c r="CE974" s="156"/>
      <c r="CF974" s="156"/>
      <c r="CG974" s="156"/>
      <c r="CH974" s="156"/>
      <c r="CI974" s="156"/>
      <c r="CJ974" s="156"/>
      <c r="CK974" s="156"/>
      <c r="CL974" s="156"/>
      <c r="CM974" s="156"/>
      <c r="CN974" s="156"/>
      <c r="CO974" s="156"/>
      <c r="CP974" s="156"/>
      <c r="CQ974" s="156"/>
      <c r="CR974" s="156"/>
      <c r="CS974" s="156"/>
      <c r="CT974" s="156"/>
      <c r="CU974" s="156"/>
      <c r="CV974" s="156"/>
      <c r="CW974" s="156"/>
      <c r="CX974" s="156"/>
      <c r="CY974" s="156"/>
      <c r="CZ974" s="156"/>
      <c r="DA974" s="156"/>
      <c r="DB974" s="156"/>
      <c r="DC974" s="156"/>
      <c r="DD974" s="156"/>
      <c r="DE974" s="156"/>
      <c r="DF974" s="156"/>
      <c r="DG974" s="156"/>
      <c r="DH974" s="156"/>
      <c r="DI974" s="156"/>
      <c r="DJ974" s="156"/>
      <c r="DK974" s="156"/>
      <c r="DL974" s="156"/>
      <c r="DM974" s="156"/>
      <c r="DN974" s="156"/>
      <c r="DO974" s="156"/>
      <c r="DP974" s="156"/>
      <c r="DQ974" s="156"/>
      <c r="DR974" s="156"/>
      <c r="DS974" s="156"/>
      <c r="DT974" s="156"/>
      <c r="DU974" s="156"/>
      <c r="DV974" s="156"/>
      <c r="DW974" s="156"/>
      <c r="DX974" s="156"/>
      <c r="DY974" s="156"/>
      <c r="DZ974" s="156"/>
      <c r="EA974" s="156"/>
      <c r="EB974" s="156"/>
      <c r="EC974" s="156"/>
      <c r="ED974" s="156"/>
      <c r="EE974" s="156"/>
      <c r="EF974" s="156"/>
      <c r="EG974" s="156"/>
      <c r="EH974" s="156"/>
      <c r="EI974" s="156"/>
      <c r="EJ974" s="156"/>
      <c r="EK974" s="156"/>
      <c r="EL974" s="156"/>
      <c r="EM974" s="156"/>
    </row>
    <row r="975" spans="20:143" ht="10.5" customHeight="1">
      <c r="T975" s="156"/>
      <c r="AZ975" s="156"/>
      <c r="BA975" s="156"/>
      <c r="BB975" s="156"/>
      <c r="BC975" s="156"/>
      <c r="BD975" s="156"/>
      <c r="BE975" s="156"/>
      <c r="BF975" s="156"/>
      <c r="BG975" s="156"/>
      <c r="BH975" s="156"/>
      <c r="BI975" s="156"/>
      <c r="BJ975" s="156"/>
      <c r="BK975" s="156"/>
      <c r="BL975" s="156"/>
      <c r="BM975" s="156"/>
      <c r="BN975" s="156"/>
      <c r="BO975" s="156"/>
      <c r="BP975" s="156"/>
      <c r="BQ975" s="156"/>
      <c r="BR975" s="156"/>
      <c r="BS975" s="156"/>
      <c r="BT975" s="156"/>
      <c r="BU975" s="156"/>
      <c r="BV975" s="156"/>
      <c r="BW975" s="156"/>
      <c r="BX975" s="156"/>
      <c r="BY975" s="156"/>
      <c r="BZ975" s="156"/>
      <c r="CA975" s="156"/>
      <c r="CB975" s="156"/>
      <c r="CC975" s="156"/>
      <c r="CD975" s="156"/>
      <c r="CE975" s="156"/>
      <c r="CF975" s="156"/>
      <c r="CG975" s="156"/>
      <c r="CH975" s="156"/>
      <c r="CI975" s="156"/>
      <c r="CJ975" s="156"/>
      <c r="CK975" s="156"/>
      <c r="CL975" s="156"/>
      <c r="CM975" s="156"/>
      <c r="CN975" s="156"/>
      <c r="CO975" s="156"/>
      <c r="CP975" s="156"/>
      <c r="CQ975" s="156"/>
      <c r="CR975" s="156"/>
      <c r="CS975" s="156"/>
      <c r="CT975" s="156"/>
      <c r="CU975" s="156"/>
      <c r="CV975" s="156"/>
      <c r="CW975" s="156"/>
      <c r="CX975" s="156"/>
      <c r="CY975" s="156"/>
      <c r="CZ975" s="156"/>
      <c r="DA975" s="156"/>
      <c r="DB975" s="156"/>
      <c r="DC975" s="156"/>
      <c r="DD975" s="156"/>
      <c r="DE975" s="156"/>
      <c r="DF975" s="156"/>
      <c r="DG975" s="156"/>
      <c r="DH975" s="156"/>
      <c r="DI975" s="156"/>
      <c r="DJ975" s="156"/>
      <c r="DK975" s="156"/>
      <c r="DL975" s="156"/>
      <c r="DM975" s="156"/>
      <c r="DN975" s="156"/>
      <c r="DO975" s="156"/>
      <c r="DP975" s="156"/>
      <c r="DQ975" s="156"/>
      <c r="DR975" s="156"/>
      <c r="DS975" s="156"/>
      <c r="DT975" s="156"/>
      <c r="DU975" s="156"/>
      <c r="DV975" s="156"/>
      <c r="DW975" s="156"/>
      <c r="DX975" s="156"/>
      <c r="DY975" s="156"/>
      <c r="DZ975" s="156"/>
      <c r="EA975" s="156"/>
      <c r="EB975" s="156"/>
      <c r="EC975" s="156"/>
      <c r="ED975" s="156"/>
      <c r="EE975" s="156"/>
      <c r="EF975" s="156"/>
      <c r="EG975" s="156"/>
      <c r="EH975" s="156"/>
      <c r="EI975" s="156"/>
      <c r="EJ975" s="156"/>
      <c r="EK975" s="156"/>
      <c r="EL975" s="156"/>
      <c r="EM975" s="156"/>
    </row>
    <row r="976" spans="20:143" ht="10.5" customHeight="1">
      <c r="T976" s="156"/>
      <c r="AZ976" s="156"/>
      <c r="BA976" s="156"/>
      <c r="BB976" s="156"/>
      <c r="BC976" s="156"/>
      <c r="BD976" s="156"/>
      <c r="BE976" s="156"/>
      <c r="BF976" s="156"/>
      <c r="BG976" s="156"/>
      <c r="BH976" s="156"/>
      <c r="BI976" s="156"/>
      <c r="BJ976" s="156"/>
      <c r="BK976" s="156"/>
      <c r="BL976" s="156"/>
      <c r="BM976" s="156"/>
      <c r="BN976" s="156"/>
      <c r="BO976" s="156"/>
      <c r="BP976" s="156"/>
      <c r="BQ976" s="156"/>
      <c r="BR976" s="156"/>
      <c r="BS976" s="156"/>
      <c r="BT976" s="156"/>
      <c r="BU976" s="156"/>
      <c r="BV976" s="156"/>
      <c r="BW976" s="156"/>
      <c r="BX976" s="156"/>
      <c r="BY976" s="156"/>
      <c r="BZ976" s="156"/>
      <c r="CA976" s="156"/>
      <c r="CB976" s="156"/>
      <c r="CC976" s="156"/>
      <c r="CD976" s="156"/>
      <c r="CE976" s="156"/>
      <c r="CF976" s="156"/>
      <c r="CG976" s="156"/>
      <c r="CH976" s="156"/>
      <c r="CI976" s="156"/>
      <c r="CJ976" s="156"/>
      <c r="CK976" s="156"/>
      <c r="CL976" s="156"/>
      <c r="CM976" s="156"/>
      <c r="CN976" s="156"/>
      <c r="CO976" s="156"/>
      <c r="CP976" s="156"/>
      <c r="CQ976" s="156"/>
      <c r="CR976" s="156"/>
      <c r="CS976" s="156"/>
      <c r="CT976" s="156"/>
      <c r="CU976" s="156"/>
      <c r="CV976" s="156"/>
      <c r="CW976" s="156"/>
      <c r="CX976" s="156"/>
      <c r="CY976" s="156"/>
      <c r="CZ976" s="156"/>
      <c r="DA976" s="156"/>
      <c r="DB976" s="156"/>
      <c r="DC976" s="156"/>
      <c r="DD976" s="156"/>
      <c r="DE976" s="156"/>
      <c r="DF976" s="156"/>
      <c r="DG976" s="156"/>
      <c r="DH976" s="156"/>
      <c r="DI976" s="156"/>
      <c r="DJ976" s="156"/>
      <c r="DK976" s="156"/>
      <c r="DL976" s="156"/>
      <c r="DM976" s="156"/>
      <c r="DN976" s="156"/>
      <c r="DO976" s="156"/>
      <c r="DP976" s="156"/>
      <c r="DQ976" s="156"/>
      <c r="DR976" s="156"/>
      <c r="DS976" s="156"/>
      <c r="DT976" s="156"/>
      <c r="DU976" s="156"/>
      <c r="DV976" s="156"/>
      <c r="DW976" s="156"/>
      <c r="DX976" s="156"/>
      <c r="DY976" s="156"/>
      <c r="DZ976" s="156"/>
      <c r="EA976" s="156"/>
      <c r="EB976" s="156"/>
      <c r="EC976" s="156"/>
      <c r="ED976" s="156"/>
      <c r="EE976" s="156"/>
      <c r="EF976" s="156"/>
      <c r="EG976" s="156"/>
      <c r="EH976" s="156"/>
      <c r="EI976" s="156"/>
      <c r="EJ976" s="156"/>
      <c r="EK976" s="156"/>
      <c r="EL976" s="156"/>
      <c r="EM976" s="156"/>
    </row>
    <row r="977" spans="20:143" ht="10.5" customHeight="1">
      <c r="T977" s="156"/>
      <c r="AZ977" s="156"/>
      <c r="BA977" s="156"/>
      <c r="BB977" s="156"/>
      <c r="BC977" s="156"/>
      <c r="BD977" s="156"/>
      <c r="BE977" s="156"/>
      <c r="BF977" s="156"/>
      <c r="BG977" s="156"/>
      <c r="BH977" s="156"/>
      <c r="BI977" s="156"/>
      <c r="BJ977" s="156"/>
      <c r="BK977" s="156"/>
      <c r="BL977" s="156"/>
      <c r="BM977" s="156"/>
      <c r="BN977" s="156"/>
      <c r="BO977" s="156"/>
      <c r="BP977" s="156"/>
      <c r="BQ977" s="156"/>
      <c r="BR977" s="156"/>
      <c r="BS977" s="156"/>
      <c r="BT977" s="156"/>
      <c r="BU977" s="156"/>
      <c r="BV977" s="156"/>
      <c r="BW977" s="156"/>
      <c r="BX977" s="156"/>
      <c r="BY977" s="156"/>
      <c r="BZ977" s="156"/>
      <c r="CA977" s="156"/>
      <c r="CB977" s="156"/>
      <c r="CC977" s="156"/>
      <c r="CD977" s="156"/>
      <c r="CE977" s="156"/>
      <c r="CF977" s="156"/>
      <c r="CG977" s="156"/>
      <c r="CH977" s="156"/>
      <c r="CI977" s="156"/>
      <c r="CJ977" s="156"/>
      <c r="CK977" s="156"/>
      <c r="CL977" s="156"/>
      <c r="CM977" s="156"/>
      <c r="CN977" s="156"/>
      <c r="CO977" s="156"/>
      <c r="CP977" s="156"/>
      <c r="CQ977" s="156"/>
      <c r="CR977" s="156"/>
      <c r="CS977" s="156"/>
      <c r="CT977" s="156"/>
      <c r="CU977" s="156"/>
      <c r="CV977" s="156"/>
      <c r="CW977" s="156"/>
      <c r="CX977" s="156"/>
      <c r="CY977" s="156"/>
      <c r="CZ977" s="156"/>
      <c r="DA977" s="156"/>
      <c r="DB977" s="156"/>
      <c r="DC977" s="156"/>
      <c r="DD977" s="156"/>
      <c r="DE977" s="156"/>
      <c r="DF977" s="156"/>
      <c r="DG977" s="156"/>
      <c r="DH977" s="156"/>
      <c r="DI977" s="156"/>
      <c r="DJ977" s="156"/>
      <c r="DK977" s="156"/>
      <c r="DL977" s="156"/>
      <c r="DM977" s="156"/>
      <c r="DN977" s="156"/>
      <c r="DO977" s="156"/>
      <c r="DP977" s="156"/>
      <c r="DQ977" s="156"/>
      <c r="DR977" s="156"/>
      <c r="DS977" s="156"/>
      <c r="DT977" s="156"/>
      <c r="DU977" s="156"/>
      <c r="DV977" s="156"/>
      <c r="DW977" s="156"/>
      <c r="DX977" s="156"/>
      <c r="DY977" s="156"/>
      <c r="DZ977" s="156"/>
      <c r="EA977" s="156"/>
      <c r="EB977" s="156"/>
      <c r="EC977" s="156"/>
      <c r="ED977" s="156"/>
      <c r="EE977" s="156"/>
      <c r="EF977" s="156"/>
      <c r="EG977" s="156"/>
      <c r="EH977" s="156"/>
      <c r="EI977" s="156"/>
      <c r="EJ977" s="156"/>
      <c r="EK977" s="156"/>
      <c r="EL977" s="156"/>
      <c r="EM977" s="156"/>
    </row>
    <row r="978" spans="20:143" ht="10.5" customHeight="1">
      <c r="T978" s="156"/>
      <c r="AZ978" s="156"/>
      <c r="BA978" s="156"/>
      <c r="BB978" s="156"/>
      <c r="BC978" s="156"/>
      <c r="BD978" s="156"/>
      <c r="BE978" s="156"/>
      <c r="BF978" s="156"/>
      <c r="BG978" s="156"/>
      <c r="BH978" s="156"/>
      <c r="BI978" s="156"/>
      <c r="BJ978" s="156"/>
      <c r="BK978" s="156"/>
      <c r="BL978" s="156"/>
      <c r="BM978" s="156"/>
      <c r="BN978" s="156"/>
      <c r="BO978" s="156"/>
      <c r="BP978" s="156"/>
      <c r="BQ978" s="156"/>
      <c r="BR978" s="156"/>
      <c r="BS978" s="156"/>
      <c r="BT978" s="156"/>
      <c r="BU978" s="156"/>
      <c r="BV978" s="156"/>
      <c r="BW978" s="156"/>
      <c r="BX978" s="156"/>
      <c r="BY978" s="156"/>
      <c r="BZ978" s="156"/>
      <c r="CA978" s="156"/>
      <c r="CB978" s="156"/>
      <c r="CC978" s="156"/>
      <c r="CD978" s="156"/>
      <c r="CE978" s="156"/>
      <c r="CF978" s="156"/>
      <c r="CG978" s="156"/>
      <c r="CH978" s="156"/>
      <c r="CI978" s="156"/>
      <c r="CJ978" s="156"/>
      <c r="CK978" s="156"/>
      <c r="CL978" s="156"/>
      <c r="CM978" s="156"/>
      <c r="CN978" s="156"/>
      <c r="CO978" s="156"/>
      <c r="CP978" s="156"/>
      <c r="CQ978" s="156"/>
      <c r="CR978" s="156"/>
      <c r="CS978" s="156"/>
      <c r="CT978" s="156"/>
      <c r="CU978" s="156"/>
      <c r="CV978" s="156"/>
      <c r="CW978" s="156"/>
      <c r="CX978" s="156"/>
      <c r="CY978" s="156"/>
      <c r="CZ978" s="156"/>
      <c r="DA978" s="156"/>
      <c r="DB978" s="156"/>
      <c r="DC978" s="156"/>
      <c r="DD978" s="156"/>
      <c r="DE978" s="156"/>
      <c r="DF978" s="156"/>
      <c r="DG978" s="156"/>
      <c r="DH978" s="156"/>
      <c r="DI978" s="156"/>
      <c r="DJ978" s="156"/>
      <c r="DK978" s="156"/>
      <c r="DL978" s="156"/>
      <c r="DM978" s="156"/>
      <c r="DN978" s="156"/>
      <c r="DO978" s="156"/>
      <c r="DP978" s="156"/>
      <c r="DQ978" s="156"/>
      <c r="DR978" s="156"/>
      <c r="DS978" s="156"/>
      <c r="DT978" s="156"/>
      <c r="DU978" s="156"/>
      <c r="DV978" s="156"/>
      <c r="DW978" s="156"/>
      <c r="DX978" s="156"/>
      <c r="DY978" s="156"/>
      <c r="DZ978" s="156"/>
      <c r="EA978" s="156"/>
      <c r="EB978" s="156"/>
      <c r="EC978" s="156"/>
      <c r="ED978" s="156"/>
      <c r="EE978" s="156"/>
      <c r="EF978" s="156"/>
      <c r="EG978" s="156"/>
      <c r="EH978" s="156"/>
      <c r="EI978" s="156"/>
      <c r="EJ978" s="156"/>
      <c r="EK978" s="156"/>
      <c r="EL978" s="156"/>
      <c r="EM978" s="156"/>
    </row>
    <row r="979" spans="20:143" ht="10.5" customHeight="1">
      <c r="T979" s="156"/>
      <c r="AZ979" s="156"/>
      <c r="BA979" s="156"/>
      <c r="BB979" s="156"/>
      <c r="BC979" s="156"/>
      <c r="BD979" s="156"/>
      <c r="BE979" s="156"/>
      <c r="BF979" s="156"/>
      <c r="BG979" s="156"/>
      <c r="BH979" s="156"/>
      <c r="BI979" s="156"/>
      <c r="BJ979" s="156"/>
      <c r="BK979" s="156"/>
      <c r="BL979" s="156"/>
      <c r="BM979" s="156"/>
      <c r="BN979" s="156"/>
      <c r="BO979" s="156"/>
      <c r="BP979" s="156"/>
      <c r="BQ979" s="156"/>
      <c r="BR979" s="156"/>
      <c r="BS979" s="156"/>
      <c r="BT979" s="156"/>
      <c r="BU979" s="156"/>
      <c r="BV979" s="156"/>
      <c r="BW979" s="156"/>
      <c r="BX979" s="156"/>
      <c r="BY979" s="156"/>
      <c r="BZ979" s="156"/>
      <c r="CA979" s="156"/>
      <c r="CB979" s="156"/>
      <c r="CC979" s="156"/>
      <c r="CD979" s="156"/>
      <c r="CE979" s="156"/>
      <c r="CF979" s="156"/>
      <c r="CG979" s="156"/>
      <c r="CH979" s="156"/>
      <c r="CI979" s="156"/>
      <c r="CJ979" s="156"/>
      <c r="CK979" s="156"/>
      <c r="CL979" s="156"/>
      <c r="CM979" s="156"/>
      <c r="CN979" s="156"/>
      <c r="CO979" s="156"/>
      <c r="CP979" s="156"/>
      <c r="CQ979" s="156"/>
      <c r="CR979" s="156"/>
      <c r="CS979" s="156"/>
      <c r="CT979" s="156"/>
      <c r="CU979" s="156"/>
      <c r="CV979" s="156"/>
      <c r="CW979" s="156"/>
      <c r="CX979" s="156"/>
      <c r="CY979" s="156"/>
      <c r="CZ979" s="156"/>
      <c r="DA979" s="156"/>
      <c r="DB979" s="156"/>
      <c r="DC979" s="156"/>
      <c r="DD979" s="156"/>
      <c r="DE979" s="156"/>
      <c r="DF979" s="156"/>
      <c r="DG979" s="156"/>
      <c r="DH979" s="156"/>
      <c r="DI979" s="156"/>
      <c r="DJ979" s="156"/>
      <c r="DK979" s="156"/>
      <c r="DL979" s="156"/>
      <c r="DM979" s="156"/>
      <c r="DN979" s="156"/>
      <c r="DO979" s="156"/>
      <c r="DP979" s="156"/>
      <c r="DQ979" s="156"/>
      <c r="DR979" s="156"/>
      <c r="DS979" s="156"/>
      <c r="DT979" s="156"/>
      <c r="DU979" s="156"/>
      <c r="DV979" s="156"/>
      <c r="DW979" s="156"/>
      <c r="DX979" s="156"/>
      <c r="DY979" s="156"/>
      <c r="DZ979" s="156"/>
      <c r="EA979" s="156"/>
      <c r="EB979" s="156"/>
      <c r="EC979" s="156"/>
      <c r="ED979" s="156"/>
      <c r="EE979" s="156"/>
      <c r="EF979" s="156"/>
      <c r="EG979" s="156"/>
      <c r="EH979" s="156"/>
      <c r="EI979" s="156"/>
      <c r="EJ979" s="156"/>
      <c r="EK979" s="156"/>
      <c r="EL979" s="156"/>
      <c r="EM979" s="156"/>
    </row>
    <row r="980" spans="20:143" ht="10.5" customHeight="1">
      <c r="T980" s="156"/>
      <c r="AZ980" s="156"/>
      <c r="BA980" s="156"/>
      <c r="BB980" s="156"/>
      <c r="BC980" s="156"/>
      <c r="BD980" s="156"/>
      <c r="BE980" s="156"/>
      <c r="BF980" s="156"/>
      <c r="BG980" s="156"/>
      <c r="BH980" s="156"/>
      <c r="BI980" s="156"/>
      <c r="BJ980" s="156"/>
      <c r="BK980" s="156"/>
      <c r="BL980" s="156"/>
      <c r="BM980" s="156"/>
      <c r="BN980" s="156"/>
      <c r="BO980" s="156"/>
      <c r="BP980" s="156"/>
      <c r="BQ980" s="156"/>
      <c r="BR980" s="156"/>
      <c r="BS980" s="156"/>
      <c r="BT980" s="156"/>
      <c r="BU980" s="156"/>
      <c r="BV980" s="156"/>
      <c r="BW980" s="156"/>
      <c r="BX980" s="156"/>
      <c r="BY980" s="156"/>
      <c r="BZ980" s="156"/>
      <c r="CA980" s="156"/>
      <c r="CB980" s="156"/>
      <c r="CC980" s="156"/>
      <c r="CD980" s="156"/>
      <c r="CE980" s="156"/>
      <c r="CF980" s="156"/>
      <c r="CG980" s="156"/>
      <c r="CH980" s="156"/>
      <c r="CI980" s="156"/>
      <c r="CJ980" s="156"/>
      <c r="CK980" s="156"/>
      <c r="CL980" s="156"/>
      <c r="CM980" s="156"/>
      <c r="CN980" s="156"/>
      <c r="CO980" s="156"/>
      <c r="CP980" s="156"/>
      <c r="CQ980" s="156"/>
      <c r="CR980" s="156"/>
      <c r="CS980" s="156"/>
      <c r="CT980" s="156"/>
      <c r="CU980" s="156"/>
      <c r="CV980" s="156"/>
      <c r="CW980" s="156"/>
      <c r="CX980" s="156"/>
      <c r="CY980" s="156"/>
      <c r="CZ980" s="156"/>
      <c r="DA980" s="156"/>
      <c r="DB980" s="156"/>
      <c r="DC980" s="156"/>
      <c r="DD980" s="156"/>
      <c r="DE980" s="156"/>
      <c r="DF980" s="156"/>
      <c r="DG980" s="156"/>
      <c r="DH980" s="156"/>
      <c r="DI980" s="156"/>
      <c r="DJ980" s="156"/>
      <c r="DK980" s="156"/>
      <c r="DL980" s="156"/>
      <c r="DM980" s="156"/>
      <c r="DN980" s="156"/>
      <c r="DO980" s="156"/>
      <c r="DP980" s="156"/>
      <c r="DQ980" s="156"/>
      <c r="DR980" s="156"/>
      <c r="DS980" s="156"/>
      <c r="DT980" s="156"/>
      <c r="DU980" s="156"/>
      <c r="DV980" s="156"/>
      <c r="DW980" s="156"/>
      <c r="DX980" s="156"/>
      <c r="DY980" s="156"/>
      <c r="DZ980" s="156"/>
      <c r="EA980" s="156"/>
      <c r="EB980" s="156"/>
      <c r="EC980" s="156"/>
      <c r="ED980" s="156"/>
      <c r="EE980" s="156"/>
      <c r="EF980" s="156"/>
      <c r="EG980" s="156"/>
      <c r="EH980" s="156"/>
      <c r="EI980" s="156"/>
      <c r="EJ980" s="156"/>
      <c r="EK980" s="156"/>
      <c r="EL980" s="156"/>
      <c r="EM980" s="156"/>
    </row>
    <row r="981" spans="20:143" ht="10.5" customHeight="1">
      <c r="T981" s="156"/>
      <c r="AZ981" s="156"/>
      <c r="BA981" s="156"/>
      <c r="BB981" s="156"/>
      <c r="BC981" s="156"/>
      <c r="BD981" s="156"/>
      <c r="BE981" s="156"/>
      <c r="BF981" s="156"/>
      <c r="BG981" s="156"/>
      <c r="BH981" s="156"/>
      <c r="BI981" s="156"/>
      <c r="BJ981" s="156"/>
      <c r="BK981" s="156"/>
      <c r="BL981" s="156"/>
      <c r="BM981" s="156"/>
      <c r="BN981" s="156"/>
      <c r="BO981" s="156"/>
      <c r="BP981" s="156"/>
      <c r="BQ981" s="156"/>
      <c r="BR981" s="156"/>
      <c r="BS981" s="156"/>
      <c r="BT981" s="156"/>
      <c r="BU981" s="156"/>
      <c r="BV981" s="156"/>
      <c r="BW981" s="156"/>
      <c r="BX981" s="156"/>
      <c r="BY981" s="156"/>
      <c r="BZ981" s="156"/>
      <c r="CA981" s="156"/>
      <c r="CB981" s="156"/>
      <c r="CC981" s="156"/>
      <c r="CD981" s="156"/>
      <c r="CE981" s="156"/>
      <c r="CF981" s="156"/>
      <c r="CG981" s="156"/>
      <c r="CH981" s="156"/>
      <c r="CI981" s="156"/>
      <c r="CJ981" s="156"/>
      <c r="CK981" s="156"/>
      <c r="CL981" s="156"/>
      <c r="CM981" s="156"/>
      <c r="CN981" s="156"/>
      <c r="CO981" s="156"/>
      <c r="CP981" s="156"/>
      <c r="CQ981" s="156"/>
      <c r="CR981" s="156"/>
      <c r="CS981" s="156"/>
      <c r="CT981" s="156"/>
      <c r="CU981" s="156"/>
      <c r="CV981" s="156"/>
      <c r="CW981" s="156"/>
      <c r="CX981" s="156"/>
      <c r="CY981" s="156"/>
      <c r="CZ981" s="156"/>
      <c r="DA981" s="156"/>
      <c r="DB981" s="156"/>
      <c r="DC981" s="156"/>
      <c r="DD981" s="156"/>
      <c r="DE981" s="156"/>
      <c r="DF981" s="156"/>
      <c r="DG981" s="156"/>
      <c r="DH981" s="156"/>
      <c r="DI981" s="156"/>
      <c r="DJ981" s="156"/>
      <c r="DK981" s="156"/>
      <c r="DL981" s="156"/>
      <c r="DM981" s="156"/>
      <c r="DN981" s="156"/>
      <c r="DO981" s="156"/>
      <c r="DP981" s="156"/>
      <c r="DQ981" s="156"/>
      <c r="DR981" s="156"/>
      <c r="DS981" s="156"/>
      <c r="DT981" s="156"/>
      <c r="DU981" s="156"/>
      <c r="DV981" s="156"/>
      <c r="DW981" s="156"/>
      <c r="DX981" s="156"/>
      <c r="DY981" s="156"/>
      <c r="DZ981" s="156"/>
      <c r="EA981" s="156"/>
      <c r="EB981" s="156"/>
      <c r="EC981" s="156"/>
      <c r="ED981" s="156"/>
      <c r="EE981" s="156"/>
      <c r="EF981" s="156"/>
      <c r="EG981" s="156"/>
      <c r="EH981" s="156"/>
      <c r="EI981" s="156"/>
      <c r="EJ981" s="156"/>
      <c r="EK981" s="156"/>
      <c r="EL981" s="156"/>
      <c r="EM981" s="156"/>
    </row>
    <row r="982" spans="20:143" ht="10.5" customHeight="1">
      <c r="T982" s="156"/>
      <c r="AZ982" s="156"/>
      <c r="BA982" s="156"/>
      <c r="BB982" s="156"/>
      <c r="BC982" s="156"/>
      <c r="BD982" s="156"/>
      <c r="BE982" s="156"/>
      <c r="BF982" s="156"/>
      <c r="BG982" s="156"/>
      <c r="BH982" s="156"/>
      <c r="BI982" s="156"/>
      <c r="BJ982" s="156"/>
      <c r="BK982" s="156"/>
      <c r="BL982" s="156"/>
      <c r="BM982" s="156"/>
      <c r="BN982" s="156"/>
      <c r="BO982" s="156"/>
      <c r="BP982" s="156"/>
      <c r="BQ982" s="156"/>
      <c r="BR982" s="156"/>
      <c r="BS982" s="156"/>
      <c r="BT982" s="156"/>
      <c r="BU982" s="156"/>
      <c r="BV982" s="156"/>
      <c r="BW982" s="156"/>
      <c r="BX982" s="156"/>
      <c r="BY982" s="156"/>
      <c r="BZ982" s="156"/>
      <c r="CA982" s="156"/>
      <c r="CB982" s="156"/>
      <c r="CC982" s="156"/>
      <c r="CD982" s="156"/>
      <c r="CE982" s="156"/>
      <c r="CF982" s="156"/>
      <c r="CG982" s="156"/>
      <c r="CH982" s="156"/>
      <c r="CI982" s="156"/>
      <c r="CJ982" s="156"/>
      <c r="CK982" s="156"/>
      <c r="CL982" s="156"/>
      <c r="CM982" s="156"/>
      <c r="CN982" s="156"/>
      <c r="CO982" s="156"/>
      <c r="CP982" s="156"/>
      <c r="CQ982" s="156"/>
      <c r="CR982" s="156"/>
      <c r="CS982" s="156"/>
      <c r="CT982" s="156"/>
      <c r="CU982" s="156"/>
      <c r="CV982" s="156"/>
      <c r="CW982" s="156"/>
      <c r="CX982" s="156"/>
      <c r="CY982" s="156"/>
      <c r="CZ982" s="156"/>
      <c r="DA982" s="156"/>
      <c r="DB982" s="156"/>
      <c r="DC982" s="156"/>
      <c r="DD982" s="156"/>
      <c r="DE982" s="156"/>
      <c r="DF982" s="156"/>
      <c r="DG982" s="156"/>
      <c r="DH982" s="156"/>
      <c r="DI982" s="156"/>
      <c r="DJ982" s="156"/>
      <c r="DK982" s="156"/>
      <c r="DL982" s="156"/>
      <c r="DM982" s="156"/>
      <c r="DN982" s="156"/>
      <c r="DO982" s="156"/>
      <c r="DP982" s="156"/>
      <c r="DQ982" s="156"/>
      <c r="DR982" s="156"/>
      <c r="DS982" s="156"/>
      <c r="DT982" s="156"/>
      <c r="DU982" s="156"/>
      <c r="DV982" s="156"/>
      <c r="DW982" s="156"/>
      <c r="DX982" s="156"/>
      <c r="DY982" s="156"/>
      <c r="DZ982" s="156"/>
      <c r="EA982" s="156"/>
      <c r="EB982" s="156"/>
      <c r="EC982" s="156"/>
      <c r="ED982" s="156"/>
      <c r="EE982" s="156"/>
      <c r="EF982" s="156"/>
      <c r="EG982" s="156"/>
      <c r="EH982" s="156"/>
      <c r="EI982" s="156"/>
      <c r="EJ982" s="156"/>
      <c r="EK982" s="156"/>
      <c r="EL982" s="156"/>
      <c r="EM982" s="156"/>
    </row>
    <row r="983" spans="20:143" ht="10.5" customHeight="1">
      <c r="T983" s="156"/>
      <c r="AZ983" s="156"/>
      <c r="BA983" s="156"/>
      <c r="BB983" s="156"/>
      <c r="BC983" s="156"/>
      <c r="BD983" s="156"/>
      <c r="BE983" s="156"/>
      <c r="BF983" s="156"/>
      <c r="BG983" s="156"/>
      <c r="BH983" s="156"/>
      <c r="BI983" s="156"/>
      <c r="BJ983" s="156"/>
      <c r="BK983" s="156"/>
      <c r="BL983" s="156"/>
      <c r="BM983" s="156"/>
      <c r="BN983" s="156"/>
      <c r="BO983" s="156"/>
      <c r="BP983" s="156"/>
      <c r="BQ983" s="156"/>
      <c r="BR983" s="156"/>
      <c r="BS983" s="156"/>
      <c r="BT983" s="156"/>
      <c r="BU983" s="156"/>
      <c r="BV983" s="156"/>
      <c r="BW983" s="156"/>
      <c r="BX983" s="156"/>
      <c r="BY983" s="156"/>
      <c r="BZ983" s="156"/>
      <c r="CA983" s="156"/>
      <c r="CB983" s="156"/>
      <c r="CC983" s="156"/>
      <c r="CD983" s="156"/>
      <c r="CE983" s="156"/>
      <c r="CF983" s="156"/>
      <c r="CG983" s="156"/>
      <c r="CH983" s="156"/>
      <c r="CI983" s="156"/>
      <c r="CJ983" s="156"/>
      <c r="CK983" s="156"/>
      <c r="CL983" s="156"/>
      <c r="CM983" s="156"/>
      <c r="CN983" s="156"/>
      <c r="CO983" s="156"/>
      <c r="CP983" s="156"/>
      <c r="CQ983" s="156"/>
      <c r="CR983" s="156"/>
      <c r="CS983" s="156"/>
      <c r="CT983" s="156"/>
      <c r="CU983" s="156"/>
      <c r="CV983" s="156"/>
      <c r="CW983" s="156"/>
      <c r="CX983" s="156"/>
      <c r="CY983" s="156"/>
      <c r="CZ983" s="156"/>
      <c r="DA983" s="156"/>
      <c r="DB983" s="156"/>
      <c r="DC983" s="156"/>
      <c r="DD983" s="156"/>
      <c r="DE983" s="156"/>
      <c r="DF983" s="156"/>
      <c r="DG983" s="156"/>
      <c r="DH983" s="156"/>
      <c r="DI983" s="156"/>
      <c r="DJ983" s="156"/>
      <c r="DK983" s="156"/>
      <c r="DL983" s="156"/>
      <c r="DM983" s="156"/>
      <c r="DN983" s="156"/>
      <c r="DO983" s="156"/>
      <c r="DP983" s="156"/>
      <c r="DQ983" s="156"/>
      <c r="DR983" s="156"/>
      <c r="DS983" s="156"/>
      <c r="DT983" s="156"/>
      <c r="DU983" s="156"/>
      <c r="DV983" s="156"/>
      <c r="DW983" s="156"/>
      <c r="DX983" s="156"/>
      <c r="DY983" s="156"/>
      <c r="DZ983" s="156"/>
      <c r="EA983" s="156"/>
      <c r="EB983" s="156"/>
      <c r="EC983" s="156"/>
      <c r="ED983" s="156"/>
      <c r="EE983" s="156"/>
      <c r="EF983" s="156"/>
      <c r="EG983" s="156"/>
      <c r="EH983" s="156"/>
      <c r="EI983" s="156"/>
      <c r="EJ983" s="156"/>
      <c r="EK983" s="156"/>
      <c r="EL983" s="156"/>
      <c r="EM983" s="156"/>
    </row>
    <row r="984" spans="20:143" ht="10.5" customHeight="1">
      <c r="T984" s="156"/>
      <c r="AZ984" s="156"/>
      <c r="BA984" s="156"/>
      <c r="BB984" s="156"/>
      <c r="BC984" s="156"/>
      <c r="BD984" s="156"/>
      <c r="BE984" s="156"/>
      <c r="BF984" s="156"/>
      <c r="BG984" s="156"/>
      <c r="BH984" s="156"/>
      <c r="BI984" s="156"/>
      <c r="BJ984" s="156"/>
      <c r="BK984" s="156"/>
      <c r="BL984" s="156"/>
      <c r="BM984" s="156"/>
      <c r="BN984" s="156"/>
      <c r="BO984" s="156"/>
      <c r="BP984" s="156"/>
      <c r="BQ984" s="156"/>
      <c r="BR984" s="156"/>
      <c r="BS984" s="156"/>
      <c r="BT984" s="156"/>
      <c r="BU984" s="156"/>
      <c r="BV984" s="156"/>
      <c r="BW984" s="156"/>
      <c r="BX984" s="156"/>
      <c r="BY984" s="156"/>
      <c r="BZ984" s="156"/>
      <c r="CA984" s="156"/>
      <c r="CB984" s="156"/>
      <c r="CC984" s="156"/>
      <c r="CD984" s="156"/>
      <c r="CE984" s="156"/>
      <c r="CF984" s="156"/>
      <c r="CG984" s="156"/>
      <c r="CH984" s="156"/>
      <c r="CI984" s="156"/>
      <c r="CJ984" s="156"/>
      <c r="CK984" s="156"/>
      <c r="CL984" s="156"/>
      <c r="CM984" s="156"/>
      <c r="CN984" s="156"/>
      <c r="CO984" s="156"/>
      <c r="CP984" s="156"/>
      <c r="CQ984" s="156"/>
      <c r="CR984" s="156"/>
      <c r="CS984" s="156"/>
      <c r="CT984" s="156"/>
      <c r="CU984" s="156"/>
      <c r="CV984" s="156"/>
      <c r="CW984" s="156"/>
      <c r="CX984" s="156"/>
      <c r="CY984" s="156"/>
      <c r="CZ984" s="156"/>
      <c r="DA984" s="156"/>
      <c r="DB984" s="156"/>
      <c r="DC984" s="156"/>
      <c r="DD984" s="156"/>
      <c r="DE984" s="156"/>
      <c r="DF984" s="156"/>
      <c r="DG984" s="156"/>
      <c r="DH984" s="156"/>
      <c r="DI984" s="156"/>
      <c r="DJ984" s="156"/>
      <c r="DK984" s="156"/>
      <c r="DL984" s="156"/>
      <c r="DM984" s="156"/>
      <c r="DN984" s="156"/>
      <c r="DO984" s="156"/>
      <c r="DP984" s="156"/>
      <c r="DQ984" s="156"/>
      <c r="DR984" s="156"/>
      <c r="DS984" s="156"/>
      <c r="DT984" s="156"/>
      <c r="DU984" s="156"/>
      <c r="DV984" s="156"/>
      <c r="DW984" s="156"/>
      <c r="DX984" s="156"/>
      <c r="DY984" s="156"/>
      <c r="DZ984" s="156"/>
      <c r="EA984" s="156"/>
      <c r="EB984" s="156"/>
      <c r="EC984" s="156"/>
      <c r="ED984" s="156"/>
      <c r="EE984" s="156"/>
      <c r="EF984" s="156"/>
      <c r="EG984" s="156"/>
      <c r="EH984" s="156"/>
      <c r="EI984" s="156"/>
      <c r="EJ984" s="156"/>
      <c r="EK984" s="156"/>
      <c r="EL984" s="156"/>
      <c r="EM984" s="156"/>
    </row>
    <row r="985" spans="20:143" ht="10.5" customHeight="1">
      <c r="T985" s="156"/>
      <c r="AZ985" s="156"/>
      <c r="BA985" s="156"/>
      <c r="BB985" s="156"/>
      <c r="BC985" s="156"/>
      <c r="BD985" s="156"/>
      <c r="BE985" s="156"/>
      <c r="BF985" s="156"/>
      <c r="BG985" s="156"/>
      <c r="BH985" s="156"/>
      <c r="BI985" s="156"/>
      <c r="BJ985" s="156"/>
      <c r="BK985" s="156"/>
      <c r="BL985" s="156"/>
      <c r="BM985" s="156"/>
      <c r="BN985" s="156"/>
      <c r="BO985" s="156"/>
      <c r="BP985" s="156"/>
      <c r="BQ985" s="156"/>
      <c r="BR985" s="156"/>
      <c r="BS985" s="156"/>
      <c r="BT985" s="156"/>
      <c r="BU985" s="156"/>
      <c r="BV985" s="156"/>
      <c r="BW985" s="156"/>
      <c r="BX985" s="156"/>
      <c r="BY985" s="156"/>
      <c r="BZ985" s="156"/>
      <c r="CA985" s="156"/>
      <c r="CB985" s="156"/>
      <c r="CC985" s="156"/>
      <c r="CD985" s="156"/>
      <c r="CE985" s="156"/>
      <c r="CF985" s="156"/>
      <c r="CG985" s="156"/>
      <c r="CH985" s="156"/>
      <c r="CI985" s="156"/>
      <c r="CJ985" s="156"/>
      <c r="CK985" s="156"/>
      <c r="CL985" s="156"/>
      <c r="CM985" s="156"/>
      <c r="CN985" s="156"/>
      <c r="CO985" s="156"/>
      <c r="CP985" s="156"/>
      <c r="CQ985" s="156"/>
      <c r="CR985" s="156"/>
      <c r="CS985" s="156"/>
      <c r="CT985" s="156"/>
      <c r="CU985" s="156"/>
      <c r="CV985" s="156"/>
      <c r="CW985" s="156"/>
      <c r="CX985" s="156"/>
      <c r="CY985" s="156"/>
      <c r="CZ985" s="156"/>
      <c r="DA985" s="156"/>
      <c r="DB985" s="156"/>
      <c r="DC985" s="156"/>
      <c r="DD985" s="156"/>
      <c r="DE985" s="156"/>
      <c r="DF985" s="156"/>
      <c r="DG985" s="156"/>
      <c r="DH985" s="156"/>
      <c r="DI985" s="156"/>
      <c r="DJ985" s="156"/>
      <c r="DK985" s="156"/>
      <c r="DL985" s="156"/>
      <c r="DM985" s="156"/>
      <c r="DN985" s="156"/>
      <c r="DO985" s="156"/>
      <c r="DP985" s="156"/>
      <c r="DQ985" s="156"/>
      <c r="DR985" s="156"/>
      <c r="DS985" s="156"/>
      <c r="DT985" s="156"/>
      <c r="DU985" s="156"/>
      <c r="DV985" s="156"/>
      <c r="DW985" s="156"/>
      <c r="DX985" s="156"/>
      <c r="DY985" s="156"/>
      <c r="DZ985" s="156"/>
      <c r="EA985" s="156"/>
      <c r="EB985" s="156"/>
      <c r="EC985" s="156"/>
      <c r="ED985" s="156"/>
      <c r="EE985" s="156"/>
      <c r="EF985" s="156"/>
      <c r="EG985" s="156"/>
      <c r="EH985" s="156"/>
      <c r="EI985" s="156"/>
      <c r="EJ985" s="156"/>
      <c r="EK985" s="156"/>
      <c r="EL985" s="156"/>
      <c r="EM985" s="156"/>
    </row>
    <row r="986" spans="20:143" ht="10.5" customHeight="1">
      <c r="T986" s="156"/>
      <c r="AZ986" s="156"/>
      <c r="BA986" s="156"/>
      <c r="BB986" s="156"/>
      <c r="BC986" s="156"/>
      <c r="BD986" s="156"/>
      <c r="BE986" s="156"/>
      <c r="BF986" s="156"/>
      <c r="BG986" s="156"/>
      <c r="BH986" s="156"/>
      <c r="BI986" s="156"/>
      <c r="BJ986" s="156"/>
      <c r="BK986" s="156"/>
      <c r="BL986" s="156"/>
      <c r="BM986" s="156"/>
      <c r="BN986" s="156"/>
      <c r="BO986" s="156"/>
      <c r="BP986" s="156"/>
      <c r="BQ986" s="156"/>
      <c r="BR986" s="156"/>
      <c r="BS986" s="156"/>
      <c r="BT986" s="156"/>
      <c r="BU986" s="156"/>
      <c r="BV986" s="156"/>
      <c r="BW986" s="156"/>
      <c r="BX986" s="156"/>
      <c r="BY986" s="156"/>
      <c r="BZ986" s="156"/>
      <c r="CA986" s="156"/>
      <c r="CB986" s="156"/>
      <c r="CC986" s="156"/>
      <c r="CD986" s="156"/>
      <c r="CE986" s="156"/>
      <c r="CF986" s="156"/>
      <c r="CG986" s="156"/>
      <c r="CH986" s="156"/>
      <c r="CI986" s="156"/>
      <c r="CJ986" s="156"/>
      <c r="CK986" s="156"/>
      <c r="CL986" s="156"/>
      <c r="CM986" s="156"/>
      <c r="CN986" s="156"/>
      <c r="CO986" s="156"/>
      <c r="CP986" s="156"/>
      <c r="CQ986" s="156"/>
      <c r="CR986" s="156"/>
      <c r="CS986" s="156"/>
      <c r="CT986" s="156"/>
      <c r="CU986" s="156"/>
      <c r="CV986" s="156"/>
      <c r="CW986" s="156"/>
      <c r="CX986" s="156"/>
      <c r="CY986" s="156"/>
      <c r="CZ986" s="156"/>
      <c r="DA986" s="156"/>
      <c r="DB986" s="156"/>
      <c r="DC986" s="156"/>
      <c r="DD986" s="156"/>
      <c r="DE986" s="156"/>
      <c r="DF986" s="156"/>
      <c r="DG986" s="156"/>
      <c r="DH986" s="156"/>
      <c r="DI986" s="156"/>
      <c r="DJ986" s="156"/>
      <c r="DK986" s="156"/>
      <c r="DL986" s="156"/>
      <c r="DM986" s="156"/>
      <c r="DN986" s="156"/>
      <c r="DO986" s="156"/>
      <c r="DP986" s="156"/>
      <c r="DQ986" s="156"/>
      <c r="DR986" s="156"/>
      <c r="DS986" s="156"/>
      <c r="DT986" s="156"/>
      <c r="DU986" s="156"/>
      <c r="DV986" s="156"/>
      <c r="DW986" s="156"/>
      <c r="DX986" s="156"/>
      <c r="DY986" s="156"/>
      <c r="DZ986" s="156"/>
      <c r="EA986" s="156"/>
      <c r="EB986" s="156"/>
      <c r="EC986" s="156"/>
      <c r="ED986" s="156"/>
      <c r="EE986" s="156"/>
      <c r="EF986" s="156"/>
      <c r="EG986" s="156"/>
      <c r="EH986" s="156"/>
      <c r="EI986" s="156"/>
      <c r="EJ986" s="156"/>
      <c r="EK986" s="156"/>
      <c r="EL986" s="156"/>
      <c r="EM986" s="156"/>
    </row>
    <row r="987" spans="20:143" ht="10.5" customHeight="1">
      <c r="T987" s="156"/>
      <c r="AZ987" s="156"/>
      <c r="BA987" s="156"/>
      <c r="BB987" s="156"/>
      <c r="BC987" s="156"/>
      <c r="BD987" s="156"/>
      <c r="BE987" s="156"/>
      <c r="BF987" s="156"/>
      <c r="BG987" s="156"/>
      <c r="BH987" s="156"/>
      <c r="BI987" s="156"/>
      <c r="BJ987" s="156"/>
      <c r="BK987" s="156"/>
      <c r="BL987" s="156"/>
      <c r="BM987" s="156"/>
      <c r="BN987" s="156"/>
      <c r="BO987" s="156"/>
      <c r="BP987" s="156"/>
      <c r="BQ987" s="156"/>
      <c r="BR987" s="156"/>
      <c r="BS987" s="156"/>
      <c r="BT987" s="156"/>
      <c r="BU987" s="156"/>
      <c r="BV987" s="156"/>
      <c r="BW987" s="156"/>
      <c r="BX987" s="156"/>
      <c r="BY987" s="156"/>
      <c r="BZ987" s="156"/>
      <c r="CA987" s="156"/>
      <c r="CB987" s="156"/>
      <c r="CC987" s="156"/>
      <c r="CD987" s="156"/>
      <c r="CE987" s="156"/>
      <c r="CF987" s="156"/>
      <c r="CG987" s="156"/>
      <c r="CH987" s="156"/>
      <c r="CI987" s="156"/>
      <c r="CJ987" s="156"/>
      <c r="CK987" s="156"/>
      <c r="CL987" s="156"/>
      <c r="CM987" s="156"/>
      <c r="CN987" s="156"/>
      <c r="CO987" s="156"/>
      <c r="CP987" s="156"/>
      <c r="CQ987" s="156"/>
      <c r="CR987" s="156"/>
      <c r="CS987" s="156"/>
      <c r="CT987" s="156"/>
      <c r="CU987" s="156"/>
      <c r="CV987" s="156"/>
      <c r="CW987" s="156"/>
      <c r="CX987" s="156"/>
      <c r="CY987" s="156"/>
      <c r="CZ987" s="156"/>
      <c r="DA987" s="156"/>
      <c r="DB987" s="156"/>
      <c r="DC987" s="156"/>
      <c r="DD987" s="156"/>
      <c r="DE987" s="156"/>
      <c r="DF987" s="156"/>
      <c r="DG987" s="156"/>
      <c r="DH987" s="156"/>
      <c r="DI987" s="156"/>
      <c r="DJ987" s="156"/>
      <c r="DK987" s="156"/>
      <c r="DL987" s="156"/>
      <c r="DM987" s="156"/>
      <c r="DN987" s="156"/>
      <c r="DO987" s="156"/>
      <c r="DP987" s="156"/>
      <c r="DQ987" s="156"/>
      <c r="DR987" s="156"/>
      <c r="DS987" s="156"/>
      <c r="DT987" s="156"/>
      <c r="DU987" s="156"/>
      <c r="DV987" s="156"/>
      <c r="DW987" s="156"/>
      <c r="DX987" s="156"/>
      <c r="DY987" s="156"/>
      <c r="DZ987" s="156"/>
      <c r="EA987" s="156"/>
      <c r="EB987" s="156"/>
      <c r="EC987" s="156"/>
      <c r="ED987" s="156"/>
      <c r="EE987" s="156"/>
      <c r="EF987" s="156"/>
      <c r="EG987" s="156"/>
      <c r="EH987" s="156"/>
      <c r="EI987" s="156"/>
      <c r="EJ987" s="156"/>
      <c r="EK987" s="156"/>
      <c r="EL987" s="156"/>
      <c r="EM987" s="156"/>
    </row>
    <row r="988" spans="20:143" ht="10.5" customHeight="1">
      <c r="T988" s="156"/>
      <c r="AZ988" s="156"/>
      <c r="BA988" s="156"/>
      <c r="BB988" s="156"/>
      <c r="BC988" s="156"/>
      <c r="BD988" s="156"/>
      <c r="BE988" s="156"/>
      <c r="BF988" s="156"/>
      <c r="BG988" s="156"/>
      <c r="BH988" s="156"/>
      <c r="BI988" s="156"/>
      <c r="BJ988" s="156"/>
      <c r="BK988" s="156"/>
      <c r="BL988" s="156"/>
      <c r="BM988" s="156"/>
      <c r="BN988" s="156"/>
      <c r="BO988" s="156"/>
      <c r="BP988" s="156"/>
      <c r="BQ988" s="156"/>
      <c r="BR988" s="156"/>
      <c r="BS988" s="156"/>
      <c r="BT988" s="156"/>
      <c r="BU988" s="156"/>
      <c r="BV988" s="156"/>
      <c r="BW988" s="156"/>
      <c r="BX988" s="156"/>
      <c r="BY988" s="156"/>
      <c r="BZ988" s="156"/>
      <c r="CA988" s="156"/>
      <c r="CB988" s="156"/>
      <c r="CC988" s="156"/>
      <c r="CD988" s="156"/>
      <c r="CE988" s="156"/>
      <c r="CF988" s="156"/>
      <c r="CG988" s="156"/>
      <c r="CH988" s="156"/>
      <c r="CI988" s="156"/>
      <c r="CJ988" s="156"/>
      <c r="CK988" s="156"/>
      <c r="CL988" s="156"/>
      <c r="CM988" s="156"/>
      <c r="CN988" s="156"/>
      <c r="CO988" s="156"/>
      <c r="CP988" s="156"/>
      <c r="CQ988" s="156"/>
      <c r="CR988" s="156"/>
      <c r="CS988" s="156"/>
      <c r="CT988" s="156"/>
      <c r="CU988" s="156"/>
      <c r="CV988" s="156"/>
      <c r="CW988" s="156"/>
      <c r="CX988" s="156"/>
      <c r="CY988" s="156"/>
      <c r="CZ988" s="156"/>
      <c r="DA988" s="156"/>
      <c r="DB988" s="156"/>
      <c r="DC988" s="156"/>
      <c r="DD988" s="156"/>
      <c r="DE988" s="156"/>
      <c r="DF988" s="156"/>
      <c r="DG988" s="156"/>
      <c r="DH988" s="156"/>
      <c r="DI988" s="156"/>
      <c r="DJ988" s="156"/>
      <c r="DK988" s="156"/>
      <c r="DL988" s="156"/>
      <c r="DM988" s="156"/>
      <c r="DN988" s="156"/>
      <c r="DO988" s="156"/>
      <c r="DP988" s="156"/>
      <c r="DQ988" s="156"/>
      <c r="DR988" s="156"/>
      <c r="DS988" s="156"/>
      <c r="DT988" s="156"/>
      <c r="DU988" s="156"/>
      <c r="DV988" s="156"/>
      <c r="DW988" s="156"/>
      <c r="DX988" s="156"/>
      <c r="DY988" s="156"/>
      <c r="DZ988" s="156"/>
      <c r="EA988" s="156"/>
      <c r="EB988" s="156"/>
      <c r="EC988" s="156"/>
      <c r="ED988" s="156"/>
      <c r="EE988" s="156"/>
      <c r="EF988" s="156"/>
      <c r="EG988" s="156"/>
      <c r="EH988" s="156"/>
      <c r="EI988" s="156"/>
      <c r="EJ988" s="156"/>
      <c r="EK988" s="156"/>
      <c r="EL988" s="156"/>
      <c r="EM988" s="156"/>
    </row>
    <row r="989" spans="20:143" ht="10.5" customHeight="1">
      <c r="T989" s="156"/>
      <c r="AZ989" s="156"/>
      <c r="BA989" s="156"/>
      <c r="BB989" s="156"/>
      <c r="BC989" s="156"/>
      <c r="BD989" s="156"/>
      <c r="BE989" s="156"/>
      <c r="BF989" s="156"/>
      <c r="BG989" s="156"/>
      <c r="BH989" s="156"/>
      <c r="BI989" s="156"/>
      <c r="BJ989" s="156"/>
      <c r="BK989" s="156"/>
      <c r="BL989" s="156"/>
      <c r="BM989" s="156"/>
      <c r="BN989" s="156"/>
      <c r="BO989" s="156"/>
      <c r="BP989" s="156"/>
      <c r="BQ989" s="156"/>
      <c r="BR989" s="156"/>
      <c r="BS989" s="156"/>
      <c r="BT989" s="156"/>
      <c r="BU989" s="156"/>
      <c r="BV989" s="156"/>
      <c r="BW989" s="156"/>
      <c r="BX989" s="156"/>
      <c r="BY989" s="156"/>
      <c r="BZ989" s="156"/>
      <c r="CA989" s="156"/>
      <c r="CB989" s="156"/>
      <c r="CC989" s="156"/>
      <c r="CD989" s="156"/>
      <c r="CE989" s="156"/>
      <c r="CF989" s="156"/>
      <c r="CG989" s="156"/>
      <c r="CH989" s="156"/>
      <c r="CI989" s="156"/>
      <c r="CJ989" s="156"/>
      <c r="CK989" s="156"/>
      <c r="CL989" s="156"/>
      <c r="CM989" s="156"/>
      <c r="CN989" s="156"/>
      <c r="CO989" s="156"/>
      <c r="CP989" s="156"/>
      <c r="CQ989" s="156"/>
      <c r="CR989" s="156"/>
      <c r="CS989" s="156"/>
      <c r="CT989" s="156"/>
      <c r="CU989" s="156"/>
      <c r="CV989" s="156"/>
      <c r="CW989" s="156"/>
      <c r="CX989" s="156"/>
      <c r="CY989" s="156"/>
      <c r="CZ989" s="156"/>
      <c r="DA989" s="156"/>
      <c r="DB989" s="156"/>
      <c r="DC989" s="156"/>
      <c r="DD989" s="156"/>
      <c r="DE989" s="156"/>
      <c r="DF989" s="156"/>
      <c r="DG989" s="156"/>
      <c r="DH989" s="156"/>
      <c r="DI989" s="156"/>
      <c r="DJ989" s="156"/>
      <c r="DK989" s="156"/>
      <c r="DL989" s="156"/>
      <c r="DM989" s="156"/>
      <c r="DN989" s="156"/>
      <c r="DO989" s="156"/>
      <c r="DP989" s="156"/>
      <c r="DQ989" s="156"/>
      <c r="DR989" s="156"/>
      <c r="DS989" s="156"/>
      <c r="DT989" s="156"/>
      <c r="DU989" s="156"/>
      <c r="DV989" s="156"/>
      <c r="DW989" s="156"/>
      <c r="DX989" s="156"/>
      <c r="DY989" s="156"/>
      <c r="DZ989" s="156"/>
      <c r="EA989" s="156"/>
      <c r="EB989" s="156"/>
      <c r="EC989" s="156"/>
      <c r="ED989" s="156"/>
      <c r="EE989" s="156"/>
      <c r="EF989" s="156"/>
      <c r="EG989" s="156"/>
      <c r="EH989" s="156"/>
      <c r="EI989" s="156"/>
      <c r="EJ989" s="156"/>
      <c r="EK989" s="156"/>
      <c r="EL989" s="156"/>
      <c r="EM989" s="156"/>
    </row>
    <row r="990" spans="20:143" ht="10.5" customHeight="1">
      <c r="T990" s="156"/>
      <c r="AZ990" s="156"/>
      <c r="BA990" s="156"/>
      <c r="BB990" s="156"/>
      <c r="BC990" s="156"/>
      <c r="BD990" s="156"/>
      <c r="BE990" s="156"/>
      <c r="BF990" s="156"/>
      <c r="BG990" s="156"/>
      <c r="BH990" s="156"/>
      <c r="BI990" s="156"/>
      <c r="BJ990" s="156"/>
      <c r="BK990" s="156"/>
      <c r="BL990" s="156"/>
      <c r="BM990" s="156"/>
      <c r="BN990" s="156"/>
      <c r="BO990" s="156"/>
      <c r="BP990" s="156"/>
      <c r="BQ990" s="156"/>
      <c r="BR990" s="156"/>
      <c r="BS990" s="156"/>
      <c r="BT990" s="156"/>
      <c r="BU990" s="156"/>
      <c r="BV990" s="156"/>
      <c r="BW990" s="156"/>
      <c r="BX990" s="156"/>
      <c r="BY990" s="156"/>
      <c r="BZ990" s="156"/>
      <c r="CA990" s="156"/>
      <c r="CB990" s="156"/>
      <c r="CC990" s="156"/>
      <c r="CD990" s="156"/>
      <c r="CE990" s="156"/>
      <c r="CF990" s="156"/>
      <c r="CG990" s="156"/>
      <c r="CH990" s="156"/>
      <c r="CI990" s="156"/>
      <c r="CJ990" s="156"/>
      <c r="CK990" s="156"/>
      <c r="CL990" s="156"/>
      <c r="CM990" s="156"/>
      <c r="CN990" s="156"/>
      <c r="CO990" s="156"/>
      <c r="CP990" s="156"/>
      <c r="CQ990" s="156"/>
      <c r="CR990" s="156"/>
      <c r="CS990" s="156"/>
      <c r="CT990" s="156"/>
      <c r="CU990" s="156"/>
      <c r="CV990" s="156"/>
      <c r="CW990" s="156"/>
      <c r="CX990" s="156"/>
      <c r="CY990" s="156"/>
      <c r="CZ990" s="156"/>
      <c r="DA990" s="156"/>
      <c r="DB990" s="156"/>
      <c r="DC990" s="156"/>
      <c r="DD990" s="156"/>
      <c r="DE990" s="156"/>
      <c r="DF990" s="156"/>
      <c r="DG990" s="156"/>
      <c r="DH990" s="156"/>
      <c r="DI990" s="156"/>
      <c r="DJ990" s="156"/>
      <c r="DK990" s="156"/>
      <c r="DL990" s="156"/>
      <c r="DM990" s="156"/>
      <c r="DN990" s="156"/>
      <c r="DO990" s="156"/>
      <c r="DP990" s="156"/>
      <c r="DQ990" s="156"/>
      <c r="DR990" s="156"/>
      <c r="DS990" s="156"/>
      <c r="DT990" s="156"/>
      <c r="DU990" s="156"/>
      <c r="DV990" s="156"/>
      <c r="DW990" s="156"/>
      <c r="DX990" s="156"/>
      <c r="DY990" s="156"/>
      <c r="DZ990" s="156"/>
      <c r="EA990" s="156"/>
      <c r="EB990" s="156"/>
      <c r="EC990" s="156"/>
      <c r="ED990" s="156"/>
      <c r="EE990" s="156"/>
      <c r="EF990" s="156"/>
      <c r="EG990" s="156"/>
      <c r="EH990" s="156"/>
      <c r="EI990" s="156"/>
      <c r="EJ990" s="156"/>
      <c r="EK990" s="156"/>
      <c r="EL990" s="156"/>
      <c r="EM990" s="156"/>
    </row>
    <row r="991" spans="20:143" ht="10.5" customHeight="1">
      <c r="T991" s="156"/>
      <c r="AZ991" s="156"/>
      <c r="BA991" s="156"/>
      <c r="BB991" s="156"/>
      <c r="BC991" s="156"/>
      <c r="BD991" s="156"/>
      <c r="BE991" s="156"/>
      <c r="BF991" s="156"/>
      <c r="BG991" s="156"/>
      <c r="BH991" s="156"/>
      <c r="BI991" s="156"/>
      <c r="BJ991" s="156"/>
      <c r="BK991" s="156"/>
      <c r="BL991" s="156"/>
      <c r="BM991" s="156"/>
      <c r="BN991" s="156"/>
      <c r="BO991" s="156"/>
      <c r="BP991" s="156"/>
      <c r="BQ991" s="156"/>
      <c r="BR991" s="156"/>
      <c r="BS991" s="156"/>
      <c r="BT991" s="156"/>
      <c r="BU991" s="156"/>
      <c r="BV991" s="156"/>
      <c r="BW991" s="156"/>
      <c r="BX991" s="156"/>
      <c r="BY991" s="156"/>
      <c r="BZ991" s="156"/>
      <c r="CA991" s="156"/>
      <c r="CB991" s="156"/>
      <c r="CC991" s="156"/>
      <c r="CD991" s="156"/>
      <c r="CE991" s="156"/>
      <c r="CF991" s="156"/>
      <c r="CG991" s="156"/>
      <c r="CH991" s="156"/>
      <c r="CI991" s="156"/>
      <c r="CJ991" s="156"/>
      <c r="CK991" s="156"/>
      <c r="CL991" s="156"/>
      <c r="CM991" s="156"/>
      <c r="CN991" s="156"/>
      <c r="CO991" s="156"/>
      <c r="CP991" s="156"/>
      <c r="CQ991" s="156"/>
      <c r="CR991" s="156"/>
      <c r="CS991" s="156"/>
      <c r="CT991" s="156"/>
      <c r="CU991" s="156"/>
      <c r="CV991" s="156"/>
      <c r="CW991" s="156"/>
      <c r="CX991" s="156"/>
      <c r="CY991" s="156"/>
      <c r="CZ991" s="156"/>
      <c r="DA991" s="156"/>
      <c r="DB991" s="156"/>
      <c r="DC991" s="156"/>
      <c r="DD991" s="156"/>
      <c r="DE991" s="156"/>
      <c r="DF991" s="156"/>
      <c r="DG991" s="156"/>
      <c r="DH991" s="156"/>
      <c r="DI991" s="156"/>
      <c r="DJ991" s="156"/>
      <c r="DK991" s="156"/>
      <c r="DL991" s="156"/>
      <c r="DM991" s="156"/>
      <c r="DN991" s="156"/>
      <c r="DO991" s="156"/>
      <c r="DP991" s="156"/>
      <c r="DQ991" s="156"/>
      <c r="DR991" s="156"/>
      <c r="DS991" s="156"/>
      <c r="DT991" s="156"/>
      <c r="DU991" s="156"/>
      <c r="DV991" s="156"/>
      <c r="DW991" s="156"/>
      <c r="DX991" s="156"/>
      <c r="DY991" s="156"/>
      <c r="DZ991" s="156"/>
      <c r="EA991" s="156"/>
      <c r="EB991" s="156"/>
      <c r="EC991" s="156"/>
      <c r="ED991" s="156"/>
      <c r="EE991" s="156"/>
      <c r="EF991" s="156"/>
      <c r="EG991" s="156"/>
      <c r="EH991" s="156"/>
      <c r="EI991" s="156"/>
      <c r="EJ991" s="156"/>
      <c r="EK991" s="156"/>
      <c r="EL991" s="156"/>
      <c r="EM991" s="156"/>
    </row>
    <row r="992" spans="20:143" ht="10.5" customHeight="1">
      <c r="T992" s="156"/>
      <c r="AZ992" s="156"/>
      <c r="BA992" s="156"/>
      <c r="BB992" s="156"/>
      <c r="BC992" s="156"/>
      <c r="BD992" s="156"/>
      <c r="BE992" s="156"/>
      <c r="BF992" s="156"/>
      <c r="BG992" s="156"/>
      <c r="BH992" s="156"/>
      <c r="BI992" s="156"/>
      <c r="BJ992" s="156"/>
      <c r="BK992" s="156"/>
      <c r="BL992" s="156"/>
      <c r="BM992" s="156"/>
      <c r="BN992" s="156"/>
      <c r="BO992" s="156"/>
      <c r="BP992" s="156"/>
      <c r="BQ992" s="156"/>
      <c r="BR992" s="156"/>
      <c r="BS992" s="156"/>
      <c r="BT992" s="156"/>
      <c r="BU992" s="156"/>
      <c r="BV992" s="156"/>
      <c r="BW992" s="156"/>
      <c r="BX992" s="156"/>
      <c r="BY992" s="156"/>
      <c r="BZ992" s="156"/>
      <c r="CA992" s="156"/>
      <c r="CB992" s="156"/>
      <c r="CC992" s="156"/>
      <c r="CD992" s="156"/>
      <c r="CE992" s="156"/>
      <c r="CF992" s="156"/>
      <c r="CG992" s="156"/>
      <c r="CH992" s="156"/>
      <c r="CI992" s="156"/>
      <c r="CJ992" s="156"/>
      <c r="CK992" s="156"/>
      <c r="CL992" s="156"/>
      <c r="CM992" s="156"/>
      <c r="CN992" s="156"/>
      <c r="CO992" s="156"/>
      <c r="CP992" s="156"/>
      <c r="CQ992" s="156"/>
      <c r="CR992" s="156"/>
      <c r="CS992" s="156"/>
      <c r="CT992" s="156"/>
      <c r="CU992" s="156"/>
      <c r="CV992" s="156"/>
      <c r="CW992" s="156"/>
      <c r="CX992" s="156"/>
      <c r="CY992" s="156"/>
      <c r="CZ992" s="156"/>
      <c r="DA992" s="156"/>
      <c r="DB992" s="156"/>
      <c r="DC992" s="156"/>
      <c r="DD992" s="156"/>
      <c r="DE992" s="156"/>
      <c r="DF992" s="156"/>
      <c r="DG992" s="156"/>
      <c r="DH992" s="156"/>
      <c r="DI992" s="156"/>
      <c r="DJ992" s="156"/>
      <c r="DK992" s="156"/>
      <c r="DL992" s="156"/>
      <c r="DM992" s="156"/>
      <c r="DN992" s="156"/>
      <c r="DO992" s="156"/>
      <c r="DP992" s="156"/>
      <c r="DQ992" s="156"/>
      <c r="DR992" s="156"/>
      <c r="DS992" s="156"/>
      <c r="DT992" s="156"/>
      <c r="DU992" s="156"/>
      <c r="DV992" s="156"/>
      <c r="DW992" s="156"/>
      <c r="DX992" s="156"/>
      <c r="DY992" s="156"/>
      <c r="DZ992" s="156"/>
      <c r="EA992" s="156"/>
      <c r="EB992" s="156"/>
      <c r="EC992" s="156"/>
      <c r="ED992" s="156"/>
      <c r="EE992" s="156"/>
      <c r="EF992" s="156"/>
      <c r="EG992" s="156"/>
      <c r="EH992" s="156"/>
      <c r="EI992" s="156"/>
      <c r="EJ992" s="156"/>
      <c r="EK992" s="156"/>
      <c r="EL992" s="156"/>
      <c r="EM992" s="156"/>
    </row>
    <row r="993" spans="20:143" ht="10.5" customHeight="1">
      <c r="T993" s="156"/>
      <c r="AZ993" s="156"/>
      <c r="BA993" s="156"/>
      <c r="BB993" s="156"/>
      <c r="BC993" s="156"/>
      <c r="BD993" s="156"/>
      <c r="BE993" s="156"/>
      <c r="BF993" s="156"/>
      <c r="BG993" s="156"/>
      <c r="BH993" s="156"/>
      <c r="BI993" s="156"/>
      <c r="BJ993" s="156"/>
      <c r="BK993" s="156"/>
      <c r="BL993" s="156"/>
      <c r="BM993" s="156"/>
      <c r="BN993" s="156"/>
      <c r="BO993" s="156"/>
      <c r="BP993" s="156"/>
      <c r="BQ993" s="156"/>
      <c r="BR993" s="156"/>
      <c r="BS993" s="156"/>
      <c r="BT993" s="156"/>
      <c r="BU993" s="156"/>
      <c r="BV993" s="156"/>
      <c r="BW993" s="156"/>
      <c r="BX993" s="156"/>
      <c r="BY993" s="156"/>
      <c r="BZ993" s="156"/>
      <c r="CA993" s="156"/>
      <c r="CB993" s="156"/>
      <c r="CC993" s="156"/>
      <c r="CD993" s="156"/>
      <c r="CE993" s="156"/>
      <c r="CF993" s="156"/>
      <c r="CG993" s="156"/>
      <c r="CH993" s="156"/>
      <c r="CI993" s="156"/>
      <c r="CJ993" s="156"/>
      <c r="CK993" s="156"/>
      <c r="CL993" s="156"/>
      <c r="CM993" s="156"/>
      <c r="CN993" s="156"/>
      <c r="CO993" s="156"/>
      <c r="CP993" s="156"/>
      <c r="CQ993" s="156"/>
      <c r="CR993" s="156"/>
      <c r="CS993" s="156"/>
      <c r="CT993" s="156"/>
      <c r="CU993" s="156"/>
      <c r="CV993" s="156"/>
      <c r="CW993" s="156"/>
      <c r="CX993" s="156"/>
      <c r="CY993" s="156"/>
      <c r="CZ993" s="156"/>
      <c r="DA993" s="156"/>
      <c r="DB993" s="156"/>
      <c r="DC993" s="156"/>
      <c r="DD993" s="156"/>
      <c r="DE993" s="156"/>
      <c r="DF993" s="156"/>
      <c r="DG993" s="156"/>
      <c r="DH993" s="156"/>
      <c r="DI993" s="156"/>
      <c r="DJ993" s="156"/>
      <c r="DK993" s="156"/>
      <c r="DL993" s="156"/>
      <c r="DM993" s="156"/>
      <c r="DN993" s="156"/>
      <c r="DO993" s="156"/>
      <c r="DP993" s="156"/>
      <c r="DQ993" s="156"/>
      <c r="DR993" s="156"/>
      <c r="DS993" s="156"/>
      <c r="DT993" s="156"/>
      <c r="DU993" s="156"/>
      <c r="DV993" s="156"/>
      <c r="DW993" s="156"/>
      <c r="DX993" s="156"/>
      <c r="DY993" s="156"/>
      <c r="DZ993" s="156"/>
      <c r="EA993" s="156"/>
      <c r="EB993" s="156"/>
      <c r="EC993" s="156"/>
      <c r="ED993" s="156"/>
      <c r="EE993" s="156"/>
      <c r="EF993" s="156"/>
      <c r="EG993" s="156"/>
      <c r="EH993" s="156"/>
      <c r="EI993" s="156"/>
      <c r="EJ993" s="156"/>
      <c r="EK993" s="156"/>
      <c r="EL993" s="156"/>
      <c r="EM993" s="156"/>
    </row>
    <row r="994" spans="20:143" ht="10.5" customHeight="1">
      <c r="T994" s="156"/>
      <c r="AZ994" s="156"/>
      <c r="BA994" s="156"/>
      <c r="BB994" s="156"/>
      <c r="BC994" s="156"/>
      <c r="BD994" s="156"/>
      <c r="BE994" s="156"/>
      <c r="BF994" s="156"/>
      <c r="BG994" s="156"/>
      <c r="BH994" s="156"/>
      <c r="BI994" s="156"/>
      <c r="BJ994" s="156"/>
      <c r="BK994" s="156"/>
      <c r="BL994" s="156"/>
      <c r="BM994" s="156"/>
      <c r="BN994" s="156"/>
      <c r="BO994" s="156"/>
      <c r="BP994" s="156"/>
      <c r="BQ994" s="156"/>
      <c r="BR994" s="156"/>
      <c r="BS994" s="156"/>
      <c r="BT994" s="156"/>
      <c r="BU994" s="156"/>
      <c r="BV994" s="156"/>
      <c r="BW994" s="156"/>
      <c r="BX994" s="156"/>
      <c r="BY994" s="156"/>
      <c r="BZ994" s="156"/>
      <c r="CA994" s="156"/>
      <c r="CB994" s="156"/>
      <c r="CC994" s="156"/>
      <c r="CD994" s="156"/>
      <c r="CE994" s="156"/>
      <c r="CF994" s="156"/>
      <c r="CG994" s="156"/>
      <c r="CH994" s="156"/>
      <c r="CI994" s="156"/>
      <c r="CJ994" s="156"/>
      <c r="CK994" s="156"/>
      <c r="CL994" s="156"/>
      <c r="CM994" s="156"/>
      <c r="CN994" s="156"/>
      <c r="CO994" s="156"/>
      <c r="CP994" s="156"/>
      <c r="CQ994" s="156"/>
      <c r="CR994" s="156"/>
      <c r="CS994" s="156"/>
      <c r="CT994" s="156"/>
      <c r="CU994" s="156"/>
      <c r="CV994" s="156"/>
      <c r="CW994" s="156"/>
      <c r="CX994" s="156"/>
      <c r="CY994" s="156"/>
      <c r="CZ994" s="156"/>
      <c r="DA994" s="156"/>
      <c r="DB994" s="156"/>
      <c r="DC994" s="156"/>
      <c r="DD994" s="156"/>
      <c r="DE994" s="156"/>
      <c r="DF994" s="156"/>
      <c r="DG994" s="156"/>
      <c r="DH994" s="156"/>
      <c r="DI994" s="156"/>
      <c r="DJ994" s="156"/>
      <c r="DK994" s="156"/>
      <c r="DL994" s="156"/>
      <c r="DM994" s="156"/>
      <c r="DN994" s="156"/>
      <c r="DO994" s="156"/>
      <c r="DP994" s="156"/>
      <c r="DQ994" s="156"/>
      <c r="DR994" s="156"/>
      <c r="DS994" s="156"/>
      <c r="DT994" s="156"/>
      <c r="DU994" s="156"/>
      <c r="DV994" s="156"/>
      <c r="DW994" s="156"/>
      <c r="DX994" s="156"/>
      <c r="DY994" s="156"/>
      <c r="DZ994" s="156"/>
      <c r="EA994" s="156"/>
      <c r="EB994" s="156"/>
      <c r="EC994" s="156"/>
      <c r="ED994" s="156"/>
      <c r="EE994" s="156"/>
      <c r="EF994" s="156"/>
      <c r="EG994" s="156"/>
      <c r="EH994" s="156"/>
      <c r="EI994" s="156"/>
      <c r="EJ994" s="156"/>
      <c r="EK994" s="156"/>
      <c r="EL994" s="156"/>
      <c r="EM994" s="156"/>
    </row>
    <row r="995" spans="20:143" ht="10.5" customHeight="1">
      <c r="T995" s="156"/>
      <c r="AZ995" s="156"/>
      <c r="BA995" s="156"/>
      <c r="BB995" s="156"/>
      <c r="BC995" s="156"/>
      <c r="BD995" s="156"/>
      <c r="BE995" s="156"/>
      <c r="BF995" s="156"/>
      <c r="BG995" s="156"/>
      <c r="BH995" s="156"/>
      <c r="BI995" s="156"/>
      <c r="BJ995" s="156"/>
      <c r="BK995" s="156"/>
      <c r="BL995" s="156"/>
      <c r="BM995" s="156"/>
      <c r="BN995" s="156"/>
      <c r="BO995" s="156"/>
      <c r="BP995" s="156"/>
      <c r="BQ995" s="156"/>
      <c r="BR995" s="156"/>
      <c r="BS995" s="156"/>
      <c r="BT995" s="156"/>
      <c r="BU995" s="156"/>
      <c r="BV995" s="156"/>
      <c r="BW995" s="156"/>
      <c r="BX995" s="156"/>
      <c r="BY995" s="156"/>
      <c r="BZ995" s="156"/>
      <c r="CA995" s="156"/>
      <c r="CB995" s="156"/>
      <c r="CC995" s="156"/>
      <c r="CD995" s="156"/>
      <c r="CE995" s="156"/>
      <c r="CF995" s="156"/>
      <c r="CG995" s="156"/>
      <c r="CH995" s="156"/>
      <c r="CI995" s="156"/>
      <c r="CJ995" s="156"/>
      <c r="CK995" s="156"/>
      <c r="CL995" s="156"/>
      <c r="CM995" s="156"/>
      <c r="CN995" s="156"/>
      <c r="CO995" s="156"/>
      <c r="CP995" s="156"/>
      <c r="CQ995" s="156"/>
      <c r="CR995" s="156"/>
      <c r="CS995" s="156"/>
      <c r="CT995" s="156"/>
      <c r="CU995" s="156"/>
      <c r="CV995" s="156"/>
      <c r="CW995" s="156"/>
      <c r="CX995" s="156"/>
      <c r="CY995" s="156"/>
      <c r="CZ995" s="156"/>
      <c r="DA995" s="156"/>
      <c r="DB995" s="156"/>
      <c r="DC995" s="156"/>
      <c r="DD995" s="156"/>
      <c r="DE995" s="156"/>
      <c r="DF995" s="156"/>
      <c r="DG995" s="156"/>
      <c r="DH995" s="156"/>
      <c r="DI995" s="156"/>
      <c r="DJ995" s="156"/>
      <c r="DK995" s="156"/>
      <c r="DL995" s="156"/>
      <c r="DM995" s="156"/>
      <c r="DN995" s="156"/>
      <c r="DO995" s="156"/>
      <c r="DP995" s="156"/>
      <c r="DQ995" s="156"/>
      <c r="DR995" s="156"/>
      <c r="DS995" s="156"/>
      <c r="DT995" s="156"/>
      <c r="DU995" s="156"/>
      <c r="DV995" s="156"/>
      <c r="DW995" s="156"/>
      <c r="DX995" s="156"/>
      <c r="DY995" s="156"/>
      <c r="DZ995" s="156"/>
      <c r="EA995" s="156"/>
      <c r="EB995" s="156"/>
      <c r="EC995" s="156"/>
      <c r="ED995" s="156"/>
      <c r="EE995" s="156"/>
      <c r="EF995" s="156"/>
      <c r="EG995" s="156"/>
      <c r="EH995" s="156"/>
      <c r="EI995" s="156"/>
      <c r="EJ995" s="156"/>
      <c r="EK995" s="156"/>
      <c r="EL995" s="156"/>
      <c r="EM995" s="156"/>
    </row>
    <row r="996" spans="20:143" ht="10.5" customHeight="1">
      <c r="T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M996" s="156"/>
      <c r="CN996" s="156"/>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c r="DM996" s="156"/>
      <c r="DN996" s="156"/>
      <c r="DO996" s="156"/>
      <c r="DP996" s="156"/>
      <c r="DQ996" s="156"/>
      <c r="DR996" s="156"/>
      <c r="DS996" s="156"/>
      <c r="DT996" s="156"/>
      <c r="DU996" s="156"/>
      <c r="DV996" s="156"/>
      <c r="DW996" s="156"/>
      <c r="DX996" s="156"/>
      <c r="DY996" s="156"/>
      <c r="DZ996" s="156"/>
      <c r="EA996" s="156"/>
      <c r="EB996" s="156"/>
      <c r="EC996" s="156"/>
      <c r="ED996" s="156"/>
      <c r="EE996" s="156"/>
      <c r="EF996" s="156"/>
      <c r="EG996" s="156"/>
      <c r="EH996" s="156"/>
      <c r="EI996" s="156"/>
      <c r="EJ996" s="156"/>
      <c r="EK996" s="156"/>
      <c r="EL996" s="156"/>
      <c r="EM996" s="156"/>
    </row>
    <row r="997" spans="20:143" ht="10.5" customHeight="1">
      <c r="T997" s="156"/>
      <c r="AZ997" s="156"/>
      <c r="BA997" s="156"/>
      <c r="BB997" s="156"/>
      <c r="BC997" s="156"/>
      <c r="BD997" s="156"/>
      <c r="BE997" s="156"/>
      <c r="BF997" s="156"/>
      <c r="BG997" s="156"/>
      <c r="BH997" s="156"/>
      <c r="BI997" s="156"/>
      <c r="BJ997" s="156"/>
      <c r="BK997" s="156"/>
      <c r="BL997" s="156"/>
      <c r="BM997" s="156"/>
      <c r="BN997" s="156"/>
      <c r="BO997" s="156"/>
      <c r="BP997" s="156"/>
      <c r="BQ997" s="156"/>
      <c r="BR997" s="156"/>
      <c r="BS997" s="156"/>
      <c r="BT997" s="156"/>
      <c r="BU997" s="156"/>
      <c r="BV997" s="156"/>
      <c r="BW997" s="156"/>
      <c r="BX997" s="156"/>
      <c r="BY997" s="156"/>
      <c r="BZ997" s="156"/>
      <c r="CA997" s="156"/>
      <c r="CB997" s="156"/>
      <c r="CC997" s="156"/>
      <c r="CD997" s="156"/>
      <c r="CE997" s="156"/>
      <c r="CF997" s="156"/>
      <c r="CG997" s="156"/>
      <c r="CH997" s="156"/>
      <c r="CI997" s="156"/>
      <c r="CJ997" s="156"/>
      <c r="CK997" s="156"/>
      <c r="CL997" s="156"/>
      <c r="CM997" s="156"/>
      <c r="CN997" s="156"/>
      <c r="CO997" s="156"/>
      <c r="CP997" s="156"/>
      <c r="CQ997" s="156"/>
      <c r="CR997" s="156"/>
      <c r="CS997" s="156"/>
      <c r="CT997" s="156"/>
      <c r="CU997" s="156"/>
      <c r="CV997" s="156"/>
      <c r="CW997" s="156"/>
      <c r="CX997" s="156"/>
      <c r="CY997" s="156"/>
      <c r="CZ997" s="156"/>
      <c r="DA997" s="156"/>
      <c r="DB997" s="156"/>
      <c r="DC997" s="156"/>
      <c r="DD997" s="156"/>
      <c r="DE997" s="156"/>
      <c r="DF997" s="156"/>
      <c r="DG997" s="156"/>
      <c r="DH997" s="156"/>
      <c r="DI997" s="156"/>
      <c r="DJ997" s="156"/>
      <c r="DK997" s="156"/>
      <c r="DL997" s="156"/>
      <c r="DM997" s="156"/>
      <c r="DN997" s="156"/>
      <c r="DO997" s="156"/>
      <c r="DP997" s="156"/>
      <c r="DQ997" s="156"/>
      <c r="DR997" s="156"/>
      <c r="DS997" s="156"/>
      <c r="DT997" s="156"/>
      <c r="DU997" s="156"/>
      <c r="DV997" s="156"/>
      <c r="DW997" s="156"/>
      <c r="DX997" s="156"/>
      <c r="DY997" s="156"/>
      <c r="DZ997" s="156"/>
      <c r="EA997" s="156"/>
      <c r="EB997" s="156"/>
      <c r="EC997" s="156"/>
      <c r="ED997" s="156"/>
      <c r="EE997" s="156"/>
      <c r="EF997" s="156"/>
      <c r="EG997" s="156"/>
      <c r="EH997" s="156"/>
      <c r="EI997" s="156"/>
      <c r="EJ997" s="156"/>
      <c r="EK997" s="156"/>
      <c r="EL997" s="156"/>
      <c r="EM997" s="156"/>
    </row>
    <row r="998" spans="20:143" ht="10.5" customHeight="1">
      <c r="T998" s="156"/>
      <c r="AZ998" s="156"/>
      <c r="BA998" s="156"/>
      <c r="BB998" s="156"/>
      <c r="BC998" s="156"/>
      <c r="BD998" s="156"/>
      <c r="BE998" s="156"/>
      <c r="BF998" s="156"/>
      <c r="BG998" s="156"/>
      <c r="BH998" s="156"/>
      <c r="BI998" s="156"/>
      <c r="BJ998" s="156"/>
      <c r="BK998" s="156"/>
      <c r="BL998" s="156"/>
      <c r="BM998" s="156"/>
      <c r="BN998" s="156"/>
      <c r="BO998" s="156"/>
      <c r="BP998" s="156"/>
      <c r="BQ998" s="156"/>
      <c r="BR998" s="156"/>
      <c r="BS998" s="156"/>
      <c r="BT998" s="156"/>
      <c r="BU998" s="156"/>
      <c r="BV998" s="156"/>
      <c r="BW998" s="156"/>
      <c r="BX998" s="156"/>
      <c r="BY998" s="156"/>
      <c r="BZ998" s="156"/>
      <c r="CA998" s="156"/>
      <c r="CB998" s="156"/>
      <c r="CC998" s="156"/>
      <c r="CD998" s="156"/>
      <c r="CE998" s="156"/>
      <c r="CF998" s="156"/>
      <c r="CG998" s="156"/>
      <c r="CH998" s="156"/>
      <c r="CI998" s="156"/>
      <c r="CJ998" s="156"/>
      <c r="CK998" s="156"/>
      <c r="CL998" s="156"/>
      <c r="CM998" s="156"/>
      <c r="CN998" s="156"/>
      <c r="CO998" s="156"/>
      <c r="CP998" s="156"/>
      <c r="CQ998" s="156"/>
      <c r="CR998" s="156"/>
      <c r="CS998" s="156"/>
      <c r="CT998" s="156"/>
      <c r="CU998" s="156"/>
      <c r="CV998" s="156"/>
      <c r="CW998" s="156"/>
      <c r="CX998" s="156"/>
      <c r="CY998" s="156"/>
      <c r="CZ998" s="156"/>
      <c r="DA998" s="156"/>
      <c r="DB998" s="156"/>
      <c r="DC998" s="156"/>
      <c r="DD998" s="156"/>
      <c r="DE998" s="156"/>
      <c r="DF998" s="156"/>
      <c r="DG998" s="156"/>
      <c r="DH998" s="156"/>
      <c r="DI998" s="156"/>
      <c r="DJ998" s="156"/>
      <c r="DK998" s="156"/>
      <c r="DL998" s="156"/>
      <c r="DM998" s="156"/>
      <c r="DN998" s="156"/>
      <c r="DO998" s="156"/>
      <c r="DP998" s="156"/>
      <c r="DQ998" s="156"/>
      <c r="DR998" s="156"/>
      <c r="DS998" s="156"/>
      <c r="DT998" s="156"/>
      <c r="DU998" s="156"/>
      <c r="DV998" s="156"/>
      <c r="DW998" s="156"/>
      <c r="DX998" s="156"/>
      <c r="DY998" s="156"/>
      <c r="DZ998" s="156"/>
      <c r="EA998" s="156"/>
      <c r="EB998" s="156"/>
      <c r="EC998" s="156"/>
      <c r="ED998" s="156"/>
      <c r="EE998" s="156"/>
      <c r="EF998" s="156"/>
      <c r="EG998" s="156"/>
      <c r="EH998" s="156"/>
      <c r="EI998" s="156"/>
      <c r="EJ998" s="156"/>
      <c r="EK998" s="156"/>
      <c r="EL998" s="156"/>
      <c r="EM998" s="156"/>
    </row>
    <row r="999" spans="20:143" ht="10.5" customHeight="1">
      <c r="T999" s="156"/>
      <c r="AZ999" s="156"/>
      <c r="BA999" s="156"/>
      <c r="BB999" s="156"/>
      <c r="BC999" s="156"/>
      <c r="BD999" s="156"/>
      <c r="BE999" s="156"/>
      <c r="BF999" s="156"/>
      <c r="BG999" s="156"/>
      <c r="BH999" s="156"/>
      <c r="BI999" s="156"/>
      <c r="BJ999" s="156"/>
      <c r="BK999" s="156"/>
      <c r="BL999" s="156"/>
      <c r="BM999" s="156"/>
      <c r="BN999" s="156"/>
      <c r="BO999" s="156"/>
      <c r="BP999" s="156"/>
      <c r="BQ999" s="156"/>
      <c r="BR999" s="156"/>
      <c r="BS999" s="156"/>
      <c r="BT999" s="156"/>
      <c r="BU999" s="156"/>
      <c r="BV999" s="156"/>
      <c r="BW999" s="156"/>
      <c r="BX999" s="156"/>
      <c r="BY999" s="156"/>
      <c r="BZ999" s="156"/>
      <c r="CA999" s="156"/>
      <c r="CB999" s="156"/>
      <c r="CC999" s="156"/>
      <c r="CD999" s="156"/>
      <c r="CE999" s="156"/>
      <c r="CF999" s="156"/>
      <c r="CG999" s="156"/>
      <c r="CH999" s="156"/>
      <c r="CI999" s="156"/>
      <c r="CJ999" s="156"/>
      <c r="CK999" s="156"/>
      <c r="CL999" s="156"/>
      <c r="CM999" s="156"/>
      <c r="CN999" s="156"/>
      <c r="CO999" s="156"/>
      <c r="CP999" s="156"/>
      <c r="CQ999" s="156"/>
      <c r="CR999" s="156"/>
      <c r="CS999" s="156"/>
      <c r="CT999" s="156"/>
      <c r="CU999" s="156"/>
      <c r="CV999" s="156"/>
      <c r="CW999" s="156"/>
      <c r="CX999" s="156"/>
      <c r="CY999" s="156"/>
      <c r="CZ999" s="156"/>
      <c r="DA999" s="156"/>
      <c r="DB999" s="156"/>
      <c r="DC999" s="156"/>
      <c r="DD999" s="156"/>
      <c r="DE999" s="156"/>
      <c r="DF999" s="156"/>
      <c r="DG999" s="156"/>
      <c r="DH999" s="156"/>
      <c r="DI999" s="156"/>
      <c r="DJ999" s="156"/>
      <c r="DK999" s="156"/>
      <c r="DL999" s="156"/>
      <c r="DM999" s="156"/>
      <c r="DN999" s="156"/>
      <c r="DO999" s="156"/>
      <c r="DP999" s="156"/>
      <c r="DQ999" s="156"/>
      <c r="DR999" s="156"/>
      <c r="DS999" s="156"/>
      <c r="DT999" s="156"/>
      <c r="DU999" s="156"/>
      <c r="DV999" s="156"/>
      <c r="DW999" s="156"/>
      <c r="DX999" s="156"/>
      <c r="DY999" s="156"/>
      <c r="DZ999" s="156"/>
      <c r="EA999" s="156"/>
      <c r="EB999" s="156"/>
      <c r="EC999" s="156"/>
      <c r="ED999" s="156"/>
      <c r="EE999" s="156"/>
      <c r="EF999" s="156"/>
      <c r="EG999" s="156"/>
      <c r="EH999" s="156"/>
      <c r="EI999" s="156"/>
      <c r="EJ999" s="156"/>
      <c r="EK999" s="156"/>
      <c r="EL999" s="156"/>
      <c r="EM999" s="156"/>
    </row>
    <row r="1000" spans="20:143" ht="10.5" customHeight="1">
      <c r="T1000" s="156"/>
      <c r="AZ1000" s="156"/>
      <c r="BA1000" s="156"/>
      <c r="BB1000" s="156"/>
      <c r="BC1000" s="156"/>
      <c r="BD1000" s="156"/>
      <c r="BE1000" s="156"/>
      <c r="BF1000" s="156"/>
      <c r="BG1000" s="156"/>
      <c r="BH1000" s="156"/>
      <c r="BI1000" s="156"/>
      <c r="BJ1000" s="156"/>
      <c r="BK1000" s="156"/>
      <c r="BL1000" s="156"/>
      <c r="BM1000" s="156"/>
      <c r="BN1000" s="156"/>
      <c r="BO1000" s="156"/>
      <c r="BP1000" s="156"/>
      <c r="BQ1000" s="156"/>
      <c r="BR1000" s="156"/>
      <c r="BS1000" s="156"/>
      <c r="BT1000" s="156"/>
      <c r="BU1000" s="156"/>
      <c r="BV1000" s="156"/>
      <c r="BW1000" s="156"/>
      <c r="BX1000" s="156"/>
      <c r="BY1000" s="156"/>
      <c r="BZ1000" s="156"/>
      <c r="CA1000" s="156"/>
      <c r="CB1000" s="156"/>
      <c r="CC1000" s="156"/>
      <c r="CD1000" s="156"/>
      <c r="CE1000" s="156"/>
      <c r="CF1000" s="156"/>
      <c r="CG1000" s="156"/>
      <c r="CH1000" s="156"/>
      <c r="CI1000" s="156"/>
      <c r="CJ1000" s="156"/>
      <c r="CK1000" s="156"/>
      <c r="CL1000" s="156"/>
      <c r="CM1000" s="156"/>
      <c r="CN1000" s="156"/>
      <c r="CO1000" s="156"/>
      <c r="CP1000" s="156"/>
      <c r="CQ1000" s="156"/>
      <c r="CR1000" s="156"/>
      <c r="CS1000" s="156"/>
      <c r="CT1000" s="156"/>
      <c r="CU1000" s="156"/>
      <c r="CV1000" s="156"/>
      <c r="CW1000" s="156"/>
      <c r="CX1000" s="156"/>
      <c r="CY1000" s="156"/>
      <c r="CZ1000" s="156"/>
      <c r="DA1000" s="156"/>
      <c r="DB1000" s="156"/>
      <c r="DC1000" s="156"/>
      <c r="DD1000" s="156"/>
      <c r="DE1000" s="156"/>
      <c r="DF1000" s="156"/>
      <c r="DG1000" s="156"/>
      <c r="DH1000" s="156"/>
      <c r="DI1000" s="156"/>
      <c r="DJ1000" s="156"/>
      <c r="DK1000" s="156"/>
      <c r="DL1000" s="156"/>
      <c r="DM1000" s="156"/>
      <c r="DN1000" s="156"/>
      <c r="DO1000" s="156"/>
      <c r="DP1000" s="156"/>
      <c r="DQ1000" s="156"/>
      <c r="DR1000" s="156"/>
      <c r="DS1000" s="156"/>
      <c r="DT1000" s="156"/>
      <c r="DU1000" s="156"/>
      <c r="DV1000" s="156"/>
      <c r="DW1000" s="156"/>
      <c r="DX1000" s="156"/>
      <c r="DY1000" s="156"/>
      <c r="DZ1000" s="156"/>
      <c r="EA1000" s="156"/>
      <c r="EB1000" s="156"/>
      <c r="EC1000" s="156"/>
      <c r="ED1000" s="156"/>
      <c r="EE1000" s="156"/>
      <c r="EF1000" s="156"/>
      <c r="EG1000" s="156"/>
      <c r="EH1000" s="156"/>
      <c r="EI1000" s="156"/>
      <c r="EJ1000" s="156"/>
      <c r="EK1000" s="156"/>
      <c r="EL1000" s="156"/>
      <c r="EM1000" s="156"/>
    </row>
    <row r="1001" spans="20:143" ht="10.5" customHeight="1">
      <c r="T1001" s="156"/>
      <c r="AZ1001" s="156"/>
      <c r="BA1001" s="156"/>
      <c r="BB1001" s="156"/>
      <c r="BC1001" s="156"/>
      <c r="BD1001" s="156"/>
      <c r="BE1001" s="156"/>
      <c r="BF1001" s="156"/>
      <c r="BG1001" s="156"/>
      <c r="BH1001" s="156"/>
      <c r="BI1001" s="156"/>
      <c r="BJ1001" s="156"/>
      <c r="BK1001" s="156"/>
      <c r="BL1001" s="156"/>
      <c r="BM1001" s="156"/>
      <c r="BN1001" s="156"/>
      <c r="BO1001" s="156"/>
      <c r="BP1001" s="156"/>
      <c r="BQ1001" s="156"/>
      <c r="BR1001" s="156"/>
      <c r="BS1001" s="156"/>
      <c r="BT1001" s="156"/>
      <c r="BU1001" s="156"/>
      <c r="BV1001" s="156"/>
      <c r="BW1001" s="156"/>
      <c r="BX1001" s="156"/>
      <c r="BY1001" s="156"/>
      <c r="BZ1001" s="156"/>
      <c r="CA1001" s="156"/>
      <c r="CB1001" s="156"/>
      <c r="CC1001" s="156"/>
      <c r="CD1001" s="156"/>
      <c r="CE1001" s="156"/>
      <c r="CF1001" s="156"/>
      <c r="CG1001" s="156"/>
      <c r="CH1001" s="156"/>
      <c r="CI1001" s="156"/>
      <c r="CJ1001" s="156"/>
      <c r="CK1001" s="156"/>
      <c r="CL1001" s="156"/>
      <c r="CM1001" s="156"/>
      <c r="CN1001" s="156"/>
      <c r="CO1001" s="156"/>
      <c r="CP1001" s="156"/>
      <c r="CQ1001" s="156"/>
      <c r="CR1001" s="156"/>
      <c r="CS1001" s="156"/>
      <c r="CT1001" s="156"/>
      <c r="CU1001" s="156"/>
      <c r="CV1001" s="156"/>
      <c r="CW1001" s="156"/>
      <c r="CX1001" s="156"/>
      <c r="CY1001" s="156"/>
      <c r="CZ1001" s="156"/>
      <c r="DA1001" s="156"/>
      <c r="DB1001" s="156"/>
      <c r="DC1001" s="156"/>
      <c r="DD1001" s="156"/>
      <c r="DE1001" s="156"/>
      <c r="DF1001" s="156"/>
      <c r="DG1001" s="156"/>
      <c r="DH1001" s="156"/>
      <c r="DI1001" s="156"/>
      <c r="DJ1001" s="156"/>
      <c r="DK1001" s="156"/>
      <c r="DL1001" s="156"/>
      <c r="DM1001" s="156"/>
      <c r="DN1001" s="156"/>
      <c r="DO1001" s="156"/>
      <c r="DP1001" s="156"/>
      <c r="DQ1001" s="156"/>
      <c r="DR1001" s="156"/>
      <c r="DS1001" s="156"/>
      <c r="DT1001" s="156"/>
      <c r="DU1001" s="156"/>
      <c r="DV1001" s="156"/>
      <c r="DW1001" s="156"/>
      <c r="DX1001" s="156"/>
      <c r="DY1001" s="156"/>
      <c r="DZ1001" s="156"/>
      <c r="EA1001" s="156"/>
      <c r="EB1001" s="156"/>
      <c r="EC1001" s="156"/>
      <c r="ED1001" s="156"/>
      <c r="EE1001" s="156"/>
      <c r="EF1001" s="156"/>
      <c r="EG1001" s="156"/>
      <c r="EH1001" s="156"/>
      <c r="EI1001" s="156"/>
      <c r="EJ1001" s="156"/>
      <c r="EK1001" s="156"/>
      <c r="EL1001" s="156"/>
      <c r="EM1001" s="156"/>
    </row>
    <row r="1002" spans="20:143" ht="10.5" customHeight="1">
      <c r="T1002" s="156"/>
      <c r="AZ1002" s="156"/>
      <c r="BA1002" s="156"/>
      <c r="BB1002" s="156"/>
      <c r="BC1002" s="156"/>
      <c r="BD1002" s="156"/>
      <c r="BE1002" s="156"/>
      <c r="BF1002" s="156"/>
      <c r="BG1002" s="156"/>
      <c r="BH1002" s="156"/>
      <c r="BI1002" s="156"/>
      <c r="BJ1002" s="156"/>
      <c r="BK1002" s="156"/>
      <c r="BL1002" s="156"/>
      <c r="BM1002" s="156"/>
      <c r="BN1002" s="156"/>
      <c r="BO1002" s="156"/>
      <c r="BP1002" s="156"/>
      <c r="BQ1002" s="156"/>
      <c r="BR1002" s="156"/>
      <c r="BS1002" s="156"/>
      <c r="BT1002" s="156"/>
      <c r="BU1002" s="156"/>
      <c r="BV1002" s="156"/>
      <c r="BW1002" s="156"/>
      <c r="BX1002" s="156"/>
      <c r="BY1002" s="156"/>
      <c r="BZ1002" s="156"/>
      <c r="CA1002" s="156"/>
      <c r="CB1002" s="156"/>
      <c r="CC1002" s="156"/>
      <c r="CD1002" s="156"/>
      <c r="CE1002" s="156"/>
      <c r="CF1002" s="156"/>
      <c r="CG1002" s="156"/>
      <c r="CH1002" s="156"/>
      <c r="CI1002" s="156"/>
      <c r="CJ1002" s="156"/>
      <c r="CK1002" s="156"/>
      <c r="CL1002" s="156"/>
      <c r="CM1002" s="156"/>
      <c r="CN1002" s="156"/>
      <c r="CO1002" s="156"/>
      <c r="CP1002" s="156"/>
      <c r="CQ1002" s="156"/>
      <c r="CR1002" s="156"/>
      <c r="CS1002" s="156"/>
      <c r="CT1002" s="156"/>
      <c r="CU1002" s="156"/>
      <c r="CV1002" s="156"/>
      <c r="CW1002" s="156"/>
      <c r="CX1002" s="156"/>
      <c r="CY1002" s="156"/>
      <c r="CZ1002" s="156"/>
      <c r="DA1002" s="156"/>
      <c r="DB1002" s="156"/>
      <c r="DC1002" s="156"/>
      <c r="DD1002" s="156"/>
      <c r="DE1002" s="156"/>
      <c r="DF1002" s="156"/>
      <c r="DG1002" s="156"/>
      <c r="DH1002" s="156"/>
      <c r="DI1002" s="156"/>
      <c r="DJ1002" s="156"/>
      <c r="DK1002" s="156"/>
      <c r="DL1002" s="156"/>
      <c r="DM1002" s="156"/>
      <c r="DN1002" s="156"/>
      <c r="DO1002" s="156"/>
      <c r="DP1002" s="156"/>
      <c r="DQ1002" s="156"/>
      <c r="DR1002" s="156"/>
      <c r="DS1002" s="156"/>
      <c r="DT1002" s="156"/>
      <c r="DU1002" s="156"/>
      <c r="DV1002" s="156"/>
      <c r="DW1002" s="156"/>
      <c r="DX1002" s="156"/>
      <c r="DY1002" s="156"/>
      <c r="DZ1002" s="156"/>
      <c r="EA1002" s="156"/>
      <c r="EB1002" s="156"/>
      <c r="EC1002" s="156"/>
      <c r="ED1002" s="156"/>
      <c r="EE1002" s="156"/>
      <c r="EF1002" s="156"/>
      <c r="EG1002" s="156"/>
      <c r="EH1002" s="156"/>
      <c r="EI1002" s="156"/>
      <c r="EJ1002" s="156"/>
      <c r="EK1002" s="156"/>
      <c r="EL1002" s="156"/>
      <c r="EM1002" s="156"/>
    </row>
    <row r="1003" spans="20:143" ht="10.5" customHeight="1">
      <c r="T1003" s="156"/>
      <c r="AZ1003" s="156"/>
      <c r="BA1003" s="156"/>
      <c r="BB1003" s="156"/>
      <c r="BC1003" s="156"/>
      <c r="BD1003" s="156"/>
      <c r="BE1003" s="156"/>
      <c r="BF1003" s="156"/>
      <c r="BG1003" s="156"/>
      <c r="BH1003" s="156"/>
      <c r="BI1003" s="156"/>
      <c r="BJ1003" s="156"/>
      <c r="BK1003" s="156"/>
      <c r="BL1003" s="156"/>
      <c r="BM1003" s="156"/>
      <c r="BN1003" s="156"/>
      <c r="BO1003" s="156"/>
      <c r="BP1003" s="156"/>
      <c r="BQ1003" s="156"/>
      <c r="BR1003" s="156"/>
      <c r="BS1003" s="156"/>
      <c r="BT1003" s="156"/>
      <c r="BU1003" s="156"/>
      <c r="BV1003" s="156"/>
      <c r="BW1003" s="156"/>
      <c r="BX1003" s="156"/>
      <c r="BY1003" s="156"/>
      <c r="BZ1003" s="156"/>
      <c r="CA1003" s="156"/>
      <c r="CB1003" s="156"/>
      <c r="CC1003" s="156"/>
      <c r="CD1003" s="156"/>
      <c r="CE1003" s="156"/>
      <c r="CF1003" s="156"/>
      <c r="CG1003" s="156"/>
      <c r="CH1003" s="156"/>
      <c r="CI1003" s="156"/>
      <c r="CJ1003" s="156"/>
      <c r="CK1003" s="156"/>
      <c r="CL1003" s="156"/>
      <c r="CM1003" s="156"/>
      <c r="CN1003" s="156"/>
      <c r="CO1003" s="156"/>
      <c r="CP1003" s="156"/>
      <c r="CQ1003" s="156"/>
      <c r="CR1003" s="156"/>
      <c r="CS1003" s="156"/>
      <c r="CT1003" s="156"/>
      <c r="CU1003" s="156"/>
      <c r="CV1003" s="156"/>
      <c r="CW1003" s="156"/>
      <c r="CX1003" s="156"/>
      <c r="CY1003" s="156"/>
      <c r="CZ1003" s="156"/>
      <c r="DA1003" s="156"/>
      <c r="DB1003" s="156"/>
      <c r="DC1003" s="156"/>
      <c r="DD1003" s="156"/>
      <c r="DE1003" s="156"/>
      <c r="DF1003" s="156"/>
      <c r="DG1003" s="156"/>
      <c r="DH1003" s="156"/>
      <c r="DI1003" s="156"/>
      <c r="DJ1003" s="156"/>
      <c r="DK1003" s="156"/>
      <c r="DL1003" s="156"/>
      <c r="DM1003" s="156"/>
      <c r="DN1003" s="156"/>
      <c r="DO1003" s="156"/>
      <c r="DP1003" s="156"/>
      <c r="DQ1003" s="156"/>
      <c r="DR1003" s="156"/>
      <c r="DS1003" s="156"/>
      <c r="DT1003" s="156"/>
      <c r="DU1003" s="156"/>
      <c r="DV1003" s="156"/>
      <c r="DW1003" s="156"/>
      <c r="DX1003" s="156"/>
      <c r="DY1003" s="156"/>
      <c r="DZ1003" s="156"/>
      <c r="EA1003" s="156"/>
      <c r="EB1003" s="156"/>
      <c r="EC1003" s="156"/>
      <c r="ED1003" s="156"/>
      <c r="EE1003" s="156"/>
      <c r="EF1003" s="156"/>
      <c r="EG1003" s="156"/>
      <c r="EH1003" s="156"/>
      <c r="EI1003" s="156"/>
      <c r="EJ1003" s="156"/>
      <c r="EK1003" s="156"/>
      <c r="EL1003" s="156"/>
      <c r="EM1003" s="156"/>
    </row>
    <row r="1004" spans="20:143" ht="10.5" customHeight="1">
      <c r="T1004" s="156"/>
      <c r="AZ1004" s="156"/>
      <c r="BA1004" s="156"/>
      <c r="BB1004" s="156"/>
      <c r="BC1004" s="156"/>
      <c r="BD1004" s="156"/>
      <c r="BE1004" s="156"/>
      <c r="BF1004" s="156"/>
      <c r="BG1004" s="156"/>
      <c r="BH1004" s="156"/>
      <c r="BI1004" s="156"/>
      <c r="BJ1004" s="156"/>
      <c r="BK1004" s="156"/>
      <c r="BL1004" s="156"/>
      <c r="BM1004" s="156"/>
      <c r="BN1004" s="156"/>
      <c r="BO1004" s="156"/>
      <c r="BP1004" s="156"/>
      <c r="BQ1004" s="156"/>
      <c r="BR1004" s="156"/>
      <c r="BS1004" s="156"/>
      <c r="BT1004" s="156"/>
      <c r="BU1004" s="156"/>
      <c r="BV1004" s="156"/>
      <c r="BW1004" s="156"/>
      <c r="BX1004" s="156"/>
      <c r="BY1004" s="156"/>
      <c r="BZ1004" s="156"/>
      <c r="CA1004" s="156"/>
      <c r="CB1004" s="156"/>
      <c r="CC1004" s="156"/>
      <c r="CD1004" s="156"/>
      <c r="CE1004" s="156"/>
      <c r="CF1004" s="156"/>
      <c r="CG1004" s="156"/>
      <c r="CH1004" s="156"/>
      <c r="CI1004" s="156"/>
      <c r="CJ1004" s="156"/>
      <c r="CK1004" s="156"/>
      <c r="CL1004" s="156"/>
      <c r="CM1004" s="156"/>
      <c r="CN1004" s="156"/>
      <c r="CO1004" s="156"/>
      <c r="CP1004" s="156"/>
      <c r="CQ1004" s="156"/>
      <c r="CR1004" s="156"/>
      <c r="CS1004" s="156"/>
      <c r="CT1004" s="156"/>
      <c r="CU1004" s="156"/>
      <c r="CV1004" s="156"/>
      <c r="CW1004" s="156"/>
      <c r="CX1004" s="156"/>
      <c r="CY1004" s="156"/>
      <c r="CZ1004" s="156"/>
      <c r="DA1004" s="156"/>
      <c r="DB1004" s="156"/>
      <c r="DC1004" s="156"/>
      <c r="DD1004" s="156"/>
      <c r="DE1004" s="156"/>
      <c r="DF1004" s="156"/>
      <c r="DG1004" s="156"/>
      <c r="DH1004" s="156"/>
      <c r="DI1004" s="156"/>
      <c r="DJ1004" s="156"/>
      <c r="DK1004" s="156"/>
      <c r="DL1004" s="156"/>
      <c r="DM1004" s="156"/>
      <c r="DN1004" s="156"/>
      <c r="DO1004" s="156"/>
      <c r="DP1004" s="156"/>
      <c r="DQ1004" s="156"/>
      <c r="DR1004" s="156"/>
      <c r="DS1004" s="156"/>
      <c r="DT1004" s="156"/>
      <c r="DU1004" s="156"/>
      <c r="DV1004" s="156"/>
      <c r="DW1004" s="156"/>
      <c r="DX1004" s="156"/>
      <c r="DY1004" s="156"/>
      <c r="DZ1004" s="156"/>
      <c r="EA1004" s="156"/>
      <c r="EB1004" s="156"/>
      <c r="EC1004" s="156"/>
      <c r="ED1004" s="156"/>
      <c r="EE1004" s="156"/>
      <c r="EF1004" s="156"/>
      <c r="EG1004" s="156"/>
      <c r="EH1004" s="156"/>
      <c r="EI1004" s="156"/>
      <c r="EJ1004" s="156"/>
      <c r="EK1004" s="156"/>
      <c r="EL1004" s="156"/>
      <c r="EM1004" s="156"/>
    </row>
    <row r="1005" spans="20:143" ht="10.5" customHeight="1">
      <c r="T1005" s="156"/>
      <c r="AZ1005" s="156"/>
      <c r="BA1005" s="156"/>
      <c r="BB1005" s="156"/>
      <c r="BC1005" s="156"/>
      <c r="BD1005" s="156"/>
      <c r="BE1005" s="156"/>
      <c r="BF1005" s="156"/>
      <c r="BG1005" s="156"/>
      <c r="BH1005" s="156"/>
      <c r="BI1005" s="156"/>
      <c r="BJ1005" s="156"/>
      <c r="BK1005" s="156"/>
      <c r="BL1005" s="156"/>
      <c r="BM1005" s="156"/>
      <c r="BN1005" s="156"/>
      <c r="BO1005" s="156"/>
      <c r="BP1005" s="156"/>
      <c r="BQ1005" s="156"/>
      <c r="BR1005" s="156"/>
      <c r="BS1005" s="156"/>
      <c r="BT1005" s="156"/>
      <c r="BU1005" s="156"/>
      <c r="BV1005" s="156"/>
      <c r="BW1005" s="156"/>
      <c r="BX1005" s="156"/>
      <c r="BY1005" s="156"/>
      <c r="BZ1005" s="156"/>
      <c r="CA1005" s="156"/>
      <c r="CB1005" s="156"/>
      <c r="CC1005" s="156"/>
      <c r="CD1005" s="156"/>
      <c r="CE1005" s="156"/>
      <c r="CF1005" s="156"/>
      <c r="CG1005" s="156"/>
      <c r="CH1005" s="156"/>
      <c r="CI1005" s="156"/>
      <c r="CJ1005" s="156"/>
      <c r="CK1005" s="156"/>
      <c r="CL1005" s="156"/>
      <c r="CM1005" s="156"/>
      <c r="CN1005" s="156"/>
      <c r="CO1005" s="156"/>
      <c r="CP1005" s="156"/>
      <c r="CQ1005" s="156"/>
      <c r="CR1005" s="156"/>
      <c r="CS1005" s="156"/>
      <c r="CT1005" s="156"/>
      <c r="CU1005" s="156"/>
      <c r="CV1005" s="156"/>
      <c r="CW1005" s="156"/>
      <c r="CX1005" s="156"/>
      <c r="CY1005" s="156"/>
      <c r="CZ1005" s="156"/>
      <c r="DA1005" s="156"/>
      <c r="DB1005" s="156"/>
      <c r="DC1005" s="156"/>
      <c r="DD1005" s="156"/>
      <c r="DE1005" s="156"/>
      <c r="DF1005" s="156"/>
      <c r="DG1005" s="156"/>
      <c r="DH1005" s="156"/>
      <c r="DI1005" s="156"/>
      <c r="DJ1005" s="156"/>
      <c r="DK1005" s="156"/>
      <c r="DL1005" s="156"/>
      <c r="DM1005" s="156"/>
      <c r="DN1005" s="156"/>
      <c r="DO1005" s="156"/>
      <c r="DP1005" s="156"/>
      <c r="DQ1005" s="156"/>
      <c r="DR1005" s="156"/>
      <c r="DS1005" s="156"/>
      <c r="DT1005" s="156"/>
      <c r="DU1005" s="156"/>
      <c r="DV1005" s="156"/>
      <c r="DW1005" s="156"/>
      <c r="DX1005" s="156"/>
      <c r="DY1005" s="156"/>
      <c r="DZ1005" s="156"/>
      <c r="EA1005" s="156"/>
      <c r="EB1005" s="156"/>
      <c r="EC1005" s="156"/>
      <c r="ED1005" s="156"/>
      <c r="EE1005" s="156"/>
      <c r="EF1005" s="156"/>
      <c r="EG1005" s="156"/>
      <c r="EH1005" s="156"/>
      <c r="EI1005" s="156"/>
      <c r="EJ1005" s="156"/>
      <c r="EK1005" s="156"/>
      <c r="EL1005" s="156"/>
      <c r="EM1005" s="156"/>
    </row>
    <row r="1006" spans="20:143" ht="10.5" customHeight="1">
      <c r="T1006" s="156"/>
      <c r="AZ1006" s="156"/>
      <c r="BA1006" s="156"/>
      <c r="BB1006" s="156"/>
      <c r="BC1006" s="156"/>
      <c r="BD1006" s="156"/>
      <c r="BE1006" s="156"/>
      <c r="BF1006" s="156"/>
      <c r="BG1006" s="156"/>
      <c r="BH1006" s="156"/>
      <c r="BI1006" s="156"/>
      <c r="BJ1006" s="156"/>
      <c r="BK1006" s="156"/>
      <c r="BL1006" s="156"/>
      <c r="BM1006" s="156"/>
      <c r="BN1006" s="156"/>
      <c r="BO1006" s="156"/>
      <c r="BP1006" s="156"/>
      <c r="BQ1006" s="156"/>
      <c r="BR1006" s="156"/>
      <c r="BS1006" s="156"/>
      <c r="BT1006" s="156"/>
      <c r="BU1006" s="156"/>
      <c r="BV1006" s="156"/>
      <c r="BW1006" s="156"/>
      <c r="BX1006" s="156"/>
      <c r="BY1006" s="156"/>
      <c r="BZ1006" s="156"/>
      <c r="CA1006" s="156"/>
      <c r="CB1006" s="156"/>
      <c r="CC1006" s="156"/>
      <c r="CD1006" s="156"/>
      <c r="CE1006" s="156"/>
      <c r="CF1006" s="156"/>
      <c r="CG1006" s="156"/>
      <c r="CH1006" s="156"/>
      <c r="CI1006" s="156"/>
      <c r="CJ1006" s="156"/>
      <c r="CK1006" s="156"/>
      <c r="CL1006" s="156"/>
      <c r="CM1006" s="156"/>
      <c r="CN1006" s="156"/>
      <c r="CO1006" s="156"/>
      <c r="CP1006" s="156"/>
      <c r="CQ1006" s="156"/>
      <c r="CR1006" s="156"/>
      <c r="CS1006" s="156"/>
      <c r="CT1006" s="156"/>
      <c r="CU1006" s="156"/>
      <c r="CV1006" s="156"/>
      <c r="CW1006" s="156"/>
      <c r="CX1006" s="156"/>
      <c r="CY1006" s="156"/>
      <c r="CZ1006" s="156"/>
      <c r="DA1006" s="156"/>
      <c r="DB1006" s="156"/>
      <c r="DC1006" s="156"/>
      <c r="DD1006" s="156"/>
      <c r="DE1006" s="156"/>
      <c r="DF1006" s="156"/>
      <c r="DG1006" s="156"/>
      <c r="DH1006" s="156"/>
      <c r="DI1006" s="156"/>
      <c r="DJ1006" s="156"/>
      <c r="DK1006" s="156"/>
      <c r="DL1006" s="156"/>
      <c r="DM1006" s="156"/>
      <c r="DN1006" s="156"/>
      <c r="DO1006" s="156"/>
      <c r="DP1006" s="156"/>
      <c r="DQ1006" s="156"/>
      <c r="DR1006" s="156"/>
      <c r="DS1006" s="156"/>
      <c r="DT1006" s="156"/>
      <c r="DU1006" s="156"/>
      <c r="DV1006" s="156"/>
      <c r="DW1006" s="156"/>
      <c r="DX1006" s="156"/>
      <c r="DY1006" s="156"/>
      <c r="DZ1006" s="156"/>
      <c r="EA1006" s="156"/>
      <c r="EB1006" s="156"/>
      <c r="EC1006" s="156"/>
      <c r="ED1006" s="156"/>
      <c r="EE1006" s="156"/>
      <c r="EF1006" s="156"/>
      <c r="EG1006" s="156"/>
      <c r="EH1006" s="156"/>
      <c r="EI1006" s="156"/>
      <c r="EJ1006" s="156"/>
      <c r="EK1006" s="156"/>
      <c r="EL1006" s="156"/>
      <c r="EM1006" s="156"/>
    </row>
    <row r="1007" spans="20:143" ht="10.5" customHeight="1">
      <c r="T1007" s="156"/>
      <c r="AZ1007" s="156"/>
      <c r="BA1007" s="156"/>
      <c r="BB1007" s="156"/>
      <c r="BC1007" s="156"/>
      <c r="BD1007" s="156"/>
      <c r="BE1007" s="156"/>
      <c r="BF1007" s="156"/>
      <c r="BG1007" s="156"/>
      <c r="BH1007" s="156"/>
      <c r="BI1007" s="156"/>
      <c r="BJ1007" s="156"/>
      <c r="BK1007" s="156"/>
      <c r="BL1007" s="156"/>
      <c r="BM1007" s="156"/>
      <c r="BN1007" s="156"/>
      <c r="BO1007" s="156"/>
      <c r="BP1007" s="156"/>
      <c r="BQ1007" s="156"/>
      <c r="BR1007" s="156"/>
      <c r="BS1007" s="156"/>
      <c r="BT1007" s="156"/>
      <c r="BU1007" s="156"/>
      <c r="BV1007" s="156"/>
      <c r="BW1007" s="156"/>
      <c r="BX1007" s="156"/>
      <c r="BY1007" s="156"/>
      <c r="BZ1007" s="156"/>
      <c r="CA1007" s="156"/>
      <c r="CB1007" s="156"/>
      <c r="CC1007" s="156"/>
      <c r="CD1007" s="156"/>
      <c r="CE1007" s="156"/>
      <c r="CF1007" s="156"/>
      <c r="CG1007" s="156"/>
      <c r="CH1007" s="156"/>
      <c r="CI1007" s="156"/>
      <c r="CJ1007" s="156"/>
      <c r="CK1007" s="156"/>
      <c r="CL1007" s="156"/>
      <c r="CM1007" s="156"/>
      <c r="CN1007" s="156"/>
      <c r="CO1007" s="156"/>
      <c r="CP1007" s="156"/>
      <c r="CQ1007" s="156"/>
      <c r="CR1007" s="156"/>
      <c r="CS1007" s="156"/>
      <c r="CT1007" s="156"/>
      <c r="CU1007" s="156"/>
      <c r="CV1007" s="156"/>
      <c r="CW1007" s="156"/>
      <c r="CX1007" s="156"/>
      <c r="CY1007" s="156"/>
      <c r="CZ1007" s="156"/>
      <c r="DA1007" s="156"/>
      <c r="DB1007" s="156"/>
      <c r="DC1007" s="156"/>
      <c r="DD1007" s="156"/>
      <c r="DE1007" s="156"/>
      <c r="DF1007" s="156"/>
      <c r="DG1007" s="156"/>
      <c r="DH1007" s="156"/>
      <c r="DI1007" s="156"/>
      <c r="DJ1007" s="156"/>
      <c r="DK1007" s="156"/>
      <c r="DL1007" s="156"/>
      <c r="DM1007" s="156"/>
      <c r="DN1007" s="156"/>
      <c r="DO1007" s="156"/>
      <c r="DP1007" s="156"/>
      <c r="DQ1007" s="156"/>
      <c r="DR1007" s="156"/>
      <c r="DS1007" s="156"/>
      <c r="DT1007" s="156"/>
      <c r="DU1007" s="156"/>
      <c r="DV1007" s="156"/>
      <c r="DW1007" s="156"/>
      <c r="DX1007" s="156"/>
      <c r="DY1007" s="156"/>
      <c r="DZ1007" s="156"/>
      <c r="EA1007" s="156"/>
      <c r="EB1007" s="156"/>
      <c r="EC1007" s="156"/>
      <c r="ED1007" s="156"/>
      <c r="EE1007" s="156"/>
      <c r="EF1007" s="156"/>
      <c r="EG1007" s="156"/>
      <c r="EH1007" s="156"/>
      <c r="EI1007" s="156"/>
      <c r="EJ1007" s="156"/>
      <c r="EK1007" s="156"/>
      <c r="EL1007" s="156"/>
      <c r="EM1007" s="156"/>
    </row>
    <row r="1008" spans="20:143" ht="10.5" customHeight="1">
      <c r="T1008" s="156"/>
      <c r="AZ1008" s="156"/>
      <c r="BA1008" s="156"/>
      <c r="BB1008" s="156"/>
      <c r="BC1008" s="156"/>
      <c r="BD1008" s="156"/>
      <c r="BE1008" s="156"/>
      <c r="BF1008" s="156"/>
      <c r="BG1008" s="156"/>
      <c r="BH1008" s="156"/>
      <c r="BI1008" s="156"/>
      <c r="BJ1008" s="156"/>
      <c r="BK1008" s="156"/>
      <c r="BL1008" s="156"/>
      <c r="BM1008" s="156"/>
      <c r="BN1008" s="156"/>
      <c r="BO1008" s="156"/>
      <c r="BP1008" s="156"/>
      <c r="BQ1008" s="156"/>
      <c r="BR1008" s="156"/>
      <c r="BS1008" s="156"/>
      <c r="BT1008" s="156"/>
      <c r="BU1008" s="156"/>
      <c r="BV1008" s="156"/>
      <c r="BW1008" s="156"/>
      <c r="BX1008" s="156"/>
      <c r="BY1008" s="156"/>
      <c r="BZ1008" s="156"/>
      <c r="CA1008" s="156"/>
      <c r="CB1008" s="156"/>
      <c r="CC1008" s="156"/>
      <c r="CD1008" s="156"/>
      <c r="CE1008" s="156"/>
      <c r="CF1008" s="156"/>
      <c r="CG1008" s="156"/>
      <c r="CH1008" s="156"/>
      <c r="CI1008" s="156"/>
      <c r="CJ1008" s="156"/>
      <c r="CK1008" s="156"/>
      <c r="CL1008" s="156"/>
      <c r="CM1008" s="156"/>
      <c r="CN1008" s="156"/>
      <c r="CO1008" s="156"/>
      <c r="CP1008" s="156"/>
      <c r="CQ1008" s="156"/>
      <c r="CR1008" s="156"/>
      <c r="CS1008" s="156"/>
      <c r="CT1008" s="156"/>
      <c r="CU1008" s="156"/>
      <c r="CV1008" s="156"/>
      <c r="CW1008" s="156"/>
      <c r="CX1008" s="156"/>
      <c r="CY1008" s="156"/>
      <c r="CZ1008" s="156"/>
      <c r="DA1008" s="156"/>
      <c r="DB1008" s="156"/>
      <c r="DC1008" s="156"/>
      <c r="DD1008" s="156"/>
      <c r="DE1008" s="156"/>
      <c r="DF1008" s="156"/>
      <c r="DG1008" s="156"/>
      <c r="DH1008" s="156"/>
      <c r="DI1008" s="156"/>
      <c r="DJ1008" s="156"/>
      <c r="DK1008" s="156"/>
      <c r="DL1008" s="156"/>
      <c r="DM1008" s="156"/>
      <c r="DN1008" s="156"/>
      <c r="DO1008" s="156"/>
      <c r="DP1008" s="156"/>
      <c r="DQ1008" s="156"/>
      <c r="DR1008" s="156"/>
      <c r="DS1008" s="156"/>
      <c r="DT1008" s="156"/>
      <c r="DU1008" s="156"/>
      <c r="DV1008" s="156"/>
      <c r="DW1008" s="156"/>
      <c r="DX1008" s="156"/>
      <c r="DY1008" s="156"/>
      <c r="DZ1008" s="156"/>
      <c r="EA1008" s="156"/>
      <c r="EB1008" s="156"/>
      <c r="EC1008" s="156"/>
      <c r="ED1008" s="156"/>
      <c r="EE1008" s="156"/>
      <c r="EF1008" s="156"/>
      <c r="EG1008" s="156"/>
      <c r="EH1008" s="156"/>
      <c r="EI1008" s="156"/>
      <c r="EJ1008" s="156"/>
      <c r="EK1008" s="156"/>
      <c r="EL1008" s="156"/>
      <c r="EM1008" s="156"/>
    </row>
    <row r="1009" spans="20:143" ht="10.5" customHeight="1">
      <c r="T1009" s="156"/>
      <c r="AZ1009" s="156"/>
      <c r="BA1009" s="156"/>
      <c r="BB1009" s="156"/>
      <c r="BC1009" s="156"/>
      <c r="BD1009" s="156"/>
      <c r="BE1009" s="156"/>
      <c r="BF1009" s="156"/>
      <c r="BG1009" s="156"/>
      <c r="BH1009" s="156"/>
      <c r="BI1009" s="156"/>
      <c r="BJ1009" s="156"/>
      <c r="BK1009" s="156"/>
      <c r="BL1009" s="156"/>
      <c r="BM1009" s="156"/>
      <c r="BN1009" s="156"/>
      <c r="BO1009" s="156"/>
      <c r="BP1009" s="156"/>
      <c r="BQ1009" s="156"/>
      <c r="BR1009" s="156"/>
      <c r="BS1009" s="156"/>
      <c r="BT1009" s="156"/>
      <c r="BU1009" s="156"/>
      <c r="BV1009" s="156"/>
      <c r="BW1009" s="156"/>
      <c r="BX1009" s="156"/>
      <c r="BY1009" s="156"/>
      <c r="BZ1009" s="156"/>
      <c r="CA1009" s="156"/>
      <c r="CB1009" s="156"/>
      <c r="CC1009" s="156"/>
      <c r="CD1009" s="156"/>
      <c r="CE1009" s="156"/>
      <c r="CF1009" s="156"/>
      <c r="CG1009" s="156"/>
      <c r="CH1009" s="156"/>
      <c r="CI1009" s="156"/>
      <c r="CJ1009" s="156"/>
      <c r="CK1009" s="156"/>
      <c r="CL1009" s="156"/>
      <c r="CM1009" s="156"/>
      <c r="CN1009" s="156"/>
      <c r="CO1009" s="156"/>
      <c r="CP1009" s="156"/>
      <c r="CQ1009" s="156"/>
      <c r="CR1009" s="156"/>
      <c r="CS1009" s="156"/>
      <c r="CT1009" s="156"/>
      <c r="CU1009" s="156"/>
      <c r="CV1009" s="156"/>
      <c r="CW1009" s="156"/>
      <c r="CX1009" s="156"/>
      <c r="CY1009" s="156"/>
      <c r="CZ1009" s="156"/>
      <c r="DA1009" s="156"/>
      <c r="DB1009" s="156"/>
      <c r="DC1009" s="156"/>
      <c r="DD1009" s="156"/>
      <c r="DE1009" s="156"/>
      <c r="DF1009" s="156"/>
      <c r="DG1009" s="156"/>
      <c r="DH1009" s="156"/>
      <c r="DI1009" s="156"/>
      <c r="DJ1009" s="156"/>
      <c r="DK1009" s="156"/>
      <c r="DL1009" s="156"/>
      <c r="DM1009" s="156"/>
      <c r="DN1009" s="156"/>
      <c r="DO1009" s="156"/>
      <c r="DP1009" s="156"/>
      <c r="DQ1009" s="156"/>
      <c r="DR1009" s="156"/>
      <c r="DS1009" s="156"/>
      <c r="DT1009" s="156"/>
      <c r="DU1009" s="156"/>
      <c r="DV1009" s="156"/>
      <c r="DW1009" s="156"/>
      <c r="DX1009" s="156"/>
      <c r="DY1009" s="156"/>
      <c r="DZ1009" s="156"/>
      <c r="EA1009" s="156"/>
      <c r="EB1009" s="156"/>
      <c r="EC1009" s="156"/>
      <c r="ED1009" s="156"/>
      <c r="EE1009" s="156"/>
      <c r="EF1009" s="156"/>
      <c r="EG1009" s="156"/>
      <c r="EH1009" s="156"/>
      <c r="EI1009" s="156"/>
      <c r="EJ1009" s="156"/>
      <c r="EK1009" s="156"/>
      <c r="EL1009" s="156"/>
      <c r="EM1009" s="156"/>
    </row>
    <row r="1010" spans="20:143" ht="10.5" customHeight="1">
      <c r="T1010" s="156"/>
      <c r="AZ1010" s="156"/>
      <c r="BA1010" s="156"/>
      <c r="BB1010" s="156"/>
      <c r="BC1010" s="156"/>
      <c r="BD1010" s="156"/>
      <c r="BE1010" s="156"/>
      <c r="BF1010" s="156"/>
      <c r="BG1010" s="156"/>
      <c r="BH1010" s="156"/>
      <c r="BI1010" s="156"/>
      <c r="BJ1010" s="156"/>
      <c r="BK1010" s="156"/>
      <c r="BL1010" s="156"/>
      <c r="BM1010" s="156"/>
      <c r="BN1010" s="156"/>
      <c r="BO1010" s="156"/>
      <c r="BP1010" s="156"/>
      <c r="BQ1010" s="156"/>
      <c r="BR1010" s="156"/>
      <c r="BS1010" s="156"/>
      <c r="BT1010" s="156"/>
      <c r="BU1010" s="156"/>
      <c r="BV1010" s="156"/>
      <c r="BW1010" s="156"/>
      <c r="BX1010" s="156"/>
      <c r="BY1010" s="156"/>
      <c r="BZ1010" s="156"/>
      <c r="CA1010" s="156"/>
      <c r="CB1010" s="156"/>
      <c r="CC1010" s="156"/>
      <c r="CD1010" s="156"/>
      <c r="CE1010" s="156"/>
      <c r="CF1010" s="156"/>
      <c r="CG1010" s="156"/>
      <c r="CH1010" s="156"/>
      <c r="CI1010" s="156"/>
      <c r="CJ1010" s="156"/>
      <c r="CK1010" s="156"/>
      <c r="CL1010" s="156"/>
      <c r="CM1010" s="156"/>
      <c r="CN1010" s="156"/>
      <c r="CO1010" s="156"/>
      <c r="CP1010" s="156"/>
      <c r="CQ1010" s="156"/>
      <c r="CR1010" s="156"/>
      <c r="CS1010" s="156"/>
      <c r="CT1010" s="156"/>
      <c r="CU1010" s="156"/>
      <c r="CV1010" s="156"/>
      <c r="CW1010" s="156"/>
      <c r="CX1010" s="156"/>
      <c r="CY1010" s="156"/>
      <c r="CZ1010" s="156"/>
      <c r="DA1010" s="156"/>
      <c r="DB1010" s="156"/>
      <c r="DC1010" s="156"/>
      <c r="DD1010" s="156"/>
      <c r="DE1010" s="156"/>
      <c r="DF1010" s="156"/>
      <c r="DG1010" s="156"/>
      <c r="DH1010" s="156"/>
      <c r="DI1010" s="156"/>
      <c r="DJ1010" s="156"/>
      <c r="DK1010" s="156"/>
      <c r="DL1010" s="156"/>
      <c r="DM1010" s="156"/>
      <c r="DN1010" s="156"/>
      <c r="DO1010" s="156"/>
      <c r="DP1010" s="156"/>
      <c r="DQ1010" s="156"/>
      <c r="DR1010" s="156"/>
      <c r="DS1010" s="156"/>
      <c r="DT1010" s="156"/>
      <c r="DU1010" s="156"/>
      <c r="DV1010" s="156"/>
      <c r="DW1010" s="156"/>
      <c r="DX1010" s="156"/>
      <c r="DY1010" s="156"/>
      <c r="DZ1010" s="156"/>
      <c r="EA1010" s="156"/>
      <c r="EB1010" s="156"/>
      <c r="EC1010" s="156"/>
      <c r="ED1010" s="156"/>
      <c r="EE1010" s="156"/>
      <c r="EF1010" s="156"/>
      <c r="EG1010" s="156"/>
      <c r="EH1010" s="156"/>
      <c r="EI1010" s="156"/>
      <c r="EJ1010" s="156"/>
      <c r="EK1010" s="156"/>
      <c r="EL1010" s="156"/>
      <c r="EM1010" s="156"/>
    </row>
    <row r="1011" spans="20:143" ht="10.5" customHeight="1">
      <c r="T1011" s="156"/>
      <c r="AZ1011" s="156"/>
      <c r="BA1011" s="156"/>
      <c r="BB1011" s="156"/>
      <c r="BC1011" s="156"/>
      <c r="BD1011" s="156"/>
      <c r="BE1011" s="156"/>
      <c r="BF1011" s="156"/>
      <c r="BG1011" s="156"/>
      <c r="BH1011" s="156"/>
      <c r="BI1011" s="156"/>
      <c r="BJ1011" s="156"/>
      <c r="BK1011" s="156"/>
      <c r="BL1011" s="156"/>
      <c r="BM1011" s="156"/>
      <c r="BN1011" s="156"/>
      <c r="BO1011" s="156"/>
      <c r="BP1011" s="156"/>
      <c r="BQ1011" s="156"/>
      <c r="BR1011" s="156"/>
      <c r="BS1011" s="156"/>
      <c r="BT1011" s="156"/>
      <c r="BU1011" s="156"/>
      <c r="BV1011" s="156"/>
      <c r="BW1011" s="156"/>
      <c r="BX1011" s="156"/>
      <c r="BY1011" s="156"/>
      <c r="BZ1011" s="156"/>
      <c r="CA1011" s="156"/>
      <c r="CB1011" s="156"/>
      <c r="CC1011" s="156"/>
      <c r="CD1011" s="156"/>
      <c r="CE1011" s="156"/>
      <c r="CF1011" s="156"/>
      <c r="CG1011" s="156"/>
      <c r="CH1011" s="156"/>
      <c r="CI1011" s="156"/>
      <c r="CJ1011" s="156"/>
      <c r="CK1011" s="156"/>
      <c r="CL1011" s="156"/>
      <c r="CM1011" s="156"/>
      <c r="CN1011" s="156"/>
      <c r="CO1011" s="156"/>
      <c r="CP1011" s="156"/>
      <c r="CQ1011" s="156"/>
      <c r="CR1011" s="156"/>
      <c r="CS1011" s="156"/>
      <c r="CT1011" s="156"/>
      <c r="CU1011" s="156"/>
      <c r="CV1011" s="156"/>
      <c r="CW1011" s="156"/>
      <c r="CX1011" s="156"/>
      <c r="CY1011" s="156"/>
      <c r="CZ1011" s="156"/>
      <c r="DA1011" s="156"/>
      <c r="DB1011" s="156"/>
      <c r="DC1011" s="156"/>
      <c r="DD1011" s="156"/>
      <c r="DE1011" s="156"/>
      <c r="DF1011" s="156"/>
      <c r="DG1011" s="156"/>
      <c r="DH1011" s="156"/>
      <c r="DI1011" s="156"/>
      <c r="DJ1011" s="156"/>
      <c r="DK1011" s="156"/>
      <c r="DL1011" s="156"/>
      <c r="DM1011" s="156"/>
      <c r="DN1011" s="156"/>
      <c r="DO1011" s="156"/>
      <c r="DP1011" s="156"/>
      <c r="DQ1011" s="156"/>
      <c r="DR1011" s="156"/>
      <c r="DS1011" s="156"/>
      <c r="DT1011" s="156"/>
      <c r="DU1011" s="156"/>
      <c r="DV1011" s="156"/>
      <c r="DW1011" s="156"/>
      <c r="DX1011" s="156"/>
      <c r="DY1011" s="156"/>
      <c r="DZ1011" s="156"/>
      <c r="EA1011" s="156"/>
      <c r="EB1011" s="156"/>
      <c r="EC1011" s="156"/>
      <c r="ED1011" s="156"/>
      <c r="EE1011" s="156"/>
      <c r="EF1011" s="156"/>
      <c r="EG1011" s="156"/>
      <c r="EH1011" s="156"/>
      <c r="EI1011" s="156"/>
      <c r="EJ1011" s="156"/>
      <c r="EK1011" s="156"/>
      <c r="EL1011" s="156"/>
      <c r="EM1011" s="156"/>
    </row>
    <row r="1012" spans="20:143" ht="10.5" customHeight="1">
      <c r="T1012" s="156"/>
      <c r="AZ1012" s="156"/>
      <c r="BA1012" s="156"/>
      <c r="BB1012" s="156"/>
      <c r="BC1012" s="156"/>
      <c r="BD1012" s="156"/>
      <c r="BE1012" s="156"/>
      <c r="BF1012" s="156"/>
      <c r="BG1012" s="156"/>
      <c r="BH1012" s="156"/>
      <c r="BI1012" s="156"/>
      <c r="BJ1012" s="156"/>
      <c r="BK1012" s="156"/>
      <c r="BL1012" s="156"/>
      <c r="BM1012" s="156"/>
      <c r="BN1012" s="156"/>
      <c r="BO1012" s="156"/>
      <c r="BP1012" s="156"/>
      <c r="BQ1012" s="156"/>
      <c r="BR1012" s="156"/>
      <c r="BS1012" s="156"/>
      <c r="BT1012" s="156"/>
      <c r="BU1012" s="156"/>
      <c r="BV1012" s="156"/>
      <c r="BW1012" s="156"/>
      <c r="BX1012" s="156"/>
      <c r="BY1012" s="156"/>
      <c r="BZ1012" s="156"/>
      <c r="CA1012" s="156"/>
      <c r="CB1012" s="156"/>
      <c r="CC1012" s="156"/>
      <c r="CD1012" s="156"/>
      <c r="CE1012" s="156"/>
      <c r="CF1012" s="156"/>
      <c r="CG1012" s="156"/>
      <c r="CH1012" s="156"/>
      <c r="CI1012" s="156"/>
      <c r="CJ1012" s="156"/>
      <c r="CK1012" s="156"/>
      <c r="CL1012" s="156"/>
      <c r="CM1012" s="156"/>
      <c r="CN1012" s="156"/>
      <c r="CO1012" s="156"/>
      <c r="CP1012" s="156"/>
      <c r="CQ1012" s="156"/>
      <c r="CR1012" s="156"/>
      <c r="CS1012" s="156"/>
      <c r="CT1012" s="156"/>
      <c r="CU1012" s="156"/>
      <c r="CV1012" s="156"/>
      <c r="CW1012" s="156"/>
      <c r="CX1012" s="156"/>
      <c r="CY1012" s="156"/>
      <c r="CZ1012" s="156"/>
      <c r="DA1012" s="156"/>
      <c r="DB1012" s="156"/>
      <c r="DC1012" s="156"/>
      <c r="DD1012" s="156"/>
      <c r="DE1012" s="156"/>
      <c r="DF1012" s="156"/>
      <c r="DG1012" s="156"/>
      <c r="DH1012" s="156"/>
      <c r="DI1012" s="156"/>
      <c r="DJ1012" s="156"/>
      <c r="DK1012" s="156"/>
      <c r="DL1012" s="156"/>
      <c r="DM1012" s="156"/>
      <c r="DN1012" s="156"/>
      <c r="DO1012" s="156"/>
      <c r="DP1012" s="156"/>
      <c r="DQ1012" s="156"/>
      <c r="DR1012" s="156"/>
      <c r="DS1012" s="156"/>
      <c r="DT1012" s="156"/>
      <c r="DU1012" s="156"/>
      <c r="DV1012" s="156"/>
      <c r="DW1012" s="156"/>
      <c r="DX1012" s="156"/>
      <c r="DY1012" s="156"/>
      <c r="DZ1012" s="156"/>
      <c r="EA1012" s="156"/>
      <c r="EB1012" s="156"/>
      <c r="EC1012" s="156"/>
      <c r="ED1012" s="156"/>
      <c r="EE1012" s="156"/>
      <c r="EF1012" s="156"/>
      <c r="EG1012" s="156"/>
      <c r="EH1012" s="156"/>
      <c r="EI1012" s="156"/>
      <c r="EJ1012" s="156"/>
      <c r="EK1012" s="156"/>
      <c r="EL1012" s="156"/>
      <c r="EM1012" s="156"/>
    </row>
    <row r="1013" spans="20:143" ht="10.5" customHeight="1">
      <c r="T1013" s="156"/>
      <c r="AZ1013" s="156"/>
      <c r="BA1013" s="156"/>
      <c r="BB1013" s="156"/>
      <c r="BC1013" s="156"/>
      <c r="BD1013" s="156"/>
      <c r="BE1013" s="156"/>
      <c r="BF1013" s="156"/>
      <c r="BG1013" s="156"/>
      <c r="BH1013" s="156"/>
      <c r="BI1013" s="156"/>
      <c r="BJ1013" s="156"/>
      <c r="BK1013" s="156"/>
      <c r="BL1013" s="156"/>
      <c r="BM1013" s="156"/>
      <c r="BN1013" s="156"/>
      <c r="BO1013" s="156"/>
      <c r="BP1013" s="156"/>
      <c r="BQ1013" s="156"/>
      <c r="BR1013" s="156"/>
      <c r="BS1013" s="156"/>
      <c r="BT1013" s="156"/>
      <c r="BU1013" s="156"/>
      <c r="BV1013" s="156"/>
      <c r="BW1013" s="156"/>
      <c r="BX1013" s="156"/>
      <c r="BY1013" s="156"/>
      <c r="BZ1013" s="156"/>
      <c r="CA1013" s="156"/>
      <c r="CB1013" s="156"/>
      <c r="CC1013" s="156"/>
      <c r="CD1013" s="156"/>
      <c r="CE1013" s="156"/>
      <c r="CF1013" s="156"/>
      <c r="CG1013" s="156"/>
      <c r="CH1013" s="156"/>
      <c r="CI1013" s="156"/>
      <c r="CJ1013" s="156"/>
      <c r="CK1013" s="156"/>
      <c r="CL1013" s="156"/>
      <c r="CM1013" s="156"/>
      <c r="CN1013" s="156"/>
      <c r="CO1013" s="156"/>
      <c r="CP1013" s="156"/>
      <c r="CQ1013" s="156"/>
      <c r="CR1013" s="156"/>
      <c r="CS1013" s="156"/>
      <c r="CT1013" s="156"/>
      <c r="CU1013" s="156"/>
      <c r="CV1013" s="156"/>
      <c r="CW1013" s="156"/>
      <c r="CX1013" s="156"/>
      <c r="CY1013" s="156"/>
      <c r="CZ1013" s="156"/>
      <c r="DA1013" s="156"/>
      <c r="DB1013" s="156"/>
      <c r="DC1013" s="156"/>
      <c r="DD1013" s="156"/>
      <c r="DE1013" s="156"/>
      <c r="DF1013" s="156"/>
      <c r="DG1013" s="156"/>
      <c r="DH1013" s="156"/>
      <c r="DI1013" s="156"/>
      <c r="DJ1013" s="156"/>
      <c r="DK1013" s="156"/>
      <c r="DL1013" s="156"/>
      <c r="DM1013" s="156"/>
      <c r="DN1013" s="156"/>
      <c r="DO1013" s="156"/>
      <c r="DP1013" s="156"/>
      <c r="DQ1013" s="156"/>
      <c r="DR1013" s="156"/>
      <c r="DS1013" s="156"/>
      <c r="DT1013" s="156"/>
      <c r="DU1013" s="156"/>
      <c r="DV1013" s="156"/>
      <c r="DW1013" s="156"/>
      <c r="DX1013" s="156"/>
      <c r="DY1013" s="156"/>
      <c r="DZ1013" s="156"/>
      <c r="EA1013" s="156"/>
      <c r="EB1013" s="156"/>
      <c r="EC1013" s="156"/>
      <c r="ED1013" s="156"/>
      <c r="EE1013" s="156"/>
      <c r="EF1013" s="156"/>
      <c r="EG1013" s="156"/>
      <c r="EH1013" s="156"/>
      <c r="EI1013" s="156"/>
      <c r="EJ1013" s="156"/>
      <c r="EK1013" s="156"/>
      <c r="EL1013" s="156"/>
      <c r="EM1013" s="156"/>
    </row>
    <row r="1014" spans="20:143" ht="10.5" customHeight="1">
      <c r="T1014" s="156"/>
      <c r="AZ1014" s="156"/>
      <c r="BA1014" s="156"/>
      <c r="BB1014" s="156"/>
      <c r="BC1014" s="156"/>
      <c r="BD1014" s="156"/>
      <c r="BE1014" s="156"/>
      <c r="BF1014" s="156"/>
      <c r="BG1014" s="156"/>
      <c r="BH1014" s="156"/>
      <c r="BI1014" s="156"/>
      <c r="BJ1014" s="156"/>
      <c r="BK1014" s="156"/>
      <c r="BL1014" s="156"/>
      <c r="BM1014" s="156"/>
      <c r="BN1014" s="156"/>
      <c r="BO1014" s="156"/>
      <c r="BP1014" s="156"/>
      <c r="BQ1014" s="156"/>
      <c r="BR1014" s="156"/>
      <c r="BS1014" s="156"/>
      <c r="BT1014" s="156"/>
      <c r="BU1014" s="156"/>
      <c r="BV1014" s="156"/>
      <c r="BW1014" s="156"/>
      <c r="BX1014" s="156"/>
      <c r="BY1014" s="156"/>
      <c r="BZ1014" s="156"/>
      <c r="CA1014" s="156"/>
      <c r="CB1014" s="156"/>
      <c r="CC1014" s="156"/>
      <c r="CD1014" s="156"/>
      <c r="CE1014" s="156"/>
      <c r="CF1014" s="156"/>
      <c r="CG1014" s="156"/>
      <c r="CH1014" s="156"/>
      <c r="CI1014" s="156"/>
      <c r="CJ1014" s="156"/>
      <c r="CK1014" s="156"/>
      <c r="CL1014" s="156"/>
      <c r="CM1014" s="156"/>
      <c r="CN1014" s="156"/>
      <c r="CO1014" s="156"/>
      <c r="CP1014" s="156"/>
      <c r="CQ1014" s="156"/>
      <c r="CR1014" s="156"/>
      <c r="CS1014" s="156"/>
      <c r="CT1014" s="156"/>
      <c r="CU1014" s="156"/>
      <c r="CV1014" s="156"/>
      <c r="CW1014" s="156"/>
      <c r="CX1014" s="156"/>
      <c r="CY1014" s="156"/>
      <c r="CZ1014" s="156"/>
      <c r="DA1014" s="156"/>
      <c r="DB1014" s="156"/>
      <c r="DC1014" s="156"/>
      <c r="DD1014" s="156"/>
      <c r="DE1014" s="156"/>
      <c r="DF1014" s="156"/>
      <c r="DG1014" s="156"/>
      <c r="DH1014" s="156"/>
      <c r="DI1014" s="156"/>
      <c r="DJ1014" s="156"/>
      <c r="DK1014" s="156"/>
      <c r="DL1014" s="156"/>
      <c r="DM1014" s="156"/>
      <c r="DN1014" s="156"/>
      <c r="DO1014" s="156"/>
      <c r="DP1014" s="156"/>
      <c r="DQ1014" s="156"/>
      <c r="DR1014" s="156"/>
      <c r="DS1014" s="156"/>
      <c r="DT1014" s="156"/>
      <c r="DU1014" s="156"/>
      <c r="DV1014" s="156"/>
      <c r="DW1014" s="156"/>
      <c r="DX1014" s="156"/>
      <c r="DY1014" s="156"/>
      <c r="DZ1014" s="156"/>
      <c r="EA1014" s="156"/>
      <c r="EB1014" s="156"/>
      <c r="EC1014" s="156"/>
      <c r="ED1014" s="156"/>
      <c r="EE1014" s="156"/>
      <c r="EF1014" s="156"/>
      <c r="EG1014" s="156"/>
      <c r="EH1014" s="156"/>
      <c r="EI1014" s="156"/>
      <c r="EJ1014" s="156"/>
      <c r="EK1014" s="156"/>
      <c r="EL1014" s="156"/>
      <c r="EM1014" s="156"/>
    </row>
    <row r="1015" spans="20:143" ht="10.5" customHeight="1">
      <c r="T1015" s="156"/>
      <c r="AZ1015" s="156"/>
      <c r="BA1015" s="156"/>
      <c r="BB1015" s="156"/>
      <c r="BC1015" s="156"/>
      <c r="BD1015" s="156"/>
      <c r="BE1015" s="156"/>
      <c r="BF1015" s="156"/>
      <c r="BG1015" s="156"/>
      <c r="BH1015" s="156"/>
      <c r="BI1015" s="156"/>
      <c r="BJ1015" s="156"/>
      <c r="BK1015" s="156"/>
      <c r="BL1015" s="156"/>
      <c r="BM1015" s="156"/>
      <c r="BN1015" s="156"/>
      <c r="BO1015" s="156"/>
      <c r="BP1015" s="156"/>
      <c r="BQ1015" s="156"/>
      <c r="BR1015" s="156"/>
      <c r="BS1015" s="156"/>
      <c r="BT1015" s="156"/>
      <c r="BU1015" s="156"/>
      <c r="BV1015" s="156"/>
      <c r="BW1015" s="156"/>
      <c r="BX1015" s="156"/>
      <c r="BY1015" s="156"/>
      <c r="BZ1015" s="156"/>
      <c r="CA1015" s="156"/>
      <c r="CB1015" s="156"/>
      <c r="CC1015" s="156"/>
      <c r="CD1015" s="156"/>
      <c r="CE1015" s="156"/>
      <c r="CF1015" s="156"/>
      <c r="CG1015" s="156"/>
      <c r="CH1015" s="156"/>
      <c r="CI1015" s="156"/>
      <c r="CJ1015" s="156"/>
      <c r="CK1015" s="156"/>
      <c r="CL1015" s="156"/>
      <c r="CM1015" s="156"/>
      <c r="CN1015" s="156"/>
      <c r="CO1015" s="156"/>
      <c r="CP1015" s="156"/>
      <c r="CQ1015" s="156"/>
      <c r="CR1015" s="156"/>
      <c r="CS1015" s="156"/>
      <c r="CT1015" s="156"/>
      <c r="CU1015" s="156"/>
      <c r="CV1015" s="156"/>
      <c r="CW1015" s="156"/>
      <c r="CX1015" s="156"/>
      <c r="CY1015" s="156"/>
      <c r="CZ1015" s="156"/>
      <c r="DA1015" s="156"/>
      <c r="DB1015" s="156"/>
      <c r="DC1015" s="156"/>
      <c r="DD1015" s="156"/>
      <c r="DE1015" s="156"/>
      <c r="DF1015" s="156"/>
      <c r="DG1015" s="156"/>
      <c r="DH1015" s="156"/>
      <c r="DI1015" s="156"/>
      <c r="DJ1015" s="156"/>
      <c r="DK1015" s="156"/>
      <c r="DL1015" s="156"/>
      <c r="DM1015" s="156"/>
      <c r="DN1015" s="156"/>
      <c r="DO1015" s="156"/>
      <c r="DP1015" s="156"/>
      <c r="DQ1015" s="156"/>
      <c r="DR1015" s="156"/>
      <c r="DS1015" s="156"/>
      <c r="DT1015" s="156"/>
      <c r="DU1015" s="156"/>
      <c r="DV1015" s="156"/>
      <c r="DW1015" s="156"/>
      <c r="DX1015" s="156"/>
      <c r="DY1015" s="156"/>
      <c r="DZ1015" s="156"/>
      <c r="EA1015" s="156"/>
      <c r="EB1015" s="156"/>
      <c r="EC1015" s="156"/>
      <c r="ED1015" s="156"/>
      <c r="EE1015" s="156"/>
      <c r="EF1015" s="156"/>
      <c r="EG1015" s="156"/>
      <c r="EH1015" s="156"/>
      <c r="EI1015" s="156"/>
      <c r="EJ1015" s="156"/>
      <c r="EK1015" s="156"/>
      <c r="EL1015" s="156"/>
      <c r="EM1015" s="156"/>
    </row>
    <row r="1016" spans="20:143" ht="10.5" customHeight="1">
      <c r="T1016" s="156"/>
      <c r="AZ1016" s="156"/>
      <c r="BA1016" s="156"/>
      <c r="BB1016" s="156"/>
      <c r="BC1016" s="156"/>
      <c r="BD1016" s="156"/>
      <c r="BE1016" s="156"/>
      <c r="BF1016" s="156"/>
      <c r="BG1016" s="156"/>
      <c r="BH1016" s="156"/>
      <c r="BI1016" s="156"/>
      <c r="BJ1016" s="156"/>
      <c r="BK1016" s="156"/>
      <c r="BL1016" s="156"/>
      <c r="BM1016" s="156"/>
      <c r="BN1016" s="156"/>
      <c r="BO1016" s="156"/>
      <c r="BP1016" s="156"/>
      <c r="BQ1016" s="156"/>
      <c r="BR1016" s="156"/>
      <c r="BS1016" s="156"/>
      <c r="BT1016" s="156"/>
      <c r="BU1016" s="156"/>
      <c r="BV1016" s="156"/>
      <c r="BW1016" s="156"/>
      <c r="BX1016" s="156"/>
      <c r="BY1016" s="156"/>
      <c r="BZ1016" s="156"/>
      <c r="CA1016" s="156"/>
      <c r="CB1016" s="156"/>
      <c r="CC1016" s="156"/>
      <c r="CD1016" s="156"/>
      <c r="CE1016" s="156"/>
      <c r="CF1016" s="156"/>
      <c r="CG1016" s="156"/>
      <c r="CH1016" s="156"/>
      <c r="CI1016" s="156"/>
      <c r="CJ1016" s="156"/>
      <c r="CK1016" s="156"/>
      <c r="CL1016" s="156"/>
      <c r="CM1016" s="156"/>
      <c r="CN1016" s="156"/>
      <c r="CO1016" s="156"/>
      <c r="CP1016" s="156"/>
      <c r="CQ1016" s="156"/>
      <c r="CR1016" s="156"/>
      <c r="CS1016" s="156"/>
      <c r="CT1016" s="156"/>
      <c r="CU1016" s="156"/>
      <c r="CV1016" s="156"/>
      <c r="CW1016" s="156"/>
      <c r="CX1016" s="156"/>
      <c r="CY1016" s="156"/>
      <c r="CZ1016" s="156"/>
      <c r="DA1016" s="156"/>
      <c r="DB1016" s="156"/>
      <c r="DC1016" s="156"/>
      <c r="DD1016" s="156"/>
      <c r="DE1016" s="156"/>
      <c r="DF1016" s="156"/>
      <c r="DG1016" s="156"/>
      <c r="DH1016" s="156"/>
      <c r="DI1016" s="156"/>
      <c r="DJ1016" s="156"/>
      <c r="DK1016" s="156"/>
      <c r="DL1016" s="156"/>
      <c r="DM1016" s="156"/>
      <c r="DN1016" s="156"/>
      <c r="DO1016" s="156"/>
      <c r="DP1016" s="156"/>
      <c r="DQ1016" s="156"/>
      <c r="DR1016" s="156"/>
      <c r="DS1016" s="156"/>
      <c r="DT1016" s="156"/>
      <c r="DU1016" s="156"/>
      <c r="DV1016" s="156"/>
      <c r="DW1016" s="156"/>
      <c r="DX1016" s="156"/>
      <c r="DY1016" s="156"/>
      <c r="DZ1016" s="156"/>
      <c r="EA1016" s="156"/>
      <c r="EB1016" s="156"/>
      <c r="EC1016" s="156"/>
      <c r="ED1016" s="156"/>
      <c r="EE1016" s="156"/>
      <c r="EF1016" s="156"/>
      <c r="EG1016" s="156"/>
      <c r="EH1016" s="156"/>
      <c r="EI1016" s="156"/>
      <c r="EJ1016" s="156"/>
      <c r="EK1016" s="156"/>
      <c r="EL1016" s="156"/>
      <c r="EM1016" s="156"/>
    </row>
    <row r="1017" spans="20:143" ht="10.5" customHeight="1">
      <c r="T1017" s="156"/>
      <c r="AZ1017" s="156"/>
      <c r="BA1017" s="156"/>
      <c r="BB1017" s="156"/>
      <c r="BC1017" s="156"/>
      <c r="BD1017" s="156"/>
      <c r="BE1017" s="156"/>
      <c r="BF1017" s="156"/>
      <c r="BG1017" s="156"/>
      <c r="BH1017" s="156"/>
      <c r="BI1017" s="156"/>
      <c r="BJ1017" s="156"/>
      <c r="BK1017" s="156"/>
      <c r="BL1017" s="156"/>
      <c r="BM1017" s="156"/>
      <c r="BN1017" s="156"/>
      <c r="BO1017" s="156"/>
      <c r="BP1017" s="156"/>
      <c r="BQ1017" s="156"/>
      <c r="BR1017" s="156"/>
      <c r="BS1017" s="156"/>
      <c r="BT1017" s="156"/>
      <c r="BU1017" s="156"/>
      <c r="BV1017" s="156"/>
      <c r="BW1017" s="156"/>
      <c r="BX1017" s="156"/>
      <c r="BY1017" s="156"/>
      <c r="BZ1017" s="156"/>
      <c r="CA1017" s="156"/>
      <c r="CB1017" s="156"/>
      <c r="CC1017" s="156"/>
      <c r="CD1017" s="156"/>
      <c r="CE1017" s="156"/>
      <c r="CF1017" s="156"/>
      <c r="CG1017" s="156"/>
      <c r="CH1017" s="156"/>
      <c r="CI1017" s="156"/>
      <c r="CJ1017" s="156"/>
      <c r="CK1017" s="156"/>
      <c r="CL1017" s="156"/>
      <c r="CM1017" s="156"/>
      <c r="CN1017" s="156"/>
      <c r="CO1017" s="156"/>
      <c r="CP1017" s="156"/>
      <c r="CQ1017" s="156"/>
      <c r="CR1017" s="156"/>
      <c r="CS1017" s="156"/>
      <c r="CT1017" s="156"/>
      <c r="CU1017" s="156"/>
      <c r="CV1017" s="156"/>
      <c r="CW1017" s="156"/>
      <c r="CX1017" s="156"/>
      <c r="CY1017" s="156"/>
      <c r="CZ1017" s="156"/>
      <c r="DA1017" s="156"/>
      <c r="DB1017" s="156"/>
      <c r="DC1017" s="156"/>
      <c r="DD1017" s="156"/>
      <c r="DE1017" s="156"/>
      <c r="DF1017" s="156"/>
      <c r="DG1017" s="156"/>
      <c r="DH1017" s="156"/>
      <c r="DI1017" s="156"/>
      <c r="DJ1017" s="156"/>
      <c r="DK1017" s="156"/>
      <c r="DL1017" s="156"/>
      <c r="DM1017" s="156"/>
      <c r="DN1017" s="156"/>
      <c r="DO1017" s="156"/>
      <c r="DP1017" s="156"/>
      <c r="DQ1017" s="156"/>
      <c r="DR1017" s="156"/>
      <c r="DS1017" s="156"/>
      <c r="DT1017" s="156"/>
      <c r="DU1017" s="156"/>
      <c r="DV1017" s="156"/>
      <c r="DW1017" s="156"/>
      <c r="DX1017" s="156"/>
      <c r="DY1017" s="156"/>
      <c r="DZ1017" s="156"/>
      <c r="EA1017" s="156"/>
      <c r="EB1017" s="156"/>
      <c r="EC1017" s="156"/>
      <c r="ED1017" s="156"/>
      <c r="EE1017" s="156"/>
      <c r="EF1017" s="156"/>
      <c r="EG1017" s="156"/>
      <c r="EH1017" s="156"/>
      <c r="EI1017" s="156"/>
      <c r="EJ1017" s="156"/>
      <c r="EK1017" s="156"/>
      <c r="EL1017" s="156"/>
      <c r="EM1017" s="156"/>
    </row>
    <row r="1018" spans="20:143" ht="10.5" customHeight="1">
      <c r="T1018" s="156"/>
      <c r="AZ1018" s="156"/>
      <c r="BA1018" s="156"/>
      <c r="BB1018" s="156"/>
      <c r="BC1018" s="156"/>
      <c r="BD1018" s="156"/>
      <c r="BE1018" s="156"/>
      <c r="BF1018" s="156"/>
      <c r="BG1018" s="156"/>
      <c r="BH1018" s="156"/>
      <c r="BI1018" s="156"/>
      <c r="BJ1018" s="156"/>
      <c r="BK1018" s="156"/>
      <c r="BL1018" s="156"/>
      <c r="BM1018" s="156"/>
      <c r="BN1018" s="156"/>
      <c r="BO1018" s="156"/>
      <c r="BP1018" s="156"/>
      <c r="BQ1018" s="156"/>
      <c r="BR1018" s="156"/>
      <c r="BS1018" s="156"/>
      <c r="BT1018" s="156"/>
      <c r="BU1018" s="156"/>
      <c r="BV1018" s="156"/>
      <c r="BW1018" s="156"/>
      <c r="BX1018" s="156"/>
      <c r="BY1018" s="156"/>
      <c r="BZ1018" s="156"/>
      <c r="CA1018" s="156"/>
      <c r="CB1018" s="156"/>
      <c r="CC1018" s="156"/>
      <c r="CD1018" s="156"/>
      <c r="CE1018" s="156"/>
      <c r="CF1018" s="156"/>
      <c r="CG1018" s="156"/>
      <c r="CH1018" s="156"/>
      <c r="CI1018" s="156"/>
      <c r="CJ1018" s="156"/>
      <c r="CK1018" s="156"/>
      <c r="CL1018" s="156"/>
      <c r="CM1018" s="156"/>
      <c r="CN1018" s="156"/>
      <c r="CO1018" s="156"/>
      <c r="CP1018" s="156"/>
      <c r="CQ1018" s="156"/>
      <c r="CR1018" s="156"/>
      <c r="CS1018" s="156"/>
      <c r="CT1018" s="156"/>
      <c r="CU1018" s="156"/>
      <c r="CV1018" s="156"/>
      <c r="CW1018" s="156"/>
      <c r="CX1018" s="156"/>
      <c r="CY1018" s="156"/>
      <c r="CZ1018" s="156"/>
      <c r="DA1018" s="156"/>
      <c r="DB1018" s="156"/>
      <c r="DC1018" s="156"/>
      <c r="DD1018" s="156"/>
      <c r="DE1018" s="156"/>
      <c r="DF1018" s="156"/>
      <c r="DG1018" s="156"/>
      <c r="DH1018" s="156"/>
      <c r="DI1018" s="156"/>
      <c r="DJ1018" s="156"/>
      <c r="DK1018" s="156"/>
      <c r="DL1018" s="156"/>
      <c r="DM1018" s="156"/>
      <c r="DN1018" s="156"/>
      <c r="DO1018" s="156"/>
      <c r="DP1018" s="156"/>
      <c r="DQ1018" s="156"/>
      <c r="DR1018" s="156"/>
      <c r="DS1018" s="156"/>
      <c r="DT1018" s="156"/>
      <c r="DU1018" s="156"/>
      <c r="DV1018" s="156"/>
      <c r="DW1018" s="156"/>
      <c r="DX1018" s="156"/>
      <c r="DY1018" s="156"/>
      <c r="DZ1018" s="156"/>
      <c r="EA1018" s="156"/>
      <c r="EB1018" s="156"/>
      <c r="EC1018" s="156"/>
      <c r="ED1018" s="156"/>
      <c r="EE1018" s="156"/>
      <c r="EF1018" s="156"/>
      <c r="EG1018" s="156"/>
      <c r="EH1018" s="156"/>
      <c r="EI1018" s="156"/>
      <c r="EJ1018" s="156"/>
      <c r="EK1018" s="156"/>
      <c r="EL1018" s="156"/>
      <c r="EM1018" s="156"/>
    </row>
    <row r="1019" spans="20:143" ht="10.5" customHeight="1">
      <c r="T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M1019" s="156"/>
      <c r="CN1019" s="156"/>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c r="DM1019" s="156"/>
      <c r="DN1019" s="156"/>
      <c r="DO1019" s="156"/>
      <c r="DP1019" s="156"/>
      <c r="DQ1019" s="156"/>
      <c r="DR1019" s="156"/>
      <c r="DS1019" s="156"/>
      <c r="DT1019" s="156"/>
      <c r="DU1019" s="156"/>
      <c r="DV1019" s="156"/>
      <c r="DW1019" s="156"/>
      <c r="DX1019" s="156"/>
      <c r="DY1019" s="156"/>
      <c r="DZ1019" s="156"/>
      <c r="EA1019" s="156"/>
      <c r="EB1019" s="156"/>
      <c r="EC1019" s="156"/>
      <c r="ED1019" s="156"/>
      <c r="EE1019" s="156"/>
      <c r="EF1019" s="156"/>
      <c r="EG1019" s="156"/>
      <c r="EH1019" s="156"/>
      <c r="EI1019" s="156"/>
      <c r="EJ1019" s="156"/>
      <c r="EK1019" s="156"/>
      <c r="EL1019" s="156"/>
      <c r="EM1019" s="156"/>
    </row>
    <row r="1020" spans="20:143" ht="10.5" customHeight="1">
      <c r="T1020" s="156"/>
      <c r="AZ1020" s="156"/>
      <c r="BA1020" s="156"/>
      <c r="BB1020" s="156"/>
      <c r="BC1020" s="156"/>
      <c r="BD1020" s="156"/>
      <c r="BE1020" s="156"/>
      <c r="BF1020" s="156"/>
      <c r="BG1020" s="156"/>
      <c r="BH1020" s="156"/>
      <c r="BI1020" s="156"/>
      <c r="BJ1020" s="156"/>
      <c r="BK1020" s="156"/>
      <c r="BL1020" s="156"/>
      <c r="BM1020" s="156"/>
      <c r="BN1020" s="156"/>
      <c r="BO1020" s="156"/>
      <c r="BP1020" s="156"/>
      <c r="BQ1020" s="156"/>
      <c r="BR1020" s="156"/>
      <c r="BS1020" s="156"/>
      <c r="BT1020" s="156"/>
      <c r="BU1020" s="156"/>
      <c r="BV1020" s="156"/>
      <c r="BW1020" s="156"/>
      <c r="BX1020" s="156"/>
      <c r="BY1020" s="156"/>
      <c r="BZ1020" s="156"/>
      <c r="CA1020" s="156"/>
      <c r="CB1020" s="156"/>
      <c r="CC1020" s="156"/>
      <c r="CD1020" s="156"/>
      <c r="CE1020" s="156"/>
      <c r="CF1020" s="156"/>
      <c r="CG1020" s="156"/>
      <c r="CH1020" s="156"/>
      <c r="CI1020" s="156"/>
      <c r="CJ1020" s="156"/>
      <c r="CK1020" s="156"/>
      <c r="CL1020" s="156"/>
      <c r="CM1020" s="156"/>
      <c r="CN1020" s="156"/>
      <c r="CO1020" s="156"/>
      <c r="CP1020" s="156"/>
      <c r="CQ1020" s="156"/>
      <c r="CR1020" s="156"/>
      <c r="CS1020" s="156"/>
      <c r="CT1020" s="156"/>
      <c r="CU1020" s="156"/>
      <c r="CV1020" s="156"/>
      <c r="CW1020" s="156"/>
      <c r="CX1020" s="156"/>
      <c r="CY1020" s="156"/>
      <c r="CZ1020" s="156"/>
      <c r="DA1020" s="156"/>
      <c r="DB1020" s="156"/>
      <c r="DC1020" s="156"/>
      <c r="DD1020" s="156"/>
      <c r="DE1020" s="156"/>
      <c r="DF1020" s="156"/>
      <c r="DG1020" s="156"/>
      <c r="DH1020" s="156"/>
      <c r="DI1020" s="156"/>
      <c r="DJ1020" s="156"/>
      <c r="DK1020" s="156"/>
      <c r="DL1020" s="156"/>
      <c r="DM1020" s="156"/>
      <c r="DN1020" s="156"/>
      <c r="DO1020" s="156"/>
      <c r="DP1020" s="156"/>
      <c r="DQ1020" s="156"/>
      <c r="DR1020" s="156"/>
      <c r="DS1020" s="156"/>
      <c r="DT1020" s="156"/>
      <c r="DU1020" s="156"/>
      <c r="DV1020" s="156"/>
      <c r="DW1020" s="156"/>
      <c r="DX1020" s="156"/>
      <c r="DY1020" s="156"/>
      <c r="DZ1020" s="156"/>
      <c r="EA1020" s="156"/>
      <c r="EB1020" s="156"/>
      <c r="EC1020" s="156"/>
      <c r="ED1020" s="156"/>
      <c r="EE1020" s="156"/>
      <c r="EF1020" s="156"/>
      <c r="EG1020" s="156"/>
      <c r="EH1020" s="156"/>
      <c r="EI1020" s="156"/>
      <c r="EJ1020" s="156"/>
      <c r="EK1020" s="156"/>
      <c r="EL1020" s="156"/>
      <c r="EM1020" s="156"/>
    </row>
    <row r="1021" spans="20:143" ht="10.5" customHeight="1">
      <c r="T1021" s="156"/>
      <c r="AZ1021" s="156"/>
      <c r="BA1021" s="156"/>
      <c r="BB1021" s="156"/>
      <c r="BC1021" s="156"/>
      <c r="BD1021" s="156"/>
      <c r="BE1021" s="156"/>
      <c r="BF1021" s="156"/>
      <c r="BG1021" s="156"/>
      <c r="BH1021" s="156"/>
      <c r="BI1021" s="156"/>
      <c r="BJ1021" s="156"/>
      <c r="BK1021" s="156"/>
      <c r="BL1021" s="156"/>
      <c r="BM1021" s="156"/>
      <c r="BN1021" s="156"/>
      <c r="BO1021" s="156"/>
      <c r="BP1021" s="156"/>
      <c r="BQ1021" s="156"/>
      <c r="BR1021" s="156"/>
      <c r="BS1021" s="156"/>
      <c r="BT1021" s="156"/>
      <c r="BU1021" s="156"/>
      <c r="BV1021" s="156"/>
      <c r="BW1021" s="156"/>
      <c r="BX1021" s="156"/>
      <c r="BY1021" s="156"/>
      <c r="BZ1021" s="156"/>
      <c r="CA1021" s="156"/>
      <c r="CB1021" s="156"/>
      <c r="CC1021" s="156"/>
      <c r="CD1021" s="156"/>
      <c r="CE1021" s="156"/>
      <c r="CF1021" s="156"/>
      <c r="CG1021" s="156"/>
      <c r="CH1021" s="156"/>
      <c r="CI1021" s="156"/>
      <c r="CJ1021" s="156"/>
      <c r="CK1021" s="156"/>
      <c r="CL1021" s="156"/>
      <c r="CM1021" s="156"/>
      <c r="CN1021" s="156"/>
      <c r="CO1021" s="156"/>
      <c r="CP1021" s="156"/>
      <c r="CQ1021" s="156"/>
      <c r="CR1021" s="156"/>
      <c r="CS1021" s="156"/>
      <c r="CT1021" s="156"/>
      <c r="CU1021" s="156"/>
      <c r="CV1021" s="156"/>
      <c r="CW1021" s="156"/>
      <c r="CX1021" s="156"/>
      <c r="CY1021" s="156"/>
      <c r="CZ1021" s="156"/>
      <c r="DA1021" s="156"/>
      <c r="DB1021" s="156"/>
      <c r="DC1021" s="156"/>
      <c r="DD1021" s="156"/>
      <c r="DE1021" s="156"/>
      <c r="DF1021" s="156"/>
      <c r="DG1021" s="156"/>
      <c r="DH1021" s="156"/>
      <c r="DI1021" s="156"/>
      <c r="DJ1021" s="156"/>
      <c r="DK1021" s="156"/>
      <c r="DL1021" s="156"/>
      <c r="DM1021" s="156"/>
      <c r="DN1021" s="156"/>
      <c r="DO1021" s="156"/>
      <c r="DP1021" s="156"/>
      <c r="DQ1021" s="156"/>
      <c r="DR1021" s="156"/>
      <c r="DS1021" s="156"/>
      <c r="DT1021" s="156"/>
      <c r="DU1021" s="156"/>
      <c r="DV1021" s="156"/>
      <c r="DW1021" s="156"/>
      <c r="DX1021" s="156"/>
      <c r="DY1021" s="156"/>
      <c r="DZ1021" s="156"/>
      <c r="EA1021" s="156"/>
      <c r="EB1021" s="156"/>
      <c r="EC1021" s="156"/>
      <c r="ED1021" s="156"/>
      <c r="EE1021" s="156"/>
      <c r="EF1021" s="156"/>
      <c r="EG1021" s="156"/>
      <c r="EH1021" s="156"/>
      <c r="EI1021" s="156"/>
      <c r="EJ1021" s="156"/>
      <c r="EK1021" s="156"/>
      <c r="EL1021" s="156"/>
      <c r="EM1021" s="156"/>
    </row>
    <row r="1022" spans="20:143" ht="10.5" customHeight="1">
      <c r="T1022" s="156"/>
      <c r="AZ1022" s="156"/>
      <c r="BA1022" s="156"/>
      <c r="BB1022" s="156"/>
      <c r="BC1022" s="156"/>
      <c r="BD1022" s="156"/>
      <c r="BE1022" s="156"/>
      <c r="BF1022" s="156"/>
      <c r="BG1022" s="156"/>
      <c r="BH1022" s="156"/>
      <c r="BI1022" s="156"/>
      <c r="BJ1022" s="156"/>
      <c r="BK1022" s="156"/>
      <c r="BL1022" s="156"/>
      <c r="BM1022" s="156"/>
      <c r="BN1022" s="156"/>
      <c r="BO1022" s="156"/>
      <c r="BP1022" s="156"/>
      <c r="BQ1022" s="156"/>
      <c r="BR1022" s="156"/>
      <c r="BS1022" s="156"/>
      <c r="BT1022" s="156"/>
      <c r="BU1022" s="156"/>
      <c r="BV1022" s="156"/>
      <c r="BW1022" s="156"/>
      <c r="BX1022" s="156"/>
      <c r="BY1022" s="156"/>
      <c r="BZ1022" s="156"/>
      <c r="CA1022" s="156"/>
      <c r="CB1022" s="156"/>
      <c r="CC1022" s="156"/>
      <c r="CD1022" s="156"/>
      <c r="CE1022" s="156"/>
      <c r="CF1022" s="156"/>
      <c r="CG1022" s="156"/>
      <c r="CH1022" s="156"/>
      <c r="CI1022" s="156"/>
      <c r="CJ1022" s="156"/>
      <c r="CK1022" s="156"/>
      <c r="CL1022" s="156"/>
      <c r="CM1022" s="156"/>
      <c r="CN1022" s="156"/>
      <c r="CO1022" s="156"/>
      <c r="CP1022" s="156"/>
      <c r="CQ1022" s="156"/>
      <c r="CR1022" s="156"/>
      <c r="CS1022" s="156"/>
      <c r="CT1022" s="156"/>
      <c r="CU1022" s="156"/>
      <c r="CV1022" s="156"/>
      <c r="CW1022" s="156"/>
      <c r="CX1022" s="156"/>
      <c r="CY1022" s="156"/>
      <c r="CZ1022" s="156"/>
      <c r="DA1022" s="156"/>
      <c r="DB1022" s="156"/>
      <c r="DC1022" s="156"/>
      <c r="DD1022" s="156"/>
      <c r="DE1022" s="156"/>
      <c r="DF1022" s="156"/>
      <c r="DG1022" s="156"/>
      <c r="DH1022" s="156"/>
      <c r="DI1022" s="156"/>
      <c r="DJ1022" s="156"/>
      <c r="DK1022" s="156"/>
      <c r="DL1022" s="156"/>
      <c r="DM1022" s="156"/>
      <c r="DN1022" s="156"/>
      <c r="DO1022" s="156"/>
      <c r="DP1022" s="156"/>
      <c r="DQ1022" s="156"/>
      <c r="DR1022" s="156"/>
      <c r="DS1022" s="156"/>
      <c r="DT1022" s="156"/>
      <c r="DU1022" s="156"/>
      <c r="DV1022" s="156"/>
      <c r="DW1022" s="156"/>
      <c r="DX1022" s="156"/>
      <c r="DY1022" s="156"/>
      <c r="DZ1022" s="156"/>
      <c r="EA1022" s="156"/>
      <c r="EB1022" s="156"/>
      <c r="EC1022" s="156"/>
      <c r="ED1022" s="156"/>
      <c r="EE1022" s="156"/>
      <c r="EF1022" s="156"/>
      <c r="EG1022" s="156"/>
      <c r="EH1022" s="156"/>
      <c r="EI1022" s="156"/>
      <c r="EJ1022" s="156"/>
      <c r="EK1022" s="156"/>
      <c r="EL1022" s="156"/>
      <c r="EM1022" s="156"/>
    </row>
    <row r="1023" spans="20:143" ht="10.5" customHeight="1">
      <c r="T1023" s="156"/>
      <c r="AZ1023" s="156"/>
      <c r="BA1023" s="156"/>
      <c r="BB1023" s="156"/>
      <c r="BC1023" s="156"/>
      <c r="BD1023" s="156"/>
      <c r="BE1023" s="156"/>
      <c r="BF1023" s="156"/>
      <c r="BG1023" s="156"/>
      <c r="BH1023" s="156"/>
      <c r="BI1023" s="156"/>
      <c r="BJ1023" s="156"/>
      <c r="BK1023" s="156"/>
      <c r="BL1023" s="156"/>
      <c r="BM1023" s="156"/>
      <c r="BN1023" s="156"/>
      <c r="BO1023" s="156"/>
      <c r="BP1023" s="156"/>
      <c r="BQ1023" s="156"/>
      <c r="BR1023" s="156"/>
      <c r="BS1023" s="156"/>
      <c r="BT1023" s="156"/>
      <c r="BU1023" s="156"/>
      <c r="BV1023" s="156"/>
      <c r="BW1023" s="156"/>
      <c r="BX1023" s="156"/>
      <c r="BY1023" s="156"/>
      <c r="BZ1023" s="156"/>
      <c r="CA1023" s="156"/>
      <c r="CB1023" s="156"/>
      <c r="CC1023" s="156"/>
      <c r="CD1023" s="156"/>
      <c r="CE1023" s="156"/>
      <c r="CF1023" s="156"/>
      <c r="CG1023" s="156"/>
      <c r="CH1023" s="156"/>
      <c r="CI1023" s="156"/>
      <c r="CJ1023" s="156"/>
      <c r="CK1023" s="156"/>
      <c r="CL1023" s="156"/>
      <c r="CM1023" s="156"/>
      <c r="CN1023" s="156"/>
      <c r="CO1023" s="156"/>
      <c r="CP1023" s="156"/>
      <c r="CQ1023" s="156"/>
      <c r="CR1023" s="156"/>
      <c r="CS1023" s="156"/>
      <c r="CT1023" s="156"/>
      <c r="CU1023" s="156"/>
      <c r="CV1023" s="156"/>
      <c r="CW1023" s="156"/>
      <c r="CX1023" s="156"/>
      <c r="CY1023" s="156"/>
      <c r="CZ1023" s="156"/>
      <c r="DA1023" s="156"/>
      <c r="DB1023" s="156"/>
      <c r="DC1023" s="156"/>
      <c r="DD1023" s="156"/>
      <c r="DE1023" s="156"/>
      <c r="DF1023" s="156"/>
      <c r="DG1023" s="156"/>
      <c r="DH1023" s="156"/>
      <c r="DI1023" s="156"/>
      <c r="DJ1023" s="156"/>
      <c r="DK1023" s="156"/>
      <c r="DL1023" s="156"/>
      <c r="DM1023" s="156"/>
      <c r="DN1023" s="156"/>
      <c r="DO1023" s="156"/>
      <c r="DP1023" s="156"/>
      <c r="DQ1023" s="156"/>
      <c r="DR1023" s="156"/>
      <c r="DS1023" s="156"/>
      <c r="DT1023" s="156"/>
      <c r="DU1023" s="156"/>
      <c r="DV1023" s="156"/>
      <c r="DW1023" s="156"/>
      <c r="DX1023" s="156"/>
      <c r="DY1023" s="156"/>
      <c r="DZ1023" s="156"/>
      <c r="EA1023" s="156"/>
      <c r="EB1023" s="156"/>
      <c r="EC1023" s="156"/>
      <c r="ED1023" s="156"/>
      <c r="EE1023" s="156"/>
      <c r="EF1023" s="156"/>
      <c r="EG1023" s="156"/>
      <c r="EH1023" s="156"/>
      <c r="EI1023" s="156"/>
      <c r="EJ1023" s="156"/>
      <c r="EK1023" s="156"/>
      <c r="EL1023" s="156"/>
      <c r="EM1023" s="156"/>
    </row>
    <row r="1024" spans="20:143" ht="10.5" customHeight="1">
      <c r="T1024" s="156"/>
      <c r="AZ1024" s="156"/>
      <c r="BA1024" s="156"/>
      <c r="BB1024" s="156"/>
      <c r="BC1024" s="156"/>
      <c r="BD1024" s="156"/>
      <c r="BE1024" s="156"/>
      <c r="BF1024" s="156"/>
      <c r="BG1024" s="156"/>
      <c r="BH1024" s="156"/>
      <c r="BI1024" s="156"/>
      <c r="BJ1024" s="156"/>
      <c r="BK1024" s="156"/>
      <c r="BL1024" s="156"/>
      <c r="BM1024" s="156"/>
      <c r="BN1024" s="156"/>
      <c r="BO1024" s="156"/>
      <c r="BP1024" s="156"/>
      <c r="BQ1024" s="156"/>
      <c r="BR1024" s="156"/>
      <c r="BS1024" s="156"/>
      <c r="BT1024" s="156"/>
      <c r="BU1024" s="156"/>
      <c r="BV1024" s="156"/>
      <c r="BW1024" s="156"/>
      <c r="BX1024" s="156"/>
      <c r="BY1024" s="156"/>
      <c r="BZ1024" s="156"/>
      <c r="CA1024" s="156"/>
      <c r="CB1024" s="156"/>
      <c r="CC1024" s="156"/>
      <c r="CD1024" s="156"/>
      <c r="CE1024" s="156"/>
      <c r="CF1024" s="156"/>
      <c r="CG1024" s="156"/>
      <c r="CH1024" s="156"/>
      <c r="CI1024" s="156"/>
      <c r="CJ1024" s="156"/>
      <c r="CK1024" s="156"/>
      <c r="CL1024" s="156"/>
      <c r="CM1024" s="156"/>
      <c r="CN1024" s="156"/>
      <c r="CO1024" s="156"/>
      <c r="CP1024" s="156"/>
      <c r="CQ1024" s="156"/>
      <c r="CR1024" s="156"/>
      <c r="CS1024" s="156"/>
      <c r="CT1024" s="156"/>
      <c r="CU1024" s="156"/>
      <c r="CV1024" s="156"/>
      <c r="CW1024" s="156"/>
      <c r="CX1024" s="156"/>
      <c r="CY1024" s="156"/>
      <c r="CZ1024" s="156"/>
      <c r="DA1024" s="156"/>
      <c r="DB1024" s="156"/>
      <c r="DC1024" s="156"/>
      <c r="DD1024" s="156"/>
      <c r="DE1024" s="156"/>
      <c r="DF1024" s="156"/>
      <c r="DG1024" s="156"/>
      <c r="DH1024" s="156"/>
      <c r="DI1024" s="156"/>
      <c r="DJ1024" s="156"/>
      <c r="DK1024" s="156"/>
      <c r="DL1024" s="156"/>
      <c r="DM1024" s="156"/>
      <c r="DN1024" s="156"/>
      <c r="DO1024" s="156"/>
      <c r="DP1024" s="156"/>
      <c r="DQ1024" s="156"/>
      <c r="DR1024" s="156"/>
      <c r="DS1024" s="156"/>
      <c r="DT1024" s="156"/>
      <c r="DU1024" s="156"/>
      <c r="DV1024" s="156"/>
      <c r="DW1024" s="156"/>
      <c r="DX1024" s="156"/>
      <c r="DY1024" s="156"/>
      <c r="DZ1024" s="156"/>
      <c r="EA1024" s="156"/>
      <c r="EB1024" s="156"/>
      <c r="EC1024" s="156"/>
      <c r="ED1024" s="156"/>
      <c r="EE1024" s="156"/>
      <c r="EF1024" s="156"/>
      <c r="EG1024" s="156"/>
      <c r="EH1024" s="156"/>
      <c r="EI1024" s="156"/>
      <c r="EJ1024" s="156"/>
      <c r="EK1024" s="156"/>
      <c r="EL1024" s="156"/>
      <c r="EM1024" s="156"/>
    </row>
    <row r="1025" spans="20:143" ht="10.5" customHeight="1">
      <c r="T1025" s="156"/>
      <c r="AZ1025" s="156"/>
      <c r="BA1025" s="156"/>
      <c r="BB1025" s="156"/>
      <c r="BC1025" s="156"/>
      <c r="BD1025" s="156"/>
      <c r="BE1025" s="156"/>
      <c r="BF1025" s="156"/>
      <c r="BG1025" s="156"/>
      <c r="BH1025" s="156"/>
      <c r="BI1025" s="156"/>
      <c r="BJ1025" s="156"/>
      <c r="BK1025" s="156"/>
      <c r="BL1025" s="156"/>
      <c r="BM1025" s="156"/>
      <c r="BN1025" s="156"/>
      <c r="BO1025" s="156"/>
      <c r="BP1025" s="156"/>
      <c r="BQ1025" s="156"/>
      <c r="BR1025" s="156"/>
      <c r="BS1025" s="156"/>
      <c r="BT1025" s="156"/>
      <c r="BU1025" s="156"/>
      <c r="BV1025" s="156"/>
      <c r="BW1025" s="156"/>
      <c r="BX1025" s="156"/>
      <c r="BY1025" s="156"/>
      <c r="BZ1025" s="156"/>
      <c r="CA1025" s="156"/>
      <c r="CB1025" s="156"/>
      <c r="CC1025" s="156"/>
      <c r="CD1025" s="156"/>
      <c r="CE1025" s="156"/>
      <c r="CF1025" s="156"/>
      <c r="CG1025" s="156"/>
      <c r="CH1025" s="156"/>
      <c r="CI1025" s="156"/>
      <c r="CJ1025" s="156"/>
      <c r="CK1025" s="156"/>
      <c r="CL1025" s="156"/>
      <c r="CM1025" s="156"/>
      <c r="CN1025" s="156"/>
      <c r="CO1025" s="156"/>
      <c r="CP1025" s="156"/>
      <c r="CQ1025" s="156"/>
      <c r="CR1025" s="156"/>
      <c r="CS1025" s="156"/>
      <c r="CT1025" s="156"/>
      <c r="CU1025" s="156"/>
      <c r="CV1025" s="156"/>
      <c r="CW1025" s="156"/>
      <c r="CX1025" s="156"/>
      <c r="CY1025" s="156"/>
      <c r="CZ1025" s="156"/>
      <c r="DA1025" s="156"/>
      <c r="DB1025" s="156"/>
      <c r="DC1025" s="156"/>
      <c r="DD1025" s="156"/>
      <c r="DE1025" s="156"/>
      <c r="DF1025" s="156"/>
      <c r="DG1025" s="156"/>
      <c r="DH1025" s="156"/>
      <c r="DI1025" s="156"/>
      <c r="DJ1025" s="156"/>
      <c r="DK1025" s="156"/>
      <c r="DL1025" s="156"/>
      <c r="DM1025" s="156"/>
      <c r="DN1025" s="156"/>
      <c r="DO1025" s="156"/>
      <c r="DP1025" s="156"/>
      <c r="DQ1025" s="156"/>
      <c r="DR1025" s="156"/>
      <c r="DS1025" s="156"/>
      <c r="DT1025" s="156"/>
      <c r="DU1025" s="156"/>
      <c r="DV1025" s="156"/>
      <c r="DW1025" s="156"/>
      <c r="DX1025" s="156"/>
      <c r="DY1025" s="156"/>
      <c r="DZ1025" s="156"/>
      <c r="EA1025" s="156"/>
      <c r="EB1025" s="156"/>
      <c r="EC1025" s="156"/>
      <c r="ED1025" s="156"/>
      <c r="EE1025" s="156"/>
      <c r="EF1025" s="156"/>
      <c r="EG1025" s="156"/>
      <c r="EH1025" s="156"/>
      <c r="EI1025" s="156"/>
      <c r="EJ1025" s="156"/>
      <c r="EK1025" s="156"/>
      <c r="EL1025" s="156"/>
      <c r="EM1025" s="156"/>
    </row>
    <row r="1026" spans="20:143" ht="10.5" customHeight="1">
      <c r="T1026" s="156"/>
      <c r="AZ1026" s="156"/>
      <c r="BA1026" s="156"/>
      <c r="BB1026" s="156"/>
      <c r="BC1026" s="156"/>
      <c r="BD1026" s="156"/>
      <c r="BE1026" s="156"/>
      <c r="BF1026" s="156"/>
      <c r="BG1026" s="156"/>
      <c r="BH1026" s="156"/>
      <c r="BI1026" s="156"/>
      <c r="BJ1026" s="156"/>
      <c r="BK1026" s="156"/>
      <c r="BL1026" s="156"/>
      <c r="BM1026" s="156"/>
      <c r="BN1026" s="156"/>
      <c r="BO1026" s="156"/>
      <c r="BP1026" s="156"/>
      <c r="BQ1026" s="156"/>
      <c r="BR1026" s="156"/>
      <c r="BS1026" s="156"/>
      <c r="BT1026" s="156"/>
      <c r="BU1026" s="156"/>
      <c r="BV1026" s="156"/>
      <c r="BW1026" s="156"/>
      <c r="BX1026" s="156"/>
      <c r="BY1026" s="156"/>
      <c r="BZ1026" s="156"/>
      <c r="CA1026" s="156"/>
      <c r="CB1026" s="156"/>
      <c r="CC1026" s="156"/>
      <c r="CD1026" s="156"/>
      <c r="CE1026" s="156"/>
      <c r="CF1026" s="156"/>
      <c r="CG1026" s="156"/>
      <c r="CH1026" s="156"/>
      <c r="CI1026" s="156"/>
      <c r="CJ1026" s="156"/>
      <c r="CK1026" s="156"/>
      <c r="CL1026" s="156"/>
      <c r="CM1026" s="156"/>
      <c r="CN1026" s="156"/>
      <c r="CO1026" s="156"/>
      <c r="CP1026" s="156"/>
      <c r="CQ1026" s="156"/>
      <c r="CR1026" s="156"/>
      <c r="CS1026" s="156"/>
      <c r="CT1026" s="156"/>
      <c r="CU1026" s="156"/>
      <c r="CV1026" s="156"/>
      <c r="CW1026" s="156"/>
      <c r="CX1026" s="156"/>
      <c r="CY1026" s="156"/>
      <c r="CZ1026" s="156"/>
      <c r="DA1026" s="156"/>
      <c r="DB1026" s="156"/>
      <c r="DC1026" s="156"/>
      <c r="DD1026" s="156"/>
      <c r="DE1026" s="156"/>
      <c r="DF1026" s="156"/>
      <c r="DG1026" s="156"/>
      <c r="DH1026" s="156"/>
      <c r="DI1026" s="156"/>
      <c r="DJ1026" s="156"/>
      <c r="DK1026" s="156"/>
      <c r="DL1026" s="156"/>
      <c r="DM1026" s="156"/>
      <c r="DN1026" s="156"/>
      <c r="DO1026" s="156"/>
      <c r="DP1026" s="156"/>
      <c r="DQ1026" s="156"/>
      <c r="DR1026" s="156"/>
      <c r="DS1026" s="156"/>
      <c r="DT1026" s="156"/>
      <c r="DU1026" s="156"/>
      <c r="DV1026" s="156"/>
      <c r="DW1026" s="156"/>
      <c r="DX1026" s="156"/>
      <c r="DY1026" s="156"/>
      <c r="DZ1026" s="156"/>
      <c r="EA1026" s="156"/>
      <c r="EB1026" s="156"/>
      <c r="EC1026" s="156"/>
      <c r="ED1026" s="156"/>
      <c r="EE1026" s="156"/>
      <c r="EF1026" s="156"/>
      <c r="EG1026" s="156"/>
      <c r="EH1026" s="156"/>
      <c r="EI1026" s="156"/>
      <c r="EJ1026" s="156"/>
      <c r="EK1026" s="156"/>
      <c r="EL1026" s="156"/>
      <c r="EM1026" s="156"/>
    </row>
    <row r="1027" spans="20:143" ht="10.5" customHeight="1">
      <c r="T1027" s="156"/>
      <c r="AZ1027" s="156"/>
      <c r="BA1027" s="156"/>
      <c r="BB1027" s="156"/>
      <c r="BC1027" s="156"/>
      <c r="BD1027" s="156"/>
      <c r="BE1027" s="156"/>
      <c r="BF1027" s="156"/>
      <c r="BG1027" s="156"/>
      <c r="BH1027" s="156"/>
      <c r="BI1027" s="156"/>
      <c r="BJ1027" s="156"/>
      <c r="BK1027" s="156"/>
      <c r="BL1027" s="156"/>
      <c r="BM1027" s="156"/>
      <c r="BN1027" s="156"/>
      <c r="BO1027" s="156"/>
      <c r="BP1027" s="156"/>
      <c r="BQ1027" s="156"/>
      <c r="BR1027" s="156"/>
      <c r="BS1027" s="156"/>
      <c r="BT1027" s="156"/>
      <c r="BU1027" s="156"/>
      <c r="BV1027" s="156"/>
      <c r="BW1027" s="156"/>
      <c r="BX1027" s="156"/>
      <c r="BY1027" s="156"/>
      <c r="BZ1027" s="156"/>
      <c r="CA1027" s="156"/>
      <c r="CB1027" s="156"/>
      <c r="CC1027" s="156"/>
      <c r="CD1027" s="156"/>
      <c r="CE1027" s="156"/>
      <c r="CF1027" s="156"/>
      <c r="CG1027" s="156"/>
      <c r="CH1027" s="156"/>
      <c r="CI1027" s="156"/>
      <c r="CJ1027" s="156"/>
      <c r="CK1027" s="156"/>
      <c r="CL1027" s="156"/>
      <c r="CM1027" s="156"/>
      <c r="CN1027" s="156"/>
      <c r="CO1027" s="156"/>
      <c r="CP1027" s="156"/>
      <c r="CQ1027" s="156"/>
      <c r="CR1027" s="156"/>
      <c r="CS1027" s="156"/>
      <c r="CT1027" s="156"/>
      <c r="CU1027" s="156"/>
      <c r="CV1027" s="156"/>
      <c r="CW1027" s="156"/>
      <c r="CX1027" s="156"/>
      <c r="CY1027" s="156"/>
      <c r="CZ1027" s="156"/>
      <c r="DA1027" s="156"/>
      <c r="DB1027" s="156"/>
      <c r="DC1027" s="156"/>
      <c r="DD1027" s="156"/>
      <c r="DE1027" s="156"/>
      <c r="DF1027" s="156"/>
      <c r="DG1027" s="156"/>
      <c r="DH1027" s="156"/>
      <c r="DI1027" s="156"/>
      <c r="DJ1027" s="156"/>
      <c r="DK1027" s="156"/>
      <c r="DL1027" s="156"/>
      <c r="DM1027" s="156"/>
      <c r="DN1027" s="156"/>
      <c r="DO1027" s="156"/>
      <c r="DP1027" s="156"/>
      <c r="DQ1027" s="156"/>
      <c r="DR1027" s="156"/>
      <c r="DS1027" s="156"/>
      <c r="DT1027" s="156"/>
      <c r="DU1027" s="156"/>
      <c r="DV1027" s="156"/>
      <c r="DW1027" s="156"/>
      <c r="DX1027" s="156"/>
      <c r="DY1027" s="156"/>
      <c r="DZ1027" s="156"/>
      <c r="EA1027" s="156"/>
      <c r="EB1027" s="156"/>
      <c r="EC1027" s="156"/>
      <c r="ED1027" s="156"/>
      <c r="EE1027" s="156"/>
      <c r="EF1027" s="156"/>
      <c r="EG1027" s="156"/>
      <c r="EH1027" s="156"/>
      <c r="EI1027" s="156"/>
      <c r="EJ1027" s="156"/>
      <c r="EK1027" s="156"/>
      <c r="EL1027" s="156"/>
      <c r="EM1027" s="156"/>
    </row>
    <row r="1028" spans="20:143" ht="10.5" customHeight="1">
      <c r="T1028" s="156"/>
      <c r="AZ1028" s="156"/>
      <c r="BA1028" s="156"/>
      <c r="BB1028" s="156"/>
      <c r="BC1028" s="156"/>
      <c r="BD1028" s="156"/>
      <c r="BE1028" s="156"/>
      <c r="BF1028" s="156"/>
      <c r="BG1028" s="156"/>
      <c r="BH1028" s="156"/>
      <c r="BI1028" s="156"/>
      <c r="BJ1028" s="156"/>
      <c r="BK1028" s="156"/>
      <c r="BL1028" s="156"/>
      <c r="BM1028" s="156"/>
      <c r="BN1028" s="156"/>
      <c r="BO1028" s="156"/>
      <c r="BP1028" s="156"/>
      <c r="BQ1028" s="156"/>
      <c r="BR1028" s="156"/>
      <c r="BS1028" s="156"/>
      <c r="BT1028" s="156"/>
      <c r="BU1028" s="156"/>
      <c r="BV1028" s="156"/>
      <c r="BW1028" s="156"/>
      <c r="BX1028" s="156"/>
      <c r="BY1028" s="156"/>
      <c r="BZ1028" s="156"/>
      <c r="CA1028" s="156"/>
      <c r="CB1028" s="156"/>
      <c r="CC1028" s="156"/>
      <c r="CD1028" s="156"/>
      <c r="CE1028" s="156"/>
      <c r="CF1028" s="156"/>
      <c r="CG1028" s="156"/>
      <c r="CH1028" s="156"/>
      <c r="CI1028" s="156"/>
      <c r="CJ1028" s="156"/>
      <c r="CK1028" s="156"/>
      <c r="CL1028" s="156"/>
      <c r="CM1028" s="156"/>
      <c r="CN1028" s="156"/>
      <c r="CO1028" s="156"/>
      <c r="CP1028" s="156"/>
      <c r="CQ1028" s="156"/>
      <c r="CR1028" s="156"/>
      <c r="CS1028" s="156"/>
      <c r="CT1028" s="156"/>
      <c r="CU1028" s="156"/>
      <c r="CV1028" s="156"/>
      <c r="CW1028" s="156"/>
      <c r="CX1028" s="156"/>
      <c r="CY1028" s="156"/>
      <c r="CZ1028" s="156"/>
      <c r="DA1028" s="156"/>
      <c r="DB1028" s="156"/>
      <c r="DC1028" s="156"/>
      <c r="DD1028" s="156"/>
      <c r="DE1028" s="156"/>
      <c r="DF1028" s="156"/>
      <c r="DG1028" s="156"/>
      <c r="DH1028" s="156"/>
      <c r="DI1028" s="156"/>
      <c r="DJ1028" s="156"/>
      <c r="DK1028" s="156"/>
      <c r="DL1028" s="156"/>
      <c r="DM1028" s="156"/>
      <c r="DN1028" s="156"/>
      <c r="DO1028" s="156"/>
      <c r="DP1028" s="156"/>
      <c r="DQ1028" s="156"/>
      <c r="DR1028" s="156"/>
      <c r="DS1028" s="156"/>
      <c r="DT1028" s="156"/>
      <c r="DU1028" s="156"/>
      <c r="DV1028" s="156"/>
      <c r="DW1028" s="156"/>
      <c r="DX1028" s="156"/>
      <c r="DY1028" s="156"/>
      <c r="DZ1028" s="156"/>
      <c r="EA1028" s="156"/>
      <c r="EB1028" s="156"/>
      <c r="EC1028" s="156"/>
      <c r="ED1028" s="156"/>
      <c r="EE1028" s="156"/>
      <c r="EF1028" s="156"/>
      <c r="EG1028" s="156"/>
      <c r="EH1028" s="156"/>
      <c r="EI1028" s="156"/>
      <c r="EJ1028" s="156"/>
      <c r="EK1028" s="156"/>
      <c r="EL1028" s="156"/>
      <c r="EM1028" s="156"/>
    </row>
    <row r="1029" spans="20:143" ht="10.5" customHeight="1">
      <c r="T1029" s="156"/>
      <c r="AZ1029" s="156"/>
      <c r="BA1029" s="156"/>
      <c r="BB1029" s="156"/>
      <c r="BC1029" s="156"/>
      <c r="BD1029" s="156"/>
      <c r="BE1029" s="156"/>
      <c r="BF1029" s="156"/>
      <c r="BG1029" s="156"/>
      <c r="BH1029" s="156"/>
      <c r="BI1029" s="156"/>
      <c r="BJ1029" s="156"/>
      <c r="BK1029" s="156"/>
      <c r="BL1029" s="156"/>
      <c r="BM1029" s="156"/>
      <c r="BN1029" s="156"/>
      <c r="BO1029" s="156"/>
      <c r="BP1029" s="156"/>
      <c r="BQ1029" s="156"/>
      <c r="BR1029" s="156"/>
      <c r="BS1029" s="156"/>
      <c r="BT1029" s="156"/>
      <c r="BU1029" s="156"/>
      <c r="BV1029" s="156"/>
      <c r="BW1029" s="156"/>
      <c r="BX1029" s="156"/>
      <c r="BY1029" s="156"/>
      <c r="BZ1029" s="156"/>
      <c r="CA1029" s="156"/>
      <c r="CB1029" s="156"/>
      <c r="CC1029" s="156"/>
      <c r="CD1029" s="156"/>
      <c r="CE1029" s="156"/>
      <c r="CF1029" s="156"/>
      <c r="CG1029" s="156"/>
      <c r="CH1029" s="156"/>
      <c r="CI1029" s="156"/>
      <c r="CJ1029" s="156"/>
      <c r="CK1029" s="156"/>
      <c r="CL1029" s="156"/>
      <c r="CM1029" s="156"/>
      <c r="CN1029" s="156"/>
      <c r="CO1029" s="156"/>
      <c r="CP1029" s="156"/>
      <c r="CQ1029" s="156"/>
      <c r="CR1029" s="156"/>
      <c r="CS1029" s="156"/>
      <c r="CT1029" s="156"/>
      <c r="CU1029" s="156"/>
      <c r="CV1029" s="156"/>
      <c r="CW1029" s="156"/>
      <c r="CX1029" s="156"/>
      <c r="CY1029" s="156"/>
      <c r="CZ1029" s="156"/>
      <c r="DA1029" s="156"/>
      <c r="DB1029" s="156"/>
      <c r="DC1029" s="156"/>
      <c r="DD1029" s="156"/>
      <c r="DE1029" s="156"/>
      <c r="DF1029" s="156"/>
      <c r="DG1029" s="156"/>
      <c r="DH1029" s="156"/>
      <c r="DI1029" s="156"/>
      <c r="DJ1029" s="156"/>
      <c r="DK1029" s="156"/>
      <c r="DL1029" s="156"/>
      <c r="DM1029" s="156"/>
      <c r="DN1029" s="156"/>
      <c r="DO1029" s="156"/>
      <c r="DP1029" s="156"/>
      <c r="DQ1029" s="156"/>
      <c r="DR1029" s="156"/>
      <c r="DS1029" s="156"/>
      <c r="DT1029" s="156"/>
      <c r="DU1029" s="156"/>
      <c r="DV1029" s="156"/>
      <c r="DW1029" s="156"/>
      <c r="DX1029" s="156"/>
      <c r="DY1029" s="156"/>
      <c r="DZ1029" s="156"/>
      <c r="EA1029" s="156"/>
      <c r="EB1029" s="156"/>
      <c r="EC1029" s="156"/>
      <c r="ED1029" s="156"/>
      <c r="EE1029" s="156"/>
      <c r="EF1029" s="156"/>
      <c r="EG1029" s="156"/>
      <c r="EH1029" s="156"/>
      <c r="EI1029" s="156"/>
      <c r="EJ1029" s="156"/>
      <c r="EK1029" s="156"/>
      <c r="EL1029" s="156"/>
      <c r="EM1029" s="156"/>
    </row>
    <row r="1030" spans="20:143" ht="10.5" customHeight="1">
      <c r="T1030" s="156"/>
      <c r="AZ1030" s="156"/>
      <c r="BA1030" s="156"/>
      <c r="BB1030" s="156"/>
      <c r="BC1030" s="156"/>
      <c r="BD1030" s="156"/>
      <c r="BE1030" s="156"/>
      <c r="BF1030" s="156"/>
      <c r="BG1030" s="156"/>
      <c r="BH1030" s="156"/>
      <c r="BI1030" s="156"/>
      <c r="BJ1030" s="156"/>
      <c r="BK1030" s="156"/>
      <c r="BL1030" s="156"/>
      <c r="BM1030" s="156"/>
      <c r="BN1030" s="156"/>
      <c r="BO1030" s="156"/>
      <c r="BP1030" s="156"/>
      <c r="BQ1030" s="156"/>
      <c r="BR1030" s="156"/>
      <c r="BS1030" s="156"/>
      <c r="BT1030" s="156"/>
      <c r="BU1030" s="156"/>
      <c r="BV1030" s="156"/>
      <c r="BW1030" s="156"/>
      <c r="BX1030" s="156"/>
      <c r="BY1030" s="156"/>
      <c r="BZ1030" s="156"/>
      <c r="CA1030" s="156"/>
      <c r="CB1030" s="156"/>
      <c r="CC1030" s="156"/>
      <c r="CD1030" s="156"/>
      <c r="CE1030" s="156"/>
      <c r="CF1030" s="156"/>
      <c r="CG1030" s="156"/>
      <c r="CH1030" s="156"/>
      <c r="CI1030" s="156"/>
      <c r="CJ1030" s="156"/>
      <c r="CK1030" s="156"/>
      <c r="CL1030" s="156"/>
      <c r="CM1030" s="156"/>
      <c r="CN1030" s="156"/>
      <c r="CO1030" s="156"/>
      <c r="CP1030" s="156"/>
      <c r="CQ1030" s="156"/>
      <c r="CR1030" s="156"/>
      <c r="CS1030" s="156"/>
      <c r="CT1030" s="156"/>
      <c r="CU1030" s="156"/>
      <c r="CV1030" s="156"/>
      <c r="CW1030" s="156"/>
      <c r="CX1030" s="156"/>
      <c r="CY1030" s="156"/>
      <c r="CZ1030" s="156"/>
      <c r="DA1030" s="156"/>
      <c r="DB1030" s="156"/>
      <c r="DC1030" s="156"/>
      <c r="DD1030" s="156"/>
      <c r="DE1030" s="156"/>
      <c r="DF1030" s="156"/>
      <c r="DG1030" s="156"/>
      <c r="DH1030" s="156"/>
      <c r="DI1030" s="156"/>
      <c r="DJ1030" s="156"/>
      <c r="DK1030" s="156"/>
      <c r="DL1030" s="156"/>
      <c r="DM1030" s="156"/>
      <c r="DN1030" s="156"/>
      <c r="DO1030" s="156"/>
      <c r="DP1030" s="156"/>
      <c r="DQ1030" s="156"/>
      <c r="DR1030" s="156"/>
      <c r="DS1030" s="156"/>
      <c r="DT1030" s="156"/>
      <c r="DU1030" s="156"/>
      <c r="DV1030" s="156"/>
      <c r="DW1030" s="156"/>
      <c r="DX1030" s="156"/>
      <c r="DY1030" s="156"/>
      <c r="DZ1030" s="156"/>
      <c r="EA1030" s="156"/>
      <c r="EB1030" s="156"/>
      <c r="EC1030" s="156"/>
      <c r="ED1030" s="156"/>
      <c r="EE1030" s="156"/>
      <c r="EF1030" s="156"/>
      <c r="EG1030" s="156"/>
      <c r="EH1030" s="156"/>
      <c r="EI1030" s="156"/>
      <c r="EJ1030" s="156"/>
      <c r="EK1030" s="156"/>
      <c r="EL1030" s="156"/>
      <c r="EM1030" s="156"/>
    </row>
    <row r="1031" spans="20:143" ht="10.5" customHeight="1">
      <c r="T1031" s="156"/>
      <c r="AZ1031" s="156"/>
      <c r="BA1031" s="156"/>
      <c r="BB1031" s="156"/>
      <c r="BC1031" s="156"/>
      <c r="BD1031" s="156"/>
      <c r="BE1031" s="156"/>
      <c r="BF1031" s="156"/>
      <c r="BG1031" s="156"/>
      <c r="BH1031" s="156"/>
      <c r="BI1031" s="156"/>
      <c r="BJ1031" s="156"/>
      <c r="BK1031" s="156"/>
      <c r="BL1031" s="156"/>
      <c r="BM1031" s="156"/>
      <c r="BN1031" s="156"/>
      <c r="BO1031" s="156"/>
      <c r="BP1031" s="156"/>
      <c r="BQ1031" s="156"/>
      <c r="BR1031" s="156"/>
      <c r="BS1031" s="156"/>
      <c r="BT1031" s="156"/>
      <c r="BU1031" s="156"/>
      <c r="BV1031" s="156"/>
      <c r="BW1031" s="156"/>
      <c r="BX1031" s="156"/>
      <c r="BY1031" s="156"/>
      <c r="BZ1031" s="156"/>
      <c r="CA1031" s="156"/>
      <c r="CB1031" s="156"/>
      <c r="CC1031" s="156"/>
      <c r="CD1031" s="156"/>
      <c r="CE1031" s="156"/>
      <c r="CF1031" s="156"/>
      <c r="CG1031" s="156"/>
      <c r="CH1031" s="156"/>
      <c r="CI1031" s="156"/>
      <c r="CJ1031" s="156"/>
      <c r="CK1031" s="156"/>
      <c r="CL1031" s="156"/>
      <c r="CM1031" s="156"/>
      <c r="CN1031" s="156"/>
      <c r="CO1031" s="156"/>
      <c r="CP1031" s="156"/>
      <c r="CQ1031" s="156"/>
      <c r="CR1031" s="156"/>
      <c r="CS1031" s="156"/>
      <c r="CT1031" s="156"/>
      <c r="CU1031" s="156"/>
      <c r="CV1031" s="156"/>
      <c r="CW1031" s="156"/>
      <c r="CX1031" s="156"/>
      <c r="CY1031" s="156"/>
      <c r="CZ1031" s="156"/>
      <c r="DA1031" s="156"/>
      <c r="DB1031" s="156"/>
      <c r="DC1031" s="156"/>
      <c r="DD1031" s="156"/>
      <c r="DE1031" s="156"/>
      <c r="DF1031" s="156"/>
      <c r="DG1031" s="156"/>
      <c r="DH1031" s="156"/>
      <c r="DI1031" s="156"/>
      <c r="DJ1031" s="156"/>
      <c r="DK1031" s="156"/>
      <c r="DL1031" s="156"/>
      <c r="DM1031" s="156"/>
      <c r="DN1031" s="156"/>
      <c r="DO1031" s="156"/>
      <c r="DP1031" s="156"/>
      <c r="DQ1031" s="156"/>
      <c r="DR1031" s="156"/>
      <c r="DS1031" s="156"/>
      <c r="DT1031" s="156"/>
      <c r="DU1031" s="156"/>
      <c r="DV1031" s="156"/>
      <c r="DW1031" s="156"/>
      <c r="DX1031" s="156"/>
      <c r="DY1031" s="156"/>
      <c r="DZ1031" s="156"/>
      <c r="EA1031" s="156"/>
      <c r="EB1031" s="156"/>
      <c r="EC1031" s="156"/>
      <c r="ED1031" s="156"/>
      <c r="EE1031" s="156"/>
      <c r="EF1031" s="156"/>
      <c r="EG1031" s="156"/>
      <c r="EH1031" s="156"/>
      <c r="EI1031" s="156"/>
      <c r="EJ1031" s="156"/>
      <c r="EK1031" s="156"/>
      <c r="EL1031" s="156"/>
      <c r="EM1031" s="156"/>
    </row>
    <row r="1032" spans="20:143" ht="10.5" customHeight="1">
      <c r="T1032" s="156"/>
      <c r="AZ1032" s="156"/>
      <c r="BA1032" s="156"/>
      <c r="BB1032" s="156"/>
      <c r="BC1032" s="156"/>
      <c r="BD1032" s="156"/>
      <c r="BE1032" s="156"/>
      <c r="BF1032" s="156"/>
      <c r="BG1032" s="156"/>
      <c r="BH1032" s="156"/>
      <c r="BI1032" s="156"/>
      <c r="BJ1032" s="156"/>
      <c r="BK1032" s="156"/>
      <c r="BL1032" s="156"/>
      <c r="BM1032" s="156"/>
      <c r="BN1032" s="156"/>
      <c r="BO1032" s="156"/>
      <c r="BP1032" s="156"/>
      <c r="BQ1032" s="156"/>
      <c r="BR1032" s="156"/>
      <c r="BS1032" s="156"/>
      <c r="BT1032" s="156"/>
      <c r="BU1032" s="156"/>
      <c r="BV1032" s="156"/>
      <c r="BW1032" s="156"/>
      <c r="BX1032" s="156"/>
      <c r="BY1032" s="156"/>
      <c r="BZ1032" s="156"/>
      <c r="CA1032" s="156"/>
      <c r="CB1032" s="156"/>
      <c r="CC1032" s="156"/>
      <c r="CD1032" s="156"/>
      <c r="CE1032" s="156"/>
      <c r="CF1032" s="156"/>
      <c r="CG1032" s="156"/>
      <c r="CH1032" s="156"/>
      <c r="CI1032" s="156"/>
      <c r="CJ1032" s="156"/>
      <c r="CK1032" s="156"/>
      <c r="CL1032" s="156"/>
      <c r="CM1032" s="156"/>
      <c r="CN1032" s="156"/>
      <c r="CO1032" s="156"/>
      <c r="CP1032" s="156"/>
      <c r="CQ1032" s="156"/>
      <c r="CR1032" s="156"/>
      <c r="CS1032" s="156"/>
      <c r="CT1032" s="156"/>
      <c r="CU1032" s="156"/>
      <c r="CV1032" s="156"/>
      <c r="CW1032" s="156"/>
      <c r="CX1032" s="156"/>
      <c r="CY1032" s="156"/>
      <c r="CZ1032" s="156"/>
      <c r="DA1032" s="156"/>
      <c r="DB1032" s="156"/>
      <c r="DC1032" s="156"/>
      <c r="DD1032" s="156"/>
      <c r="DE1032" s="156"/>
      <c r="DF1032" s="156"/>
      <c r="DG1032" s="156"/>
      <c r="DH1032" s="156"/>
      <c r="DI1032" s="156"/>
      <c r="DJ1032" s="156"/>
      <c r="DK1032" s="156"/>
      <c r="DL1032" s="156"/>
      <c r="DM1032" s="156"/>
      <c r="DN1032" s="156"/>
      <c r="DO1032" s="156"/>
      <c r="DP1032" s="156"/>
      <c r="DQ1032" s="156"/>
      <c r="DR1032" s="156"/>
      <c r="DS1032" s="156"/>
      <c r="DT1032" s="156"/>
      <c r="DU1032" s="156"/>
      <c r="DV1032" s="156"/>
      <c r="DW1032" s="156"/>
      <c r="DX1032" s="156"/>
      <c r="DY1032" s="156"/>
      <c r="DZ1032" s="156"/>
      <c r="EA1032" s="156"/>
      <c r="EB1032" s="156"/>
      <c r="EC1032" s="156"/>
      <c r="ED1032" s="156"/>
      <c r="EE1032" s="156"/>
      <c r="EF1032" s="156"/>
      <c r="EG1032" s="156"/>
      <c r="EH1032" s="156"/>
      <c r="EI1032" s="156"/>
      <c r="EJ1032" s="156"/>
      <c r="EK1032" s="156"/>
      <c r="EL1032" s="156"/>
      <c r="EM1032" s="156"/>
    </row>
    <row r="1033" spans="20:143" ht="10.5" customHeight="1">
      <c r="T1033" s="156"/>
      <c r="AZ1033" s="156"/>
      <c r="BA1033" s="156"/>
      <c r="BB1033" s="156"/>
      <c r="BC1033" s="156"/>
      <c r="BD1033" s="156"/>
      <c r="BE1033" s="156"/>
      <c r="BF1033" s="156"/>
      <c r="BG1033" s="156"/>
      <c r="BH1033" s="156"/>
      <c r="BI1033" s="156"/>
      <c r="BJ1033" s="156"/>
      <c r="BK1033" s="156"/>
      <c r="BL1033" s="156"/>
      <c r="BM1033" s="156"/>
      <c r="BN1033" s="156"/>
      <c r="BO1033" s="156"/>
      <c r="BP1033" s="156"/>
      <c r="BQ1033" s="156"/>
      <c r="BR1033" s="156"/>
      <c r="BS1033" s="156"/>
      <c r="BT1033" s="156"/>
      <c r="BU1033" s="156"/>
      <c r="BV1033" s="156"/>
      <c r="BW1033" s="156"/>
      <c r="BX1033" s="156"/>
      <c r="BY1033" s="156"/>
      <c r="BZ1033" s="156"/>
      <c r="CA1033" s="156"/>
      <c r="CB1033" s="156"/>
      <c r="CC1033" s="156"/>
      <c r="CD1033" s="156"/>
      <c r="CE1033" s="156"/>
      <c r="CF1033" s="156"/>
      <c r="CG1033" s="156"/>
      <c r="CH1033" s="156"/>
      <c r="CI1033" s="156"/>
      <c r="CJ1033" s="156"/>
      <c r="CK1033" s="156"/>
      <c r="CL1033" s="156"/>
      <c r="CM1033" s="156"/>
      <c r="CN1033" s="156"/>
      <c r="CO1033" s="156"/>
      <c r="CP1033" s="156"/>
      <c r="CQ1033" s="156"/>
      <c r="CR1033" s="156"/>
      <c r="CS1033" s="156"/>
      <c r="CT1033" s="156"/>
      <c r="CU1033" s="156"/>
      <c r="CV1033" s="156"/>
      <c r="CW1033" s="156"/>
      <c r="CX1033" s="156"/>
      <c r="CY1033" s="156"/>
      <c r="CZ1033" s="156"/>
      <c r="DA1033" s="156"/>
      <c r="DB1033" s="156"/>
      <c r="DC1033" s="156"/>
      <c r="DD1033" s="156"/>
      <c r="DE1033" s="156"/>
      <c r="DF1033" s="156"/>
      <c r="DG1033" s="156"/>
      <c r="DH1033" s="156"/>
      <c r="DI1033" s="156"/>
      <c r="DJ1033" s="156"/>
      <c r="DK1033" s="156"/>
      <c r="DL1033" s="156"/>
      <c r="DM1033" s="156"/>
      <c r="DN1033" s="156"/>
      <c r="DO1033" s="156"/>
      <c r="DP1033" s="156"/>
      <c r="DQ1033" s="156"/>
      <c r="DR1033" s="156"/>
      <c r="DS1033" s="156"/>
      <c r="DT1033" s="156"/>
      <c r="DU1033" s="156"/>
      <c r="DV1033" s="156"/>
      <c r="DW1033" s="156"/>
      <c r="DX1033" s="156"/>
      <c r="DY1033" s="156"/>
      <c r="DZ1033" s="156"/>
      <c r="EA1033" s="156"/>
      <c r="EB1033" s="156"/>
      <c r="EC1033" s="156"/>
      <c r="ED1033" s="156"/>
      <c r="EE1033" s="156"/>
      <c r="EF1033" s="156"/>
      <c r="EG1033" s="156"/>
      <c r="EH1033" s="156"/>
      <c r="EI1033" s="156"/>
      <c r="EJ1033" s="156"/>
      <c r="EK1033" s="156"/>
      <c r="EL1033" s="156"/>
      <c r="EM1033" s="156"/>
    </row>
    <row r="1034" spans="20:143" ht="10.5" customHeight="1">
      <c r="T1034" s="156"/>
      <c r="AZ1034" s="156"/>
      <c r="BA1034" s="156"/>
      <c r="BB1034" s="156"/>
      <c r="BC1034" s="156"/>
      <c r="BD1034" s="156"/>
      <c r="BE1034" s="156"/>
      <c r="BF1034" s="156"/>
      <c r="BG1034" s="156"/>
      <c r="BH1034" s="156"/>
      <c r="BI1034" s="156"/>
      <c r="BJ1034" s="156"/>
      <c r="BK1034" s="156"/>
      <c r="BL1034" s="156"/>
      <c r="BM1034" s="156"/>
      <c r="BN1034" s="156"/>
      <c r="BO1034" s="156"/>
      <c r="BP1034" s="156"/>
      <c r="BQ1034" s="156"/>
      <c r="BR1034" s="156"/>
      <c r="BS1034" s="156"/>
      <c r="BT1034" s="156"/>
      <c r="BU1034" s="156"/>
      <c r="BV1034" s="156"/>
      <c r="BW1034" s="156"/>
      <c r="BX1034" s="156"/>
      <c r="BY1034" s="156"/>
      <c r="BZ1034" s="156"/>
      <c r="CA1034" s="156"/>
      <c r="CB1034" s="156"/>
      <c r="CC1034" s="156"/>
      <c r="CD1034" s="156"/>
      <c r="CE1034" s="156"/>
      <c r="CF1034" s="156"/>
      <c r="CG1034" s="156"/>
      <c r="CH1034" s="156"/>
      <c r="CI1034" s="156"/>
      <c r="CJ1034" s="156"/>
      <c r="CK1034" s="156"/>
      <c r="CL1034" s="156"/>
      <c r="CM1034" s="156"/>
      <c r="CN1034" s="156"/>
      <c r="CO1034" s="156"/>
      <c r="CP1034" s="156"/>
      <c r="CQ1034" s="156"/>
      <c r="CR1034" s="156"/>
      <c r="CS1034" s="156"/>
      <c r="CT1034" s="156"/>
      <c r="CU1034" s="156"/>
      <c r="CV1034" s="156"/>
      <c r="CW1034" s="156"/>
      <c r="CX1034" s="156"/>
      <c r="CY1034" s="156"/>
      <c r="CZ1034" s="156"/>
      <c r="DA1034" s="156"/>
      <c r="DB1034" s="156"/>
      <c r="DC1034" s="156"/>
      <c r="DD1034" s="156"/>
      <c r="DE1034" s="156"/>
      <c r="DF1034" s="156"/>
      <c r="DG1034" s="156"/>
      <c r="DH1034" s="156"/>
      <c r="DI1034" s="156"/>
      <c r="DJ1034" s="156"/>
      <c r="DK1034" s="156"/>
      <c r="DL1034" s="156"/>
      <c r="DM1034" s="156"/>
      <c r="DN1034" s="156"/>
      <c r="DO1034" s="156"/>
      <c r="DP1034" s="156"/>
      <c r="DQ1034" s="156"/>
      <c r="DR1034" s="156"/>
      <c r="DS1034" s="156"/>
      <c r="DT1034" s="156"/>
      <c r="DU1034" s="156"/>
      <c r="DV1034" s="156"/>
      <c r="DW1034" s="156"/>
      <c r="DX1034" s="156"/>
      <c r="DY1034" s="156"/>
      <c r="DZ1034" s="156"/>
      <c r="EA1034" s="156"/>
      <c r="EB1034" s="156"/>
      <c r="EC1034" s="156"/>
      <c r="ED1034" s="156"/>
      <c r="EE1034" s="156"/>
      <c r="EF1034" s="156"/>
      <c r="EG1034" s="156"/>
      <c r="EH1034" s="156"/>
      <c r="EI1034" s="156"/>
      <c r="EJ1034" s="156"/>
      <c r="EK1034" s="156"/>
      <c r="EL1034" s="156"/>
      <c r="EM1034" s="156"/>
    </row>
    <row r="1035" spans="20:143" ht="10.5" customHeight="1">
      <c r="T1035" s="156"/>
      <c r="AZ1035" s="156"/>
      <c r="BA1035" s="156"/>
      <c r="BB1035" s="156"/>
      <c r="BC1035" s="156"/>
      <c r="BD1035" s="156"/>
      <c r="BE1035" s="156"/>
      <c r="BF1035" s="156"/>
      <c r="BG1035" s="156"/>
      <c r="BH1035" s="156"/>
      <c r="BI1035" s="156"/>
      <c r="BJ1035" s="156"/>
      <c r="BK1035" s="156"/>
      <c r="BL1035" s="156"/>
      <c r="BM1035" s="156"/>
      <c r="BN1035" s="156"/>
      <c r="BO1035" s="156"/>
      <c r="BP1035" s="156"/>
      <c r="BQ1035" s="156"/>
      <c r="BR1035" s="156"/>
      <c r="BS1035" s="156"/>
      <c r="BT1035" s="156"/>
      <c r="BU1035" s="156"/>
      <c r="BV1035" s="156"/>
      <c r="BW1035" s="156"/>
      <c r="BX1035" s="156"/>
      <c r="BY1035" s="156"/>
      <c r="BZ1035" s="156"/>
      <c r="CA1035" s="156"/>
      <c r="CB1035" s="156"/>
      <c r="CC1035" s="156"/>
      <c r="CD1035" s="156"/>
      <c r="CE1035" s="156"/>
      <c r="CF1035" s="156"/>
      <c r="CG1035" s="156"/>
      <c r="CH1035" s="156"/>
      <c r="CI1035" s="156"/>
      <c r="CJ1035" s="156"/>
      <c r="CK1035" s="156"/>
      <c r="CL1035" s="156"/>
      <c r="CM1035" s="156"/>
      <c r="CN1035" s="156"/>
      <c r="CO1035" s="156"/>
      <c r="CP1035" s="156"/>
      <c r="CQ1035" s="156"/>
      <c r="CR1035" s="156"/>
      <c r="CS1035" s="156"/>
      <c r="CT1035" s="156"/>
      <c r="CU1035" s="156"/>
      <c r="CV1035" s="156"/>
      <c r="CW1035" s="156"/>
      <c r="CX1035" s="156"/>
      <c r="CY1035" s="156"/>
      <c r="CZ1035" s="156"/>
      <c r="DA1035" s="156"/>
      <c r="DB1035" s="156"/>
      <c r="DC1035" s="156"/>
      <c r="DD1035" s="156"/>
      <c r="DE1035" s="156"/>
      <c r="DF1035" s="156"/>
      <c r="DG1035" s="156"/>
      <c r="DH1035" s="156"/>
      <c r="DI1035" s="156"/>
      <c r="DJ1035" s="156"/>
      <c r="DK1035" s="156"/>
      <c r="DL1035" s="156"/>
      <c r="DM1035" s="156"/>
      <c r="DN1035" s="156"/>
      <c r="DO1035" s="156"/>
      <c r="DP1035" s="156"/>
      <c r="DQ1035" s="156"/>
      <c r="DR1035" s="156"/>
      <c r="DS1035" s="156"/>
      <c r="DT1035" s="156"/>
      <c r="DU1035" s="156"/>
      <c r="DV1035" s="156"/>
      <c r="DW1035" s="156"/>
      <c r="DX1035" s="156"/>
      <c r="DY1035" s="156"/>
      <c r="DZ1035" s="156"/>
      <c r="EA1035" s="156"/>
      <c r="EB1035" s="156"/>
      <c r="EC1035" s="156"/>
      <c r="ED1035" s="156"/>
      <c r="EE1035" s="156"/>
      <c r="EF1035" s="156"/>
      <c r="EG1035" s="156"/>
      <c r="EH1035" s="156"/>
      <c r="EI1035" s="156"/>
      <c r="EJ1035" s="156"/>
      <c r="EK1035" s="156"/>
      <c r="EL1035" s="156"/>
      <c r="EM1035" s="156"/>
    </row>
    <row r="1036" spans="20:143" ht="10.5" customHeight="1">
      <c r="T1036" s="156"/>
      <c r="AZ1036" s="156"/>
      <c r="BA1036" s="156"/>
      <c r="BB1036" s="156"/>
      <c r="BC1036" s="156"/>
      <c r="BD1036" s="156"/>
      <c r="BE1036" s="156"/>
      <c r="BF1036" s="156"/>
      <c r="BG1036" s="156"/>
      <c r="BH1036" s="156"/>
      <c r="BI1036" s="156"/>
      <c r="BJ1036" s="156"/>
      <c r="BK1036" s="156"/>
      <c r="BL1036" s="156"/>
      <c r="BM1036" s="156"/>
      <c r="BN1036" s="156"/>
      <c r="BO1036" s="156"/>
      <c r="BP1036" s="156"/>
      <c r="BQ1036" s="156"/>
      <c r="BR1036" s="156"/>
      <c r="BS1036" s="156"/>
      <c r="BT1036" s="156"/>
      <c r="BU1036" s="156"/>
      <c r="BV1036" s="156"/>
      <c r="BW1036" s="156"/>
      <c r="BX1036" s="156"/>
      <c r="BY1036" s="156"/>
      <c r="BZ1036" s="156"/>
      <c r="CA1036" s="156"/>
      <c r="CB1036" s="156"/>
      <c r="CC1036" s="156"/>
      <c r="CD1036" s="156"/>
      <c r="CE1036" s="156"/>
      <c r="CF1036" s="156"/>
      <c r="CG1036" s="156"/>
      <c r="CH1036" s="156"/>
      <c r="CI1036" s="156"/>
      <c r="CJ1036" s="156"/>
      <c r="CK1036" s="156"/>
      <c r="CL1036" s="156"/>
      <c r="CM1036" s="156"/>
      <c r="CN1036" s="156"/>
      <c r="CO1036" s="156"/>
      <c r="CP1036" s="156"/>
      <c r="CQ1036" s="156"/>
      <c r="CR1036" s="156"/>
      <c r="CS1036" s="156"/>
      <c r="CT1036" s="156"/>
      <c r="CU1036" s="156"/>
      <c r="CV1036" s="156"/>
      <c r="CW1036" s="156"/>
      <c r="CX1036" s="156"/>
      <c r="CY1036" s="156"/>
      <c r="CZ1036" s="156"/>
      <c r="DA1036" s="156"/>
      <c r="DB1036" s="156"/>
      <c r="DC1036" s="156"/>
      <c r="DD1036" s="156"/>
      <c r="DE1036" s="156"/>
      <c r="DF1036" s="156"/>
      <c r="DG1036" s="156"/>
      <c r="DH1036" s="156"/>
      <c r="DI1036" s="156"/>
      <c r="DJ1036" s="156"/>
      <c r="DK1036" s="156"/>
      <c r="DL1036" s="156"/>
      <c r="DM1036" s="156"/>
      <c r="DN1036" s="156"/>
      <c r="DO1036" s="156"/>
      <c r="DP1036" s="156"/>
      <c r="DQ1036" s="156"/>
      <c r="DR1036" s="156"/>
      <c r="DS1036" s="156"/>
      <c r="DT1036" s="156"/>
      <c r="DU1036" s="156"/>
      <c r="DV1036" s="156"/>
      <c r="DW1036" s="156"/>
      <c r="DX1036" s="156"/>
      <c r="DY1036" s="156"/>
      <c r="DZ1036" s="156"/>
      <c r="EA1036" s="156"/>
      <c r="EB1036" s="156"/>
      <c r="EC1036" s="156"/>
      <c r="ED1036" s="156"/>
      <c r="EE1036" s="156"/>
      <c r="EF1036" s="156"/>
      <c r="EG1036" s="156"/>
      <c r="EH1036" s="156"/>
      <c r="EI1036" s="156"/>
      <c r="EJ1036" s="156"/>
      <c r="EK1036" s="156"/>
      <c r="EL1036" s="156"/>
      <c r="EM1036" s="156"/>
    </row>
    <row r="1037" spans="20:143" ht="10.5" customHeight="1">
      <c r="T1037" s="156"/>
      <c r="AZ1037" s="156"/>
      <c r="BA1037" s="156"/>
      <c r="BB1037" s="156"/>
      <c r="BC1037" s="156"/>
      <c r="BD1037" s="156"/>
      <c r="BE1037" s="156"/>
      <c r="BF1037" s="156"/>
      <c r="BG1037" s="156"/>
      <c r="BH1037" s="156"/>
      <c r="BI1037" s="156"/>
      <c r="BJ1037" s="156"/>
      <c r="BK1037" s="156"/>
      <c r="BL1037" s="156"/>
      <c r="BM1037" s="156"/>
      <c r="BN1037" s="156"/>
      <c r="BO1037" s="156"/>
      <c r="BP1037" s="156"/>
      <c r="BQ1037" s="156"/>
      <c r="BR1037" s="156"/>
      <c r="BS1037" s="156"/>
      <c r="BT1037" s="156"/>
      <c r="BU1037" s="156"/>
      <c r="BV1037" s="156"/>
      <c r="BW1037" s="156"/>
      <c r="BX1037" s="156"/>
      <c r="BY1037" s="156"/>
      <c r="BZ1037" s="156"/>
      <c r="CA1037" s="156"/>
      <c r="CB1037" s="156"/>
      <c r="CC1037" s="156"/>
      <c r="CD1037" s="156"/>
      <c r="CE1037" s="156"/>
      <c r="CF1037" s="156"/>
      <c r="CG1037" s="156"/>
      <c r="CH1037" s="156"/>
      <c r="CI1037" s="156"/>
      <c r="CJ1037" s="156"/>
      <c r="CK1037" s="156"/>
      <c r="CL1037" s="156"/>
      <c r="CM1037" s="156"/>
      <c r="CN1037" s="156"/>
      <c r="CO1037" s="156"/>
      <c r="CP1037" s="156"/>
      <c r="CQ1037" s="156"/>
      <c r="CR1037" s="156"/>
      <c r="CS1037" s="156"/>
      <c r="CT1037" s="156"/>
      <c r="CU1037" s="156"/>
      <c r="CV1037" s="156"/>
      <c r="CW1037" s="156"/>
      <c r="CX1037" s="156"/>
      <c r="CY1037" s="156"/>
      <c r="CZ1037" s="156"/>
      <c r="DA1037" s="156"/>
      <c r="DB1037" s="156"/>
      <c r="DC1037" s="156"/>
      <c r="DD1037" s="156"/>
      <c r="DE1037" s="156"/>
      <c r="DF1037" s="156"/>
      <c r="DG1037" s="156"/>
      <c r="DH1037" s="156"/>
      <c r="DI1037" s="156"/>
      <c r="DJ1037" s="156"/>
      <c r="DK1037" s="156"/>
      <c r="DL1037" s="156"/>
      <c r="DM1037" s="156"/>
      <c r="DN1037" s="156"/>
      <c r="DO1037" s="156"/>
      <c r="DP1037" s="156"/>
      <c r="DQ1037" s="156"/>
      <c r="DR1037" s="156"/>
      <c r="DS1037" s="156"/>
      <c r="DT1037" s="156"/>
      <c r="DU1037" s="156"/>
      <c r="DV1037" s="156"/>
      <c r="DW1037" s="156"/>
      <c r="DX1037" s="156"/>
      <c r="DY1037" s="156"/>
      <c r="DZ1037" s="156"/>
      <c r="EA1037" s="156"/>
      <c r="EB1037" s="156"/>
      <c r="EC1037" s="156"/>
      <c r="ED1037" s="156"/>
      <c r="EE1037" s="156"/>
      <c r="EF1037" s="156"/>
      <c r="EG1037" s="156"/>
      <c r="EH1037" s="156"/>
      <c r="EI1037" s="156"/>
      <c r="EJ1037" s="156"/>
      <c r="EK1037" s="156"/>
      <c r="EL1037" s="156"/>
      <c r="EM1037" s="156"/>
    </row>
    <row r="1038" spans="20:143" ht="10.5" customHeight="1">
      <c r="T1038" s="156"/>
      <c r="AZ1038" s="156"/>
      <c r="BA1038" s="156"/>
      <c r="BB1038" s="156"/>
      <c r="BC1038" s="156"/>
      <c r="BD1038" s="156"/>
      <c r="BE1038" s="156"/>
      <c r="BF1038" s="156"/>
      <c r="BG1038" s="156"/>
      <c r="BH1038" s="156"/>
      <c r="BI1038" s="156"/>
      <c r="BJ1038" s="156"/>
      <c r="BK1038" s="156"/>
      <c r="BL1038" s="156"/>
      <c r="BM1038" s="156"/>
      <c r="BN1038" s="156"/>
      <c r="BO1038" s="156"/>
      <c r="BP1038" s="156"/>
      <c r="BQ1038" s="156"/>
      <c r="BR1038" s="156"/>
      <c r="BS1038" s="156"/>
      <c r="BT1038" s="156"/>
      <c r="BU1038" s="156"/>
      <c r="BV1038" s="156"/>
      <c r="BW1038" s="156"/>
      <c r="BX1038" s="156"/>
      <c r="BY1038" s="156"/>
      <c r="BZ1038" s="156"/>
      <c r="CA1038" s="156"/>
      <c r="CB1038" s="156"/>
      <c r="CC1038" s="156"/>
      <c r="CD1038" s="156"/>
      <c r="CE1038" s="156"/>
      <c r="CF1038" s="156"/>
      <c r="CG1038" s="156"/>
      <c r="CH1038" s="156"/>
      <c r="CI1038" s="156"/>
      <c r="CJ1038" s="156"/>
      <c r="CK1038" s="156"/>
      <c r="CL1038" s="156"/>
      <c r="CM1038" s="156"/>
      <c r="CN1038" s="156"/>
      <c r="CO1038" s="156"/>
      <c r="CP1038" s="156"/>
      <c r="CQ1038" s="156"/>
      <c r="CR1038" s="156"/>
      <c r="CS1038" s="156"/>
      <c r="CT1038" s="156"/>
      <c r="CU1038" s="156"/>
      <c r="CV1038" s="156"/>
      <c r="CW1038" s="156"/>
      <c r="CX1038" s="156"/>
      <c r="CY1038" s="156"/>
      <c r="CZ1038" s="156"/>
      <c r="DA1038" s="156"/>
      <c r="DB1038" s="156"/>
      <c r="DC1038" s="156"/>
      <c r="DD1038" s="156"/>
      <c r="DE1038" s="156"/>
      <c r="DF1038" s="156"/>
      <c r="DG1038" s="156"/>
      <c r="DH1038" s="156"/>
      <c r="DI1038" s="156"/>
      <c r="DJ1038" s="156"/>
      <c r="DK1038" s="156"/>
      <c r="DL1038" s="156"/>
      <c r="DM1038" s="156"/>
      <c r="DN1038" s="156"/>
      <c r="DO1038" s="156"/>
      <c r="DP1038" s="156"/>
      <c r="DQ1038" s="156"/>
      <c r="DR1038" s="156"/>
      <c r="DS1038" s="156"/>
      <c r="DT1038" s="156"/>
      <c r="DU1038" s="156"/>
      <c r="DV1038" s="156"/>
      <c r="DW1038" s="156"/>
      <c r="DX1038" s="156"/>
      <c r="DY1038" s="156"/>
      <c r="DZ1038" s="156"/>
      <c r="EA1038" s="156"/>
      <c r="EB1038" s="156"/>
      <c r="EC1038" s="156"/>
      <c r="ED1038" s="156"/>
      <c r="EE1038" s="156"/>
      <c r="EF1038" s="156"/>
      <c r="EG1038" s="156"/>
      <c r="EH1038" s="156"/>
      <c r="EI1038" s="156"/>
      <c r="EJ1038" s="156"/>
      <c r="EK1038" s="156"/>
      <c r="EL1038" s="156"/>
      <c r="EM1038" s="156"/>
    </row>
    <row r="1039" spans="20:143" ht="10.5" customHeight="1">
      <c r="T1039" s="156"/>
      <c r="AZ1039" s="156"/>
      <c r="BA1039" s="156"/>
      <c r="BB1039" s="156"/>
      <c r="BC1039" s="156"/>
      <c r="BD1039" s="156"/>
      <c r="BE1039" s="156"/>
      <c r="BF1039" s="156"/>
      <c r="BG1039" s="156"/>
      <c r="BH1039" s="156"/>
      <c r="BI1039" s="156"/>
      <c r="BJ1039" s="156"/>
      <c r="BK1039" s="156"/>
      <c r="BL1039" s="156"/>
      <c r="BM1039" s="156"/>
      <c r="BN1039" s="156"/>
      <c r="BO1039" s="156"/>
      <c r="BP1039" s="156"/>
      <c r="BQ1039" s="156"/>
      <c r="BR1039" s="156"/>
      <c r="BS1039" s="156"/>
      <c r="BT1039" s="156"/>
      <c r="BU1039" s="156"/>
      <c r="BV1039" s="156"/>
      <c r="BW1039" s="156"/>
      <c r="BX1039" s="156"/>
      <c r="BY1039" s="156"/>
      <c r="BZ1039" s="156"/>
      <c r="CA1039" s="156"/>
      <c r="CB1039" s="156"/>
      <c r="CC1039" s="156"/>
      <c r="CD1039" s="156"/>
      <c r="CE1039" s="156"/>
      <c r="CF1039" s="156"/>
      <c r="CG1039" s="156"/>
      <c r="CH1039" s="156"/>
      <c r="CI1039" s="156"/>
      <c r="CJ1039" s="156"/>
      <c r="CK1039" s="156"/>
      <c r="CL1039" s="156"/>
      <c r="CM1039" s="156"/>
      <c r="CN1039" s="156"/>
      <c r="CO1039" s="156"/>
      <c r="CP1039" s="156"/>
      <c r="CQ1039" s="156"/>
      <c r="CR1039" s="156"/>
      <c r="CS1039" s="156"/>
      <c r="CT1039" s="156"/>
      <c r="CU1039" s="156"/>
      <c r="CV1039" s="156"/>
      <c r="CW1039" s="156"/>
      <c r="CX1039" s="156"/>
      <c r="CY1039" s="156"/>
      <c r="CZ1039" s="156"/>
      <c r="DA1039" s="156"/>
      <c r="DB1039" s="156"/>
      <c r="DC1039" s="156"/>
      <c r="DD1039" s="156"/>
      <c r="DE1039" s="156"/>
      <c r="DF1039" s="156"/>
      <c r="DG1039" s="156"/>
      <c r="DH1039" s="156"/>
      <c r="DI1039" s="156"/>
      <c r="DJ1039" s="156"/>
      <c r="DK1039" s="156"/>
      <c r="DL1039" s="156"/>
      <c r="DM1039" s="156"/>
      <c r="DN1039" s="156"/>
      <c r="DO1039" s="156"/>
      <c r="DP1039" s="156"/>
      <c r="DQ1039" s="156"/>
      <c r="DR1039" s="156"/>
      <c r="DS1039" s="156"/>
      <c r="DT1039" s="156"/>
      <c r="DU1039" s="156"/>
      <c r="DV1039" s="156"/>
      <c r="DW1039" s="156"/>
      <c r="DX1039" s="156"/>
      <c r="DY1039" s="156"/>
      <c r="DZ1039" s="156"/>
      <c r="EA1039" s="156"/>
      <c r="EB1039" s="156"/>
      <c r="EC1039" s="156"/>
      <c r="ED1039" s="156"/>
      <c r="EE1039" s="156"/>
      <c r="EF1039" s="156"/>
      <c r="EG1039" s="156"/>
      <c r="EH1039" s="156"/>
      <c r="EI1039" s="156"/>
      <c r="EJ1039" s="156"/>
      <c r="EK1039" s="156"/>
      <c r="EL1039" s="156"/>
      <c r="EM1039" s="156"/>
    </row>
    <row r="1040" spans="20:143" ht="10.5" customHeight="1">
      <c r="T1040" s="156"/>
      <c r="AZ1040" s="156"/>
      <c r="BA1040" s="156"/>
      <c r="BB1040" s="156"/>
      <c r="BC1040" s="156"/>
      <c r="BD1040" s="156"/>
      <c r="BE1040" s="156"/>
      <c r="BF1040" s="156"/>
      <c r="BG1040" s="156"/>
      <c r="BH1040" s="156"/>
      <c r="BI1040" s="156"/>
      <c r="BJ1040" s="156"/>
      <c r="BK1040" s="156"/>
      <c r="BL1040" s="156"/>
      <c r="BM1040" s="156"/>
      <c r="BN1040" s="156"/>
      <c r="BO1040" s="156"/>
      <c r="BP1040" s="156"/>
      <c r="BQ1040" s="156"/>
      <c r="BR1040" s="156"/>
      <c r="BS1040" s="156"/>
      <c r="BT1040" s="156"/>
      <c r="BU1040" s="156"/>
      <c r="BV1040" s="156"/>
      <c r="BW1040" s="156"/>
      <c r="BX1040" s="156"/>
      <c r="BY1040" s="156"/>
      <c r="BZ1040" s="156"/>
      <c r="CA1040" s="156"/>
      <c r="CB1040" s="156"/>
      <c r="CC1040" s="156"/>
      <c r="CD1040" s="156"/>
      <c r="CE1040" s="156"/>
      <c r="CF1040" s="156"/>
      <c r="CG1040" s="156"/>
      <c r="CH1040" s="156"/>
      <c r="CI1040" s="156"/>
      <c r="CJ1040" s="156"/>
      <c r="CK1040" s="156"/>
      <c r="CL1040" s="156"/>
      <c r="CM1040" s="156"/>
      <c r="CN1040" s="156"/>
      <c r="CO1040" s="156"/>
      <c r="CP1040" s="156"/>
      <c r="CQ1040" s="156"/>
      <c r="CR1040" s="156"/>
      <c r="CS1040" s="156"/>
      <c r="CT1040" s="156"/>
      <c r="CU1040" s="156"/>
      <c r="CV1040" s="156"/>
      <c r="CW1040" s="156"/>
      <c r="CX1040" s="156"/>
      <c r="CY1040" s="156"/>
      <c r="CZ1040" s="156"/>
      <c r="DA1040" s="156"/>
      <c r="DB1040" s="156"/>
      <c r="DC1040" s="156"/>
      <c r="DD1040" s="156"/>
      <c r="DE1040" s="156"/>
      <c r="DF1040" s="156"/>
      <c r="DG1040" s="156"/>
      <c r="DH1040" s="156"/>
      <c r="DI1040" s="156"/>
      <c r="DJ1040" s="156"/>
      <c r="DK1040" s="156"/>
      <c r="DL1040" s="156"/>
      <c r="DM1040" s="156"/>
      <c r="DN1040" s="156"/>
      <c r="DO1040" s="156"/>
      <c r="DP1040" s="156"/>
      <c r="DQ1040" s="156"/>
      <c r="DR1040" s="156"/>
      <c r="DS1040" s="156"/>
      <c r="DT1040" s="156"/>
      <c r="DU1040" s="156"/>
      <c r="DV1040" s="156"/>
      <c r="DW1040" s="156"/>
      <c r="DX1040" s="156"/>
      <c r="DY1040" s="156"/>
      <c r="DZ1040" s="156"/>
      <c r="EA1040" s="156"/>
      <c r="EB1040" s="156"/>
      <c r="EC1040" s="156"/>
      <c r="ED1040" s="156"/>
      <c r="EE1040" s="156"/>
      <c r="EF1040" s="156"/>
      <c r="EG1040" s="156"/>
      <c r="EH1040" s="156"/>
      <c r="EI1040" s="156"/>
      <c r="EJ1040" s="156"/>
      <c r="EK1040" s="156"/>
      <c r="EL1040" s="156"/>
      <c r="EM1040" s="156"/>
    </row>
    <row r="1041" spans="20:143" ht="10.5" customHeight="1">
      <c r="T1041" s="156"/>
      <c r="AZ1041" s="156"/>
      <c r="BA1041" s="156"/>
      <c r="BB1041" s="156"/>
      <c r="BC1041" s="156"/>
      <c r="BD1041" s="156"/>
      <c r="BE1041" s="156"/>
      <c r="BF1041" s="156"/>
      <c r="BG1041" s="156"/>
      <c r="BH1041" s="156"/>
      <c r="BI1041" s="156"/>
      <c r="BJ1041" s="156"/>
      <c r="BK1041" s="156"/>
      <c r="BL1041" s="156"/>
      <c r="BM1041" s="156"/>
      <c r="BN1041" s="156"/>
      <c r="BO1041" s="156"/>
      <c r="BP1041" s="156"/>
      <c r="BQ1041" s="156"/>
      <c r="BR1041" s="156"/>
      <c r="BS1041" s="156"/>
      <c r="BT1041" s="156"/>
      <c r="BU1041" s="156"/>
      <c r="BV1041" s="156"/>
      <c r="BW1041" s="156"/>
      <c r="BX1041" s="156"/>
      <c r="BY1041" s="156"/>
      <c r="BZ1041" s="156"/>
      <c r="CA1041" s="156"/>
      <c r="CB1041" s="156"/>
      <c r="CC1041" s="156"/>
      <c r="CD1041" s="156"/>
      <c r="CE1041" s="156"/>
      <c r="CF1041" s="156"/>
      <c r="CG1041" s="156"/>
      <c r="CH1041" s="156"/>
      <c r="CI1041" s="156"/>
      <c r="CJ1041" s="156"/>
      <c r="CK1041" s="156"/>
      <c r="CL1041" s="156"/>
      <c r="CM1041" s="156"/>
      <c r="CN1041" s="156"/>
      <c r="CO1041" s="156"/>
      <c r="CP1041" s="156"/>
      <c r="CQ1041" s="156"/>
      <c r="CR1041" s="156"/>
      <c r="CS1041" s="156"/>
      <c r="CT1041" s="156"/>
      <c r="CU1041" s="156"/>
      <c r="CV1041" s="156"/>
      <c r="CW1041" s="156"/>
      <c r="CX1041" s="156"/>
      <c r="CY1041" s="156"/>
      <c r="CZ1041" s="156"/>
      <c r="DA1041" s="156"/>
      <c r="DB1041" s="156"/>
      <c r="DC1041" s="156"/>
      <c r="DD1041" s="156"/>
      <c r="DE1041" s="156"/>
      <c r="DF1041" s="156"/>
      <c r="DG1041" s="156"/>
      <c r="DH1041" s="156"/>
      <c r="DI1041" s="156"/>
      <c r="DJ1041" s="156"/>
      <c r="DK1041" s="156"/>
      <c r="DL1041" s="156"/>
      <c r="DM1041" s="156"/>
      <c r="DN1041" s="156"/>
      <c r="DO1041" s="156"/>
      <c r="DP1041" s="156"/>
      <c r="DQ1041" s="156"/>
      <c r="DR1041" s="156"/>
      <c r="DS1041" s="156"/>
      <c r="DT1041" s="156"/>
      <c r="DU1041" s="156"/>
      <c r="DV1041" s="156"/>
      <c r="DW1041" s="156"/>
      <c r="DX1041" s="156"/>
      <c r="DY1041" s="156"/>
      <c r="DZ1041" s="156"/>
      <c r="EA1041" s="156"/>
      <c r="EB1041" s="156"/>
      <c r="EC1041" s="156"/>
      <c r="ED1041" s="156"/>
      <c r="EE1041" s="156"/>
      <c r="EF1041" s="156"/>
      <c r="EG1041" s="156"/>
      <c r="EH1041" s="156"/>
      <c r="EI1041" s="156"/>
      <c r="EJ1041" s="156"/>
      <c r="EK1041" s="156"/>
      <c r="EL1041" s="156"/>
      <c r="EM1041" s="156"/>
    </row>
    <row r="1042" spans="20:143" ht="10.5" customHeight="1">
      <c r="T1042" s="156"/>
      <c r="AZ1042" s="156"/>
      <c r="BA1042" s="156"/>
      <c r="BB1042" s="156"/>
      <c r="BC1042" s="156"/>
      <c r="BD1042" s="156"/>
      <c r="BE1042" s="156"/>
      <c r="BF1042" s="156"/>
      <c r="BG1042" s="156"/>
      <c r="BH1042" s="156"/>
      <c r="BI1042" s="156"/>
      <c r="BJ1042" s="156"/>
      <c r="BK1042" s="156"/>
      <c r="BL1042" s="156"/>
      <c r="BM1042" s="156"/>
      <c r="BN1042" s="156"/>
      <c r="BO1042" s="156"/>
      <c r="BP1042" s="156"/>
      <c r="BQ1042" s="156"/>
      <c r="BR1042" s="156"/>
      <c r="BS1042" s="156"/>
      <c r="BT1042" s="156"/>
      <c r="BU1042" s="156"/>
      <c r="BV1042" s="156"/>
      <c r="BW1042" s="156"/>
      <c r="BX1042" s="156"/>
      <c r="BY1042" s="156"/>
      <c r="BZ1042" s="156"/>
      <c r="CA1042" s="156"/>
      <c r="CB1042" s="156"/>
      <c r="CC1042" s="156"/>
      <c r="CD1042" s="156"/>
      <c r="CE1042" s="156"/>
      <c r="CF1042" s="156"/>
      <c r="CG1042" s="156"/>
      <c r="CH1042" s="156"/>
      <c r="CI1042" s="156"/>
      <c r="CJ1042" s="156"/>
      <c r="CK1042" s="156"/>
      <c r="CL1042" s="156"/>
      <c r="CM1042" s="156"/>
      <c r="CN1042" s="156"/>
      <c r="CO1042" s="156"/>
      <c r="CP1042" s="156"/>
      <c r="CQ1042" s="156"/>
      <c r="CR1042" s="156"/>
      <c r="CS1042" s="156"/>
      <c r="CT1042" s="156"/>
      <c r="CU1042" s="156"/>
      <c r="CV1042" s="156"/>
      <c r="CW1042" s="156"/>
      <c r="CX1042" s="156"/>
      <c r="CY1042" s="156"/>
      <c r="CZ1042" s="156"/>
      <c r="DA1042" s="156"/>
      <c r="DB1042" s="156"/>
      <c r="DC1042" s="156"/>
      <c r="DD1042" s="156"/>
      <c r="DE1042" s="156"/>
      <c r="DF1042" s="156"/>
      <c r="DG1042" s="156"/>
      <c r="DH1042" s="156"/>
      <c r="DI1042" s="156"/>
      <c r="DJ1042" s="156"/>
      <c r="DK1042" s="156"/>
      <c r="DL1042" s="156"/>
      <c r="DM1042" s="156"/>
      <c r="DN1042" s="156"/>
      <c r="DO1042" s="156"/>
      <c r="DP1042" s="156"/>
      <c r="DQ1042" s="156"/>
      <c r="DR1042" s="156"/>
      <c r="DS1042" s="156"/>
      <c r="DT1042" s="156"/>
      <c r="DU1042" s="156"/>
      <c r="DV1042" s="156"/>
      <c r="DW1042" s="156"/>
      <c r="DX1042" s="156"/>
      <c r="DY1042" s="156"/>
      <c r="DZ1042" s="156"/>
      <c r="EA1042" s="156"/>
      <c r="EB1042" s="156"/>
      <c r="EC1042" s="156"/>
      <c r="ED1042" s="156"/>
      <c r="EE1042" s="156"/>
      <c r="EF1042" s="156"/>
      <c r="EG1042" s="156"/>
      <c r="EH1042" s="156"/>
      <c r="EI1042" s="156"/>
      <c r="EJ1042" s="156"/>
      <c r="EK1042" s="156"/>
      <c r="EL1042" s="156"/>
      <c r="EM1042" s="156"/>
    </row>
    <row r="1043" spans="20:143" ht="10.5" customHeight="1">
      <c r="T1043" s="156"/>
      <c r="AZ1043" s="156"/>
      <c r="BA1043" s="156"/>
      <c r="BB1043" s="156"/>
      <c r="BC1043" s="156"/>
      <c r="BD1043" s="156"/>
      <c r="BE1043" s="156"/>
      <c r="BF1043" s="156"/>
      <c r="BG1043" s="156"/>
      <c r="BH1043" s="156"/>
      <c r="BI1043" s="156"/>
      <c r="BJ1043" s="156"/>
      <c r="BK1043" s="156"/>
      <c r="BL1043" s="156"/>
      <c r="BM1043" s="156"/>
      <c r="BN1043" s="156"/>
      <c r="BO1043" s="156"/>
      <c r="BP1043" s="156"/>
      <c r="BQ1043" s="156"/>
      <c r="BR1043" s="156"/>
      <c r="BS1043" s="156"/>
      <c r="BT1043" s="156"/>
      <c r="BU1043" s="156"/>
      <c r="BV1043" s="156"/>
      <c r="BW1043" s="156"/>
      <c r="BX1043" s="156"/>
      <c r="BY1043" s="156"/>
      <c r="BZ1043" s="156"/>
      <c r="CA1043" s="156"/>
      <c r="CB1043" s="156"/>
      <c r="CC1043" s="156"/>
      <c r="CD1043" s="156"/>
      <c r="CE1043" s="156"/>
      <c r="CF1043" s="156"/>
      <c r="CG1043" s="156"/>
      <c r="CH1043" s="156"/>
      <c r="CI1043" s="156"/>
      <c r="CJ1043" s="156"/>
      <c r="CK1043" s="156"/>
      <c r="CL1043" s="156"/>
      <c r="CM1043" s="156"/>
      <c r="CN1043" s="156"/>
      <c r="CO1043" s="156"/>
      <c r="CP1043" s="156"/>
      <c r="CQ1043" s="156"/>
      <c r="CR1043" s="156"/>
      <c r="CS1043" s="156"/>
      <c r="CT1043" s="156"/>
      <c r="CU1043" s="156"/>
      <c r="CV1043" s="156"/>
      <c r="CW1043" s="156"/>
      <c r="CX1043" s="156"/>
      <c r="CY1043" s="156"/>
      <c r="CZ1043" s="156"/>
      <c r="DA1043" s="156"/>
      <c r="DB1043" s="156"/>
      <c r="DC1043" s="156"/>
      <c r="DD1043" s="156"/>
      <c r="DE1043" s="156"/>
      <c r="DF1043" s="156"/>
      <c r="DG1043" s="156"/>
      <c r="DH1043" s="156"/>
      <c r="DI1043" s="156"/>
      <c r="DJ1043" s="156"/>
      <c r="DK1043" s="156"/>
      <c r="DL1043" s="156"/>
      <c r="DM1043" s="156"/>
      <c r="DN1043" s="156"/>
      <c r="DO1043" s="156"/>
      <c r="DP1043" s="156"/>
      <c r="DQ1043" s="156"/>
      <c r="DR1043" s="156"/>
      <c r="DS1043" s="156"/>
      <c r="DT1043" s="156"/>
      <c r="DU1043" s="156"/>
      <c r="DV1043" s="156"/>
      <c r="DW1043" s="156"/>
      <c r="DX1043" s="156"/>
      <c r="DY1043" s="156"/>
      <c r="DZ1043" s="156"/>
      <c r="EA1043" s="156"/>
      <c r="EB1043" s="156"/>
      <c r="EC1043" s="156"/>
      <c r="ED1043" s="156"/>
      <c r="EE1043" s="156"/>
      <c r="EF1043" s="156"/>
      <c r="EG1043" s="156"/>
      <c r="EH1043" s="156"/>
      <c r="EI1043" s="156"/>
      <c r="EJ1043" s="156"/>
      <c r="EK1043" s="156"/>
      <c r="EL1043" s="156"/>
      <c r="EM1043" s="156"/>
    </row>
    <row r="1044" spans="20:143" ht="10.5" customHeight="1">
      <c r="T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M1044" s="156"/>
      <c r="CN1044" s="156"/>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c r="DM1044" s="156"/>
      <c r="DN1044" s="156"/>
      <c r="DO1044" s="156"/>
      <c r="DP1044" s="156"/>
      <c r="DQ1044" s="156"/>
      <c r="DR1044" s="156"/>
      <c r="DS1044" s="156"/>
      <c r="DT1044" s="156"/>
      <c r="DU1044" s="156"/>
      <c r="DV1044" s="156"/>
      <c r="DW1044" s="156"/>
      <c r="DX1044" s="156"/>
      <c r="DY1044" s="156"/>
      <c r="DZ1044" s="156"/>
      <c r="EA1044" s="156"/>
      <c r="EB1044" s="156"/>
      <c r="EC1044" s="156"/>
      <c r="ED1044" s="156"/>
      <c r="EE1044" s="156"/>
      <c r="EF1044" s="156"/>
      <c r="EG1044" s="156"/>
      <c r="EH1044" s="156"/>
      <c r="EI1044" s="156"/>
      <c r="EJ1044" s="156"/>
      <c r="EK1044" s="156"/>
      <c r="EL1044" s="156"/>
      <c r="EM1044" s="156"/>
    </row>
    <row r="1045" spans="20:143" ht="10.5" customHeight="1">
      <c r="T1045" s="156"/>
      <c r="AZ1045" s="156"/>
      <c r="BA1045" s="156"/>
      <c r="BB1045" s="156"/>
      <c r="BC1045" s="156"/>
      <c r="BD1045" s="156"/>
      <c r="BE1045" s="156"/>
      <c r="BF1045" s="156"/>
      <c r="BG1045" s="156"/>
      <c r="BH1045" s="156"/>
      <c r="BI1045" s="156"/>
      <c r="BJ1045" s="156"/>
      <c r="BK1045" s="156"/>
      <c r="BL1045" s="156"/>
      <c r="BM1045" s="156"/>
      <c r="BN1045" s="156"/>
      <c r="BO1045" s="156"/>
      <c r="BP1045" s="156"/>
      <c r="BQ1045" s="156"/>
      <c r="BR1045" s="156"/>
      <c r="BS1045" s="156"/>
      <c r="BT1045" s="156"/>
      <c r="BU1045" s="156"/>
      <c r="BV1045" s="156"/>
      <c r="BW1045" s="156"/>
      <c r="BX1045" s="156"/>
      <c r="BY1045" s="156"/>
      <c r="BZ1045" s="156"/>
      <c r="CA1045" s="156"/>
      <c r="CB1045" s="156"/>
      <c r="CC1045" s="156"/>
      <c r="CD1045" s="156"/>
      <c r="CE1045" s="156"/>
      <c r="CF1045" s="156"/>
      <c r="CG1045" s="156"/>
      <c r="CH1045" s="156"/>
      <c r="CI1045" s="156"/>
      <c r="CJ1045" s="156"/>
      <c r="CK1045" s="156"/>
      <c r="CL1045" s="156"/>
      <c r="CM1045" s="156"/>
      <c r="CN1045" s="156"/>
      <c r="CO1045" s="156"/>
      <c r="CP1045" s="156"/>
      <c r="CQ1045" s="156"/>
      <c r="CR1045" s="156"/>
      <c r="CS1045" s="156"/>
      <c r="CT1045" s="156"/>
      <c r="CU1045" s="156"/>
      <c r="CV1045" s="156"/>
      <c r="CW1045" s="156"/>
      <c r="CX1045" s="156"/>
      <c r="CY1045" s="156"/>
      <c r="CZ1045" s="156"/>
      <c r="DA1045" s="156"/>
      <c r="DB1045" s="156"/>
      <c r="DC1045" s="156"/>
      <c r="DD1045" s="156"/>
      <c r="DE1045" s="156"/>
      <c r="DF1045" s="156"/>
      <c r="DG1045" s="156"/>
      <c r="DH1045" s="156"/>
      <c r="DI1045" s="156"/>
      <c r="DJ1045" s="156"/>
      <c r="DK1045" s="156"/>
      <c r="DL1045" s="156"/>
      <c r="DM1045" s="156"/>
      <c r="DN1045" s="156"/>
      <c r="DO1045" s="156"/>
      <c r="DP1045" s="156"/>
      <c r="DQ1045" s="156"/>
      <c r="DR1045" s="156"/>
      <c r="DS1045" s="156"/>
      <c r="DT1045" s="156"/>
      <c r="DU1045" s="156"/>
      <c r="DV1045" s="156"/>
      <c r="DW1045" s="156"/>
      <c r="DX1045" s="156"/>
      <c r="DY1045" s="156"/>
      <c r="DZ1045" s="156"/>
      <c r="EA1045" s="156"/>
      <c r="EB1045" s="156"/>
      <c r="EC1045" s="156"/>
      <c r="ED1045" s="156"/>
      <c r="EE1045" s="156"/>
      <c r="EF1045" s="156"/>
      <c r="EG1045" s="156"/>
      <c r="EH1045" s="156"/>
      <c r="EI1045" s="156"/>
      <c r="EJ1045" s="156"/>
      <c r="EK1045" s="156"/>
      <c r="EL1045" s="156"/>
      <c r="EM1045" s="156"/>
    </row>
    <row r="1046" spans="20:143" ht="10.5" customHeight="1">
      <c r="T1046" s="156"/>
      <c r="AZ1046" s="156"/>
      <c r="BA1046" s="156"/>
      <c r="BB1046" s="156"/>
      <c r="BC1046" s="156"/>
      <c r="BD1046" s="156"/>
      <c r="BE1046" s="156"/>
      <c r="BF1046" s="156"/>
      <c r="BG1046" s="156"/>
      <c r="BH1046" s="156"/>
      <c r="BI1046" s="156"/>
      <c r="BJ1046" s="156"/>
      <c r="BK1046" s="156"/>
      <c r="BL1046" s="156"/>
      <c r="BM1046" s="156"/>
      <c r="BN1046" s="156"/>
      <c r="BO1046" s="156"/>
      <c r="BP1046" s="156"/>
      <c r="BQ1046" s="156"/>
      <c r="BR1046" s="156"/>
      <c r="BS1046" s="156"/>
      <c r="BT1046" s="156"/>
      <c r="BU1046" s="156"/>
      <c r="BV1046" s="156"/>
      <c r="BW1046" s="156"/>
      <c r="BX1046" s="156"/>
      <c r="BY1046" s="156"/>
      <c r="BZ1046" s="156"/>
      <c r="CA1046" s="156"/>
      <c r="CB1046" s="156"/>
      <c r="CC1046" s="156"/>
      <c r="CD1046" s="156"/>
      <c r="CE1046" s="156"/>
      <c r="CF1046" s="156"/>
      <c r="CG1046" s="156"/>
      <c r="CH1046" s="156"/>
      <c r="CI1046" s="156"/>
      <c r="CJ1046" s="156"/>
      <c r="CK1046" s="156"/>
      <c r="CL1046" s="156"/>
      <c r="CM1046" s="156"/>
      <c r="CN1046" s="156"/>
      <c r="CO1046" s="156"/>
      <c r="CP1046" s="156"/>
      <c r="CQ1046" s="156"/>
      <c r="CR1046" s="156"/>
      <c r="CS1046" s="156"/>
      <c r="CT1046" s="156"/>
      <c r="CU1046" s="156"/>
      <c r="CV1046" s="156"/>
      <c r="CW1046" s="156"/>
      <c r="CX1046" s="156"/>
      <c r="CY1046" s="156"/>
      <c r="CZ1046" s="156"/>
      <c r="DA1046" s="156"/>
      <c r="DB1046" s="156"/>
      <c r="DC1046" s="156"/>
      <c r="DD1046" s="156"/>
      <c r="DE1046" s="156"/>
      <c r="DF1046" s="156"/>
      <c r="DG1046" s="156"/>
      <c r="DH1046" s="156"/>
      <c r="DI1046" s="156"/>
      <c r="DJ1046" s="156"/>
      <c r="DK1046" s="156"/>
      <c r="DL1046" s="156"/>
      <c r="DM1046" s="156"/>
      <c r="DN1046" s="156"/>
      <c r="DO1046" s="156"/>
      <c r="DP1046" s="156"/>
      <c r="DQ1046" s="156"/>
      <c r="DR1046" s="156"/>
      <c r="DS1046" s="156"/>
      <c r="DT1046" s="156"/>
      <c r="DU1046" s="156"/>
      <c r="DV1046" s="156"/>
      <c r="DW1046" s="156"/>
      <c r="DX1046" s="156"/>
      <c r="DY1046" s="156"/>
      <c r="DZ1046" s="156"/>
      <c r="EA1046" s="156"/>
      <c r="EB1046" s="156"/>
      <c r="EC1046" s="156"/>
      <c r="ED1046" s="156"/>
      <c r="EE1046" s="156"/>
      <c r="EF1046" s="156"/>
      <c r="EG1046" s="156"/>
      <c r="EH1046" s="156"/>
      <c r="EI1046" s="156"/>
      <c r="EJ1046" s="156"/>
      <c r="EK1046" s="156"/>
      <c r="EL1046" s="156"/>
      <c r="EM1046" s="156"/>
    </row>
    <row r="1047" spans="20:143" ht="10.5" customHeight="1">
      <c r="T1047" s="156"/>
      <c r="AZ1047" s="156"/>
      <c r="BA1047" s="156"/>
      <c r="BB1047" s="156"/>
      <c r="BC1047" s="156"/>
      <c r="BD1047" s="156"/>
      <c r="BE1047" s="156"/>
      <c r="BF1047" s="156"/>
      <c r="BG1047" s="156"/>
      <c r="BH1047" s="156"/>
      <c r="BI1047" s="156"/>
      <c r="BJ1047" s="156"/>
      <c r="BK1047" s="156"/>
      <c r="BL1047" s="156"/>
      <c r="BM1047" s="156"/>
      <c r="BN1047" s="156"/>
      <c r="BO1047" s="156"/>
      <c r="BP1047" s="156"/>
      <c r="BQ1047" s="156"/>
      <c r="BR1047" s="156"/>
      <c r="BS1047" s="156"/>
      <c r="BT1047" s="156"/>
      <c r="BU1047" s="156"/>
      <c r="BV1047" s="156"/>
      <c r="BW1047" s="156"/>
      <c r="BX1047" s="156"/>
      <c r="BY1047" s="156"/>
      <c r="BZ1047" s="156"/>
      <c r="CA1047" s="156"/>
      <c r="CB1047" s="156"/>
      <c r="CC1047" s="156"/>
      <c r="CD1047" s="156"/>
      <c r="CE1047" s="156"/>
      <c r="CF1047" s="156"/>
      <c r="CG1047" s="156"/>
      <c r="CH1047" s="156"/>
      <c r="CI1047" s="156"/>
      <c r="CJ1047" s="156"/>
      <c r="CK1047" s="156"/>
      <c r="CL1047" s="156"/>
      <c r="CM1047" s="156"/>
      <c r="CN1047" s="156"/>
      <c r="CO1047" s="156"/>
      <c r="CP1047" s="156"/>
      <c r="CQ1047" s="156"/>
      <c r="CR1047" s="156"/>
      <c r="CS1047" s="156"/>
      <c r="CT1047" s="156"/>
      <c r="CU1047" s="156"/>
      <c r="CV1047" s="156"/>
      <c r="CW1047" s="156"/>
      <c r="CX1047" s="156"/>
      <c r="CY1047" s="156"/>
      <c r="CZ1047" s="156"/>
      <c r="DA1047" s="156"/>
      <c r="DB1047" s="156"/>
      <c r="DC1047" s="156"/>
      <c r="DD1047" s="156"/>
      <c r="DE1047" s="156"/>
      <c r="DF1047" s="156"/>
      <c r="DG1047" s="156"/>
      <c r="DH1047" s="156"/>
      <c r="DI1047" s="156"/>
      <c r="DJ1047" s="156"/>
      <c r="DK1047" s="156"/>
      <c r="DL1047" s="156"/>
      <c r="DM1047" s="156"/>
      <c r="DN1047" s="156"/>
      <c r="DO1047" s="156"/>
      <c r="DP1047" s="156"/>
      <c r="DQ1047" s="156"/>
      <c r="DR1047" s="156"/>
      <c r="DS1047" s="156"/>
      <c r="DT1047" s="156"/>
      <c r="DU1047" s="156"/>
      <c r="DV1047" s="156"/>
      <c r="DW1047" s="156"/>
      <c r="DX1047" s="156"/>
      <c r="DY1047" s="156"/>
      <c r="DZ1047" s="156"/>
      <c r="EA1047" s="156"/>
      <c r="EB1047" s="156"/>
      <c r="EC1047" s="156"/>
      <c r="ED1047" s="156"/>
      <c r="EE1047" s="156"/>
      <c r="EF1047" s="156"/>
      <c r="EG1047" s="156"/>
      <c r="EH1047" s="156"/>
      <c r="EI1047" s="156"/>
      <c r="EJ1047" s="156"/>
      <c r="EK1047" s="156"/>
      <c r="EL1047" s="156"/>
      <c r="EM1047" s="156"/>
    </row>
    <row r="1048" spans="20:143" ht="10.5" customHeight="1">
      <c r="T1048" s="156"/>
      <c r="AZ1048" s="156"/>
      <c r="BA1048" s="156"/>
      <c r="BB1048" s="156"/>
      <c r="BC1048" s="156"/>
      <c r="BD1048" s="156"/>
      <c r="BE1048" s="156"/>
      <c r="BF1048" s="156"/>
      <c r="BG1048" s="156"/>
      <c r="BH1048" s="156"/>
      <c r="BI1048" s="156"/>
      <c r="BJ1048" s="156"/>
      <c r="BK1048" s="156"/>
      <c r="BL1048" s="156"/>
      <c r="BM1048" s="156"/>
      <c r="BN1048" s="156"/>
      <c r="BO1048" s="156"/>
      <c r="BP1048" s="156"/>
      <c r="BQ1048" s="156"/>
      <c r="BR1048" s="156"/>
      <c r="BS1048" s="156"/>
      <c r="BT1048" s="156"/>
      <c r="BU1048" s="156"/>
      <c r="BV1048" s="156"/>
      <c r="BW1048" s="156"/>
      <c r="BX1048" s="156"/>
      <c r="BY1048" s="156"/>
      <c r="BZ1048" s="156"/>
      <c r="CA1048" s="156"/>
      <c r="CB1048" s="156"/>
      <c r="CC1048" s="156"/>
      <c r="CD1048" s="156"/>
      <c r="CE1048" s="156"/>
      <c r="CF1048" s="156"/>
      <c r="CG1048" s="156"/>
      <c r="CH1048" s="156"/>
      <c r="CI1048" s="156"/>
      <c r="CJ1048" s="156"/>
      <c r="CK1048" s="156"/>
      <c r="CL1048" s="156"/>
      <c r="CM1048" s="156"/>
      <c r="CN1048" s="156"/>
      <c r="CO1048" s="156"/>
      <c r="CP1048" s="156"/>
      <c r="CQ1048" s="156"/>
      <c r="CR1048" s="156"/>
      <c r="CS1048" s="156"/>
      <c r="CT1048" s="156"/>
      <c r="CU1048" s="156"/>
      <c r="CV1048" s="156"/>
      <c r="CW1048" s="156"/>
      <c r="CX1048" s="156"/>
      <c r="CY1048" s="156"/>
      <c r="CZ1048" s="156"/>
      <c r="DA1048" s="156"/>
      <c r="DB1048" s="156"/>
      <c r="DC1048" s="156"/>
      <c r="DD1048" s="156"/>
      <c r="DE1048" s="156"/>
      <c r="DF1048" s="156"/>
      <c r="DG1048" s="156"/>
      <c r="DH1048" s="156"/>
      <c r="DI1048" s="156"/>
      <c r="DJ1048" s="156"/>
      <c r="DK1048" s="156"/>
      <c r="DL1048" s="156"/>
      <c r="DM1048" s="156"/>
      <c r="DN1048" s="156"/>
      <c r="DO1048" s="156"/>
      <c r="DP1048" s="156"/>
      <c r="DQ1048" s="156"/>
      <c r="DR1048" s="156"/>
      <c r="DS1048" s="156"/>
      <c r="DT1048" s="156"/>
      <c r="DU1048" s="156"/>
      <c r="DV1048" s="156"/>
      <c r="DW1048" s="156"/>
      <c r="DX1048" s="156"/>
      <c r="DY1048" s="156"/>
      <c r="DZ1048" s="156"/>
      <c r="EA1048" s="156"/>
      <c r="EB1048" s="156"/>
      <c r="EC1048" s="156"/>
      <c r="ED1048" s="156"/>
      <c r="EE1048" s="156"/>
      <c r="EF1048" s="156"/>
      <c r="EG1048" s="156"/>
      <c r="EH1048" s="156"/>
      <c r="EI1048" s="156"/>
      <c r="EJ1048" s="156"/>
      <c r="EK1048" s="156"/>
      <c r="EL1048" s="156"/>
      <c r="EM1048" s="156"/>
    </row>
    <row r="1049" spans="20:143" ht="10.5" customHeight="1">
      <c r="T1049" s="156"/>
      <c r="AZ1049" s="156"/>
      <c r="BA1049" s="156"/>
      <c r="BB1049" s="156"/>
      <c r="BC1049" s="156"/>
      <c r="BD1049" s="156"/>
      <c r="BE1049" s="156"/>
      <c r="BF1049" s="156"/>
      <c r="BG1049" s="156"/>
      <c r="BH1049" s="156"/>
      <c r="BI1049" s="156"/>
      <c r="BJ1049" s="156"/>
      <c r="BK1049" s="156"/>
      <c r="BL1049" s="156"/>
      <c r="BM1049" s="156"/>
      <c r="BN1049" s="156"/>
      <c r="BO1049" s="156"/>
      <c r="BP1049" s="156"/>
      <c r="BQ1049" s="156"/>
      <c r="BR1049" s="156"/>
      <c r="BS1049" s="156"/>
      <c r="BT1049" s="156"/>
      <c r="BU1049" s="156"/>
      <c r="BV1049" s="156"/>
      <c r="BW1049" s="156"/>
      <c r="BX1049" s="156"/>
      <c r="BY1049" s="156"/>
      <c r="BZ1049" s="156"/>
      <c r="CA1049" s="156"/>
      <c r="CB1049" s="156"/>
      <c r="CC1049" s="156"/>
      <c r="CD1049" s="156"/>
      <c r="CE1049" s="156"/>
      <c r="CF1049" s="156"/>
      <c r="CG1049" s="156"/>
      <c r="CH1049" s="156"/>
      <c r="CI1049" s="156"/>
      <c r="CJ1049" s="156"/>
      <c r="CK1049" s="156"/>
      <c r="CL1049" s="156"/>
      <c r="CM1049" s="156"/>
      <c r="CN1049" s="156"/>
      <c r="CO1049" s="156"/>
      <c r="CP1049" s="156"/>
      <c r="CQ1049" s="156"/>
      <c r="CR1049" s="156"/>
      <c r="CS1049" s="156"/>
      <c r="CT1049" s="156"/>
      <c r="CU1049" s="156"/>
      <c r="CV1049" s="156"/>
      <c r="CW1049" s="156"/>
      <c r="CX1049" s="156"/>
      <c r="CY1049" s="156"/>
      <c r="CZ1049" s="156"/>
      <c r="DA1049" s="156"/>
      <c r="DB1049" s="156"/>
      <c r="DC1049" s="156"/>
      <c r="DD1049" s="156"/>
      <c r="DE1049" s="156"/>
      <c r="DF1049" s="156"/>
      <c r="DG1049" s="156"/>
      <c r="DH1049" s="156"/>
      <c r="DI1049" s="156"/>
      <c r="DJ1049" s="156"/>
      <c r="DK1049" s="156"/>
      <c r="DL1049" s="156"/>
      <c r="DM1049" s="156"/>
      <c r="DN1049" s="156"/>
      <c r="DO1049" s="156"/>
      <c r="DP1049" s="156"/>
      <c r="DQ1049" s="156"/>
      <c r="DR1049" s="156"/>
      <c r="DS1049" s="156"/>
      <c r="DT1049" s="156"/>
      <c r="DU1049" s="156"/>
      <c r="DV1049" s="156"/>
      <c r="DW1049" s="156"/>
      <c r="DX1049" s="156"/>
      <c r="DY1049" s="156"/>
      <c r="DZ1049" s="156"/>
      <c r="EA1049" s="156"/>
      <c r="EB1049" s="156"/>
      <c r="EC1049" s="156"/>
      <c r="ED1049" s="156"/>
      <c r="EE1049" s="156"/>
      <c r="EF1049" s="156"/>
      <c r="EG1049" s="156"/>
      <c r="EH1049" s="156"/>
      <c r="EI1049" s="156"/>
      <c r="EJ1049" s="156"/>
      <c r="EK1049" s="156"/>
      <c r="EL1049" s="156"/>
      <c r="EM1049" s="156"/>
    </row>
    <row r="1050" spans="20:143" ht="10.5" customHeight="1">
      <c r="T1050" s="156"/>
      <c r="AZ1050" s="156"/>
      <c r="BA1050" s="156"/>
      <c r="BB1050" s="156"/>
      <c r="BC1050" s="156"/>
      <c r="BD1050" s="156"/>
      <c r="BE1050" s="156"/>
      <c r="BF1050" s="156"/>
      <c r="BG1050" s="156"/>
      <c r="BH1050" s="156"/>
      <c r="BI1050" s="156"/>
      <c r="BJ1050" s="156"/>
      <c r="BK1050" s="156"/>
      <c r="BL1050" s="156"/>
      <c r="BM1050" s="156"/>
      <c r="BN1050" s="156"/>
      <c r="BO1050" s="156"/>
      <c r="BP1050" s="156"/>
      <c r="BQ1050" s="156"/>
      <c r="BR1050" s="156"/>
      <c r="BS1050" s="156"/>
      <c r="BT1050" s="156"/>
      <c r="BU1050" s="156"/>
      <c r="BV1050" s="156"/>
      <c r="BW1050" s="156"/>
      <c r="BX1050" s="156"/>
      <c r="BY1050" s="156"/>
      <c r="BZ1050" s="156"/>
      <c r="CA1050" s="156"/>
      <c r="CB1050" s="156"/>
      <c r="CC1050" s="156"/>
      <c r="CD1050" s="156"/>
      <c r="CE1050" s="156"/>
      <c r="CF1050" s="156"/>
      <c r="CG1050" s="156"/>
      <c r="CH1050" s="156"/>
      <c r="CI1050" s="156"/>
      <c r="CJ1050" s="156"/>
      <c r="CK1050" s="156"/>
      <c r="CL1050" s="156"/>
      <c r="CM1050" s="156"/>
      <c r="CN1050" s="156"/>
      <c r="CO1050" s="156"/>
      <c r="CP1050" s="156"/>
      <c r="CQ1050" s="156"/>
      <c r="CR1050" s="156"/>
      <c r="CS1050" s="156"/>
      <c r="CT1050" s="156"/>
      <c r="CU1050" s="156"/>
      <c r="CV1050" s="156"/>
      <c r="CW1050" s="156"/>
      <c r="CX1050" s="156"/>
      <c r="CY1050" s="156"/>
      <c r="CZ1050" s="156"/>
      <c r="DA1050" s="156"/>
      <c r="DB1050" s="156"/>
      <c r="DC1050" s="156"/>
      <c r="DD1050" s="156"/>
      <c r="DE1050" s="156"/>
      <c r="DF1050" s="156"/>
      <c r="DG1050" s="156"/>
      <c r="DH1050" s="156"/>
      <c r="DI1050" s="156"/>
      <c r="DJ1050" s="156"/>
      <c r="DK1050" s="156"/>
      <c r="DL1050" s="156"/>
      <c r="DM1050" s="156"/>
      <c r="DN1050" s="156"/>
      <c r="DO1050" s="156"/>
      <c r="DP1050" s="156"/>
      <c r="DQ1050" s="156"/>
      <c r="DR1050" s="156"/>
      <c r="DS1050" s="156"/>
      <c r="DT1050" s="156"/>
      <c r="DU1050" s="156"/>
      <c r="DV1050" s="156"/>
      <c r="DW1050" s="156"/>
      <c r="DX1050" s="156"/>
      <c r="DY1050" s="156"/>
      <c r="DZ1050" s="156"/>
      <c r="EA1050" s="156"/>
      <c r="EB1050" s="156"/>
      <c r="EC1050" s="156"/>
      <c r="ED1050" s="156"/>
      <c r="EE1050" s="156"/>
      <c r="EF1050" s="156"/>
      <c r="EG1050" s="156"/>
      <c r="EH1050" s="156"/>
      <c r="EI1050" s="156"/>
      <c r="EJ1050" s="156"/>
      <c r="EK1050" s="156"/>
      <c r="EL1050" s="156"/>
      <c r="EM1050" s="156"/>
    </row>
    <row r="1051" spans="20:143" ht="10.5" customHeight="1">
      <c r="T1051" s="156"/>
      <c r="AZ1051" s="156"/>
      <c r="BA1051" s="156"/>
      <c r="BB1051" s="156"/>
      <c r="BC1051" s="156"/>
      <c r="BD1051" s="156"/>
      <c r="BE1051" s="156"/>
      <c r="BF1051" s="156"/>
      <c r="BG1051" s="156"/>
      <c r="BH1051" s="156"/>
      <c r="BI1051" s="156"/>
      <c r="BJ1051" s="156"/>
      <c r="BK1051" s="156"/>
      <c r="BL1051" s="156"/>
      <c r="BM1051" s="156"/>
      <c r="BN1051" s="156"/>
      <c r="BO1051" s="156"/>
      <c r="BP1051" s="156"/>
      <c r="BQ1051" s="156"/>
      <c r="BR1051" s="156"/>
      <c r="BS1051" s="156"/>
      <c r="BT1051" s="156"/>
      <c r="BU1051" s="156"/>
      <c r="BV1051" s="156"/>
      <c r="BW1051" s="156"/>
      <c r="BX1051" s="156"/>
      <c r="BY1051" s="156"/>
      <c r="BZ1051" s="156"/>
      <c r="CA1051" s="156"/>
      <c r="CB1051" s="156"/>
      <c r="CC1051" s="156"/>
      <c r="CD1051" s="156"/>
      <c r="CE1051" s="156"/>
      <c r="CF1051" s="156"/>
      <c r="CG1051" s="156"/>
      <c r="CH1051" s="156"/>
      <c r="CI1051" s="156"/>
      <c r="CJ1051" s="156"/>
      <c r="CK1051" s="156"/>
      <c r="CL1051" s="156"/>
      <c r="CM1051" s="156"/>
      <c r="CN1051" s="156"/>
      <c r="CO1051" s="156"/>
      <c r="CP1051" s="156"/>
      <c r="CQ1051" s="156"/>
      <c r="CR1051" s="156"/>
      <c r="CS1051" s="156"/>
      <c r="CT1051" s="156"/>
      <c r="CU1051" s="156"/>
      <c r="CV1051" s="156"/>
      <c r="CW1051" s="156"/>
      <c r="CX1051" s="156"/>
      <c r="CY1051" s="156"/>
      <c r="CZ1051" s="156"/>
      <c r="DA1051" s="156"/>
      <c r="DB1051" s="156"/>
      <c r="DC1051" s="156"/>
      <c r="DD1051" s="156"/>
      <c r="DE1051" s="156"/>
      <c r="DF1051" s="156"/>
      <c r="DG1051" s="156"/>
      <c r="DH1051" s="156"/>
      <c r="DI1051" s="156"/>
      <c r="DJ1051" s="156"/>
      <c r="DK1051" s="156"/>
      <c r="DL1051" s="156"/>
      <c r="DM1051" s="156"/>
      <c r="DN1051" s="156"/>
      <c r="DO1051" s="156"/>
      <c r="DP1051" s="156"/>
      <c r="DQ1051" s="156"/>
      <c r="DR1051" s="156"/>
      <c r="DS1051" s="156"/>
      <c r="DT1051" s="156"/>
      <c r="DU1051" s="156"/>
      <c r="DV1051" s="156"/>
      <c r="DW1051" s="156"/>
      <c r="DX1051" s="156"/>
      <c r="DY1051" s="156"/>
      <c r="DZ1051" s="156"/>
      <c r="EA1051" s="156"/>
      <c r="EB1051" s="156"/>
      <c r="EC1051" s="156"/>
      <c r="ED1051" s="156"/>
      <c r="EE1051" s="156"/>
      <c r="EF1051" s="156"/>
      <c r="EG1051" s="156"/>
      <c r="EH1051" s="156"/>
      <c r="EI1051" s="156"/>
      <c r="EJ1051" s="156"/>
      <c r="EK1051" s="156"/>
      <c r="EL1051" s="156"/>
      <c r="EM1051" s="156"/>
    </row>
    <row r="1052" spans="20:143" ht="10.5" customHeight="1">
      <c r="T1052" s="156"/>
      <c r="AZ1052" s="156"/>
      <c r="BA1052" s="156"/>
      <c r="BB1052" s="156"/>
      <c r="BC1052" s="156"/>
      <c r="BD1052" s="156"/>
      <c r="BE1052" s="156"/>
      <c r="BF1052" s="156"/>
      <c r="BG1052" s="156"/>
      <c r="BH1052" s="156"/>
      <c r="BI1052" s="156"/>
      <c r="BJ1052" s="156"/>
      <c r="BK1052" s="156"/>
      <c r="BL1052" s="156"/>
      <c r="BM1052" s="156"/>
      <c r="BN1052" s="156"/>
      <c r="BO1052" s="156"/>
      <c r="BP1052" s="156"/>
      <c r="BQ1052" s="156"/>
      <c r="BR1052" s="156"/>
      <c r="BS1052" s="156"/>
      <c r="BT1052" s="156"/>
      <c r="BU1052" s="156"/>
      <c r="BV1052" s="156"/>
      <c r="BW1052" s="156"/>
      <c r="BX1052" s="156"/>
      <c r="BY1052" s="156"/>
      <c r="BZ1052" s="156"/>
      <c r="CA1052" s="156"/>
      <c r="CB1052" s="156"/>
      <c r="CC1052" s="156"/>
      <c r="CD1052" s="156"/>
      <c r="CE1052" s="156"/>
      <c r="CF1052" s="156"/>
      <c r="CG1052" s="156"/>
      <c r="CH1052" s="156"/>
      <c r="CI1052" s="156"/>
      <c r="CJ1052" s="156"/>
      <c r="CK1052" s="156"/>
      <c r="CL1052" s="156"/>
      <c r="CM1052" s="156"/>
      <c r="CN1052" s="156"/>
      <c r="CO1052" s="156"/>
      <c r="CP1052" s="156"/>
      <c r="CQ1052" s="156"/>
      <c r="CR1052" s="156"/>
      <c r="CS1052" s="156"/>
      <c r="CT1052" s="156"/>
      <c r="CU1052" s="156"/>
      <c r="CV1052" s="156"/>
      <c r="CW1052" s="156"/>
      <c r="CX1052" s="156"/>
      <c r="CY1052" s="156"/>
      <c r="CZ1052" s="156"/>
      <c r="DA1052" s="156"/>
      <c r="DB1052" s="156"/>
      <c r="DC1052" s="156"/>
      <c r="DD1052" s="156"/>
      <c r="DE1052" s="156"/>
      <c r="DF1052" s="156"/>
      <c r="DG1052" s="156"/>
      <c r="DH1052" s="156"/>
      <c r="DI1052" s="156"/>
      <c r="DJ1052" s="156"/>
      <c r="DK1052" s="156"/>
      <c r="DL1052" s="156"/>
      <c r="DM1052" s="156"/>
      <c r="DN1052" s="156"/>
      <c r="DO1052" s="156"/>
      <c r="DP1052" s="156"/>
      <c r="DQ1052" s="156"/>
      <c r="DR1052" s="156"/>
      <c r="DS1052" s="156"/>
      <c r="DT1052" s="156"/>
      <c r="DU1052" s="156"/>
      <c r="DV1052" s="156"/>
      <c r="DW1052" s="156"/>
      <c r="DX1052" s="156"/>
      <c r="DY1052" s="156"/>
      <c r="DZ1052" s="156"/>
      <c r="EA1052" s="156"/>
      <c r="EB1052" s="156"/>
      <c r="EC1052" s="156"/>
      <c r="ED1052" s="156"/>
      <c r="EE1052" s="156"/>
      <c r="EF1052" s="156"/>
      <c r="EG1052" s="156"/>
      <c r="EH1052" s="156"/>
      <c r="EI1052" s="156"/>
      <c r="EJ1052" s="156"/>
      <c r="EK1052" s="156"/>
      <c r="EL1052" s="156"/>
      <c r="EM1052" s="156"/>
    </row>
    <row r="1053" spans="20:143" ht="10.5" customHeight="1">
      <c r="T1053" s="156"/>
      <c r="AZ1053" s="156"/>
      <c r="BA1053" s="156"/>
      <c r="BB1053" s="156"/>
      <c r="BC1053" s="156"/>
      <c r="BD1053" s="156"/>
      <c r="BE1053" s="156"/>
      <c r="BF1053" s="156"/>
      <c r="BG1053" s="156"/>
      <c r="BH1053" s="156"/>
      <c r="BI1053" s="156"/>
      <c r="BJ1053" s="156"/>
      <c r="BK1053" s="156"/>
      <c r="BL1053" s="156"/>
      <c r="BM1053" s="156"/>
      <c r="BN1053" s="156"/>
      <c r="BO1053" s="156"/>
      <c r="BP1053" s="156"/>
      <c r="BQ1053" s="156"/>
      <c r="BR1053" s="156"/>
      <c r="BS1053" s="156"/>
      <c r="BT1053" s="156"/>
      <c r="BU1053" s="156"/>
      <c r="BV1053" s="156"/>
      <c r="BW1053" s="156"/>
      <c r="BX1053" s="156"/>
      <c r="BY1053" s="156"/>
      <c r="BZ1053" s="156"/>
      <c r="CA1053" s="156"/>
      <c r="CB1053" s="156"/>
      <c r="CC1053" s="156"/>
      <c r="CD1053" s="156"/>
      <c r="CE1053" s="156"/>
      <c r="CF1053" s="156"/>
      <c r="CG1053" s="156"/>
      <c r="CH1053" s="156"/>
      <c r="CI1053" s="156"/>
      <c r="CJ1053" s="156"/>
      <c r="CK1053" s="156"/>
      <c r="CL1053" s="156"/>
      <c r="CM1053" s="156"/>
      <c r="CN1053" s="156"/>
      <c r="CO1053" s="156"/>
      <c r="CP1053" s="156"/>
      <c r="CQ1053" s="156"/>
      <c r="CR1053" s="156"/>
      <c r="CS1053" s="156"/>
      <c r="CT1053" s="156"/>
      <c r="CU1053" s="156"/>
      <c r="CV1053" s="156"/>
      <c r="CW1053" s="156"/>
      <c r="CX1053" s="156"/>
      <c r="CY1053" s="156"/>
      <c r="CZ1053" s="156"/>
      <c r="DA1053" s="156"/>
      <c r="DB1053" s="156"/>
      <c r="DC1053" s="156"/>
      <c r="DD1053" s="156"/>
      <c r="DE1053" s="156"/>
      <c r="DF1053" s="156"/>
      <c r="DG1053" s="156"/>
      <c r="DH1053" s="156"/>
      <c r="DI1053" s="156"/>
      <c r="DJ1053" s="156"/>
      <c r="DK1053" s="156"/>
      <c r="DL1053" s="156"/>
      <c r="DM1053" s="156"/>
      <c r="DN1053" s="156"/>
      <c r="DO1053" s="156"/>
      <c r="DP1053" s="156"/>
      <c r="DQ1053" s="156"/>
      <c r="DR1053" s="156"/>
      <c r="DS1053" s="156"/>
      <c r="DT1053" s="156"/>
      <c r="DU1053" s="156"/>
      <c r="DV1053" s="156"/>
      <c r="DW1053" s="156"/>
      <c r="DX1053" s="156"/>
      <c r="DY1053" s="156"/>
      <c r="DZ1053" s="156"/>
      <c r="EA1053" s="156"/>
      <c r="EB1053" s="156"/>
      <c r="EC1053" s="156"/>
      <c r="ED1053" s="156"/>
      <c r="EE1053" s="156"/>
      <c r="EF1053" s="156"/>
      <c r="EG1053" s="156"/>
      <c r="EH1053" s="156"/>
      <c r="EI1053" s="156"/>
      <c r="EJ1053" s="156"/>
      <c r="EK1053" s="156"/>
      <c r="EL1053" s="156"/>
      <c r="EM1053" s="156"/>
    </row>
    <row r="1054" spans="20:143" ht="10.5" customHeight="1">
      <c r="T1054" s="156"/>
      <c r="AZ1054" s="156"/>
      <c r="BA1054" s="156"/>
      <c r="BB1054" s="156"/>
      <c r="BC1054" s="156"/>
      <c r="BD1054" s="156"/>
      <c r="BE1054" s="156"/>
      <c r="BF1054" s="156"/>
      <c r="BG1054" s="156"/>
      <c r="BH1054" s="156"/>
      <c r="BI1054" s="156"/>
      <c r="BJ1054" s="156"/>
      <c r="BK1054" s="156"/>
      <c r="BL1054" s="156"/>
      <c r="BM1054" s="156"/>
      <c r="BN1054" s="156"/>
      <c r="BO1054" s="156"/>
      <c r="BP1054" s="156"/>
      <c r="BQ1054" s="156"/>
      <c r="BR1054" s="156"/>
      <c r="BS1054" s="156"/>
      <c r="BT1054" s="156"/>
      <c r="BU1054" s="156"/>
      <c r="BV1054" s="156"/>
      <c r="BW1054" s="156"/>
      <c r="BX1054" s="156"/>
      <c r="BY1054" s="156"/>
      <c r="BZ1054" s="156"/>
      <c r="CA1054" s="156"/>
      <c r="CB1054" s="156"/>
      <c r="CC1054" s="156"/>
      <c r="CD1054" s="156"/>
      <c r="CE1054" s="156"/>
      <c r="CF1054" s="156"/>
      <c r="CG1054" s="156"/>
      <c r="CH1054" s="156"/>
      <c r="CI1054" s="156"/>
      <c r="CJ1054" s="156"/>
      <c r="CK1054" s="156"/>
      <c r="CL1054" s="156"/>
      <c r="CM1054" s="156"/>
      <c r="CN1054" s="156"/>
      <c r="CO1054" s="156"/>
      <c r="CP1054" s="156"/>
      <c r="CQ1054" s="156"/>
      <c r="CR1054" s="156"/>
      <c r="CS1054" s="156"/>
      <c r="CT1054" s="156"/>
      <c r="CU1054" s="156"/>
      <c r="CV1054" s="156"/>
      <c r="CW1054" s="156"/>
      <c r="CX1054" s="156"/>
      <c r="CY1054" s="156"/>
      <c r="CZ1054" s="156"/>
      <c r="DA1054" s="156"/>
      <c r="DB1054" s="156"/>
      <c r="DC1054" s="156"/>
      <c r="DD1054" s="156"/>
      <c r="DE1054" s="156"/>
      <c r="DF1054" s="156"/>
      <c r="DG1054" s="156"/>
      <c r="DH1054" s="156"/>
      <c r="DI1054" s="156"/>
      <c r="DJ1054" s="156"/>
      <c r="DK1054" s="156"/>
      <c r="DL1054" s="156"/>
      <c r="DM1054" s="156"/>
      <c r="DN1054" s="156"/>
      <c r="DO1054" s="156"/>
      <c r="DP1054" s="156"/>
      <c r="DQ1054" s="156"/>
      <c r="DR1054" s="156"/>
      <c r="DS1054" s="156"/>
      <c r="DT1054" s="156"/>
      <c r="DU1054" s="156"/>
      <c r="DV1054" s="156"/>
      <c r="DW1054" s="156"/>
      <c r="DX1054" s="156"/>
      <c r="DY1054" s="156"/>
      <c r="DZ1054" s="156"/>
      <c r="EA1054" s="156"/>
      <c r="EB1054" s="156"/>
      <c r="EC1054" s="156"/>
      <c r="ED1054" s="156"/>
      <c r="EE1054" s="156"/>
      <c r="EF1054" s="156"/>
      <c r="EG1054" s="156"/>
      <c r="EH1054" s="156"/>
      <c r="EI1054" s="156"/>
      <c r="EJ1054" s="156"/>
      <c r="EK1054" s="156"/>
      <c r="EL1054" s="156"/>
      <c r="EM1054" s="156"/>
    </row>
    <row r="1055" spans="20:143" ht="10.5" customHeight="1">
      <c r="T1055" s="156"/>
      <c r="AZ1055" s="156"/>
      <c r="BA1055" s="156"/>
      <c r="BB1055" s="156"/>
      <c r="BC1055" s="156"/>
      <c r="BD1055" s="156"/>
      <c r="BE1055" s="156"/>
      <c r="BF1055" s="156"/>
      <c r="BG1055" s="156"/>
      <c r="BH1055" s="156"/>
      <c r="BI1055" s="156"/>
      <c r="BJ1055" s="156"/>
      <c r="BK1055" s="156"/>
      <c r="BL1055" s="156"/>
      <c r="BM1055" s="156"/>
      <c r="BN1055" s="156"/>
      <c r="BO1055" s="156"/>
      <c r="BP1055" s="156"/>
      <c r="BQ1055" s="156"/>
      <c r="BR1055" s="156"/>
      <c r="BS1055" s="156"/>
      <c r="BT1055" s="156"/>
      <c r="BU1055" s="156"/>
      <c r="BV1055" s="156"/>
      <c r="BW1055" s="156"/>
      <c r="BX1055" s="156"/>
      <c r="BY1055" s="156"/>
      <c r="BZ1055" s="156"/>
      <c r="CA1055" s="156"/>
      <c r="CB1055" s="156"/>
      <c r="CC1055" s="156"/>
      <c r="CD1055" s="156"/>
      <c r="CE1055" s="156"/>
      <c r="CF1055" s="156"/>
      <c r="CG1055" s="156"/>
      <c r="CH1055" s="156"/>
      <c r="CI1055" s="156"/>
      <c r="CJ1055" s="156"/>
      <c r="CK1055" s="156"/>
      <c r="CL1055" s="156"/>
      <c r="CM1055" s="156"/>
      <c r="CN1055" s="156"/>
      <c r="CO1055" s="156"/>
      <c r="CP1055" s="156"/>
      <c r="CQ1055" s="156"/>
      <c r="CR1055" s="156"/>
      <c r="CS1055" s="156"/>
      <c r="CT1055" s="156"/>
      <c r="CU1055" s="156"/>
      <c r="CV1055" s="156"/>
      <c r="CW1055" s="156"/>
      <c r="CX1055" s="156"/>
      <c r="CY1055" s="156"/>
      <c r="CZ1055" s="156"/>
      <c r="DA1055" s="156"/>
      <c r="DB1055" s="156"/>
      <c r="DC1055" s="156"/>
      <c r="DD1055" s="156"/>
      <c r="DE1055" s="156"/>
      <c r="DF1055" s="156"/>
      <c r="DG1055" s="156"/>
      <c r="DH1055" s="156"/>
      <c r="DI1055" s="156"/>
      <c r="DJ1055" s="156"/>
      <c r="DK1055" s="156"/>
      <c r="DL1055" s="156"/>
      <c r="DM1055" s="156"/>
      <c r="DN1055" s="156"/>
      <c r="DO1055" s="156"/>
      <c r="DP1055" s="156"/>
      <c r="DQ1055" s="156"/>
      <c r="DR1055" s="156"/>
      <c r="DS1055" s="156"/>
      <c r="DT1055" s="156"/>
      <c r="DU1055" s="156"/>
      <c r="DV1055" s="156"/>
      <c r="DW1055" s="156"/>
      <c r="DX1055" s="156"/>
      <c r="DY1055" s="156"/>
      <c r="DZ1055" s="156"/>
      <c r="EA1055" s="156"/>
      <c r="EB1055" s="156"/>
      <c r="EC1055" s="156"/>
      <c r="ED1055" s="156"/>
      <c r="EE1055" s="156"/>
      <c r="EF1055" s="156"/>
      <c r="EG1055" s="156"/>
      <c r="EH1055" s="156"/>
      <c r="EI1055" s="156"/>
      <c r="EJ1055" s="156"/>
      <c r="EK1055" s="156"/>
      <c r="EL1055" s="156"/>
      <c r="EM1055" s="156"/>
    </row>
    <row r="1056" spans="20:143" ht="10.5" customHeight="1">
      <c r="T1056" s="156"/>
      <c r="AZ1056" s="156"/>
      <c r="BA1056" s="156"/>
      <c r="BB1056" s="156"/>
      <c r="BC1056" s="156"/>
      <c r="BD1056" s="156"/>
      <c r="BE1056" s="156"/>
      <c r="BF1056" s="156"/>
      <c r="BG1056" s="156"/>
      <c r="BH1056" s="156"/>
      <c r="BI1056" s="156"/>
      <c r="BJ1056" s="156"/>
      <c r="BK1056" s="156"/>
      <c r="BL1056" s="156"/>
      <c r="BM1056" s="156"/>
      <c r="BN1056" s="156"/>
      <c r="BO1056" s="156"/>
      <c r="BP1056" s="156"/>
      <c r="BQ1056" s="156"/>
      <c r="BR1056" s="156"/>
      <c r="BS1056" s="156"/>
      <c r="BT1056" s="156"/>
      <c r="BU1056" s="156"/>
      <c r="BV1056" s="156"/>
      <c r="BW1056" s="156"/>
      <c r="BX1056" s="156"/>
      <c r="BY1056" s="156"/>
      <c r="BZ1056" s="156"/>
      <c r="CA1056" s="156"/>
      <c r="CB1056" s="156"/>
      <c r="CC1056" s="156"/>
      <c r="CD1056" s="156"/>
      <c r="CE1056" s="156"/>
      <c r="CF1056" s="156"/>
      <c r="CG1056" s="156"/>
      <c r="CH1056" s="156"/>
      <c r="CI1056" s="156"/>
      <c r="CJ1056" s="156"/>
      <c r="CK1056" s="156"/>
      <c r="CL1056" s="156"/>
      <c r="CM1056" s="156"/>
      <c r="CN1056" s="156"/>
      <c r="CO1056" s="156"/>
      <c r="CP1056" s="156"/>
      <c r="CQ1056" s="156"/>
      <c r="CR1056" s="156"/>
      <c r="CS1056" s="156"/>
      <c r="CT1056" s="156"/>
      <c r="CU1056" s="156"/>
      <c r="CV1056" s="156"/>
      <c r="CW1056" s="156"/>
      <c r="CX1056" s="156"/>
      <c r="CY1056" s="156"/>
      <c r="CZ1056" s="156"/>
      <c r="DA1056" s="156"/>
      <c r="DB1056" s="156"/>
      <c r="DC1056" s="156"/>
      <c r="DD1056" s="156"/>
      <c r="DE1056" s="156"/>
      <c r="DF1056" s="156"/>
      <c r="DG1056" s="156"/>
      <c r="DH1056" s="156"/>
      <c r="DI1056" s="156"/>
      <c r="DJ1056" s="156"/>
      <c r="DK1056" s="156"/>
      <c r="DL1056" s="156"/>
      <c r="DM1056" s="156"/>
      <c r="DN1056" s="156"/>
      <c r="DO1056" s="156"/>
      <c r="DP1056" s="156"/>
      <c r="DQ1056" s="156"/>
      <c r="DR1056" s="156"/>
      <c r="DS1056" s="156"/>
      <c r="DT1056" s="156"/>
      <c r="DU1056" s="156"/>
      <c r="DV1056" s="156"/>
      <c r="DW1056" s="156"/>
      <c r="DX1056" s="156"/>
      <c r="DY1056" s="156"/>
      <c r="DZ1056" s="156"/>
      <c r="EA1056" s="156"/>
      <c r="EB1056" s="156"/>
      <c r="EC1056" s="156"/>
      <c r="ED1056" s="156"/>
      <c r="EE1056" s="156"/>
      <c r="EF1056" s="156"/>
      <c r="EG1056" s="156"/>
      <c r="EH1056" s="156"/>
      <c r="EI1056" s="156"/>
      <c r="EJ1056" s="156"/>
      <c r="EK1056" s="156"/>
      <c r="EL1056" s="156"/>
      <c r="EM1056" s="156"/>
    </row>
    <row r="1057" spans="20:143" ht="10.5" customHeight="1">
      <c r="T1057" s="156"/>
      <c r="AZ1057" s="156"/>
      <c r="BA1057" s="156"/>
      <c r="BB1057" s="156"/>
      <c r="BC1057" s="156"/>
      <c r="BD1057" s="156"/>
      <c r="BE1057" s="156"/>
      <c r="BF1057" s="156"/>
      <c r="BG1057" s="156"/>
      <c r="BH1057" s="156"/>
      <c r="BI1057" s="156"/>
      <c r="BJ1057" s="156"/>
      <c r="BK1057" s="156"/>
      <c r="BL1057" s="156"/>
      <c r="BM1057" s="156"/>
      <c r="BN1057" s="156"/>
      <c r="BO1057" s="156"/>
      <c r="BP1057" s="156"/>
      <c r="BQ1057" s="156"/>
      <c r="BR1057" s="156"/>
      <c r="BS1057" s="156"/>
      <c r="BT1057" s="156"/>
      <c r="BU1057" s="156"/>
      <c r="BV1057" s="156"/>
      <c r="BW1057" s="156"/>
      <c r="BX1057" s="156"/>
      <c r="BY1057" s="156"/>
      <c r="BZ1057" s="156"/>
      <c r="CA1057" s="156"/>
      <c r="CB1057" s="156"/>
      <c r="CC1057" s="156"/>
      <c r="CD1057" s="156"/>
      <c r="CE1057" s="156"/>
      <c r="CF1057" s="156"/>
      <c r="CG1057" s="156"/>
      <c r="CH1057" s="156"/>
      <c r="CI1057" s="156"/>
      <c r="CJ1057" s="156"/>
      <c r="CK1057" s="156"/>
      <c r="CL1057" s="156"/>
      <c r="CM1057" s="156"/>
      <c r="CN1057" s="156"/>
      <c r="CO1057" s="156"/>
      <c r="CP1057" s="156"/>
      <c r="CQ1057" s="156"/>
      <c r="CR1057" s="156"/>
      <c r="CS1057" s="156"/>
      <c r="CT1057" s="156"/>
      <c r="CU1057" s="156"/>
      <c r="CV1057" s="156"/>
      <c r="CW1057" s="156"/>
      <c r="CX1057" s="156"/>
      <c r="CY1057" s="156"/>
      <c r="CZ1057" s="156"/>
      <c r="DA1057" s="156"/>
      <c r="DB1057" s="156"/>
      <c r="DC1057" s="156"/>
      <c r="DD1057" s="156"/>
      <c r="DE1057" s="156"/>
      <c r="DF1057" s="156"/>
      <c r="DG1057" s="156"/>
      <c r="DH1057" s="156"/>
      <c r="DI1057" s="156"/>
      <c r="DJ1057" s="156"/>
      <c r="DK1057" s="156"/>
      <c r="DL1057" s="156"/>
      <c r="DM1057" s="156"/>
      <c r="DN1057" s="156"/>
      <c r="DO1057" s="156"/>
      <c r="DP1057" s="156"/>
      <c r="DQ1057" s="156"/>
      <c r="DR1057" s="156"/>
      <c r="DS1057" s="156"/>
      <c r="DT1057" s="156"/>
      <c r="DU1057" s="156"/>
      <c r="DV1057" s="156"/>
      <c r="DW1057" s="156"/>
      <c r="DX1057" s="156"/>
      <c r="DY1057" s="156"/>
      <c r="DZ1057" s="156"/>
      <c r="EA1057" s="156"/>
      <c r="EB1057" s="156"/>
      <c r="EC1057" s="156"/>
      <c r="ED1057" s="156"/>
      <c r="EE1057" s="156"/>
      <c r="EF1057" s="156"/>
      <c r="EG1057" s="156"/>
      <c r="EH1057" s="156"/>
      <c r="EI1057" s="156"/>
      <c r="EJ1057" s="156"/>
      <c r="EK1057" s="156"/>
      <c r="EL1057" s="156"/>
      <c r="EM1057" s="156"/>
    </row>
    <row r="1058" spans="20:143" ht="10.5" customHeight="1">
      <c r="T1058" s="156"/>
      <c r="AZ1058" s="156"/>
      <c r="BA1058" s="156"/>
      <c r="BB1058" s="156"/>
      <c r="BC1058" s="156"/>
      <c r="BD1058" s="156"/>
      <c r="BE1058" s="156"/>
      <c r="BF1058" s="156"/>
      <c r="BG1058" s="156"/>
      <c r="BH1058" s="156"/>
      <c r="BI1058" s="156"/>
      <c r="BJ1058" s="156"/>
      <c r="BK1058" s="156"/>
      <c r="BL1058" s="156"/>
      <c r="BM1058" s="156"/>
      <c r="BN1058" s="156"/>
      <c r="BO1058" s="156"/>
      <c r="BP1058" s="156"/>
      <c r="BQ1058" s="156"/>
      <c r="BR1058" s="156"/>
      <c r="BS1058" s="156"/>
      <c r="BT1058" s="156"/>
      <c r="BU1058" s="156"/>
      <c r="BV1058" s="156"/>
      <c r="BW1058" s="156"/>
      <c r="BX1058" s="156"/>
      <c r="BY1058" s="156"/>
      <c r="BZ1058" s="156"/>
      <c r="CA1058" s="156"/>
      <c r="CB1058" s="156"/>
      <c r="CC1058" s="156"/>
      <c r="CD1058" s="156"/>
      <c r="CE1058" s="156"/>
      <c r="CF1058" s="156"/>
      <c r="CG1058" s="156"/>
      <c r="CH1058" s="156"/>
      <c r="CI1058" s="156"/>
      <c r="CJ1058" s="156"/>
      <c r="CK1058" s="156"/>
      <c r="CL1058" s="156"/>
      <c r="CM1058" s="156"/>
      <c r="CN1058" s="156"/>
      <c r="CO1058" s="156"/>
      <c r="CP1058" s="156"/>
      <c r="CQ1058" s="156"/>
      <c r="CR1058" s="156"/>
      <c r="CS1058" s="156"/>
      <c r="CT1058" s="156"/>
      <c r="CU1058" s="156"/>
      <c r="CV1058" s="156"/>
      <c r="CW1058" s="156"/>
      <c r="CX1058" s="156"/>
      <c r="CY1058" s="156"/>
      <c r="CZ1058" s="156"/>
      <c r="DA1058" s="156"/>
      <c r="DB1058" s="156"/>
      <c r="DC1058" s="156"/>
      <c r="DD1058" s="156"/>
      <c r="DE1058" s="156"/>
      <c r="DF1058" s="156"/>
      <c r="DG1058" s="156"/>
      <c r="DH1058" s="156"/>
      <c r="DI1058" s="156"/>
      <c r="DJ1058" s="156"/>
      <c r="DK1058" s="156"/>
      <c r="DL1058" s="156"/>
      <c r="DM1058" s="156"/>
      <c r="DN1058" s="156"/>
      <c r="DO1058" s="156"/>
      <c r="DP1058" s="156"/>
      <c r="DQ1058" s="156"/>
      <c r="DR1058" s="156"/>
      <c r="DS1058" s="156"/>
      <c r="DT1058" s="156"/>
      <c r="DU1058" s="156"/>
      <c r="DV1058" s="156"/>
      <c r="DW1058" s="156"/>
      <c r="DX1058" s="156"/>
      <c r="DY1058" s="156"/>
      <c r="DZ1058" s="156"/>
      <c r="EA1058" s="156"/>
      <c r="EB1058" s="156"/>
      <c r="EC1058" s="156"/>
      <c r="ED1058" s="156"/>
      <c r="EE1058" s="156"/>
      <c r="EF1058" s="156"/>
      <c r="EG1058" s="156"/>
      <c r="EH1058" s="156"/>
      <c r="EI1058" s="156"/>
      <c r="EJ1058" s="156"/>
      <c r="EK1058" s="156"/>
      <c r="EL1058" s="156"/>
      <c r="EM1058" s="156"/>
    </row>
    <row r="1059" spans="20:143" ht="10.5" customHeight="1">
      <c r="T1059" s="156"/>
      <c r="AZ1059" s="156"/>
      <c r="BA1059" s="156"/>
      <c r="BB1059" s="156"/>
      <c r="BC1059" s="156"/>
      <c r="BD1059" s="156"/>
      <c r="BE1059" s="156"/>
      <c r="BF1059" s="156"/>
      <c r="BG1059" s="156"/>
      <c r="BH1059" s="156"/>
      <c r="BI1059" s="156"/>
      <c r="BJ1059" s="156"/>
      <c r="BK1059" s="156"/>
      <c r="BL1059" s="156"/>
      <c r="BM1059" s="156"/>
      <c r="BN1059" s="156"/>
      <c r="BO1059" s="156"/>
      <c r="BP1059" s="156"/>
      <c r="BQ1059" s="156"/>
      <c r="BR1059" s="156"/>
      <c r="BS1059" s="156"/>
      <c r="BT1059" s="156"/>
      <c r="BU1059" s="156"/>
      <c r="BV1059" s="156"/>
      <c r="BW1059" s="156"/>
      <c r="BX1059" s="156"/>
      <c r="BY1059" s="156"/>
      <c r="BZ1059" s="156"/>
      <c r="CA1059" s="156"/>
      <c r="CB1059" s="156"/>
      <c r="CC1059" s="156"/>
      <c r="CD1059" s="156"/>
      <c r="CE1059" s="156"/>
      <c r="CF1059" s="156"/>
      <c r="CG1059" s="156"/>
      <c r="CH1059" s="156"/>
      <c r="CI1059" s="156"/>
      <c r="CJ1059" s="156"/>
      <c r="CK1059" s="156"/>
      <c r="CL1059" s="156"/>
      <c r="CM1059" s="156"/>
      <c r="CN1059" s="156"/>
      <c r="CO1059" s="156"/>
      <c r="CP1059" s="156"/>
      <c r="CQ1059" s="156"/>
      <c r="CR1059" s="156"/>
      <c r="CS1059" s="156"/>
      <c r="CT1059" s="156"/>
      <c r="CU1059" s="156"/>
      <c r="CV1059" s="156"/>
      <c r="CW1059" s="156"/>
      <c r="CX1059" s="156"/>
      <c r="CY1059" s="156"/>
      <c r="CZ1059" s="156"/>
      <c r="DA1059" s="156"/>
      <c r="DB1059" s="156"/>
      <c r="DC1059" s="156"/>
      <c r="DD1059" s="156"/>
      <c r="DE1059" s="156"/>
      <c r="DF1059" s="156"/>
      <c r="DG1059" s="156"/>
      <c r="DH1059" s="156"/>
      <c r="DI1059" s="156"/>
      <c r="DJ1059" s="156"/>
      <c r="DK1059" s="156"/>
      <c r="DL1059" s="156"/>
      <c r="DM1059" s="156"/>
      <c r="DN1059" s="156"/>
      <c r="DO1059" s="156"/>
      <c r="DP1059" s="156"/>
      <c r="DQ1059" s="156"/>
      <c r="DR1059" s="156"/>
      <c r="DS1059" s="156"/>
      <c r="DT1059" s="156"/>
      <c r="DU1059" s="156"/>
      <c r="DV1059" s="156"/>
      <c r="DW1059" s="156"/>
      <c r="DX1059" s="156"/>
      <c r="DY1059" s="156"/>
      <c r="DZ1059" s="156"/>
      <c r="EA1059" s="156"/>
      <c r="EB1059" s="156"/>
      <c r="EC1059" s="156"/>
      <c r="ED1059" s="156"/>
      <c r="EE1059" s="156"/>
      <c r="EF1059" s="156"/>
      <c r="EG1059" s="156"/>
      <c r="EH1059" s="156"/>
      <c r="EI1059" s="156"/>
      <c r="EJ1059" s="156"/>
      <c r="EK1059" s="156"/>
      <c r="EL1059" s="156"/>
      <c r="EM1059" s="156"/>
    </row>
    <row r="1060" spans="20:143" ht="10.5" customHeight="1">
      <c r="T1060" s="156"/>
      <c r="AZ1060" s="156"/>
      <c r="BA1060" s="156"/>
      <c r="BB1060" s="156"/>
      <c r="BC1060" s="156"/>
      <c r="BD1060" s="156"/>
      <c r="BE1060" s="156"/>
      <c r="BF1060" s="156"/>
      <c r="BG1060" s="156"/>
      <c r="BH1060" s="156"/>
      <c r="BI1060" s="156"/>
      <c r="BJ1060" s="156"/>
      <c r="BK1060" s="156"/>
      <c r="BL1060" s="156"/>
      <c r="BM1060" s="156"/>
      <c r="BN1060" s="156"/>
      <c r="BO1060" s="156"/>
      <c r="BP1060" s="156"/>
      <c r="BQ1060" s="156"/>
      <c r="BR1060" s="156"/>
      <c r="BS1060" s="156"/>
      <c r="BT1060" s="156"/>
      <c r="BU1060" s="156"/>
      <c r="BV1060" s="156"/>
      <c r="BW1060" s="156"/>
      <c r="BX1060" s="156"/>
      <c r="BY1060" s="156"/>
      <c r="BZ1060" s="156"/>
      <c r="CA1060" s="156"/>
      <c r="CB1060" s="156"/>
      <c r="CC1060" s="156"/>
      <c r="CD1060" s="156"/>
      <c r="CE1060" s="156"/>
      <c r="CF1060" s="156"/>
      <c r="CG1060" s="156"/>
      <c r="CH1060" s="156"/>
      <c r="CI1060" s="156"/>
      <c r="CJ1060" s="156"/>
      <c r="CK1060" s="156"/>
      <c r="CL1060" s="156"/>
      <c r="CM1060" s="156"/>
      <c r="CN1060" s="156"/>
      <c r="CO1060" s="156"/>
      <c r="CP1060" s="156"/>
      <c r="CQ1060" s="156"/>
      <c r="CR1060" s="156"/>
      <c r="CS1060" s="156"/>
      <c r="CT1060" s="156"/>
      <c r="CU1060" s="156"/>
      <c r="CV1060" s="156"/>
      <c r="CW1060" s="156"/>
      <c r="CX1060" s="156"/>
      <c r="CY1060" s="156"/>
      <c r="CZ1060" s="156"/>
      <c r="DA1060" s="156"/>
      <c r="DB1060" s="156"/>
      <c r="DC1060" s="156"/>
      <c r="DD1060" s="156"/>
      <c r="DE1060" s="156"/>
      <c r="DF1060" s="156"/>
      <c r="DG1060" s="156"/>
      <c r="DH1060" s="156"/>
      <c r="DI1060" s="156"/>
      <c r="DJ1060" s="156"/>
      <c r="DK1060" s="156"/>
      <c r="DL1060" s="156"/>
      <c r="DM1060" s="156"/>
      <c r="DN1060" s="156"/>
      <c r="DO1060" s="156"/>
      <c r="DP1060" s="156"/>
      <c r="DQ1060" s="156"/>
      <c r="DR1060" s="156"/>
      <c r="DS1060" s="156"/>
      <c r="DT1060" s="156"/>
      <c r="DU1060" s="156"/>
      <c r="DV1060" s="156"/>
      <c r="DW1060" s="156"/>
      <c r="DX1060" s="156"/>
      <c r="DY1060" s="156"/>
      <c r="DZ1060" s="156"/>
      <c r="EA1060" s="156"/>
      <c r="EB1060" s="156"/>
      <c r="EC1060" s="156"/>
      <c r="ED1060" s="156"/>
      <c r="EE1060" s="156"/>
      <c r="EF1060" s="156"/>
      <c r="EG1060" s="156"/>
      <c r="EH1060" s="156"/>
      <c r="EI1060" s="156"/>
      <c r="EJ1060" s="156"/>
      <c r="EK1060" s="156"/>
      <c r="EL1060" s="156"/>
      <c r="EM1060" s="156"/>
    </row>
    <row r="1061" spans="20:143" ht="10.5" customHeight="1">
      <c r="T1061" s="156"/>
      <c r="AZ1061" s="156"/>
      <c r="BA1061" s="156"/>
      <c r="BB1061" s="156"/>
      <c r="BC1061" s="156"/>
      <c r="BD1061" s="156"/>
      <c r="BE1061" s="156"/>
      <c r="BF1061" s="156"/>
      <c r="BG1061" s="156"/>
      <c r="BH1061" s="156"/>
      <c r="BI1061" s="156"/>
      <c r="BJ1061" s="156"/>
      <c r="BK1061" s="156"/>
      <c r="BL1061" s="156"/>
      <c r="BM1061" s="156"/>
      <c r="BN1061" s="156"/>
      <c r="BO1061" s="156"/>
      <c r="BP1061" s="156"/>
      <c r="BQ1061" s="156"/>
      <c r="BR1061" s="156"/>
      <c r="BS1061" s="156"/>
      <c r="BT1061" s="156"/>
      <c r="BU1061" s="156"/>
      <c r="BV1061" s="156"/>
      <c r="BW1061" s="156"/>
      <c r="BX1061" s="156"/>
      <c r="BY1061" s="156"/>
      <c r="BZ1061" s="156"/>
      <c r="CA1061" s="156"/>
      <c r="CB1061" s="156"/>
      <c r="CC1061" s="156"/>
      <c r="CD1061" s="156"/>
      <c r="CE1061" s="156"/>
      <c r="CF1061" s="156"/>
      <c r="CG1061" s="156"/>
      <c r="CH1061" s="156"/>
      <c r="CI1061" s="156"/>
      <c r="CJ1061" s="156"/>
      <c r="CK1061" s="156"/>
      <c r="CL1061" s="156"/>
      <c r="CM1061" s="156"/>
      <c r="CN1061" s="156"/>
      <c r="CO1061" s="156"/>
      <c r="CP1061" s="156"/>
      <c r="CQ1061" s="156"/>
      <c r="CR1061" s="156"/>
      <c r="CS1061" s="156"/>
      <c r="CT1061" s="156"/>
      <c r="CU1061" s="156"/>
      <c r="CV1061" s="156"/>
      <c r="CW1061" s="156"/>
      <c r="CX1061" s="156"/>
      <c r="CY1061" s="156"/>
      <c r="CZ1061" s="156"/>
      <c r="DA1061" s="156"/>
      <c r="DB1061" s="156"/>
      <c r="DC1061" s="156"/>
      <c r="DD1061" s="156"/>
      <c r="DE1061" s="156"/>
      <c r="DF1061" s="156"/>
      <c r="DG1061" s="156"/>
      <c r="DH1061" s="156"/>
      <c r="DI1061" s="156"/>
      <c r="DJ1061" s="156"/>
      <c r="DK1061" s="156"/>
      <c r="DL1061" s="156"/>
      <c r="DM1061" s="156"/>
      <c r="DN1061" s="156"/>
      <c r="DO1061" s="156"/>
      <c r="DP1061" s="156"/>
      <c r="DQ1061" s="156"/>
      <c r="DR1061" s="156"/>
      <c r="DS1061" s="156"/>
      <c r="DT1061" s="156"/>
      <c r="DU1061" s="156"/>
      <c r="DV1061" s="156"/>
      <c r="DW1061" s="156"/>
      <c r="DX1061" s="156"/>
      <c r="DY1061" s="156"/>
      <c r="DZ1061" s="156"/>
      <c r="EA1061" s="156"/>
      <c r="EB1061" s="156"/>
      <c r="EC1061" s="156"/>
      <c r="ED1061" s="156"/>
      <c r="EE1061" s="156"/>
      <c r="EF1061" s="156"/>
      <c r="EG1061" s="156"/>
      <c r="EH1061" s="156"/>
      <c r="EI1061" s="156"/>
      <c r="EJ1061" s="156"/>
      <c r="EK1061" s="156"/>
      <c r="EL1061" s="156"/>
      <c r="EM1061" s="156"/>
    </row>
    <row r="1062" spans="20:143" ht="10.5" customHeight="1">
      <c r="T1062" s="156"/>
      <c r="AZ1062" s="156"/>
      <c r="BA1062" s="156"/>
      <c r="BB1062" s="156"/>
      <c r="BC1062" s="156"/>
      <c r="BD1062" s="156"/>
      <c r="BE1062" s="156"/>
      <c r="BF1062" s="156"/>
      <c r="BG1062" s="156"/>
      <c r="BH1062" s="156"/>
      <c r="BI1062" s="156"/>
      <c r="BJ1062" s="156"/>
      <c r="BK1062" s="156"/>
      <c r="BL1062" s="156"/>
      <c r="BM1062" s="156"/>
      <c r="BN1062" s="156"/>
      <c r="BO1062" s="156"/>
      <c r="BP1062" s="156"/>
      <c r="BQ1062" s="156"/>
      <c r="BR1062" s="156"/>
      <c r="BS1062" s="156"/>
      <c r="BT1062" s="156"/>
      <c r="BU1062" s="156"/>
      <c r="BV1062" s="156"/>
      <c r="BW1062" s="156"/>
      <c r="BX1062" s="156"/>
      <c r="BY1062" s="156"/>
      <c r="BZ1062" s="156"/>
      <c r="CA1062" s="156"/>
      <c r="CB1062" s="156"/>
      <c r="CC1062" s="156"/>
      <c r="CD1062" s="156"/>
      <c r="CE1062" s="156"/>
      <c r="CF1062" s="156"/>
      <c r="CG1062" s="156"/>
      <c r="CH1062" s="156"/>
      <c r="CI1062" s="156"/>
      <c r="CJ1062" s="156"/>
      <c r="CK1062" s="156"/>
      <c r="CL1062" s="156"/>
      <c r="CM1062" s="156"/>
      <c r="CN1062" s="156"/>
      <c r="CO1062" s="156"/>
      <c r="CP1062" s="156"/>
      <c r="CQ1062" s="156"/>
      <c r="CR1062" s="156"/>
      <c r="CS1062" s="156"/>
      <c r="CT1062" s="156"/>
      <c r="CU1062" s="156"/>
      <c r="CV1062" s="156"/>
      <c r="CW1062" s="156"/>
      <c r="CX1062" s="156"/>
      <c r="CY1062" s="156"/>
      <c r="CZ1062" s="156"/>
      <c r="DA1062" s="156"/>
      <c r="DB1062" s="156"/>
      <c r="DC1062" s="156"/>
      <c r="DD1062" s="156"/>
      <c r="DE1062" s="156"/>
      <c r="DF1062" s="156"/>
      <c r="DG1062" s="156"/>
      <c r="DH1062" s="156"/>
      <c r="DI1062" s="156"/>
      <c r="DJ1062" s="156"/>
      <c r="DK1062" s="156"/>
      <c r="DL1062" s="156"/>
      <c r="DM1062" s="156"/>
      <c r="DN1062" s="156"/>
      <c r="DO1062" s="156"/>
      <c r="DP1062" s="156"/>
      <c r="DQ1062" s="156"/>
      <c r="DR1062" s="156"/>
      <c r="DS1062" s="156"/>
      <c r="DT1062" s="156"/>
      <c r="DU1062" s="156"/>
      <c r="DV1062" s="156"/>
      <c r="DW1062" s="156"/>
      <c r="DX1062" s="156"/>
      <c r="DY1062" s="156"/>
      <c r="DZ1062" s="156"/>
      <c r="EA1062" s="156"/>
      <c r="EB1062" s="156"/>
      <c r="EC1062" s="156"/>
      <c r="ED1062" s="156"/>
      <c r="EE1062" s="156"/>
      <c r="EF1062" s="156"/>
      <c r="EG1062" s="156"/>
      <c r="EH1062" s="156"/>
      <c r="EI1062" s="156"/>
      <c r="EJ1062" s="156"/>
      <c r="EK1062" s="156"/>
      <c r="EL1062" s="156"/>
      <c r="EM1062" s="156"/>
    </row>
    <row r="1063" spans="20:143" ht="10.5" customHeight="1">
      <c r="T1063" s="156"/>
      <c r="AZ1063" s="156"/>
      <c r="BA1063" s="156"/>
      <c r="BB1063" s="156"/>
      <c r="BC1063" s="156"/>
      <c r="BD1063" s="156"/>
      <c r="BE1063" s="156"/>
      <c r="BF1063" s="156"/>
      <c r="BG1063" s="156"/>
      <c r="BH1063" s="156"/>
      <c r="BI1063" s="156"/>
      <c r="BJ1063" s="156"/>
      <c r="BK1063" s="156"/>
      <c r="BL1063" s="156"/>
      <c r="BM1063" s="156"/>
      <c r="BN1063" s="156"/>
      <c r="BO1063" s="156"/>
      <c r="BP1063" s="156"/>
      <c r="BQ1063" s="156"/>
      <c r="BR1063" s="156"/>
      <c r="BS1063" s="156"/>
      <c r="BT1063" s="156"/>
      <c r="BU1063" s="156"/>
      <c r="BV1063" s="156"/>
      <c r="BW1063" s="156"/>
      <c r="BX1063" s="156"/>
      <c r="BY1063" s="156"/>
      <c r="BZ1063" s="156"/>
      <c r="CA1063" s="156"/>
      <c r="CB1063" s="156"/>
      <c r="CC1063" s="156"/>
      <c r="CD1063" s="156"/>
      <c r="CE1063" s="156"/>
      <c r="CF1063" s="156"/>
      <c r="CG1063" s="156"/>
      <c r="CH1063" s="156"/>
      <c r="CI1063" s="156"/>
      <c r="CJ1063" s="156"/>
      <c r="CK1063" s="156"/>
      <c r="CL1063" s="156"/>
      <c r="CM1063" s="156"/>
      <c r="CN1063" s="156"/>
      <c r="CO1063" s="156"/>
      <c r="CP1063" s="156"/>
      <c r="CQ1063" s="156"/>
      <c r="CR1063" s="156"/>
      <c r="CS1063" s="156"/>
      <c r="CT1063" s="156"/>
      <c r="CU1063" s="156"/>
      <c r="CV1063" s="156"/>
      <c r="CW1063" s="156"/>
      <c r="CX1063" s="156"/>
      <c r="CY1063" s="156"/>
      <c r="CZ1063" s="156"/>
      <c r="DA1063" s="156"/>
      <c r="DB1063" s="156"/>
      <c r="DC1063" s="156"/>
      <c r="DD1063" s="156"/>
      <c r="DE1063" s="156"/>
      <c r="DF1063" s="156"/>
      <c r="DG1063" s="156"/>
      <c r="DH1063" s="156"/>
      <c r="DI1063" s="156"/>
      <c r="DJ1063" s="156"/>
      <c r="DK1063" s="156"/>
      <c r="DL1063" s="156"/>
      <c r="DM1063" s="156"/>
      <c r="DN1063" s="156"/>
      <c r="DO1063" s="156"/>
      <c r="DP1063" s="156"/>
      <c r="DQ1063" s="156"/>
      <c r="DR1063" s="156"/>
      <c r="DS1063" s="156"/>
      <c r="DT1063" s="156"/>
      <c r="DU1063" s="156"/>
      <c r="DV1063" s="156"/>
      <c r="DW1063" s="156"/>
      <c r="DX1063" s="156"/>
      <c r="DY1063" s="156"/>
      <c r="DZ1063" s="156"/>
      <c r="EA1063" s="156"/>
      <c r="EB1063" s="156"/>
      <c r="EC1063" s="156"/>
      <c r="ED1063" s="156"/>
      <c r="EE1063" s="156"/>
      <c r="EF1063" s="156"/>
      <c r="EG1063" s="156"/>
      <c r="EH1063" s="156"/>
      <c r="EI1063" s="156"/>
      <c r="EJ1063" s="156"/>
      <c r="EK1063" s="156"/>
      <c r="EL1063" s="156"/>
      <c r="EM1063" s="156"/>
    </row>
    <row r="1064" spans="20:143" ht="10.5" customHeight="1">
      <c r="T1064" s="156"/>
      <c r="AZ1064" s="156"/>
      <c r="BA1064" s="156"/>
      <c r="BB1064" s="156"/>
      <c r="BC1064" s="156"/>
      <c r="BD1064" s="156"/>
      <c r="BE1064" s="156"/>
      <c r="BF1064" s="156"/>
      <c r="BG1064" s="156"/>
      <c r="BH1064" s="156"/>
      <c r="BI1064" s="156"/>
      <c r="BJ1064" s="156"/>
      <c r="BK1064" s="156"/>
      <c r="BL1064" s="156"/>
      <c r="BM1064" s="156"/>
      <c r="BN1064" s="156"/>
      <c r="BO1064" s="156"/>
      <c r="BP1064" s="156"/>
      <c r="BQ1064" s="156"/>
      <c r="BR1064" s="156"/>
      <c r="BS1064" s="156"/>
      <c r="BT1064" s="156"/>
      <c r="BU1064" s="156"/>
      <c r="BV1064" s="156"/>
      <c r="BW1064" s="156"/>
      <c r="BX1064" s="156"/>
      <c r="BY1064" s="156"/>
      <c r="BZ1064" s="156"/>
      <c r="CA1064" s="156"/>
      <c r="CB1064" s="156"/>
      <c r="CC1064" s="156"/>
      <c r="CD1064" s="156"/>
      <c r="CE1064" s="156"/>
      <c r="CF1064" s="156"/>
      <c r="CG1064" s="156"/>
      <c r="CH1064" s="156"/>
      <c r="CI1064" s="156"/>
      <c r="CJ1064" s="156"/>
      <c r="CK1064" s="156"/>
      <c r="CL1064" s="156"/>
      <c r="CM1064" s="156"/>
      <c r="CN1064" s="156"/>
      <c r="CO1064" s="156"/>
      <c r="CP1064" s="156"/>
      <c r="CQ1064" s="156"/>
      <c r="CR1064" s="156"/>
      <c r="CS1064" s="156"/>
      <c r="CT1064" s="156"/>
      <c r="CU1064" s="156"/>
      <c r="CV1064" s="156"/>
      <c r="CW1064" s="156"/>
      <c r="CX1064" s="156"/>
      <c r="CY1064" s="156"/>
      <c r="CZ1064" s="156"/>
      <c r="DA1064" s="156"/>
      <c r="DB1064" s="156"/>
      <c r="DC1064" s="156"/>
      <c r="DD1064" s="156"/>
      <c r="DE1064" s="156"/>
      <c r="DF1064" s="156"/>
      <c r="DG1064" s="156"/>
      <c r="DH1064" s="156"/>
      <c r="DI1064" s="156"/>
      <c r="DJ1064" s="156"/>
      <c r="DK1064" s="156"/>
      <c r="DL1064" s="156"/>
      <c r="DM1064" s="156"/>
      <c r="DN1064" s="156"/>
      <c r="DO1064" s="156"/>
      <c r="DP1064" s="156"/>
      <c r="DQ1064" s="156"/>
      <c r="DR1064" s="156"/>
      <c r="DS1064" s="156"/>
      <c r="DT1064" s="156"/>
      <c r="DU1064" s="156"/>
      <c r="DV1064" s="156"/>
      <c r="DW1064" s="156"/>
      <c r="DX1064" s="156"/>
      <c r="DY1064" s="156"/>
      <c r="DZ1064" s="156"/>
      <c r="EA1064" s="156"/>
      <c r="EB1064" s="156"/>
      <c r="EC1064" s="156"/>
      <c r="ED1064" s="156"/>
      <c r="EE1064" s="156"/>
      <c r="EF1064" s="156"/>
      <c r="EG1064" s="156"/>
      <c r="EH1064" s="156"/>
      <c r="EI1064" s="156"/>
      <c r="EJ1064" s="156"/>
      <c r="EK1064" s="156"/>
      <c r="EL1064" s="156"/>
      <c r="EM1064" s="156"/>
    </row>
    <row r="1065" spans="20:143" ht="10.5" customHeight="1">
      <c r="T1065" s="156"/>
      <c r="AZ1065" s="156"/>
      <c r="BA1065" s="156"/>
      <c r="BB1065" s="156"/>
      <c r="BC1065" s="156"/>
      <c r="BD1065" s="156"/>
      <c r="BE1065" s="156"/>
      <c r="BF1065" s="156"/>
      <c r="BG1065" s="156"/>
      <c r="BH1065" s="156"/>
      <c r="BI1065" s="156"/>
      <c r="BJ1065" s="156"/>
      <c r="BK1065" s="156"/>
      <c r="BL1065" s="156"/>
      <c r="BM1065" s="156"/>
      <c r="BN1065" s="156"/>
      <c r="BO1065" s="156"/>
      <c r="BP1065" s="156"/>
      <c r="BQ1065" s="156"/>
      <c r="BR1065" s="156"/>
      <c r="BS1065" s="156"/>
      <c r="BT1065" s="156"/>
      <c r="BU1065" s="156"/>
      <c r="BV1065" s="156"/>
      <c r="BW1065" s="156"/>
      <c r="BX1065" s="156"/>
      <c r="BY1065" s="156"/>
      <c r="BZ1065" s="156"/>
      <c r="CA1065" s="156"/>
      <c r="CB1065" s="156"/>
      <c r="CC1065" s="156"/>
      <c r="CD1065" s="156"/>
      <c r="CE1065" s="156"/>
      <c r="CF1065" s="156"/>
      <c r="CG1065" s="156"/>
      <c r="CH1065" s="156"/>
      <c r="CI1065" s="156"/>
      <c r="CJ1065" s="156"/>
      <c r="CK1065" s="156"/>
      <c r="CL1065" s="156"/>
      <c r="CM1065" s="156"/>
      <c r="CN1065" s="156"/>
      <c r="CO1065" s="156"/>
      <c r="CP1065" s="156"/>
      <c r="CQ1065" s="156"/>
      <c r="CR1065" s="156"/>
      <c r="CS1065" s="156"/>
      <c r="CT1065" s="156"/>
      <c r="CU1065" s="156"/>
      <c r="CV1065" s="156"/>
      <c r="CW1065" s="156"/>
      <c r="CX1065" s="156"/>
      <c r="CY1065" s="156"/>
      <c r="CZ1065" s="156"/>
      <c r="DA1065" s="156"/>
      <c r="DB1065" s="156"/>
      <c r="DC1065" s="156"/>
      <c r="DD1065" s="156"/>
      <c r="DE1065" s="156"/>
      <c r="DF1065" s="156"/>
      <c r="DG1065" s="156"/>
      <c r="DH1065" s="156"/>
      <c r="DI1065" s="156"/>
      <c r="DJ1065" s="156"/>
      <c r="DK1065" s="156"/>
      <c r="DL1065" s="156"/>
      <c r="DM1065" s="156"/>
      <c r="DN1065" s="156"/>
      <c r="DO1065" s="156"/>
      <c r="DP1065" s="156"/>
      <c r="DQ1065" s="156"/>
      <c r="DR1065" s="156"/>
      <c r="DS1065" s="156"/>
      <c r="DT1065" s="156"/>
      <c r="DU1065" s="156"/>
      <c r="DV1065" s="156"/>
      <c r="DW1065" s="156"/>
      <c r="DX1065" s="156"/>
      <c r="DY1065" s="156"/>
      <c r="DZ1065" s="156"/>
      <c r="EA1065" s="156"/>
      <c r="EB1065" s="156"/>
      <c r="EC1065" s="156"/>
      <c r="ED1065" s="156"/>
      <c r="EE1065" s="156"/>
      <c r="EF1065" s="156"/>
      <c r="EG1065" s="156"/>
      <c r="EH1065" s="156"/>
      <c r="EI1065" s="156"/>
      <c r="EJ1065" s="156"/>
      <c r="EK1065" s="156"/>
      <c r="EL1065" s="156"/>
      <c r="EM1065" s="156"/>
    </row>
    <row r="1066" spans="20:143" ht="10.5" customHeight="1">
      <c r="T1066" s="156"/>
      <c r="AZ1066" s="156"/>
      <c r="BA1066" s="156"/>
      <c r="BB1066" s="156"/>
      <c r="BC1066" s="156"/>
      <c r="BD1066" s="156"/>
      <c r="BE1066" s="156"/>
      <c r="BF1066" s="156"/>
      <c r="BG1066" s="156"/>
      <c r="BH1066" s="156"/>
      <c r="BI1066" s="156"/>
      <c r="BJ1066" s="156"/>
      <c r="BK1066" s="156"/>
      <c r="BL1066" s="156"/>
      <c r="BM1066" s="156"/>
      <c r="BN1066" s="156"/>
      <c r="BO1066" s="156"/>
      <c r="BP1066" s="156"/>
      <c r="BQ1066" s="156"/>
      <c r="BR1066" s="156"/>
      <c r="BS1066" s="156"/>
      <c r="BT1066" s="156"/>
      <c r="BU1066" s="156"/>
      <c r="BV1066" s="156"/>
      <c r="BW1066" s="156"/>
      <c r="BX1066" s="156"/>
      <c r="BY1066" s="156"/>
      <c r="BZ1066" s="156"/>
      <c r="CA1066" s="156"/>
      <c r="CB1066" s="156"/>
      <c r="CC1066" s="156"/>
      <c r="CD1066" s="156"/>
      <c r="CE1066" s="156"/>
      <c r="CF1066" s="156"/>
      <c r="CG1066" s="156"/>
      <c r="CH1066" s="156"/>
      <c r="CI1066" s="156"/>
      <c r="CJ1066" s="156"/>
      <c r="CK1066" s="156"/>
      <c r="CL1066" s="156"/>
      <c r="CM1066" s="156"/>
      <c r="CN1066" s="156"/>
      <c r="CO1066" s="156"/>
      <c r="CP1066" s="156"/>
      <c r="CQ1066" s="156"/>
      <c r="CR1066" s="156"/>
      <c r="CS1066" s="156"/>
      <c r="CT1066" s="156"/>
      <c r="CU1066" s="156"/>
      <c r="CV1066" s="156"/>
      <c r="CW1066" s="156"/>
      <c r="CX1066" s="156"/>
      <c r="CY1066" s="156"/>
      <c r="CZ1066" s="156"/>
      <c r="DA1066" s="156"/>
      <c r="DB1066" s="156"/>
      <c r="DC1066" s="156"/>
      <c r="DD1066" s="156"/>
      <c r="DE1066" s="156"/>
      <c r="DF1066" s="156"/>
      <c r="DG1066" s="156"/>
      <c r="DH1066" s="156"/>
      <c r="DI1066" s="156"/>
      <c r="DJ1066" s="156"/>
      <c r="DK1066" s="156"/>
      <c r="DL1066" s="156"/>
      <c r="DM1066" s="156"/>
      <c r="DN1066" s="156"/>
      <c r="DO1066" s="156"/>
      <c r="DP1066" s="156"/>
      <c r="DQ1066" s="156"/>
      <c r="DR1066" s="156"/>
      <c r="DS1066" s="156"/>
      <c r="DT1066" s="156"/>
      <c r="DU1066" s="156"/>
      <c r="DV1066" s="156"/>
      <c r="DW1066" s="156"/>
      <c r="DX1066" s="156"/>
      <c r="DY1066" s="156"/>
      <c r="DZ1066" s="156"/>
      <c r="EA1066" s="156"/>
      <c r="EB1066" s="156"/>
      <c r="EC1066" s="156"/>
      <c r="ED1066" s="156"/>
      <c r="EE1066" s="156"/>
      <c r="EF1066" s="156"/>
      <c r="EG1066" s="156"/>
      <c r="EH1066" s="156"/>
      <c r="EI1066" s="156"/>
      <c r="EJ1066" s="156"/>
      <c r="EK1066" s="156"/>
      <c r="EL1066" s="156"/>
      <c r="EM1066" s="156"/>
    </row>
    <row r="1067" spans="20:143" ht="10.5" customHeight="1">
      <c r="T1067" s="156"/>
      <c r="AZ1067" s="156"/>
      <c r="BA1067" s="156"/>
      <c r="BB1067" s="156"/>
      <c r="BC1067" s="156"/>
      <c r="BD1067" s="156"/>
      <c r="BE1067" s="156"/>
      <c r="BF1067" s="156"/>
      <c r="BG1067" s="156"/>
      <c r="BH1067" s="156"/>
      <c r="BI1067" s="156"/>
      <c r="BJ1067" s="156"/>
      <c r="BK1067" s="156"/>
      <c r="BL1067" s="156"/>
      <c r="BM1067" s="156"/>
      <c r="BN1067" s="156"/>
      <c r="BO1067" s="156"/>
      <c r="BP1067" s="156"/>
      <c r="BQ1067" s="156"/>
      <c r="BR1067" s="156"/>
      <c r="BS1067" s="156"/>
      <c r="BT1067" s="156"/>
      <c r="BU1067" s="156"/>
      <c r="BV1067" s="156"/>
      <c r="BW1067" s="156"/>
      <c r="BX1067" s="156"/>
      <c r="BY1067" s="156"/>
      <c r="BZ1067" s="156"/>
      <c r="CA1067" s="156"/>
      <c r="CB1067" s="156"/>
      <c r="CC1067" s="156"/>
      <c r="CD1067" s="156"/>
      <c r="CE1067" s="156"/>
      <c r="CF1067" s="156"/>
      <c r="CG1067" s="156"/>
      <c r="CH1067" s="156"/>
      <c r="CI1067" s="156"/>
      <c r="CJ1067" s="156"/>
      <c r="CK1067" s="156"/>
      <c r="CL1067" s="156"/>
      <c r="CM1067" s="156"/>
      <c r="CN1067" s="156"/>
      <c r="CO1067" s="156"/>
      <c r="CP1067" s="156"/>
      <c r="CQ1067" s="156"/>
      <c r="CR1067" s="156"/>
      <c r="CS1067" s="156"/>
      <c r="CT1067" s="156"/>
      <c r="CU1067" s="156"/>
      <c r="CV1067" s="156"/>
      <c r="CW1067" s="156"/>
      <c r="CX1067" s="156"/>
      <c r="CY1067" s="156"/>
      <c r="CZ1067" s="156"/>
      <c r="DA1067" s="156"/>
      <c r="DB1067" s="156"/>
      <c r="DC1067" s="156"/>
      <c r="DD1067" s="156"/>
      <c r="DE1067" s="156"/>
      <c r="DF1067" s="156"/>
      <c r="DG1067" s="156"/>
      <c r="DH1067" s="156"/>
      <c r="DI1067" s="156"/>
      <c r="DJ1067" s="156"/>
      <c r="DK1067" s="156"/>
      <c r="DL1067" s="156"/>
      <c r="DM1067" s="156"/>
      <c r="DN1067" s="156"/>
      <c r="DO1067" s="156"/>
      <c r="DP1067" s="156"/>
      <c r="DQ1067" s="156"/>
      <c r="DR1067" s="156"/>
      <c r="DS1067" s="156"/>
      <c r="DT1067" s="156"/>
      <c r="DU1067" s="156"/>
      <c r="DV1067" s="156"/>
      <c r="DW1067" s="156"/>
      <c r="DX1067" s="156"/>
      <c r="DY1067" s="156"/>
      <c r="DZ1067" s="156"/>
      <c r="EA1067" s="156"/>
      <c r="EB1067" s="156"/>
      <c r="EC1067" s="156"/>
      <c r="ED1067" s="156"/>
      <c r="EE1067" s="156"/>
      <c r="EF1067" s="156"/>
      <c r="EG1067" s="156"/>
      <c r="EH1067" s="156"/>
      <c r="EI1067" s="156"/>
      <c r="EJ1067" s="156"/>
      <c r="EK1067" s="156"/>
      <c r="EL1067" s="156"/>
      <c r="EM1067" s="156"/>
    </row>
    <row r="1068" spans="20:143" ht="10.5" customHeight="1">
      <c r="T1068" s="156"/>
      <c r="AZ1068" s="156"/>
      <c r="BA1068" s="156"/>
      <c r="BB1068" s="156"/>
      <c r="BC1068" s="156"/>
      <c r="BD1068" s="156"/>
      <c r="BE1068" s="156"/>
      <c r="BF1068" s="156"/>
      <c r="BG1068" s="156"/>
      <c r="BH1068" s="156"/>
      <c r="BI1068" s="156"/>
      <c r="BJ1068" s="156"/>
      <c r="BK1068" s="156"/>
      <c r="BL1068" s="156"/>
      <c r="BM1068" s="156"/>
      <c r="BN1068" s="156"/>
      <c r="BO1068" s="156"/>
      <c r="BP1068" s="156"/>
      <c r="BQ1068" s="156"/>
      <c r="BR1068" s="156"/>
      <c r="BS1068" s="156"/>
      <c r="BT1068" s="156"/>
      <c r="BU1068" s="156"/>
      <c r="BV1068" s="156"/>
      <c r="BW1068" s="156"/>
      <c r="BX1068" s="156"/>
      <c r="BY1068" s="156"/>
      <c r="BZ1068" s="156"/>
      <c r="CA1068" s="156"/>
      <c r="CB1068" s="156"/>
      <c r="CC1068" s="156"/>
      <c r="CD1068" s="156"/>
      <c r="CE1068" s="156"/>
      <c r="CF1068" s="156"/>
      <c r="CG1068" s="156"/>
      <c r="CH1068" s="156"/>
      <c r="CI1068" s="156"/>
      <c r="CJ1068" s="156"/>
      <c r="CK1068" s="156"/>
      <c r="CL1068" s="156"/>
      <c r="CM1068" s="156"/>
      <c r="CN1068" s="156"/>
      <c r="CO1068" s="156"/>
      <c r="CP1068" s="156"/>
      <c r="CQ1068" s="156"/>
      <c r="CR1068" s="156"/>
      <c r="CS1068" s="156"/>
      <c r="CT1068" s="156"/>
      <c r="CU1068" s="156"/>
      <c r="CV1068" s="156"/>
      <c r="CW1068" s="156"/>
      <c r="CX1068" s="156"/>
      <c r="CY1068" s="156"/>
      <c r="CZ1068" s="156"/>
      <c r="DA1068" s="156"/>
      <c r="DB1068" s="156"/>
      <c r="DC1068" s="156"/>
      <c r="DD1068" s="156"/>
      <c r="DE1068" s="156"/>
      <c r="DF1068" s="156"/>
      <c r="DG1068" s="156"/>
      <c r="DH1068" s="156"/>
      <c r="DI1068" s="156"/>
      <c r="DJ1068" s="156"/>
      <c r="DK1068" s="156"/>
      <c r="DL1068" s="156"/>
      <c r="DM1068" s="156"/>
      <c r="DN1068" s="156"/>
      <c r="DO1068" s="156"/>
      <c r="DP1068" s="156"/>
      <c r="DQ1068" s="156"/>
      <c r="DR1068" s="156"/>
      <c r="DS1068" s="156"/>
      <c r="DT1068" s="156"/>
      <c r="DU1068" s="156"/>
      <c r="DV1068" s="156"/>
      <c r="DW1068" s="156"/>
      <c r="DX1068" s="156"/>
      <c r="DY1068" s="156"/>
      <c r="DZ1068" s="156"/>
      <c r="EA1068" s="156"/>
      <c r="EB1068" s="156"/>
      <c r="EC1068" s="156"/>
      <c r="ED1068" s="156"/>
      <c r="EE1068" s="156"/>
      <c r="EF1068" s="156"/>
      <c r="EG1068" s="156"/>
      <c r="EH1068" s="156"/>
      <c r="EI1068" s="156"/>
      <c r="EJ1068" s="156"/>
      <c r="EK1068" s="156"/>
      <c r="EL1068" s="156"/>
      <c r="EM1068" s="156"/>
    </row>
    <row r="1069" spans="20:143" ht="10.5" customHeight="1">
      <c r="T1069" s="156"/>
      <c r="AZ1069" s="156"/>
      <c r="BA1069" s="156"/>
      <c r="BB1069" s="156"/>
      <c r="BC1069" s="156"/>
      <c r="BD1069" s="156"/>
      <c r="BE1069" s="156"/>
      <c r="BF1069" s="156"/>
      <c r="BG1069" s="156"/>
      <c r="BH1069" s="156"/>
      <c r="BI1069" s="156"/>
      <c r="BJ1069" s="156"/>
      <c r="BK1069" s="156"/>
      <c r="BL1069" s="156"/>
      <c r="BM1069" s="156"/>
      <c r="BN1069" s="156"/>
      <c r="BO1069" s="156"/>
      <c r="BP1069" s="156"/>
      <c r="BQ1069" s="156"/>
      <c r="BR1069" s="156"/>
      <c r="BS1069" s="156"/>
      <c r="BT1069" s="156"/>
      <c r="BU1069" s="156"/>
      <c r="BV1069" s="156"/>
      <c r="BW1069" s="156"/>
      <c r="BX1069" s="156"/>
      <c r="BY1069" s="156"/>
      <c r="BZ1069" s="156"/>
      <c r="CA1069" s="156"/>
      <c r="CB1069" s="156"/>
      <c r="CC1069" s="156"/>
      <c r="CD1069" s="156"/>
      <c r="CE1069" s="156"/>
      <c r="CF1069" s="156"/>
      <c r="CG1069" s="156"/>
      <c r="CH1069" s="156"/>
      <c r="CI1069" s="156"/>
      <c r="CJ1069" s="156"/>
      <c r="CK1069" s="156"/>
      <c r="CL1069" s="156"/>
      <c r="CM1069" s="156"/>
      <c r="CN1069" s="156"/>
      <c r="CO1069" s="156"/>
      <c r="CP1069" s="156"/>
      <c r="CQ1069" s="156"/>
      <c r="CR1069" s="156"/>
      <c r="CS1069" s="156"/>
      <c r="CT1069" s="156"/>
      <c r="CU1069" s="156"/>
      <c r="CV1069" s="156"/>
      <c r="CW1069" s="156"/>
      <c r="CX1069" s="156"/>
      <c r="CY1069" s="156"/>
      <c r="CZ1069" s="156"/>
      <c r="DA1069" s="156"/>
      <c r="DB1069" s="156"/>
      <c r="DC1069" s="156"/>
      <c r="DD1069" s="156"/>
      <c r="DE1069" s="156"/>
      <c r="DF1069" s="156"/>
      <c r="DG1069" s="156"/>
      <c r="DH1069" s="156"/>
      <c r="DI1069" s="156"/>
      <c r="DJ1069" s="156"/>
      <c r="DK1069" s="156"/>
      <c r="DL1069" s="156"/>
      <c r="DM1069" s="156"/>
      <c r="DN1069" s="156"/>
      <c r="DO1069" s="156"/>
      <c r="DP1069" s="156"/>
      <c r="DQ1069" s="156"/>
      <c r="DR1069" s="156"/>
      <c r="DS1069" s="156"/>
      <c r="DT1069" s="156"/>
      <c r="DU1069" s="156"/>
      <c r="DV1069" s="156"/>
      <c r="DW1069" s="156"/>
      <c r="DX1069" s="156"/>
      <c r="DY1069" s="156"/>
      <c r="DZ1069" s="156"/>
      <c r="EA1069" s="156"/>
      <c r="EB1069" s="156"/>
      <c r="EC1069" s="156"/>
      <c r="ED1069" s="156"/>
      <c r="EE1069" s="156"/>
      <c r="EF1069" s="156"/>
      <c r="EG1069" s="156"/>
      <c r="EH1069" s="156"/>
      <c r="EI1069" s="156"/>
      <c r="EJ1069" s="156"/>
      <c r="EK1069" s="156"/>
      <c r="EL1069" s="156"/>
      <c r="EM1069" s="156"/>
    </row>
    <row r="1070" spans="20:143" ht="10.5" customHeight="1">
      <c r="T1070" s="156"/>
      <c r="AZ1070" s="156"/>
      <c r="BA1070" s="156"/>
      <c r="BB1070" s="156"/>
      <c r="BC1070" s="156"/>
      <c r="BD1070" s="156"/>
      <c r="BE1070" s="156"/>
      <c r="BF1070" s="156"/>
      <c r="BG1070" s="156"/>
      <c r="BH1070" s="156"/>
      <c r="BI1070" s="156"/>
      <c r="BJ1070" s="156"/>
      <c r="BK1070" s="156"/>
      <c r="BL1070" s="156"/>
      <c r="BM1070" s="156"/>
      <c r="BN1070" s="156"/>
      <c r="BO1070" s="156"/>
      <c r="BP1070" s="156"/>
      <c r="BQ1070" s="156"/>
      <c r="BR1070" s="156"/>
      <c r="BS1070" s="156"/>
      <c r="BT1070" s="156"/>
      <c r="BU1070" s="156"/>
      <c r="BV1070" s="156"/>
      <c r="BW1070" s="156"/>
      <c r="BX1070" s="156"/>
      <c r="BY1070" s="156"/>
      <c r="BZ1070" s="156"/>
      <c r="CA1070" s="156"/>
      <c r="CB1070" s="156"/>
      <c r="CC1070" s="156"/>
      <c r="CD1070" s="156"/>
      <c r="CE1070" s="156"/>
      <c r="CF1070" s="156"/>
      <c r="CG1070" s="156"/>
      <c r="CH1070" s="156"/>
      <c r="CI1070" s="156"/>
      <c r="CJ1070" s="156"/>
      <c r="CK1070" s="156"/>
      <c r="CL1070" s="156"/>
      <c r="CM1070" s="156"/>
      <c r="CN1070" s="156"/>
      <c r="CO1070" s="156"/>
      <c r="CP1070" s="156"/>
      <c r="CQ1070" s="156"/>
      <c r="CR1070" s="156"/>
      <c r="CS1070" s="156"/>
      <c r="CT1070" s="156"/>
      <c r="CU1070" s="156"/>
      <c r="CV1070" s="156"/>
      <c r="CW1070" s="156"/>
      <c r="CX1070" s="156"/>
      <c r="CY1070" s="156"/>
      <c r="CZ1070" s="156"/>
      <c r="DA1070" s="156"/>
      <c r="DB1070" s="156"/>
      <c r="DC1070" s="156"/>
      <c r="DD1070" s="156"/>
      <c r="DE1070" s="156"/>
      <c r="DF1070" s="156"/>
      <c r="DG1070" s="156"/>
      <c r="DH1070" s="156"/>
      <c r="DI1070" s="156"/>
      <c r="DJ1070" s="156"/>
      <c r="DK1070" s="156"/>
      <c r="DL1070" s="156"/>
      <c r="DM1070" s="156"/>
      <c r="DN1070" s="156"/>
      <c r="DO1070" s="156"/>
      <c r="DP1070" s="156"/>
      <c r="DQ1070" s="156"/>
      <c r="DR1070" s="156"/>
      <c r="DS1070" s="156"/>
      <c r="DT1070" s="156"/>
      <c r="DU1070" s="156"/>
      <c r="DV1070" s="156"/>
      <c r="DW1070" s="156"/>
      <c r="DX1070" s="156"/>
      <c r="DY1070" s="156"/>
      <c r="DZ1070" s="156"/>
      <c r="EA1070" s="156"/>
      <c r="EB1070" s="156"/>
      <c r="EC1070" s="156"/>
      <c r="ED1070" s="156"/>
      <c r="EE1070" s="156"/>
      <c r="EF1070" s="156"/>
      <c r="EG1070" s="156"/>
      <c r="EH1070" s="156"/>
      <c r="EI1070" s="156"/>
      <c r="EJ1070" s="156"/>
      <c r="EK1070" s="156"/>
      <c r="EL1070" s="156"/>
      <c r="EM1070" s="156"/>
    </row>
    <row r="1071" spans="20:143" ht="10.5" customHeight="1">
      <c r="T1071" s="156"/>
      <c r="AZ1071" s="156"/>
      <c r="BA1071" s="156"/>
      <c r="BB1071" s="156"/>
      <c r="BC1071" s="156"/>
      <c r="BD1071" s="156"/>
      <c r="BE1071" s="156"/>
      <c r="BF1071" s="156"/>
      <c r="BG1071" s="156"/>
      <c r="BH1071" s="156"/>
      <c r="BI1071" s="156"/>
      <c r="BJ1071" s="156"/>
      <c r="BK1071" s="156"/>
      <c r="BL1071" s="156"/>
      <c r="BM1071" s="156"/>
      <c r="BN1071" s="156"/>
      <c r="BO1071" s="156"/>
      <c r="BP1071" s="156"/>
      <c r="BQ1071" s="156"/>
      <c r="BR1071" s="156"/>
      <c r="BS1071" s="156"/>
      <c r="BT1071" s="156"/>
      <c r="BU1071" s="156"/>
      <c r="BV1071" s="156"/>
      <c r="BW1071" s="156"/>
      <c r="BX1071" s="156"/>
      <c r="BY1071" s="156"/>
      <c r="BZ1071" s="156"/>
      <c r="CA1071" s="156"/>
      <c r="CB1071" s="156"/>
      <c r="CC1071" s="156"/>
      <c r="CD1071" s="156"/>
      <c r="CE1071" s="156"/>
      <c r="CF1071" s="156"/>
      <c r="CG1071" s="156"/>
      <c r="CH1071" s="156"/>
      <c r="CI1071" s="156"/>
      <c r="CJ1071" s="156"/>
      <c r="CK1071" s="156"/>
      <c r="CL1071" s="156"/>
      <c r="CM1071" s="156"/>
      <c r="CN1071" s="156"/>
      <c r="CO1071" s="156"/>
      <c r="CP1071" s="156"/>
      <c r="CQ1071" s="156"/>
      <c r="CR1071" s="156"/>
      <c r="CS1071" s="156"/>
      <c r="CT1071" s="156"/>
      <c r="CU1071" s="156"/>
      <c r="CV1071" s="156"/>
      <c r="CW1071" s="156"/>
      <c r="CX1071" s="156"/>
      <c r="CY1071" s="156"/>
      <c r="CZ1071" s="156"/>
      <c r="DA1071" s="156"/>
      <c r="DB1071" s="156"/>
      <c r="DC1071" s="156"/>
      <c r="DD1071" s="156"/>
      <c r="DE1071" s="156"/>
      <c r="DF1071" s="156"/>
      <c r="DG1071" s="156"/>
      <c r="DH1071" s="156"/>
      <c r="DI1071" s="156"/>
      <c r="DJ1071" s="156"/>
      <c r="DK1071" s="156"/>
      <c r="DL1071" s="156"/>
      <c r="DM1071" s="156"/>
      <c r="DN1071" s="156"/>
      <c r="DO1071" s="156"/>
      <c r="DP1071" s="156"/>
      <c r="DQ1071" s="156"/>
      <c r="DR1071" s="156"/>
      <c r="DS1071" s="156"/>
      <c r="DT1071" s="156"/>
      <c r="DU1071" s="156"/>
      <c r="DV1071" s="156"/>
      <c r="DW1071" s="156"/>
      <c r="DX1071" s="156"/>
      <c r="DY1071" s="156"/>
      <c r="DZ1071" s="156"/>
      <c r="EA1071" s="156"/>
      <c r="EB1071" s="156"/>
      <c r="EC1071" s="156"/>
      <c r="ED1071" s="156"/>
      <c r="EE1071" s="156"/>
      <c r="EF1071" s="156"/>
      <c r="EG1071" s="156"/>
      <c r="EH1071" s="156"/>
      <c r="EI1071" s="156"/>
      <c r="EJ1071" s="156"/>
      <c r="EK1071" s="156"/>
      <c r="EL1071" s="156"/>
      <c r="EM1071" s="156"/>
    </row>
    <row r="1072" spans="20:143" ht="10.5" customHeight="1">
      <c r="T1072" s="156"/>
      <c r="AZ1072" s="156"/>
      <c r="BA1072" s="156"/>
      <c r="BB1072" s="156"/>
      <c r="BC1072" s="156"/>
      <c r="BD1072" s="156"/>
      <c r="BE1072" s="156"/>
      <c r="BF1072" s="156"/>
      <c r="BG1072" s="156"/>
      <c r="BH1072" s="156"/>
      <c r="BI1072" s="156"/>
      <c r="BJ1072" s="156"/>
      <c r="BK1072" s="156"/>
      <c r="BL1072" s="156"/>
      <c r="BM1072" s="156"/>
      <c r="BN1072" s="156"/>
      <c r="BO1072" s="156"/>
      <c r="BP1072" s="156"/>
      <c r="BQ1072" s="156"/>
      <c r="BR1072" s="156"/>
      <c r="BS1072" s="156"/>
      <c r="BT1072" s="156"/>
      <c r="BU1072" s="156"/>
      <c r="BV1072" s="156"/>
      <c r="BW1072" s="156"/>
      <c r="BX1072" s="156"/>
      <c r="BY1072" s="156"/>
      <c r="BZ1072" s="156"/>
      <c r="CA1072" s="156"/>
      <c r="CB1072" s="156"/>
      <c r="CC1072" s="156"/>
      <c r="CD1072" s="156"/>
      <c r="CE1072" s="156"/>
      <c r="CF1072" s="156"/>
      <c r="CG1072" s="156"/>
      <c r="CH1072" s="156"/>
      <c r="CI1072" s="156"/>
      <c r="CJ1072" s="156"/>
      <c r="CK1072" s="156"/>
      <c r="CL1072" s="156"/>
      <c r="CM1072" s="156"/>
      <c r="CN1072" s="156"/>
      <c r="CO1072" s="156"/>
      <c r="CP1072" s="156"/>
      <c r="CQ1072" s="156"/>
      <c r="CR1072" s="156"/>
      <c r="CS1072" s="156"/>
      <c r="CT1072" s="156"/>
      <c r="CU1072" s="156"/>
      <c r="CV1072" s="156"/>
      <c r="CW1072" s="156"/>
      <c r="CX1072" s="156"/>
      <c r="CY1072" s="156"/>
      <c r="CZ1072" s="156"/>
      <c r="DA1072" s="156"/>
      <c r="DB1072" s="156"/>
      <c r="DC1072" s="156"/>
      <c r="DD1072" s="156"/>
      <c r="DE1072" s="156"/>
      <c r="DF1072" s="156"/>
      <c r="DG1072" s="156"/>
      <c r="DH1072" s="156"/>
      <c r="DI1072" s="156"/>
      <c r="DJ1072" s="156"/>
      <c r="DK1072" s="156"/>
      <c r="DL1072" s="156"/>
      <c r="DM1072" s="156"/>
      <c r="DN1072" s="156"/>
      <c r="DO1072" s="156"/>
      <c r="DP1072" s="156"/>
      <c r="DQ1072" s="156"/>
      <c r="DR1072" s="156"/>
      <c r="DS1072" s="156"/>
      <c r="DT1072" s="156"/>
      <c r="DU1072" s="156"/>
      <c r="DV1072" s="156"/>
      <c r="DW1072" s="156"/>
      <c r="DX1072" s="156"/>
      <c r="DY1072" s="156"/>
      <c r="DZ1072" s="156"/>
      <c r="EA1072" s="156"/>
      <c r="EB1072" s="156"/>
      <c r="EC1072" s="156"/>
      <c r="ED1072" s="156"/>
      <c r="EE1072" s="156"/>
      <c r="EF1072" s="156"/>
      <c r="EG1072" s="156"/>
      <c r="EH1072" s="156"/>
      <c r="EI1072" s="156"/>
      <c r="EJ1072" s="156"/>
      <c r="EK1072" s="156"/>
      <c r="EL1072" s="156"/>
      <c r="EM1072" s="156"/>
    </row>
    <row r="1073" spans="20:143" ht="10.5" customHeight="1">
      <c r="T1073" s="156"/>
      <c r="AZ1073" s="156"/>
      <c r="BA1073" s="156"/>
      <c r="BB1073" s="156"/>
      <c r="BC1073" s="156"/>
      <c r="BD1073" s="156"/>
      <c r="BE1073" s="156"/>
      <c r="BF1073" s="156"/>
      <c r="BG1073" s="156"/>
      <c r="BH1073" s="156"/>
      <c r="BI1073" s="156"/>
      <c r="BJ1073" s="156"/>
      <c r="BK1073" s="156"/>
      <c r="BL1073" s="156"/>
      <c r="BM1073" s="156"/>
      <c r="BN1073" s="156"/>
      <c r="BO1073" s="156"/>
      <c r="BP1073" s="156"/>
      <c r="BQ1073" s="156"/>
      <c r="BR1073" s="156"/>
      <c r="BS1073" s="156"/>
      <c r="BT1073" s="156"/>
      <c r="BU1073" s="156"/>
      <c r="BV1073" s="156"/>
      <c r="BW1073" s="156"/>
      <c r="BX1073" s="156"/>
      <c r="BY1073" s="156"/>
      <c r="BZ1073" s="156"/>
      <c r="CA1073" s="156"/>
      <c r="CB1073" s="156"/>
      <c r="CC1073" s="156"/>
      <c r="CD1073" s="156"/>
      <c r="CE1073" s="156"/>
      <c r="CF1073" s="156"/>
      <c r="CG1073" s="156"/>
      <c r="CH1073" s="156"/>
      <c r="CI1073" s="156"/>
      <c r="CJ1073" s="156"/>
      <c r="CK1073" s="156"/>
      <c r="CL1073" s="156"/>
      <c r="CM1073" s="156"/>
      <c r="CN1073" s="156"/>
      <c r="CO1073" s="156"/>
      <c r="CP1073" s="156"/>
      <c r="CQ1073" s="156"/>
      <c r="CR1073" s="156"/>
      <c r="CS1073" s="156"/>
      <c r="CT1073" s="156"/>
      <c r="CU1073" s="156"/>
      <c r="CV1073" s="156"/>
      <c r="CW1073" s="156"/>
      <c r="CX1073" s="156"/>
      <c r="CY1073" s="156"/>
      <c r="CZ1073" s="156"/>
      <c r="DA1073" s="156"/>
      <c r="DB1073" s="156"/>
      <c r="DC1073" s="156"/>
      <c r="DD1073" s="156"/>
      <c r="DE1073" s="156"/>
      <c r="DF1073" s="156"/>
      <c r="DG1073" s="156"/>
      <c r="DH1073" s="156"/>
      <c r="DI1073" s="156"/>
      <c r="DJ1073" s="156"/>
      <c r="DK1073" s="156"/>
      <c r="DL1073" s="156"/>
      <c r="DM1073" s="156"/>
      <c r="DN1073" s="156"/>
      <c r="DO1073" s="156"/>
      <c r="DP1073" s="156"/>
      <c r="DQ1073" s="156"/>
      <c r="DR1073" s="156"/>
      <c r="DS1073" s="156"/>
      <c r="DT1073" s="156"/>
      <c r="DU1073" s="156"/>
      <c r="DV1073" s="156"/>
      <c r="DW1073" s="156"/>
      <c r="DX1073" s="156"/>
      <c r="DY1073" s="156"/>
      <c r="DZ1073" s="156"/>
      <c r="EA1073" s="156"/>
      <c r="EB1073" s="156"/>
      <c r="EC1073" s="156"/>
      <c r="ED1073" s="156"/>
      <c r="EE1073" s="156"/>
      <c r="EF1073" s="156"/>
      <c r="EG1073" s="156"/>
      <c r="EH1073" s="156"/>
      <c r="EI1073" s="156"/>
      <c r="EJ1073" s="156"/>
      <c r="EK1073" s="156"/>
      <c r="EL1073" s="156"/>
      <c r="EM1073" s="156"/>
    </row>
    <row r="1074" spans="20:143" ht="10.5" customHeight="1">
      <c r="T1074" s="156"/>
      <c r="AZ1074" s="156"/>
      <c r="BA1074" s="156"/>
      <c r="BB1074" s="156"/>
      <c r="BC1074" s="156"/>
      <c r="BD1074" s="156"/>
      <c r="BE1074" s="156"/>
      <c r="BF1074" s="156"/>
      <c r="BG1074" s="156"/>
      <c r="BH1074" s="156"/>
      <c r="BI1074" s="156"/>
      <c r="BJ1074" s="156"/>
      <c r="BK1074" s="156"/>
      <c r="BL1074" s="156"/>
      <c r="BM1074" s="156"/>
      <c r="BN1074" s="156"/>
      <c r="BO1074" s="156"/>
      <c r="BP1074" s="156"/>
      <c r="BQ1074" s="156"/>
      <c r="BR1074" s="156"/>
      <c r="BS1074" s="156"/>
      <c r="BT1074" s="156"/>
      <c r="BU1074" s="156"/>
      <c r="BV1074" s="156"/>
      <c r="BW1074" s="156"/>
      <c r="BX1074" s="156"/>
      <c r="BY1074" s="156"/>
      <c r="BZ1074" s="156"/>
      <c r="CA1074" s="156"/>
      <c r="CB1074" s="156"/>
      <c r="CC1074" s="156"/>
      <c r="CD1074" s="156"/>
      <c r="CE1074" s="156"/>
      <c r="CF1074" s="156"/>
      <c r="CG1074" s="156"/>
      <c r="CH1074" s="156"/>
      <c r="CI1074" s="156"/>
      <c r="CJ1074" s="156"/>
      <c r="CK1074" s="156"/>
      <c r="CL1074" s="156"/>
      <c r="CM1074" s="156"/>
      <c r="CN1074" s="156"/>
      <c r="CO1074" s="156"/>
      <c r="CP1074" s="156"/>
      <c r="CQ1074" s="156"/>
      <c r="CR1074" s="156"/>
      <c r="CS1074" s="156"/>
      <c r="CT1074" s="156"/>
      <c r="CU1074" s="156"/>
      <c r="CV1074" s="156"/>
      <c r="CW1074" s="156"/>
      <c r="CX1074" s="156"/>
      <c r="CY1074" s="156"/>
      <c r="CZ1074" s="156"/>
      <c r="DA1074" s="156"/>
      <c r="DB1074" s="156"/>
      <c r="DC1074" s="156"/>
      <c r="DD1074" s="156"/>
      <c r="DE1074" s="156"/>
      <c r="DF1074" s="156"/>
      <c r="DG1074" s="156"/>
      <c r="DH1074" s="156"/>
      <c r="DI1074" s="156"/>
      <c r="DJ1074" s="156"/>
      <c r="DK1074" s="156"/>
      <c r="DL1074" s="156"/>
      <c r="DM1074" s="156"/>
      <c r="DN1074" s="156"/>
      <c r="DO1074" s="156"/>
      <c r="DP1074" s="156"/>
      <c r="DQ1074" s="156"/>
      <c r="DR1074" s="156"/>
      <c r="DS1074" s="156"/>
      <c r="DT1074" s="156"/>
      <c r="DU1074" s="156"/>
      <c r="DV1074" s="156"/>
      <c r="DW1074" s="156"/>
      <c r="DX1074" s="156"/>
      <c r="DY1074" s="156"/>
      <c r="DZ1074" s="156"/>
      <c r="EA1074" s="156"/>
      <c r="EB1074" s="156"/>
      <c r="EC1074" s="156"/>
      <c r="ED1074" s="156"/>
      <c r="EE1074" s="156"/>
      <c r="EF1074" s="156"/>
      <c r="EG1074" s="156"/>
      <c r="EH1074" s="156"/>
      <c r="EI1074" s="156"/>
      <c r="EJ1074" s="156"/>
      <c r="EK1074" s="156"/>
      <c r="EL1074" s="156"/>
      <c r="EM1074" s="156"/>
    </row>
    <row r="1075" spans="20:143" ht="10.5" customHeight="1">
      <c r="T1075" s="156"/>
      <c r="AZ1075" s="156"/>
      <c r="BA1075" s="156"/>
      <c r="BB1075" s="156"/>
      <c r="BC1075" s="156"/>
      <c r="BD1075" s="156"/>
      <c r="BE1075" s="156"/>
      <c r="BF1075" s="156"/>
      <c r="BG1075" s="156"/>
      <c r="BH1075" s="156"/>
      <c r="BI1075" s="156"/>
      <c r="BJ1075" s="156"/>
      <c r="BK1075" s="156"/>
      <c r="BL1075" s="156"/>
      <c r="BM1075" s="156"/>
      <c r="BN1075" s="156"/>
      <c r="BO1075" s="156"/>
      <c r="BP1075" s="156"/>
      <c r="BQ1075" s="156"/>
      <c r="BR1075" s="156"/>
      <c r="BS1075" s="156"/>
      <c r="BT1075" s="156"/>
      <c r="BU1075" s="156"/>
      <c r="BV1075" s="156"/>
      <c r="BW1075" s="156"/>
      <c r="BX1075" s="156"/>
      <c r="BY1075" s="156"/>
      <c r="BZ1075" s="156"/>
      <c r="CA1075" s="156"/>
      <c r="CB1075" s="156"/>
      <c r="CC1075" s="156"/>
      <c r="CD1075" s="156"/>
      <c r="CE1075" s="156"/>
      <c r="CF1075" s="156"/>
      <c r="CG1075" s="156"/>
      <c r="CH1075" s="156"/>
      <c r="CI1075" s="156"/>
      <c r="CJ1075" s="156"/>
      <c r="CK1075" s="156"/>
      <c r="CL1075" s="156"/>
      <c r="CM1075" s="156"/>
      <c r="CN1075" s="156"/>
      <c r="CO1075" s="156"/>
      <c r="CP1075" s="156"/>
      <c r="CQ1075" s="156"/>
      <c r="CR1075" s="156"/>
      <c r="CS1075" s="156"/>
      <c r="CT1075" s="156"/>
      <c r="CU1075" s="156"/>
      <c r="CV1075" s="156"/>
      <c r="CW1075" s="156"/>
      <c r="CX1075" s="156"/>
      <c r="CY1075" s="156"/>
      <c r="CZ1075" s="156"/>
      <c r="DA1075" s="156"/>
      <c r="DB1075" s="156"/>
      <c r="DC1075" s="156"/>
      <c r="DD1075" s="156"/>
      <c r="DE1075" s="156"/>
      <c r="DF1075" s="156"/>
      <c r="DG1075" s="156"/>
      <c r="DH1075" s="156"/>
      <c r="DI1075" s="156"/>
      <c r="DJ1075" s="156"/>
      <c r="DK1075" s="156"/>
      <c r="DL1075" s="156"/>
      <c r="DM1075" s="156"/>
      <c r="DN1075" s="156"/>
      <c r="DO1075" s="156"/>
      <c r="DP1075" s="156"/>
      <c r="DQ1075" s="156"/>
      <c r="DR1075" s="156"/>
      <c r="DS1075" s="156"/>
      <c r="DT1075" s="156"/>
      <c r="DU1075" s="156"/>
      <c r="DV1075" s="156"/>
      <c r="DW1075" s="156"/>
      <c r="DX1075" s="156"/>
      <c r="DY1075" s="156"/>
      <c r="DZ1075" s="156"/>
      <c r="EA1075" s="156"/>
      <c r="EB1075" s="156"/>
      <c r="EC1075" s="156"/>
      <c r="ED1075" s="156"/>
      <c r="EE1075" s="156"/>
      <c r="EF1075" s="156"/>
      <c r="EG1075" s="156"/>
      <c r="EH1075" s="156"/>
      <c r="EI1075" s="156"/>
      <c r="EJ1075" s="156"/>
      <c r="EK1075" s="156"/>
      <c r="EL1075" s="156"/>
      <c r="EM1075" s="156"/>
    </row>
    <row r="1076" spans="20:143" ht="10.5" customHeight="1">
      <c r="T1076" s="156"/>
      <c r="AZ1076" s="156"/>
      <c r="BA1076" s="156"/>
      <c r="BB1076" s="156"/>
      <c r="BC1076" s="156"/>
      <c r="BD1076" s="156"/>
      <c r="BE1076" s="156"/>
      <c r="BF1076" s="156"/>
      <c r="BG1076" s="156"/>
      <c r="BH1076" s="156"/>
      <c r="BI1076" s="156"/>
      <c r="BJ1076" s="156"/>
      <c r="BK1076" s="156"/>
      <c r="BL1076" s="156"/>
      <c r="BM1076" s="156"/>
      <c r="BN1076" s="156"/>
      <c r="BO1076" s="156"/>
      <c r="BP1076" s="156"/>
      <c r="BQ1076" s="156"/>
      <c r="BR1076" s="156"/>
      <c r="BS1076" s="156"/>
      <c r="BT1076" s="156"/>
      <c r="BU1076" s="156"/>
      <c r="BV1076" s="156"/>
      <c r="BW1076" s="156"/>
      <c r="BX1076" s="156"/>
      <c r="BY1076" s="156"/>
      <c r="BZ1076" s="156"/>
      <c r="CA1076" s="156"/>
      <c r="CB1076" s="156"/>
      <c r="CC1076" s="156"/>
      <c r="CD1076" s="156"/>
      <c r="CE1076" s="156"/>
      <c r="CF1076" s="156"/>
      <c r="CG1076" s="156"/>
      <c r="CH1076" s="156"/>
      <c r="CI1076" s="156"/>
      <c r="CJ1076" s="156"/>
      <c r="CK1076" s="156"/>
      <c r="CL1076" s="156"/>
      <c r="CM1076" s="156"/>
      <c r="CN1076" s="156"/>
      <c r="CO1076" s="156"/>
      <c r="CP1076" s="156"/>
      <c r="CQ1076" s="156"/>
      <c r="CR1076" s="156"/>
      <c r="CS1076" s="156"/>
      <c r="CT1076" s="156"/>
      <c r="CU1076" s="156"/>
      <c r="CV1076" s="156"/>
      <c r="CW1076" s="156"/>
      <c r="CX1076" s="156"/>
      <c r="CY1076" s="156"/>
      <c r="CZ1076" s="156"/>
      <c r="DA1076" s="156"/>
      <c r="DB1076" s="156"/>
      <c r="DC1076" s="156"/>
      <c r="DD1076" s="156"/>
      <c r="DE1076" s="156"/>
      <c r="DF1076" s="156"/>
      <c r="DG1076" s="156"/>
      <c r="DH1076" s="156"/>
      <c r="DI1076" s="156"/>
      <c r="DJ1076" s="156"/>
      <c r="DK1076" s="156"/>
      <c r="DL1076" s="156"/>
      <c r="DM1076" s="156"/>
      <c r="DN1076" s="156"/>
      <c r="DO1076" s="156"/>
      <c r="DP1076" s="156"/>
      <c r="DQ1076" s="156"/>
      <c r="DR1076" s="156"/>
      <c r="DS1076" s="156"/>
      <c r="DT1076" s="156"/>
      <c r="DU1076" s="156"/>
      <c r="DV1076" s="156"/>
      <c r="DW1076" s="156"/>
      <c r="DX1076" s="156"/>
      <c r="DY1076" s="156"/>
      <c r="DZ1076" s="156"/>
      <c r="EA1076" s="156"/>
      <c r="EB1076" s="156"/>
      <c r="EC1076" s="156"/>
      <c r="ED1076" s="156"/>
      <c r="EE1076" s="156"/>
      <c r="EF1076" s="156"/>
      <c r="EG1076" s="156"/>
      <c r="EH1076" s="156"/>
      <c r="EI1076" s="156"/>
      <c r="EJ1076" s="156"/>
      <c r="EK1076" s="156"/>
      <c r="EL1076" s="156"/>
      <c r="EM1076" s="156"/>
    </row>
    <row r="1077" spans="20:143" ht="10.5" customHeight="1">
      <c r="T1077" s="156"/>
      <c r="AZ1077" s="156"/>
      <c r="BA1077" s="156"/>
      <c r="BB1077" s="156"/>
      <c r="BC1077" s="156"/>
      <c r="BD1077" s="156"/>
      <c r="BE1077" s="156"/>
      <c r="BF1077" s="156"/>
      <c r="BG1077" s="156"/>
      <c r="BH1077" s="156"/>
      <c r="BI1077" s="156"/>
      <c r="BJ1077" s="156"/>
      <c r="BK1077" s="156"/>
      <c r="BL1077" s="156"/>
      <c r="BM1077" s="156"/>
      <c r="BN1077" s="156"/>
      <c r="BO1077" s="156"/>
      <c r="BP1077" s="156"/>
      <c r="BQ1077" s="156"/>
      <c r="BR1077" s="156"/>
      <c r="BS1077" s="156"/>
      <c r="BT1077" s="156"/>
      <c r="BU1077" s="156"/>
      <c r="BV1077" s="156"/>
      <c r="BW1077" s="156"/>
      <c r="BX1077" s="156"/>
      <c r="BY1077" s="156"/>
      <c r="BZ1077" s="156"/>
      <c r="CA1077" s="156"/>
      <c r="CB1077" s="156"/>
      <c r="CC1077" s="156"/>
      <c r="CD1077" s="156"/>
      <c r="CE1077" s="156"/>
      <c r="CF1077" s="156"/>
      <c r="CG1077" s="156"/>
      <c r="CH1077" s="156"/>
      <c r="CI1077" s="156"/>
      <c r="CJ1077" s="156"/>
      <c r="CK1077" s="156"/>
      <c r="CL1077" s="156"/>
      <c r="CM1077" s="156"/>
      <c r="CN1077" s="156"/>
      <c r="CO1077" s="156"/>
      <c r="CP1077" s="156"/>
      <c r="CQ1077" s="156"/>
      <c r="CR1077" s="156"/>
      <c r="CS1077" s="156"/>
      <c r="CT1077" s="156"/>
      <c r="CU1077" s="156"/>
      <c r="CV1077" s="156"/>
      <c r="CW1077" s="156"/>
      <c r="CX1077" s="156"/>
      <c r="CY1077" s="156"/>
      <c r="CZ1077" s="156"/>
      <c r="DA1077" s="156"/>
      <c r="DB1077" s="156"/>
      <c r="DC1077" s="156"/>
      <c r="DD1077" s="156"/>
      <c r="DE1077" s="156"/>
      <c r="DF1077" s="156"/>
      <c r="DG1077" s="156"/>
      <c r="DH1077" s="156"/>
      <c r="DI1077" s="156"/>
      <c r="DJ1077" s="156"/>
      <c r="DK1077" s="156"/>
      <c r="DL1077" s="156"/>
      <c r="DM1077" s="156"/>
      <c r="DN1077" s="156"/>
      <c r="DO1077" s="156"/>
      <c r="DP1077" s="156"/>
      <c r="DQ1077" s="156"/>
      <c r="DR1077" s="156"/>
      <c r="DS1077" s="156"/>
      <c r="DT1077" s="156"/>
      <c r="DU1077" s="156"/>
      <c r="DV1077" s="156"/>
      <c r="DW1077" s="156"/>
      <c r="DX1077" s="156"/>
      <c r="DY1077" s="156"/>
      <c r="DZ1077" s="156"/>
      <c r="EA1077" s="156"/>
      <c r="EB1077" s="156"/>
      <c r="EC1077" s="156"/>
      <c r="ED1077" s="156"/>
      <c r="EE1077" s="156"/>
      <c r="EF1077" s="156"/>
      <c r="EG1077" s="156"/>
      <c r="EH1077" s="156"/>
      <c r="EI1077" s="156"/>
      <c r="EJ1077" s="156"/>
      <c r="EK1077" s="156"/>
      <c r="EL1077" s="156"/>
      <c r="EM1077" s="156"/>
    </row>
    <row r="1078" spans="20:143" ht="10.5" customHeight="1">
      <c r="T1078" s="156"/>
      <c r="AZ1078" s="156"/>
      <c r="BA1078" s="156"/>
      <c r="BB1078" s="156"/>
      <c r="BC1078" s="156"/>
      <c r="BD1078" s="156"/>
      <c r="BE1078" s="156"/>
      <c r="BF1078" s="156"/>
      <c r="BG1078" s="156"/>
      <c r="BH1078" s="156"/>
      <c r="BI1078" s="156"/>
      <c r="BJ1078" s="156"/>
      <c r="BK1078" s="156"/>
      <c r="BL1078" s="156"/>
      <c r="BM1078" s="156"/>
      <c r="BN1078" s="156"/>
      <c r="BO1078" s="156"/>
      <c r="BP1078" s="156"/>
      <c r="BQ1078" s="156"/>
      <c r="BR1078" s="156"/>
      <c r="BS1078" s="156"/>
      <c r="BT1078" s="156"/>
      <c r="BU1078" s="156"/>
      <c r="BV1078" s="156"/>
      <c r="BW1078" s="156"/>
      <c r="BX1078" s="156"/>
      <c r="BY1078" s="156"/>
      <c r="BZ1078" s="156"/>
      <c r="CA1078" s="156"/>
      <c r="CB1078" s="156"/>
      <c r="CC1078" s="156"/>
      <c r="CD1078" s="156"/>
      <c r="CE1078" s="156"/>
      <c r="CF1078" s="156"/>
      <c r="CG1078" s="156"/>
      <c r="CH1078" s="156"/>
      <c r="CI1078" s="156"/>
      <c r="CJ1078" s="156"/>
      <c r="CK1078" s="156"/>
      <c r="CL1078" s="156"/>
      <c r="CM1078" s="156"/>
      <c r="CN1078" s="156"/>
      <c r="CO1078" s="156"/>
      <c r="CP1078" s="156"/>
      <c r="CQ1078" s="156"/>
      <c r="CR1078" s="156"/>
      <c r="CS1078" s="156"/>
      <c r="CT1078" s="156"/>
      <c r="CU1078" s="156"/>
      <c r="CV1078" s="156"/>
      <c r="CW1078" s="156"/>
      <c r="CX1078" s="156"/>
      <c r="CY1078" s="156"/>
      <c r="CZ1078" s="156"/>
      <c r="DA1078" s="156"/>
      <c r="DB1078" s="156"/>
      <c r="DC1078" s="156"/>
      <c r="DD1078" s="156"/>
      <c r="DE1078" s="156"/>
      <c r="DF1078" s="156"/>
      <c r="DG1078" s="156"/>
      <c r="DH1078" s="156"/>
      <c r="DI1078" s="156"/>
      <c r="DJ1078" s="156"/>
      <c r="DK1078" s="156"/>
      <c r="DL1078" s="156"/>
      <c r="DM1078" s="156"/>
      <c r="DN1078" s="156"/>
      <c r="DO1078" s="156"/>
      <c r="DP1078" s="156"/>
      <c r="DQ1078" s="156"/>
      <c r="DR1078" s="156"/>
      <c r="DS1078" s="156"/>
      <c r="DT1078" s="156"/>
      <c r="DU1078" s="156"/>
      <c r="DV1078" s="156"/>
      <c r="DW1078" s="156"/>
      <c r="DX1078" s="156"/>
      <c r="DY1078" s="156"/>
      <c r="DZ1078" s="156"/>
      <c r="EA1078" s="156"/>
      <c r="EB1078" s="156"/>
      <c r="EC1078" s="156"/>
      <c r="ED1078" s="156"/>
      <c r="EE1078" s="156"/>
      <c r="EF1078" s="156"/>
      <c r="EG1078" s="156"/>
      <c r="EH1078" s="156"/>
      <c r="EI1078" s="156"/>
      <c r="EJ1078" s="156"/>
      <c r="EK1078" s="156"/>
      <c r="EL1078" s="156"/>
      <c r="EM1078" s="156"/>
    </row>
    <row r="1079" spans="20:143" ht="10.5" customHeight="1">
      <c r="T1079" s="156"/>
      <c r="AZ1079" s="156"/>
      <c r="BA1079" s="156"/>
      <c r="BB1079" s="156"/>
      <c r="BC1079" s="156"/>
      <c r="BD1079" s="156"/>
      <c r="BE1079" s="156"/>
      <c r="BF1079" s="156"/>
      <c r="BG1079" s="156"/>
      <c r="BH1079" s="156"/>
      <c r="BI1079" s="156"/>
      <c r="BJ1079" s="156"/>
      <c r="BK1079" s="156"/>
      <c r="BL1079" s="156"/>
      <c r="BM1079" s="156"/>
      <c r="BN1079" s="156"/>
      <c r="BO1079" s="156"/>
      <c r="BP1079" s="156"/>
      <c r="BQ1079" s="156"/>
      <c r="BR1079" s="156"/>
      <c r="BS1079" s="156"/>
      <c r="BT1079" s="156"/>
      <c r="BU1079" s="156"/>
      <c r="BV1079" s="156"/>
      <c r="BW1079" s="156"/>
      <c r="BX1079" s="156"/>
      <c r="BY1079" s="156"/>
      <c r="BZ1079" s="156"/>
      <c r="CA1079" s="156"/>
      <c r="CB1079" s="156"/>
      <c r="CC1079" s="156"/>
      <c r="CD1079" s="156"/>
      <c r="CE1079" s="156"/>
      <c r="CF1079" s="156"/>
      <c r="CG1079" s="156"/>
      <c r="CH1079" s="156"/>
      <c r="CI1079" s="156"/>
      <c r="CJ1079" s="156"/>
      <c r="CK1079" s="156"/>
      <c r="CL1079" s="156"/>
      <c r="CM1079" s="156"/>
      <c r="CN1079" s="156"/>
      <c r="CO1079" s="156"/>
      <c r="CP1079" s="156"/>
      <c r="CQ1079" s="156"/>
      <c r="CR1079" s="156"/>
      <c r="CS1079" s="156"/>
      <c r="CT1079" s="156"/>
      <c r="CU1079" s="156"/>
      <c r="CV1079" s="156"/>
      <c r="CW1079" s="156"/>
      <c r="CX1079" s="156"/>
      <c r="CY1079" s="156"/>
      <c r="CZ1079" s="156"/>
      <c r="DA1079" s="156"/>
      <c r="DB1079" s="156"/>
      <c r="DC1079" s="156"/>
      <c r="DD1079" s="156"/>
      <c r="DE1079" s="156"/>
      <c r="DF1079" s="156"/>
      <c r="DG1079" s="156"/>
      <c r="DH1079" s="156"/>
      <c r="DI1079" s="156"/>
      <c r="DJ1079" s="156"/>
      <c r="DK1079" s="156"/>
      <c r="DL1079" s="156"/>
      <c r="DM1079" s="156"/>
      <c r="DN1079" s="156"/>
      <c r="DO1079" s="156"/>
      <c r="DP1079" s="156"/>
      <c r="DQ1079" s="156"/>
      <c r="DR1079" s="156"/>
      <c r="DS1079" s="156"/>
      <c r="DT1079" s="156"/>
      <c r="DU1079" s="156"/>
      <c r="DV1079" s="156"/>
      <c r="DW1079" s="156"/>
      <c r="DX1079" s="156"/>
      <c r="DY1079" s="156"/>
      <c r="DZ1079" s="156"/>
      <c r="EA1079" s="156"/>
      <c r="EB1079" s="156"/>
      <c r="EC1079" s="156"/>
      <c r="ED1079" s="156"/>
      <c r="EE1079" s="156"/>
      <c r="EF1079" s="156"/>
      <c r="EG1079" s="156"/>
      <c r="EH1079" s="156"/>
      <c r="EI1079" s="156"/>
      <c r="EJ1079" s="156"/>
      <c r="EK1079" s="156"/>
      <c r="EL1079" s="156"/>
      <c r="EM1079" s="156"/>
    </row>
    <row r="1080" spans="20:143" ht="10.5" customHeight="1">
      <c r="T1080" s="156"/>
      <c r="AZ1080" s="156"/>
      <c r="BA1080" s="156"/>
      <c r="BB1080" s="156"/>
      <c r="BC1080" s="156"/>
      <c r="BD1080" s="156"/>
      <c r="BE1080" s="156"/>
      <c r="BF1080" s="156"/>
      <c r="BG1080" s="156"/>
      <c r="BH1080" s="156"/>
      <c r="BI1080" s="156"/>
      <c r="BJ1080" s="156"/>
      <c r="BK1080" s="156"/>
      <c r="BL1080" s="156"/>
      <c r="BM1080" s="156"/>
      <c r="BN1080" s="156"/>
      <c r="BO1080" s="156"/>
      <c r="BP1080" s="156"/>
      <c r="BQ1080" s="156"/>
      <c r="BR1080" s="156"/>
      <c r="BS1080" s="156"/>
      <c r="BT1080" s="156"/>
      <c r="BU1080" s="156"/>
      <c r="BV1080" s="156"/>
      <c r="BW1080" s="156"/>
      <c r="BX1080" s="156"/>
      <c r="BY1080" s="156"/>
      <c r="BZ1080" s="156"/>
      <c r="CA1080" s="156"/>
      <c r="CB1080" s="156"/>
      <c r="CC1080" s="156"/>
      <c r="CD1080" s="156"/>
      <c r="CE1080" s="156"/>
      <c r="CF1080" s="156"/>
      <c r="CG1080" s="156"/>
      <c r="CH1080" s="156"/>
      <c r="CI1080" s="156"/>
      <c r="CJ1080" s="156"/>
      <c r="CK1080" s="156"/>
      <c r="CL1080" s="156"/>
      <c r="CM1080" s="156"/>
      <c r="CN1080" s="156"/>
      <c r="CO1080" s="156"/>
      <c r="CP1080" s="156"/>
      <c r="CQ1080" s="156"/>
      <c r="CR1080" s="156"/>
      <c r="CS1080" s="156"/>
      <c r="CT1080" s="156"/>
      <c r="CU1080" s="156"/>
      <c r="CV1080" s="156"/>
      <c r="CW1080" s="156"/>
      <c r="CX1080" s="156"/>
      <c r="CY1080" s="156"/>
      <c r="CZ1080" s="156"/>
      <c r="DA1080" s="156"/>
      <c r="DB1080" s="156"/>
      <c r="DC1080" s="156"/>
      <c r="DD1080" s="156"/>
      <c r="DE1080" s="156"/>
      <c r="DF1080" s="156"/>
      <c r="DG1080" s="156"/>
      <c r="DH1080" s="156"/>
      <c r="DI1080" s="156"/>
      <c r="DJ1080" s="156"/>
      <c r="DK1080" s="156"/>
      <c r="DL1080" s="156"/>
      <c r="DM1080" s="156"/>
      <c r="DN1080" s="156"/>
      <c r="DO1080" s="156"/>
      <c r="DP1080" s="156"/>
      <c r="DQ1080" s="156"/>
      <c r="DR1080" s="156"/>
      <c r="DS1080" s="156"/>
      <c r="DT1080" s="156"/>
      <c r="DU1080" s="156"/>
      <c r="DV1080" s="156"/>
      <c r="DW1080" s="156"/>
      <c r="DX1080" s="156"/>
      <c r="DY1080" s="156"/>
      <c r="DZ1080" s="156"/>
      <c r="EA1080" s="156"/>
      <c r="EB1080" s="156"/>
      <c r="EC1080" s="156"/>
      <c r="ED1080" s="156"/>
      <c r="EE1080" s="156"/>
      <c r="EF1080" s="156"/>
      <c r="EG1080" s="156"/>
      <c r="EH1080" s="156"/>
      <c r="EI1080" s="156"/>
      <c r="EJ1080" s="156"/>
      <c r="EK1080" s="156"/>
      <c r="EL1080" s="156"/>
      <c r="EM1080" s="156"/>
    </row>
    <row r="1081" spans="20:143" ht="10.5" customHeight="1">
      <c r="T1081" s="156"/>
      <c r="AZ1081" s="156"/>
      <c r="BA1081" s="156"/>
      <c r="BB1081" s="156"/>
      <c r="BC1081" s="156"/>
      <c r="BD1081" s="156"/>
      <c r="BE1081" s="156"/>
      <c r="BF1081" s="156"/>
      <c r="BG1081" s="156"/>
      <c r="BH1081" s="156"/>
      <c r="BI1081" s="156"/>
      <c r="BJ1081" s="156"/>
      <c r="BK1081" s="156"/>
      <c r="BL1081" s="156"/>
      <c r="BM1081" s="156"/>
      <c r="BN1081" s="156"/>
      <c r="BO1081" s="156"/>
      <c r="BP1081" s="156"/>
      <c r="BQ1081" s="156"/>
      <c r="BR1081" s="156"/>
      <c r="BS1081" s="156"/>
      <c r="BT1081" s="156"/>
      <c r="BU1081" s="156"/>
      <c r="BV1081" s="156"/>
      <c r="BW1081" s="156"/>
      <c r="BX1081" s="156"/>
      <c r="BY1081" s="156"/>
      <c r="BZ1081" s="156"/>
      <c r="CA1081" s="156"/>
      <c r="CB1081" s="156"/>
      <c r="CC1081" s="156"/>
      <c r="CD1081" s="156"/>
      <c r="CE1081" s="156"/>
      <c r="CF1081" s="156"/>
      <c r="CG1081" s="156"/>
      <c r="CH1081" s="156"/>
      <c r="CI1081" s="156"/>
      <c r="CJ1081" s="156"/>
      <c r="CK1081" s="156"/>
      <c r="CL1081" s="156"/>
      <c r="CM1081" s="156"/>
      <c r="CN1081" s="156"/>
      <c r="CO1081" s="156"/>
      <c r="CP1081" s="156"/>
      <c r="CQ1081" s="156"/>
      <c r="CR1081" s="156"/>
      <c r="CS1081" s="156"/>
      <c r="CT1081" s="156"/>
      <c r="CU1081" s="156"/>
      <c r="CV1081" s="156"/>
      <c r="CW1081" s="156"/>
      <c r="CX1081" s="156"/>
      <c r="CY1081" s="156"/>
      <c r="CZ1081" s="156"/>
      <c r="DA1081" s="156"/>
      <c r="DB1081" s="156"/>
      <c r="DC1081" s="156"/>
      <c r="DD1081" s="156"/>
      <c r="DE1081" s="156"/>
      <c r="DF1081" s="156"/>
      <c r="DG1081" s="156"/>
      <c r="DH1081" s="156"/>
      <c r="DI1081" s="156"/>
      <c r="DJ1081" s="156"/>
      <c r="DK1081" s="156"/>
      <c r="DL1081" s="156"/>
      <c r="DM1081" s="156"/>
      <c r="DN1081" s="156"/>
      <c r="DO1081" s="156"/>
      <c r="DP1081" s="156"/>
      <c r="DQ1081" s="156"/>
      <c r="DR1081" s="156"/>
      <c r="DS1081" s="156"/>
      <c r="DT1081" s="156"/>
      <c r="DU1081" s="156"/>
      <c r="DV1081" s="156"/>
      <c r="DW1081" s="156"/>
      <c r="DX1081" s="156"/>
      <c r="DY1081" s="156"/>
      <c r="DZ1081" s="156"/>
      <c r="EA1081" s="156"/>
      <c r="EB1081" s="156"/>
      <c r="EC1081" s="156"/>
      <c r="ED1081" s="156"/>
      <c r="EE1081" s="156"/>
      <c r="EF1081" s="156"/>
      <c r="EG1081" s="156"/>
      <c r="EH1081" s="156"/>
      <c r="EI1081" s="156"/>
      <c r="EJ1081" s="156"/>
      <c r="EK1081" s="156"/>
      <c r="EL1081" s="156"/>
      <c r="EM1081" s="156"/>
    </row>
    <row r="1082" spans="20:143" ht="10.5" customHeight="1">
      <c r="T1082" s="156"/>
      <c r="AZ1082" s="156"/>
      <c r="BA1082" s="156"/>
      <c r="BB1082" s="156"/>
      <c r="BC1082" s="156"/>
      <c r="BD1082" s="156"/>
      <c r="BE1082" s="156"/>
      <c r="BF1082" s="156"/>
      <c r="BG1082" s="156"/>
      <c r="BH1082" s="156"/>
      <c r="BI1082" s="156"/>
      <c r="BJ1082" s="156"/>
      <c r="BK1082" s="156"/>
      <c r="BL1082" s="156"/>
      <c r="BM1082" s="156"/>
      <c r="BN1082" s="156"/>
      <c r="BO1082" s="156"/>
      <c r="BP1082" s="156"/>
      <c r="BQ1082" s="156"/>
      <c r="BR1082" s="156"/>
      <c r="BS1082" s="156"/>
      <c r="BT1082" s="156"/>
      <c r="BU1082" s="156"/>
      <c r="BV1082" s="156"/>
      <c r="BW1082" s="156"/>
      <c r="BX1082" s="156"/>
      <c r="BY1082" s="156"/>
      <c r="BZ1082" s="156"/>
      <c r="CA1082" s="156"/>
      <c r="CB1082" s="156"/>
      <c r="CC1082" s="156"/>
      <c r="CD1082" s="156"/>
      <c r="CE1082" s="156"/>
      <c r="CF1082" s="156"/>
      <c r="CG1082" s="156"/>
      <c r="CH1082" s="156"/>
      <c r="CI1082" s="156"/>
      <c r="CJ1082" s="156"/>
      <c r="CK1082" s="156"/>
      <c r="CL1082" s="156"/>
      <c r="CM1082" s="156"/>
      <c r="CN1082" s="156"/>
      <c r="CO1082" s="156"/>
      <c r="CP1082" s="156"/>
      <c r="CQ1082" s="156"/>
      <c r="CR1082" s="156"/>
      <c r="CS1082" s="156"/>
      <c r="CT1082" s="156"/>
      <c r="CU1082" s="156"/>
      <c r="CV1082" s="156"/>
      <c r="CW1082" s="156"/>
      <c r="CX1082" s="156"/>
      <c r="CY1082" s="156"/>
      <c r="CZ1082" s="156"/>
      <c r="DA1082" s="156"/>
      <c r="DB1082" s="156"/>
      <c r="DC1082" s="156"/>
      <c r="DD1082" s="156"/>
      <c r="DE1082" s="156"/>
      <c r="DF1082" s="156"/>
      <c r="DG1082" s="156"/>
      <c r="DH1082" s="156"/>
      <c r="DI1082" s="156"/>
      <c r="DJ1082" s="156"/>
      <c r="DK1082" s="156"/>
      <c r="DL1082" s="156"/>
      <c r="DM1082" s="156"/>
      <c r="DN1082" s="156"/>
      <c r="DO1082" s="156"/>
      <c r="DP1082" s="156"/>
      <c r="DQ1082" s="156"/>
      <c r="DR1082" s="156"/>
      <c r="DS1082" s="156"/>
      <c r="DT1082" s="156"/>
      <c r="DU1082" s="156"/>
      <c r="DV1082" s="156"/>
      <c r="DW1082" s="156"/>
      <c r="DX1082" s="156"/>
      <c r="DY1082" s="156"/>
      <c r="DZ1082" s="156"/>
      <c r="EA1082" s="156"/>
      <c r="EB1082" s="156"/>
      <c r="EC1082" s="156"/>
      <c r="ED1082" s="156"/>
      <c r="EE1082" s="156"/>
      <c r="EF1082" s="156"/>
      <c r="EG1082" s="156"/>
      <c r="EH1082" s="156"/>
      <c r="EI1082" s="156"/>
      <c r="EJ1082" s="156"/>
      <c r="EK1082" s="156"/>
      <c r="EL1082" s="156"/>
      <c r="EM1082" s="156"/>
    </row>
    <row r="1083" spans="20:143" ht="10.5" customHeight="1">
      <c r="T1083" s="156"/>
      <c r="AZ1083" s="156"/>
      <c r="BA1083" s="156"/>
      <c r="BB1083" s="156"/>
      <c r="BC1083" s="156"/>
      <c r="BD1083" s="156"/>
      <c r="BE1083" s="156"/>
      <c r="BF1083" s="156"/>
      <c r="BG1083" s="156"/>
      <c r="BH1083" s="156"/>
      <c r="BI1083" s="156"/>
      <c r="BJ1083" s="156"/>
      <c r="BK1083" s="156"/>
      <c r="BL1083" s="156"/>
      <c r="BM1083" s="156"/>
      <c r="BN1083" s="156"/>
      <c r="BO1083" s="156"/>
      <c r="BP1083" s="156"/>
      <c r="BQ1083" s="156"/>
      <c r="BR1083" s="156"/>
      <c r="BS1083" s="156"/>
      <c r="BT1083" s="156"/>
      <c r="BU1083" s="156"/>
      <c r="BV1083" s="156"/>
      <c r="BW1083" s="156"/>
      <c r="BX1083" s="156"/>
      <c r="BY1083" s="156"/>
      <c r="BZ1083" s="156"/>
      <c r="CA1083" s="156"/>
      <c r="CB1083" s="156"/>
      <c r="CC1083" s="156"/>
      <c r="CD1083" s="156"/>
      <c r="CE1083" s="156"/>
      <c r="CF1083" s="156"/>
      <c r="CG1083" s="156"/>
      <c r="CH1083" s="156"/>
      <c r="CI1083" s="156"/>
      <c r="CJ1083" s="156"/>
      <c r="CK1083" s="156"/>
      <c r="CL1083" s="156"/>
      <c r="CM1083" s="156"/>
      <c r="CN1083" s="156"/>
      <c r="CO1083" s="156"/>
      <c r="CP1083" s="156"/>
      <c r="CQ1083" s="156"/>
      <c r="CR1083" s="156"/>
      <c r="CS1083" s="156"/>
      <c r="CT1083" s="156"/>
      <c r="CU1083" s="156"/>
      <c r="CV1083" s="156"/>
      <c r="CW1083" s="156"/>
      <c r="CX1083" s="156"/>
      <c r="CY1083" s="156"/>
      <c r="CZ1083" s="156"/>
      <c r="DA1083" s="156"/>
      <c r="DB1083" s="156"/>
      <c r="DC1083" s="156"/>
      <c r="DD1083" s="156"/>
      <c r="DE1083" s="156"/>
      <c r="DF1083" s="156"/>
      <c r="DG1083" s="156"/>
      <c r="DH1083" s="156"/>
      <c r="DI1083" s="156"/>
      <c r="DJ1083" s="156"/>
      <c r="DK1083" s="156"/>
      <c r="DL1083" s="156"/>
      <c r="DM1083" s="156"/>
      <c r="DN1083" s="156"/>
      <c r="DO1083" s="156"/>
      <c r="DP1083" s="156"/>
      <c r="DQ1083" s="156"/>
      <c r="DR1083" s="156"/>
      <c r="DS1083" s="156"/>
      <c r="DT1083" s="156"/>
      <c r="DU1083" s="156"/>
      <c r="DV1083" s="156"/>
      <c r="DW1083" s="156"/>
      <c r="DX1083" s="156"/>
      <c r="DY1083" s="156"/>
      <c r="DZ1083" s="156"/>
      <c r="EA1083" s="156"/>
      <c r="EB1083" s="156"/>
      <c r="EC1083" s="156"/>
      <c r="ED1083" s="156"/>
      <c r="EE1083" s="156"/>
      <c r="EF1083" s="156"/>
      <c r="EG1083" s="156"/>
      <c r="EH1083" s="156"/>
      <c r="EI1083" s="156"/>
      <c r="EJ1083" s="156"/>
      <c r="EK1083" s="156"/>
      <c r="EL1083" s="156"/>
      <c r="EM1083" s="156"/>
    </row>
    <row r="1084" spans="20:143" ht="10.5" customHeight="1">
      <c r="T1084" s="156"/>
      <c r="AZ1084" s="156"/>
      <c r="BA1084" s="156"/>
      <c r="BB1084" s="156"/>
      <c r="BC1084" s="156"/>
      <c r="BD1084" s="156"/>
      <c r="BE1084" s="156"/>
      <c r="BF1084" s="156"/>
      <c r="BG1084" s="156"/>
      <c r="BH1084" s="156"/>
      <c r="BI1084" s="156"/>
      <c r="BJ1084" s="156"/>
      <c r="BK1084" s="156"/>
      <c r="BL1084" s="156"/>
      <c r="BM1084" s="156"/>
      <c r="BN1084" s="156"/>
      <c r="BO1084" s="156"/>
      <c r="BP1084" s="156"/>
      <c r="BQ1084" s="156"/>
      <c r="BR1084" s="156"/>
      <c r="BS1084" s="156"/>
      <c r="BT1084" s="156"/>
      <c r="BU1084" s="156"/>
      <c r="BV1084" s="156"/>
      <c r="BW1084" s="156"/>
      <c r="BX1084" s="156"/>
      <c r="BY1084" s="156"/>
      <c r="BZ1084" s="156"/>
      <c r="CA1084" s="156"/>
      <c r="CB1084" s="156"/>
      <c r="CC1084" s="156"/>
      <c r="CD1084" s="156"/>
      <c r="CE1084" s="156"/>
      <c r="CF1084" s="156"/>
      <c r="CG1084" s="156"/>
      <c r="CH1084" s="156"/>
      <c r="CI1084" s="156"/>
      <c r="CJ1084" s="156"/>
      <c r="CK1084" s="156"/>
      <c r="CL1084" s="156"/>
      <c r="CM1084" s="156"/>
      <c r="CN1084" s="156"/>
      <c r="CO1084" s="156"/>
      <c r="CP1084" s="156"/>
      <c r="CQ1084" s="156"/>
      <c r="CR1084" s="156"/>
      <c r="CS1084" s="156"/>
      <c r="CT1084" s="156"/>
      <c r="CU1084" s="156"/>
      <c r="CV1084" s="156"/>
      <c r="CW1084" s="156"/>
      <c r="CX1084" s="156"/>
      <c r="CY1084" s="156"/>
      <c r="CZ1084" s="156"/>
      <c r="DA1084" s="156"/>
      <c r="DB1084" s="156"/>
      <c r="DC1084" s="156"/>
      <c r="DD1084" s="156"/>
      <c r="DE1084" s="156"/>
      <c r="DF1084" s="156"/>
      <c r="DG1084" s="156"/>
      <c r="DH1084" s="156"/>
      <c r="DI1084" s="156"/>
      <c r="DJ1084" s="156"/>
      <c r="DK1084" s="156"/>
      <c r="DL1084" s="156"/>
      <c r="DM1084" s="156"/>
      <c r="DN1084" s="156"/>
      <c r="DO1084" s="156"/>
      <c r="DP1084" s="156"/>
      <c r="DQ1084" s="156"/>
      <c r="DR1084" s="156"/>
      <c r="DS1084" s="156"/>
      <c r="DT1084" s="156"/>
      <c r="DU1084" s="156"/>
      <c r="DV1084" s="156"/>
      <c r="DW1084" s="156"/>
      <c r="DX1084" s="156"/>
      <c r="DY1084" s="156"/>
      <c r="DZ1084" s="156"/>
      <c r="EA1084" s="156"/>
      <c r="EB1084" s="156"/>
      <c r="EC1084" s="156"/>
      <c r="ED1084" s="156"/>
      <c r="EE1084" s="156"/>
      <c r="EF1084" s="156"/>
      <c r="EG1084" s="156"/>
      <c r="EH1084" s="156"/>
      <c r="EI1084" s="156"/>
      <c r="EJ1084" s="156"/>
      <c r="EK1084" s="156"/>
      <c r="EL1084" s="156"/>
      <c r="EM1084" s="156"/>
    </row>
    <row r="1085" spans="20:143" ht="10.5" customHeight="1">
      <c r="T1085" s="156"/>
      <c r="AZ1085" s="156"/>
      <c r="BA1085" s="156"/>
      <c r="BB1085" s="156"/>
      <c r="BC1085" s="156"/>
      <c r="BD1085" s="156"/>
      <c r="BE1085" s="156"/>
      <c r="BF1085" s="156"/>
      <c r="BG1085" s="156"/>
      <c r="BH1085" s="156"/>
      <c r="BI1085" s="156"/>
      <c r="BJ1085" s="156"/>
      <c r="BK1085" s="156"/>
      <c r="BL1085" s="156"/>
      <c r="BM1085" s="156"/>
      <c r="BN1085" s="156"/>
      <c r="BO1085" s="156"/>
      <c r="BP1085" s="156"/>
      <c r="BQ1085" s="156"/>
      <c r="BR1085" s="156"/>
      <c r="BS1085" s="156"/>
      <c r="BT1085" s="156"/>
      <c r="BU1085" s="156"/>
      <c r="BV1085" s="156"/>
      <c r="BW1085" s="156"/>
      <c r="BX1085" s="156"/>
      <c r="BY1085" s="156"/>
      <c r="BZ1085" s="156"/>
      <c r="CA1085" s="156"/>
      <c r="CB1085" s="156"/>
      <c r="CC1085" s="156"/>
      <c r="CD1085" s="156"/>
      <c r="CE1085" s="156"/>
      <c r="CF1085" s="156"/>
      <c r="CG1085" s="156"/>
      <c r="CH1085" s="156"/>
      <c r="CI1085" s="156"/>
      <c r="CJ1085" s="156"/>
      <c r="CK1085" s="156"/>
      <c r="CL1085" s="156"/>
      <c r="CM1085" s="156"/>
      <c r="CN1085" s="156"/>
      <c r="CO1085" s="156"/>
      <c r="CP1085" s="156"/>
      <c r="CQ1085" s="156"/>
      <c r="CR1085" s="156"/>
      <c r="CS1085" s="156"/>
      <c r="CT1085" s="156"/>
      <c r="CU1085" s="156"/>
      <c r="CV1085" s="156"/>
      <c r="CW1085" s="156"/>
      <c r="CX1085" s="156"/>
      <c r="CY1085" s="156"/>
      <c r="CZ1085" s="156"/>
      <c r="DA1085" s="156"/>
      <c r="DB1085" s="156"/>
      <c r="DC1085" s="156"/>
      <c r="DD1085" s="156"/>
      <c r="DE1085" s="156"/>
      <c r="DF1085" s="156"/>
      <c r="DG1085" s="156"/>
      <c r="DH1085" s="156"/>
      <c r="DI1085" s="156"/>
      <c r="DJ1085" s="156"/>
      <c r="DK1085" s="156"/>
      <c r="DL1085" s="156"/>
      <c r="DM1085" s="156"/>
      <c r="DN1085" s="156"/>
      <c r="DO1085" s="156"/>
      <c r="DP1085" s="156"/>
      <c r="DQ1085" s="156"/>
      <c r="DR1085" s="156"/>
      <c r="DS1085" s="156"/>
      <c r="DT1085" s="156"/>
      <c r="DU1085" s="156"/>
      <c r="DV1085" s="156"/>
      <c r="DW1085" s="156"/>
      <c r="DX1085" s="156"/>
      <c r="DY1085" s="156"/>
      <c r="DZ1085" s="156"/>
      <c r="EA1085" s="156"/>
      <c r="EB1085" s="156"/>
      <c r="EC1085" s="156"/>
      <c r="ED1085" s="156"/>
      <c r="EE1085" s="156"/>
      <c r="EF1085" s="156"/>
      <c r="EG1085" s="156"/>
      <c r="EH1085" s="156"/>
      <c r="EI1085" s="156"/>
      <c r="EJ1085" s="156"/>
      <c r="EK1085" s="156"/>
      <c r="EL1085" s="156"/>
      <c r="EM1085" s="156"/>
    </row>
    <row r="1086" spans="20:143" ht="10.5" customHeight="1">
      <c r="T1086" s="156"/>
      <c r="AZ1086" s="156"/>
      <c r="BA1086" s="156"/>
      <c r="BB1086" s="156"/>
      <c r="BC1086" s="156"/>
      <c r="BD1086" s="156"/>
      <c r="BE1086" s="156"/>
      <c r="BF1086" s="156"/>
      <c r="BG1086" s="156"/>
      <c r="BH1086" s="156"/>
      <c r="BI1086" s="156"/>
      <c r="BJ1086" s="156"/>
      <c r="BK1086" s="156"/>
      <c r="BL1086" s="156"/>
      <c r="BM1086" s="156"/>
      <c r="BN1086" s="156"/>
      <c r="BO1086" s="156"/>
      <c r="BP1086" s="156"/>
      <c r="BQ1086" s="156"/>
      <c r="BR1086" s="156"/>
      <c r="BS1086" s="156"/>
      <c r="BT1086" s="156"/>
      <c r="BU1086" s="156"/>
      <c r="BV1086" s="156"/>
      <c r="BW1086" s="156"/>
      <c r="BX1086" s="156"/>
      <c r="BY1086" s="156"/>
      <c r="BZ1086" s="156"/>
      <c r="CA1086" s="156"/>
      <c r="CB1086" s="156"/>
      <c r="CC1086" s="156"/>
      <c r="CD1086" s="156"/>
      <c r="CE1086" s="156"/>
      <c r="CF1086" s="156"/>
      <c r="CG1086" s="156"/>
      <c r="CH1086" s="156"/>
      <c r="CI1086" s="156"/>
      <c r="CJ1086" s="156"/>
      <c r="CK1086" s="156"/>
      <c r="CL1086" s="156"/>
      <c r="CM1086" s="156"/>
      <c r="CN1086" s="156"/>
      <c r="CO1086" s="156"/>
      <c r="CP1086" s="156"/>
      <c r="CQ1086" s="156"/>
      <c r="CR1086" s="156"/>
      <c r="CS1086" s="156"/>
      <c r="CT1086" s="156"/>
      <c r="CU1086" s="156"/>
      <c r="CV1086" s="156"/>
      <c r="CW1086" s="156"/>
      <c r="CX1086" s="156"/>
      <c r="CY1086" s="156"/>
      <c r="CZ1086" s="156"/>
      <c r="DA1086" s="156"/>
      <c r="DB1086" s="156"/>
      <c r="DC1086" s="156"/>
      <c r="DD1086" s="156"/>
      <c r="DE1086" s="156"/>
      <c r="DF1086" s="156"/>
      <c r="DG1086" s="156"/>
      <c r="DH1086" s="156"/>
      <c r="DI1086" s="156"/>
      <c r="DJ1086" s="156"/>
      <c r="DK1086" s="156"/>
      <c r="DL1086" s="156"/>
      <c r="DM1086" s="156"/>
      <c r="DN1086" s="156"/>
      <c r="DO1086" s="156"/>
      <c r="DP1086" s="156"/>
      <c r="DQ1086" s="156"/>
      <c r="DR1086" s="156"/>
      <c r="DS1086" s="156"/>
      <c r="DT1086" s="156"/>
      <c r="DU1086" s="156"/>
      <c r="DV1086" s="156"/>
      <c r="DW1086" s="156"/>
      <c r="DX1086" s="156"/>
      <c r="DY1086" s="156"/>
      <c r="DZ1086" s="156"/>
      <c r="EA1086" s="156"/>
      <c r="EB1086" s="156"/>
      <c r="EC1086" s="156"/>
      <c r="ED1086" s="156"/>
      <c r="EE1086" s="156"/>
      <c r="EF1086" s="156"/>
      <c r="EG1086" s="156"/>
      <c r="EH1086" s="156"/>
      <c r="EI1086" s="156"/>
      <c r="EJ1086" s="156"/>
      <c r="EK1086" s="156"/>
      <c r="EL1086" s="156"/>
      <c r="EM1086" s="156"/>
    </row>
    <row r="1087" spans="20:143" ht="10.5" customHeight="1">
      <c r="T1087" s="156"/>
      <c r="AZ1087" s="156"/>
      <c r="BA1087" s="156"/>
      <c r="BB1087" s="156"/>
      <c r="BC1087" s="156"/>
      <c r="BD1087" s="156"/>
      <c r="BE1087" s="156"/>
      <c r="BF1087" s="156"/>
      <c r="BG1087" s="156"/>
      <c r="BH1087" s="156"/>
      <c r="BI1087" s="156"/>
      <c r="BJ1087" s="156"/>
      <c r="BK1087" s="156"/>
      <c r="BL1087" s="156"/>
      <c r="BM1087" s="156"/>
      <c r="BN1087" s="156"/>
      <c r="BO1087" s="156"/>
      <c r="BP1087" s="156"/>
      <c r="BQ1087" s="156"/>
      <c r="BR1087" s="156"/>
      <c r="BS1087" s="156"/>
      <c r="BT1087" s="156"/>
      <c r="BU1087" s="156"/>
      <c r="BV1087" s="156"/>
      <c r="BW1087" s="156"/>
      <c r="BX1087" s="156"/>
      <c r="BY1087" s="156"/>
      <c r="BZ1087" s="156"/>
      <c r="CA1087" s="156"/>
      <c r="CB1087" s="156"/>
      <c r="CC1087" s="156"/>
      <c r="CD1087" s="156"/>
      <c r="CE1087" s="156"/>
      <c r="CF1087" s="156"/>
      <c r="CG1087" s="156"/>
      <c r="CH1087" s="156"/>
      <c r="CI1087" s="156"/>
      <c r="CJ1087" s="156"/>
      <c r="CK1087" s="156"/>
      <c r="CL1087" s="156"/>
      <c r="CM1087" s="156"/>
      <c r="CN1087" s="156"/>
      <c r="CO1087" s="156"/>
      <c r="CP1087" s="156"/>
      <c r="CQ1087" s="156"/>
      <c r="CR1087" s="156"/>
      <c r="CS1087" s="156"/>
      <c r="CT1087" s="156"/>
      <c r="CU1087" s="156"/>
      <c r="CV1087" s="156"/>
      <c r="CW1087" s="156"/>
      <c r="CX1087" s="156"/>
      <c r="CY1087" s="156"/>
      <c r="CZ1087" s="156"/>
      <c r="DA1087" s="156"/>
      <c r="DB1087" s="156"/>
      <c r="DC1087" s="156"/>
      <c r="DD1087" s="156"/>
      <c r="DE1087" s="156"/>
      <c r="DF1087" s="156"/>
      <c r="DG1087" s="156"/>
      <c r="DH1087" s="156"/>
      <c r="DI1087" s="156"/>
      <c r="DJ1087" s="156"/>
      <c r="DK1087" s="156"/>
      <c r="DL1087" s="156"/>
      <c r="DM1087" s="156"/>
      <c r="DN1087" s="156"/>
      <c r="DO1087" s="156"/>
      <c r="DP1087" s="156"/>
      <c r="DQ1087" s="156"/>
      <c r="DR1087" s="156"/>
      <c r="DS1087" s="156"/>
      <c r="DT1087" s="156"/>
      <c r="DU1087" s="156"/>
      <c r="DV1087" s="156"/>
      <c r="DW1087" s="156"/>
      <c r="DX1087" s="156"/>
      <c r="DY1087" s="156"/>
      <c r="DZ1087" s="156"/>
      <c r="EA1087" s="156"/>
      <c r="EB1087" s="156"/>
      <c r="EC1087" s="156"/>
      <c r="ED1087" s="156"/>
      <c r="EE1087" s="156"/>
      <c r="EF1087" s="156"/>
      <c r="EG1087" s="156"/>
      <c r="EH1087" s="156"/>
      <c r="EI1087" s="156"/>
      <c r="EJ1087" s="156"/>
      <c r="EK1087" s="156"/>
      <c r="EL1087" s="156"/>
      <c r="EM1087" s="156"/>
    </row>
    <row r="1088" spans="20:143" ht="10.5" customHeight="1">
      <c r="T1088" s="156"/>
      <c r="AZ1088" s="156"/>
      <c r="BA1088" s="156"/>
      <c r="BB1088" s="156"/>
      <c r="BC1088" s="156"/>
      <c r="BD1088" s="156"/>
      <c r="BE1088" s="156"/>
      <c r="BF1088" s="156"/>
      <c r="BG1088" s="156"/>
      <c r="BH1088" s="156"/>
      <c r="BI1088" s="156"/>
      <c r="BJ1088" s="156"/>
      <c r="BK1088" s="156"/>
      <c r="BL1088" s="156"/>
      <c r="BM1088" s="156"/>
      <c r="BN1088" s="156"/>
      <c r="BO1088" s="156"/>
      <c r="BP1088" s="156"/>
      <c r="BQ1088" s="156"/>
      <c r="BR1088" s="156"/>
      <c r="BS1088" s="156"/>
      <c r="BT1088" s="156"/>
      <c r="BU1088" s="156"/>
      <c r="BV1088" s="156"/>
      <c r="BW1088" s="156"/>
      <c r="BX1088" s="156"/>
      <c r="BY1088" s="156"/>
      <c r="BZ1088" s="156"/>
      <c r="CA1088" s="156"/>
      <c r="CB1088" s="156"/>
      <c r="CC1088" s="156"/>
      <c r="CD1088" s="156"/>
      <c r="CE1088" s="156"/>
      <c r="CF1088" s="156"/>
      <c r="CG1088" s="156"/>
      <c r="CH1088" s="156"/>
      <c r="CI1088" s="156"/>
      <c r="CJ1088" s="156"/>
      <c r="CK1088" s="156"/>
      <c r="CL1088" s="156"/>
      <c r="CM1088" s="156"/>
      <c r="CN1088" s="156"/>
      <c r="CO1088" s="156"/>
      <c r="CP1088" s="156"/>
      <c r="CQ1088" s="156"/>
      <c r="CR1088" s="156"/>
      <c r="CS1088" s="156"/>
      <c r="CT1088" s="156"/>
      <c r="CU1088" s="156"/>
      <c r="CV1088" s="156"/>
      <c r="CW1088" s="156"/>
      <c r="CX1088" s="156"/>
      <c r="CY1088" s="156"/>
      <c r="CZ1088" s="156"/>
      <c r="DA1088" s="156"/>
      <c r="DB1088" s="156"/>
      <c r="DC1088" s="156"/>
      <c r="DD1088" s="156"/>
      <c r="DE1088" s="156"/>
      <c r="DF1088" s="156"/>
      <c r="DG1088" s="156"/>
      <c r="DH1088" s="156"/>
      <c r="DI1088" s="156"/>
      <c r="DJ1088" s="156"/>
      <c r="DK1088" s="156"/>
      <c r="DL1088" s="156"/>
      <c r="DM1088" s="156"/>
      <c r="DN1088" s="156"/>
      <c r="DO1088" s="156"/>
      <c r="DP1088" s="156"/>
      <c r="DQ1088" s="156"/>
      <c r="DR1088" s="156"/>
      <c r="DS1088" s="156"/>
      <c r="DT1088" s="156"/>
      <c r="DU1088" s="156"/>
      <c r="DV1088" s="156"/>
      <c r="DW1088" s="156"/>
      <c r="DX1088" s="156"/>
      <c r="DY1088" s="156"/>
      <c r="DZ1088" s="156"/>
      <c r="EA1088" s="156"/>
      <c r="EB1088" s="156"/>
      <c r="EC1088" s="156"/>
      <c r="ED1088" s="156"/>
      <c r="EE1088" s="156"/>
      <c r="EF1088" s="156"/>
      <c r="EG1088" s="156"/>
      <c r="EH1088" s="156"/>
      <c r="EI1088" s="156"/>
      <c r="EJ1088" s="156"/>
      <c r="EK1088" s="156"/>
      <c r="EL1088" s="156"/>
      <c r="EM1088" s="156"/>
    </row>
    <row r="1089" spans="20:143" ht="10.5" customHeight="1">
      <c r="T1089" s="156"/>
      <c r="AZ1089" s="156"/>
      <c r="BA1089" s="156"/>
      <c r="BB1089" s="156"/>
      <c r="BC1089" s="156"/>
      <c r="BD1089" s="156"/>
      <c r="BE1089" s="156"/>
      <c r="BF1089" s="156"/>
      <c r="BG1089" s="156"/>
      <c r="BH1089" s="156"/>
      <c r="BI1089" s="156"/>
      <c r="BJ1089" s="156"/>
      <c r="BK1089" s="156"/>
      <c r="BL1089" s="156"/>
      <c r="BM1089" s="156"/>
      <c r="BN1089" s="156"/>
      <c r="BO1089" s="156"/>
      <c r="BP1089" s="156"/>
      <c r="BQ1089" s="156"/>
      <c r="BR1089" s="156"/>
      <c r="BS1089" s="156"/>
      <c r="BT1089" s="156"/>
      <c r="BU1089" s="156"/>
      <c r="BV1089" s="156"/>
      <c r="BW1089" s="156"/>
      <c r="BX1089" s="156"/>
      <c r="BY1089" s="156"/>
      <c r="BZ1089" s="156"/>
      <c r="CA1089" s="156"/>
      <c r="CB1089" s="156"/>
      <c r="CC1089" s="156"/>
      <c r="CD1089" s="156"/>
      <c r="CE1089" s="156"/>
      <c r="CF1089" s="156"/>
      <c r="CG1089" s="156"/>
      <c r="CH1089" s="156"/>
      <c r="CI1089" s="156"/>
      <c r="CJ1089" s="156"/>
      <c r="CK1089" s="156"/>
      <c r="CL1089" s="156"/>
      <c r="CM1089" s="156"/>
      <c r="CN1089" s="156"/>
      <c r="CO1089" s="156"/>
      <c r="CP1089" s="156"/>
      <c r="CQ1089" s="156"/>
      <c r="CR1089" s="156"/>
      <c r="CS1089" s="156"/>
      <c r="CT1089" s="156"/>
      <c r="CU1089" s="156"/>
      <c r="CV1089" s="156"/>
      <c r="CW1089" s="156"/>
      <c r="CX1089" s="156"/>
      <c r="CY1089" s="156"/>
      <c r="CZ1089" s="156"/>
      <c r="DA1089" s="156"/>
      <c r="DB1089" s="156"/>
      <c r="DC1089" s="156"/>
      <c r="DD1089" s="156"/>
      <c r="DE1089" s="156"/>
      <c r="DF1089" s="156"/>
      <c r="DG1089" s="156"/>
      <c r="DH1089" s="156"/>
      <c r="DI1089" s="156"/>
      <c r="DJ1089" s="156"/>
      <c r="DK1089" s="156"/>
      <c r="DL1089" s="156"/>
      <c r="DM1089" s="156"/>
      <c r="DN1089" s="156"/>
      <c r="DO1089" s="156"/>
      <c r="DP1089" s="156"/>
      <c r="DQ1089" s="156"/>
      <c r="DR1089" s="156"/>
      <c r="DS1089" s="156"/>
      <c r="DT1089" s="156"/>
      <c r="DU1089" s="156"/>
      <c r="DV1089" s="156"/>
      <c r="DW1089" s="156"/>
      <c r="DX1089" s="156"/>
      <c r="DY1089" s="156"/>
      <c r="DZ1089" s="156"/>
      <c r="EA1089" s="156"/>
      <c r="EB1089" s="156"/>
      <c r="EC1089" s="156"/>
      <c r="ED1089" s="156"/>
      <c r="EE1089" s="156"/>
      <c r="EF1089" s="156"/>
      <c r="EG1089" s="156"/>
      <c r="EH1089" s="156"/>
      <c r="EI1089" s="156"/>
      <c r="EJ1089" s="156"/>
      <c r="EK1089" s="156"/>
      <c r="EL1089" s="156"/>
      <c r="EM1089" s="156"/>
    </row>
    <row r="1090" spans="20:143" ht="10.5" customHeight="1">
      <c r="T1090" s="156"/>
      <c r="AZ1090" s="156"/>
      <c r="BA1090" s="156"/>
      <c r="BB1090" s="156"/>
      <c r="BC1090" s="156"/>
      <c r="BD1090" s="156"/>
      <c r="BE1090" s="156"/>
      <c r="BF1090" s="156"/>
      <c r="BG1090" s="156"/>
      <c r="BH1090" s="156"/>
      <c r="BI1090" s="156"/>
      <c r="BJ1090" s="156"/>
      <c r="BK1090" s="156"/>
      <c r="BL1090" s="156"/>
      <c r="BM1090" s="156"/>
      <c r="BN1090" s="156"/>
      <c r="BO1090" s="156"/>
      <c r="BP1090" s="156"/>
      <c r="BQ1090" s="156"/>
      <c r="BR1090" s="156"/>
      <c r="BS1090" s="156"/>
      <c r="BT1090" s="156"/>
      <c r="BU1090" s="156"/>
      <c r="BV1090" s="156"/>
      <c r="BW1090" s="156"/>
      <c r="BX1090" s="156"/>
      <c r="BY1090" s="156"/>
      <c r="BZ1090" s="156"/>
      <c r="CA1090" s="156"/>
      <c r="CB1090" s="156"/>
      <c r="CC1090" s="156"/>
      <c r="CD1090" s="156"/>
      <c r="CE1090" s="156"/>
      <c r="CF1090" s="156"/>
      <c r="CG1090" s="156"/>
      <c r="CH1090" s="156"/>
      <c r="CI1090" s="156"/>
      <c r="CJ1090" s="156"/>
      <c r="CK1090" s="156"/>
      <c r="CL1090" s="156"/>
      <c r="CM1090" s="156"/>
      <c r="CN1090" s="156"/>
      <c r="CO1090" s="156"/>
      <c r="CP1090" s="156"/>
      <c r="CQ1090" s="156"/>
      <c r="CR1090" s="156"/>
      <c r="CS1090" s="156"/>
      <c r="CT1090" s="156"/>
      <c r="CU1090" s="156"/>
      <c r="CV1090" s="156"/>
      <c r="CW1090" s="156"/>
      <c r="CX1090" s="156"/>
      <c r="CY1090" s="156"/>
      <c r="CZ1090" s="156"/>
      <c r="DA1090" s="156"/>
      <c r="DB1090" s="156"/>
      <c r="DC1090" s="156"/>
      <c r="DD1090" s="156"/>
      <c r="DE1090" s="156"/>
      <c r="DF1090" s="156"/>
      <c r="DG1090" s="156"/>
      <c r="DH1090" s="156"/>
      <c r="DI1090" s="156"/>
      <c r="DJ1090" s="156"/>
      <c r="DK1090" s="156"/>
      <c r="DL1090" s="156"/>
      <c r="DM1090" s="156"/>
      <c r="DN1090" s="156"/>
      <c r="DO1090" s="156"/>
      <c r="DP1090" s="156"/>
      <c r="DQ1090" s="156"/>
      <c r="DR1090" s="156"/>
      <c r="DS1090" s="156"/>
      <c r="DT1090" s="156"/>
      <c r="DU1090" s="156"/>
      <c r="DV1090" s="156"/>
      <c r="DW1090" s="156"/>
      <c r="DX1090" s="156"/>
      <c r="DY1090" s="156"/>
      <c r="DZ1090" s="156"/>
      <c r="EA1090" s="156"/>
      <c r="EB1090" s="156"/>
      <c r="EC1090" s="156"/>
      <c r="ED1090" s="156"/>
      <c r="EE1090" s="156"/>
      <c r="EF1090" s="156"/>
      <c r="EG1090" s="156"/>
      <c r="EH1090" s="156"/>
      <c r="EI1090" s="156"/>
      <c r="EJ1090" s="156"/>
      <c r="EK1090" s="156"/>
      <c r="EL1090" s="156"/>
      <c r="EM1090" s="156"/>
    </row>
    <row r="1091" spans="20:143" ht="10.5" customHeight="1">
      <c r="T1091" s="156"/>
      <c r="AZ1091" s="156"/>
      <c r="BA1091" s="156"/>
      <c r="BB1091" s="156"/>
      <c r="BC1091" s="156"/>
      <c r="BD1091" s="156"/>
      <c r="BE1091" s="156"/>
      <c r="BF1091" s="156"/>
      <c r="BG1091" s="156"/>
      <c r="BH1091" s="156"/>
      <c r="BI1091" s="156"/>
      <c r="BJ1091" s="156"/>
      <c r="BK1091" s="156"/>
      <c r="BL1091" s="156"/>
      <c r="BM1091" s="156"/>
      <c r="BN1091" s="156"/>
      <c r="BO1091" s="156"/>
      <c r="BP1091" s="156"/>
      <c r="BQ1091" s="156"/>
      <c r="BR1091" s="156"/>
      <c r="BS1091" s="156"/>
      <c r="BT1091" s="156"/>
      <c r="BU1091" s="156"/>
      <c r="BV1091" s="156"/>
      <c r="BW1091" s="156"/>
      <c r="BX1091" s="156"/>
      <c r="BY1091" s="156"/>
      <c r="BZ1091" s="156"/>
      <c r="CA1091" s="156"/>
      <c r="CB1091" s="156"/>
      <c r="CC1091" s="156"/>
      <c r="CD1091" s="156"/>
      <c r="CE1091" s="156"/>
      <c r="CF1091" s="156"/>
      <c r="CG1091" s="156"/>
      <c r="CH1091" s="156"/>
      <c r="CI1091" s="156"/>
      <c r="CJ1091" s="156"/>
      <c r="CK1091" s="156"/>
      <c r="CL1091" s="156"/>
      <c r="CM1091" s="156"/>
      <c r="CN1091" s="156"/>
      <c r="CO1091" s="156"/>
      <c r="CP1091" s="156"/>
      <c r="CQ1091" s="156"/>
      <c r="CR1091" s="156"/>
      <c r="CS1091" s="156"/>
      <c r="CT1091" s="156"/>
      <c r="CU1091" s="156"/>
      <c r="CV1091" s="156"/>
      <c r="CW1091" s="156"/>
      <c r="CX1091" s="156"/>
      <c r="CY1091" s="156"/>
      <c r="CZ1091" s="156"/>
      <c r="DA1091" s="156"/>
      <c r="DB1091" s="156"/>
      <c r="DC1091" s="156"/>
      <c r="DD1091" s="156"/>
      <c r="DE1091" s="156"/>
      <c r="DF1091" s="156"/>
      <c r="DG1091" s="156"/>
      <c r="DH1091" s="156"/>
      <c r="DI1091" s="156"/>
      <c r="DJ1091" s="156"/>
      <c r="DK1091" s="156"/>
      <c r="DL1091" s="156"/>
      <c r="DM1091" s="156"/>
      <c r="DN1091" s="156"/>
      <c r="DO1091" s="156"/>
      <c r="DP1091" s="156"/>
      <c r="DQ1091" s="156"/>
      <c r="DR1091" s="156"/>
      <c r="DS1091" s="156"/>
      <c r="DT1091" s="156"/>
      <c r="DU1091" s="156"/>
      <c r="DV1091" s="156"/>
      <c r="DW1091" s="156"/>
      <c r="DX1091" s="156"/>
      <c r="DY1091" s="156"/>
      <c r="DZ1091" s="156"/>
      <c r="EA1091" s="156"/>
      <c r="EB1091" s="156"/>
      <c r="EC1091" s="156"/>
      <c r="ED1091" s="156"/>
      <c r="EE1091" s="156"/>
      <c r="EF1091" s="156"/>
      <c r="EG1091" s="156"/>
      <c r="EH1091" s="156"/>
      <c r="EI1091" s="156"/>
      <c r="EJ1091" s="156"/>
      <c r="EK1091" s="156"/>
      <c r="EL1091" s="156"/>
      <c r="EM1091" s="156"/>
    </row>
    <row r="1092" spans="20:143" ht="10.5" customHeight="1">
      <c r="T1092" s="156"/>
      <c r="AZ1092" s="156"/>
      <c r="BA1092" s="156"/>
      <c r="BB1092" s="156"/>
      <c r="BC1092" s="156"/>
      <c r="BD1092" s="156"/>
      <c r="BE1092" s="156"/>
      <c r="BF1092" s="156"/>
      <c r="BG1092" s="156"/>
      <c r="BH1092" s="156"/>
      <c r="BI1092" s="156"/>
      <c r="BJ1092" s="156"/>
      <c r="BK1092" s="156"/>
      <c r="BL1092" s="156"/>
      <c r="BM1092" s="156"/>
      <c r="BN1092" s="156"/>
      <c r="BO1092" s="156"/>
      <c r="BP1092" s="156"/>
      <c r="BQ1092" s="156"/>
      <c r="BR1092" s="156"/>
      <c r="BS1092" s="156"/>
      <c r="BT1092" s="156"/>
      <c r="BU1092" s="156"/>
      <c r="BV1092" s="156"/>
      <c r="BW1092" s="156"/>
      <c r="BX1092" s="156"/>
      <c r="BY1092" s="156"/>
      <c r="BZ1092" s="156"/>
      <c r="CA1092" s="156"/>
      <c r="CB1092" s="156"/>
      <c r="CC1092" s="156"/>
      <c r="CD1092" s="156"/>
      <c r="CE1092" s="156"/>
      <c r="CF1092" s="156"/>
      <c r="CG1092" s="156"/>
      <c r="CH1092" s="156"/>
      <c r="CI1092" s="156"/>
      <c r="CJ1092" s="156"/>
      <c r="CK1092" s="156"/>
      <c r="CL1092" s="156"/>
      <c r="CM1092" s="156"/>
      <c r="CN1092" s="156"/>
      <c r="CO1092" s="156"/>
      <c r="CP1092" s="156"/>
      <c r="CQ1092" s="156"/>
      <c r="CR1092" s="156"/>
      <c r="CS1092" s="156"/>
      <c r="CT1092" s="156"/>
      <c r="CU1092" s="156"/>
      <c r="CV1092" s="156"/>
      <c r="CW1092" s="156"/>
      <c r="CX1092" s="156"/>
      <c r="CY1092" s="156"/>
      <c r="CZ1092" s="156"/>
      <c r="DA1092" s="156"/>
      <c r="DB1092" s="156"/>
      <c r="DC1092" s="156"/>
      <c r="DD1092" s="156"/>
      <c r="DE1092" s="156"/>
      <c r="DF1092" s="156"/>
      <c r="DG1092" s="156"/>
      <c r="DH1092" s="156"/>
      <c r="DI1092" s="156"/>
      <c r="DJ1092" s="156"/>
      <c r="DK1092" s="156"/>
      <c r="DL1092" s="156"/>
      <c r="DM1092" s="156"/>
      <c r="DN1092" s="156"/>
      <c r="DO1092" s="156"/>
      <c r="DP1092" s="156"/>
      <c r="DQ1092" s="156"/>
      <c r="DR1092" s="156"/>
      <c r="DS1092" s="156"/>
      <c r="DT1092" s="156"/>
      <c r="DU1092" s="156"/>
      <c r="DV1092" s="156"/>
      <c r="DW1092" s="156"/>
      <c r="DX1092" s="156"/>
      <c r="DY1092" s="156"/>
      <c r="DZ1092" s="156"/>
      <c r="EA1092" s="156"/>
      <c r="EB1092" s="156"/>
      <c r="EC1092" s="156"/>
      <c r="ED1092" s="156"/>
      <c r="EE1092" s="156"/>
      <c r="EF1092" s="156"/>
      <c r="EG1092" s="156"/>
      <c r="EH1092" s="156"/>
      <c r="EI1092" s="156"/>
      <c r="EJ1092" s="156"/>
      <c r="EK1092" s="156"/>
      <c r="EL1092" s="156"/>
      <c r="EM1092" s="156"/>
    </row>
    <row r="1093" spans="20:143" ht="10.5" customHeight="1">
      <c r="T1093" s="156"/>
      <c r="AZ1093" s="156"/>
      <c r="BA1093" s="156"/>
      <c r="BB1093" s="156"/>
      <c r="BC1093" s="156"/>
      <c r="BD1093" s="156"/>
      <c r="BE1093" s="156"/>
      <c r="BF1093" s="156"/>
      <c r="BG1093" s="156"/>
      <c r="BH1093" s="156"/>
      <c r="BI1093" s="156"/>
      <c r="BJ1093" s="156"/>
      <c r="BK1093" s="156"/>
      <c r="BL1093" s="156"/>
      <c r="BM1093" s="156"/>
      <c r="BN1093" s="156"/>
      <c r="BO1093" s="156"/>
      <c r="BP1093" s="156"/>
      <c r="BQ1093" s="156"/>
      <c r="BR1093" s="156"/>
      <c r="BS1093" s="156"/>
      <c r="BT1093" s="156"/>
      <c r="BU1093" s="156"/>
      <c r="BV1093" s="156"/>
      <c r="BW1093" s="156"/>
      <c r="BX1093" s="156"/>
      <c r="BY1093" s="156"/>
      <c r="BZ1093" s="156"/>
      <c r="CA1093" s="156"/>
      <c r="CB1093" s="156"/>
      <c r="CC1093" s="156"/>
      <c r="CD1093" s="156"/>
      <c r="CE1093" s="156"/>
      <c r="CF1093" s="156"/>
      <c r="CG1093" s="156"/>
      <c r="CH1093" s="156"/>
      <c r="CI1093" s="156"/>
      <c r="CJ1093" s="156"/>
      <c r="CK1093" s="156"/>
      <c r="CL1093" s="156"/>
      <c r="CM1093" s="156"/>
      <c r="CN1093" s="156"/>
      <c r="CO1093" s="156"/>
      <c r="CP1093" s="156"/>
      <c r="CQ1093" s="156"/>
      <c r="CR1093" s="156"/>
      <c r="CS1093" s="156"/>
      <c r="CT1093" s="156"/>
      <c r="CU1093" s="156"/>
      <c r="CV1093" s="156"/>
      <c r="CW1093" s="156"/>
      <c r="CX1093" s="156"/>
      <c r="CY1093" s="156"/>
      <c r="CZ1093" s="156"/>
      <c r="DA1093" s="156"/>
      <c r="DB1093" s="156"/>
      <c r="DC1093" s="156"/>
      <c r="DD1093" s="156"/>
      <c r="DE1093" s="156"/>
      <c r="DF1093" s="156"/>
      <c r="DG1093" s="156"/>
      <c r="DH1093" s="156"/>
      <c r="DI1093" s="156"/>
      <c r="DJ1093" s="156"/>
      <c r="DK1093" s="156"/>
      <c r="DL1093" s="156"/>
      <c r="DM1093" s="156"/>
      <c r="DN1093" s="156"/>
      <c r="DO1093" s="156"/>
      <c r="DP1093" s="156"/>
      <c r="DQ1093" s="156"/>
      <c r="DR1093" s="156"/>
      <c r="DS1093" s="156"/>
      <c r="DT1093" s="156"/>
      <c r="DU1093" s="156"/>
      <c r="DV1093" s="156"/>
      <c r="DW1093" s="156"/>
      <c r="DX1093" s="156"/>
      <c r="DY1093" s="156"/>
      <c r="DZ1093" s="156"/>
      <c r="EA1093" s="156"/>
      <c r="EB1093" s="156"/>
      <c r="EC1093" s="156"/>
      <c r="ED1093" s="156"/>
      <c r="EE1093" s="156"/>
      <c r="EF1093" s="156"/>
      <c r="EG1093" s="156"/>
      <c r="EH1093" s="156"/>
      <c r="EI1093" s="156"/>
      <c r="EJ1093" s="156"/>
      <c r="EK1093" s="156"/>
      <c r="EL1093" s="156"/>
      <c r="EM1093" s="156"/>
    </row>
    <row r="1094" spans="20:143" ht="10.5" customHeight="1">
      <c r="T1094" s="156"/>
      <c r="AZ1094" s="156"/>
      <c r="BA1094" s="156"/>
      <c r="BB1094" s="156"/>
      <c r="BC1094" s="156"/>
      <c r="BD1094" s="156"/>
      <c r="BE1094" s="156"/>
      <c r="BF1094" s="156"/>
      <c r="BG1094" s="156"/>
      <c r="BH1094" s="156"/>
      <c r="BI1094" s="156"/>
      <c r="BJ1094" s="156"/>
      <c r="BK1094" s="156"/>
      <c r="BL1094" s="156"/>
      <c r="BM1094" s="156"/>
      <c r="BN1094" s="156"/>
      <c r="BO1094" s="156"/>
      <c r="BP1094" s="156"/>
      <c r="BQ1094" s="156"/>
      <c r="BR1094" s="156"/>
      <c r="BS1094" s="156"/>
      <c r="BT1094" s="156"/>
      <c r="BU1094" s="156"/>
      <c r="BV1094" s="156"/>
      <c r="BW1094" s="156"/>
      <c r="BX1094" s="156"/>
      <c r="BY1094" s="156"/>
      <c r="BZ1094" s="156"/>
      <c r="CA1094" s="156"/>
      <c r="CB1094" s="156"/>
      <c r="CC1094" s="156"/>
      <c r="CD1094" s="156"/>
      <c r="CE1094" s="156"/>
      <c r="CF1094" s="156"/>
      <c r="CG1094" s="156"/>
      <c r="CH1094" s="156"/>
      <c r="CI1094" s="156"/>
      <c r="CJ1094" s="156"/>
      <c r="CK1094" s="156"/>
      <c r="CL1094" s="156"/>
      <c r="CM1094" s="156"/>
      <c r="CN1094" s="156"/>
      <c r="CO1094" s="156"/>
      <c r="CP1094" s="156"/>
      <c r="CQ1094" s="156"/>
      <c r="CR1094" s="156"/>
      <c r="CS1094" s="156"/>
      <c r="CT1094" s="156"/>
      <c r="CU1094" s="156"/>
      <c r="CV1094" s="156"/>
      <c r="CW1094" s="156"/>
      <c r="CX1094" s="156"/>
      <c r="CY1094" s="156"/>
      <c r="CZ1094" s="156"/>
      <c r="DA1094" s="156"/>
      <c r="DB1094" s="156"/>
      <c r="DC1094" s="156"/>
      <c r="DD1094" s="156"/>
      <c r="DE1094" s="156"/>
      <c r="DF1094" s="156"/>
      <c r="DG1094" s="156"/>
      <c r="DH1094" s="156"/>
      <c r="DI1094" s="156"/>
      <c r="DJ1094" s="156"/>
      <c r="DK1094" s="156"/>
      <c r="DL1094" s="156"/>
      <c r="DM1094" s="156"/>
      <c r="DN1094" s="156"/>
      <c r="DO1094" s="156"/>
      <c r="DP1094" s="156"/>
      <c r="DQ1094" s="156"/>
      <c r="DR1094" s="156"/>
      <c r="DS1094" s="156"/>
      <c r="DT1094" s="156"/>
      <c r="DU1094" s="156"/>
      <c r="DV1094" s="156"/>
      <c r="DW1094" s="156"/>
      <c r="DX1094" s="156"/>
      <c r="DY1094" s="156"/>
      <c r="DZ1094" s="156"/>
      <c r="EA1094" s="156"/>
      <c r="EB1094" s="156"/>
      <c r="EC1094" s="156"/>
      <c r="ED1094" s="156"/>
      <c r="EE1094" s="156"/>
      <c r="EF1094" s="156"/>
      <c r="EG1094" s="156"/>
      <c r="EH1094" s="156"/>
      <c r="EI1094" s="156"/>
      <c r="EJ1094" s="156"/>
      <c r="EK1094" s="156"/>
      <c r="EL1094" s="156"/>
      <c r="EM1094" s="156"/>
    </row>
    <row r="1095" spans="20:143" ht="10.5" customHeight="1">
      <c r="T1095" s="156"/>
      <c r="AZ1095" s="156"/>
      <c r="BA1095" s="156"/>
      <c r="BB1095" s="156"/>
      <c r="BC1095" s="156"/>
      <c r="BD1095" s="156"/>
      <c r="BE1095" s="156"/>
      <c r="BF1095" s="156"/>
      <c r="BG1095" s="156"/>
      <c r="BH1095" s="156"/>
      <c r="BI1095" s="156"/>
      <c r="BJ1095" s="156"/>
      <c r="BK1095" s="156"/>
      <c r="BL1095" s="156"/>
      <c r="BM1095" s="156"/>
      <c r="BN1095" s="156"/>
      <c r="BO1095" s="156"/>
      <c r="BP1095" s="156"/>
      <c r="BQ1095" s="156"/>
      <c r="BR1095" s="156"/>
      <c r="BS1095" s="156"/>
      <c r="BT1095" s="156"/>
      <c r="BU1095" s="156"/>
      <c r="BV1095" s="156"/>
      <c r="BW1095" s="156"/>
      <c r="BX1095" s="156"/>
      <c r="BY1095" s="156"/>
      <c r="BZ1095" s="156"/>
      <c r="CA1095" s="156"/>
      <c r="CB1095" s="156"/>
      <c r="CC1095" s="156"/>
      <c r="CD1095" s="156"/>
      <c r="CE1095" s="156"/>
      <c r="CF1095" s="156"/>
      <c r="CG1095" s="156"/>
      <c r="CH1095" s="156"/>
      <c r="CI1095" s="156"/>
      <c r="CJ1095" s="156"/>
      <c r="CK1095" s="156"/>
      <c r="CL1095" s="156"/>
      <c r="CM1095" s="156"/>
      <c r="CN1095" s="156"/>
      <c r="CO1095" s="156"/>
      <c r="CP1095" s="156"/>
      <c r="CQ1095" s="156"/>
      <c r="CR1095" s="156"/>
      <c r="CS1095" s="156"/>
      <c r="CT1095" s="156"/>
      <c r="CU1095" s="156"/>
      <c r="CV1095" s="156"/>
      <c r="CW1095" s="156"/>
      <c r="CX1095" s="156"/>
      <c r="CY1095" s="156"/>
      <c r="CZ1095" s="156"/>
      <c r="DA1095" s="156"/>
      <c r="DB1095" s="156"/>
      <c r="DC1095" s="156"/>
      <c r="DD1095" s="156"/>
      <c r="DE1095" s="156"/>
      <c r="DF1095" s="156"/>
      <c r="DG1095" s="156"/>
      <c r="DH1095" s="156"/>
      <c r="DI1095" s="156"/>
      <c r="DJ1095" s="156"/>
      <c r="DK1095" s="156"/>
      <c r="DL1095" s="156"/>
      <c r="DM1095" s="156"/>
      <c r="DN1095" s="156"/>
      <c r="DO1095" s="156"/>
      <c r="DP1095" s="156"/>
      <c r="DQ1095" s="156"/>
      <c r="DR1095" s="156"/>
      <c r="DS1095" s="156"/>
      <c r="DT1095" s="156"/>
      <c r="DU1095" s="156"/>
      <c r="DV1095" s="156"/>
      <c r="DW1095" s="156"/>
      <c r="DX1095" s="156"/>
      <c r="DY1095" s="156"/>
      <c r="DZ1095" s="156"/>
      <c r="EA1095" s="156"/>
      <c r="EB1095" s="156"/>
      <c r="EC1095" s="156"/>
      <c r="ED1095" s="156"/>
      <c r="EE1095" s="156"/>
      <c r="EF1095" s="156"/>
      <c r="EG1095" s="156"/>
      <c r="EH1095" s="156"/>
      <c r="EI1095" s="156"/>
      <c r="EJ1095" s="156"/>
      <c r="EK1095" s="156"/>
      <c r="EL1095" s="156"/>
      <c r="EM1095" s="156"/>
    </row>
    <row r="1096" spans="20:143" ht="10.5" customHeight="1">
      <c r="T1096" s="156"/>
      <c r="AZ1096" s="156"/>
      <c r="BA1096" s="156"/>
      <c r="BB1096" s="156"/>
      <c r="BC1096" s="156"/>
      <c r="BD1096" s="156"/>
      <c r="BE1096" s="156"/>
      <c r="BF1096" s="156"/>
      <c r="BG1096" s="156"/>
      <c r="BH1096" s="156"/>
      <c r="BI1096" s="156"/>
      <c r="BJ1096" s="156"/>
      <c r="BK1096" s="156"/>
      <c r="BL1096" s="156"/>
      <c r="BM1096" s="156"/>
      <c r="BN1096" s="156"/>
      <c r="BO1096" s="156"/>
      <c r="BP1096" s="156"/>
      <c r="BQ1096" s="156"/>
      <c r="BR1096" s="156"/>
      <c r="BS1096" s="156"/>
      <c r="BT1096" s="156"/>
      <c r="BU1096" s="156"/>
      <c r="BV1096" s="156"/>
      <c r="BW1096" s="156"/>
      <c r="BX1096" s="156"/>
      <c r="BY1096" s="156"/>
      <c r="BZ1096" s="156"/>
      <c r="CA1096" s="156"/>
      <c r="CB1096" s="156"/>
      <c r="CC1096" s="156"/>
      <c r="CD1096" s="156"/>
      <c r="CE1096" s="156"/>
      <c r="CF1096" s="156"/>
      <c r="CG1096" s="156"/>
      <c r="CH1096" s="156"/>
      <c r="CI1096" s="156"/>
      <c r="CJ1096" s="156"/>
      <c r="CK1096" s="156"/>
      <c r="CL1096" s="156"/>
      <c r="CM1096" s="156"/>
      <c r="CN1096" s="156"/>
      <c r="CO1096" s="156"/>
      <c r="CP1096" s="156"/>
      <c r="CQ1096" s="156"/>
      <c r="CR1096" s="156"/>
      <c r="CS1096" s="156"/>
      <c r="CT1096" s="156"/>
      <c r="CU1096" s="156"/>
      <c r="CV1096" s="156"/>
      <c r="CW1096" s="156"/>
      <c r="CX1096" s="156"/>
      <c r="CY1096" s="156"/>
      <c r="CZ1096" s="156"/>
      <c r="DA1096" s="156"/>
      <c r="DB1096" s="156"/>
      <c r="DC1096" s="156"/>
      <c r="DD1096" s="156"/>
      <c r="DE1096" s="156"/>
      <c r="DF1096" s="156"/>
      <c r="DG1096" s="156"/>
      <c r="DH1096" s="156"/>
      <c r="DI1096" s="156"/>
      <c r="DJ1096" s="156"/>
      <c r="DK1096" s="156"/>
      <c r="DL1096" s="156"/>
      <c r="DM1096" s="156"/>
      <c r="DN1096" s="156"/>
      <c r="DO1096" s="156"/>
      <c r="DP1096" s="156"/>
      <c r="DQ1096" s="156"/>
      <c r="DR1096" s="156"/>
      <c r="DS1096" s="156"/>
      <c r="DT1096" s="156"/>
      <c r="DU1096" s="156"/>
      <c r="DV1096" s="156"/>
      <c r="DW1096" s="156"/>
      <c r="DX1096" s="156"/>
      <c r="DY1096" s="156"/>
      <c r="DZ1096" s="156"/>
      <c r="EA1096" s="156"/>
      <c r="EB1096" s="156"/>
      <c r="EC1096" s="156"/>
      <c r="ED1096" s="156"/>
      <c r="EE1096" s="156"/>
      <c r="EF1096" s="156"/>
      <c r="EG1096" s="156"/>
      <c r="EH1096" s="156"/>
      <c r="EI1096" s="156"/>
      <c r="EJ1096" s="156"/>
      <c r="EK1096" s="156"/>
      <c r="EL1096" s="156"/>
      <c r="EM1096" s="156"/>
    </row>
    <row r="1097" spans="20:143" ht="10.5" customHeight="1">
      <c r="T1097" s="156"/>
      <c r="AZ1097" s="156"/>
      <c r="BA1097" s="156"/>
      <c r="BB1097" s="156"/>
      <c r="BC1097" s="156"/>
      <c r="BD1097" s="156"/>
      <c r="BE1097" s="156"/>
      <c r="BF1097" s="156"/>
      <c r="BG1097" s="156"/>
      <c r="BH1097" s="156"/>
      <c r="BI1097" s="156"/>
      <c r="BJ1097" s="156"/>
      <c r="BK1097" s="156"/>
      <c r="BL1097" s="156"/>
      <c r="BM1097" s="156"/>
      <c r="BN1097" s="156"/>
      <c r="BO1097" s="156"/>
      <c r="BP1097" s="156"/>
      <c r="BQ1097" s="156"/>
      <c r="BR1097" s="156"/>
      <c r="BS1097" s="156"/>
      <c r="BT1097" s="156"/>
      <c r="BU1097" s="156"/>
      <c r="BV1097" s="156"/>
      <c r="BW1097" s="156"/>
      <c r="BX1097" s="156"/>
      <c r="BY1097" s="156"/>
      <c r="BZ1097" s="156"/>
      <c r="CA1097" s="156"/>
      <c r="CB1097" s="156"/>
      <c r="CC1097" s="156"/>
      <c r="CD1097" s="156"/>
      <c r="CE1097" s="156"/>
      <c r="CF1097" s="156"/>
      <c r="CG1097" s="156"/>
      <c r="CH1097" s="156"/>
      <c r="CI1097" s="156"/>
      <c r="CJ1097" s="156"/>
      <c r="CK1097" s="156"/>
      <c r="CL1097" s="156"/>
      <c r="CM1097" s="156"/>
      <c r="CN1097" s="156"/>
      <c r="CO1097" s="156"/>
      <c r="CP1097" s="156"/>
      <c r="CQ1097" s="156"/>
      <c r="CR1097" s="156"/>
      <c r="CS1097" s="156"/>
      <c r="CT1097" s="156"/>
      <c r="CU1097" s="156"/>
      <c r="CV1097" s="156"/>
      <c r="CW1097" s="156"/>
      <c r="CX1097" s="156"/>
      <c r="CY1097" s="156"/>
      <c r="CZ1097" s="156"/>
      <c r="DA1097" s="156"/>
      <c r="DB1097" s="156"/>
      <c r="DC1097" s="156"/>
      <c r="DD1097" s="156"/>
      <c r="DE1097" s="156"/>
      <c r="DF1097" s="156"/>
      <c r="DG1097" s="156"/>
      <c r="DH1097" s="156"/>
      <c r="DI1097" s="156"/>
      <c r="DJ1097" s="156"/>
      <c r="DK1097" s="156"/>
      <c r="DL1097" s="156"/>
      <c r="DM1097" s="156"/>
      <c r="DN1097" s="156"/>
      <c r="DO1097" s="156"/>
      <c r="DP1097" s="156"/>
      <c r="DQ1097" s="156"/>
      <c r="DR1097" s="156"/>
      <c r="DS1097" s="156"/>
      <c r="DT1097" s="156"/>
      <c r="DU1097" s="156"/>
      <c r="DV1097" s="156"/>
      <c r="DW1097" s="156"/>
      <c r="DX1097" s="156"/>
      <c r="DY1097" s="156"/>
      <c r="DZ1097" s="156"/>
      <c r="EA1097" s="156"/>
      <c r="EB1097" s="156"/>
      <c r="EC1097" s="156"/>
      <c r="ED1097" s="156"/>
      <c r="EE1097" s="156"/>
      <c r="EF1097" s="156"/>
      <c r="EG1097" s="156"/>
      <c r="EH1097" s="156"/>
      <c r="EI1097" s="156"/>
      <c r="EJ1097" s="156"/>
      <c r="EK1097" s="156"/>
      <c r="EL1097" s="156"/>
      <c r="EM1097" s="156"/>
    </row>
    <row r="1098" spans="20:143" ht="10.5" customHeight="1">
      <c r="T1098" s="156"/>
      <c r="AZ1098" s="156"/>
      <c r="BA1098" s="156"/>
      <c r="BB1098" s="156"/>
      <c r="BC1098" s="156"/>
      <c r="BD1098" s="156"/>
      <c r="BE1098" s="156"/>
      <c r="BF1098" s="156"/>
      <c r="BG1098" s="156"/>
      <c r="BH1098" s="156"/>
      <c r="BI1098" s="156"/>
      <c r="BJ1098" s="156"/>
      <c r="BK1098" s="156"/>
      <c r="BL1098" s="156"/>
      <c r="BM1098" s="156"/>
      <c r="BN1098" s="156"/>
      <c r="BO1098" s="156"/>
      <c r="BP1098" s="156"/>
      <c r="BQ1098" s="156"/>
      <c r="BR1098" s="156"/>
      <c r="BS1098" s="156"/>
      <c r="BT1098" s="156"/>
      <c r="BU1098" s="156"/>
      <c r="BV1098" s="156"/>
      <c r="BW1098" s="156"/>
      <c r="BX1098" s="156"/>
      <c r="BY1098" s="156"/>
      <c r="BZ1098" s="156"/>
      <c r="CA1098" s="156"/>
      <c r="CB1098" s="156"/>
      <c r="CC1098" s="156"/>
      <c r="CD1098" s="156"/>
      <c r="CE1098" s="156"/>
      <c r="CF1098" s="156"/>
      <c r="CG1098" s="156"/>
      <c r="CH1098" s="156"/>
      <c r="CI1098" s="156"/>
      <c r="CJ1098" s="156"/>
      <c r="CK1098" s="156"/>
      <c r="CL1098" s="156"/>
      <c r="CM1098" s="156"/>
      <c r="CN1098" s="156"/>
      <c r="CO1098" s="156"/>
      <c r="CP1098" s="156"/>
      <c r="CQ1098" s="156"/>
      <c r="CR1098" s="156"/>
      <c r="CS1098" s="156"/>
      <c r="CT1098" s="156"/>
      <c r="CU1098" s="156"/>
      <c r="CV1098" s="156"/>
      <c r="CW1098" s="156"/>
      <c r="CX1098" s="156"/>
      <c r="CY1098" s="156"/>
      <c r="CZ1098" s="156"/>
      <c r="DA1098" s="156"/>
      <c r="DB1098" s="156"/>
      <c r="DC1098" s="156"/>
      <c r="DD1098" s="156"/>
      <c r="DE1098" s="156"/>
      <c r="DF1098" s="156"/>
      <c r="DG1098" s="156"/>
      <c r="DH1098" s="156"/>
      <c r="DI1098" s="156"/>
      <c r="DJ1098" s="156"/>
      <c r="DK1098" s="156"/>
      <c r="DL1098" s="156"/>
      <c r="DM1098" s="156"/>
      <c r="DN1098" s="156"/>
      <c r="DO1098" s="156"/>
      <c r="DP1098" s="156"/>
      <c r="DQ1098" s="156"/>
      <c r="DR1098" s="156"/>
      <c r="DS1098" s="156"/>
      <c r="DT1098" s="156"/>
      <c r="DU1098" s="156"/>
      <c r="DV1098" s="156"/>
      <c r="DW1098" s="156"/>
      <c r="DX1098" s="156"/>
      <c r="DY1098" s="156"/>
      <c r="DZ1098" s="156"/>
      <c r="EA1098" s="156"/>
      <c r="EB1098" s="156"/>
      <c r="EC1098" s="156"/>
      <c r="ED1098" s="156"/>
      <c r="EE1098" s="156"/>
      <c r="EF1098" s="156"/>
      <c r="EG1098" s="156"/>
      <c r="EH1098" s="156"/>
      <c r="EI1098" s="156"/>
      <c r="EJ1098" s="156"/>
      <c r="EK1098" s="156"/>
      <c r="EL1098" s="156"/>
      <c r="EM1098" s="156"/>
    </row>
    <row r="1099" spans="20:143" ht="10.5" customHeight="1">
      <c r="T1099" s="156"/>
      <c r="AZ1099" s="156"/>
      <c r="BA1099" s="156"/>
      <c r="BB1099" s="156"/>
      <c r="BC1099" s="156"/>
      <c r="BD1099" s="156"/>
      <c r="BE1099" s="156"/>
      <c r="BF1099" s="156"/>
      <c r="BG1099" s="156"/>
      <c r="BH1099" s="156"/>
      <c r="BI1099" s="156"/>
      <c r="BJ1099" s="156"/>
      <c r="BK1099" s="156"/>
      <c r="BL1099" s="156"/>
      <c r="BM1099" s="156"/>
      <c r="BN1099" s="156"/>
      <c r="BO1099" s="156"/>
      <c r="BP1099" s="156"/>
      <c r="BQ1099" s="156"/>
      <c r="BR1099" s="156"/>
      <c r="BS1099" s="156"/>
      <c r="BT1099" s="156"/>
      <c r="BU1099" s="156"/>
      <c r="BV1099" s="156"/>
      <c r="BW1099" s="156"/>
      <c r="BX1099" s="156"/>
      <c r="BY1099" s="156"/>
      <c r="BZ1099" s="156"/>
      <c r="CA1099" s="156"/>
      <c r="CB1099" s="156"/>
      <c r="CC1099" s="156"/>
      <c r="CD1099" s="156"/>
      <c r="CE1099" s="156"/>
      <c r="CF1099" s="156"/>
      <c r="CG1099" s="156"/>
      <c r="CH1099" s="156"/>
      <c r="CI1099" s="156"/>
      <c r="CJ1099" s="156"/>
      <c r="CK1099" s="156"/>
      <c r="CL1099" s="156"/>
      <c r="CM1099" s="156"/>
      <c r="CN1099" s="156"/>
      <c r="CO1099" s="156"/>
      <c r="CP1099" s="156"/>
      <c r="CQ1099" s="156"/>
      <c r="CR1099" s="156"/>
      <c r="CS1099" s="156"/>
      <c r="CT1099" s="156"/>
      <c r="CU1099" s="156"/>
      <c r="CV1099" s="156"/>
      <c r="CW1099" s="156"/>
      <c r="CX1099" s="156"/>
      <c r="CY1099" s="156"/>
      <c r="CZ1099" s="156"/>
      <c r="DA1099" s="156"/>
      <c r="DB1099" s="156"/>
      <c r="DC1099" s="156"/>
      <c r="DD1099" s="156"/>
      <c r="DE1099" s="156"/>
      <c r="DF1099" s="156"/>
      <c r="DG1099" s="156"/>
      <c r="DH1099" s="156"/>
      <c r="DI1099" s="156"/>
      <c r="DJ1099" s="156"/>
      <c r="DK1099" s="156"/>
      <c r="DL1099" s="156"/>
      <c r="DM1099" s="156"/>
      <c r="DN1099" s="156"/>
      <c r="DO1099" s="156"/>
      <c r="DP1099" s="156"/>
      <c r="DQ1099" s="156"/>
      <c r="DR1099" s="156"/>
      <c r="DS1099" s="156"/>
      <c r="DT1099" s="156"/>
      <c r="DU1099" s="156"/>
      <c r="DV1099" s="156"/>
      <c r="DW1099" s="156"/>
      <c r="DX1099" s="156"/>
      <c r="DY1099" s="156"/>
      <c r="DZ1099" s="156"/>
      <c r="EA1099" s="156"/>
      <c r="EB1099" s="156"/>
      <c r="EC1099" s="156"/>
      <c r="ED1099" s="156"/>
      <c r="EE1099" s="156"/>
      <c r="EF1099" s="156"/>
      <c r="EG1099" s="156"/>
      <c r="EH1099" s="156"/>
      <c r="EI1099" s="156"/>
      <c r="EJ1099" s="156"/>
      <c r="EK1099" s="156"/>
      <c r="EL1099" s="156"/>
      <c r="EM1099" s="156"/>
    </row>
    <row r="1100" spans="20:143" ht="10.5" customHeight="1">
      <c r="T1100" s="156"/>
      <c r="AZ1100" s="156"/>
      <c r="BA1100" s="156"/>
      <c r="BB1100" s="156"/>
      <c r="BC1100" s="156"/>
      <c r="BD1100" s="156"/>
      <c r="BE1100" s="156"/>
      <c r="BF1100" s="156"/>
      <c r="BG1100" s="156"/>
      <c r="BH1100" s="156"/>
      <c r="BI1100" s="156"/>
      <c r="BJ1100" s="156"/>
      <c r="BK1100" s="156"/>
      <c r="BL1100" s="156"/>
      <c r="BM1100" s="156"/>
      <c r="BN1100" s="156"/>
      <c r="BO1100" s="156"/>
      <c r="BP1100" s="156"/>
      <c r="BQ1100" s="156"/>
      <c r="BR1100" s="156"/>
      <c r="BS1100" s="156"/>
      <c r="BT1100" s="156"/>
      <c r="BU1100" s="156"/>
      <c r="BV1100" s="156"/>
      <c r="BW1100" s="156"/>
      <c r="BX1100" s="156"/>
      <c r="BY1100" s="156"/>
      <c r="BZ1100" s="156"/>
      <c r="CA1100" s="156"/>
      <c r="CB1100" s="156"/>
      <c r="CC1100" s="156"/>
      <c r="CD1100" s="156"/>
      <c r="CE1100" s="156"/>
      <c r="CF1100" s="156"/>
      <c r="CG1100" s="156"/>
      <c r="CH1100" s="156"/>
      <c r="CI1100" s="156"/>
      <c r="CJ1100" s="156"/>
      <c r="CK1100" s="156"/>
      <c r="CL1100" s="156"/>
      <c r="CM1100" s="156"/>
      <c r="CN1100" s="156"/>
      <c r="CO1100" s="156"/>
      <c r="CP1100" s="156"/>
      <c r="CQ1100" s="156"/>
      <c r="CR1100" s="156"/>
      <c r="CS1100" s="156"/>
      <c r="CT1100" s="156"/>
      <c r="CU1100" s="156"/>
      <c r="CV1100" s="156"/>
      <c r="CW1100" s="156"/>
      <c r="CX1100" s="156"/>
      <c r="CY1100" s="156"/>
      <c r="CZ1100" s="156"/>
      <c r="DA1100" s="156"/>
      <c r="DB1100" s="156"/>
      <c r="DC1100" s="156"/>
      <c r="DD1100" s="156"/>
      <c r="DE1100" s="156"/>
      <c r="DF1100" s="156"/>
      <c r="DG1100" s="156"/>
      <c r="DH1100" s="156"/>
      <c r="DI1100" s="156"/>
      <c r="DJ1100" s="156"/>
      <c r="DK1100" s="156"/>
      <c r="DL1100" s="156"/>
      <c r="DM1100" s="156"/>
      <c r="DN1100" s="156"/>
      <c r="DO1100" s="156"/>
      <c r="DP1100" s="156"/>
      <c r="DQ1100" s="156"/>
      <c r="DR1100" s="156"/>
      <c r="DS1100" s="156"/>
      <c r="DT1100" s="156"/>
      <c r="DU1100" s="156"/>
      <c r="DV1100" s="156"/>
      <c r="DW1100" s="156"/>
      <c r="DX1100" s="156"/>
      <c r="DY1100" s="156"/>
      <c r="DZ1100" s="156"/>
      <c r="EA1100" s="156"/>
      <c r="EB1100" s="156"/>
      <c r="EC1100" s="156"/>
      <c r="ED1100" s="156"/>
      <c r="EE1100" s="156"/>
      <c r="EF1100" s="156"/>
      <c r="EG1100" s="156"/>
      <c r="EH1100" s="156"/>
      <c r="EI1100" s="156"/>
      <c r="EJ1100" s="156"/>
      <c r="EK1100" s="156"/>
      <c r="EL1100" s="156"/>
      <c r="EM1100" s="156"/>
    </row>
    <row r="1101" spans="20:143" ht="10.5" customHeight="1">
      <c r="T1101" s="156"/>
      <c r="AZ1101" s="156"/>
      <c r="BA1101" s="156"/>
      <c r="BB1101" s="156"/>
      <c r="BC1101" s="156"/>
      <c r="BD1101" s="156"/>
      <c r="BE1101" s="156"/>
      <c r="BF1101" s="156"/>
      <c r="BG1101" s="156"/>
      <c r="BH1101" s="156"/>
      <c r="BI1101" s="156"/>
      <c r="BJ1101" s="156"/>
      <c r="BK1101" s="156"/>
      <c r="BL1101" s="156"/>
      <c r="BM1101" s="156"/>
      <c r="BN1101" s="156"/>
      <c r="BO1101" s="156"/>
      <c r="BP1101" s="156"/>
      <c r="BQ1101" s="156"/>
      <c r="BR1101" s="156"/>
      <c r="BS1101" s="156"/>
      <c r="BT1101" s="156"/>
      <c r="BU1101" s="156"/>
      <c r="BV1101" s="156"/>
      <c r="BW1101" s="156"/>
      <c r="BX1101" s="156"/>
      <c r="BY1101" s="156"/>
      <c r="BZ1101" s="156"/>
      <c r="CA1101" s="156"/>
      <c r="CB1101" s="156"/>
      <c r="CC1101" s="156"/>
      <c r="CD1101" s="156"/>
      <c r="CE1101" s="156"/>
      <c r="CF1101" s="156"/>
      <c r="CG1101" s="156"/>
      <c r="CH1101" s="156"/>
      <c r="CI1101" s="156"/>
      <c r="CJ1101" s="156"/>
      <c r="CK1101" s="156"/>
      <c r="CL1101" s="156"/>
      <c r="CM1101" s="156"/>
      <c r="CN1101" s="156"/>
      <c r="CO1101" s="156"/>
      <c r="CP1101" s="156"/>
      <c r="CQ1101" s="156"/>
      <c r="CR1101" s="156"/>
      <c r="CS1101" s="156"/>
      <c r="CT1101" s="156"/>
      <c r="CU1101" s="156"/>
      <c r="CV1101" s="156"/>
      <c r="CW1101" s="156"/>
      <c r="CX1101" s="156"/>
      <c r="CY1101" s="156"/>
      <c r="CZ1101" s="156"/>
      <c r="DA1101" s="156"/>
      <c r="DB1101" s="156"/>
      <c r="DC1101" s="156"/>
      <c r="DD1101" s="156"/>
      <c r="DE1101" s="156"/>
      <c r="DF1101" s="156"/>
      <c r="DG1101" s="156"/>
      <c r="DH1101" s="156"/>
      <c r="DI1101" s="156"/>
      <c r="DJ1101" s="156"/>
      <c r="DK1101" s="156"/>
      <c r="DL1101" s="156"/>
      <c r="DM1101" s="156"/>
      <c r="DN1101" s="156"/>
      <c r="DO1101" s="156"/>
      <c r="DP1101" s="156"/>
      <c r="DQ1101" s="156"/>
      <c r="DR1101" s="156"/>
      <c r="DS1101" s="156"/>
      <c r="DT1101" s="156"/>
      <c r="DU1101" s="156"/>
      <c r="DV1101" s="156"/>
      <c r="DW1101" s="156"/>
      <c r="DX1101" s="156"/>
      <c r="DY1101" s="156"/>
      <c r="DZ1101" s="156"/>
      <c r="EA1101" s="156"/>
      <c r="EB1101" s="156"/>
      <c r="EC1101" s="156"/>
      <c r="ED1101" s="156"/>
      <c r="EE1101" s="156"/>
      <c r="EF1101" s="156"/>
      <c r="EG1101" s="156"/>
      <c r="EH1101" s="156"/>
      <c r="EI1101" s="156"/>
      <c r="EJ1101" s="156"/>
      <c r="EK1101" s="156"/>
      <c r="EL1101" s="156"/>
      <c r="EM1101" s="156"/>
    </row>
    <row r="1102" spans="20:143" ht="10.5" customHeight="1">
      <c r="T1102" s="156"/>
      <c r="AZ1102" s="156"/>
      <c r="BA1102" s="156"/>
      <c r="BB1102" s="156"/>
      <c r="BC1102" s="156"/>
      <c r="BD1102" s="156"/>
      <c r="BE1102" s="156"/>
      <c r="BF1102" s="156"/>
      <c r="BG1102" s="156"/>
      <c r="BH1102" s="156"/>
      <c r="BI1102" s="156"/>
      <c r="BJ1102" s="156"/>
      <c r="BK1102" s="156"/>
      <c r="BL1102" s="156"/>
      <c r="BM1102" s="156"/>
      <c r="BN1102" s="156"/>
      <c r="BO1102" s="156"/>
      <c r="BP1102" s="156"/>
      <c r="BQ1102" s="156"/>
      <c r="BR1102" s="156"/>
      <c r="BS1102" s="156"/>
      <c r="BT1102" s="156"/>
      <c r="BU1102" s="156"/>
      <c r="BV1102" s="156"/>
      <c r="BW1102" s="156"/>
      <c r="BX1102" s="156"/>
      <c r="BY1102" s="156"/>
      <c r="BZ1102" s="156"/>
      <c r="CA1102" s="156"/>
      <c r="CB1102" s="156"/>
      <c r="CC1102" s="156"/>
      <c r="CD1102" s="156"/>
      <c r="CE1102" s="156"/>
      <c r="CF1102" s="156"/>
      <c r="CG1102" s="156"/>
      <c r="CH1102" s="156"/>
      <c r="CI1102" s="156"/>
      <c r="CJ1102" s="156"/>
      <c r="CK1102" s="156"/>
      <c r="CL1102" s="156"/>
      <c r="CM1102" s="156"/>
      <c r="CN1102" s="156"/>
      <c r="CO1102" s="156"/>
      <c r="CP1102" s="156"/>
      <c r="CQ1102" s="156"/>
      <c r="CR1102" s="156"/>
      <c r="CS1102" s="156"/>
      <c r="CT1102" s="156"/>
      <c r="CU1102" s="156"/>
      <c r="CV1102" s="156"/>
      <c r="CW1102" s="156"/>
      <c r="CX1102" s="156"/>
      <c r="CY1102" s="156"/>
      <c r="CZ1102" s="156"/>
      <c r="DA1102" s="156"/>
      <c r="DB1102" s="156"/>
      <c r="DC1102" s="156"/>
      <c r="DD1102" s="156"/>
      <c r="DE1102" s="156"/>
      <c r="DF1102" s="156"/>
      <c r="DG1102" s="156"/>
      <c r="DH1102" s="156"/>
      <c r="DI1102" s="156"/>
      <c r="DJ1102" s="156"/>
      <c r="DK1102" s="156"/>
      <c r="DL1102" s="156"/>
      <c r="DM1102" s="156"/>
      <c r="DN1102" s="156"/>
      <c r="DO1102" s="156"/>
      <c r="DP1102" s="156"/>
      <c r="DQ1102" s="156"/>
      <c r="DR1102" s="156"/>
      <c r="DS1102" s="156"/>
      <c r="DT1102" s="156"/>
      <c r="DU1102" s="156"/>
      <c r="DV1102" s="156"/>
      <c r="DW1102" s="156"/>
      <c r="DX1102" s="156"/>
      <c r="DY1102" s="156"/>
      <c r="DZ1102" s="156"/>
      <c r="EA1102" s="156"/>
      <c r="EB1102" s="156"/>
      <c r="EC1102" s="156"/>
      <c r="ED1102" s="156"/>
      <c r="EE1102" s="156"/>
      <c r="EF1102" s="156"/>
      <c r="EG1102" s="156"/>
      <c r="EH1102" s="156"/>
      <c r="EI1102" s="156"/>
      <c r="EJ1102" s="156"/>
      <c r="EK1102" s="156"/>
      <c r="EL1102" s="156"/>
      <c r="EM1102" s="156"/>
    </row>
    <row r="1103" spans="20:143" ht="10.5" customHeight="1">
      <c r="T1103" s="156"/>
      <c r="AZ1103" s="156"/>
      <c r="BA1103" s="156"/>
      <c r="BB1103" s="156"/>
      <c r="BC1103" s="156"/>
      <c r="BD1103" s="156"/>
      <c r="BE1103" s="156"/>
      <c r="BF1103" s="156"/>
      <c r="BG1103" s="156"/>
      <c r="BH1103" s="156"/>
      <c r="BI1103" s="156"/>
      <c r="BJ1103" s="156"/>
      <c r="BK1103" s="156"/>
      <c r="BL1103" s="156"/>
      <c r="BM1103" s="156"/>
      <c r="BN1103" s="156"/>
      <c r="BO1103" s="156"/>
      <c r="BP1103" s="156"/>
      <c r="BQ1103" s="156"/>
      <c r="BR1103" s="156"/>
      <c r="BS1103" s="156"/>
      <c r="BT1103" s="156"/>
      <c r="BU1103" s="156"/>
      <c r="BV1103" s="156"/>
      <c r="BW1103" s="156"/>
      <c r="BX1103" s="156"/>
      <c r="BY1103" s="156"/>
      <c r="BZ1103" s="156"/>
      <c r="CA1103" s="156"/>
      <c r="CB1103" s="156"/>
      <c r="CC1103" s="156"/>
      <c r="CD1103" s="156"/>
      <c r="CE1103" s="156"/>
      <c r="CF1103" s="156"/>
      <c r="CG1103" s="156"/>
      <c r="CH1103" s="156"/>
      <c r="CI1103" s="156"/>
      <c r="CJ1103" s="156"/>
      <c r="CK1103" s="156"/>
      <c r="CL1103" s="156"/>
      <c r="CM1103" s="156"/>
      <c r="CN1103" s="156"/>
      <c r="CO1103" s="156"/>
      <c r="CP1103" s="156"/>
      <c r="CQ1103" s="156"/>
      <c r="CR1103" s="156"/>
      <c r="CS1103" s="156"/>
      <c r="CT1103" s="156"/>
      <c r="CU1103" s="156"/>
      <c r="CV1103" s="156"/>
      <c r="CW1103" s="156"/>
      <c r="CX1103" s="156"/>
      <c r="CY1103" s="156"/>
      <c r="CZ1103" s="156"/>
      <c r="DA1103" s="156"/>
      <c r="DB1103" s="156"/>
      <c r="DC1103" s="156"/>
      <c r="DD1103" s="156"/>
      <c r="DE1103" s="156"/>
      <c r="DF1103" s="156"/>
      <c r="DG1103" s="156"/>
      <c r="DH1103" s="156"/>
      <c r="DI1103" s="156"/>
      <c r="DJ1103" s="156"/>
      <c r="DK1103" s="156"/>
      <c r="DL1103" s="156"/>
      <c r="DM1103" s="156"/>
      <c r="DN1103" s="156"/>
      <c r="DO1103" s="156"/>
      <c r="DP1103" s="156"/>
      <c r="DQ1103" s="156"/>
      <c r="DR1103" s="156"/>
      <c r="DS1103" s="156"/>
      <c r="DT1103" s="156"/>
      <c r="DU1103" s="156"/>
      <c r="DV1103" s="156"/>
      <c r="DW1103" s="156"/>
      <c r="DX1103" s="156"/>
      <c r="DY1103" s="156"/>
      <c r="DZ1103" s="156"/>
      <c r="EA1103" s="156"/>
      <c r="EB1103" s="156"/>
      <c r="EC1103" s="156"/>
      <c r="ED1103" s="156"/>
      <c r="EE1103" s="156"/>
      <c r="EF1103" s="156"/>
      <c r="EG1103" s="156"/>
      <c r="EH1103" s="156"/>
      <c r="EI1103" s="156"/>
      <c r="EJ1103" s="156"/>
      <c r="EK1103" s="156"/>
      <c r="EL1103" s="156"/>
      <c r="EM1103" s="156"/>
    </row>
    <row r="1104" spans="20:143" ht="10.5" customHeight="1">
      <c r="T1104" s="156"/>
      <c r="AZ1104" s="156"/>
      <c r="BA1104" s="156"/>
      <c r="BB1104" s="156"/>
      <c r="BC1104" s="156"/>
      <c r="BD1104" s="156"/>
      <c r="BE1104" s="156"/>
      <c r="BF1104" s="156"/>
      <c r="BG1104" s="156"/>
      <c r="BH1104" s="156"/>
      <c r="BI1104" s="156"/>
      <c r="BJ1104" s="156"/>
      <c r="BK1104" s="156"/>
      <c r="BL1104" s="156"/>
      <c r="BM1104" s="156"/>
      <c r="BN1104" s="156"/>
      <c r="BO1104" s="156"/>
      <c r="BP1104" s="156"/>
      <c r="BQ1104" s="156"/>
      <c r="BR1104" s="156"/>
      <c r="BS1104" s="156"/>
      <c r="BT1104" s="156"/>
      <c r="BU1104" s="156"/>
      <c r="BV1104" s="156"/>
      <c r="BW1104" s="156"/>
      <c r="BX1104" s="156"/>
      <c r="BY1104" s="156"/>
      <c r="BZ1104" s="156"/>
      <c r="CA1104" s="156"/>
      <c r="CB1104" s="156"/>
      <c r="CC1104" s="156"/>
      <c r="CD1104" s="156"/>
      <c r="CE1104" s="156"/>
      <c r="CF1104" s="156"/>
      <c r="CG1104" s="156"/>
      <c r="CH1104" s="156"/>
      <c r="CI1104" s="156"/>
      <c r="CJ1104" s="156"/>
      <c r="CK1104" s="156"/>
      <c r="CL1104" s="156"/>
      <c r="CM1104" s="156"/>
      <c r="CN1104" s="156"/>
      <c r="CO1104" s="156"/>
      <c r="CP1104" s="156"/>
      <c r="CQ1104" s="156"/>
      <c r="CR1104" s="156"/>
      <c r="CS1104" s="156"/>
      <c r="CT1104" s="156"/>
      <c r="CU1104" s="156"/>
      <c r="CV1104" s="156"/>
      <c r="CW1104" s="156"/>
      <c r="CX1104" s="156"/>
      <c r="CY1104" s="156"/>
      <c r="CZ1104" s="156"/>
      <c r="DA1104" s="156"/>
      <c r="DB1104" s="156"/>
      <c r="DC1104" s="156"/>
      <c r="DD1104" s="156"/>
      <c r="DE1104" s="156"/>
      <c r="DF1104" s="156"/>
      <c r="DG1104" s="156"/>
      <c r="DH1104" s="156"/>
      <c r="DI1104" s="156"/>
      <c r="DJ1104" s="156"/>
      <c r="DK1104" s="156"/>
      <c r="DL1104" s="156"/>
      <c r="DM1104" s="156"/>
      <c r="DN1104" s="156"/>
      <c r="DO1104" s="156"/>
      <c r="DP1104" s="156"/>
      <c r="DQ1104" s="156"/>
      <c r="DR1104" s="156"/>
      <c r="DS1104" s="156"/>
      <c r="DT1104" s="156"/>
      <c r="DU1104" s="156"/>
      <c r="DV1104" s="156"/>
      <c r="DW1104" s="156"/>
      <c r="DX1104" s="156"/>
      <c r="DY1104" s="156"/>
      <c r="DZ1104" s="156"/>
      <c r="EA1104" s="156"/>
      <c r="EB1104" s="156"/>
      <c r="EC1104" s="156"/>
      <c r="ED1104" s="156"/>
      <c r="EE1104" s="156"/>
      <c r="EF1104" s="156"/>
      <c r="EG1104" s="156"/>
      <c r="EH1104" s="156"/>
      <c r="EI1104" s="156"/>
      <c r="EJ1104" s="156"/>
      <c r="EK1104" s="156"/>
      <c r="EL1104" s="156"/>
      <c r="EM1104" s="156"/>
    </row>
    <row r="1105" spans="20:143" ht="10.5" customHeight="1">
      <c r="T1105" s="156"/>
      <c r="AZ1105" s="156"/>
      <c r="BA1105" s="156"/>
      <c r="BB1105" s="156"/>
      <c r="BC1105" s="156"/>
      <c r="BD1105" s="156"/>
      <c r="BE1105" s="156"/>
      <c r="BF1105" s="156"/>
      <c r="BG1105" s="156"/>
      <c r="BH1105" s="156"/>
      <c r="BI1105" s="156"/>
      <c r="BJ1105" s="156"/>
      <c r="BK1105" s="156"/>
      <c r="BL1105" s="156"/>
      <c r="BM1105" s="156"/>
      <c r="BN1105" s="156"/>
      <c r="BO1105" s="156"/>
      <c r="BP1105" s="156"/>
      <c r="BQ1105" s="156"/>
      <c r="BR1105" s="156"/>
      <c r="BS1105" s="156"/>
      <c r="BT1105" s="156"/>
      <c r="BU1105" s="156"/>
      <c r="BV1105" s="156"/>
      <c r="BW1105" s="156"/>
      <c r="BX1105" s="156"/>
      <c r="BY1105" s="156"/>
      <c r="BZ1105" s="156"/>
      <c r="CA1105" s="156"/>
      <c r="CB1105" s="156"/>
      <c r="CC1105" s="156"/>
      <c r="CD1105" s="156"/>
      <c r="CE1105" s="156"/>
      <c r="CF1105" s="156"/>
      <c r="CG1105" s="156"/>
      <c r="CH1105" s="156"/>
      <c r="CI1105" s="156"/>
      <c r="CJ1105" s="156"/>
      <c r="CK1105" s="156"/>
      <c r="CL1105" s="156"/>
      <c r="CM1105" s="156"/>
      <c r="CN1105" s="156"/>
      <c r="CO1105" s="156"/>
      <c r="CP1105" s="156"/>
      <c r="CQ1105" s="156"/>
      <c r="CR1105" s="156"/>
      <c r="CS1105" s="156"/>
      <c r="CT1105" s="156"/>
      <c r="CU1105" s="156"/>
      <c r="CV1105" s="156"/>
      <c r="CW1105" s="156"/>
      <c r="CX1105" s="156"/>
      <c r="CY1105" s="156"/>
      <c r="CZ1105" s="156"/>
      <c r="DA1105" s="156"/>
      <c r="DB1105" s="156"/>
      <c r="DC1105" s="156"/>
      <c r="DD1105" s="156"/>
      <c r="DE1105" s="156"/>
      <c r="DF1105" s="156"/>
      <c r="DG1105" s="156"/>
      <c r="DH1105" s="156"/>
      <c r="DI1105" s="156"/>
      <c r="DJ1105" s="156"/>
      <c r="DK1105" s="156"/>
      <c r="DL1105" s="156"/>
      <c r="DM1105" s="156"/>
      <c r="DN1105" s="156"/>
      <c r="DO1105" s="156"/>
      <c r="DP1105" s="156"/>
      <c r="DQ1105" s="156"/>
      <c r="DR1105" s="156"/>
      <c r="DS1105" s="156"/>
      <c r="DT1105" s="156"/>
      <c r="DU1105" s="156"/>
      <c r="DV1105" s="156"/>
      <c r="DW1105" s="156"/>
      <c r="DX1105" s="156"/>
      <c r="DY1105" s="156"/>
      <c r="DZ1105" s="156"/>
      <c r="EA1105" s="156"/>
      <c r="EB1105" s="156"/>
      <c r="EC1105" s="156"/>
      <c r="ED1105" s="156"/>
      <c r="EE1105" s="156"/>
      <c r="EF1105" s="156"/>
      <c r="EG1105" s="156"/>
      <c r="EH1105" s="156"/>
      <c r="EI1105" s="156"/>
      <c r="EJ1105" s="156"/>
      <c r="EK1105" s="156"/>
      <c r="EL1105" s="156"/>
      <c r="EM1105" s="156"/>
    </row>
    <row r="1106" spans="20:143" ht="10.5" customHeight="1">
      <c r="T1106" s="156"/>
      <c r="AZ1106" s="156"/>
      <c r="BA1106" s="156"/>
      <c r="BB1106" s="156"/>
      <c r="BC1106" s="156"/>
      <c r="BD1106" s="156"/>
      <c r="BE1106" s="156"/>
      <c r="BF1106" s="156"/>
      <c r="BG1106" s="156"/>
      <c r="BH1106" s="156"/>
      <c r="BI1106" s="156"/>
      <c r="BJ1106" s="156"/>
      <c r="BK1106" s="156"/>
      <c r="BL1106" s="156"/>
      <c r="BM1106" s="156"/>
      <c r="BN1106" s="156"/>
      <c r="BO1106" s="156"/>
      <c r="BP1106" s="156"/>
      <c r="BQ1106" s="156"/>
      <c r="BR1106" s="156"/>
      <c r="BS1106" s="156"/>
      <c r="BT1106" s="156"/>
      <c r="BU1106" s="156"/>
      <c r="BV1106" s="156"/>
      <c r="BW1106" s="156"/>
      <c r="BX1106" s="156"/>
      <c r="BY1106" s="156"/>
      <c r="BZ1106" s="156"/>
      <c r="CA1106" s="156"/>
      <c r="CB1106" s="156"/>
      <c r="CC1106" s="156"/>
      <c r="CD1106" s="156"/>
      <c r="CE1106" s="156"/>
      <c r="CF1106" s="156"/>
      <c r="CG1106" s="156"/>
      <c r="CH1106" s="156"/>
      <c r="CI1106" s="156"/>
      <c r="CJ1106" s="156"/>
      <c r="CK1106" s="156"/>
      <c r="CL1106" s="156"/>
      <c r="CM1106" s="156"/>
      <c r="CN1106" s="156"/>
      <c r="CO1106" s="156"/>
      <c r="CP1106" s="156"/>
      <c r="CQ1106" s="156"/>
      <c r="CR1106" s="156"/>
      <c r="CS1106" s="156"/>
      <c r="CT1106" s="156"/>
      <c r="CU1106" s="156"/>
      <c r="CV1106" s="156"/>
      <c r="CW1106" s="156"/>
      <c r="CX1106" s="156"/>
      <c r="CY1106" s="156"/>
      <c r="CZ1106" s="156"/>
      <c r="DA1106" s="156"/>
      <c r="DB1106" s="156"/>
      <c r="DC1106" s="156"/>
      <c r="DD1106" s="156"/>
      <c r="DE1106" s="156"/>
      <c r="DF1106" s="156"/>
      <c r="DG1106" s="156"/>
      <c r="DH1106" s="156"/>
      <c r="DI1106" s="156"/>
      <c r="DJ1106" s="156"/>
      <c r="DK1106" s="156"/>
      <c r="DL1106" s="156"/>
      <c r="DM1106" s="156"/>
      <c r="DN1106" s="156"/>
      <c r="DO1106" s="156"/>
      <c r="DP1106" s="156"/>
      <c r="DQ1106" s="156"/>
      <c r="DR1106" s="156"/>
      <c r="DS1106" s="156"/>
      <c r="DT1106" s="156"/>
      <c r="DU1106" s="156"/>
      <c r="DV1106" s="156"/>
      <c r="DW1106" s="156"/>
      <c r="DX1106" s="156"/>
      <c r="DY1106" s="156"/>
      <c r="DZ1106" s="156"/>
      <c r="EA1106" s="156"/>
      <c r="EB1106" s="156"/>
      <c r="EC1106" s="156"/>
      <c r="ED1106" s="156"/>
      <c r="EE1106" s="156"/>
      <c r="EF1106" s="156"/>
      <c r="EG1106" s="156"/>
      <c r="EH1106" s="156"/>
      <c r="EI1106" s="156"/>
      <c r="EJ1106" s="156"/>
      <c r="EK1106" s="156"/>
      <c r="EL1106" s="156"/>
      <c r="EM1106" s="156"/>
    </row>
    <row r="1107" spans="20:143" ht="10.5" customHeight="1">
      <c r="T1107" s="156"/>
      <c r="AZ1107" s="156"/>
      <c r="BA1107" s="156"/>
      <c r="BB1107" s="156"/>
      <c r="BC1107" s="156"/>
      <c r="BD1107" s="156"/>
      <c r="BE1107" s="156"/>
      <c r="BF1107" s="156"/>
      <c r="BG1107" s="156"/>
      <c r="BH1107" s="156"/>
      <c r="BI1107" s="156"/>
      <c r="BJ1107" s="156"/>
      <c r="BK1107" s="156"/>
      <c r="BL1107" s="156"/>
      <c r="BM1107" s="156"/>
      <c r="BN1107" s="156"/>
      <c r="BO1107" s="156"/>
      <c r="BP1107" s="156"/>
      <c r="BQ1107" s="156"/>
      <c r="BR1107" s="156"/>
      <c r="BS1107" s="156"/>
      <c r="BT1107" s="156"/>
      <c r="BU1107" s="156"/>
      <c r="BV1107" s="156"/>
      <c r="BW1107" s="156"/>
      <c r="BX1107" s="156"/>
      <c r="BY1107" s="156"/>
      <c r="BZ1107" s="156"/>
      <c r="CA1107" s="156"/>
      <c r="CB1107" s="156"/>
      <c r="CC1107" s="156"/>
      <c r="CD1107" s="156"/>
      <c r="CE1107" s="156"/>
      <c r="CF1107" s="156"/>
      <c r="CG1107" s="156"/>
      <c r="CH1107" s="156"/>
      <c r="CI1107" s="156"/>
      <c r="CJ1107" s="156"/>
      <c r="CK1107" s="156"/>
      <c r="CL1107" s="156"/>
      <c r="CM1107" s="156"/>
      <c r="CN1107" s="156"/>
      <c r="CO1107" s="156"/>
      <c r="CP1107" s="156"/>
      <c r="CQ1107" s="156"/>
      <c r="CR1107" s="156"/>
      <c r="CS1107" s="156"/>
      <c r="CT1107" s="156"/>
      <c r="CU1107" s="156"/>
      <c r="CV1107" s="156"/>
      <c r="CW1107" s="156"/>
      <c r="CX1107" s="156"/>
      <c r="CY1107" s="156"/>
      <c r="CZ1107" s="156"/>
      <c r="DA1107" s="156"/>
      <c r="DB1107" s="156"/>
      <c r="DC1107" s="156"/>
      <c r="DD1107" s="156"/>
      <c r="DE1107" s="156"/>
      <c r="DF1107" s="156"/>
      <c r="DG1107" s="156"/>
      <c r="DH1107" s="156"/>
      <c r="DI1107" s="156"/>
      <c r="DJ1107" s="156"/>
      <c r="DK1107" s="156"/>
      <c r="DL1107" s="156"/>
      <c r="DM1107" s="156"/>
      <c r="DN1107" s="156"/>
      <c r="DO1107" s="156"/>
      <c r="DP1107" s="156"/>
      <c r="DQ1107" s="156"/>
      <c r="DR1107" s="156"/>
      <c r="DS1107" s="156"/>
      <c r="DT1107" s="156"/>
      <c r="DU1107" s="156"/>
      <c r="DV1107" s="156"/>
      <c r="DW1107" s="156"/>
      <c r="DX1107" s="156"/>
      <c r="DY1107" s="156"/>
      <c r="DZ1107" s="156"/>
      <c r="EA1107" s="156"/>
      <c r="EB1107" s="156"/>
      <c r="EC1107" s="156"/>
      <c r="ED1107" s="156"/>
      <c r="EE1107" s="156"/>
      <c r="EF1107" s="156"/>
      <c r="EG1107" s="156"/>
      <c r="EH1107" s="156"/>
      <c r="EI1107" s="156"/>
      <c r="EJ1107" s="156"/>
      <c r="EK1107" s="156"/>
      <c r="EL1107" s="156"/>
      <c r="EM1107" s="156"/>
    </row>
    <row r="1108" spans="20:143" ht="10.5" customHeight="1">
      <c r="T1108" s="156"/>
      <c r="AZ1108" s="156"/>
      <c r="BA1108" s="156"/>
      <c r="BB1108" s="156"/>
      <c r="BC1108" s="156"/>
      <c r="BD1108" s="156"/>
      <c r="BE1108" s="156"/>
      <c r="BF1108" s="156"/>
      <c r="BG1108" s="156"/>
      <c r="BH1108" s="156"/>
      <c r="BI1108" s="156"/>
      <c r="BJ1108" s="156"/>
      <c r="BK1108" s="156"/>
      <c r="BL1108" s="156"/>
      <c r="BM1108" s="156"/>
      <c r="BN1108" s="156"/>
      <c r="BO1108" s="156"/>
      <c r="BP1108" s="156"/>
      <c r="BQ1108" s="156"/>
      <c r="BR1108" s="156"/>
      <c r="BS1108" s="156"/>
      <c r="BT1108" s="156"/>
      <c r="BU1108" s="156"/>
      <c r="BV1108" s="156"/>
      <c r="BW1108" s="156"/>
      <c r="BX1108" s="156"/>
      <c r="BY1108" s="156"/>
      <c r="BZ1108" s="156"/>
      <c r="CA1108" s="156"/>
      <c r="CB1108" s="156"/>
      <c r="CC1108" s="156"/>
      <c r="CD1108" s="156"/>
      <c r="CE1108" s="156"/>
      <c r="CF1108" s="156"/>
      <c r="CG1108" s="156"/>
      <c r="CH1108" s="156"/>
      <c r="CI1108" s="156"/>
      <c r="CJ1108" s="156"/>
      <c r="CK1108" s="156"/>
      <c r="CL1108" s="156"/>
      <c r="CM1108" s="156"/>
      <c r="CN1108" s="156"/>
      <c r="CO1108" s="156"/>
      <c r="CP1108" s="156"/>
      <c r="CQ1108" s="156"/>
      <c r="CR1108" s="156"/>
      <c r="CS1108" s="156"/>
      <c r="CT1108" s="156"/>
      <c r="CU1108" s="156"/>
      <c r="CV1108" s="156"/>
      <c r="CW1108" s="156"/>
      <c r="CX1108" s="156"/>
      <c r="CY1108" s="156"/>
      <c r="CZ1108" s="156"/>
      <c r="DA1108" s="156"/>
      <c r="DB1108" s="156"/>
      <c r="DC1108" s="156"/>
      <c r="DD1108" s="156"/>
      <c r="DE1108" s="156"/>
      <c r="DF1108" s="156"/>
      <c r="DG1108" s="156"/>
      <c r="DH1108" s="156"/>
      <c r="DI1108" s="156"/>
      <c r="DJ1108" s="156"/>
      <c r="DK1108" s="156"/>
      <c r="DL1108" s="156"/>
      <c r="DM1108" s="156"/>
      <c r="DN1108" s="156"/>
      <c r="DO1108" s="156"/>
      <c r="DP1108" s="156"/>
      <c r="DQ1108" s="156"/>
      <c r="DR1108" s="156"/>
      <c r="DS1108" s="156"/>
      <c r="DT1108" s="156"/>
      <c r="DU1108" s="156"/>
      <c r="DV1108" s="156"/>
      <c r="DW1108" s="156"/>
      <c r="DX1108" s="156"/>
      <c r="DY1108" s="156"/>
      <c r="DZ1108" s="156"/>
      <c r="EA1108" s="156"/>
      <c r="EB1108" s="156"/>
      <c r="EC1108" s="156"/>
      <c r="ED1108" s="156"/>
      <c r="EE1108" s="156"/>
      <c r="EF1108" s="156"/>
      <c r="EG1108" s="156"/>
      <c r="EH1108" s="156"/>
      <c r="EI1108" s="156"/>
      <c r="EJ1108" s="156"/>
      <c r="EK1108" s="156"/>
      <c r="EL1108" s="156"/>
      <c r="EM1108" s="156"/>
    </row>
    <row r="1109" spans="20:143" ht="10.5" customHeight="1">
      <c r="T1109" s="156"/>
      <c r="AZ1109" s="156"/>
      <c r="BA1109" s="156"/>
      <c r="BB1109" s="156"/>
      <c r="BC1109" s="156"/>
      <c r="BD1109" s="156"/>
      <c r="BE1109" s="156"/>
      <c r="BF1109" s="156"/>
      <c r="BG1109" s="156"/>
      <c r="BH1109" s="156"/>
      <c r="BI1109" s="156"/>
      <c r="BJ1109" s="156"/>
      <c r="BK1109" s="156"/>
      <c r="BL1109" s="156"/>
      <c r="BM1109" s="156"/>
      <c r="BN1109" s="156"/>
      <c r="BO1109" s="156"/>
      <c r="BP1109" s="156"/>
      <c r="BQ1109" s="156"/>
      <c r="BR1109" s="156"/>
      <c r="BS1109" s="156"/>
      <c r="BT1109" s="156"/>
      <c r="BU1109" s="156"/>
      <c r="BV1109" s="156"/>
      <c r="BW1109" s="156"/>
      <c r="BX1109" s="156"/>
      <c r="BY1109" s="156"/>
      <c r="BZ1109" s="156"/>
      <c r="CA1109" s="156"/>
      <c r="CB1109" s="156"/>
      <c r="CC1109" s="156"/>
      <c r="CD1109" s="156"/>
      <c r="CE1109" s="156"/>
      <c r="CF1109" s="156"/>
      <c r="CG1109" s="156"/>
      <c r="CH1109" s="156"/>
      <c r="CI1109" s="156"/>
      <c r="CJ1109" s="156"/>
      <c r="CK1109" s="156"/>
      <c r="CL1109" s="156"/>
      <c r="CM1109" s="156"/>
      <c r="CN1109" s="156"/>
      <c r="CO1109" s="156"/>
      <c r="CP1109" s="156"/>
      <c r="CQ1109" s="156"/>
      <c r="CR1109" s="156"/>
      <c r="CS1109" s="156"/>
      <c r="CT1109" s="156"/>
      <c r="CU1109" s="156"/>
      <c r="CV1109" s="156"/>
      <c r="CW1109" s="156"/>
      <c r="CX1109" s="156"/>
      <c r="CY1109" s="156"/>
      <c r="CZ1109" s="156"/>
      <c r="DA1109" s="156"/>
      <c r="DB1109" s="156"/>
      <c r="DC1109" s="156"/>
      <c r="DD1109" s="156"/>
      <c r="DE1109" s="156"/>
      <c r="DF1109" s="156"/>
      <c r="DG1109" s="156"/>
      <c r="DH1109" s="156"/>
      <c r="DI1109" s="156"/>
      <c r="DJ1109" s="156"/>
      <c r="DK1109" s="156"/>
      <c r="DL1109" s="156"/>
      <c r="DM1109" s="156"/>
      <c r="DN1109" s="156"/>
      <c r="DO1109" s="156"/>
      <c r="DP1109" s="156"/>
      <c r="DQ1109" s="156"/>
      <c r="DR1109" s="156"/>
      <c r="DS1109" s="156"/>
      <c r="DT1109" s="156"/>
      <c r="DU1109" s="156"/>
      <c r="DV1109" s="156"/>
      <c r="DW1109" s="156"/>
      <c r="DX1109" s="156"/>
      <c r="DY1109" s="156"/>
      <c r="DZ1109" s="156"/>
      <c r="EA1109" s="156"/>
      <c r="EB1109" s="156"/>
      <c r="EC1109" s="156"/>
      <c r="ED1109" s="156"/>
      <c r="EE1109" s="156"/>
      <c r="EF1109" s="156"/>
      <c r="EG1109" s="156"/>
      <c r="EH1109" s="156"/>
      <c r="EI1109" s="156"/>
      <c r="EJ1109" s="156"/>
      <c r="EK1109" s="156"/>
      <c r="EL1109" s="156"/>
      <c r="EM1109" s="156"/>
    </row>
    <row r="1110" spans="20:143" ht="10.5" customHeight="1">
      <c r="T1110" s="156"/>
      <c r="AZ1110" s="156"/>
      <c r="BA1110" s="156"/>
      <c r="BB1110" s="156"/>
      <c r="BC1110" s="156"/>
      <c r="BD1110" s="156"/>
      <c r="BE1110" s="156"/>
      <c r="BF1110" s="156"/>
      <c r="BG1110" s="156"/>
      <c r="BH1110" s="156"/>
      <c r="BI1110" s="156"/>
      <c r="BJ1110" s="156"/>
      <c r="BK1110" s="156"/>
      <c r="BL1110" s="156"/>
      <c r="BM1110" s="156"/>
      <c r="BN1110" s="156"/>
      <c r="BO1110" s="156"/>
      <c r="BP1110" s="156"/>
      <c r="BQ1110" s="156"/>
      <c r="BR1110" s="156"/>
      <c r="BS1110" s="156"/>
      <c r="BT1110" s="156"/>
      <c r="BU1110" s="156"/>
      <c r="BV1110" s="156"/>
      <c r="BW1110" s="156"/>
      <c r="BX1110" s="156"/>
      <c r="BY1110" s="156"/>
      <c r="BZ1110" s="156"/>
      <c r="CA1110" s="156"/>
      <c r="CB1110" s="156"/>
      <c r="CC1110" s="156"/>
      <c r="CD1110" s="156"/>
      <c r="CE1110" s="156"/>
      <c r="CF1110" s="156"/>
      <c r="CG1110" s="156"/>
      <c r="CH1110" s="156"/>
      <c r="CI1110" s="156"/>
      <c r="CJ1110" s="156"/>
      <c r="CK1110" s="156"/>
      <c r="CL1110" s="156"/>
      <c r="CM1110" s="156"/>
      <c r="CN1110" s="156"/>
      <c r="CO1110" s="156"/>
      <c r="CP1110" s="156"/>
      <c r="CQ1110" s="156"/>
      <c r="CR1110" s="156"/>
      <c r="CS1110" s="156"/>
      <c r="CT1110" s="156"/>
      <c r="CU1110" s="156"/>
      <c r="CV1110" s="156"/>
      <c r="CW1110" s="156"/>
      <c r="CX1110" s="156"/>
      <c r="CY1110" s="156"/>
      <c r="CZ1110" s="156"/>
      <c r="DA1110" s="156"/>
      <c r="DB1110" s="156"/>
      <c r="DC1110" s="156"/>
      <c r="DD1110" s="156"/>
      <c r="DE1110" s="156"/>
      <c r="DF1110" s="156"/>
      <c r="DG1110" s="156"/>
      <c r="DH1110" s="156"/>
      <c r="DI1110" s="156"/>
      <c r="DJ1110" s="156"/>
      <c r="DK1110" s="156"/>
      <c r="DL1110" s="156"/>
      <c r="DM1110" s="156"/>
      <c r="DN1110" s="156"/>
      <c r="DO1110" s="156"/>
      <c r="DP1110" s="156"/>
      <c r="DQ1110" s="156"/>
      <c r="DR1110" s="156"/>
      <c r="DS1110" s="156"/>
      <c r="DT1110" s="156"/>
      <c r="DU1110" s="156"/>
      <c r="DV1110" s="156"/>
      <c r="DW1110" s="156"/>
      <c r="DX1110" s="156"/>
      <c r="DY1110" s="156"/>
      <c r="DZ1110" s="156"/>
      <c r="EA1110" s="156"/>
      <c r="EB1110" s="156"/>
      <c r="EC1110" s="156"/>
      <c r="ED1110" s="156"/>
      <c r="EE1110" s="156"/>
      <c r="EF1110" s="156"/>
      <c r="EG1110" s="156"/>
      <c r="EH1110" s="156"/>
      <c r="EI1110" s="156"/>
      <c r="EJ1110" s="156"/>
      <c r="EK1110" s="156"/>
      <c r="EL1110" s="156"/>
      <c r="EM1110" s="156"/>
    </row>
    <row r="1111" spans="20:143" ht="10.5" customHeight="1">
      <c r="T1111" s="156"/>
      <c r="AZ1111" s="156"/>
      <c r="BA1111" s="156"/>
      <c r="BB1111" s="156"/>
      <c r="BC1111" s="156"/>
      <c r="BD1111" s="156"/>
      <c r="BE1111" s="156"/>
      <c r="BF1111" s="156"/>
      <c r="BG1111" s="156"/>
      <c r="BH1111" s="156"/>
      <c r="BI1111" s="156"/>
      <c r="BJ1111" s="156"/>
      <c r="BK1111" s="156"/>
      <c r="BL1111" s="156"/>
      <c r="BM1111" s="156"/>
      <c r="BN1111" s="156"/>
      <c r="BO1111" s="156"/>
      <c r="BP1111" s="156"/>
      <c r="BQ1111" s="156"/>
      <c r="BR1111" s="156"/>
      <c r="BS1111" s="156"/>
      <c r="BT1111" s="156"/>
      <c r="BU1111" s="156"/>
      <c r="BV1111" s="156"/>
      <c r="BW1111" s="156"/>
      <c r="BX1111" s="156"/>
      <c r="BY1111" s="156"/>
      <c r="BZ1111" s="156"/>
      <c r="CA1111" s="156"/>
      <c r="CB1111" s="156"/>
      <c r="CC1111" s="156"/>
      <c r="CD1111" s="156"/>
      <c r="CE1111" s="156"/>
      <c r="CF1111" s="156"/>
      <c r="CG1111" s="156"/>
      <c r="CH1111" s="156"/>
      <c r="CI1111" s="156"/>
      <c r="CJ1111" s="156"/>
      <c r="CK1111" s="156"/>
      <c r="CL1111" s="156"/>
      <c r="CM1111" s="156"/>
      <c r="CN1111" s="156"/>
      <c r="CO1111" s="156"/>
      <c r="CP1111" s="156"/>
      <c r="CQ1111" s="156"/>
      <c r="CR1111" s="156"/>
      <c r="CS1111" s="156"/>
      <c r="CT1111" s="156"/>
      <c r="CU1111" s="156"/>
      <c r="CV1111" s="156"/>
      <c r="CW1111" s="156"/>
      <c r="CX1111" s="156"/>
      <c r="CY1111" s="156"/>
      <c r="CZ1111" s="156"/>
      <c r="DA1111" s="156"/>
      <c r="DB1111" s="156"/>
      <c r="DC1111" s="156"/>
      <c r="DD1111" s="156"/>
      <c r="DE1111" s="156"/>
      <c r="DF1111" s="156"/>
      <c r="DG1111" s="156"/>
      <c r="DH1111" s="156"/>
      <c r="DI1111" s="156"/>
      <c r="DJ1111" s="156"/>
      <c r="DK1111" s="156"/>
      <c r="DL1111" s="156"/>
      <c r="DM1111" s="156"/>
      <c r="DN1111" s="156"/>
      <c r="DO1111" s="156"/>
      <c r="DP1111" s="156"/>
      <c r="DQ1111" s="156"/>
      <c r="DR1111" s="156"/>
      <c r="DS1111" s="156"/>
      <c r="DT1111" s="156"/>
      <c r="DU1111" s="156"/>
      <c r="DV1111" s="156"/>
      <c r="DW1111" s="156"/>
      <c r="DX1111" s="156"/>
      <c r="DY1111" s="156"/>
      <c r="DZ1111" s="156"/>
      <c r="EA1111" s="156"/>
      <c r="EB1111" s="156"/>
      <c r="EC1111" s="156"/>
      <c r="ED1111" s="156"/>
      <c r="EE1111" s="156"/>
      <c r="EF1111" s="156"/>
      <c r="EG1111" s="156"/>
      <c r="EH1111" s="156"/>
      <c r="EI1111" s="156"/>
      <c r="EJ1111" s="156"/>
      <c r="EK1111" s="156"/>
      <c r="EL1111" s="156"/>
      <c r="EM1111" s="156"/>
    </row>
    <row r="1112" spans="20:143" ht="10.5" customHeight="1">
      <c r="T1112" s="156"/>
      <c r="AZ1112" s="156"/>
      <c r="BA1112" s="156"/>
      <c r="BB1112" s="156"/>
      <c r="BC1112" s="156"/>
      <c r="BD1112" s="156"/>
      <c r="BE1112" s="156"/>
      <c r="BF1112" s="156"/>
      <c r="BG1112" s="156"/>
      <c r="BH1112" s="156"/>
      <c r="BI1112" s="156"/>
      <c r="BJ1112" s="156"/>
      <c r="BK1112" s="156"/>
      <c r="BL1112" s="156"/>
      <c r="BM1112" s="156"/>
      <c r="BN1112" s="156"/>
      <c r="BO1112" s="156"/>
      <c r="BP1112" s="156"/>
      <c r="BQ1112" s="156"/>
      <c r="BR1112" s="156"/>
      <c r="BS1112" s="156"/>
      <c r="BT1112" s="156"/>
      <c r="BU1112" s="156"/>
      <c r="BV1112" s="156"/>
      <c r="BW1112" s="156"/>
      <c r="BX1112" s="156"/>
      <c r="BY1112" s="156"/>
      <c r="BZ1112" s="156"/>
      <c r="CA1112" s="156"/>
      <c r="CB1112" s="156"/>
      <c r="CC1112" s="156"/>
      <c r="CD1112" s="156"/>
      <c r="CE1112" s="156"/>
      <c r="CF1112" s="156"/>
      <c r="CG1112" s="156"/>
      <c r="CH1112" s="156"/>
      <c r="CI1112" s="156"/>
      <c r="CJ1112" s="156"/>
      <c r="CK1112" s="156"/>
      <c r="CL1112" s="156"/>
      <c r="CM1112" s="156"/>
      <c r="CN1112" s="156"/>
      <c r="CO1112" s="156"/>
      <c r="CP1112" s="156"/>
      <c r="CQ1112" s="156"/>
      <c r="CR1112" s="156"/>
      <c r="CS1112" s="156"/>
      <c r="CT1112" s="156"/>
      <c r="CU1112" s="156"/>
      <c r="CV1112" s="156"/>
      <c r="CW1112" s="156"/>
      <c r="CX1112" s="156"/>
      <c r="CY1112" s="156"/>
      <c r="CZ1112" s="156"/>
      <c r="DA1112" s="156"/>
      <c r="DB1112" s="156"/>
      <c r="DC1112" s="156"/>
      <c r="DD1112" s="156"/>
      <c r="DE1112" s="156"/>
      <c r="DF1112" s="156"/>
      <c r="DG1112" s="156"/>
      <c r="DH1112" s="156"/>
      <c r="DI1112" s="156"/>
      <c r="DJ1112" s="156"/>
      <c r="DK1112" s="156"/>
      <c r="DL1112" s="156"/>
      <c r="DM1112" s="156"/>
      <c r="DN1112" s="156"/>
      <c r="DO1112" s="156"/>
      <c r="DP1112" s="156"/>
      <c r="DQ1112" s="156"/>
      <c r="DR1112" s="156"/>
      <c r="DS1112" s="156"/>
      <c r="DT1112" s="156"/>
      <c r="DU1112" s="156"/>
      <c r="DV1112" s="156"/>
      <c r="DW1112" s="156"/>
      <c r="DX1112" s="156"/>
      <c r="DY1112" s="156"/>
      <c r="DZ1112" s="156"/>
      <c r="EA1112" s="156"/>
      <c r="EB1112" s="156"/>
      <c r="EC1112" s="156"/>
      <c r="ED1112" s="156"/>
      <c r="EE1112" s="156"/>
      <c r="EF1112" s="156"/>
      <c r="EG1112" s="156"/>
      <c r="EH1112" s="156"/>
      <c r="EI1112" s="156"/>
      <c r="EJ1112" s="156"/>
      <c r="EK1112" s="156"/>
      <c r="EL1112" s="156"/>
      <c r="EM1112" s="156"/>
    </row>
    <row r="1113" spans="20:143" ht="10.5" customHeight="1">
      <c r="T1113" s="156"/>
      <c r="AZ1113" s="156"/>
      <c r="BA1113" s="156"/>
      <c r="BB1113" s="156"/>
      <c r="BC1113" s="156"/>
      <c r="BD1113" s="156"/>
      <c r="BE1113" s="156"/>
      <c r="BF1113" s="156"/>
      <c r="BG1113" s="156"/>
      <c r="BH1113" s="156"/>
      <c r="BI1113" s="156"/>
      <c r="BJ1113" s="156"/>
      <c r="BK1113" s="156"/>
      <c r="BL1113" s="156"/>
      <c r="BM1113" s="156"/>
      <c r="BN1113" s="156"/>
      <c r="BO1113" s="156"/>
      <c r="BP1113" s="156"/>
      <c r="BQ1113" s="156"/>
      <c r="BR1113" s="156"/>
      <c r="BS1113" s="156"/>
      <c r="BT1113" s="156"/>
      <c r="BU1113" s="156"/>
      <c r="BV1113" s="156"/>
      <c r="BW1113" s="156"/>
      <c r="BX1113" s="156"/>
      <c r="BY1113" s="156"/>
      <c r="BZ1113" s="156"/>
      <c r="CA1113" s="156"/>
      <c r="CB1113" s="156"/>
      <c r="CC1113" s="156"/>
      <c r="CD1113" s="156"/>
      <c r="CE1113" s="156"/>
      <c r="CF1113" s="156"/>
      <c r="CG1113" s="156"/>
      <c r="CH1113" s="156"/>
      <c r="CI1113" s="156"/>
      <c r="CJ1113" s="156"/>
      <c r="CK1113" s="156"/>
      <c r="CL1113" s="156"/>
      <c r="CM1113" s="156"/>
      <c r="CN1113" s="156"/>
      <c r="CO1113" s="156"/>
      <c r="CP1113" s="156"/>
      <c r="CQ1113" s="156"/>
      <c r="CR1113" s="156"/>
      <c r="CS1113" s="156"/>
      <c r="CT1113" s="156"/>
      <c r="CU1113" s="156"/>
      <c r="CV1113" s="156"/>
      <c r="CW1113" s="156"/>
      <c r="CX1113" s="156"/>
      <c r="CY1113" s="156"/>
      <c r="CZ1113" s="156"/>
      <c r="DA1113" s="156"/>
      <c r="DB1113" s="156"/>
      <c r="DC1113" s="156"/>
      <c r="DD1113" s="156"/>
      <c r="DE1113" s="156"/>
      <c r="DF1113" s="156"/>
      <c r="DG1113" s="156"/>
      <c r="DH1113" s="156"/>
      <c r="DI1113" s="156"/>
      <c r="DJ1113" s="156"/>
      <c r="DK1113" s="156"/>
      <c r="DL1113" s="156"/>
      <c r="DM1113" s="156"/>
      <c r="DN1113" s="156"/>
      <c r="DO1113" s="156"/>
      <c r="DP1113" s="156"/>
      <c r="DQ1113" s="156"/>
      <c r="DR1113" s="156"/>
      <c r="DS1113" s="156"/>
      <c r="DT1113" s="156"/>
      <c r="DU1113" s="156"/>
      <c r="DV1113" s="156"/>
      <c r="DW1113" s="156"/>
      <c r="DX1113" s="156"/>
      <c r="DY1113" s="156"/>
      <c r="DZ1113" s="156"/>
      <c r="EA1113" s="156"/>
      <c r="EB1113" s="156"/>
      <c r="EC1113" s="156"/>
      <c r="ED1113" s="156"/>
      <c r="EE1113" s="156"/>
      <c r="EF1113" s="156"/>
      <c r="EG1113" s="156"/>
      <c r="EH1113" s="156"/>
      <c r="EI1113" s="156"/>
      <c r="EJ1113" s="156"/>
      <c r="EK1113" s="156"/>
      <c r="EL1113" s="156"/>
      <c r="EM1113" s="156"/>
    </row>
    <row r="1114" spans="20:143" ht="10.5" customHeight="1">
      <c r="T1114" s="156"/>
      <c r="AZ1114" s="156"/>
      <c r="BA1114" s="156"/>
      <c r="BB1114" s="156"/>
      <c r="BC1114" s="156"/>
      <c r="BD1114" s="156"/>
      <c r="BE1114" s="156"/>
      <c r="BF1114" s="156"/>
      <c r="BG1114" s="156"/>
      <c r="BH1114" s="156"/>
      <c r="BI1114" s="156"/>
      <c r="BJ1114" s="156"/>
      <c r="BK1114" s="156"/>
      <c r="BL1114" s="156"/>
      <c r="BM1114" s="156"/>
      <c r="BN1114" s="156"/>
      <c r="BO1114" s="156"/>
      <c r="BP1114" s="156"/>
      <c r="BQ1114" s="156"/>
      <c r="BR1114" s="156"/>
      <c r="BS1114" s="156"/>
      <c r="BT1114" s="156"/>
      <c r="BU1114" s="156"/>
      <c r="BV1114" s="156"/>
      <c r="BW1114" s="156"/>
      <c r="BX1114" s="156"/>
      <c r="BY1114" s="156"/>
      <c r="BZ1114" s="156"/>
      <c r="CA1114" s="156"/>
      <c r="CB1114" s="156"/>
      <c r="CC1114" s="156"/>
      <c r="CD1114" s="156"/>
      <c r="CE1114" s="156"/>
      <c r="CF1114" s="156"/>
      <c r="CG1114" s="156"/>
      <c r="CH1114" s="156"/>
      <c r="CI1114" s="156"/>
      <c r="CJ1114" s="156"/>
      <c r="CK1114" s="156"/>
      <c r="CL1114" s="156"/>
      <c r="CM1114" s="156"/>
      <c r="CN1114" s="156"/>
      <c r="CO1114" s="156"/>
      <c r="CP1114" s="156"/>
      <c r="CQ1114" s="156"/>
      <c r="CR1114" s="156"/>
      <c r="CS1114" s="156"/>
      <c r="CT1114" s="156"/>
      <c r="CU1114" s="156"/>
      <c r="CV1114" s="156"/>
      <c r="CW1114" s="156"/>
      <c r="CX1114" s="156"/>
      <c r="CY1114" s="156"/>
      <c r="CZ1114" s="156"/>
      <c r="DA1114" s="156"/>
      <c r="DB1114" s="156"/>
      <c r="DC1114" s="156"/>
      <c r="DD1114" s="156"/>
      <c r="DE1114" s="156"/>
      <c r="DF1114" s="156"/>
      <c r="DG1114" s="156"/>
      <c r="DH1114" s="156"/>
      <c r="DI1114" s="156"/>
      <c r="DJ1114" s="156"/>
      <c r="DK1114" s="156"/>
      <c r="DL1114" s="156"/>
      <c r="DM1114" s="156"/>
      <c r="DN1114" s="156"/>
      <c r="DO1114" s="156"/>
      <c r="DP1114" s="156"/>
      <c r="DQ1114" s="156"/>
      <c r="DR1114" s="156"/>
      <c r="DS1114" s="156"/>
      <c r="DT1114" s="156"/>
      <c r="DU1114" s="156"/>
      <c r="DV1114" s="156"/>
      <c r="DW1114" s="156"/>
      <c r="DX1114" s="156"/>
      <c r="DY1114" s="156"/>
      <c r="DZ1114" s="156"/>
      <c r="EA1114" s="156"/>
      <c r="EB1114" s="156"/>
      <c r="EC1114" s="156"/>
      <c r="ED1114" s="156"/>
      <c r="EE1114" s="156"/>
      <c r="EF1114" s="156"/>
      <c r="EG1114" s="156"/>
      <c r="EH1114" s="156"/>
      <c r="EI1114" s="156"/>
      <c r="EJ1114" s="156"/>
      <c r="EK1114" s="156"/>
      <c r="EL1114" s="156"/>
      <c r="EM1114" s="156"/>
    </row>
    <row r="1115" spans="20:143" ht="10.5" customHeight="1">
      <c r="T1115" s="156"/>
      <c r="AZ1115" s="156"/>
      <c r="BA1115" s="156"/>
      <c r="BB1115" s="156"/>
      <c r="BC1115" s="156"/>
      <c r="BD1115" s="156"/>
      <c r="BE1115" s="156"/>
      <c r="BF1115" s="156"/>
      <c r="BG1115" s="156"/>
      <c r="BH1115" s="156"/>
      <c r="BI1115" s="156"/>
      <c r="BJ1115" s="156"/>
      <c r="BK1115" s="156"/>
      <c r="BL1115" s="156"/>
      <c r="BM1115" s="156"/>
      <c r="BN1115" s="156"/>
      <c r="BO1115" s="156"/>
      <c r="BP1115" s="156"/>
      <c r="BQ1115" s="156"/>
      <c r="BR1115" s="156"/>
      <c r="BS1115" s="156"/>
      <c r="BT1115" s="156"/>
      <c r="BU1115" s="156"/>
      <c r="BV1115" s="156"/>
      <c r="BW1115" s="156"/>
      <c r="BX1115" s="156"/>
      <c r="BY1115" s="156"/>
      <c r="BZ1115" s="156"/>
      <c r="CA1115" s="156"/>
      <c r="CB1115" s="156"/>
      <c r="CC1115" s="156"/>
      <c r="CD1115" s="156"/>
      <c r="CE1115" s="156"/>
      <c r="CF1115" s="156"/>
      <c r="CG1115" s="156"/>
      <c r="CH1115" s="156"/>
      <c r="CI1115" s="156"/>
      <c r="CJ1115" s="156"/>
      <c r="CK1115" s="156"/>
      <c r="CL1115" s="156"/>
      <c r="CM1115" s="156"/>
      <c r="CN1115" s="156"/>
      <c r="CO1115" s="156"/>
      <c r="CP1115" s="156"/>
      <c r="CQ1115" s="156"/>
      <c r="CR1115" s="156"/>
      <c r="CS1115" s="156"/>
      <c r="CT1115" s="156"/>
      <c r="CU1115" s="156"/>
      <c r="CV1115" s="156"/>
      <c r="CW1115" s="156"/>
      <c r="CX1115" s="156"/>
      <c r="CY1115" s="156"/>
      <c r="CZ1115" s="156"/>
      <c r="DA1115" s="156"/>
      <c r="DB1115" s="156"/>
      <c r="DC1115" s="156"/>
      <c r="DD1115" s="156"/>
      <c r="DE1115" s="156"/>
      <c r="DF1115" s="156"/>
      <c r="DG1115" s="156"/>
      <c r="DH1115" s="156"/>
      <c r="DI1115" s="156"/>
      <c r="DJ1115" s="156"/>
      <c r="DK1115" s="156"/>
      <c r="DL1115" s="156"/>
      <c r="DM1115" s="156"/>
      <c r="DN1115" s="156"/>
      <c r="DO1115" s="156"/>
      <c r="DP1115" s="156"/>
      <c r="DQ1115" s="156"/>
      <c r="DR1115" s="156"/>
      <c r="DS1115" s="156"/>
      <c r="DT1115" s="156"/>
      <c r="DU1115" s="156"/>
      <c r="DV1115" s="156"/>
      <c r="DW1115" s="156"/>
      <c r="DX1115" s="156"/>
      <c r="DY1115" s="156"/>
      <c r="DZ1115" s="156"/>
      <c r="EA1115" s="156"/>
      <c r="EB1115" s="156"/>
      <c r="EC1115" s="156"/>
      <c r="ED1115" s="156"/>
      <c r="EE1115" s="156"/>
      <c r="EF1115" s="156"/>
      <c r="EG1115" s="156"/>
      <c r="EH1115" s="156"/>
      <c r="EI1115" s="156"/>
      <c r="EJ1115" s="156"/>
      <c r="EK1115" s="156"/>
      <c r="EL1115" s="156"/>
      <c r="EM1115" s="156"/>
    </row>
    <row r="1116" spans="20:143" ht="10.5" customHeight="1">
      <c r="T1116" s="156"/>
      <c r="AZ1116" s="156"/>
      <c r="BA1116" s="156"/>
      <c r="BB1116" s="156"/>
      <c r="BC1116" s="156"/>
      <c r="BD1116" s="156"/>
      <c r="BE1116" s="156"/>
      <c r="BF1116" s="156"/>
      <c r="BG1116" s="156"/>
      <c r="BH1116" s="156"/>
      <c r="BI1116" s="156"/>
      <c r="BJ1116" s="156"/>
      <c r="BK1116" s="156"/>
      <c r="BL1116" s="156"/>
      <c r="BM1116" s="156"/>
      <c r="BN1116" s="156"/>
      <c r="BO1116" s="156"/>
      <c r="BP1116" s="156"/>
      <c r="BQ1116" s="156"/>
      <c r="BR1116" s="156"/>
      <c r="BS1116" s="156"/>
      <c r="BT1116" s="156"/>
      <c r="BU1116" s="156"/>
      <c r="BV1116" s="156"/>
      <c r="BW1116" s="156"/>
      <c r="BX1116" s="156"/>
      <c r="BY1116" s="156"/>
      <c r="BZ1116" s="156"/>
      <c r="CA1116" s="156"/>
      <c r="CB1116" s="156"/>
      <c r="CC1116" s="156"/>
      <c r="CD1116" s="156"/>
      <c r="CE1116" s="156"/>
      <c r="CF1116" s="156"/>
      <c r="CG1116" s="156"/>
      <c r="CH1116" s="156"/>
      <c r="CI1116" s="156"/>
      <c r="CJ1116" s="156"/>
      <c r="CK1116" s="156"/>
      <c r="CL1116" s="156"/>
      <c r="CM1116" s="156"/>
      <c r="CN1116" s="156"/>
      <c r="CO1116" s="156"/>
      <c r="CP1116" s="156"/>
      <c r="CQ1116" s="156"/>
      <c r="CR1116" s="156"/>
      <c r="CS1116" s="156"/>
      <c r="CT1116" s="156"/>
      <c r="CU1116" s="156"/>
      <c r="CV1116" s="156"/>
      <c r="CW1116" s="156"/>
      <c r="CX1116" s="156"/>
      <c r="CY1116" s="156"/>
      <c r="CZ1116" s="156"/>
      <c r="DA1116" s="156"/>
      <c r="DB1116" s="156"/>
      <c r="DC1116" s="156"/>
      <c r="DD1116" s="156"/>
      <c r="DE1116" s="156"/>
      <c r="DF1116" s="156"/>
      <c r="DG1116" s="156"/>
      <c r="DH1116" s="156"/>
      <c r="DI1116" s="156"/>
      <c r="DJ1116" s="156"/>
      <c r="DK1116" s="156"/>
      <c r="DL1116" s="156"/>
      <c r="DM1116" s="156"/>
      <c r="DN1116" s="156"/>
      <c r="DO1116" s="156"/>
      <c r="DP1116" s="156"/>
      <c r="DQ1116" s="156"/>
      <c r="DR1116" s="156"/>
      <c r="DS1116" s="156"/>
      <c r="DT1116" s="156"/>
      <c r="DU1116" s="156"/>
      <c r="DV1116" s="156"/>
      <c r="DW1116" s="156"/>
      <c r="DX1116" s="156"/>
      <c r="DY1116" s="156"/>
      <c r="DZ1116" s="156"/>
      <c r="EA1116" s="156"/>
      <c r="EB1116" s="156"/>
      <c r="EC1116" s="156"/>
      <c r="ED1116" s="156"/>
      <c r="EE1116" s="156"/>
      <c r="EF1116" s="156"/>
      <c r="EG1116" s="156"/>
      <c r="EH1116" s="156"/>
      <c r="EI1116" s="156"/>
      <c r="EJ1116" s="156"/>
      <c r="EK1116" s="156"/>
      <c r="EL1116" s="156"/>
      <c r="EM1116" s="156"/>
    </row>
    <row r="1117" spans="20:143" ht="10.5" customHeight="1">
      <c r="T1117" s="156"/>
      <c r="AZ1117" s="156"/>
      <c r="BA1117" s="156"/>
      <c r="BB1117" s="156"/>
      <c r="BC1117" s="156"/>
      <c r="BD1117" s="156"/>
      <c r="BE1117" s="156"/>
      <c r="BF1117" s="156"/>
      <c r="BG1117" s="156"/>
      <c r="BH1117" s="156"/>
      <c r="BI1117" s="156"/>
      <c r="BJ1117" s="156"/>
      <c r="BK1117" s="156"/>
      <c r="BL1117" s="156"/>
      <c r="BM1117" s="156"/>
      <c r="BN1117" s="156"/>
      <c r="BO1117" s="156"/>
      <c r="BP1117" s="156"/>
      <c r="BQ1117" s="156"/>
      <c r="BR1117" s="156"/>
      <c r="BS1117" s="156"/>
      <c r="BT1117" s="156"/>
      <c r="BU1117" s="156"/>
      <c r="BV1117" s="156"/>
      <c r="BW1117" s="156"/>
      <c r="BX1117" s="156"/>
      <c r="BY1117" s="156"/>
      <c r="BZ1117" s="156"/>
      <c r="CA1117" s="156"/>
      <c r="CB1117" s="156"/>
      <c r="CC1117" s="156"/>
      <c r="CD1117" s="156"/>
      <c r="CE1117" s="156"/>
      <c r="CF1117" s="156"/>
      <c r="CG1117" s="156"/>
      <c r="CH1117" s="156"/>
      <c r="CI1117" s="156"/>
      <c r="CJ1117" s="156"/>
      <c r="CK1117" s="156"/>
      <c r="CL1117" s="156"/>
      <c r="CM1117" s="156"/>
      <c r="CN1117" s="156"/>
      <c r="CO1117" s="156"/>
      <c r="CP1117" s="156"/>
      <c r="CQ1117" s="156"/>
      <c r="CR1117" s="156"/>
      <c r="CS1117" s="156"/>
      <c r="CT1117" s="156"/>
      <c r="CU1117" s="156"/>
      <c r="CV1117" s="156"/>
      <c r="CW1117" s="156"/>
      <c r="CX1117" s="156"/>
      <c r="CY1117" s="156"/>
      <c r="CZ1117" s="156"/>
      <c r="DA1117" s="156"/>
      <c r="DB1117" s="156"/>
      <c r="DC1117" s="156"/>
      <c r="DD1117" s="156"/>
      <c r="DE1117" s="156"/>
      <c r="DF1117" s="156"/>
      <c r="DG1117" s="156"/>
      <c r="DH1117" s="156"/>
      <c r="DI1117" s="156"/>
      <c r="DJ1117" s="156"/>
      <c r="DK1117" s="156"/>
      <c r="DL1117" s="156"/>
      <c r="DM1117" s="156"/>
      <c r="DN1117" s="156"/>
      <c r="DO1117" s="156"/>
      <c r="DP1117" s="156"/>
      <c r="DQ1117" s="156"/>
      <c r="DR1117" s="156"/>
      <c r="DS1117" s="156"/>
      <c r="DT1117" s="156"/>
      <c r="DU1117" s="156"/>
      <c r="DV1117" s="156"/>
      <c r="DW1117" s="156"/>
      <c r="DX1117" s="156"/>
      <c r="DY1117" s="156"/>
      <c r="DZ1117" s="156"/>
      <c r="EA1117" s="156"/>
      <c r="EB1117" s="156"/>
      <c r="EC1117" s="156"/>
      <c r="ED1117" s="156"/>
      <c r="EE1117" s="156"/>
      <c r="EF1117" s="156"/>
      <c r="EG1117" s="156"/>
      <c r="EH1117" s="156"/>
      <c r="EI1117" s="156"/>
      <c r="EJ1117" s="156"/>
      <c r="EK1117" s="156"/>
      <c r="EL1117" s="156"/>
      <c r="EM1117" s="156"/>
    </row>
    <row r="1118" spans="20:143" ht="10.5" customHeight="1">
      <c r="T1118" s="156"/>
      <c r="AZ1118" s="156"/>
      <c r="BA1118" s="156"/>
      <c r="BB1118" s="156"/>
      <c r="BC1118" s="156"/>
      <c r="BD1118" s="156"/>
      <c r="BE1118" s="156"/>
      <c r="BF1118" s="156"/>
      <c r="BG1118" s="156"/>
      <c r="BH1118" s="156"/>
      <c r="BI1118" s="156"/>
      <c r="BJ1118" s="156"/>
      <c r="BK1118" s="156"/>
      <c r="BL1118" s="156"/>
      <c r="BM1118" s="156"/>
      <c r="BN1118" s="156"/>
      <c r="BO1118" s="156"/>
      <c r="BP1118" s="156"/>
      <c r="BQ1118" s="156"/>
      <c r="BR1118" s="156"/>
      <c r="BS1118" s="156"/>
      <c r="BT1118" s="156"/>
      <c r="BU1118" s="156"/>
      <c r="BV1118" s="156"/>
      <c r="BW1118" s="156"/>
      <c r="BX1118" s="156"/>
      <c r="BY1118" s="156"/>
      <c r="BZ1118" s="156"/>
      <c r="CA1118" s="156"/>
      <c r="CB1118" s="156"/>
      <c r="CC1118" s="156"/>
      <c r="CD1118" s="156"/>
      <c r="CE1118" s="156"/>
      <c r="CF1118" s="156"/>
      <c r="CG1118" s="156"/>
      <c r="CH1118" s="156"/>
      <c r="CI1118" s="156"/>
      <c r="CJ1118" s="156"/>
      <c r="CK1118" s="156"/>
      <c r="CL1118" s="156"/>
      <c r="CM1118" s="156"/>
      <c r="CN1118" s="156"/>
      <c r="CO1118" s="156"/>
      <c r="CP1118" s="156"/>
      <c r="CQ1118" s="156"/>
      <c r="CR1118" s="156"/>
      <c r="CS1118" s="156"/>
      <c r="CT1118" s="156"/>
      <c r="CU1118" s="156"/>
      <c r="CV1118" s="156"/>
      <c r="CW1118" s="156"/>
      <c r="CX1118" s="156"/>
      <c r="CY1118" s="156"/>
      <c r="CZ1118" s="156"/>
      <c r="DA1118" s="156"/>
      <c r="DB1118" s="156"/>
      <c r="DC1118" s="156"/>
      <c r="DD1118" s="156"/>
      <c r="DE1118" s="156"/>
      <c r="DF1118" s="156"/>
      <c r="DG1118" s="156"/>
      <c r="DH1118" s="156"/>
      <c r="DI1118" s="156"/>
      <c r="DJ1118" s="156"/>
      <c r="DK1118" s="156"/>
      <c r="DL1118" s="156"/>
      <c r="DM1118" s="156"/>
      <c r="DN1118" s="156"/>
      <c r="DO1118" s="156"/>
      <c r="DP1118" s="156"/>
      <c r="DQ1118" s="156"/>
      <c r="DR1118" s="156"/>
      <c r="DS1118" s="156"/>
      <c r="DT1118" s="156"/>
      <c r="DU1118" s="156"/>
      <c r="DV1118" s="156"/>
      <c r="DW1118" s="156"/>
      <c r="DX1118" s="156"/>
      <c r="DY1118" s="156"/>
      <c r="DZ1118" s="156"/>
      <c r="EA1118" s="156"/>
      <c r="EB1118" s="156"/>
      <c r="EC1118" s="156"/>
      <c r="ED1118" s="156"/>
      <c r="EE1118" s="156"/>
      <c r="EF1118" s="156"/>
      <c r="EG1118" s="156"/>
      <c r="EH1118" s="156"/>
      <c r="EI1118" s="156"/>
      <c r="EJ1118" s="156"/>
      <c r="EK1118" s="156"/>
      <c r="EL1118" s="156"/>
      <c r="EM1118" s="156"/>
    </row>
    <row r="1119" spans="20:143" ht="10.5" customHeight="1">
      <c r="T1119" s="156"/>
      <c r="AZ1119" s="156"/>
      <c r="BA1119" s="156"/>
      <c r="BB1119" s="156"/>
      <c r="BC1119" s="156"/>
      <c r="BD1119" s="156"/>
      <c r="BE1119" s="156"/>
      <c r="BF1119" s="156"/>
      <c r="BG1119" s="156"/>
      <c r="BH1119" s="156"/>
      <c r="BI1119" s="156"/>
      <c r="BJ1119" s="156"/>
      <c r="BK1119" s="156"/>
      <c r="BL1119" s="156"/>
      <c r="BM1119" s="156"/>
      <c r="BN1119" s="156"/>
      <c r="BO1119" s="156"/>
      <c r="BP1119" s="156"/>
      <c r="BQ1119" s="156"/>
      <c r="BR1119" s="156"/>
      <c r="BS1119" s="156"/>
      <c r="BT1119" s="156"/>
      <c r="BU1119" s="156"/>
      <c r="BV1119" s="156"/>
      <c r="BW1119" s="156"/>
      <c r="BX1119" s="156"/>
      <c r="BY1119" s="156"/>
      <c r="BZ1119" s="156"/>
      <c r="CA1119" s="156"/>
      <c r="CB1119" s="156"/>
      <c r="CC1119" s="156"/>
      <c r="CD1119" s="156"/>
      <c r="CE1119" s="156"/>
      <c r="CF1119" s="156"/>
      <c r="CG1119" s="156"/>
      <c r="CH1119" s="156"/>
      <c r="CI1119" s="156"/>
      <c r="CJ1119" s="156"/>
      <c r="CK1119" s="156"/>
      <c r="CL1119" s="156"/>
      <c r="CM1119" s="156"/>
      <c r="CN1119" s="156"/>
      <c r="CO1119" s="156"/>
      <c r="CP1119" s="156"/>
      <c r="CQ1119" s="156"/>
      <c r="CR1119" s="156"/>
      <c r="CS1119" s="156"/>
      <c r="CT1119" s="156"/>
      <c r="CU1119" s="156"/>
      <c r="CV1119" s="156"/>
      <c r="CW1119" s="156"/>
      <c r="CX1119" s="156"/>
      <c r="CY1119" s="156"/>
      <c r="CZ1119" s="156"/>
      <c r="DA1119" s="156"/>
      <c r="DB1119" s="156"/>
      <c r="DC1119" s="156"/>
      <c r="DD1119" s="156"/>
      <c r="DE1119" s="156"/>
      <c r="DF1119" s="156"/>
      <c r="DG1119" s="156"/>
      <c r="DH1119" s="156"/>
      <c r="DI1119" s="156"/>
      <c r="DJ1119" s="156"/>
      <c r="DK1119" s="156"/>
      <c r="DL1119" s="156"/>
      <c r="DM1119" s="156"/>
      <c r="DN1119" s="156"/>
      <c r="DO1119" s="156"/>
      <c r="DP1119" s="156"/>
      <c r="DQ1119" s="156"/>
      <c r="DR1119" s="156"/>
      <c r="DS1119" s="156"/>
      <c r="DT1119" s="156"/>
      <c r="DU1119" s="156"/>
      <c r="DV1119" s="156"/>
      <c r="DW1119" s="156"/>
      <c r="DX1119" s="156"/>
      <c r="DY1119" s="156"/>
      <c r="DZ1119" s="156"/>
      <c r="EA1119" s="156"/>
      <c r="EB1119" s="156"/>
      <c r="EC1119" s="156"/>
      <c r="ED1119" s="156"/>
      <c r="EE1119" s="156"/>
      <c r="EF1119" s="156"/>
      <c r="EG1119" s="156"/>
      <c r="EH1119" s="156"/>
      <c r="EI1119" s="156"/>
      <c r="EJ1119" s="156"/>
      <c r="EK1119" s="156"/>
      <c r="EL1119" s="156"/>
      <c r="EM1119" s="156"/>
    </row>
    <row r="1120" spans="20:143" ht="10.5" customHeight="1">
      <c r="T1120" s="156"/>
      <c r="AZ1120" s="156"/>
      <c r="BA1120" s="156"/>
      <c r="BB1120" s="156"/>
      <c r="BC1120" s="156"/>
      <c r="BD1120" s="156"/>
      <c r="BE1120" s="156"/>
      <c r="BF1120" s="156"/>
      <c r="BG1120" s="156"/>
      <c r="BH1120" s="156"/>
      <c r="BI1120" s="156"/>
      <c r="BJ1120" s="156"/>
      <c r="BK1120" s="156"/>
      <c r="BL1120" s="156"/>
      <c r="BM1120" s="156"/>
      <c r="BN1120" s="156"/>
      <c r="BO1120" s="156"/>
      <c r="BP1120" s="156"/>
      <c r="BQ1120" s="156"/>
      <c r="BR1120" s="156"/>
      <c r="BS1120" s="156"/>
      <c r="BT1120" s="156"/>
      <c r="BU1120" s="156"/>
      <c r="BV1120" s="156"/>
      <c r="BW1120" s="156"/>
      <c r="BX1120" s="156"/>
      <c r="BY1120" s="156"/>
      <c r="BZ1120" s="156"/>
      <c r="CA1120" s="156"/>
      <c r="CB1120" s="156"/>
      <c r="CC1120" s="156"/>
      <c r="CD1120" s="156"/>
      <c r="CE1120" s="156"/>
      <c r="CF1120" s="156"/>
      <c r="CG1120" s="156"/>
      <c r="CH1120" s="156"/>
      <c r="CI1120" s="156"/>
      <c r="CJ1120" s="156"/>
      <c r="CK1120" s="156"/>
      <c r="CL1120" s="156"/>
      <c r="CM1120" s="156"/>
      <c r="CN1120" s="156"/>
      <c r="CO1120" s="156"/>
      <c r="CP1120" s="156"/>
      <c r="CQ1120" s="156"/>
      <c r="CR1120" s="156"/>
      <c r="CS1120" s="156"/>
      <c r="CT1120" s="156"/>
      <c r="CU1120" s="156"/>
      <c r="CV1120" s="156"/>
      <c r="CW1120" s="156"/>
      <c r="CX1120" s="156"/>
      <c r="CY1120" s="156"/>
      <c r="CZ1120" s="156"/>
      <c r="DA1120" s="156"/>
      <c r="DB1120" s="156"/>
      <c r="DC1120" s="156"/>
      <c r="DD1120" s="156"/>
      <c r="DE1120" s="156"/>
      <c r="DF1120" s="156"/>
      <c r="DG1120" s="156"/>
      <c r="DH1120" s="156"/>
      <c r="DI1120" s="156"/>
      <c r="DJ1120" s="156"/>
      <c r="DK1120" s="156"/>
      <c r="DL1120" s="156"/>
      <c r="DM1120" s="156"/>
      <c r="DN1120" s="156"/>
      <c r="DO1120" s="156"/>
      <c r="DP1120" s="156"/>
      <c r="DQ1120" s="156"/>
      <c r="DR1120" s="156"/>
      <c r="DS1120" s="156"/>
      <c r="DT1120" s="156"/>
      <c r="DU1120" s="156"/>
      <c r="DV1120" s="156"/>
      <c r="DW1120" s="156"/>
      <c r="DX1120" s="156"/>
      <c r="DY1120" s="156"/>
      <c r="DZ1120" s="156"/>
      <c r="EA1120" s="156"/>
      <c r="EB1120" s="156"/>
      <c r="EC1120" s="156"/>
      <c r="ED1120" s="156"/>
      <c r="EE1120" s="156"/>
      <c r="EF1120" s="156"/>
      <c r="EG1120" s="156"/>
      <c r="EH1120" s="156"/>
      <c r="EI1120" s="156"/>
      <c r="EJ1120" s="156"/>
      <c r="EK1120" s="156"/>
      <c r="EL1120" s="156"/>
      <c r="EM1120" s="156"/>
    </row>
    <row r="1121" spans="20:143" ht="10.5" customHeight="1">
      <c r="T1121" s="156"/>
      <c r="AZ1121" s="156"/>
      <c r="BA1121" s="156"/>
      <c r="BB1121" s="156"/>
      <c r="BC1121" s="156"/>
      <c r="BD1121" s="156"/>
      <c r="BE1121" s="156"/>
      <c r="BF1121" s="156"/>
      <c r="BG1121" s="156"/>
      <c r="BH1121" s="156"/>
      <c r="BI1121" s="156"/>
      <c r="BJ1121" s="156"/>
      <c r="BK1121" s="156"/>
      <c r="BL1121" s="156"/>
      <c r="BM1121" s="156"/>
      <c r="BN1121" s="156"/>
      <c r="BO1121" s="156"/>
      <c r="BP1121" s="156"/>
      <c r="BQ1121" s="156"/>
      <c r="BR1121" s="156"/>
      <c r="BS1121" s="156"/>
      <c r="BT1121" s="156"/>
      <c r="BU1121" s="156"/>
      <c r="BV1121" s="156"/>
      <c r="BW1121" s="156"/>
      <c r="BX1121" s="156"/>
      <c r="BY1121" s="156"/>
      <c r="BZ1121" s="156"/>
      <c r="CA1121" s="156"/>
      <c r="CB1121" s="156"/>
      <c r="CC1121" s="156"/>
      <c r="CD1121" s="156"/>
      <c r="CE1121" s="156"/>
      <c r="CF1121" s="156"/>
      <c r="CG1121" s="156"/>
      <c r="CH1121" s="156"/>
      <c r="CI1121" s="156"/>
      <c r="CJ1121" s="156"/>
      <c r="CK1121" s="156"/>
      <c r="CL1121" s="156"/>
      <c r="CM1121" s="156"/>
      <c r="CN1121" s="156"/>
      <c r="CO1121" s="156"/>
      <c r="CP1121" s="156"/>
      <c r="CQ1121" s="156"/>
      <c r="CR1121" s="156"/>
      <c r="CS1121" s="156"/>
      <c r="CT1121" s="156"/>
      <c r="CU1121" s="156"/>
      <c r="CV1121" s="156"/>
      <c r="CW1121" s="156"/>
      <c r="CX1121" s="156"/>
      <c r="CY1121" s="156"/>
      <c r="CZ1121" s="156"/>
      <c r="DA1121" s="156"/>
      <c r="DB1121" s="156"/>
      <c r="DC1121" s="156"/>
      <c r="DD1121" s="156"/>
      <c r="DE1121" s="156"/>
      <c r="DF1121" s="156"/>
      <c r="DG1121" s="156"/>
      <c r="DH1121" s="156"/>
      <c r="DI1121" s="156"/>
      <c r="DJ1121" s="156"/>
      <c r="DK1121" s="156"/>
      <c r="DL1121" s="156"/>
      <c r="DM1121" s="156"/>
      <c r="DN1121" s="156"/>
      <c r="DO1121" s="156"/>
      <c r="DP1121" s="156"/>
      <c r="DQ1121" s="156"/>
      <c r="DR1121" s="156"/>
      <c r="DS1121" s="156"/>
      <c r="DT1121" s="156"/>
      <c r="DU1121" s="156"/>
      <c r="DV1121" s="156"/>
      <c r="DW1121" s="156"/>
      <c r="DX1121" s="156"/>
      <c r="DY1121" s="156"/>
      <c r="DZ1121" s="156"/>
      <c r="EA1121" s="156"/>
      <c r="EB1121" s="156"/>
      <c r="EC1121" s="156"/>
      <c r="ED1121" s="156"/>
      <c r="EE1121" s="156"/>
      <c r="EF1121" s="156"/>
      <c r="EG1121" s="156"/>
      <c r="EH1121" s="156"/>
      <c r="EI1121" s="156"/>
      <c r="EJ1121" s="156"/>
      <c r="EK1121" s="156"/>
      <c r="EL1121" s="156"/>
      <c r="EM1121" s="156"/>
    </row>
    <row r="1122" spans="20:143" ht="10.5" customHeight="1">
      <c r="T1122" s="156"/>
      <c r="AZ1122" s="156"/>
      <c r="BA1122" s="156"/>
      <c r="BB1122" s="156"/>
      <c r="BC1122" s="156"/>
      <c r="BD1122" s="156"/>
      <c r="BE1122" s="156"/>
      <c r="BF1122" s="156"/>
      <c r="BG1122" s="156"/>
      <c r="BH1122" s="156"/>
      <c r="BI1122" s="156"/>
      <c r="BJ1122" s="156"/>
      <c r="BK1122" s="156"/>
      <c r="BL1122" s="156"/>
      <c r="BM1122" s="156"/>
      <c r="BN1122" s="156"/>
      <c r="BO1122" s="156"/>
      <c r="BP1122" s="156"/>
      <c r="BQ1122" s="156"/>
      <c r="BR1122" s="156"/>
      <c r="BS1122" s="156"/>
      <c r="BT1122" s="156"/>
      <c r="BU1122" s="156"/>
      <c r="BV1122" s="156"/>
      <c r="BW1122" s="156"/>
      <c r="BX1122" s="156"/>
      <c r="BY1122" s="156"/>
      <c r="BZ1122" s="156"/>
      <c r="CA1122" s="156"/>
      <c r="CB1122" s="156"/>
      <c r="CC1122" s="156"/>
      <c r="CD1122" s="156"/>
      <c r="CE1122" s="156"/>
      <c r="CF1122" s="156"/>
      <c r="CG1122" s="156"/>
      <c r="CH1122" s="156"/>
      <c r="CI1122" s="156"/>
      <c r="CJ1122" s="156"/>
      <c r="CK1122" s="156"/>
      <c r="CL1122" s="156"/>
      <c r="CM1122" s="156"/>
      <c r="CN1122" s="156"/>
      <c r="CO1122" s="156"/>
      <c r="CP1122" s="156"/>
      <c r="CQ1122" s="156"/>
      <c r="CR1122" s="156"/>
      <c r="CS1122" s="156"/>
      <c r="CT1122" s="156"/>
      <c r="CU1122" s="156"/>
      <c r="CV1122" s="156"/>
      <c r="CW1122" s="156"/>
      <c r="CX1122" s="156"/>
      <c r="CY1122" s="156"/>
      <c r="CZ1122" s="156"/>
      <c r="DA1122" s="156"/>
      <c r="DB1122" s="156"/>
      <c r="DC1122" s="156"/>
      <c r="DD1122" s="156"/>
      <c r="DE1122" s="156"/>
      <c r="DF1122" s="156"/>
      <c r="DG1122" s="156"/>
      <c r="DH1122" s="156"/>
      <c r="DI1122" s="156"/>
      <c r="DJ1122" s="156"/>
      <c r="DK1122" s="156"/>
      <c r="DL1122" s="156"/>
      <c r="DM1122" s="156"/>
      <c r="DN1122" s="156"/>
      <c r="DO1122" s="156"/>
      <c r="DP1122" s="156"/>
      <c r="DQ1122" s="156"/>
      <c r="DR1122" s="156"/>
      <c r="DS1122" s="156"/>
      <c r="DT1122" s="156"/>
      <c r="DU1122" s="156"/>
      <c r="DV1122" s="156"/>
      <c r="DW1122" s="156"/>
      <c r="DX1122" s="156"/>
      <c r="DY1122" s="156"/>
      <c r="DZ1122" s="156"/>
      <c r="EA1122" s="156"/>
      <c r="EB1122" s="156"/>
      <c r="EC1122" s="156"/>
      <c r="ED1122" s="156"/>
      <c r="EE1122" s="156"/>
      <c r="EF1122" s="156"/>
      <c r="EG1122" s="156"/>
      <c r="EH1122" s="156"/>
      <c r="EI1122" s="156"/>
      <c r="EJ1122" s="156"/>
      <c r="EK1122" s="156"/>
      <c r="EL1122" s="156"/>
      <c r="EM1122" s="156"/>
    </row>
    <row r="1123" spans="20:143" ht="10.5" customHeight="1">
      <c r="T1123" s="156"/>
      <c r="AZ1123" s="156"/>
      <c r="BA1123" s="156"/>
      <c r="BB1123" s="156"/>
      <c r="BC1123" s="156"/>
      <c r="BD1123" s="156"/>
      <c r="BE1123" s="156"/>
      <c r="BF1123" s="156"/>
      <c r="BG1123" s="156"/>
      <c r="BH1123" s="156"/>
      <c r="BI1123" s="156"/>
      <c r="BJ1123" s="156"/>
      <c r="BK1123" s="156"/>
      <c r="BL1123" s="156"/>
      <c r="BM1123" s="156"/>
      <c r="BN1123" s="156"/>
      <c r="BO1123" s="156"/>
      <c r="BP1123" s="156"/>
      <c r="BQ1123" s="156"/>
      <c r="BR1123" s="156"/>
      <c r="BS1123" s="156"/>
      <c r="BT1123" s="156"/>
      <c r="BU1123" s="156"/>
      <c r="BV1123" s="156"/>
      <c r="BW1123" s="156"/>
      <c r="BX1123" s="156"/>
      <c r="BY1123" s="156"/>
      <c r="BZ1123" s="156"/>
      <c r="CA1123" s="156"/>
      <c r="CB1123" s="156"/>
      <c r="CC1123" s="156"/>
      <c r="CD1123" s="156"/>
      <c r="CE1123" s="156"/>
      <c r="CF1123" s="156"/>
      <c r="CG1123" s="156"/>
      <c r="CH1123" s="156"/>
      <c r="CI1123" s="156"/>
      <c r="CJ1123" s="156"/>
      <c r="CK1123" s="156"/>
      <c r="CL1123" s="156"/>
      <c r="CM1123" s="156"/>
      <c r="CN1123" s="156"/>
      <c r="CO1123" s="156"/>
      <c r="CP1123" s="156"/>
      <c r="CQ1123" s="156"/>
      <c r="CR1123" s="156"/>
      <c r="CS1123" s="156"/>
      <c r="CT1123" s="156"/>
      <c r="CU1123" s="156"/>
      <c r="CV1123" s="156"/>
      <c r="CW1123" s="156"/>
      <c r="CX1123" s="156"/>
      <c r="CY1123" s="156"/>
      <c r="CZ1123" s="156"/>
      <c r="DA1123" s="156"/>
      <c r="DB1123" s="156"/>
      <c r="DC1123" s="156"/>
      <c r="DD1123" s="156"/>
      <c r="DE1123" s="156"/>
      <c r="DF1123" s="156"/>
      <c r="DG1123" s="156"/>
      <c r="DH1123" s="156"/>
      <c r="DI1123" s="156"/>
      <c r="DJ1123" s="156"/>
      <c r="DK1123" s="156"/>
      <c r="DL1123" s="156"/>
      <c r="DM1123" s="156"/>
      <c r="DN1123" s="156"/>
      <c r="DO1123" s="156"/>
      <c r="DP1123" s="156"/>
      <c r="DQ1123" s="156"/>
      <c r="DR1123" s="156"/>
      <c r="DS1123" s="156"/>
      <c r="DT1123" s="156"/>
      <c r="DU1123" s="156"/>
      <c r="DV1123" s="156"/>
      <c r="DW1123" s="156"/>
      <c r="DX1123" s="156"/>
      <c r="DY1123" s="156"/>
      <c r="DZ1123" s="156"/>
      <c r="EA1123" s="156"/>
      <c r="EB1123" s="156"/>
      <c r="EC1123" s="156"/>
      <c r="ED1123" s="156"/>
      <c r="EE1123" s="156"/>
      <c r="EF1123" s="156"/>
      <c r="EG1123" s="156"/>
      <c r="EH1123" s="156"/>
      <c r="EI1123" s="156"/>
      <c r="EJ1123" s="156"/>
      <c r="EK1123" s="156"/>
      <c r="EL1123" s="156"/>
      <c r="EM1123" s="156"/>
    </row>
    <row r="1124" spans="20:143" ht="10.5" customHeight="1">
      <c r="T1124" s="156"/>
      <c r="AZ1124" s="156"/>
      <c r="BA1124" s="156"/>
      <c r="BB1124" s="156"/>
      <c r="BC1124" s="156"/>
      <c r="BD1124" s="156"/>
      <c r="BE1124" s="156"/>
      <c r="BF1124" s="156"/>
      <c r="BG1124" s="156"/>
      <c r="BH1124" s="156"/>
      <c r="BI1124" s="156"/>
      <c r="BJ1124" s="156"/>
      <c r="BK1124" s="156"/>
      <c r="BL1124" s="156"/>
      <c r="BM1124" s="156"/>
      <c r="BN1124" s="156"/>
      <c r="BO1124" s="156"/>
      <c r="BP1124" s="156"/>
      <c r="BQ1124" s="156"/>
      <c r="BR1124" s="156"/>
      <c r="BS1124" s="156"/>
      <c r="BT1124" s="156"/>
      <c r="BU1124" s="156"/>
      <c r="BV1124" s="156"/>
      <c r="BW1124" s="156"/>
      <c r="BX1124" s="156"/>
      <c r="BY1124" s="156"/>
      <c r="BZ1124" s="156"/>
      <c r="CA1124" s="156"/>
      <c r="CB1124" s="156"/>
      <c r="CC1124" s="156"/>
      <c r="CD1124" s="156"/>
      <c r="CE1124" s="156"/>
      <c r="CF1124" s="156"/>
      <c r="CG1124" s="156"/>
      <c r="CH1124" s="156"/>
      <c r="CI1124" s="156"/>
      <c r="CJ1124" s="156"/>
      <c r="CK1124" s="156"/>
      <c r="CL1124" s="156"/>
      <c r="CM1124" s="156"/>
      <c r="CN1124" s="156"/>
      <c r="CO1124" s="156"/>
      <c r="CP1124" s="156"/>
      <c r="CQ1124" s="156"/>
      <c r="CR1124" s="156"/>
      <c r="CS1124" s="156"/>
      <c r="CT1124" s="156"/>
      <c r="CU1124" s="156"/>
      <c r="CV1124" s="156"/>
      <c r="CW1124" s="156"/>
      <c r="CX1124" s="156"/>
      <c r="CY1124" s="156"/>
      <c r="CZ1124" s="156"/>
      <c r="DA1124" s="156"/>
      <c r="DB1124" s="156"/>
      <c r="DC1124" s="156"/>
      <c r="DD1124" s="156"/>
      <c r="DE1124" s="156"/>
      <c r="DF1124" s="156"/>
      <c r="DG1124" s="156"/>
      <c r="DH1124" s="156"/>
      <c r="DI1124" s="156"/>
      <c r="DJ1124" s="156"/>
      <c r="DK1124" s="156"/>
      <c r="DL1124" s="156"/>
      <c r="DM1124" s="156"/>
      <c r="DN1124" s="156"/>
      <c r="DO1124" s="156"/>
      <c r="DP1124" s="156"/>
      <c r="DQ1124" s="156"/>
      <c r="DR1124" s="156"/>
      <c r="DS1124" s="156"/>
      <c r="DT1124" s="156"/>
      <c r="DU1124" s="156"/>
      <c r="DV1124" s="156"/>
      <c r="DW1124" s="156"/>
      <c r="DX1124" s="156"/>
      <c r="DY1124" s="156"/>
      <c r="DZ1124" s="156"/>
      <c r="EA1124" s="156"/>
      <c r="EB1124" s="156"/>
      <c r="EC1124" s="156"/>
      <c r="ED1124" s="156"/>
      <c r="EE1124" s="156"/>
      <c r="EF1124" s="156"/>
      <c r="EG1124" s="156"/>
      <c r="EH1124" s="156"/>
      <c r="EI1124" s="156"/>
      <c r="EJ1124" s="156"/>
      <c r="EK1124" s="156"/>
      <c r="EL1124" s="156"/>
      <c r="EM1124" s="156"/>
    </row>
    <row r="1125" spans="20:143" ht="10.5" customHeight="1">
      <c r="T1125" s="156"/>
      <c r="AZ1125" s="156"/>
      <c r="BA1125" s="156"/>
      <c r="BB1125" s="156"/>
      <c r="BC1125" s="156"/>
      <c r="BD1125" s="156"/>
      <c r="BE1125" s="156"/>
      <c r="BF1125" s="156"/>
      <c r="BG1125" s="156"/>
      <c r="BH1125" s="156"/>
      <c r="BI1125" s="156"/>
      <c r="BJ1125" s="156"/>
      <c r="BK1125" s="156"/>
      <c r="BL1125" s="156"/>
      <c r="BM1125" s="156"/>
      <c r="BN1125" s="156"/>
      <c r="BO1125" s="156"/>
      <c r="BP1125" s="156"/>
      <c r="BQ1125" s="156"/>
      <c r="BR1125" s="156"/>
      <c r="BS1125" s="156"/>
      <c r="BT1125" s="156"/>
      <c r="BU1125" s="156"/>
      <c r="BV1125" s="156"/>
      <c r="BW1125" s="156"/>
      <c r="BX1125" s="156"/>
      <c r="BY1125" s="156"/>
      <c r="BZ1125" s="156"/>
      <c r="CA1125" s="156"/>
      <c r="CB1125" s="156"/>
      <c r="CC1125" s="156"/>
      <c r="CD1125" s="156"/>
      <c r="CE1125" s="156"/>
      <c r="CF1125" s="156"/>
      <c r="CG1125" s="156"/>
      <c r="CH1125" s="156"/>
      <c r="CI1125" s="156"/>
      <c r="CJ1125" s="156"/>
      <c r="CK1125" s="156"/>
      <c r="CL1125" s="156"/>
      <c r="CM1125" s="156"/>
      <c r="CN1125" s="156"/>
      <c r="CO1125" s="156"/>
      <c r="CP1125" s="156"/>
      <c r="CQ1125" s="156"/>
      <c r="CR1125" s="156"/>
      <c r="CS1125" s="156"/>
      <c r="CT1125" s="156"/>
      <c r="CU1125" s="156"/>
      <c r="CV1125" s="156"/>
      <c r="CW1125" s="156"/>
      <c r="CX1125" s="156"/>
      <c r="CY1125" s="156"/>
      <c r="CZ1125" s="156"/>
      <c r="DA1125" s="156"/>
      <c r="DB1125" s="156"/>
      <c r="DC1125" s="156"/>
      <c r="DD1125" s="156"/>
      <c r="DE1125" s="156"/>
      <c r="DF1125" s="156"/>
      <c r="DG1125" s="156"/>
      <c r="DH1125" s="156"/>
      <c r="DI1125" s="156"/>
      <c r="DJ1125" s="156"/>
      <c r="DK1125" s="156"/>
      <c r="DL1125" s="156"/>
      <c r="DM1125" s="156"/>
      <c r="DN1125" s="156"/>
      <c r="DO1125" s="156"/>
      <c r="DP1125" s="156"/>
      <c r="DQ1125" s="156"/>
      <c r="DR1125" s="156"/>
      <c r="DS1125" s="156"/>
      <c r="DT1125" s="156"/>
      <c r="DU1125" s="156"/>
      <c r="DV1125" s="156"/>
      <c r="DW1125" s="156"/>
      <c r="DX1125" s="156"/>
      <c r="DY1125" s="156"/>
      <c r="DZ1125" s="156"/>
      <c r="EA1125" s="156"/>
      <c r="EB1125" s="156"/>
      <c r="EC1125" s="156"/>
      <c r="ED1125" s="156"/>
      <c r="EE1125" s="156"/>
      <c r="EF1125" s="156"/>
      <c r="EG1125" s="156"/>
      <c r="EH1125" s="156"/>
      <c r="EI1125" s="156"/>
      <c r="EJ1125" s="156"/>
      <c r="EK1125" s="156"/>
      <c r="EL1125" s="156"/>
      <c r="EM1125" s="156"/>
    </row>
    <row r="1126" spans="20:143" ht="10.5" customHeight="1">
      <c r="T1126" s="156"/>
      <c r="AZ1126" s="156"/>
      <c r="BA1126" s="156"/>
      <c r="BB1126" s="156"/>
      <c r="BC1126" s="156"/>
      <c r="BD1126" s="156"/>
      <c r="BE1126" s="156"/>
      <c r="BF1126" s="156"/>
      <c r="BG1126" s="156"/>
      <c r="BH1126" s="156"/>
      <c r="BI1126" s="156"/>
      <c r="BJ1126" s="156"/>
      <c r="BK1126" s="156"/>
      <c r="BL1126" s="156"/>
      <c r="BM1126" s="156"/>
      <c r="BN1126" s="156"/>
      <c r="BO1126" s="156"/>
      <c r="BP1126" s="156"/>
      <c r="BQ1126" s="156"/>
      <c r="BR1126" s="156"/>
      <c r="BS1126" s="156"/>
      <c r="BT1126" s="156"/>
      <c r="BU1126" s="156"/>
      <c r="BV1126" s="156"/>
      <c r="BW1126" s="156"/>
      <c r="BX1126" s="156"/>
      <c r="BY1126" s="156"/>
      <c r="BZ1126" s="156"/>
      <c r="CA1126" s="156"/>
      <c r="CB1126" s="156"/>
      <c r="CC1126" s="156"/>
      <c r="CD1126" s="156"/>
      <c r="CE1126" s="156"/>
      <c r="CF1126" s="156"/>
      <c r="CG1126" s="156"/>
      <c r="CH1126" s="156"/>
      <c r="CI1126" s="156"/>
      <c r="CJ1126" s="156"/>
      <c r="CK1126" s="156"/>
      <c r="CL1126" s="156"/>
      <c r="CM1126" s="156"/>
      <c r="CN1126" s="156"/>
      <c r="CO1126" s="156"/>
      <c r="CP1126" s="156"/>
      <c r="CQ1126" s="156"/>
      <c r="CR1126" s="156"/>
      <c r="CS1126" s="156"/>
      <c r="CT1126" s="156"/>
      <c r="CU1126" s="156"/>
      <c r="CV1126" s="156"/>
      <c r="CW1126" s="156"/>
      <c r="CX1126" s="156"/>
      <c r="CY1126" s="156"/>
      <c r="CZ1126" s="156"/>
      <c r="DA1126" s="156"/>
      <c r="DB1126" s="156"/>
      <c r="DC1126" s="156"/>
      <c r="DD1126" s="156"/>
      <c r="DE1126" s="156"/>
      <c r="DF1126" s="156"/>
      <c r="DG1126" s="156"/>
      <c r="DH1126" s="156"/>
      <c r="DI1126" s="156"/>
      <c r="DJ1126" s="156"/>
      <c r="DK1126" s="156"/>
      <c r="DL1126" s="156"/>
      <c r="DM1126" s="156"/>
      <c r="DN1126" s="156"/>
      <c r="DO1126" s="156"/>
      <c r="DP1126" s="156"/>
      <c r="DQ1126" s="156"/>
      <c r="DR1126" s="156"/>
      <c r="DS1126" s="156"/>
      <c r="DT1126" s="156"/>
      <c r="DU1126" s="156"/>
      <c r="DV1126" s="156"/>
      <c r="DW1126" s="156"/>
      <c r="DX1126" s="156"/>
      <c r="DY1126" s="156"/>
      <c r="DZ1126" s="156"/>
      <c r="EA1126" s="156"/>
      <c r="EB1126" s="156"/>
      <c r="EC1126" s="156"/>
      <c r="ED1126" s="156"/>
      <c r="EE1126" s="156"/>
      <c r="EF1126" s="156"/>
      <c r="EG1126" s="156"/>
      <c r="EH1126" s="156"/>
      <c r="EI1126" s="156"/>
      <c r="EJ1126" s="156"/>
      <c r="EK1126" s="156"/>
      <c r="EL1126" s="156"/>
      <c r="EM1126" s="156"/>
    </row>
    <row r="1127" spans="20:143" ht="10.5" customHeight="1">
      <c r="T1127" s="156"/>
      <c r="AZ1127" s="156"/>
      <c r="BA1127" s="156"/>
      <c r="BB1127" s="156"/>
      <c r="BC1127" s="156"/>
      <c r="BD1127" s="156"/>
      <c r="BE1127" s="156"/>
      <c r="BF1127" s="156"/>
      <c r="BG1127" s="156"/>
      <c r="BH1127" s="156"/>
      <c r="BI1127" s="156"/>
      <c r="BJ1127" s="156"/>
      <c r="BK1127" s="156"/>
      <c r="BL1127" s="156"/>
      <c r="BM1127" s="156"/>
      <c r="BN1127" s="156"/>
      <c r="BO1127" s="156"/>
      <c r="BP1127" s="156"/>
      <c r="BQ1127" s="156"/>
      <c r="BR1127" s="156"/>
      <c r="BS1127" s="156"/>
      <c r="BT1127" s="156"/>
      <c r="BU1127" s="156"/>
      <c r="BV1127" s="156"/>
      <c r="BW1127" s="156"/>
      <c r="BX1127" s="156"/>
      <c r="BY1127" s="156"/>
      <c r="BZ1127" s="156"/>
      <c r="CA1127" s="156"/>
      <c r="CB1127" s="156"/>
      <c r="CC1127" s="156"/>
      <c r="CD1127" s="156"/>
      <c r="CE1127" s="156"/>
      <c r="CF1127" s="156"/>
      <c r="CG1127" s="156"/>
      <c r="CH1127" s="156"/>
      <c r="CI1127" s="156"/>
      <c r="CJ1127" s="156"/>
      <c r="CK1127" s="156"/>
      <c r="CL1127" s="156"/>
      <c r="CM1127" s="156"/>
      <c r="CN1127" s="156"/>
      <c r="CO1127" s="156"/>
      <c r="CP1127" s="156"/>
      <c r="CQ1127" s="156"/>
      <c r="CR1127" s="156"/>
      <c r="CS1127" s="156"/>
      <c r="CT1127" s="156"/>
      <c r="CU1127" s="156"/>
      <c r="CV1127" s="156"/>
      <c r="CW1127" s="156"/>
      <c r="CX1127" s="156"/>
      <c r="CY1127" s="156"/>
      <c r="CZ1127" s="156"/>
      <c r="DA1127" s="156"/>
      <c r="DB1127" s="156"/>
      <c r="DC1127" s="156"/>
      <c r="DD1127" s="156"/>
      <c r="DE1127" s="156"/>
      <c r="DF1127" s="156"/>
      <c r="DG1127" s="156"/>
      <c r="DH1127" s="156"/>
      <c r="DI1127" s="156"/>
      <c r="DJ1127" s="156"/>
      <c r="DK1127" s="156"/>
      <c r="DL1127" s="156"/>
      <c r="DM1127" s="156"/>
      <c r="DN1127" s="156"/>
      <c r="DO1127" s="156"/>
      <c r="DP1127" s="156"/>
      <c r="DQ1127" s="156"/>
      <c r="DR1127" s="156"/>
      <c r="DS1127" s="156"/>
      <c r="DT1127" s="156"/>
      <c r="DU1127" s="156"/>
      <c r="DV1127" s="156"/>
      <c r="DW1127" s="156"/>
      <c r="DX1127" s="156"/>
      <c r="DY1127" s="156"/>
      <c r="DZ1127" s="156"/>
      <c r="EA1127" s="156"/>
      <c r="EB1127" s="156"/>
      <c r="EC1127" s="156"/>
      <c r="ED1127" s="156"/>
      <c r="EE1127" s="156"/>
      <c r="EF1127" s="156"/>
      <c r="EG1127" s="156"/>
      <c r="EH1127" s="156"/>
      <c r="EI1127" s="156"/>
      <c r="EJ1127" s="156"/>
      <c r="EK1127" s="156"/>
      <c r="EL1127" s="156"/>
      <c r="EM1127" s="156"/>
    </row>
    <row r="1128" spans="20:143" ht="10.5" customHeight="1">
      <c r="T1128" s="156"/>
      <c r="AZ1128" s="156"/>
      <c r="BA1128" s="156"/>
      <c r="BB1128" s="156"/>
      <c r="BC1128" s="156"/>
      <c r="BD1128" s="156"/>
      <c r="BE1128" s="156"/>
      <c r="BF1128" s="156"/>
      <c r="BG1128" s="156"/>
      <c r="BH1128" s="156"/>
      <c r="BI1128" s="156"/>
      <c r="BJ1128" s="156"/>
      <c r="BK1128" s="156"/>
      <c r="BL1128" s="156"/>
      <c r="BM1128" s="156"/>
      <c r="BN1128" s="156"/>
      <c r="BO1128" s="156"/>
      <c r="BP1128" s="156"/>
      <c r="BQ1128" s="156"/>
      <c r="BR1128" s="156"/>
      <c r="BS1128" s="156"/>
      <c r="BT1128" s="156"/>
      <c r="BU1128" s="156"/>
      <c r="BV1128" s="156"/>
      <c r="BW1128" s="156"/>
      <c r="BX1128" s="156"/>
      <c r="BY1128" s="156"/>
      <c r="BZ1128" s="156"/>
      <c r="CA1128" s="156"/>
      <c r="CB1128" s="156"/>
      <c r="CC1128" s="156"/>
      <c r="CD1128" s="156"/>
      <c r="CE1128" s="156"/>
      <c r="CF1128" s="156"/>
      <c r="CG1128" s="156"/>
      <c r="CH1128" s="156"/>
      <c r="CI1128" s="156"/>
      <c r="CJ1128" s="156"/>
      <c r="CK1128" s="156"/>
      <c r="CL1128" s="156"/>
      <c r="CM1128" s="156"/>
      <c r="CN1128" s="156"/>
      <c r="CO1128" s="156"/>
      <c r="CP1128" s="156"/>
      <c r="CQ1128" s="156"/>
      <c r="CR1128" s="156"/>
      <c r="CS1128" s="156"/>
      <c r="CT1128" s="156"/>
      <c r="CU1128" s="156"/>
      <c r="CV1128" s="156"/>
      <c r="CW1128" s="156"/>
      <c r="CX1128" s="156"/>
      <c r="CY1128" s="156"/>
      <c r="CZ1128" s="156"/>
      <c r="DA1128" s="156"/>
      <c r="DB1128" s="156"/>
      <c r="DC1128" s="156"/>
      <c r="DD1128" s="156"/>
      <c r="DE1128" s="156"/>
      <c r="DF1128" s="156"/>
      <c r="DG1128" s="156"/>
      <c r="DH1128" s="156"/>
      <c r="DI1128" s="156"/>
      <c r="DJ1128" s="156"/>
      <c r="DK1128" s="156"/>
      <c r="DL1128" s="156"/>
      <c r="DM1128" s="156"/>
      <c r="DN1128" s="156"/>
      <c r="DO1128" s="156"/>
      <c r="DP1128" s="156"/>
      <c r="DQ1128" s="156"/>
      <c r="DR1128" s="156"/>
      <c r="DS1128" s="156"/>
      <c r="DT1128" s="156"/>
      <c r="DU1128" s="156"/>
      <c r="DV1128" s="156"/>
      <c r="DW1128" s="156"/>
      <c r="DX1128" s="156"/>
      <c r="DY1128" s="156"/>
      <c r="DZ1128" s="156"/>
      <c r="EA1128" s="156"/>
      <c r="EB1128" s="156"/>
      <c r="EC1128" s="156"/>
      <c r="ED1128" s="156"/>
      <c r="EE1128" s="156"/>
      <c r="EF1128" s="156"/>
      <c r="EG1128" s="156"/>
      <c r="EH1128" s="156"/>
      <c r="EI1128" s="156"/>
      <c r="EJ1128" s="156"/>
      <c r="EK1128" s="156"/>
      <c r="EL1128" s="156"/>
      <c r="EM1128" s="156"/>
    </row>
    <row r="1129" spans="20:143" ht="10.5" customHeight="1">
      <c r="T1129" s="156"/>
      <c r="AZ1129" s="156"/>
      <c r="BA1129" s="156"/>
      <c r="BB1129" s="156"/>
      <c r="BC1129" s="156"/>
      <c r="BD1129" s="156"/>
      <c r="BE1129" s="156"/>
      <c r="BF1129" s="156"/>
      <c r="BG1129" s="156"/>
      <c r="BH1129" s="156"/>
      <c r="BI1129" s="156"/>
      <c r="BJ1129" s="156"/>
      <c r="BK1129" s="156"/>
      <c r="BL1129" s="156"/>
      <c r="BM1129" s="156"/>
      <c r="BN1129" s="156"/>
      <c r="BO1129" s="156"/>
      <c r="BP1129" s="156"/>
      <c r="BQ1129" s="156"/>
      <c r="BR1129" s="156"/>
      <c r="BS1129" s="156"/>
      <c r="BT1129" s="156"/>
      <c r="BU1129" s="156"/>
      <c r="BV1129" s="156"/>
      <c r="BW1129" s="156"/>
      <c r="BX1129" s="156"/>
      <c r="BY1129" s="156"/>
      <c r="BZ1129" s="156"/>
      <c r="CA1129" s="156"/>
      <c r="CB1129" s="156"/>
      <c r="CC1129" s="156"/>
      <c r="CD1129" s="156"/>
      <c r="CE1129" s="156"/>
      <c r="CF1129" s="156"/>
      <c r="CG1129" s="156"/>
      <c r="CH1129" s="156"/>
      <c r="CI1129" s="156"/>
      <c r="CJ1129" s="156"/>
      <c r="CK1129" s="156"/>
      <c r="CL1129" s="156"/>
      <c r="CM1129" s="156"/>
      <c r="CN1129" s="156"/>
      <c r="CO1129" s="156"/>
      <c r="CP1129" s="156"/>
      <c r="CQ1129" s="156"/>
      <c r="CR1129" s="156"/>
      <c r="CS1129" s="156"/>
      <c r="CT1129" s="156"/>
      <c r="CU1129" s="156"/>
      <c r="CV1129" s="156"/>
      <c r="CW1129" s="156"/>
      <c r="CX1129" s="156"/>
      <c r="CY1129" s="156"/>
      <c r="CZ1129" s="156"/>
      <c r="DA1129" s="156"/>
      <c r="DB1129" s="156"/>
      <c r="DC1129" s="156"/>
      <c r="DD1129" s="156"/>
      <c r="DE1129" s="156"/>
      <c r="DF1129" s="156"/>
      <c r="DG1129" s="156"/>
      <c r="DH1129" s="156"/>
      <c r="DI1129" s="156"/>
      <c r="DJ1129" s="156"/>
      <c r="DK1129" s="156"/>
      <c r="DL1129" s="156"/>
      <c r="DM1129" s="156"/>
      <c r="DN1129" s="156"/>
      <c r="DO1129" s="156"/>
      <c r="DP1129" s="156"/>
      <c r="DQ1129" s="156"/>
      <c r="DR1129" s="156"/>
      <c r="DS1129" s="156"/>
      <c r="DT1129" s="156"/>
      <c r="DU1129" s="156"/>
      <c r="DV1129" s="156"/>
      <c r="DW1129" s="156"/>
      <c r="DX1129" s="156"/>
      <c r="DY1129" s="156"/>
      <c r="DZ1129" s="156"/>
      <c r="EA1129" s="156"/>
      <c r="EB1129" s="156"/>
      <c r="EC1129" s="156"/>
      <c r="ED1129" s="156"/>
      <c r="EE1129" s="156"/>
      <c r="EF1129" s="156"/>
      <c r="EG1129" s="156"/>
      <c r="EH1129" s="156"/>
      <c r="EI1129" s="156"/>
      <c r="EJ1129" s="156"/>
      <c r="EK1129" s="156"/>
      <c r="EL1129" s="156"/>
      <c r="EM1129" s="156"/>
    </row>
    <row r="1130" spans="20:143" ht="10.5" customHeight="1">
      <c r="T1130" s="156"/>
      <c r="AZ1130" s="156"/>
      <c r="BA1130" s="156"/>
      <c r="BB1130" s="156"/>
      <c r="BC1130" s="156"/>
      <c r="BD1130" s="156"/>
      <c r="BE1130" s="156"/>
      <c r="BF1130" s="156"/>
      <c r="BG1130" s="156"/>
      <c r="BH1130" s="156"/>
      <c r="BI1130" s="156"/>
      <c r="BJ1130" s="156"/>
      <c r="BK1130" s="156"/>
      <c r="BL1130" s="156"/>
      <c r="BM1130" s="156"/>
      <c r="BN1130" s="156"/>
      <c r="BO1130" s="156"/>
      <c r="BP1130" s="156"/>
      <c r="BQ1130" s="156"/>
      <c r="BR1130" s="156"/>
      <c r="BS1130" s="156"/>
      <c r="BT1130" s="156"/>
      <c r="BU1130" s="156"/>
      <c r="BV1130" s="156"/>
      <c r="BW1130" s="156"/>
      <c r="BX1130" s="156"/>
      <c r="BY1130" s="156"/>
      <c r="BZ1130" s="156"/>
      <c r="CA1130" s="156"/>
      <c r="CB1130" s="156"/>
      <c r="CC1130" s="156"/>
      <c r="CD1130" s="156"/>
      <c r="CE1130" s="156"/>
      <c r="CF1130" s="156"/>
      <c r="CG1130" s="156"/>
      <c r="CH1130" s="156"/>
      <c r="CI1130" s="156"/>
      <c r="CJ1130" s="156"/>
      <c r="CK1130" s="156"/>
      <c r="CL1130" s="156"/>
      <c r="CM1130" s="156"/>
      <c r="CN1130" s="156"/>
      <c r="CO1130" s="156"/>
      <c r="CP1130" s="156"/>
      <c r="CQ1130" s="156"/>
      <c r="CR1130" s="156"/>
      <c r="CS1130" s="156"/>
      <c r="CT1130" s="156"/>
      <c r="CU1130" s="156"/>
      <c r="CV1130" s="156"/>
      <c r="CW1130" s="156"/>
      <c r="CX1130" s="156"/>
      <c r="CY1130" s="156"/>
      <c r="CZ1130" s="156"/>
      <c r="DA1130" s="156"/>
      <c r="DB1130" s="156"/>
      <c r="DC1130" s="156"/>
      <c r="DD1130" s="156"/>
      <c r="DE1130" s="156"/>
      <c r="DF1130" s="156"/>
      <c r="DG1130" s="156"/>
      <c r="DH1130" s="156"/>
      <c r="DI1130" s="156"/>
      <c r="DJ1130" s="156"/>
      <c r="DK1130" s="156"/>
      <c r="DL1130" s="156"/>
      <c r="DM1130" s="156"/>
      <c r="DN1130" s="156"/>
      <c r="DO1130" s="156"/>
      <c r="DP1130" s="156"/>
      <c r="DQ1130" s="156"/>
      <c r="DR1130" s="156"/>
      <c r="DS1130" s="156"/>
      <c r="DT1130" s="156"/>
      <c r="DU1130" s="156"/>
      <c r="DV1130" s="156"/>
      <c r="DW1130" s="156"/>
      <c r="DX1130" s="156"/>
      <c r="DY1130" s="156"/>
      <c r="DZ1130" s="156"/>
      <c r="EA1130" s="156"/>
      <c r="EB1130" s="156"/>
      <c r="EC1130" s="156"/>
      <c r="ED1130" s="156"/>
      <c r="EE1130" s="156"/>
      <c r="EF1130" s="156"/>
      <c r="EG1130" s="156"/>
      <c r="EH1130" s="156"/>
      <c r="EI1130" s="156"/>
      <c r="EJ1130" s="156"/>
      <c r="EK1130" s="156"/>
      <c r="EL1130" s="156"/>
      <c r="EM1130" s="156"/>
    </row>
    <row r="1131" spans="20:143" ht="10.5" customHeight="1">
      <c r="T1131" s="156"/>
      <c r="AZ1131" s="156"/>
      <c r="BA1131" s="156"/>
      <c r="BB1131" s="156"/>
      <c r="BC1131" s="156"/>
      <c r="BD1131" s="156"/>
      <c r="BE1131" s="156"/>
      <c r="BF1131" s="156"/>
      <c r="BG1131" s="156"/>
      <c r="BH1131" s="156"/>
      <c r="BI1131" s="156"/>
      <c r="BJ1131" s="156"/>
      <c r="BK1131" s="156"/>
      <c r="BL1131" s="156"/>
      <c r="BM1131" s="156"/>
      <c r="BN1131" s="156"/>
      <c r="BO1131" s="156"/>
      <c r="BP1131" s="156"/>
      <c r="BQ1131" s="156"/>
      <c r="BR1131" s="156"/>
      <c r="BS1131" s="156"/>
      <c r="BT1131" s="156"/>
      <c r="BU1131" s="156"/>
      <c r="BV1131" s="156"/>
      <c r="BW1131" s="156"/>
      <c r="BX1131" s="156"/>
      <c r="BY1131" s="156"/>
      <c r="BZ1131" s="156"/>
      <c r="CA1131" s="156"/>
      <c r="CB1131" s="156"/>
      <c r="CC1131" s="156"/>
      <c r="CD1131" s="156"/>
      <c r="CE1131" s="156"/>
      <c r="CF1131" s="156"/>
      <c r="CG1131" s="156"/>
      <c r="CH1131" s="156"/>
      <c r="CI1131" s="156"/>
      <c r="CJ1131" s="156"/>
      <c r="CK1131" s="156"/>
      <c r="CL1131" s="156"/>
      <c r="CM1131" s="156"/>
      <c r="CN1131" s="156"/>
      <c r="CO1131" s="156"/>
      <c r="CP1131" s="156"/>
      <c r="CQ1131" s="156"/>
      <c r="CR1131" s="156"/>
      <c r="CS1131" s="156"/>
      <c r="CT1131" s="156"/>
      <c r="CU1131" s="156"/>
      <c r="CV1131" s="156"/>
      <c r="CW1131" s="156"/>
      <c r="CX1131" s="156"/>
      <c r="CY1131" s="156"/>
      <c r="CZ1131" s="156"/>
      <c r="DA1131" s="156"/>
      <c r="DB1131" s="156"/>
      <c r="DC1131" s="156"/>
      <c r="DD1131" s="156"/>
      <c r="DE1131" s="156"/>
      <c r="DF1131" s="156"/>
      <c r="DG1131" s="156"/>
      <c r="DH1131" s="156"/>
      <c r="DI1131" s="156"/>
      <c r="DJ1131" s="156"/>
      <c r="DK1131" s="156"/>
      <c r="DL1131" s="156"/>
      <c r="DM1131" s="156"/>
      <c r="DN1131" s="156"/>
      <c r="DO1131" s="156"/>
      <c r="DP1131" s="156"/>
      <c r="DQ1131" s="156"/>
      <c r="DR1131" s="156"/>
      <c r="DS1131" s="156"/>
      <c r="DT1131" s="156"/>
      <c r="DU1131" s="156"/>
      <c r="DV1131" s="156"/>
      <c r="DW1131" s="156"/>
      <c r="DX1131" s="156"/>
      <c r="DY1131" s="156"/>
      <c r="DZ1131" s="156"/>
      <c r="EA1131" s="156"/>
      <c r="EB1131" s="156"/>
      <c r="EC1131" s="156"/>
      <c r="ED1131" s="156"/>
      <c r="EE1131" s="156"/>
      <c r="EF1131" s="156"/>
      <c r="EG1131" s="156"/>
      <c r="EH1131" s="156"/>
      <c r="EI1131" s="156"/>
      <c r="EJ1131" s="156"/>
      <c r="EK1131" s="156"/>
      <c r="EL1131" s="156"/>
      <c r="EM1131" s="156"/>
    </row>
    <row r="1132" spans="20:143" ht="10.5" customHeight="1">
      <c r="T1132" s="156"/>
      <c r="AZ1132" s="156"/>
      <c r="BA1132" s="156"/>
      <c r="BB1132" s="156"/>
      <c r="BC1132" s="156"/>
      <c r="BD1132" s="156"/>
      <c r="BE1132" s="156"/>
      <c r="BF1132" s="156"/>
      <c r="BG1132" s="156"/>
      <c r="BH1132" s="156"/>
      <c r="BI1132" s="156"/>
      <c r="BJ1132" s="156"/>
      <c r="BK1132" s="156"/>
      <c r="BL1132" s="156"/>
      <c r="BM1132" s="156"/>
      <c r="BN1132" s="156"/>
      <c r="BO1132" s="156"/>
      <c r="BP1132" s="156"/>
      <c r="BQ1132" s="156"/>
      <c r="BR1132" s="156"/>
      <c r="BS1132" s="156"/>
      <c r="BT1132" s="156"/>
      <c r="BU1132" s="156"/>
      <c r="BV1132" s="156"/>
      <c r="BW1132" s="156"/>
      <c r="BX1132" s="156"/>
      <c r="BY1132" s="156"/>
      <c r="BZ1132" s="156"/>
      <c r="CA1132" s="156"/>
      <c r="CB1132" s="156"/>
      <c r="CC1132" s="156"/>
      <c r="CD1132" s="156"/>
      <c r="CE1132" s="156"/>
      <c r="CF1132" s="156"/>
      <c r="CG1132" s="156"/>
      <c r="CH1132" s="156"/>
      <c r="CI1132" s="156"/>
      <c r="CJ1132" s="156"/>
      <c r="CK1132" s="156"/>
      <c r="CL1132" s="156"/>
      <c r="CM1132" s="156"/>
      <c r="CN1132" s="156"/>
      <c r="CO1132" s="156"/>
      <c r="CP1132" s="156"/>
      <c r="CQ1132" s="156"/>
      <c r="CR1132" s="156"/>
      <c r="CS1132" s="156"/>
      <c r="CT1132" s="156"/>
      <c r="CU1132" s="156"/>
      <c r="CV1132" s="156"/>
      <c r="CW1132" s="156"/>
      <c r="CX1132" s="156"/>
      <c r="CY1132" s="156"/>
      <c r="CZ1132" s="156"/>
      <c r="DA1132" s="156"/>
      <c r="DB1132" s="156"/>
      <c r="DC1132" s="156"/>
      <c r="DD1132" s="156"/>
      <c r="DE1132" s="156"/>
      <c r="DF1132" s="156"/>
      <c r="DG1132" s="156"/>
      <c r="DH1132" s="156"/>
      <c r="DI1132" s="156"/>
      <c r="DJ1132" s="156"/>
      <c r="DK1132" s="156"/>
      <c r="DL1132" s="156"/>
      <c r="DM1132" s="156"/>
      <c r="DN1132" s="156"/>
      <c r="DO1132" s="156"/>
      <c r="DP1132" s="156"/>
      <c r="DQ1132" s="156"/>
      <c r="DR1132" s="156"/>
      <c r="DS1132" s="156"/>
      <c r="DT1132" s="156"/>
      <c r="DU1132" s="156"/>
      <c r="DV1132" s="156"/>
      <c r="DW1132" s="156"/>
      <c r="DX1132" s="156"/>
      <c r="DY1132" s="156"/>
      <c r="DZ1132" s="156"/>
      <c r="EA1132" s="156"/>
      <c r="EB1132" s="156"/>
      <c r="EC1132" s="156"/>
      <c r="ED1132" s="156"/>
      <c r="EE1132" s="156"/>
      <c r="EF1132" s="156"/>
      <c r="EG1132" s="156"/>
      <c r="EH1132" s="156"/>
      <c r="EI1132" s="156"/>
      <c r="EJ1132" s="156"/>
      <c r="EK1132" s="156"/>
      <c r="EL1132" s="156"/>
      <c r="EM1132" s="156"/>
    </row>
    <row r="1133" spans="20:143" ht="10.5" customHeight="1">
      <c r="T1133" s="156"/>
      <c r="AZ1133" s="156"/>
      <c r="BA1133" s="156"/>
      <c r="BB1133" s="156"/>
      <c r="BC1133" s="156"/>
      <c r="BD1133" s="156"/>
      <c r="BE1133" s="156"/>
      <c r="BF1133" s="156"/>
      <c r="BG1133" s="156"/>
      <c r="BH1133" s="156"/>
      <c r="BI1133" s="156"/>
      <c r="BJ1133" s="156"/>
      <c r="BK1133" s="156"/>
      <c r="BL1133" s="156"/>
      <c r="BM1133" s="156"/>
      <c r="BN1133" s="156"/>
      <c r="BO1133" s="156"/>
      <c r="BP1133" s="156"/>
      <c r="BQ1133" s="156"/>
      <c r="BR1133" s="156"/>
      <c r="BS1133" s="156"/>
      <c r="BT1133" s="156"/>
      <c r="BU1133" s="156"/>
      <c r="BV1133" s="156"/>
      <c r="BW1133" s="156"/>
      <c r="BX1133" s="156"/>
      <c r="BY1133" s="156"/>
      <c r="BZ1133" s="156"/>
      <c r="CA1133" s="156"/>
      <c r="CB1133" s="156"/>
      <c r="CC1133" s="156"/>
      <c r="CD1133" s="156"/>
      <c r="CE1133" s="156"/>
      <c r="CF1133" s="156"/>
      <c r="CG1133" s="156"/>
      <c r="CH1133" s="156"/>
      <c r="CI1133" s="156"/>
      <c r="CJ1133" s="156"/>
      <c r="CK1133" s="156"/>
      <c r="CL1133" s="156"/>
      <c r="CM1133" s="156"/>
      <c r="CN1133" s="156"/>
      <c r="CO1133" s="156"/>
      <c r="CP1133" s="156"/>
      <c r="CQ1133" s="156"/>
      <c r="CR1133" s="156"/>
      <c r="CS1133" s="156"/>
      <c r="CT1133" s="156"/>
      <c r="CU1133" s="156"/>
      <c r="CV1133" s="156"/>
      <c r="CW1133" s="156"/>
      <c r="CX1133" s="156"/>
      <c r="CY1133" s="156"/>
      <c r="CZ1133" s="156"/>
      <c r="DA1133" s="156"/>
      <c r="DB1133" s="156"/>
      <c r="DC1133" s="156"/>
      <c r="DD1133" s="156"/>
      <c r="DE1133" s="156"/>
      <c r="DF1133" s="156"/>
      <c r="DG1133" s="156"/>
      <c r="DH1133" s="156"/>
      <c r="DI1133" s="156"/>
      <c r="DJ1133" s="156"/>
      <c r="DK1133" s="156"/>
      <c r="DL1133" s="156"/>
      <c r="DM1133" s="156"/>
      <c r="DN1133" s="156"/>
      <c r="DO1133" s="156"/>
      <c r="DP1133" s="156"/>
      <c r="DQ1133" s="156"/>
      <c r="DR1133" s="156"/>
      <c r="DS1133" s="156"/>
      <c r="DT1133" s="156"/>
      <c r="DU1133" s="156"/>
      <c r="DV1133" s="156"/>
      <c r="DW1133" s="156"/>
      <c r="DX1133" s="156"/>
      <c r="DY1133" s="156"/>
      <c r="DZ1133" s="156"/>
      <c r="EA1133" s="156"/>
      <c r="EB1133" s="156"/>
      <c r="EC1133" s="156"/>
      <c r="ED1133" s="156"/>
      <c r="EE1133" s="156"/>
      <c r="EF1133" s="156"/>
      <c r="EG1133" s="156"/>
      <c r="EH1133" s="156"/>
      <c r="EI1133" s="156"/>
      <c r="EJ1133" s="156"/>
      <c r="EK1133" s="156"/>
      <c r="EL1133" s="156"/>
      <c r="EM1133" s="156"/>
    </row>
    <row r="1134" spans="20:143" ht="10.5" customHeight="1">
      <c r="T1134" s="156"/>
      <c r="AZ1134" s="156"/>
      <c r="BA1134" s="156"/>
      <c r="BB1134" s="156"/>
      <c r="BC1134" s="156"/>
      <c r="BD1134" s="156"/>
      <c r="BE1134" s="156"/>
      <c r="BF1134" s="156"/>
      <c r="BG1134" s="156"/>
      <c r="BH1134" s="156"/>
      <c r="BI1134" s="156"/>
      <c r="BJ1134" s="156"/>
      <c r="BK1134" s="156"/>
      <c r="BL1134" s="156"/>
      <c r="BM1134" s="156"/>
      <c r="BN1134" s="156"/>
      <c r="BO1134" s="156"/>
      <c r="BP1134" s="156"/>
      <c r="BQ1134" s="156"/>
      <c r="BR1134" s="156"/>
      <c r="BS1134" s="156"/>
      <c r="BT1134" s="156"/>
      <c r="BU1134" s="156"/>
      <c r="BV1134" s="156"/>
      <c r="BW1134" s="156"/>
      <c r="BX1134" s="156"/>
      <c r="BY1134" s="156"/>
      <c r="BZ1134" s="156"/>
      <c r="CA1134" s="156"/>
      <c r="CB1134" s="156"/>
      <c r="CC1134" s="156"/>
      <c r="CD1134" s="156"/>
      <c r="CE1134" s="156"/>
      <c r="CF1134" s="156"/>
      <c r="CG1134" s="156"/>
      <c r="CH1134" s="156"/>
      <c r="CI1134" s="156"/>
      <c r="CJ1134" s="156"/>
      <c r="CK1134" s="156"/>
      <c r="CL1134" s="156"/>
      <c r="CM1134" s="156"/>
      <c r="CN1134" s="156"/>
      <c r="CO1134" s="156"/>
      <c r="CP1134" s="156"/>
      <c r="CQ1134" s="156"/>
      <c r="CR1134" s="156"/>
      <c r="CS1134" s="156"/>
      <c r="CT1134" s="156"/>
      <c r="CU1134" s="156"/>
      <c r="CV1134" s="156"/>
      <c r="CW1134" s="156"/>
      <c r="CX1134" s="156"/>
      <c r="CY1134" s="156"/>
      <c r="CZ1134" s="156"/>
      <c r="DA1134" s="156"/>
      <c r="DB1134" s="156"/>
      <c r="DC1134" s="156"/>
      <c r="DD1134" s="156"/>
      <c r="DE1134" s="156"/>
      <c r="DF1134" s="156"/>
      <c r="DG1134" s="156"/>
      <c r="DH1134" s="156"/>
      <c r="DI1134" s="156"/>
      <c r="DJ1134" s="156"/>
      <c r="DK1134" s="156"/>
      <c r="DL1134" s="156"/>
      <c r="DM1134" s="156"/>
      <c r="DN1134" s="156"/>
      <c r="DO1134" s="156"/>
      <c r="DP1134" s="156"/>
      <c r="DQ1134" s="156"/>
      <c r="DR1134" s="156"/>
      <c r="DS1134" s="156"/>
      <c r="DT1134" s="156"/>
      <c r="DU1134" s="156"/>
      <c r="DV1134" s="156"/>
      <c r="DW1134" s="156"/>
      <c r="DX1134" s="156"/>
      <c r="DY1134" s="156"/>
      <c r="DZ1134" s="156"/>
      <c r="EA1134" s="156"/>
      <c r="EB1134" s="156"/>
      <c r="EC1134" s="156"/>
      <c r="ED1134" s="156"/>
      <c r="EE1134" s="156"/>
      <c r="EF1134" s="156"/>
      <c r="EG1134" s="156"/>
      <c r="EH1134" s="156"/>
      <c r="EI1134" s="156"/>
      <c r="EJ1134" s="156"/>
      <c r="EK1134" s="156"/>
      <c r="EL1134" s="156"/>
      <c r="EM1134" s="156"/>
    </row>
    <row r="1135" spans="20:143" ht="10.5" customHeight="1">
      <c r="T1135" s="156"/>
      <c r="AZ1135" s="156"/>
      <c r="BA1135" s="156"/>
      <c r="BB1135" s="156"/>
      <c r="BC1135" s="156"/>
      <c r="BD1135" s="156"/>
      <c r="BE1135" s="156"/>
      <c r="BF1135" s="156"/>
      <c r="BG1135" s="156"/>
      <c r="BH1135" s="156"/>
      <c r="BI1135" s="156"/>
      <c r="BJ1135" s="156"/>
      <c r="BK1135" s="156"/>
      <c r="BL1135" s="156"/>
      <c r="BM1135" s="156"/>
      <c r="BN1135" s="156"/>
      <c r="BO1135" s="156"/>
      <c r="BP1135" s="156"/>
      <c r="BQ1135" s="156"/>
      <c r="BR1135" s="156"/>
      <c r="BS1135" s="156"/>
      <c r="BT1135" s="156"/>
      <c r="BU1135" s="156"/>
      <c r="BV1135" s="156"/>
      <c r="BW1135" s="156"/>
      <c r="BX1135" s="156"/>
      <c r="BY1135" s="156"/>
      <c r="BZ1135" s="156"/>
      <c r="CA1135" s="156"/>
      <c r="CB1135" s="156"/>
      <c r="CC1135" s="156"/>
      <c r="CD1135" s="156"/>
      <c r="CE1135" s="156"/>
      <c r="CF1135" s="156"/>
      <c r="CG1135" s="156"/>
      <c r="CH1135" s="156"/>
      <c r="CI1135" s="156"/>
      <c r="CJ1135" s="156"/>
      <c r="CK1135" s="156"/>
      <c r="CL1135" s="156"/>
      <c r="CM1135" s="156"/>
      <c r="CN1135" s="156"/>
      <c r="CO1135" s="156"/>
      <c r="CP1135" s="156"/>
      <c r="CQ1135" s="156"/>
      <c r="CR1135" s="156"/>
      <c r="CS1135" s="156"/>
      <c r="CT1135" s="156"/>
      <c r="CU1135" s="156"/>
      <c r="CV1135" s="156"/>
      <c r="CW1135" s="156"/>
      <c r="CX1135" s="156"/>
      <c r="CY1135" s="156"/>
      <c r="CZ1135" s="156"/>
      <c r="DA1135" s="156"/>
      <c r="DB1135" s="156"/>
      <c r="DC1135" s="156"/>
      <c r="DD1135" s="156"/>
      <c r="DE1135" s="156"/>
      <c r="DF1135" s="156"/>
      <c r="DG1135" s="156"/>
      <c r="DH1135" s="156"/>
      <c r="DI1135" s="156"/>
      <c r="DJ1135" s="156"/>
      <c r="DK1135" s="156"/>
      <c r="DL1135" s="156"/>
      <c r="DM1135" s="156"/>
      <c r="DN1135" s="156"/>
      <c r="DO1135" s="156"/>
      <c r="DP1135" s="156"/>
      <c r="DQ1135" s="156"/>
      <c r="DR1135" s="156"/>
      <c r="DS1135" s="156"/>
      <c r="DT1135" s="156"/>
      <c r="DU1135" s="156"/>
      <c r="DV1135" s="156"/>
      <c r="DW1135" s="156"/>
      <c r="DX1135" s="156"/>
      <c r="DY1135" s="156"/>
      <c r="DZ1135" s="156"/>
      <c r="EA1135" s="156"/>
      <c r="EB1135" s="156"/>
      <c r="EC1135" s="156"/>
      <c r="ED1135" s="156"/>
      <c r="EE1135" s="156"/>
      <c r="EF1135" s="156"/>
      <c r="EG1135" s="156"/>
      <c r="EH1135" s="156"/>
      <c r="EI1135" s="156"/>
      <c r="EJ1135" s="156"/>
      <c r="EK1135" s="156"/>
      <c r="EL1135" s="156"/>
      <c r="EM1135" s="156"/>
    </row>
    <row r="1136" spans="20:143" ht="10.5" customHeight="1">
      <c r="T1136" s="156"/>
      <c r="AZ1136" s="156"/>
      <c r="BA1136" s="156"/>
      <c r="BB1136" s="156"/>
      <c r="BC1136" s="156"/>
      <c r="BD1136" s="156"/>
      <c r="BE1136" s="156"/>
      <c r="BF1136" s="156"/>
      <c r="BG1136" s="156"/>
      <c r="BH1136" s="156"/>
      <c r="BI1136" s="156"/>
      <c r="BJ1136" s="156"/>
      <c r="BK1136" s="156"/>
      <c r="BL1136" s="156"/>
      <c r="BM1136" s="156"/>
      <c r="BN1136" s="156"/>
      <c r="BO1136" s="156"/>
      <c r="BP1136" s="156"/>
      <c r="BQ1136" s="156"/>
      <c r="BR1136" s="156"/>
      <c r="BS1136" s="156"/>
      <c r="BT1136" s="156"/>
      <c r="BU1136" s="156"/>
      <c r="BV1136" s="156"/>
      <c r="BW1136" s="156"/>
      <c r="BX1136" s="156"/>
      <c r="BY1136" s="156"/>
      <c r="BZ1136" s="156"/>
      <c r="CA1136" s="156"/>
      <c r="CB1136" s="156"/>
      <c r="CC1136" s="156"/>
      <c r="CD1136" s="156"/>
      <c r="CE1136" s="156"/>
      <c r="CF1136" s="156"/>
      <c r="CG1136" s="156"/>
      <c r="CH1136" s="156"/>
      <c r="CI1136" s="156"/>
      <c r="CJ1136" s="156"/>
      <c r="CK1136" s="156"/>
      <c r="CL1136" s="156"/>
      <c r="CM1136" s="156"/>
      <c r="CN1136" s="156"/>
      <c r="CO1136" s="156"/>
      <c r="CP1136" s="156"/>
      <c r="CQ1136" s="156"/>
      <c r="CR1136" s="156"/>
      <c r="CS1136" s="156"/>
      <c r="CT1136" s="156"/>
      <c r="CU1136" s="156"/>
      <c r="CV1136" s="156"/>
      <c r="CW1136" s="156"/>
      <c r="CX1136" s="156"/>
      <c r="CY1136" s="156"/>
      <c r="CZ1136" s="156"/>
      <c r="DA1136" s="156"/>
      <c r="DB1136" s="156"/>
      <c r="DC1136" s="156"/>
      <c r="DD1136" s="156"/>
      <c r="DE1136" s="156"/>
      <c r="DF1136" s="156"/>
      <c r="DG1136" s="156"/>
      <c r="DH1136" s="156"/>
      <c r="DI1136" s="156"/>
      <c r="DJ1136" s="156"/>
      <c r="DK1136" s="156"/>
      <c r="DL1136" s="156"/>
      <c r="DM1136" s="156"/>
      <c r="DN1136" s="156"/>
      <c r="DO1136" s="156"/>
      <c r="DP1136" s="156"/>
      <c r="DQ1136" s="156"/>
      <c r="DR1136" s="156"/>
      <c r="DS1136" s="156"/>
      <c r="DT1136" s="156"/>
      <c r="DU1136" s="156"/>
      <c r="DV1136" s="156"/>
      <c r="DW1136" s="156"/>
      <c r="DX1136" s="156"/>
      <c r="DY1136" s="156"/>
      <c r="DZ1136" s="156"/>
      <c r="EA1136" s="156"/>
      <c r="EB1136" s="156"/>
      <c r="EC1136" s="156"/>
      <c r="ED1136" s="156"/>
      <c r="EE1136" s="156"/>
      <c r="EF1136" s="156"/>
      <c r="EG1136" s="156"/>
      <c r="EH1136" s="156"/>
      <c r="EI1136" s="156"/>
      <c r="EJ1136" s="156"/>
      <c r="EK1136" s="156"/>
      <c r="EL1136" s="156"/>
      <c r="EM1136" s="156"/>
    </row>
    <row r="1137" spans="20:143" ht="10.5" customHeight="1">
      <c r="T1137" s="156"/>
      <c r="AZ1137" s="156"/>
      <c r="BA1137" s="156"/>
      <c r="BB1137" s="156"/>
      <c r="BC1137" s="156"/>
      <c r="BD1137" s="156"/>
      <c r="BE1137" s="156"/>
      <c r="BF1137" s="156"/>
      <c r="BG1137" s="156"/>
      <c r="BH1137" s="156"/>
      <c r="BI1137" s="156"/>
      <c r="BJ1137" s="156"/>
      <c r="BK1137" s="156"/>
      <c r="BL1137" s="156"/>
      <c r="BM1137" s="156"/>
      <c r="BN1137" s="156"/>
      <c r="BO1137" s="156"/>
      <c r="BP1137" s="156"/>
      <c r="BQ1137" s="156"/>
      <c r="BR1137" s="156"/>
      <c r="BS1137" s="156"/>
      <c r="BT1137" s="156"/>
      <c r="BU1137" s="156"/>
      <c r="BV1137" s="156"/>
      <c r="BW1137" s="156"/>
      <c r="BX1137" s="156"/>
      <c r="BY1137" s="156"/>
      <c r="BZ1137" s="156"/>
      <c r="CA1137" s="156"/>
      <c r="CB1137" s="156"/>
      <c r="CC1137" s="156"/>
      <c r="CD1137" s="156"/>
      <c r="CE1137" s="156"/>
      <c r="CF1137" s="156"/>
      <c r="CG1137" s="156"/>
      <c r="CH1137" s="156"/>
      <c r="CI1137" s="156"/>
      <c r="CJ1137" s="156"/>
      <c r="CK1137" s="156"/>
      <c r="CL1137" s="156"/>
      <c r="CM1137" s="156"/>
      <c r="CN1137" s="156"/>
      <c r="CO1137" s="156"/>
      <c r="CP1137" s="156"/>
      <c r="CQ1137" s="156"/>
      <c r="CR1137" s="156"/>
      <c r="CS1137" s="156"/>
      <c r="CT1137" s="156"/>
      <c r="CU1137" s="156"/>
      <c r="CV1137" s="156"/>
      <c r="CW1137" s="156"/>
      <c r="CX1137" s="156"/>
      <c r="CY1137" s="156"/>
      <c r="CZ1137" s="156"/>
      <c r="DA1137" s="156"/>
      <c r="DB1137" s="156"/>
      <c r="DC1137" s="156"/>
      <c r="DD1137" s="156"/>
      <c r="DE1137" s="156"/>
      <c r="DF1137" s="156"/>
      <c r="DG1137" s="156"/>
      <c r="DH1137" s="156"/>
      <c r="DI1137" s="156"/>
      <c r="DJ1137" s="156"/>
      <c r="DK1137" s="156"/>
      <c r="DL1137" s="156"/>
      <c r="DM1137" s="156"/>
      <c r="DN1137" s="156"/>
      <c r="DO1137" s="156"/>
      <c r="DP1137" s="156"/>
      <c r="DQ1137" s="156"/>
      <c r="DR1137" s="156"/>
      <c r="DS1137" s="156"/>
      <c r="DT1137" s="156"/>
      <c r="DU1137" s="156"/>
      <c r="DV1137" s="156"/>
      <c r="DW1137" s="156"/>
      <c r="DX1137" s="156"/>
      <c r="DY1137" s="156"/>
      <c r="DZ1137" s="156"/>
      <c r="EA1137" s="156"/>
      <c r="EB1137" s="156"/>
      <c r="EC1137" s="156"/>
      <c r="ED1137" s="156"/>
      <c r="EE1137" s="156"/>
      <c r="EF1137" s="156"/>
      <c r="EG1137" s="156"/>
      <c r="EH1137" s="156"/>
      <c r="EI1137" s="156"/>
      <c r="EJ1137" s="156"/>
      <c r="EK1137" s="156"/>
      <c r="EL1137" s="156"/>
      <c r="EM1137" s="156"/>
    </row>
    <row r="1138" spans="20:143" ht="10.5" customHeight="1">
      <c r="T1138" s="156"/>
      <c r="AZ1138" s="156"/>
      <c r="BA1138" s="156"/>
      <c r="BB1138" s="156"/>
      <c r="BC1138" s="156"/>
      <c r="BD1138" s="156"/>
      <c r="BE1138" s="156"/>
      <c r="BF1138" s="156"/>
      <c r="BG1138" s="156"/>
      <c r="BH1138" s="156"/>
      <c r="BI1138" s="156"/>
      <c r="BJ1138" s="156"/>
      <c r="BK1138" s="156"/>
      <c r="BL1138" s="156"/>
      <c r="BM1138" s="156"/>
      <c r="BN1138" s="156"/>
      <c r="BO1138" s="156"/>
      <c r="BP1138" s="156"/>
      <c r="BQ1138" s="156"/>
      <c r="BR1138" s="156"/>
      <c r="BS1138" s="156"/>
      <c r="BT1138" s="156"/>
      <c r="BU1138" s="156"/>
      <c r="BV1138" s="156"/>
      <c r="BW1138" s="156"/>
      <c r="BX1138" s="156"/>
      <c r="BY1138" s="156"/>
      <c r="BZ1138" s="156"/>
      <c r="CA1138" s="156"/>
      <c r="CB1138" s="156"/>
      <c r="CC1138" s="156"/>
      <c r="CD1138" s="156"/>
      <c r="CE1138" s="156"/>
      <c r="CF1138" s="156"/>
      <c r="CG1138" s="156"/>
      <c r="CH1138" s="156"/>
      <c r="CI1138" s="156"/>
      <c r="CJ1138" s="156"/>
      <c r="CK1138" s="156"/>
      <c r="CL1138" s="156"/>
      <c r="CM1138" s="156"/>
      <c r="CN1138" s="156"/>
      <c r="CO1138" s="156"/>
      <c r="CP1138" s="156"/>
      <c r="CQ1138" s="156"/>
      <c r="CR1138" s="156"/>
      <c r="CS1138" s="156"/>
      <c r="CT1138" s="156"/>
      <c r="CU1138" s="156"/>
      <c r="CV1138" s="156"/>
      <c r="CW1138" s="156"/>
      <c r="CX1138" s="156"/>
      <c r="CY1138" s="156"/>
      <c r="CZ1138" s="156"/>
      <c r="DA1138" s="156"/>
      <c r="DB1138" s="156"/>
      <c r="DC1138" s="156"/>
      <c r="DD1138" s="156"/>
      <c r="DE1138" s="156"/>
      <c r="DF1138" s="156"/>
      <c r="DG1138" s="156"/>
      <c r="DH1138" s="156"/>
      <c r="DI1138" s="156"/>
      <c r="DJ1138" s="156"/>
      <c r="DK1138" s="156"/>
      <c r="DL1138" s="156"/>
      <c r="DM1138" s="156"/>
      <c r="DN1138" s="156"/>
      <c r="DO1138" s="156"/>
      <c r="DP1138" s="156"/>
      <c r="DQ1138" s="156"/>
      <c r="DR1138" s="156"/>
      <c r="DS1138" s="156"/>
      <c r="DT1138" s="156"/>
      <c r="DU1138" s="156"/>
      <c r="DV1138" s="156"/>
      <c r="DW1138" s="156"/>
      <c r="DX1138" s="156"/>
      <c r="DY1138" s="156"/>
      <c r="DZ1138" s="156"/>
      <c r="EA1138" s="156"/>
      <c r="EB1138" s="156"/>
      <c r="EC1138" s="156"/>
      <c r="ED1138" s="156"/>
      <c r="EE1138" s="156"/>
      <c r="EF1138" s="156"/>
      <c r="EG1138" s="156"/>
      <c r="EH1138" s="156"/>
      <c r="EI1138" s="156"/>
      <c r="EJ1138" s="156"/>
      <c r="EK1138" s="156"/>
      <c r="EL1138" s="156"/>
      <c r="EM1138" s="156"/>
    </row>
    <row r="1139" spans="20:143" ht="10.5" customHeight="1">
      <c r="T1139" s="156"/>
      <c r="AZ1139" s="156"/>
      <c r="BA1139" s="156"/>
      <c r="BB1139" s="156"/>
      <c r="BC1139" s="156"/>
      <c r="BD1139" s="156"/>
      <c r="BE1139" s="156"/>
      <c r="BF1139" s="156"/>
      <c r="BG1139" s="156"/>
      <c r="BH1139" s="156"/>
      <c r="BI1139" s="156"/>
      <c r="BJ1139" s="156"/>
      <c r="BK1139" s="156"/>
      <c r="BL1139" s="156"/>
      <c r="BM1139" s="156"/>
      <c r="BN1139" s="156"/>
      <c r="BO1139" s="156"/>
      <c r="BP1139" s="156"/>
      <c r="BQ1139" s="156"/>
      <c r="BR1139" s="156"/>
      <c r="BS1139" s="156"/>
      <c r="BT1139" s="156"/>
      <c r="BU1139" s="156"/>
      <c r="BV1139" s="156"/>
      <c r="BW1139" s="156"/>
      <c r="BX1139" s="156"/>
      <c r="BY1139" s="156"/>
      <c r="BZ1139" s="156"/>
      <c r="CA1139" s="156"/>
      <c r="CB1139" s="156"/>
      <c r="CC1139" s="156"/>
      <c r="CD1139" s="156"/>
      <c r="CE1139" s="156"/>
      <c r="CF1139" s="156"/>
      <c r="CG1139" s="156"/>
      <c r="CH1139" s="156"/>
      <c r="CI1139" s="156"/>
      <c r="CJ1139" s="156"/>
      <c r="CK1139" s="156"/>
      <c r="CL1139" s="156"/>
      <c r="CM1139" s="156"/>
      <c r="CN1139" s="156"/>
      <c r="CO1139" s="156"/>
      <c r="CP1139" s="156"/>
      <c r="CQ1139" s="156"/>
      <c r="CR1139" s="156"/>
      <c r="CS1139" s="156"/>
      <c r="CT1139" s="156"/>
      <c r="CU1139" s="156"/>
      <c r="CV1139" s="156"/>
      <c r="CW1139" s="156"/>
      <c r="CX1139" s="156"/>
      <c r="CY1139" s="156"/>
      <c r="CZ1139" s="156"/>
      <c r="DA1139" s="156"/>
      <c r="DB1139" s="156"/>
      <c r="DC1139" s="156"/>
      <c r="DD1139" s="156"/>
      <c r="DE1139" s="156"/>
      <c r="DF1139" s="156"/>
      <c r="DG1139" s="156"/>
      <c r="DH1139" s="156"/>
      <c r="DI1139" s="156"/>
      <c r="DJ1139" s="156"/>
      <c r="DK1139" s="156"/>
      <c r="DL1139" s="156"/>
      <c r="DM1139" s="156"/>
      <c r="DN1139" s="156"/>
      <c r="DO1139" s="156"/>
      <c r="DP1139" s="156"/>
      <c r="DQ1139" s="156"/>
      <c r="DR1139" s="156"/>
      <c r="DS1139" s="156"/>
      <c r="DT1139" s="156"/>
      <c r="DU1139" s="156"/>
      <c r="DV1139" s="156"/>
      <c r="DW1139" s="156"/>
      <c r="DX1139" s="156"/>
      <c r="DY1139" s="156"/>
      <c r="DZ1139" s="156"/>
      <c r="EA1139" s="156"/>
      <c r="EB1139" s="156"/>
      <c r="EC1139" s="156"/>
      <c r="ED1139" s="156"/>
      <c r="EE1139" s="156"/>
      <c r="EF1139" s="156"/>
      <c r="EG1139" s="156"/>
      <c r="EH1139" s="156"/>
      <c r="EI1139" s="156"/>
      <c r="EJ1139" s="156"/>
      <c r="EK1139" s="156"/>
      <c r="EL1139" s="156"/>
      <c r="EM1139" s="156"/>
    </row>
    <row r="1140" spans="20:143" ht="10.5" customHeight="1">
      <c r="T1140" s="156"/>
      <c r="AZ1140" s="156"/>
      <c r="BA1140" s="156"/>
      <c r="BB1140" s="156"/>
      <c r="BC1140" s="156"/>
      <c r="BD1140" s="156"/>
      <c r="BE1140" s="156"/>
      <c r="BF1140" s="156"/>
      <c r="BG1140" s="156"/>
      <c r="BH1140" s="156"/>
      <c r="BI1140" s="156"/>
      <c r="BJ1140" s="156"/>
      <c r="BK1140" s="156"/>
      <c r="BL1140" s="156"/>
      <c r="BM1140" s="156"/>
      <c r="BN1140" s="156"/>
      <c r="BO1140" s="156"/>
      <c r="BP1140" s="156"/>
      <c r="BQ1140" s="156"/>
      <c r="BR1140" s="156"/>
      <c r="BS1140" s="156"/>
      <c r="BT1140" s="156"/>
      <c r="BU1140" s="156"/>
      <c r="BV1140" s="156"/>
      <c r="BW1140" s="156"/>
      <c r="BX1140" s="156"/>
      <c r="BY1140" s="156"/>
      <c r="BZ1140" s="156"/>
      <c r="CA1140" s="156"/>
      <c r="CB1140" s="156"/>
      <c r="CC1140" s="156"/>
      <c r="CD1140" s="156"/>
      <c r="CE1140" s="156"/>
      <c r="CF1140" s="156"/>
      <c r="CG1140" s="156"/>
      <c r="CH1140" s="156"/>
      <c r="CI1140" s="156"/>
      <c r="CJ1140" s="156"/>
      <c r="CK1140" s="156"/>
      <c r="CL1140" s="156"/>
      <c r="CM1140" s="156"/>
      <c r="CN1140" s="156"/>
      <c r="CO1140" s="156"/>
      <c r="CP1140" s="156"/>
      <c r="CQ1140" s="156"/>
      <c r="CR1140" s="156"/>
      <c r="CS1140" s="156"/>
      <c r="CT1140" s="156"/>
      <c r="CU1140" s="156"/>
      <c r="CV1140" s="156"/>
      <c r="CW1140" s="156"/>
      <c r="CX1140" s="156"/>
      <c r="CY1140" s="156"/>
      <c r="CZ1140" s="156"/>
      <c r="DA1140" s="156"/>
      <c r="DB1140" s="156"/>
      <c r="DC1140" s="156"/>
      <c r="DD1140" s="156"/>
      <c r="DE1140" s="156"/>
      <c r="DF1140" s="156"/>
      <c r="DG1140" s="156"/>
      <c r="DH1140" s="156"/>
      <c r="DI1140" s="156"/>
      <c r="DJ1140" s="156"/>
      <c r="DK1140" s="156"/>
      <c r="DL1140" s="156"/>
      <c r="DM1140" s="156"/>
      <c r="DN1140" s="156"/>
      <c r="DO1140" s="156"/>
      <c r="DP1140" s="156"/>
      <c r="DQ1140" s="156"/>
      <c r="DR1140" s="156"/>
      <c r="DS1140" s="156"/>
      <c r="DT1140" s="156"/>
      <c r="DU1140" s="156"/>
      <c r="DV1140" s="156"/>
      <c r="DW1140" s="156"/>
      <c r="DX1140" s="156"/>
      <c r="DY1140" s="156"/>
      <c r="DZ1140" s="156"/>
      <c r="EA1140" s="156"/>
      <c r="EB1140" s="156"/>
      <c r="EC1140" s="156"/>
      <c r="ED1140" s="156"/>
      <c r="EE1140" s="156"/>
      <c r="EF1140" s="156"/>
      <c r="EG1140" s="156"/>
      <c r="EH1140" s="156"/>
      <c r="EI1140" s="156"/>
      <c r="EJ1140" s="156"/>
      <c r="EK1140" s="156"/>
      <c r="EL1140" s="156"/>
      <c r="EM1140" s="156"/>
    </row>
    <row r="1141" spans="20:143" ht="10.5" customHeight="1">
      <c r="T1141" s="156"/>
      <c r="AZ1141" s="156"/>
      <c r="BA1141" s="156"/>
      <c r="BB1141" s="156"/>
      <c r="BC1141" s="156"/>
      <c r="BD1141" s="156"/>
      <c r="BE1141" s="156"/>
      <c r="BF1141" s="156"/>
      <c r="BG1141" s="156"/>
      <c r="BH1141" s="156"/>
      <c r="BI1141" s="156"/>
      <c r="BJ1141" s="156"/>
      <c r="BK1141" s="156"/>
      <c r="BL1141" s="156"/>
      <c r="BM1141" s="156"/>
      <c r="BN1141" s="156"/>
      <c r="BO1141" s="156"/>
      <c r="BP1141" s="156"/>
      <c r="BQ1141" s="156"/>
      <c r="BR1141" s="156"/>
      <c r="BS1141" s="156"/>
      <c r="BT1141" s="156"/>
      <c r="BU1141" s="156"/>
      <c r="BV1141" s="156"/>
      <c r="BW1141" s="156"/>
      <c r="BX1141" s="156"/>
      <c r="BY1141" s="156"/>
      <c r="BZ1141" s="156"/>
      <c r="CA1141" s="156"/>
      <c r="CB1141" s="156"/>
      <c r="CC1141" s="156"/>
      <c r="CD1141" s="156"/>
      <c r="CE1141" s="156"/>
      <c r="CF1141" s="156"/>
      <c r="CG1141" s="156"/>
      <c r="CH1141" s="156"/>
      <c r="CI1141" s="156"/>
      <c r="CJ1141" s="156"/>
      <c r="CK1141" s="156"/>
      <c r="CL1141" s="156"/>
      <c r="CM1141" s="156"/>
      <c r="CN1141" s="156"/>
      <c r="CO1141" s="156"/>
      <c r="CP1141" s="156"/>
      <c r="CQ1141" s="156"/>
      <c r="CR1141" s="156"/>
      <c r="CS1141" s="156"/>
      <c r="CT1141" s="156"/>
      <c r="CU1141" s="156"/>
      <c r="CV1141" s="156"/>
      <c r="CW1141" s="156"/>
      <c r="CX1141" s="156"/>
      <c r="CY1141" s="156"/>
      <c r="CZ1141" s="156"/>
      <c r="DA1141" s="156"/>
      <c r="DB1141" s="156"/>
      <c r="DC1141" s="156"/>
      <c r="DD1141" s="156"/>
      <c r="DE1141" s="156"/>
      <c r="DF1141" s="156"/>
      <c r="DG1141" s="156"/>
      <c r="DH1141" s="156"/>
      <c r="DI1141" s="156"/>
      <c r="DJ1141" s="156"/>
      <c r="DK1141" s="156"/>
      <c r="DL1141" s="156"/>
      <c r="DM1141" s="156"/>
      <c r="DN1141" s="156"/>
      <c r="DO1141" s="156"/>
      <c r="DP1141" s="156"/>
      <c r="DQ1141" s="156"/>
      <c r="DR1141" s="156"/>
      <c r="DS1141" s="156"/>
      <c r="DT1141" s="156"/>
      <c r="DU1141" s="156"/>
      <c r="DV1141" s="156"/>
      <c r="DW1141" s="156"/>
      <c r="DX1141" s="156"/>
      <c r="DY1141" s="156"/>
      <c r="DZ1141" s="156"/>
      <c r="EA1141" s="156"/>
      <c r="EB1141" s="156"/>
      <c r="EC1141" s="156"/>
      <c r="ED1141" s="156"/>
      <c r="EE1141" s="156"/>
      <c r="EF1141" s="156"/>
      <c r="EG1141" s="156"/>
      <c r="EH1141" s="156"/>
      <c r="EI1141" s="156"/>
      <c r="EJ1141" s="156"/>
      <c r="EK1141" s="156"/>
      <c r="EL1141" s="156"/>
      <c r="EM1141" s="156"/>
    </row>
    <row r="1142" spans="20:143" ht="10.5" customHeight="1">
      <c r="T1142" s="156"/>
      <c r="AZ1142" s="156"/>
      <c r="BA1142" s="156"/>
      <c r="BB1142" s="156"/>
      <c r="BC1142" s="156"/>
      <c r="BD1142" s="156"/>
      <c r="BE1142" s="156"/>
      <c r="BF1142" s="156"/>
      <c r="BG1142" s="156"/>
      <c r="BH1142" s="156"/>
      <c r="BI1142" s="156"/>
      <c r="BJ1142" s="156"/>
      <c r="BK1142" s="156"/>
      <c r="BL1142" s="156"/>
      <c r="BM1142" s="156"/>
      <c r="BN1142" s="156"/>
      <c r="BO1142" s="156"/>
      <c r="BP1142" s="156"/>
      <c r="BQ1142" s="156"/>
      <c r="BR1142" s="156"/>
      <c r="BS1142" s="156"/>
      <c r="BT1142" s="156"/>
      <c r="BU1142" s="156"/>
      <c r="BV1142" s="156"/>
      <c r="BW1142" s="156"/>
      <c r="BX1142" s="156"/>
      <c r="BY1142" s="156"/>
      <c r="BZ1142" s="156"/>
      <c r="CA1142" s="156"/>
      <c r="CB1142" s="156"/>
      <c r="CC1142" s="156"/>
      <c r="CD1142" s="156"/>
      <c r="CE1142" s="156"/>
      <c r="CF1142" s="156"/>
      <c r="CG1142" s="156"/>
      <c r="CH1142" s="156"/>
      <c r="CI1142" s="156"/>
      <c r="CJ1142" s="156"/>
      <c r="CK1142" s="156"/>
      <c r="CL1142" s="156"/>
      <c r="CM1142" s="156"/>
      <c r="CN1142" s="156"/>
      <c r="CO1142" s="156"/>
      <c r="CP1142" s="156"/>
      <c r="CQ1142" s="156"/>
      <c r="CR1142" s="156"/>
      <c r="CS1142" s="156"/>
      <c r="CT1142" s="156"/>
      <c r="CU1142" s="156"/>
      <c r="CV1142" s="156"/>
      <c r="CW1142" s="156"/>
      <c r="CX1142" s="156"/>
      <c r="CY1142" s="156"/>
      <c r="CZ1142" s="156"/>
      <c r="DA1142" s="156"/>
      <c r="DB1142" s="156"/>
      <c r="DC1142" s="156"/>
      <c r="DD1142" s="156"/>
      <c r="DE1142" s="156"/>
      <c r="DF1142" s="156"/>
      <c r="DG1142" s="156"/>
      <c r="DH1142" s="156"/>
      <c r="DI1142" s="156"/>
      <c r="DJ1142" s="156"/>
      <c r="DK1142" s="156"/>
      <c r="DL1142" s="156"/>
      <c r="DM1142" s="156"/>
      <c r="DN1142" s="156"/>
      <c r="DO1142" s="156"/>
      <c r="DP1142" s="156"/>
      <c r="DQ1142" s="156"/>
      <c r="DR1142" s="156"/>
      <c r="DS1142" s="156"/>
      <c r="DT1142" s="156"/>
      <c r="DU1142" s="156"/>
      <c r="DV1142" s="156"/>
      <c r="DW1142" s="156"/>
      <c r="DX1142" s="156"/>
      <c r="DY1142" s="156"/>
      <c r="DZ1142" s="156"/>
      <c r="EA1142" s="156"/>
      <c r="EB1142" s="156"/>
      <c r="EC1142" s="156"/>
      <c r="ED1142" s="156"/>
      <c r="EE1142" s="156"/>
      <c r="EF1142" s="156"/>
      <c r="EG1142" s="156"/>
      <c r="EH1142" s="156"/>
      <c r="EI1142" s="156"/>
      <c r="EJ1142" s="156"/>
      <c r="EK1142" s="156"/>
      <c r="EL1142" s="156"/>
      <c r="EM1142" s="156"/>
    </row>
    <row r="1143" spans="20:143" ht="10.5" customHeight="1">
      <c r="T1143" s="156"/>
      <c r="AZ1143" s="156"/>
      <c r="BA1143" s="156"/>
      <c r="BB1143" s="156"/>
      <c r="BC1143" s="156"/>
      <c r="BD1143" s="156"/>
      <c r="BE1143" s="156"/>
      <c r="BF1143" s="156"/>
      <c r="BG1143" s="156"/>
      <c r="BH1143" s="156"/>
      <c r="BI1143" s="156"/>
      <c r="BJ1143" s="156"/>
      <c r="BK1143" s="156"/>
      <c r="BL1143" s="156"/>
      <c r="BM1143" s="156"/>
      <c r="BN1143" s="156"/>
      <c r="BO1143" s="156"/>
      <c r="BP1143" s="156"/>
      <c r="BQ1143" s="156"/>
      <c r="BR1143" s="156"/>
      <c r="BS1143" s="156"/>
      <c r="BT1143" s="156"/>
      <c r="BU1143" s="156"/>
      <c r="BV1143" s="156"/>
      <c r="BW1143" s="156"/>
      <c r="BX1143" s="156"/>
      <c r="BY1143" s="156"/>
      <c r="BZ1143" s="156"/>
      <c r="CA1143" s="156"/>
      <c r="CB1143" s="156"/>
      <c r="CC1143" s="156"/>
      <c r="CD1143" s="156"/>
      <c r="CE1143" s="156"/>
      <c r="CF1143" s="156"/>
      <c r="CG1143" s="156"/>
      <c r="CH1143" s="156"/>
      <c r="CI1143" s="156"/>
      <c r="CJ1143" s="156"/>
      <c r="CK1143" s="156"/>
      <c r="CL1143" s="156"/>
      <c r="CM1143" s="156"/>
      <c r="CN1143" s="156"/>
      <c r="CO1143" s="156"/>
      <c r="CP1143" s="156"/>
      <c r="CQ1143" s="156"/>
      <c r="CR1143" s="156"/>
      <c r="CS1143" s="156"/>
      <c r="CT1143" s="156"/>
      <c r="CU1143" s="156"/>
      <c r="CV1143" s="156"/>
      <c r="CW1143" s="156"/>
      <c r="CX1143" s="156"/>
      <c r="CY1143" s="156"/>
      <c r="CZ1143" s="156"/>
      <c r="DA1143" s="156"/>
      <c r="DB1143" s="156"/>
      <c r="DC1143" s="156"/>
      <c r="DD1143" s="156"/>
      <c r="DE1143" s="156"/>
      <c r="DF1143" s="156"/>
      <c r="DG1143" s="156"/>
      <c r="DH1143" s="156"/>
      <c r="DI1143" s="156"/>
      <c r="DJ1143" s="156"/>
      <c r="DK1143" s="156"/>
      <c r="DL1143" s="156"/>
      <c r="DM1143" s="156"/>
      <c r="DN1143" s="156"/>
      <c r="DO1143" s="156"/>
      <c r="DP1143" s="156"/>
      <c r="DQ1143" s="156"/>
      <c r="DR1143" s="156"/>
      <c r="DS1143" s="156"/>
      <c r="DT1143" s="156"/>
      <c r="DU1143" s="156"/>
      <c r="DV1143" s="156"/>
      <c r="DW1143" s="156"/>
      <c r="DX1143" s="156"/>
      <c r="DY1143" s="156"/>
      <c r="DZ1143" s="156"/>
      <c r="EA1143" s="156"/>
      <c r="EB1143" s="156"/>
      <c r="EC1143" s="156"/>
      <c r="ED1143" s="156"/>
      <c r="EE1143" s="156"/>
      <c r="EF1143" s="156"/>
      <c r="EG1143" s="156"/>
      <c r="EH1143" s="156"/>
      <c r="EI1143" s="156"/>
      <c r="EJ1143" s="156"/>
      <c r="EK1143" s="156"/>
      <c r="EL1143" s="156"/>
      <c r="EM1143" s="156"/>
    </row>
    <row r="1144" spans="20:143" ht="10.5" customHeight="1">
      <c r="T1144" s="156"/>
      <c r="AZ1144" s="156"/>
      <c r="BA1144" s="156"/>
      <c r="BB1144" s="156"/>
      <c r="BC1144" s="156"/>
      <c r="BD1144" s="156"/>
      <c r="BE1144" s="156"/>
      <c r="BF1144" s="156"/>
      <c r="BG1144" s="156"/>
      <c r="BH1144" s="156"/>
      <c r="BI1144" s="156"/>
      <c r="BJ1144" s="156"/>
      <c r="BK1144" s="156"/>
      <c r="BL1144" s="156"/>
      <c r="BM1144" s="156"/>
      <c r="BN1144" s="156"/>
      <c r="BO1144" s="156"/>
      <c r="BP1144" s="156"/>
      <c r="BQ1144" s="156"/>
      <c r="BR1144" s="156"/>
      <c r="BS1144" s="156"/>
      <c r="BT1144" s="156"/>
      <c r="BU1144" s="156"/>
      <c r="BV1144" s="156"/>
      <c r="BW1144" s="156"/>
      <c r="BX1144" s="156"/>
      <c r="BY1144" s="156"/>
      <c r="BZ1144" s="156"/>
      <c r="CA1144" s="156"/>
      <c r="CB1144" s="156"/>
      <c r="CC1144" s="156"/>
      <c r="CD1144" s="156"/>
      <c r="CE1144" s="156"/>
      <c r="CF1144" s="156"/>
      <c r="CG1144" s="156"/>
      <c r="CH1144" s="156"/>
      <c r="CI1144" s="156"/>
      <c r="CJ1144" s="156"/>
      <c r="CK1144" s="156"/>
      <c r="CL1144" s="156"/>
      <c r="CM1144" s="156"/>
      <c r="CN1144" s="156"/>
      <c r="CO1144" s="156"/>
      <c r="CP1144" s="156"/>
      <c r="CQ1144" s="156"/>
      <c r="CR1144" s="156"/>
      <c r="CS1144" s="156"/>
      <c r="CT1144" s="156"/>
      <c r="CU1144" s="156"/>
      <c r="CV1144" s="156"/>
      <c r="CW1144" s="156"/>
      <c r="CX1144" s="156"/>
      <c r="CY1144" s="156"/>
      <c r="CZ1144" s="156"/>
      <c r="DA1144" s="156"/>
      <c r="DB1144" s="156"/>
      <c r="DC1144" s="156"/>
      <c r="DD1144" s="156"/>
      <c r="DE1144" s="156"/>
      <c r="DF1144" s="156"/>
      <c r="DG1144" s="156"/>
      <c r="DH1144" s="156"/>
      <c r="DI1144" s="156"/>
      <c r="DJ1144" s="156"/>
      <c r="DK1144" s="156"/>
      <c r="DL1144" s="156"/>
      <c r="DM1144" s="156"/>
      <c r="DN1144" s="156"/>
      <c r="DO1144" s="156"/>
      <c r="DP1144" s="156"/>
      <c r="DQ1144" s="156"/>
      <c r="DR1144" s="156"/>
      <c r="DS1144" s="156"/>
      <c r="DT1144" s="156"/>
      <c r="DU1144" s="156"/>
      <c r="DV1144" s="156"/>
      <c r="DW1144" s="156"/>
      <c r="DX1144" s="156"/>
      <c r="DY1144" s="156"/>
      <c r="DZ1144" s="156"/>
      <c r="EA1144" s="156"/>
      <c r="EB1144" s="156"/>
      <c r="EC1144" s="156"/>
      <c r="ED1144" s="156"/>
      <c r="EE1144" s="156"/>
      <c r="EF1144" s="156"/>
      <c r="EG1144" s="156"/>
      <c r="EH1144" s="156"/>
      <c r="EI1144" s="156"/>
      <c r="EJ1144" s="156"/>
      <c r="EK1144" s="156"/>
      <c r="EL1144" s="156"/>
      <c r="EM1144" s="156"/>
    </row>
    <row r="1145" spans="20:143" ht="10.5" customHeight="1">
      <c r="T1145" s="156"/>
      <c r="AZ1145" s="156"/>
      <c r="BA1145" s="156"/>
      <c r="BB1145" s="156"/>
      <c r="BC1145" s="156"/>
      <c r="BD1145" s="156"/>
      <c r="BE1145" s="156"/>
      <c r="BF1145" s="156"/>
      <c r="BG1145" s="156"/>
      <c r="BH1145" s="156"/>
      <c r="BI1145" s="156"/>
      <c r="BJ1145" s="156"/>
      <c r="BK1145" s="156"/>
      <c r="BL1145" s="156"/>
      <c r="BM1145" s="156"/>
      <c r="BN1145" s="156"/>
      <c r="BO1145" s="156"/>
      <c r="BP1145" s="156"/>
      <c r="BQ1145" s="156"/>
      <c r="BR1145" s="156"/>
      <c r="BS1145" s="156"/>
      <c r="BT1145" s="156"/>
      <c r="BU1145" s="156"/>
      <c r="BV1145" s="156"/>
      <c r="BW1145" s="156"/>
      <c r="BX1145" s="156"/>
      <c r="BY1145" s="156"/>
      <c r="BZ1145" s="156"/>
      <c r="CA1145" s="156"/>
      <c r="CB1145" s="156"/>
      <c r="CC1145" s="156"/>
      <c r="CD1145" s="156"/>
      <c r="CE1145" s="156"/>
      <c r="CF1145" s="156"/>
      <c r="CG1145" s="156"/>
      <c r="CH1145" s="156"/>
      <c r="CI1145" s="156"/>
      <c r="CJ1145" s="156"/>
      <c r="CK1145" s="156"/>
      <c r="CL1145" s="156"/>
      <c r="CM1145" s="156"/>
      <c r="CN1145" s="156"/>
      <c r="CO1145" s="156"/>
      <c r="CP1145" s="156"/>
      <c r="CQ1145" s="156"/>
      <c r="CR1145" s="156"/>
      <c r="CS1145" s="156"/>
      <c r="CT1145" s="156"/>
      <c r="CU1145" s="156"/>
      <c r="CV1145" s="156"/>
      <c r="CW1145" s="156"/>
      <c r="CX1145" s="156"/>
      <c r="CY1145" s="156"/>
      <c r="CZ1145" s="156"/>
      <c r="DA1145" s="156"/>
      <c r="DB1145" s="156"/>
      <c r="DC1145" s="156"/>
      <c r="DD1145" s="156"/>
      <c r="DE1145" s="156"/>
      <c r="DF1145" s="156"/>
      <c r="DG1145" s="156"/>
      <c r="DH1145" s="156"/>
      <c r="DI1145" s="156"/>
      <c r="DJ1145" s="156"/>
      <c r="DK1145" s="156"/>
      <c r="DL1145" s="156"/>
      <c r="DM1145" s="156"/>
      <c r="DN1145" s="156"/>
      <c r="DO1145" s="156"/>
      <c r="DP1145" s="156"/>
      <c r="DQ1145" s="156"/>
      <c r="DR1145" s="156"/>
      <c r="DS1145" s="156"/>
      <c r="DT1145" s="156"/>
      <c r="DU1145" s="156"/>
      <c r="DV1145" s="156"/>
      <c r="DW1145" s="156"/>
      <c r="DX1145" s="156"/>
      <c r="DY1145" s="156"/>
      <c r="DZ1145" s="156"/>
      <c r="EA1145" s="156"/>
      <c r="EB1145" s="156"/>
      <c r="EC1145" s="156"/>
      <c r="ED1145" s="156"/>
      <c r="EE1145" s="156"/>
      <c r="EF1145" s="156"/>
      <c r="EG1145" s="156"/>
      <c r="EH1145" s="156"/>
      <c r="EI1145" s="156"/>
      <c r="EJ1145" s="156"/>
      <c r="EK1145" s="156"/>
      <c r="EL1145" s="156"/>
      <c r="EM1145" s="156"/>
    </row>
    <row r="1146" spans="20:143" ht="10.5" customHeight="1">
      <c r="T1146" s="156"/>
      <c r="AZ1146" s="156"/>
      <c r="BA1146" s="156"/>
      <c r="BB1146" s="156"/>
      <c r="BC1146" s="156"/>
      <c r="BD1146" s="156"/>
      <c r="BE1146" s="156"/>
      <c r="BF1146" s="156"/>
      <c r="BG1146" s="156"/>
      <c r="BH1146" s="156"/>
      <c r="BI1146" s="156"/>
      <c r="BJ1146" s="156"/>
      <c r="BK1146" s="156"/>
      <c r="BL1146" s="156"/>
      <c r="BM1146" s="156"/>
      <c r="BN1146" s="156"/>
      <c r="BO1146" s="156"/>
      <c r="BP1146" s="156"/>
      <c r="BQ1146" s="156"/>
      <c r="BR1146" s="156"/>
      <c r="BS1146" s="156"/>
      <c r="BT1146" s="156"/>
      <c r="BU1146" s="156"/>
      <c r="BV1146" s="156"/>
      <c r="BW1146" s="156"/>
      <c r="BX1146" s="156"/>
      <c r="BY1146" s="156"/>
      <c r="BZ1146" s="156"/>
      <c r="CA1146" s="156"/>
      <c r="CB1146" s="156"/>
      <c r="CC1146" s="156"/>
      <c r="CD1146" s="156"/>
      <c r="CE1146" s="156"/>
      <c r="CF1146" s="156"/>
      <c r="CG1146" s="156"/>
      <c r="CH1146" s="156"/>
      <c r="CI1146" s="156"/>
      <c r="CJ1146" s="156"/>
      <c r="CK1146" s="156"/>
      <c r="CL1146" s="156"/>
      <c r="CM1146" s="156"/>
      <c r="CN1146" s="156"/>
      <c r="CO1146" s="156"/>
      <c r="CP1146" s="156"/>
      <c r="CQ1146" s="156"/>
      <c r="CR1146" s="156"/>
      <c r="CS1146" s="156"/>
      <c r="CT1146" s="156"/>
      <c r="CU1146" s="156"/>
      <c r="CV1146" s="156"/>
      <c r="CW1146" s="156"/>
      <c r="CX1146" s="156"/>
      <c r="CY1146" s="156"/>
      <c r="CZ1146" s="156"/>
      <c r="DA1146" s="156"/>
      <c r="DB1146" s="156"/>
      <c r="DC1146" s="156"/>
      <c r="DD1146" s="156"/>
      <c r="DE1146" s="156"/>
      <c r="DF1146" s="156"/>
      <c r="DG1146" s="156"/>
      <c r="DH1146" s="156"/>
      <c r="DI1146" s="156"/>
      <c r="DJ1146" s="156"/>
      <c r="DK1146" s="156"/>
      <c r="DL1146" s="156"/>
      <c r="DM1146" s="156"/>
      <c r="DN1146" s="156"/>
      <c r="DO1146" s="156"/>
      <c r="DP1146" s="156"/>
      <c r="DQ1146" s="156"/>
      <c r="DR1146" s="156"/>
      <c r="DS1146" s="156"/>
      <c r="DT1146" s="156"/>
      <c r="DU1146" s="156"/>
      <c r="DV1146" s="156"/>
      <c r="DW1146" s="156"/>
      <c r="DX1146" s="156"/>
      <c r="DY1146" s="156"/>
      <c r="DZ1146" s="156"/>
      <c r="EA1146" s="156"/>
      <c r="EB1146" s="156"/>
      <c r="EC1146" s="156"/>
      <c r="ED1146" s="156"/>
      <c r="EE1146" s="156"/>
      <c r="EF1146" s="156"/>
      <c r="EG1146" s="156"/>
      <c r="EH1146" s="156"/>
      <c r="EI1146" s="156"/>
      <c r="EJ1146" s="156"/>
      <c r="EK1146" s="156"/>
      <c r="EL1146" s="156"/>
      <c r="EM1146" s="156"/>
    </row>
    <row r="1147" spans="20:143" ht="10.5" customHeight="1">
      <c r="T1147" s="156"/>
      <c r="AZ1147" s="156"/>
      <c r="BA1147" s="156"/>
      <c r="BB1147" s="156"/>
      <c r="BC1147" s="156"/>
      <c r="BD1147" s="156"/>
      <c r="BE1147" s="156"/>
      <c r="BF1147" s="156"/>
      <c r="BG1147" s="156"/>
      <c r="BH1147" s="156"/>
      <c r="BI1147" s="156"/>
      <c r="BJ1147" s="156"/>
      <c r="BK1147" s="156"/>
      <c r="BL1147" s="156"/>
      <c r="BM1147" s="156"/>
      <c r="BN1147" s="156"/>
      <c r="BO1147" s="156"/>
      <c r="BP1147" s="156"/>
      <c r="BQ1147" s="156"/>
      <c r="BR1147" s="156"/>
      <c r="BS1147" s="156"/>
      <c r="BT1147" s="156"/>
      <c r="BU1147" s="156"/>
      <c r="BV1147" s="156"/>
      <c r="BW1147" s="156"/>
      <c r="BX1147" s="156"/>
      <c r="BY1147" s="156"/>
      <c r="BZ1147" s="156"/>
      <c r="CA1147" s="156"/>
      <c r="CB1147" s="156"/>
      <c r="CC1147" s="156"/>
      <c r="CD1147" s="156"/>
      <c r="CE1147" s="156"/>
      <c r="CF1147" s="156"/>
      <c r="CG1147" s="156"/>
      <c r="CH1147" s="156"/>
      <c r="CI1147" s="156"/>
      <c r="CJ1147" s="156"/>
      <c r="CK1147" s="156"/>
      <c r="CL1147" s="156"/>
      <c r="CM1147" s="156"/>
      <c r="CN1147" s="156"/>
      <c r="CO1147" s="156"/>
      <c r="CP1147" s="156"/>
      <c r="CQ1147" s="156"/>
      <c r="CR1147" s="156"/>
      <c r="CS1147" s="156"/>
      <c r="CT1147" s="156"/>
      <c r="CU1147" s="156"/>
      <c r="CV1147" s="156"/>
      <c r="CW1147" s="156"/>
      <c r="CX1147" s="156"/>
      <c r="CY1147" s="156"/>
      <c r="CZ1147" s="156"/>
      <c r="DA1147" s="156"/>
      <c r="DB1147" s="156"/>
      <c r="DC1147" s="156"/>
      <c r="DD1147" s="156"/>
      <c r="DE1147" s="156"/>
      <c r="DF1147" s="156"/>
      <c r="DG1147" s="156"/>
      <c r="DH1147" s="156"/>
      <c r="DI1147" s="156"/>
      <c r="DJ1147" s="156"/>
      <c r="DK1147" s="156"/>
      <c r="DL1147" s="156"/>
      <c r="DM1147" s="156"/>
      <c r="DN1147" s="156"/>
      <c r="DO1147" s="156"/>
      <c r="DP1147" s="156"/>
      <c r="DQ1147" s="156"/>
      <c r="DR1147" s="156"/>
      <c r="DS1147" s="156"/>
      <c r="DT1147" s="156"/>
      <c r="DU1147" s="156"/>
      <c r="DV1147" s="156"/>
      <c r="DW1147" s="156"/>
      <c r="DX1147" s="156"/>
      <c r="DY1147" s="156"/>
      <c r="DZ1147" s="156"/>
      <c r="EA1147" s="156"/>
      <c r="EB1147" s="156"/>
      <c r="EC1147" s="156"/>
      <c r="ED1147" s="156"/>
      <c r="EE1147" s="156"/>
      <c r="EF1147" s="156"/>
      <c r="EG1147" s="156"/>
      <c r="EH1147" s="156"/>
      <c r="EI1147" s="156"/>
      <c r="EJ1147" s="156"/>
      <c r="EK1147" s="156"/>
      <c r="EL1147" s="156"/>
      <c r="EM1147" s="156"/>
    </row>
    <row r="1148" spans="20:143" ht="10.5" customHeight="1">
      <c r="T1148" s="156"/>
      <c r="AZ1148" s="156"/>
      <c r="BA1148" s="156"/>
      <c r="BB1148" s="156"/>
      <c r="BC1148" s="156"/>
      <c r="BD1148" s="156"/>
      <c r="BE1148" s="156"/>
      <c r="BF1148" s="156"/>
      <c r="BG1148" s="156"/>
      <c r="BH1148" s="156"/>
      <c r="BI1148" s="156"/>
      <c r="BJ1148" s="156"/>
      <c r="BK1148" s="156"/>
      <c r="BL1148" s="156"/>
      <c r="BM1148" s="156"/>
      <c r="BN1148" s="156"/>
      <c r="BO1148" s="156"/>
      <c r="BP1148" s="156"/>
      <c r="BQ1148" s="156"/>
      <c r="BR1148" s="156"/>
      <c r="BS1148" s="156"/>
      <c r="BT1148" s="156"/>
      <c r="BU1148" s="156"/>
      <c r="BV1148" s="156"/>
      <c r="BW1148" s="156"/>
      <c r="BX1148" s="156"/>
      <c r="BY1148" s="156"/>
      <c r="BZ1148" s="156"/>
      <c r="CA1148" s="156"/>
      <c r="CB1148" s="156"/>
      <c r="CC1148" s="156"/>
      <c r="CD1148" s="156"/>
      <c r="CE1148" s="156"/>
      <c r="CF1148" s="156"/>
      <c r="CG1148" s="156"/>
      <c r="CH1148" s="156"/>
      <c r="CI1148" s="156"/>
      <c r="CJ1148" s="156"/>
      <c r="CK1148" s="156"/>
      <c r="CL1148" s="156"/>
      <c r="CM1148" s="156"/>
      <c r="CN1148" s="156"/>
      <c r="CO1148" s="156"/>
      <c r="CP1148" s="156"/>
      <c r="CQ1148" s="156"/>
      <c r="CR1148" s="156"/>
      <c r="CS1148" s="156"/>
      <c r="CT1148" s="156"/>
      <c r="CU1148" s="156"/>
      <c r="CV1148" s="156"/>
      <c r="CW1148" s="156"/>
      <c r="CX1148" s="156"/>
      <c r="CY1148" s="156"/>
      <c r="CZ1148" s="156"/>
      <c r="DA1148" s="156"/>
      <c r="DB1148" s="156"/>
      <c r="DC1148" s="156"/>
      <c r="DD1148" s="156"/>
      <c r="DE1148" s="156"/>
      <c r="DF1148" s="156"/>
      <c r="DG1148" s="156"/>
      <c r="DH1148" s="156"/>
      <c r="DI1148" s="156"/>
      <c r="DJ1148" s="156"/>
      <c r="DK1148" s="156"/>
      <c r="DL1148" s="156"/>
      <c r="DM1148" s="156"/>
      <c r="DN1148" s="156"/>
      <c r="DO1148" s="156"/>
      <c r="DP1148" s="156"/>
      <c r="DQ1148" s="156"/>
      <c r="DR1148" s="156"/>
      <c r="DS1148" s="156"/>
      <c r="DT1148" s="156"/>
      <c r="DU1148" s="156"/>
      <c r="DV1148" s="156"/>
      <c r="DW1148" s="156"/>
      <c r="DX1148" s="156"/>
      <c r="DY1148" s="156"/>
      <c r="DZ1148" s="156"/>
      <c r="EA1148" s="156"/>
      <c r="EB1148" s="156"/>
      <c r="EC1148" s="156"/>
      <c r="ED1148" s="156"/>
      <c r="EE1148" s="156"/>
      <c r="EF1148" s="156"/>
      <c r="EG1148" s="156"/>
      <c r="EH1148" s="156"/>
      <c r="EI1148" s="156"/>
      <c r="EJ1148" s="156"/>
      <c r="EK1148" s="156"/>
      <c r="EL1148" s="156"/>
      <c r="EM1148" s="156"/>
    </row>
    <row r="1149" spans="20:143" ht="10.5" customHeight="1">
      <c r="T1149" s="156"/>
      <c r="AZ1149" s="156"/>
      <c r="BA1149" s="156"/>
      <c r="BB1149" s="156"/>
      <c r="BC1149" s="156"/>
      <c r="BD1149" s="156"/>
      <c r="BE1149" s="156"/>
      <c r="BF1149" s="156"/>
      <c r="BG1149" s="156"/>
      <c r="BH1149" s="156"/>
      <c r="BI1149" s="156"/>
      <c r="BJ1149" s="156"/>
      <c r="BK1149" s="156"/>
      <c r="BL1149" s="156"/>
      <c r="BM1149" s="156"/>
      <c r="BN1149" s="156"/>
      <c r="BO1149" s="156"/>
      <c r="BP1149" s="156"/>
      <c r="BQ1149" s="156"/>
      <c r="BR1149" s="156"/>
      <c r="BS1149" s="156"/>
      <c r="BT1149" s="156"/>
      <c r="BU1149" s="156"/>
      <c r="BV1149" s="156"/>
      <c r="BW1149" s="156"/>
      <c r="BX1149" s="156"/>
      <c r="BY1149" s="156"/>
      <c r="BZ1149" s="156"/>
      <c r="CA1149" s="156"/>
      <c r="CB1149" s="156"/>
      <c r="CC1149" s="156"/>
      <c r="CD1149" s="156"/>
      <c r="CE1149" s="156"/>
      <c r="CF1149" s="156"/>
      <c r="CG1149" s="156"/>
      <c r="CH1149" s="156"/>
      <c r="CI1149" s="156"/>
      <c r="CJ1149" s="156"/>
      <c r="CK1149" s="156"/>
      <c r="CL1149" s="156"/>
      <c r="CM1149" s="156"/>
      <c r="CN1149" s="156"/>
      <c r="CO1149" s="156"/>
      <c r="CP1149" s="156"/>
      <c r="CQ1149" s="156"/>
      <c r="CR1149" s="156"/>
      <c r="CS1149" s="156"/>
      <c r="CT1149" s="156"/>
      <c r="CU1149" s="156"/>
      <c r="CV1149" s="156"/>
      <c r="CW1149" s="156"/>
      <c r="CX1149" s="156"/>
      <c r="CY1149" s="156"/>
      <c r="CZ1149" s="156"/>
      <c r="DA1149" s="156"/>
      <c r="DB1149" s="156"/>
      <c r="DC1149" s="156"/>
      <c r="DD1149" s="156"/>
      <c r="DE1149" s="156"/>
      <c r="DF1149" s="156"/>
      <c r="DG1149" s="156"/>
      <c r="DH1149" s="156"/>
      <c r="DI1149" s="156"/>
      <c r="DJ1149" s="156"/>
      <c r="DK1149" s="156"/>
      <c r="DL1149" s="156"/>
      <c r="DM1149" s="156"/>
      <c r="DN1149" s="156"/>
      <c r="DO1149" s="156"/>
      <c r="DP1149" s="156"/>
      <c r="DQ1149" s="156"/>
      <c r="DR1149" s="156"/>
      <c r="DS1149" s="156"/>
      <c r="DT1149" s="156"/>
      <c r="DU1149" s="156"/>
      <c r="DV1149" s="156"/>
      <c r="DW1149" s="156"/>
      <c r="DX1149" s="156"/>
      <c r="DY1149" s="156"/>
      <c r="DZ1149" s="156"/>
      <c r="EA1149" s="156"/>
      <c r="EB1149" s="156"/>
      <c r="EC1149" s="156"/>
      <c r="ED1149" s="156"/>
      <c r="EE1149" s="156"/>
      <c r="EF1149" s="156"/>
      <c r="EG1149" s="156"/>
      <c r="EH1149" s="156"/>
      <c r="EI1149" s="156"/>
      <c r="EJ1149" s="156"/>
      <c r="EK1149" s="156"/>
      <c r="EL1149" s="156"/>
      <c r="EM1149" s="156"/>
    </row>
    <row r="1150" spans="20:143" ht="10.5" customHeight="1">
      <c r="T1150" s="156"/>
      <c r="AZ1150" s="156"/>
      <c r="BA1150" s="156"/>
      <c r="BB1150" s="156"/>
      <c r="BC1150" s="156"/>
      <c r="BD1150" s="156"/>
      <c r="BE1150" s="156"/>
      <c r="BF1150" s="156"/>
      <c r="BG1150" s="156"/>
      <c r="BH1150" s="156"/>
      <c r="BI1150" s="156"/>
      <c r="BJ1150" s="156"/>
      <c r="BK1150" s="156"/>
      <c r="BL1150" s="156"/>
      <c r="BM1150" s="156"/>
      <c r="BN1150" s="156"/>
      <c r="BO1150" s="156"/>
      <c r="BP1150" s="156"/>
      <c r="BQ1150" s="156"/>
      <c r="BR1150" s="156"/>
      <c r="BS1150" s="156"/>
      <c r="BT1150" s="156"/>
      <c r="BU1150" s="156"/>
      <c r="BV1150" s="156"/>
      <c r="BW1150" s="156"/>
      <c r="BX1150" s="156"/>
      <c r="BY1150" s="156"/>
      <c r="BZ1150" s="156"/>
      <c r="CA1150" s="156"/>
      <c r="CB1150" s="156"/>
      <c r="CC1150" s="156"/>
      <c r="CD1150" s="156"/>
      <c r="CE1150" s="156"/>
      <c r="CF1150" s="156"/>
      <c r="CG1150" s="156"/>
      <c r="CH1150" s="156"/>
      <c r="CI1150" s="156"/>
      <c r="CJ1150" s="156"/>
      <c r="CK1150" s="156"/>
      <c r="CL1150" s="156"/>
      <c r="CM1150" s="156"/>
      <c r="CN1150" s="156"/>
      <c r="CO1150" s="156"/>
      <c r="CP1150" s="156"/>
      <c r="CQ1150" s="156"/>
      <c r="CR1150" s="156"/>
      <c r="CS1150" s="156"/>
      <c r="CT1150" s="156"/>
      <c r="CU1150" s="156"/>
      <c r="CV1150" s="156"/>
      <c r="CW1150" s="156"/>
      <c r="CX1150" s="156"/>
      <c r="CY1150" s="156"/>
      <c r="CZ1150" s="156"/>
      <c r="DA1150" s="156"/>
      <c r="DB1150" s="156"/>
      <c r="DC1150" s="156"/>
      <c r="DD1150" s="156"/>
      <c r="DE1150" s="156"/>
      <c r="DF1150" s="156"/>
      <c r="DG1150" s="156"/>
      <c r="DH1150" s="156"/>
      <c r="DI1150" s="156"/>
      <c r="DJ1150" s="156"/>
      <c r="DK1150" s="156"/>
      <c r="DL1150" s="156"/>
      <c r="DM1150" s="156"/>
      <c r="DN1150" s="156"/>
      <c r="DO1150" s="156"/>
      <c r="DP1150" s="156"/>
      <c r="DQ1150" s="156"/>
      <c r="DR1150" s="156"/>
      <c r="DS1150" s="156"/>
      <c r="DT1150" s="156"/>
      <c r="DU1150" s="156"/>
      <c r="DV1150" s="156"/>
      <c r="DW1150" s="156"/>
      <c r="DX1150" s="156"/>
      <c r="DY1150" s="156"/>
      <c r="DZ1150" s="156"/>
      <c r="EA1150" s="156"/>
      <c r="EB1150" s="156"/>
      <c r="EC1150" s="156"/>
      <c r="ED1150" s="156"/>
      <c r="EE1150" s="156"/>
      <c r="EF1150" s="156"/>
      <c r="EG1150" s="156"/>
      <c r="EH1150" s="156"/>
      <c r="EI1150" s="156"/>
      <c r="EJ1150" s="156"/>
      <c r="EK1150" s="156"/>
      <c r="EL1150" s="156"/>
      <c r="EM1150" s="156"/>
    </row>
    <row r="1151" spans="20:143" ht="10.5" customHeight="1">
      <c r="T1151" s="156"/>
      <c r="AZ1151" s="156"/>
      <c r="BA1151" s="156"/>
      <c r="BB1151" s="156"/>
      <c r="BC1151" s="156"/>
      <c r="BD1151" s="156"/>
      <c r="BE1151" s="156"/>
      <c r="BF1151" s="156"/>
      <c r="BG1151" s="156"/>
      <c r="BH1151" s="156"/>
      <c r="BI1151" s="156"/>
      <c r="BJ1151" s="156"/>
      <c r="BK1151" s="156"/>
      <c r="BL1151" s="156"/>
      <c r="BM1151" s="156"/>
      <c r="BN1151" s="156"/>
      <c r="BO1151" s="156"/>
      <c r="BP1151" s="156"/>
      <c r="BQ1151" s="156"/>
      <c r="BR1151" s="156"/>
      <c r="BS1151" s="156"/>
      <c r="BT1151" s="156"/>
      <c r="BU1151" s="156"/>
      <c r="BV1151" s="156"/>
      <c r="BW1151" s="156"/>
      <c r="BX1151" s="156"/>
      <c r="BY1151" s="156"/>
      <c r="BZ1151" s="156"/>
      <c r="CA1151" s="156"/>
      <c r="CB1151" s="156"/>
      <c r="CC1151" s="156"/>
      <c r="CD1151" s="156"/>
      <c r="CE1151" s="156"/>
      <c r="CF1151" s="156"/>
      <c r="CG1151" s="156"/>
      <c r="CH1151" s="156"/>
      <c r="CI1151" s="156"/>
      <c r="CJ1151" s="156"/>
      <c r="CK1151" s="156"/>
      <c r="CL1151" s="156"/>
      <c r="CM1151" s="156"/>
      <c r="CN1151" s="156"/>
      <c r="CO1151" s="156"/>
      <c r="CP1151" s="156"/>
      <c r="CQ1151" s="156"/>
      <c r="CR1151" s="156"/>
      <c r="CS1151" s="156"/>
      <c r="CT1151" s="156"/>
      <c r="CU1151" s="156"/>
      <c r="CV1151" s="156"/>
      <c r="CW1151" s="156"/>
      <c r="CX1151" s="156"/>
      <c r="CY1151" s="156"/>
      <c r="CZ1151" s="156"/>
      <c r="DA1151" s="156"/>
      <c r="DB1151" s="156"/>
      <c r="DC1151" s="156"/>
      <c r="DD1151" s="156"/>
      <c r="DE1151" s="156"/>
      <c r="DF1151" s="156"/>
      <c r="DG1151" s="156"/>
      <c r="DH1151" s="156"/>
      <c r="DI1151" s="156"/>
      <c r="DJ1151" s="156"/>
      <c r="DK1151" s="156"/>
      <c r="DL1151" s="156"/>
      <c r="DM1151" s="156"/>
      <c r="DN1151" s="156"/>
      <c r="DO1151" s="156"/>
      <c r="DP1151" s="156"/>
      <c r="DQ1151" s="156"/>
      <c r="DR1151" s="156"/>
      <c r="DS1151" s="156"/>
      <c r="DT1151" s="156"/>
      <c r="DU1151" s="156"/>
      <c r="DV1151" s="156"/>
      <c r="DW1151" s="156"/>
      <c r="DX1151" s="156"/>
      <c r="DY1151" s="156"/>
      <c r="DZ1151" s="156"/>
      <c r="EA1151" s="156"/>
      <c r="EB1151" s="156"/>
      <c r="EC1151" s="156"/>
      <c r="ED1151" s="156"/>
      <c r="EE1151" s="156"/>
      <c r="EF1151" s="156"/>
      <c r="EG1151" s="156"/>
      <c r="EH1151" s="156"/>
      <c r="EI1151" s="156"/>
      <c r="EJ1151" s="156"/>
      <c r="EK1151" s="156"/>
      <c r="EL1151" s="156"/>
      <c r="EM1151" s="156"/>
    </row>
    <row r="1152" spans="20:143" ht="10.5" customHeight="1">
      <c r="T1152" s="156"/>
      <c r="AZ1152" s="156"/>
      <c r="BA1152" s="156"/>
      <c r="BB1152" s="156"/>
      <c r="BC1152" s="156"/>
      <c r="BD1152" s="156"/>
      <c r="BE1152" s="156"/>
      <c r="BF1152" s="156"/>
      <c r="BG1152" s="156"/>
      <c r="BH1152" s="156"/>
      <c r="BI1152" s="156"/>
      <c r="BJ1152" s="156"/>
      <c r="BK1152" s="156"/>
      <c r="BL1152" s="156"/>
      <c r="BM1152" s="156"/>
      <c r="BN1152" s="156"/>
      <c r="BO1152" s="156"/>
      <c r="BP1152" s="156"/>
      <c r="BQ1152" s="156"/>
      <c r="BR1152" s="156"/>
      <c r="BS1152" s="156"/>
      <c r="BT1152" s="156"/>
      <c r="BU1152" s="156"/>
      <c r="BV1152" s="156"/>
      <c r="BW1152" s="156"/>
      <c r="BX1152" s="156"/>
      <c r="BY1152" s="156"/>
      <c r="BZ1152" s="156"/>
      <c r="CA1152" s="156"/>
      <c r="CB1152" s="156"/>
      <c r="CC1152" s="156"/>
      <c r="CD1152" s="156"/>
      <c r="CE1152" s="156"/>
      <c r="CF1152" s="156"/>
      <c r="CG1152" s="156"/>
      <c r="CH1152" s="156"/>
      <c r="CI1152" s="156"/>
      <c r="CJ1152" s="156"/>
      <c r="CK1152" s="156"/>
      <c r="CL1152" s="156"/>
      <c r="CM1152" s="156"/>
      <c r="CN1152" s="156"/>
      <c r="CO1152" s="156"/>
      <c r="CP1152" s="156"/>
      <c r="CQ1152" s="156"/>
      <c r="CR1152" s="156"/>
      <c r="CS1152" s="156"/>
      <c r="CT1152" s="156"/>
      <c r="CU1152" s="156"/>
      <c r="CV1152" s="156"/>
      <c r="CW1152" s="156"/>
      <c r="CX1152" s="156"/>
      <c r="CY1152" s="156"/>
      <c r="CZ1152" s="156"/>
      <c r="DA1152" s="156"/>
      <c r="DB1152" s="156"/>
      <c r="DC1152" s="156"/>
      <c r="DD1152" s="156"/>
      <c r="DE1152" s="156"/>
      <c r="DF1152" s="156"/>
      <c r="DG1152" s="156"/>
      <c r="DH1152" s="156"/>
      <c r="DI1152" s="156"/>
      <c r="DJ1152" s="156"/>
      <c r="DK1152" s="156"/>
      <c r="DL1152" s="156"/>
      <c r="DM1152" s="156"/>
      <c r="DN1152" s="156"/>
      <c r="DO1152" s="156"/>
      <c r="DP1152" s="156"/>
      <c r="DQ1152" s="156"/>
      <c r="DR1152" s="156"/>
      <c r="DS1152" s="156"/>
      <c r="DT1152" s="156"/>
      <c r="DU1152" s="156"/>
      <c r="DV1152" s="156"/>
      <c r="DW1152" s="156"/>
      <c r="DX1152" s="156"/>
      <c r="DY1152" s="156"/>
      <c r="DZ1152" s="156"/>
      <c r="EA1152" s="156"/>
      <c r="EB1152" s="156"/>
      <c r="EC1152" s="156"/>
      <c r="ED1152" s="156"/>
      <c r="EE1152" s="156"/>
      <c r="EF1152" s="156"/>
      <c r="EG1152" s="156"/>
      <c r="EH1152" s="156"/>
      <c r="EI1152" s="156"/>
      <c r="EJ1152" s="156"/>
      <c r="EK1152" s="156"/>
      <c r="EL1152" s="156"/>
      <c r="EM1152" s="156"/>
    </row>
    <row r="1153" spans="20:143" ht="10.5" customHeight="1">
      <c r="T1153" s="156"/>
      <c r="AZ1153" s="156"/>
      <c r="BA1153" s="156"/>
      <c r="BB1153" s="156"/>
      <c r="BC1153" s="156"/>
      <c r="BD1153" s="156"/>
      <c r="BE1153" s="156"/>
      <c r="BF1153" s="156"/>
      <c r="BG1153" s="156"/>
      <c r="BH1153" s="156"/>
      <c r="BI1153" s="156"/>
      <c r="BJ1153" s="156"/>
      <c r="BK1153" s="156"/>
      <c r="BL1153" s="156"/>
      <c r="BM1153" s="156"/>
      <c r="BN1153" s="156"/>
      <c r="BO1153" s="156"/>
      <c r="BP1153" s="156"/>
      <c r="BQ1153" s="156"/>
      <c r="BR1153" s="156"/>
      <c r="BS1153" s="156"/>
      <c r="BT1153" s="156"/>
      <c r="BU1153" s="156"/>
      <c r="BV1153" s="156"/>
      <c r="BW1153" s="156"/>
      <c r="BX1153" s="156"/>
      <c r="BY1153" s="156"/>
      <c r="BZ1153" s="156"/>
      <c r="CA1153" s="156"/>
      <c r="CB1153" s="156"/>
      <c r="CC1153" s="156"/>
      <c r="CD1153" s="156"/>
      <c r="CE1153" s="156"/>
      <c r="CF1153" s="156"/>
      <c r="CG1153" s="156"/>
      <c r="CH1153" s="156"/>
      <c r="CI1153" s="156"/>
      <c r="CJ1153" s="156"/>
      <c r="CK1153" s="156"/>
      <c r="CL1153" s="156"/>
      <c r="CM1153" s="156"/>
      <c r="CN1153" s="156"/>
      <c r="CO1153" s="156"/>
      <c r="CP1153" s="156"/>
      <c r="CQ1153" s="156"/>
      <c r="CR1153" s="156"/>
      <c r="CS1153" s="156"/>
      <c r="CT1153" s="156"/>
      <c r="CU1153" s="156"/>
      <c r="CV1153" s="156"/>
      <c r="CW1153" s="156"/>
      <c r="CX1153" s="156"/>
      <c r="CY1153" s="156"/>
      <c r="CZ1153" s="156"/>
      <c r="DA1153" s="156"/>
      <c r="DB1153" s="156"/>
      <c r="DC1153" s="156"/>
      <c r="DD1153" s="156"/>
      <c r="DE1153" s="156"/>
      <c r="DF1153" s="156"/>
      <c r="DG1153" s="156"/>
      <c r="DH1153" s="156"/>
      <c r="DI1153" s="156"/>
      <c r="DJ1153" s="156"/>
      <c r="DK1153" s="156"/>
      <c r="DL1153" s="156"/>
      <c r="DM1153" s="156"/>
      <c r="DN1153" s="156"/>
      <c r="DO1153" s="156"/>
      <c r="DP1153" s="156"/>
      <c r="DQ1153" s="156"/>
      <c r="DR1153" s="156"/>
      <c r="DS1153" s="156"/>
      <c r="DT1153" s="156"/>
      <c r="DU1153" s="156"/>
      <c r="DV1153" s="156"/>
      <c r="DW1153" s="156"/>
      <c r="DX1153" s="156"/>
      <c r="DY1153" s="156"/>
      <c r="DZ1153" s="156"/>
      <c r="EA1153" s="156"/>
      <c r="EB1153" s="156"/>
      <c r="EC1153" s="156"/>
      <c r="ED1153" s="156"/>
      <c r="EE1153" s="156"/>
      <c r="EF1153" s="156"/>
      <c r="EG1153" s="156"/>
      <c r="EH1153" s="156"/>
      <c r="EI1153" s="156"/>
      <c r="EJ1153" s="156"/>
      <c r="EK1153" s="156"/>
      <c r="EL1153" s="156"/>
      <c r="EM1153" s="156"/>
    </row>
    <row r="1154" spans="20:143" ht="10.5" customHeight="1">
      <c r="T1154" s="156"/>
      <c r="AZ1154" s="156"/>
      <c r="BA1154" s="156"/>
      <c r="BB1154" s="156"/>
      <c r="BC1154" s="156"/>
      <c r="BD1154" s="156"/>
      <c r="BE1154" s="156"/>
      <c r="BF1154" s="156"/>
      <c r="BG1154" s="156"/>
      <c r="BH1154" s="156"/>
      <c r="BI1154" s="156"/>
      <c r="BJ1154" s="156"/>
      <c r="BK1154" s="156"/>
      <c r="BL1154" s="156"/>
      <c r="BM1154" s="156"/>
      <c r="BN1154" s="156"/>
      <c r="BO1154" s="156"/>
      <c r="BP1154" s="156"/>
      <c r="BQ1154" s="156"/>
      <c r="BR1154" s="156"/>
      <c r="BS1154" s="156"/>
      <c r="BT1154" s="156"/>
      <c r="BU1154" s="156"/>
      <c r="BV1154" s="156"/>
      <c r="BW1154" s="156"/>
      <c r="BX1154" s="156"/>
      <c r="BY1154" s="156"/>
      <c r="BZ1154" s="156"/>
      <c r="CA1154" s="156"/>
      <c r="CB1154" s="156"/>
      <c r="CC1154" s="156"/>
      <c r="CD1154" s="156"/>
      <c r="CE1154" s="156"/>
      <c r="CF1154" s="156"/>
      <c r="CG1154" s="156"/>
      <c r="CH1154" s="156"/>
      <c r="CI1154" s="156"/>
      <c r="CJ1154" s="156"/>
      <c r="CK1154" s="156"/>
      <c r="CL1154" s="156"/>
      <c r="CM1154" s="156"/>
      <c r="CN1154" s="156"/>
      <c r="CO1154" s="156"/>
      <c r="CP1154" s="156"/>
      <c r="CQ1154" s="156"/>
      <c r="CR1154" s="156"/>
      <c r="CS1154" s="156"/>
      <c r="CT1154" s="156"/>
      <c r="CU1154" s="156"/>
      <c r="CV1154" s="156"/>
      <c r="CW1154" s="156"/>
      <c r="CX1154" s="156"/>
      <c r="CY1154" s="156"/>
      <c r="CZ1154" s="156"/>
      <c r="DA1154" s="156"/>
      <c r="DB1154" s="156"/>
      <c r="DC1154" s="156"/>
      <c r="DD1154" s="156"/>
      <c r="DE1154" s="156"/>
      <c r="DF1154" s="156"/>
      <c r="DG1154" s="156"/>
      <c r="DH1154" s="156"/>
      <c r="DI1154" s="156"/>
      <c r="DJ1154" s="156"/>
      <c r="DK1154" s="156"/>
      <c r="DL1154" s="156"/>
      <c r="DM1154" s="156"/>
      <c r="DN1154" s="156"/>
      <c r="DO1154" s="156"/>
      <c r="DP1154" s="156"/>
      <c r="DQ1154" s="156"/>
      <c r="DR1154" s="156"/>
      <c r="DS1154" s="156"/>
      <c r="DT1154" s="156"/>
      <c r="DU1154" s="156"/>
      <c r="DV1154" s="156"/>
      <c r="DW1154" s="156"/>
      <c r="DX1154" s="156"/>
      <c r="DY1154" s="156"/>
      <c r="DZ1154" s="156"/>
      <c r="EA1154" s="156"/>
      <c r="EB1154" s="156"/>
      <c r="EC1154" s="156"/>
      <c r="ED1154" s="156"/>
      <c r="EE1154" s="156"/>
      <c r="EF1154" s="156"/>
      <c r="EG1154" s="156"/>
      <c r="EH1154" s="156"/>
      <c r="EI1154" s="156"/>
      <c r="EJ1154" s="156"/>
      <c r="EK1154" s="156"/>
      <c r="EL1154" s="156"/>
      <c r="EM1154" s="156"/>
    </row>
    <row r="1155" spans="20:143" ht="10.5" customHeight="1">
      <c r="T1155" s="156"/>
      <c r="AZ1155" s="156"/>
      <c r="BA1155" s="156"/>
      <c r="BB1155" s="156"/>
      <c r="BC1155" s="156"/>
      <c r="BD1155" s="156"/>
      <c r="BE1155" s="156"/>
      <c r="BF1155" s="156"/>
      <c r="BG1155" s="156"/>
      <c r="BH1155" s="156"/>
      <c r="BI1155" s="156"/>
      <c r="BJ1155" s="156"/>
      <c r="BK1155" s="156"/>
      <c r="BL1155" s="156"/>
      <c r="BM1155" s="156"/>
      <c r="BN1155" s="156"/>
      <c r="BO1155" s="156"/>
      <c r="BP1155" s="156"/>
      <c r="BQ1155" s="156"/>
      <c r="BR1155" s="156"/>
      <c r="BS1155" s="156"/>
      <c r="BT1155" s="156"/>
      <c r="BU1155" s="156"/>
      <c r="BV1155" s="156"/>
      <c r="BW1155" s="156"/>
      <c r="BX1155" s="156"/>
      <c r="BY1155" s="156"/>
      <c r="BZ1155" s="156"/>
      <c r="CA1155" s="156"/>
      <c r="CB1155" s="156"/>
      <c r="CC1155" s="156"/>
      <c r="CD1155" s="156"/>
      <c r="CE1155" s="156"/>
      <c r="CF1155" s="156"/>
      <c r="CG1155" s="156"/>
      <c r="CH1155" s="156"/>
      <c r="CI1155" s="156"/>
      <c r="CJ1155" s="156"/>
      <c r="CK1155" s="156"/>
      <c r="CL1155" s="156"/>
      <c r="CM1155" s="156"/>
      <c r="CN1155" s="156"/>
      <c r="CO1155" s="156"/>
      <c r="CP1155" s="156"/>
      <c r="CQ1155" s="156"/>
      <c r="CR1155" s="156"/>
      <c r="CS1155" s="156"/>
      <c r="CT1155" s="156"/>
      <c r="CU1155" s="156"/>
      <c r="CV1155" s="156"/>
      <c r="CW1155" s="156"/>
      <c r="CX1155" s="156"/>
      <c r="CY1155" s="156"/>
      <c r="CZ1155" s="156"/>
      <c r="DA1155" s="156"/>
      <c r="DB1155" s="156"/>
      <c r="DC1155" s="156"/>
      <c r="DD1155" s="156"/>
      <c r="DE1155" s="156"/>
      <c r="DF1155" s="156"/>
      <c r="DG1155" s="156"/>
      <c r="DH1155" s="156"/>
      <c r="DI1155" s="156"/>
      <c r="DJ1155" s="156"/>
      <c r="DK1155" s="156"/>
      <c r="DL1155" s="156"/>
      <c r="DM1155" s="156"/>
      <c r="DN1155" s="156"/>
      <c r="DO1155" s="156"/>
      <c r="DP1155" s="156"/>
      <c r="DQ1155" s="156"/>
      <c r="DR1155" s="156"/>
      <c r="DS1155" s="156"/>
      <c r="DT1155" s="156"/>
      <c r="DU1155" s="156"/>
      <c r="DV1155" s="156"/>
      <c r="DW1155" s="156"/>
      <c r="DX1155" s="156"/>
      <c r="DY1155" s="156"/>
      <c r="DZ1155" s="156"/>
      <c r="EA1155" s="156"/>
      <c r="EB1155" s="156"/>
      <c r="EC1155" s="156"/>
      <c r="ED1155" s="156"/>
      <c r="EE1155" s="156"/>
      <c r="EF1155" s="156"/>
      <c r="EG1155" s="156"/>
      <c r="EH1155" s="156"/>
      <c r="EI1155" s="156"/>
      <c r="EJ1155" s="156"/>
      <c r="EK1155" s="156"/>
      <c r="EL1155" s="156"/>
      <c r="EM1155" s="156"/>
    </row>
    <row r="1156" spans="20:143" ht="10.5" customHeight="1">
      <c r="T1156" s="156"/>
      <c r="AZ1156" s="156"/>
      <c r="BA1156" s="156"/>
      <c r="BB1156" s="156"/>
      <c r="BC1156" s="156"/>
      <c r="BD1156" s="156"/>
      <c r="BE1156" s="156"/>
      <c r="BF1156" s="156"/>
      <c r="BG1156" s="156"/>
      <c r="BH1156" s="156"/>
      <c r="BI1156" s="156"/>
      <c r="BJ1156" s="156"/>
      <c r="BK1156" s="156"/>
      <c r="BL1156" s="156"/>
      <c r="BM1156" s="156"/>
      <c r="BN1156" s="156"/>
      <c r="BO1156" s="156"/>
      <c r="BP1156" s="156"/>
      <c r="BQ1156" s="156"/>
      <c r="BR1156" s="156"/>
      <c r="BS1156" s="156"/>
      <c r="BT1156" s="156"/>
      <c r="BU1156" s="156"/>
      <c r="BV1156" s="156"/>
      <c r="BW1156" s="156"/>
      <c r="BX1156" s="156"/>
      <c r="BY1156" s="156"/>
      <c r="BZ1156" s="156"/>
      <c r="CA1156" s="156"/>
      <c r="CB1156" s="156"/>
      <c r="CC1156" s="156"/>
      <c r="CD1156" s="156"/>
      <c r="CE1156" s="156"/>
      <c r="CF1156" s="156"/>
      <c r="CG1156" s="156"/>
      <c r="CH1156" s="156"/>
      <c r="CI1156" s="156"/>
      <c r="CJ1156" s="156"/>
      <c r="CK1156" s="156"/>
      <c r="CL1156" s="156"/>
      <c r="CM1156" s="156"/>
      <c r="CN1156" s="156"/>
      <c r="CO1156" s="156"/>
      <c r="CP1156" s="156"/>
      <c r="CQ1156" s="156"/>
      <c r="CR1156" s="156"/>
      <c r="CS1156" s="156"/>
      <c r="CT1156" s="156"/>
      <c r="CU1156" s="156"/>
      <c r="CV1156" s="156"/>
      <c r="CW1156" s="156"/>
      <c r="CX1156" s="156"/>
      <c r="CY1156" s="156"/>
      <c r="CZ1156" s="156"/>
      <c r="DA1156" s="156"/>
      <c r="DB1156" s="156"/>
      <c r="DC1156" s="156"/>
      <c r="DD1156" s="156"/>
      <c r="DE1156" s="156"/>
      <c r="DF1156" s="156"/>
      <c r="DG1156" s="156"/>
      <c r="DH1156" s="156"/>
      <c r="DI1156" s="156"/>
      <c r="DJ1156" s="156"/>
      <c r="DK1156" s="156"/>
      <c r="DL1156" s="156"/>
      <c r="DM1156" s="156"/>
      <c r="DN1156" s="156"/>
      <c r="DO1156" s="156"/>
      <c r="DP1156" s="156"/>
      <c r="DQ1156" s="156"/>
      <c r="DR1156" s="156"/>
      <c r="DS1156" s="156"/>
      <c r="DT1156" s="156"/>
      <c r="DU1156" s="156"/>
      <c r="DV1156" s="156"/>
      <c r="DW1156" s="156"/>
      <c r="DX1156" s="156"/>
      <c r="DY1156" s="156"/>
      <c r="DZ1156" s="156"/>
      <c r="EA1156" s="156"/>
      <c r="EB1156" s="156"/>
      <c r="EC1156" s="156"/>
      <c r="ED1156" s="156"/>
      <c r="EE1156" s="156"/>
      <c r="EF1156" s="156"/>
      <c r="EG1156" s="156"/>
      <c r="EH1156" s="156"/>
      <c r="EI1156" s="156"/>
      <c r="EJ1156" s="156"/>
      <c r="EK1156" s="156"/>
      <c r="EL1156" s="156"/>
      <c r="EM1156" s="156"/>
    </row>
    <row r="1157" spans="20:143" ht="10.5" customHeight="1">
      <c r="T1157" s="156"/>
      <c r="AZ1157" s="156"/>
      <c r="BA1157" s="156"/>
      <c r="BB1157" s="156"/>
      <c r="BC1157" s="156"/>
      <c r="BD1157" s="156"/>
      <c r="BE1157" s="156"/>
      <c r="BF1157" s="156"/>
      <c r="BG1157" s="156"/>
      <c r="BH1157" s="156"/>
      <c r="BI1157" s="156"/>
      <c r="BJ1157" s="156"/>
      <c r="BK1157" s="156"/>
      <c r="BL1157" s="156"/>
      <c r="BM1157" s="156"/>
      <c r="BN1157" s="156"/>
      <c r="BO1157" s="156"/>
      <c r="BP1157" s="156"/>
      <c r="BQ1157" s="156"/>
      <c r="BR1157" s="156"/>
      <c r="BS1157" s="156"/>
      <c r="BT1157" s="156"/>
      <c r="BU1157" s="156"/>
      <c r="BV1157" s="156"/>
      <c r="BW1157" s="156"/>
      <c r="BX1157" s="156"/>
      <c r="BY1157" s="156"/>
      <c r="BZ1157" s="156"/>
      <c r="CA1157" s="156"/>
      <c r="CB1157" s="156"/>
      <c r="CC1157" s="156"/>
      <c r="CD1157" s="156"/>
      <c r="CE1157" s="156"/>
      <c r="CF1157" s="156"/>
      <c r="CG1157" s="156"/>
      <c r="CH1157" s="156"/>
      <c r="CI1157" s="156"/>
      <c r="CJ1157" s="156"/>
      <c r="CK1157" s="156"/>
      <c r="CL1157" s="156"/>
      <c r="CM1157" s="156"/>
      <c r="CN1157" s="156"/>
      <c r="CO1157" s="156"/>
      <c r="CP1157" s="156"/>
      <c r="CQ1157" s="156"/>
      <c r="CR1157" s="156"/>
      <c r="CS1157" s="156"/>
      <c r="CT1157" s="156"/>
      <c r="CU1157" s="156"/>
      <c r="CV1157" s="156"/>
      <c r="CW1157" s="156"/>
      <c r="CX1157" s="156"/>
      <c r="CY1157" s="156"/>
      <c r="CZ1157" s="156"/>
      <c r="DA1157" s="156"/>
      <c r="DB1157" s="156"/>
      <c r="DC1157" s="156"/>
      <c r="DD1157" s="156"/>
      <c r="DE1157" s="156"/>
      <c r="DF1157" s="156"/>
      <c r="DG1157" s="156"/>
      <c r="DH1157" s="156"/>
      <c r="DI1157" s="156"/>
      <c r="DJ1157" s="156"/>
      <c r="DK1157" s="156"/>
      <c r="DL1157" s="156"/>
      <c r="DM1157" s="156"/>
      <c r="DN1157" s="156"/>
      <c r="DO1157" s="156"/>
      <c r="DP1157" s="156"/>
      <c r="DQ1157" s="156"/>
      <c r="DR1157" s="156"/>
      <c r="DS1157" s="156"/>
      <c r="DT1157" s="156"/>
      <c r="DU1157" s="156"/>
      <c r="DV1157" s="156"/>
      <c r="DW1157" s="156"/>
      <c r="DX1157" s="156"/>
      <c r="DY1157" s="156"/>
      <c r="DZ1157" s="156"/>
      <c r="EA1157" s="156"/>
      <c r="EB1157" s="156"/>
      <c r="EC1157" s="156"/>
      <c r="ED1157" s="156"/>
      <c r="EE1157" s="156"/>
      <c r="EF1157" s="156"/>
      <c r="EG1157" s="156"/>
      <c r="EH1157" s="156"/>
      <c r="EI1157" s="156"/>
      <c r="EJ1157" s="156"/>
      <c r="EK1157" s="156"/>
      <c r="EL1157" s="156"/>
      <c r="EM1157" s="156"/>
    </row>
    <row r="1158" spans="20:143" ht="10.5" customHeight="1">
      <c r="T1158" s="156"/>
      <c r="AZ1158" s="156"/>
      <c r="BA1158" s="156"/>
      <c r="BB1158" s="156"/>
      <c r="BC1158" s="156"/>
      <c r="BD1158" s="156"/>
      <c r="BE1158" s="156"/>
      <c r="BF1158" s="156"/>
      <c r="BG1158" s="156"/>
      <c r="BH1158" s="156"/>
      <c r="BI1158" s="156"/>
      <c r="BJ1158" s="156"/>
      <c r="BK1158" s="156"/>
      <c r="BL1158" s="156"/>
      <c r="BM1158" s="156"/>
      <c r="BN1158" s="156"/>
      <c r="BO1158" s="156"/>
      <c r="BP1158" s="156"/>
      <c r="BQ1158" s="156"/>
      <c r="BR1158" s="156"/>
      <c r="BS1158" s="156"/>
      <c r="BT1158" s="156"/>
      <c r="BU1158" s="156"/>
      <c r="BV1158" s="156"/>
      <c r="BW1158" s="156"/>
      <c r="BX1158" s="156"/>
      <c r="BY1158" s="156"/>
      <c r="BZ1158" s="156"/>
      <c r="CA1158" s="156"/>
      <c r="CB1158" s="156"/>
      <c r="CC1158" s="156"/>
      <c r="CD1158" s="156"/>
      <c r="CE1158" s="156"/>
      <c r="CF1158" s="156"/>
      <c r="CG1158" s="156"/>
      <c r="CH1158" s="156"/>
      <c r="CI1158" s="156"/>
      <c r="CJ1158" s="156"/>
      <c r="CK1158" s="156"/>
      <c r="CL1158" s="156"/>
      <c r="CM1158" s="156"/>
      <c r="CN1158" s="156"/>
      <c r="CO1158" s="156"/>
      <c r="CP1158" s="156"/>
      <c r="CQ1158" s="156"/>
      <c r="CR1158" s="156"/>
      <c r="CS1158" s="156"/>
      <c r="CT1158" s="156"/>
      <c r="CU1158" s="156"/>
      <c r="CV1158" s="156"/>
      <c r="CW1158" s="156"/>
      <c r="CX1158" s="156"/>
      <c r="CY1158" s="156"/>
      <c r="CZ1158" s="156"/>
      <c r="DA1158" s="156"/>
      <c r="DB1158" s="156"/>
      <c r="DC1158" s="156"/>
      <c r="DD1158" s="156"/>
      <c r="DE1158" s="156"/>
      <c r="DF1158" s="156"/>
      <c r="DG1158" s="156"/>
      <c r="DH1158" s="156"/>
      <c r="DI1158" s="156"/>
      <c r="DJ1158" s="156"/>
      <c r="DK1158" s="156"/>
      <c r="DL1158" s="156"/>
      <c r="DM1158" s="156"/>
      <c r="DN1158" s="156"/>
      <c r="DO1158" s="156"/>
      <c r="DP1158" s="156"/>
      <c r="DQ1158" s="156"/>
      <c r="DR1158" s="156"/>
      <c r="DS1158" s="156"/>
      <c r="DT1158" s="156"/>
      <c r="DU1158" s="156"/>
      <c r="DV1158" s="156"/>
      <c r="DW1158" s="156"/>
      <c r="DX1158" s="156"/>
      <c r="DY1158" s="156"/>
      <c r="DZ1158" s="156"/>
      <c r="EA1158" s="156"/>
      <c r="EB1158" s="156"/>
      <c r="EC1158" s="156"/>
      <c r="ED1158" s="156"/>
      <c r="EE1158" s="156"/>
      <c r="EF1158" s="156"/>
      <c r="EG1158" s="156"/>
      <c r="EH1158" s="156"/>
      <c r="EI1158" s="156"/>
      <c r="EJ1158" s="156"/>
      <c r="EK1158" s="156"/>
      <c r="EL1158" s="156"/>
      <c r="EM1158" s="156"/>
    </row>
    <row r="1159" spans="20:143" ht="10.5" customHeight="1">
      <c r="T1159" s="156"/>
      <c r="AZ1159" s="156"/>
      <c r="BA1159" s="156"/>
      <c r="BB1159" s="156"/>
      <c r="BC1159" s="156"/>
      <c r="BD1159" s="156"/>
      <c r="BE1159" s="156"/>
      <c r="BF1159" s="156"/>
      <c r="BG1159" s="156"/>
      <c r="BH1159" s="156"/>
      <c r="BI1159" s="156"/>
      <c r="BJ1159" s="156"/>
      <c r="BK1159" s="156"/>
      <c r="BL1159" s="156"/>
      <c r="BM1159" s="156"/>
      <c r="BN1159" s="156"/>
      <c r="BO1159" s="156"/>
      <c r="BP1159" s="156"/>
      <c r="BQ1159" s="156"/>
      <c r="BR1159" s="156"/>
      <c r="BS1159" s="156"/>
      <c r="BT1159" s="156"/>
      <c r="BU1159" s="156"/>
      <c r="BV1159" s="156"/>
      <c r="BW1159" s="156"/>
      <c r="BX1159" s="156"/>
      <c r="BY1159" s="156"/>
      <c r="BZ1159" s="156"/>
      <c r="CA1159" s="156"/>
      <c r="CB1159" s="156"/>
      <c r="CC1159" s="156"/>
      <c r="CD1159" s="156"/>
      <c r="CE1159" s="156"/>
      <c r="CF1159" s="156"/>
      <c r="CG1159" s="156"/>
      <c r="CH1159" s="156"/>
      <c r="CI1159" s="156"/>
      <c r="CJ1159" s="156"/>
      <c r="CK1159" s="156"/>
      <c r="CL1159" s="156"/>
      <c r="CM1159" s="156"/>
      <c r="CN1159" s="156"/>
      <c r="CO1159" s="156"/>
      <c r="CP1159" s="156"/>
      <c r="CQ1159" s="156"/>
      <c r="CR1159" s="156"/>
      <c r="CS1159" s="156"/>
      <c r="CT1159" s="156"/>
      <c r="CU1159" s="156"/>
      <c r="CV1159" s="156"/>
      <c r="CW1159" s="156"/>
      <c r="CX1159" s="156"/>
      <c r="CY1159" s="156"/>
      <c r="CZ1159" s="156"/>
      <c r="DA1159" s="156"/>
      <c r="DB1159" s="156"/>
      <c r="DC1159" s="156"/>
      <c r="DD1159" s="156"/>
      <c r="DE1159" s="156"/>
      <c r="DF1159" s="156"/>
      <c r="DG1159" s="156"/>
      <c r="DH1159" s="156"/>
      <c r="DI1159" s="156"/>
      <c r="DJ1159" s="156"/>
      <c r="DK1159" s="156"/>
      <c r="DL1159" s="156"/>
      <c r="DM1159" s="156"/>
      <c r="DN1159" s="156"/>
      <c r="DO1159" s="156"/>
      <c r="DP1159" s="156"/>
      <c r="DQ1159" s="156"/>
      <c r="DR1159" s="156"/>
      <c r="DS1159" s="156"/>
      <c r="DT1159" s="156"/>
      <c r="DU1159" s="156"/>
      <c r="DV1159" s="156"/>
      <c r="DW1159" s="156"/>
      <c r="DX1159" s="156"/>
      <c r="DY1159" s="156"/>
      <c r="DZ1159" s="156"/>
      <c r="EA1159" s="156"/>
      <c r="EB1159" s="156"/>
      <c r="EC1159" s="156"/>
      <c r="ED1159" s="156"/>
      <c r="EE1159" s="156"/>
      <c r="EF1159" s="156"/>
      <c r="EG1159" s="156"/>
      <c r="EH1159" s="156"/>
      <c r="EI1159" s="156"/>
      <c r="EJ1159" s="156"/>
      <c r="EK1159" s="156"/>
      <c r="EL1159" s="156"/>
      <c r="EM1159" s="156"/>
    </row>
    <row r="1160" spans="20:143" ht="10.5" customHeight="1">
      <c r="T1160" s="156"/>
      <c r="AZ1160" s="156"/>
      <c r="BA1160" s="156"/>
      <c r="BB1160" s="156"/>
      <c r="BC1160" s="156"/>
      <c r="BD1160" s="156"/>
      <c r="BE1160" s="156"/>
      <c r="BF1160" s="156"/>
      <c r="BG1160" s="156"/>
      <c r="BH1160" s="156"/>
      <c r="BI1160" s="156"/>
      <c r="BJ1160" s="156"/>
      <c r="BK1160" s="156"/>
      <c r="BL1160" s="156"/>
      <c r="BM1160" s="156"/>
      <c r="BN1160" s="156"/>
      <c r="BO1160" s="156"/>
      <c r="BP1160" s="156"/>
      <c r="BQ1160" s="156"/>
      <c r="BR1160" s="156"/>
      <c r="BS1160" s="156"/>
      <c r="BT1160" s="156"/>
      <c r="BU1160" s="156"/>
      <c r="BV1160" s="156"/>
      <c r="BW1160" s="156"/>
      <c r="BX1160" s="156"/>
      <c r="BY1160" s="156"/>
      <c r="BZ1160" s="156"/>
      <c r="CA1160" s="156"/>
      <c r="CB1160" s="156"/>
      <c r="CC1160" s="156"/>
      <c r="CD1160" s="156"/>
      <c r="CE1160" s="156"/>
      <c r="CF1160" s="156"/>
      <c r="CG1160" s="156"/>
      <c r="CH1160" s="156"/>
      <c r="CI1160" s="156"/>
      <c r="CJ1160" s="156"/>
      <c r="CK1160" s="156"/>
      <c r="CL1160" s="156"/>
      <c r="CM1160" s="156"/>
      <c r="CN1160" s="156"/>
      <c r="CO1160" s="156"/>
      <c r="CP1160" s="156"/>
      <c r="CQ1160" s="156"/>
      <c r="CR1160" s="156"/>
      <c r="CS1160" s="156"/>
      <c r="CT1160" s="156"/>
      <c r="CU1160" s="156"/>
      <c r="CV1160" s="156"/>
      <c r="CW1160" s="156"/>
      <c r="CX1160" s="156"/>
      <c r="CY1160" s="156"/>
      <c r="CZ1160" s="156"/>
      <c r="DA1160" s="156"/>
      <c r="DB1160" s="156"/>
      <c r="DC1160" s="156"/>
      <c r="DD1160" s="156"/>
      <c r="DE1160" s="156"/>
      <c r="DF1160" s="156"/>
      <c r="DG1160" s="156"/>
      <c r="DH1160" s="156"/>
      <c r="DI1160" s="156"/>
      <c r="DJ1160" s="156"/>
      <c r="DK1160" s="156"/>
      <c r="DL1160" s="156"/>
      <c r="DM1160" s="156"/>
      <c r="DN1160" s="156"/>
      <c r="DO1160" s="156"/>
      <c r="DP1160" s="156"/>
      <c r="DQ1160" s="156"/>
      <c r="DR1160" s="156"/>
      <c r="DS1160" s="156"/>
      <c r="DT1160" s="156"/>
      <c r="DU1160" s="156"/>
      <c r="DV1160" s="156"/>
      <c r="DW1160" s="156"/>
      <c r="DX1160" s="156"/>
      <c r="DY1160" s="156"/>
      <c r="DZ1160" s="156"/>
      <c r="EA1160" s="156"/>
      <c r="EB1160" s="156"/>
      <c r="EC1160" s="156"/>
      <c r="ED1160" s="156"/>
      <c r="EE1160" s="156"/>
      <c r="EF1160" s="156"/>
      <c r="EG1160" s="156"/>
      <c r="EH1160" s="156"/>
      <c r="EI1160" s="156"/>
      <c r="EJ1160" s="156"/>
      <c r="EK1160" s="156"/>
      <c r="EL1160" s="156"/>
      <c r="EM1160" s="156"/>
    </row>
    <row r="1161" spans="20:143" ht="10.5" customHeight="1">
      <c r="T1161" s="156"/>
      <c r="AZ1161" s="156"/>
      <c r="BA1161" s="156"/>
      <c r="BB1161" s="156"/>
      <c r="BC1161" s="156"/>
      <c r="BD1161" s="156"/>
      <c r="BE1161" s="156"/>
      <c r="BF1161" s="156"/>
      <c r="BG1161" s="156"/>
      <c r="BH1161" s="156"/>
      <c r="BI1161" s="156"/>
      <c r="BJ1161" s="156"/>
      <c r="BK1161" s="156"/>
      <c r="BL1161" s="156"/>
      <c r="BM1161" s="156"/>
      <c r="BN1161" s="156"/>
      <c r="BO1161" s="156"/>
      <c r="BP1161" s="156"/>
      <c r="BQ1161" s="156"/>
      <c r="BR1161" s="156"/>
      <c r="BS1161" s="156"/>
      <c r="BT1161" s="156"/>
      <c r="BU1161" s="156"/>
      <c r="BV1161" s="156"/>
      <c r="BW1161" s="156"/>
      <c r="BX1161" s="156"/>
      <c r="BY1161" s="156"/>
      <c r="BZ1161" s="156"/>
      <c r="CA1161" s="156"/>
      <c r="CB1161" s="156"/>
      <c r="CC1161" s="156"/>
      <c r="CD1161" s="156"/>
      <c r="CE1161" s="156"/>
      <c r="CF1161" s="156"/>
      <c r="CG1161" s="156"/>
      <c r="CH1161" s="156"/>
      <c r="CI1161" s="156"/>
      <c r="CJ1161" s="156"/>
      <c r="CK1161" s="156"/>
      <c r="CL1161" s="156"/>
      <c r="CM1161" s="156"/>
      <c r="CN1161" s="156"/>
      <c r="CO1161" s="156"/>
      <c r="CP1161" s="156"/>
      <c r="CQ1161" s="156"/>
      <c r="CR1161" s="156"/>
      <c r="CS1161" s="156"/>
      <c r="CT1161" s="156"/>
      <c r="CU1161" s="156"/>
      <c r="CV1161" s="156"/>
      <c r="CW1161" s="156"/>
      <c r="CX1161" s="156"/>
      <c r="CY1161" s="156"/>
      <c r="CZ1161" s="156"/>
      <c r="DA1161" s="156"/>
      <c r="DB1161" s="156"/>
      <c r="DC1161" s="156"/>
      <c r="DD1161" s="156"/>
      <c r="DE1161" s="156"/>
      <c r="DF1161" s="156"/>
      <c r="DG1161" s="156"/>
      <c r="DH1161" s="156"/>
      <c r="DI1161" s="156"/>
      <c r="DJ1161" s="156"/>
      <c r="DK1161" s="156"/>
      <c r="DL1161" s="156"/>
      <c r="DM1161" s="156"/>
      <c r="DN1161" s="156"/>
      <c r="DO1161" s="156"/>
      <c r="DP1161" s="156"/>
      <c r="DQ1161" s="156"/>
      <c r="DR1161" s="156"/>
      <c r="DS1161" s="156"/>
      <c r="DT1161" s="156"/>
      <c r="DU1161" s="156"/>
      <c r="DV1161" s="156"/>
      <c r="DW1161" s="156"/>
      <c r="DX1161" s="156"/>
      <c r="DY1161" s="156"/>
      <c r="DZ1161" s="156"/>
      <c r="EA1161" s="156"/>
      <c r="EB1161" s="156"/>
      <c r="EC1161" s="156"/>
      <c r="ED1161" s="156"/>
      <c r="EE1161" s="156"/>
      <c r="EF1161" s="156"/>
      <c r="EG1161" s="156"/>
      <c r="EH1161" s="156"/>
      <c r="EI1161" s="156"/>
      <c r="EJ1161" s="156"/>
      <c r="EK1161" s="156"/>
      <c r="EL1161" s="156"/>
      <c r="EM1161" s="156"/>
    </row>
    <row r="1162" spans="20:143" ht="10.5" customHeight="1">
      <c r="T1162" s="156"/>
      <c r="AZ1162" s="156"/>
      <c r="BA1162" s="156"/>
      <c r="BB1162" s="156"/>
      <c r="BC1162" s="156"/>
      <c r="BD1162" s="156"/>
      <c r="BE1162" s="156"/>
      <c r="BF1162" s="156"/>
      <c r="BG1162" s="156"/>
      <c r="BH1162" s="156"/>
      <c r="BI1162" s="156"/>
      <c r="BJ1162" s="156"/>
      <c r="BK1162" s="156"/>
      <c r="BL1162" s="156"/>
      <c r="BM1162" s="156"/>
      <c r="BN1162" s="156"/>
      <c r="BO1162" s="156"/>
      <c r="BP1162" s="156"/>
      <c r="BQ1162" s="156"/>
      <c r="BR1162" s="156"/>
      <c r="BS1162" s="156"/>
      <c r="BT1162" s="156"/>
      <c r="BU1162" s="156"/>
      <c r="BV1162" s="156"/>
      <c r="BW1162" s="156"/>
      <c r="BX1162" s="156"/>
      <c r="BY1162" s="156"/>
      <c r="BZ1162" s="156"/>
      <c r="CA1162" s="156"/>
      <c r="CB1162" s="156"/>
      <c r="CC1162" s="156"/>
      <c r="CD1162" s="156"/>
      <c r="CE1162" s="156"/>
      <c r="CF1162" s="156"/>
      <c r="CG1162" s="156"/>
      <c r="CH1162" s="156"/>
      <c r="CI1162" s="156"/>
      <c r="CJ1162" s="156"/>
      <c r="CK1162" s="156"/>
      <c r="CL1162" s="156"/>
      <c r="CM1162" s="156"/>
      <c r="CN1162" s="156"/>
      <c r="CO1162" s="156"/>
      <c r="CP1162" s="156"/>
      <c r="CQ1162" s="156"/>
      <c r="CR1162" s="156"/>
      <c r="CS1162" s="156"/>
      <c r="CT1162" s="156"/>
      <c r="CU1162" s="156"/>
      <c r="CV1162" s="156"/>
      <c r="CW1162" s="156"/>
      <c r="CX1162" s="156"/>
      <c r="CY1162" s="156"/>
      <c r="CZ1162" s="156"/>
      <c r="DA1162" s="156"/>
      <c r="DB1162" s="156"/>
      <c r="DC1162" s="156"/>
      <c r="DD1162" s="156"/>
      <c r="DE1162" s="156"/>
      <c r="DF1162" s="156"/>
      <c r="DG1162" s="156"/>
      <c r="DH1162" s="156"/>
      <c r="DI1162" s="156"/>
      <c r="DJ1162" s="156"/>
      <c r="DK1162" s="156"/>
      <c r="DL1162" s="156"/>
      <c r="DM1162" s="156"/>
      <c r="DN1162" s="156"/>
      <c r="DO1162" s="156"/>
      <c r="DP1162" s="156"/>
      <c r="DQ1162" s="156"/>
      <c r="DR1162" s="156"/>
      <c r="DS1162" s="156"/>
      <c r="DT1162" s="156"/>
      <c r="DU1162" s="156"/>
      <c r="DV1162" s="156"/>
      <c r="DW1162" s="156"/>
      <c r="DX1162" s="156"/>
      <c r="DY1162" s="156"/>
      <c r="DZ1162" s="156"/>
      <c r="EA1162" s="156"/>
      <c r="EB1162" s="156"/>
      <c r="EC1162" s="156"/>
      <c r="ED1162" s="156"/>
      <c r="EE1162" s="156"/>
      <c r="EF1162" s="156"/>
      <c r="EG1162" s="156"/>
      <c r="EH1162" s="156"/>
      <c r="EI1162" s="156"/>
      <c r="EJ1162" s="156"/>
      <c r="EK1162" s="156"/>
      <c r="EL1162" s="156"/>
      <c r="EM1162" s="156"/>
    </row>
    <row r="1163" spans="20:143" ht="10.5" customHeight="1">
      <c r="T1163" s="156"/>
      <c r="AZ1163" s="156"/>
      <c r="BA1163" s="156"/>
      <c r="BB1163" s="156"/>
      <c r="BC1163" s="156"/>
      <c r="BD1163" s="156"/>
      <c r="BE1163" s="156"/>
      <c r="BF1163" s="156"/>
      <c r="BG1163" s="156"/>
      <c r="BH1163" s="156"/>
      <c r="BI1163" s="156"/>
      <c r="BJ1163" s="156"/>
      <c r="BK1163" s="156"/>
      <c r="BL1163" s="156"/>
      <c r="BM1163" s="156"/>
      <c r="BN1163" s="156"/>
      <c r="BO1163" s="156"/>
      <c r="BP1163" s="156"/>
      <c r="BQ1163" s="156"/>
      <c r="BR1163" s="156"/>
      <c r="BS1163" s="156"/>
      <c r="BT1163" s="156"/>
      <c r="BU1163" s="156"/>
      <c r="BV1163" s="156"/>
      <c r="BW1163" s="156"/>
      <c r="BX1163" s="156"/>
      <c r="BY1163" s="156"/>
      <c r="BZ1163" s="156"/>
      <c r="CA1163" s="156"/>
      <c r="CB1163" s="156"/>
      <c r="CC1163" s="156"/>
      <c r="CD1163" s="156"/>
      <c r="CE1163" s="156"/>
      <c r="CF1163" s="156"/>
      <c r="CG1163" s="156"/>
      <c r="CH1163" s="156"/>
      <c r="CI1163" s="156"/>
      <c r="CJ1163" s="156"/>
      <c r="CK1163" s="156"/>
      <c r="CL1163" s="156"/>
      <c r="CM1163" s="156"/>
      <c r="CN1163" s="156"/>
      <c r="CO1163" s="156"/>
      <c r="CP1163" s="156"/>
      <c r="CQ1163" s="156"/>
      <c r="CR1163" s="156"/>
      <c r="CS1163" s="156"/>
      <c r="CT1163" s="156"/>
      <c r="CU1163" s="156"/>
      <c r="CV1163" s="156"/>
      <c r="CW1163" s="156"/>
      <c r="CX1163" s="156"/>
      <c r="CY1163" s="156"/>
      <c r="CZ1163" s="156"/>
      <c r="DA1163" s="156"/>
      <c r="DB1163" s="156"/>
      <c r="DC1163" s="156"/>
      <c r="DD1163" s="156"/>
      <c r="DE1163" s="156"/>
      <c r="DF1163" s="156"/>
      <c r="DG1163" s="156"/>
      <c r="DH1163" s="156"/>
      <c r="DI1163" s="156"/>
      <c r="DJ1163" s="156"/>
      <c r="DK1163" s="156"/>
      <c r="DL1163" s="156"/>
      <c r="DM1163" s="156"/>
      <c r="DN1163" s="156"/>
      <c r="DO1163" s="156"/>
      <c r="DP1163" s="156"/>
      <c r="DQ1163" s="156"/>
      <c r="DR1163" s="156"/>
      <c r="DS1163" s="156"/>
      <c r="DT1163" s="156"/>
      <c r="DU1163" s="156"/>
      <c r="DV1163" s="156"/>
      <c r="DW1163" s="156"/>
      <c r="DX1163" s="156"/>
      <c r="DY1163" s="156"/>
      <c r="DZ1163" s="156"/>
      <c r="EA1163" s="156"/>
      <c r="EB1163" s="156"/>
      <c r="EC1163" s="156"/>
      <c r="ED1163" s="156"/>
      <c r="EE1163" s="156"/>
      <c r="EF1163" s="156"/>
      <c r="EG1163" s="156"/>
      <c r="EH1163" s="156"/>
      <c r="EI1163" s="156"/>
      <c r="EJ1163" s="156"/>
      <c r="EK1163" s="156"/>
      <c r="EL1163" s="156"/>
      <c r="EM1163" s="156"/>
    </row>
    <row r="1164" spans="20:143" ht="10.5" customHeight="1">
      <c r="T1164" s="156"/>
      <c r="AZ1164" s="156"/>
      <c r="BA1164" s="156"/>
      <c r="BB1164" s="156"/>
      <c r="BC1164" s="156"/>
      <c r="BD1164" s="156"/>
      <c r="BE1164" s="156"/>
      <c r="BF1164" s="156"/>
      <c r="BG1164" s="156"/>
      <c r="BH1164" s="156"/>
      <c r="BI1164" s="156"/>
      <c r="BJ1164" s="156"/>
      <c r="BK1164" s="156"/>
      <c r="BL1164" s="156"/>
      <c r="BM1164" s="156"/>
      <c r="BN1164" s="156"/>
      <c r="BO1164" s="156"/>
      <c r="BP1164" s="156"/>
      <c r="BQ1164" s="156"/>
      <c r="BR1164" s="156"/>
      <c r="BS1164" s="156"/>
      <c r="BT1164" s="156"/>
      <c r="BU1164" s="156"/>
      <c r="BV1164" s="156"/>
      <c r="BW1164" s="156"/>
      <c r="BX1164" s="156"/>
      <c r="BY1164" s="156"/>
      <c r="BZ1164" s="156"/>
      <c r="CA1164" s="156"/>
      <c r="CB1164" s="156"/>
      <c r="CC1164" s="156"/>
      <c r="CD1164" s="156"/>
      <c r="CE1164" s="156"/>
      <c r="CF1164" s="156"/>
      <c r="CG1164" s="156"/>
      <c r="CH1164" s="156"/>
      <c r="CI1164" s="156"/>
      <c r="CJ1164" s="156"/>
      <c r="CK1164" s="156"/>
      <c r="CL1164" s="156"/>
      <c r="CM1164" s="156"/>
      <c r="CN1164" s="156"/>
      <c r="CO1164" s="156"/>
      <c r="CP1164" s="156"/>
      <c r="CQ1164" s="156"/>
      <c r="CR1164" s="156"/>
      <c r="CS1164" s="156"/>
      <c r="CT1164" s="156"/>
      <c r="CU1164" s="156"/>
      <c r="CV1164" s="156"/>
      <c r="CW1164" s="156"/>
      <c r="CX1164" s="156"/>
      <c r="CY1164" s="156"/>
      <c r="CZ1164" s="156"/>
      <c r="DA1164" s="156"/>
      <c r="DB1164" s="156"/>
      <c r="DC1164" s="156"/>
      <c r="DD1164" s="156"/>
      <c r="DE1164" s="156"/>
      <c r="DF1164" s="156"/>
      <c r="DG1164" s="156"/>
      <c r="DH1164" s="156"/>
      <c r="DI1164" s="156"/>
      <c r="DJ1164" s="156"/>
      <c r="DK1164" s="156"/>
      <c r="DL1164" s="156"/>
      <c r="DM1164" s="156"/>
      <c r="DN1164" s="156"/>
      <c r="DO1164" s="156"/>
      <c r="DP1164" s="156"/>
      <c r="DQ1164" s="156"/>
      <c r="DR1164" s="156"/>
      <c r="DS1164" s="156"/>
      <c r="DT1164" s="156"/>
      <c r="DU1164" s="156"/>
      <c r="DV1164" s="156"/>
      <c r="DW1164" s="156"/>
      <c r="DX1164" s="156"/>
      <c r="DY1164" s="156"/>
      <c r="DZ1164" s="156"/>
      <c r="EA1164" s="156"/>
      <c r="EB1164" s="156"/>
      <c r="EC1164" s="156"/>
      <c r="ED1164" s="156"/>
      <c r="EE1164" s="156"/>
      <c r="EF1164" s="156"/>
      <c r="EG1164" s="156"/>
      <c r="EH1164" s="156"/>
      <c r="EI1164" s="156"/>
      <c r="EJ1164" s="156"/>
      <c r="EK1164" s="156"/>
      <c r="EL1164" s="156"/>
      <c r="EM1164" s="156"/>
    </row>
    <row r="1165" spans="20:143" ht="10.5" customHeight="1">
      <c r="T1165" s="156"/>
      <c r="AZ1165" s="156"/>
      <c r="BA1165" s="156"/>
      <c r="BB1165" s="156"/>
      <c r="BC1165" s="156"/>
      <c r="BD1165" s="156"/>
      <c r="BE1165" s="156"/>
      <c r="BF1165" s="156"/>
      <c r="BG1165" s="156"/>
      <c r="BH1165" s="156"/>
      <c r="BI1165" s="156"/>
      <c r="BJ1165" s="156"/>
      <c r="BK1165" s="156"/>
      <c r="BL1165" s="156"/>
      <c r="BM1165" s="156"/>
      <c r="BN1165" s="156"/>
      <c r="BO1165" s="156"/>
      <c r="BP1165" s="156"/>
      <c r="BQ1165" s="156"/>
      <c r="BR1165" s="156"/>
      <c r="BS1165" s="156"/>
      <c r="BT1165" s="156"/>
      <c r="BU1165" s="156"/>
      <c r="BV1165" s="156"/>
      <c r="BW1165" s="156"/>
      <c r="BX1165" s="156"/>
      <c r="BY1165" s="156"/>
      <c r="BZ1165" s="156"/>
      <c r="CA1165" s="156"/>
      <c r="CB1165" s="156"/>
      <c r="CC1165" s="156"/>
      <c r="CD1165" s="156"/>
      <c r="CE1165" s="156"/>
      <c r="CF1165" s="156"/>
      <c r="CG1165" s="156"/>
      <c r="CH1165" s="156"/>
      <c r="CI1165" s="156"/>
      <c r="CJ1165" s="156"/>
      <c r="CK1165" s="156"/>
      <c r="CL1165" s="156"/>
      <c r="CM1165" s="156"/>
      <c r="CN1165" s="156"/>
      <c r="CO1165" s="156"/>
      <c r="CP1165" s="156"/>
      <c r="CQ1165" s="156"/>
      <c r="CR1165" s="156"/>
      <c r="CS1165" s="156"/>
      <c r="CT1165" s="156"/>
      <c r="CU1165" s="156"/>
      <c r="CV1165" s="156"/>
      <c r="CW1165" s="156"/>
      <c r="CX1165" s="156"/>
      <c r="CY1165" s="156"/>
      <c r="CZ1165" s="156"/>
      <c r="DA1165" s="156"/>
      <c r="DB1165" s="156"/>
      <c r="DC1165" s="156"/>
      <c r="DD1165" s="156"/>
      <c r="DE1165" s="156"/>
      <c r="DF1165" s="156"/>
      <c r="DG1165" s="156"/>
      <c r="DH1165" s="156"/>
      <c r="DI1165" s="156"/>
      <c r="DJ1165" s="156"/>
      <c r="DK1165" s="156"/>
      <c r="DL1165" s="156"/>
      <c r="DM1165" s="156"/>
      <c r="DN1165" s="156"/>
      <c r="DO1165" s="156"/>
      <c r="DP1165" s="156"/>
      <c r="DQ1165" s="156"/>
      <c r="DR1165" s="156"/>
      <c r="DS1165" s="156"/>
      <c r="DT1165" s="156"/>
      <c r="DU1165" s="156"/>
      <c r="DV1165" s="156"/>
      <c r="DW1165" s="156"/>
      <c r="DX1165" s="156"/>
      <c r="DY1165" s="156"/>
      <c r="DZ1165" s="156"/>
      <c r="EA1165" s="156"/>
      <c r="EB1165" s="156"/>
      <c r="EC1165" s="156"/>
      <c r="ED1165" s="156"/>
      <c r="EE1165" s="156"/>
      <c r="EF1165" s="156"/>
      <c r="EG1165" s="156"/>
      <c r="EH1165" s="156"/>
      <c r="EI1165" s="156"/>
      <c r="EJ1165" s="156"/>
      <c r="EK1165" s="156"/>
      <c r="EL1165" s="156"/>
      <c r="EM1165" s="156"/>
    </row>
    <row r="1166" spans="20:143" ht="10.5" customHeight="1">
      <c r="T1166" s="156"/>
      <c r="AZ1166" s="156"/>
      <c r="BA1166" s="156"/>
      <c r="BB1166" s="156"/>
      <c r="BC1166" s="156"/>
      <c r="BD1166" s="156"/>
      <c r="BE1166" s="156"/>
      <c r="BF1166" s="156"/>
      <c r="BG1166" s="156"/>
      <c r="BH1166" s="156"/>
      <c r="BI1166" s="156"/>
      <c r="BJ1166" s="156"/>
      <c r="BK1166" s="156"/>
      <c r="BL1166" s="156"/>
      <c r="BM1166" s="156"/>
      <c r="BN1166" s="156"/>
      <c r="BO1166" s="156"/>
      <c r="BP1166" s="156"/>
      <c r="BQ1166" s="156"/>
      <c r="BR1166" s="156"/>
      <c r="BS1166" s="156"/>
      <c r="BT1166" s="156"/>
      <c r="BU1166" s="156"/>
      <c r="BV1166" s="156"/>
      <c r="BW1166" s="156"/>
      <c r="BX1166" s="156"/>
      <c r="BY1166" s="156"/>
      <c r="BZ1166" s="156"/>
      <c r="CA1166" s="156"/>
      <c r="CB1166" s="156"/>
      <c r="CC1166" s="156"/>
      <c r="CD1166" s="156"/>
      <c r="CE1166" s="156"/>
      <c r="CF1166" s="156"/>
      <c r="CG1166" s="156"/>
      <c r="CH1166" s="156"/>
      <c r="CI1166" s="156"/>
      <c r="CJ1166" s="156"/>
      <c r="CK1166" s="156"/>
      <c r="CL1166" s="156"/>
      <c r="CM1166" s="156"/>
      <c r="CN1166" s="156"/>
      <c r="CO1166" s="156"/>
      <c r="CP1166" s="156"/>
      <c r="CQ1166" s="156"/>
      <c r="CR1166" s="156"/>
      <c r="CS1166" s="156"/>
      <c r="CT1166" s="156"/>
      <c r="CU1166" s="156"/>
      <c r="CV1166" s="156"/>
      <c r="CW1166" s="156"/>
      <c r="CX1166" s="156"/>
      <c r="CY1166" s="156"/>
      <c r="CZ1166" s="156"/>
      <c r="DA1166" s="156"/>
      <c r="DB1166" s="156"/>
      <c r="DC1166" s="156"/>
      <c r="DD1166" s="156"/>
      <c r="DE1166" s="156"/>
      <c r="DF1166" s="156"/>
      <c r="DG1166" s="156"/>
      <c r="DH1166" s="156"/>
      <c r="DI1166" s="156"/>
      <c r="DJ1166" s="156"/>
      <c r="DK1166" s="156"/>
      <c r="DL1166" s="156"/>
      <c r="DM1166" s="156"/>
      <c r="DN1166" s="156"/>
      <c r="DO1166" s="156"/>
      <c r="DP1166" s="156"/>
      <c r="DQ1166" s="156"/>
      <c r="DR1166" s="156"/>
      <c r="DS1166" s="156"/>
      <c r="DT1166" s="156"/>
      <c r="DU1166" s="156"/>
      <c r="DV1166" s="156"/>
      <c r="DW1166" s="156"/>
      <c r="DX1166" s="156"/>
      <c r="DY1166" s="156"/>
      <c r="DZ1166" s="156"/>
      <c r="EA1166" s="156"/>
      <c r="EB1166" s="156"/>
      <c r="EC1166" s="156"/>
      <c r="ED1166" s="156"/>
      <c r="EE1166" s="156"/>
      <c r="EF1166" s="156"/>
      <c r="EG1166" s="156"/>
      <c r="EH1166" s="156"/>
      <c r="EI1166" s="156"/>
      <c r="EJ1166" s="156"/>
      <c r="EK1166" s="156"/>
      <c r="EL1166" s="156"/>
      <c r="EM1166" s="156"/>
    </row>
    <row r="1167" spans="20:143" ht="10.5" customHeight="1">
      <c r="T1167" s="156"/>
      <c r="AZ1167" s="156"/>
      <c r="BA1167" s="156"/>
      <c r="BB1167" s="156"/>
      <c r="BC1167" s="156"/>
      <c r="BD1167" s="156"/>
      <c r="BE1167" s="156"/>
      <c r="BF1167" s="156"/>
      <c r="BG1167" s="156"/>
      <c r="BH1167" s="156"/>
      <c r="BI1167" s="156"/>
      <c r="BJ1167" s="156"/>
      <c r="BK1167" s="156"/>
      <c r="BL1167" s="156"/>
      <c r="BM1167" s="156"/>
      <c r="BN1167" s="156"/>
      <c r="BO1167" s="156"/>
      <c r="BP1167" s="156"/>
      <c r="BQ1167" s="156"/>
      <c r="BR1167" s="156"/>
      <c r="BS1167" s="156"/>
      <c r="BT1167" s="156"/>
      <c r="BU1167" s="156"/>
      <c r="BV1167" s="156"/>
      <c r="BW1167" s="156"/>
      <c r="BX1167" s="156"/>
      <c r="BY1167" s="156"/>
      <c r="BZ1167" s="156"/>
      <c r="CA1167" s="156"/>
      <c r="CB1167" s="156"/>
      <c r="CC1167" s="156"/>
      <c r="CD1167" s="156"/>
      <c r="CE1167" s="156"/>
      <c r="CF1167" s="156"/>
      <c r="CG1167" s="156"/>
      <c r="CH1167" s="156"/>
      <c r="CI1167" s="156"/>
      <c r="CJ1167" s="156"/>
      <c r="CK1167" s="156"/>
      <c r="CL1167" s="156"/>
      <c r="CM1167" s="156"/>
      <c r="CN1167" s="156"/>
      <c r="CO1167" s="156"/>
      <c r="CP1167" s="156"/>
      <c r="CQ1167" s="156"/>
      <c r="CR1167" s="156"/>
      <c r="CS1167" s="156"/>
      <c r="CT1167" s="156"/>
      <c r="CU1167" s="156"/>
      <c r="CV1167" s="156"/>
      <c r="CW1167" s="156"/>
      <c r="CX1167" s="156"/>
      <c r="CY1167" s="156"/>
      <c r="CZ1167" s="156"/>
      <c r="DA1167" s="156"/>
      <c r="DB1167" s="156"/>
      <c r="DC1167" s="156"/>
      <c r="DD1167" s="156"/>
      <c r="DE1167" s="156"/>
      <c r="DF1167" s="156"/>
      <c r="DG1167" s="156"/>
      <c r="DH1167" s="156"/>
      <c r="DI1167" s="156"/>
      <c r="DJ1167" s="156"/>
      <c r="DK1167" s="156"/>
      <c r="DL1167" s="156"/>
      <c r="DM1167" s="156"/>
      <c r="DN1167" s="156"/>
      <c r="DO1167" s="156"/>
      <c r="DP1167" s="156"/>
      <c r="DQ1167" s="156"/>
      <c r="DR1167" s="156"/>
      <c r="DS1167" s="156"/>
      <c r="DT1167" s="156"/>
      <c r="DU1167" s="156"/>
      <c r="DV1167" s="156"/>
      <c r="DW1167" s="156"/>
      <c r="DX1167" s="156"/>
      <c r="DY1167" s="156"/>
      <c r="DZ1167" s="156"/>
      <c r="EA1167" s="156"/>
      <c r="EB1167" s="156"/>
      <c r="EC1167" s="156"/>
      <c r="ED1167" s="156"/>
      <c r="EE1167" s="156"/>
      <c r="EF1167" s="156"/>
      <c r="EG1167" s="156"/>
      <c r="EH1167" s="156"/>
      <c r="EI1167" s="156"/>
      <c r="EJ1167" s="156"/>
      <c r="EK1167" s="156"/>
      <c r="EL1167" s="156"/>
      <c r="EM1167" s="156"/>
    </row>
    <row r="1168" spans="20:143" ht="10.5" customHeight="1">
      <c r="T1168" s="156"/>
      <c r="AZ1168" s="156"/>
      <c r="BA1168" s="156"/>
      <c r="BB1168" s="156"/>
      <c r="BC1168" s="156"/>
      <c r="BD1168" s="156"/>
      <c r="BE1168" s="156"/>
      <c r="BF1168" s="156"/>
      <c r="BG1168" s="156"/>
      <c r="BH1168" s="156"/>
      <c r="BI1168" s="156"/>
      <c r="BJ1168" s="156"/>
      <c r="BK1168" s="156"/>
      <c r="BL1168" s="156"/>
      <c r="BM1168" s="156"/>
      <c r="BN1168" s="156"/>
      <c r="BO1168" s="156"/>
      <c r="BP1168" s="156"/>
      <c r="BQ1168" s="156"/>
      <c r="BR1168" s="156"/>
      <c r="BS1168" s="156"/>
      <c r="BT1168" s="156"/>
      <c r="BU1168" s="156"/>
      <c r="BV1168" s="156"/>
      <c r="BW1168" s="156"/>
      <c r="BX1168" s="156"/>
      <c r="BY1168" s="156"/>
      <c r="BZ1168" s="156"/>
      <c r="CA1168" s="156"/>
      <c r="CB1168" s="156"/>
      <c r="CC1168" s="156"/>
      <c r="CD1168" s="156"/>
      <c r="CE1168" s="156"/>
      <c r="CF1168" s="156"/>
      <c r="CG1168" s="156"/>
      <c r="CH1168" s="156"/>
      <c r="CI1168" s="156"/>
      <c r="CJ1168" s="156"/>
      <c r="CK1168" s="156"/>
      <c r="CL1168" s="156"/>
      <c r="CM1168" s="156"/>
      <c r="CN1168" s="156"/>
      <c r="CO1168" s="156"/>
      <c r="CP1168" s="156"/>
      <c r="CQ1168" s="156"/>
      <c r="CR1168" s="156"/>
      <c r="CS1168" s="156"/>
      <c r="CT1168" s="156"/>
      <c r="CU1168" s="156"/>
      <c r="CV1168" s="156"/>
      <c r="CW1168" s="156"/>
      <c r="CX1168" s="156"/>
      <c r="CY1168" s="156"/>
      <c r="CZ1168" s="156"/>
      <c r="DA1168" s="156"/>
      <c r="DB1168" s="156"/>
      <c r="DC1168" s="156"/>
      <c r="DD1168" s="156"/>
      <c r="DE1168" s="156"/>
      <c r="DF1168" s="156"/>
      <c r="DG1168" s="156"/>
      <c r="DH1168" s="156"/>
      <c r="DI1168" s="156"/>
      <c r="DJ1168" s="156"/>
      <c r="DK1168" s="156"/>
      <c r="DL1168" s="156"/>
      <c r="DM1168" s="156"/>
      <c r="DN1168" s="156"/>
      <c r="DO1168" s="156"/>
      <c r="DP1168" s="156"/>
      <c r="DQ1168" s="156"/>
      <c r="DR1168" s="156"/>
      <c r="DS1168" s="156"/>
      <c r="DT1168" s="156"/>
      <c r="DU1168" s="156"/>
      <c r="DV1168" s="156"/>
      <c r="DW1168" s="156"/>
      <c r="DX1168" s="156"/>
      <c r="DY1168" s="156"/>
      <c r="DZ1168" s="156"/>
      <c r="EA1168" s="156"/>
      <c r="EB1168" s="156"/>
      <c r="EC1168" s="156"/>
      <c r="ED1168" s="156"/>
      <c r="EE1168" s="156"/>
      <c r="EF1168" s="156"/>
      <c r="EG1168" s="156"/>
      <c r="EH1168" s="156"/>
      <c r="EI1168" s="156"/>
      <c r="EJ1168" s="156"/>
      <c r="EK1168" s="156"/>
      <c r="EL1168" s="156"/>
      <c r="EM1168" s="156"/>
    </row>
    <row r="1169" spans="20:143" ht="10.5" customHeight="1">
      <c r="T1169" s="156"/>
      <c r="AZ1169" s="156"/>
      <c r="BA1169" s="156"/>
      <c r="BB1169" s="156"/>
      <c r="BC1169" s="156"/>
      <c r="BD1169" s="156"/>
      <c r="BE1169" s="156"/>
      <c r="BF1169" s="156"/>
      <c r="BG1169" s="156"/>
      <c r="BH1169" s="156"/>
      <c r="BI1169" s="156"/>
      <c r="BJ1169" s="156"/>
      <c r="BK1169" s="156"/>
      <c r="BL1169" s="156"/>
      <c r="BM1169" s="156"/>
      <c r="BN1169" s="156"/>
      <c r="BO1169" s="156"/>
      <c r="BP1169" s="156"/>
      <c r="BQ1169" s="156"/>
      <c r="BR1169" s="156"/>
      <c r="BS1169" s="156"/>
      <c r="BT1169" s="156"/>
      <c r="BU1169" s="156"/>
      <c r="BV1169" s="156"/>
      <c r="BW1169" s="156"/>
      <c r="BX1169" s="156"/>
      <c r="BY1169" s="156"/>
      <c r="BZ1169" s="156"/>
      <c r="CA1169" s="156"/>
      <c r="CB1169" s="156"/>
      <c r="CC1169" s="156"/>
      <c r="CD1169" s="156"/>
      <c r="CE1169" s="156"/>
      <c r="CF1169" s="156"/>
      <c r="CG1169" s="156"/>
      <c r="CH1169" s="156"/>
      <c r="CI1169" s="156"/>
      <c r="CJ1169" s="156"/>
      <c r="CK1169" s="156"/>
      <c r="CL1169" s="156"/>
      <c r="CM1169" s="156"/>
      <c r="CN1169" s="156"/>
      <c r="CO1169" s="156"/>
      <c r="CP1169" s="156"/>
      <c r="CQ1169" s="156"/>
      <c r="CR1169" s="156"/>
      <c r="CS1169" s="156"/>
      <c r="CT1169" s="156"/>
      <c r="CU1169" s="156"/>
      <c r="CV1169" s="156"/>
      <c r="CW1169" s="156"/>
      <c r="CX1169" s="156"/>
      <c r="CY1169" s="156"/>
      <c r="CZ1169" s="156"/>
      <c r="DA1169" s="156"/>
      <c r="DB1169" s="156"/>
      <c r="DC1169" s="156"/>
      <c r="DD1169" s="156"/>
      <c r="DE1169" s="156"/>
      <c r="DF1169" s="156"/>
      <c r="DG1169" s="156"/>
      <c r="DH1169" s="156"/>
      <c r="DI1169" s="156"/>
      <c r="DJ1169" s="156"/>
      <c r="DK1169" s="156"/>
      <c r="DL1169" s="156"/>
      <c r="DM1169" s="156"/>
      <c r="DN1169" s="156"/>
      <c r="DO1169" s="156"/>
      <c r="DP1169" s="156"/>
      <c r="DQ1169" s="156"/>
      <c r="DR1169" s="156"/>
      <c r="DS1169" s="156"/>
      <c r="DT1169" s="156"/>
      <c r="DU1169" s="156"/>
      <c r="DV1169" s="156"/>
      <c r="DW1169" s="156"/>
      <c r="DX1169" s="156"/>
      <c r="DY1169" s="156"/>
      <c r="DZ1169" s="156"/>
      <c r="EA1169" s="156"/>
      <c r="EB1169" s="156"/>
      <c r="EC1169" s="156"/>
      <c r="ED1169" s="156"/>
      <c r="EE1169" s="156"/>
      <c r="EF1169" s="156"/>
      <c r="EG1169" s="156"/>
      <c r="EH1169" s="156"/>
      <c r="EI1169" s="156"/>
      <c r="EJ1169" s="156"/>
      <c r="EK1169" s="156"/>
      <c r="EL1169" s="156"/>
      <c r="EM1169" s="156"/>
    </row>
    <row r="1170" spans="20:143" ht="10.5" customHeight="1">
      <c r="T1170" s="156"/>
      <c r="AZ1170" s="156"/>
      <c r="BA1170" s="156"/>
      <c r="BB1170" s="156"/>
      <c r="BC1170" s="156"/>
      <c r="BD1170" s="156"/>
      <c r="BE1170" s="156"/>
      <c r="BF1170" s="156"/>
      <c r="BG1170" s="156"/>
      <c r="BH1170" s="156"/>
      <c r="BI1170" s="156"/>
      <c r="BJ1170" s="156"/>
      <c r="BK1170" s="156"/>
      <c r="BL1170" s="156"/>
      <c r="BM1170" s="156"/>
      <c r="BN1170" s="156"/>
      <c r="BO1170" s="156"/>
      <c r="BP1170" s="156"/>
      <c r="BQ1170" s="156"/>
      <c r="BR1170" s="156"/>
      <c r="BS1170" s="156"/>
      <c r="BT1170" s="156"/>
      <c r="BU1170" s="156"/>
      <c r="BV1170" s="156"/>
      <c r="BW1170" s="156"/>
      <c r="BX1170" s="156"/>
      <c r="BY1170" s="156"/>
      <c r="BZ1170" s="156"/>
      <c r="CA1170" s="156"/>
      <c r="CB1170" s="156"/>
      <c r="CC1170" s="156"/>
      <c r="CD1170" s="156"/>
      <c r="CE1170" s="156"/>
      <c r="CF1170" s="156"/>
      <c r="CG1170" s="156"/>
      <c r="CH1170" s="156"/>
      <c r="CI1170" s="156"/>
      <c r="CJ1170" s="156"/>
      <c r="CK1170" s="156"/>
      <c r="CL1170" s="156"/>
      <c r="CM1170" s="156"/>
      <c r="CN1170" s="156"/>
      <c r="CO1170" s="156"/>
      <c r="CP1170" s="156"/>
      <c r="CQ1170" s="156"/>
      <c r="CR1170" s="156"/>
      <c r="CS1170" s="156"/>
      <c r="CT1170" s="156"/>
      <c r="CU1170" s="156"/>
      <c r="CV1170" s="156"/>
      <c r="CW1170" s="156"/>
      <c r="CX1170" s="156"/>
      <c r="CY1170" s="156"/>
      <c r="CZ1170" s="156"/>
      <c r="DA1170" s="156"/>
      <c r="DB1170" s="156"/>
      <c r="DC1170" s="156"/>
      <c r="DD1170" s="156"/>
      <c r="DE1170" s="156"/>
      <c r="DF1170" s="156"/>
      <c r="DG1170" s="156"/>
      <c r="DH1170" s="156"/>
      <c r="DI1170" s="156"/>
      <c r="DJ1170" s="156"/>
      <c r="DK1170" s="156"/>
      <c r="DL1170" s="156"/>
      <c r="DM1170" s="156"/>
      <c r="DN1170" s="156"/>
      <c r="DO1170" s="156"/>
      <c r="DP1170" s="156"/>
      <c r="DQ1170" s="156"/>
      <c r="DR1170" s="156"/>
      <c r="DS1170" s="156"/>
      <c r="DT1170" s="156"/>
      <c r="DU1170" s="156"/>
      <c r="DV1170" s="156"/>
      <c r="DW1170" s="156"/>
      <c r="DX1170" s="156"/>
      <c r="DY1170" s="156"/>
      <c r="DZ1170" s="156"/>
      <c r="EA1170" s="156"/>
      <c r="EB1170" s="156"/>
      <c r="EC1170" s="156"/>
      <c r="ED1170" s="156"/>
      <c r="EE1170" s="156"/>
      <c r="EF1170" s="156"/>
      <c r="EG1170" s="156"/>
      <c r="EH1170" s="156"/>
      <c r="EI1170" s="156"/>
      <c r="EJ1170" s="156"/>
      <c r="EK1170" s="156"/>
      <c r="EL1170" s="156"/>
      <c r="EM1170" s="156"/>
    </row>
    <row r="1171" spans="20:143" ht="10.5" customHeight="1">
      <c r="T1171" s="156"/>
      <c r="AZ1171" s="156"/>
      <c r="BA1171" s="156"/>
      <c r="BB1171" s="156"/>
      <c r="BC1171" s="156"/>
      <c r="BD1171" s="156"/>
      <c r="BE1171" s="156"/>
      <c r="BF1171" s="156"/>
      <c r="BG1171" s="156"/>
      <c r="BH1171" s="156"/>
      <c r="BI1171" s="156"/>
      <c r="BJ1171" s="156"/>
      <c r="BK1171" s="156"/>
      <c r="BL1171" s="156"/>
      <c r="BM1171" s="156"/>
      <c r="BN1171" s="156"/>
      <c r="BO1171" s="156"/>
      <c r="BP1171" s="156"/>
      <c r="BQ1171" s="156"/>
      <c r="BR1171" s="156"/>
      <c r="BS1171" s="156"/>
      <c r="BT1171" s="156"/>
      <c r="BU1171" s="156"/>
      <c r="BV1171" s="156"/>
      <c r="BW1171" s="156"/>
      <c r="BX1171" s="156"/>
      <c r="BY1171" s="156"/>
      <c r="BZ1171" s="156"/>
      <c r="CA1171" s="156"/>
      <c r="CB1171" s="156"/>
      <c r="CC1171" s="156"/>
      <c r="CD1171" s="156"/>
      <c r="CE1171" s="156"/>
      <c r="CF1171" s="156"/>
      <c r="CG1171" s="156"/>
      <c r="CH1171" s="156"/>
      <c r="CI1171" s="156"/>
      <c r="CJ1171" s="156"/>
      <c r="CK1171" s="156"/>
      <c r="CL1171" s="156"/>
      <c r="CM1171" s="156"/>
      <c r="CN1171" s="156"/>
      <c r="CO1171" s="156"/>
      <c r="CP1171" s="156"/>
      <c r="CQ1171" s="156"/>
      <c r="CR1171" s="156"/>
      <c r="CS1171" s="156"/>
      <c r="CT1171" s="156"/>
      <c r="CU1171" s="156"/>
      <c r="CV1171" s="156"/>
      <c r="CW1171" s="156"/>
      <c r="CX1171" s="156"/>
      <c r="CY1171" s="156"/>
      <c r="CZ1171" s="156"/>
      <c r="DA1171" s="156"/>
      <c r="DB1171" s="156"/>
      <c r="DC1171" s="156"/>
      <c r="DD1171" s="156"/>
      <c r="DE1171" s="156"/>
      <c r="DF1171" s="156"/>
      <c r="DG1171" s="156"/>
      <c r="DH1171" s="156"/>
      <c r="DI1171" s="156"/>
      <c r="DJ1171" s="156"/>
      <c r="DK1171" s="156"/>
      <c r="DL1171" s="156"/>
      <c r="DM1171" s="156"/>
      <c r="DN1171" s="156"/>
      <c r="DO1171" s="156"/>
      <c r="DP1171" s="156"/>
      <c r="DQ1171" s="156"/>
      <c r="DR1171" s="156"/>
      <c r="DS1171" s="156"/>
      <c r="DT1171" s="156"/>
      <c r="DU1171" s="156"/>
      <c r="DV1171" s="156"/>
      <c r="DW1171" s="156"/>
      <c r="DX1171" s="156"/>
      <c r="DY1171" s="156"/>
      <c r="DZ1171" s="156"/>
      <c r="EA1171" s="156"/>
      <c r="EB1171" s="156"/>
      <c r="EC1171" s="156"/>
      <c r="ED1171" s="156"/>
      <c r="EE1171" s="156"/>
      <c r="EF1171" s="156"/>
      <c r="EG1171" s="156"/>
      <c r="EH1171" s="156"/>
      <c r="EI1171" s="156"/>
      <c r="EJ1171" s="156"/>
      <c r="EK1171" s="156"/>
      <c r="EL1171" s="156"/>
      <c r="EM1171" s="156"/>
    </row>
    <row r="1172" spans="20:143" ht="10.5" customHeight="1">
      <c r="T1172" s="156"/>
      <c r="AZ1172" s="156"/>
      <c r="BA1172" s="156"/>
      <c r="BB1172" s="156"/>
      <c r="BC1172" s="156"/>
      <c r="BD1172" s="156"/>
      <c r="BE1172" s="156"/>
      <c r="BF1172" s="156"/>
      <c r="BG1172" s="156"/>
      <c r="BH1172" s="156"/>
      <c r="BI1172" s="156"/>
      <c r="BJ1172" s="156"/>
      <c r="BK1172" s="156"/>
      <c r="BL1172" s="156"/>
      <c r="BM1172" s="156"/>
      <c r="BN1172" s="156"/>
      <c r="BO1172" s="156"/>
      <c r="BP1172" s="156"/>
      <c r="BQ1172" s="156"/>
      <c r="BR1172" s="156"/>
      <c r="BS1172" s="156"/>
      <c r="BT1172" s="156"/>
      <c r="BU1172" s="156"/>
      <c r="BV1172" s="156"/>
      <c r="BW1172" s="156"/>
      <c r="BX1172" s="156"/>
      <c r="BY1172" s="156"/>
      <c r="BZ1172" s="156"/>
      <c r="CA1172" s="156"/>
      <c r="CB1172" s="156"/>
      <c r="CC1172" s="156"/>
      <c r="CD1172" s="156"/>
      <c r="CE1172" s="156"/>
      <c r="CF1172" s="156"/>
      <c r="CG1172" s="156"/>
      <c r="CH1172" s="156"/>
      <c r="CI1172" s="156"/>
      <c r="CJ1172" s="156"/>
      <c r="CK1172" s="156"/>
      <c r="CL1172" s="156"/>
      <c r="CM1172" s="156"/>
      <c r="CN1172" s="156"/>
      <c r="CO1172" s="156"/>
      <c r="CP1172" s="156"/>
      <c r="CQ1172" s="156"/>
      <c r="CR1172" s="156"/>
      <c r="CS1172" s="156"/>
      <c r="CT1172" s="156"/>
      <c r="CU1172" s="156"/>
      <c r="CV1172" s="156"/>
      <c r="CW1172" s="156"/>
      <c r="CX1172" s="156"/>
      <c r="CY1172" s="156"/>
      <c r="CZ1172" s="156"/>
      <c r="DA1172" s="156"/>
      <c r="DB1172" s="156"/>
      <c r="DC1172" s="156"/>
      <c r="DD1172" s="156"/>
      <c r="DE1172" s="156"/>
      <c r="DF1172" s="156"/>
      <c r="DG1172" s="156"/>
      <c r="DH1172" s="156"/>
      <c r="DI1172" s="156"/>
      <c r="DJ1172" s="156"/>
      <c r="DK1172" s="156"/>
      <c r="DL1172" s="156"/>
      <c r="DM1172" s="156"/>
      <c r="DN1172" s="156"/>
      <c r="DO1172" s="156"/>
      <c r="DP1172" s="156"/>
      <c r="DQ1172" s="156"/>
      <c r="DR1172" s="156"/>
      <c r="DS1172" s="156"/>
      <c r="DT1172" s="156"/>
      <c r="DU1172" s="156"/>
      <c r="DV1172" s="156"/>
      <c r="DW1172" s="156"/>
      <c r="DX1172" s="156"/>
      <c r="DY1172" s="156"/>
      <c r="DZ1172" s="156"/>
      <c r="EA1172" s="156"/>
      <c r="EB1172" s="156"/>
      <c r="EC1172" s="156"/>
      <c r="ED1172" s="156"/>
      <c r="EE1172" s="156"/>
      <c r="EF1172" s="156"/>
      <c r="EG1172" s="156"/>
      <c r="EH1172" s="156"/>
      <c r="EI1172" s="156"/>
      <c r="EJ1172" s="156"/>
      <c r="EK1172" s="156"/>
      <c r="EL1172" s="156"/>
      <c r="EM1172" s="156"/>
    </row>
    <row r="1173" spans="20:143" ht="10.5" customHeight="1">
      <c r="T1173" s="156"/>
      <c r="AZ1173" s="156"/>
      <c r="BA1173" s="156"/>
      <c r="BB1173" s="156"/>
      <c r="BC1173" s="156"/>
      <c r="BD1173" s="156"/>
      <c r="BE1173" s="156"/>
      <c r="BF1173" s="156"/>
      <c r="BG1173" s="156"/>
      <c r="BH1173" s="156"/>
      <c r="BI1173" s="156"/>
      <c r="BJ1173" s="156"/>
      <c r="BK1173" s="156"/>
      <c r="BL1173" s="156"/>
      <c r="BM1173" s="156"/>
      <c r="BN1173" s="156"/>
      <c r="BO1173" s="156"/>
      <c r="BP1173" s="156"/>
      <c r="BQ1173" s="156"/>
      <c r="BR1173" s="156"/>
      <c r="BS1173" s="156"/>
      <c r="BT1173" s="156"/>
      <c r="BU1173" s="156"/>
      <c r="BV1173" s="156"/>
      <c r="BW1173" s="156"/>
      <c r="BX1173" s="156"/>
      <c r="BY1173" s="156"/>
      <c r="BZ1173" s="156"/>
      <c r="CA1173" s="156"/>
      <c r="CB1173" s="156"/>
      <c r="CC1173" s="156"/>
      <c r="CD1173" s="156"/>
      <c r="CE1173" s="156"/>
      <c r="CF1173" s="156"/>
      <c r="CG1173" s="156"/>
      <c r="CH1173" s="156"/>
      <c r="CI1173" s="156"/>
      <c r="CJ1173" s="156"/>
      <c r="CK1173" s="156"/>
      <c r="CL1173" s="156"/>
      <c r="CM1173" s="156"/>
      <c r="CN1173" s="156"/>
      <c r="CO1173" s="156"/>
      <c r="CP1173" s="156"/>
      <c r="CQ1173" s="156"/>
      <c r="CR1173" s="156"/>
      <c r="CS1173" s="156"/>
      <c r="CT1173" s="156"/>
      <c r="CU1173" s="156"/>
      <c r="CV1173" s="156"/>
      <c r="CW1173" s="156"/>
      <c r="CX1173" s="156"/>
      <c r="CY1173" s="156"/>
      <c r="CZ1173" s="156"/>
      <c r="DA1173" s="156"/>
      <c r="DB1173" s="156"/>
      <c r="DC1173" s="156"/>
      <c r="DD1173" s="156"/>
      <c r="DE1173" s="156"/>
      <c r="DF1173" s="156"/>
      <c r="DG1173" s="156"/>
      <c r="DH1173" s="156"/>
      <c r="DI1173" s="156"/>
      <c r="DJ1173" s="156"/>
      <c r="DK1173" s="156"/>
      <c r="DL1173" s="156"/>
      <c r="DM1173" s="156"/>
      <c r="DN1173" s="156"/>
      <c r="DO1173" s="156"/>
      <c r="DP1173" s="156"/>
      <c r="DQ1173" s="156"/>
      <c r="DR1173" s="156"/>
      <c r="DS1173" s="156"/>
      <c r="DT1173" s="156"/>
      <c r="DU1173" s="156"/>
      <c r="DV1173" s="156"/>
      <c r="DW1173" s="156"/>
      <c r="DX1173" s="156"/>
      <c r="DY1173" s="156"/>
      <c r="DZ1173" s="156"/>
      <c r="EA1173" s="156"/>
      <c r="EB1173" s="156"/>
      <c r="EC1173" s="156"/>
      <c r="ED1173" s="156"/>
      <c r="EE1173" s="156"/>
      <c r="EF1173" s="156"/>
      <c r="EG1173" s="156"/>
      <c r="EH1173" s="156"/>
      <c r="EI1173" s="156"/>
      <c r="EJ1173" s="156"/>
      <c r="EK1173" s="156"/>
      <c r="EL1173" s="156"/>
      <c r="EM1173" s="156"/>
    </row>
    <row r="1174" spans="20:143" ht="10.5" customHeight="1">
      <c r="T1174" s="156"/>
      <c r="AZ1174" s="156"/>
      <c r="BA1174" s="156"/>
      <c r="BB1174" s="156"/>
      <c r="BC1174" s="156"/>
      <c r="BD1174" s="156"/>
      <c r="BE1174" s="156"/>
      <c r="BF1174" s="156"/>
      <c r="BG1174" s="156"/>
      <c r="BH1174" s="156"/>
      <c r="BI1174" s="156"/>
      <c r="BJ1174" s="156"/>
      <c r="BK1174" s="156"/>
      <c r="BL1174" s="156"/>
      <c r="BM1174" s="156"/>
      <c r="BN1174" s="156"/>
      <c r="BO1174" s="156"/>
      <c r="BP1174" s="156"/>
      <c r="BQ1174" s="156"/>
      <c r="BR1174" s="156"/>
      <c r="BS1174" s="156"/>
      <c r="BT1174" s="156"/>
      <c r="BU1174" s="156"/>
      <c r="BV1174" s="156"/>
      <c r="BW1174" s="156"/>
      <c r="BX1174" s="156"/>
      <c r="BY1174" s="156"/>
      <c r="BZ1174" s="156"/>
      <c r="CA1174" s="156"/>
      <c r="CB1174" s="156"/>
      <c r="CC1174" s="156"/>
      <c r="CD1174" s="156"/>
      <c r="CE1174" s="156"/>
      <c r="CF1174" s="156"/>
      <c r="CG1174" s="156"/>
      <c r="CH1174" s="156"/>
      <c r="CI1174" s="156"/>
      <c r="CJ1174" s="156"/>
      <c r="CK1174" s="156"/>
      <c r="CL1174" s="156"/>
      <c r="CM1174" s="156"/>
      <c r="CN1174" s="156"/>
      <c r="CO1174" s="156"/>
      <c r="CP1174" s="156"/>
      <c r="CQ1174" s="156"/>
      <c r="CR1174" s="156"/>
      <c r="CS1174" s="156"/>
      <c r="CT1174" s="156"/>
      <c r="CU1174" s="156"/>
      <c r="CV1174" s="156"/>
      <c r="CW1174" s="156"/>
      <c r="CX1174" s="156"/>
      <c r="CY1174" s="156"/>
      <c r="CZ1174" s="156"/>
      <c r="DA1174" s="156"/>
      <c r="DB1174" s="156"/>
      <c r="DC1174" s="156"/>
      <c r="DD1174" s="156"/>
      <c r="DE1174" s="156"/>
      <c r="DF1174" s="156"/>
      <c r="DG1174" s="156"/>
      <c r="DH1174" s="156"/>
      <c r="DI1174" s="156"/>
      <c r="DJ1174" s="156"/>
      <c r="DK1174" s="156"/>
      <c r="DL1174" s="156"/>
      <c r="DM1174" s="156"/>
      <c r="DN1174" s="156"/>
      <c r="DO1174" s="156"/>
      <c r="DP1174" s="156"/>
      <c r="DQ1174" s="156"/>
      <c r="DR1174" s="156"/>
      <c r="DS1174" s="156"/>
      <c r="DT1174" s="156"/>
      <c r="DU1174" s="156"/>
      <c r="DV1174" s="156"/>
      <c r="DW1174" s="156"/>
      <c r="DX1174" s="156"/>
      <c r="DY1174" s="156"/>
      <c r="DZ1174" s="156"/>
      <c r="EA1174" s="156"/>
      <c r="EB1174" s="156"/>
      <c r="EC1174" s="156"/>
      <c r="ED1174" s="156"/>
      <c r="EE1174" s="156"/>
      <c r="EF1174" s="156"/>
      <c r="EG1174" s="156"/>
      <c r="EH1174" s="156"/>
      <c r="EI1174" s="156"/>
      <c r="EJ1174" s="156"/>
      <c r="EK1174" s="156"/>
      <c r="EL1174" s="156"/>
      <c r="EM1174" s="156"/>
    </row>
    <row r="1175" spans="20:143" ht="10.5" customHeight="1">
      <c r="T1175" s="156"/>
      <c r="AZ1175" s="156"/>
      <c r="BA1175" s="156"/>
      <c r="BB1175" s="156"/>
      <c r="BC1175" s="156"/>
      <c r="BD1175" s="156"/>
      <c r="BE1175" s="156"/>
      <c r="BF1175" s="156"/>
      <c r="BG1175" s="156"/>
      <c r="BH1175" s="156"/>
      <c r="BI1175" s="156"/>
      <c r="BJ1175" s="156"/>
      <c r="BK1175" s="156"/>
      <c r="BL1175" s="156"/>
      <c r="BM1175" s="156"/>
      <c r="BN1175" s="156"/>
      <c r="BO1175" s="156"/>
      <c r="BP1175" s="156"/>
      <c r="BQ1175" s="156"/>
      <c r="BR1175" s="156"/>
      <c r="BS1175" s="156"/>
      <c r="BT1175" s="156"/>
      <c r="BU1175" s="156"/>
      <c r="BV1175" s="156"/>
      <c r="BW1175" s="156"/>
      <c r="BX1175" s="156"/>
      <c r="BY1175" s="156"/>
      <c r="BZ1175" s="156"/>
      <c r="CA1175" s="156"/>
      <c r="CB1175" s="156"/>
      <c r="CC1175" s="156"/>
      <c r="CD1175" s="156"/>
      <c r="CE1175" s="156"/>
      <c r="CF1175" s="156"/>
      <c r="CG1175" s="156"/>
      <c r="CH1175" s="156"/>
      <c r="CI1175" s="156"/>
      <c r="CJ1175" s="156"/>
      <c r="CK1175" s="156"/>
      <c r="CL1175" s="156"/>
      <c r="CM1175" s="156"/>
      <c r="CN1175" s="156"/>
      <c r="CO1175" s="156"/>
      <c r="CP1175" s="156"/>
      <c r="CQ1175" s="156"/>
      <c r="CR1175" s="156"/>
      <c r="CS1175" s="156"/>
      <c r="CT1175" s="156"/>
      <c r="CU1175" s="156"/>
      <c r="CV1175" s="156"/>
      <c r="CW1175" s="156"/>
      <c r="CX1175" s="156"/>
      <c r="CY1175" s="156"/>
      <c r="CZ1175" s="156"/>
      <c r="DA1175" s="156"/>
      <c r="DB1175" s="156"/>
      <c r="DC1175" s="156"/>
      <c r="DD1175" s="156"/>
      <c r="DE1175" s="156"/>
      <c r="DF1175" s="156"/>
      <c r="DG1175" s="156"/>
      <c r="DH1175" s="156"/>
      <c r="DI1175" s="156"/>
      <c r="DJ1175" s="156"/>
      <c r="DK1175" s="156"/>
      <c r="DL1175" s="156"/>
      <c r="DM1175" s="156"/>
      <c r="DN1175" s="156"/>
      <c r="DO1175" s="156"/>
      <c r="DP1175" s="156"/>
      <c r="DQ1175" s="156"/>
      <c r="DR1175" s="156"/>
      <c r="DS1175" s="156"/>
      <c r="DT1175" s="156"/>
      <c r="DU1175" s="156"/>
      <c r="DV1175" s="156"/>
      <c r="DW1175" s="156"/>
      <c r="DX1175" s="156"/>
      <c r="DY1175" s="156"/>
      <c r="DZ1175" s="156"/>
      <c r="EA1175" s="156"/>
      <c r="EB1175" s="156"/>
      <c r="EC1175" s="156"/>
      <c r="ED1175" s="156"/>
      <c r="EE1175" s="156"/>
      <c r="EF1175" s="156"/>
      <c r="EG1175" s="156"/>
      <c r="EH1175" s="156"/>
      <c r="EI1175" s="156"/>
      <c r="EJ1175" s="156"/>
      <c r="EK1175" s="156"/>
      <c r="EL1175" s="156"/>
      <c r="EM1175" s="156"/>
    </row>
    <row r="1176" spans="20:143" ht="10.5" customHeight="1">
      <c r="T1176" s="156"/>
      <c r="AZ1176" s="156"/>
      <c r="BA1176" s="156"/>
      <c r="BB1176" s="156"/>
      <c r="BC1176" s="156"/>
      <c r="BD1176" s="156"/>
      <c r="BE1176" s="156"/>
      <c r="BF1176" s="156"/>
      <c r="BG1176" s="156"/>
      <c r="BH1176" s="156"/>
      <c r="BI1176" s="156"/>
      <c r="BJ1176" s="156"/>
      <c r="BK1176" s="156"/>
      <c r="BL1176" s="156"/>
      <c r="BM1176" s="156"/>
      <c r="BN1176" s="156"/>
      <c r="BO1176" s="156"/>
      <c r="BP1176" s="156"/>
      <c r="BQ1176" s="156"/>
      <c r="BR1176" s="156"/>
      <c r="BS1176" s="156"/>
      <c r="BT1176" s="156"/>
      <c r="BU1176" s="156"/>
      <c r="BV1176" s="156"/>
      <c r="BW1176" s="156"/>
      <c r="BX1176" s="156"/>
      <c r="BY1176" s="156"/>
      <c r="BZ1176" s="156"/>
      <c r="CA1176" s="156"/>
      <c r="CB1176" s="156"/>
      <c r="CC1176" s="156"/>
      <c r="CD1176" s="156"/>
      <c r="CE1176" s="156"/>
      <c r="CF1176" s="156"/>
      <c r="CG1176" s="156"/>
      <c r="CH1176" s="156"/>
      <c r="CI1176" s="156"/>
      <c r="CJ1176" s="156"/>
      <c r="CK1176" s="156"/>
      <c r="CL1176" s="156"/>
      <c r="CM1176" s="156"/>
      <c r="CN1176" s="156"/>
      <c r="CO1176" s="156"/>
      <c r="CP1176" s="156"/>
      <c r="CQ1176" s="156"/>
      <c r="CR1176" s="156"/>
      <c r="CS1176" s="156"/>
      <c r="CT1176" s="156"/>
      <c r="CU1176" s="156"/>
      <c r="CV1176" s="156"/>
      <c r="CW1176" s="156"/>
      <c r="CX1176" s="156"/>
      <c r="CY1176" s="156"/>
      <c r="CZ1176" s="156"/>
      <c r="DA1176" s="156"/>
      <c r="DB1176" s="156"/>
      <c r="DC1176" s="156"/>
      <c r="DD1176" s="156"/>
      <c r="DE1176" s="156"/>
      <c r="DF1176" s="156"/>
      <c r="DG1176" s="156"/>
      <c r="DH1176" s="156"/>
      <c r="DI1176" s="156"/>
      <c r="DJ1176" s="156"/>
      <c r="DK1176" s="156"/>
      <c r="DL1176" s="156"/>
      <c r="DM1176" s="156"/>
      <c r="DN1176" s="156"/>
      <c r="DO1176" s="156"/>
      <c r="DP1176" s="156"/>
      <c r="DQ1176" s="156"/>
      <c r="DR1176" s="156"/>
      <c r="DS1176" s="156"/>
      <c r="DT1176" s="156"/>
      <c r="DU1176" s="156"/>
      <c r="DV1176" s="156"/>
      <c r="DW1176" s="156"/>
      <c r="DX1176" s="156"/>
      <c r="DY1176" s="156"/>
      <c r="DZ1176" s="156"/>
      <c r="EA1176" s="156"/>
      <c r="EB1176" s="156"/>
      <c r="EC1176" s="156"/>
      <c r="ED1176" s="156"/>
      <c r="EE1176" s="156"/>
      <c r="EF1176" s="156"/>
      <c r="EG1176" s="156"/>
      <c r="EH1176" s="156"/>
      <c r="EI1176" s="156"/>
      <c r="EJ1176" s="156"/>
      <c r="EK1176" s="156"/>
      <c r="EL1176" s="156"/>
      <c r="EM1176" s="156"/>
    </row>
    <row r="1177" spans="20:143" ht="10.5" customHeight="1">
      <c r="T1177" s="156"/>
      <c r="AZ1177" s="156"/>
      <c r="BA1177" s="156"/>
      <c r="BB1177" s="156"/>
      <c r="BC1177" s="156"/>
      <c r="BD1177" s="156"/>
      <c r="BE1177" s="156"/>
      <c r="BF1177" s="156"/>
      <c r="BG1177" s="156"/>
      <c r="BH1177" s="156"/>
      <c r="BI1177" s="156"/>
      <c r="BJ1177" s="156"/>
      <c r="BK1177" s="156"/>
      <c r="BL1177" s="156"/>
      <c r="BM1177" s="156"/>
      <c r="BN1177" s="156"/>
      <c r="BO1177" s="156"/>
      <c r="BP1177" s="156"/>
      <c r="BQ1177" s="156"/>
      <c r="BR1177" s="156"/>
      <c r="BS1177" s="156"/>
      <c r="BT1177" s="156"/>
      <c r="BU1177" s="156"/>
      <c r="BV1177" s="156"/>
      <c r="BW1177" s="156"/>
      <c r="BX1177" s="156"/>
      <c r="BY1177" s="156"/>
      <c r="BZ1177" s="156"/>
      <c r="CA1177" s="156"/>
      <c r="CB1177" s="156"/>
      <c r="CC1177" s="156"/>
      <c r="CD1177" s="156"/>
      <c r="CE1177" s="156"/>
      <c r="CF1177" s="156"/>
      <c r="CG1177" s="156"/>
      <c r="CH1177" s="156"/>
      <c r="CI1177" s="156"/>
      <c r="CJ1177" s="156"/>
      <c r="CK1177" s="156"/>
      <c r="CL1177" s="156"/>
      <c r="CM1177" s="156"/>
      <c r="CN1177" s="156"/>
      <c r="CO1177" s="156"/>
      <c r="CP1177" s="156"/>
      <c r="CQ1177" s="156"/>
      <c r="CR1177" s="156"/>
      <c r="CS1177" s="156"/>
      <c r="CT1177" s="156"/>
      <c r="CU1177" s="156"/>
      <c r="CV1177" s="156"/>
      <c r="CW1177" s="156"/>
      <c r="CX1177" s="156"/>
      <c r="CY1177" s="156"/>
      <c r="CZ1177" s="156"/>
      <c r="DA1177" s="156"/>
      <c r="DB1177" s="156"/>
      <c r="DC1177" s="156"/>
      <c r="DD1177" s="156"/>
      <c r="DE1177" s="156"/>
      <c r="DF1177" s="156"/>
      <c r="DG1177" s="156"/>
      <c r="DH1177" s="156"/>
      <c r="DI1177" s="156"/>
      <c r="DJ1177" s="156"/>
      <c r="DK1177" s="156"/>
      <c r="DL1177" s="156"/>
      <c r="DM1177" s="156"/>
      <c r="DN1177" s="156"/>
      <c r="DO1177" s="156"/>
      <c r="DP1177" s="156"/>
      <c r="DQ1177" s="156"/>
      <c r="DR1177" s="156"/>
      <c r="DS1177" s="156"/>
      <c r="DT1177" s="156"/>
      <c r="DU1177" s="156"/>
      <c r="DV1177" s="156"/>
      <c r="DW1177" s="156"/>
      <c r="DX1177" s="156"/>
      <c r="DY1177" s="156"/>
      <c r="DZ1177" s="156"/>
      <c r="EA1177" s="156"/>
      <c r="EB1177" s="156"/>
      <c r="EC1177" s="156"/>
      <c r="ED1177" s="156"/>
      <c r="EE1177" s="156"/>
      <c r="EF1177" s="156"/>
      <c r="EG1177" s="156"/>
      <c r="EH1177" s="156"/>
      <c r="EI1177" s="156"/>
      <c r="EJ1177" s="156"/>
      <c r="EK1177" s="156"/>
      <c r="EL1177" s="156"/>
      <c r="EM1177" s="156"/>
    </row>
    <row r="1178" spans="20:143" ht="10.5" customHeight="1">
      <c r="T1178" s="156"/>
      <c r="AZ1178" s="156"/>
      <c r="BA1178" s="156"/>
      <c r="BB1178" s="156"/>
      <c r="BC1178" s="156"/>
      <c r="BD1178" s="156"/>
      <c r="BE1178" s="156"/>
      <c r="BF1178" s="156"/>
      <c r="BG1178" s="156"/>
      <c r="BH1178" s="156"/>
      <c r="BI1178" s="156"/>
      <c r="BJ1178" s="156"/>
      <c r="BK1178" s="156"/>
      <c r="BL1178" s="156"/>
      <c r="BM1178" s="156"/>
      <c r="BN1178" s="156"/>
      <c r="BO1178" s="156"/>
      <c r="BP1178" s="156"/>
      <c r="BQ1178" s="156"/>
      <c r="BR1178" s="156"/>
      <c r="BS1178" s="156"/>
      <c r="BT1178" s="156"/>
      <c r="BU1178" s="156"/>
      <c r="BV1178" s="156"/>
      <c r="BW1178" s="156"/>
      <c r="BX1178" s="156"/>
      <c r="BY1178" s="156"/>
      <c r="BZ1178" s="156"/>
      <c r="CA1178" s="156"/>
      <c r="CB1178" s="156"/>
      <c r="CC1178" s="156"/>
      <c r="CD1178" s="156"/>
      <c r="CE1178" s="156"/>
      <c r="CF1178" s="156"/>
      <c r="CG1178" s="156"/>
      <c r="CH1178" s="156"/>
      <c r="CI1178" s="156"/>
      <c r="CJ1178" s="156"/>
      <c r="CK1178" s="156"/>
      <c r="CL1178" s="156"/>
      <c r="CM1178" s="156"/>
      <c r="CN1178" s="156"/>
      <c r="CO1178" s="156"/>
      <c r="CP1178" s="156"/>
      <c r="CQ1178" s="156"/>
      <c r="CR1178" s="156"/>
      <c r="CS1178" s="156"/>
      <c r="CT1178" s="156"/>
      <c r="CU1178" s="156"/>
      <c r="CV1178" s="156"/>
      <c r="CW1178" s="156"/>
      <c r="CX1178" s="156"/>
      <c r="CY1178" s="156"/>
      <c r="CZ1178" s="156"/>
      <c r="DA1178" s="156"/>
      <c r="DB1178" s="156"/>
      <c r="DC1178" s="156"/>
      <c r="DD1178" s="156"/>
      <c r="DE1178" s="156"/>
      <c r="DF1178" s="156"/>
      <c r="DG1178" s="156"/>
      <c r="DH1178" s="156"/>
      <c r="DI1178" s="156"/>
      <c r="DJ1178" s="156"/>
      <c r="DK1178" s="156"/>
      <c r="DL1178" s="156"/>
      <c r="DM1178" s="156"/>
      <c r="DN1178" s="156"/>
      <c r="DO1178" s="156"/>
      <c r="DP1178" s="156"/>
      <c r="DQ1178" s="156"/>
      <c r="DR1178" s="156"/>
      <c r="DS1178" s="156"/>
      <c r="DT1178" s="156"/>
      <c r="DU1178" s="156"/>
      <c r="DV1178" s="156"/>
      <c r="DW1178" s="156"/>
      <c r="DX1178" s="156"/>
      <c r="DY1178" s="156"/>
      <c r="DZ1178" s="156"/>
      <c r="EA1178" s="156"/>
      <c r="EB1178" s="156"/>
      <c r="EC1178" s="156"/>
      <c r="ED1178" s="156"/>
      <c r="EE1178" s="156"/>
      <c r="EF1178" s="156"/>
      <c r="EG1178" s="156"/>
      <c r="EH1178" s="156"/>
      <c r="EI1178" s="156"/>
      <c r="EJ1178" s="156"/>
      <c r="EK1178" s="156"/>
      <c r="EL1178" s="156"/>
      <c r="EM1178" s="156"/>
    </row>
    <row r="1179" spans="20:143" ht="10.5" customHeight="1">
      <c r="T1179" s="156"/>
      <c r="AZ1179" s="156"/>
      <c r="BA1179" s="156"/>
      <c r="BB1179" s="156"/>
      <c r="BC1179" s="156"/>
      <c r="BD1179" s="156"/>
      <c r="BE1179" s="156"/>
      <c r="BF1179" s="156"/>
      <c r="BG1179" s="156"/>
      <c r="BH1179" s="156"/>
      <c r="BI1179" s="156"/>
      <c r="BJ1179" s="156"/>
      <c r="BK1179" s="156"/>
      <c r="BL1179" s="156"/>
      <c r="BM1179" s="156"/>
      <c r="BN1179" s="156"/>
      <c r="BO1179" s="156"/>
      <c r="BP1179" s="156"/>
      <c r="BQ1179" s="156"/>
      <c r="BR1179" s="156"/>
      <c r="BS1179" s="156"/>
      <c r="BT1179" s="156"/>
      <c r="BU1179" s="156"/>
      <c r="BV1179" s="156"/>
      <c r="BW1179" s="156"/>
      <c r="BX1179" s="156"/>
      <c r="BY1179" s="156"/>
      <c r="BZ1179" s="156"/>
      <c r="CA1179" s="156"/>
      <c r="CB1179" s="156"/>
      <c r="CC1179" s="156"/>
      <c r="CD1179" s="156"/>
      <c r="CE1179" s="156"/>
      <c r="CF1179" s="156"/>
      <c r="CG1179" s="156"/>
      <c r="CH1179" s="156"/>
      <c r="CI1179" s="156"/>
      <c r="CJ1179" s="156"/>
      <c r="CK1179" s="156"/>
      <c r="CL1179" s="156"/>
      <c r="CM1179" s="156"/>
      <c r="CN1179" s="156"/>
      <c r="CO1179" s="156"/>
      <c r="CP1179" s="156"/>
      <c r="CQ1179" s="156"/>
      <c r="CR1179" s="156"/>
      <c r="CS1179" s="156"/>
      <c r="CT1179" s="156"/>
      <c r="CU1179" s="156"/>
      <c r="CV1179" s="156"/>
      <c r="CW1179" s="156"/>
      <c r="CX1179" s="156"/>
      <c r="CY1179" s="156"/>
      <c r="CZ1179" s="156"/>
      <c r="DA1179" s="156"/>
      <c r="DB1179" s="156"/>
      <c r="DC1179" s="156"/>
      <c r="DD1179" s="156"/>
      <c r="DE1179" s="156"/>
      <c r="DF1179" s="156"/>
      <c r="DG1179" s="156"/>
      <c r="DH1179" s="156"/>
      <c r="DI1179" s="156"/>
      <c r="DJ1179" s="156"/>
      <c r="DK1179" s="156"/>
      <c r="DL1179" s="156"/>
      <c r="DM1179" s="156"/>
      <c r="DN1179" s="156"/>
      <c r="DO1179" s="156"/>
      <c r="DP1179" s="156"/>
      <c r="DQ1179" s="156"/>
      <c r="DR1179" s="156"/>
      <c r="DS1179" s="156"/>
      <c r="DT1179" s="156"/>
      <c r="DU1179" s="156"/>
      <c r="DV1179" s="156"/>
      <c r="DW1179" s="156"/>
      <c r="DX1179" s="156"/>
      <c r="DY1179" s="156"/>
      <c r="DZ1179" s="156"/>
      <c r="EA1179" s="156"/>
      <c r="EB1179" s="156"/>
      <c r="EC1179" s="156"/>
      <c r="ED1179" s="156"/>
      <c r="EE1179" s="156"/>
      <c r="EF1179" s="156"/>
      <c r="EG1179" s="156"/>
      <c r="EH1179" s="156"/>
      <c r="EI1179" s="156"/>
      <c r="EJ1179" s="156"/>
      <c r="EK1179" s="156"/>
      <c r="EL1179" s="156"/>
      <c r="EM1179" s="156"/>
    </row>
    <row r="1180" spans="20:143" ht="10.5" customHeight="1">
      <c r="T1180" s="156"/>
      <c r="AZ1180" s="156"/>
      <c r="BA1180" s="156"/>
      <c r="BB1180" s="156"/>
      <c r="BC1180" s="156"/>
      <c r="BD1180" s="156"/>
      <c r="BE1180" s="156"/>
      <c r="BF1180" s="156"/>
      <c r="BG1180" s="156"/>
      <c r="BH1180" s="156"/>
      <c r="BI1180" s="156"/>
      <c r="BJ1180" s="156"/>
      <c r="BK1180" s="156"/>
      <c r="BL1180" s="156"/>
      <c r="BM1180" s="156"/>
      <c r="BN1180" s="156"/>
      <c r="BO1180" s="156"/>
      <c r="BP1180" s="156"/>
      <c r="BQ1180" s="156"/>
      <c r="BR1180" s="156"/>
      <c r="BS1180" s="156"/>
      <c r="BT1180" s="156"/>
      <c r="BU1180" s="156"/>
      <c r="BV1180" s="156"/>
      <c r="BW1180" s="156"/>
      <c r="BX1180" s="156"/>
      <c r="BY1180" s="156"/>
      <c r="BZ1180" s="156"/>
      <c r="CA1180" s="156"/>
      <c r="CB1180" s="156"/>
      <c r="CC1180" s="156"/>
      <c r="CD1180" s="156"/>
      <c r="CE1180" s="156"/>
      <c r="CF1180" s="156"/>
      <c r="CG1180" s="156"/>
      <c r="CH1180" s="156"/>
      <c r="CI1180" s="156"/>
      <c r="CJ1180" s="156"/>
      <c r="CK1180" s="156"/>
      <c r="CL1180" s="156"/>
      <c r="CM1180" s="156"/>
      <c r="CN1180" s="156"/>
      <c r="CO1180" s="156"/>
      <c r="CP1180" s="156"/>
      <c r="CQ1180" s="156"/>
      <c r="CR1180" s="156"/>
      <c r="CS1180" s="156"/>
      <c r="CT1180" s="156"/>
      <c r="CU1180" s="156"/>
      <c r="CV1180" s="156"/>
      <c r="CW1180" s="156"/>
      <c r="CX1180" s="156"/>
      <c r="CY1180" s="156"/>
      <c r="CZ1180" s="156"/>
      <c r="DA1180" s="156"/>
      <c r="DB1180" s="156"/>
      <c r="DC1180" s="156"/>
      <c r="DD1180" s="156"/>
      <c r="DE1180" s="156"/>
      <c r="DF1180" s="156"/>
      <c r="DG1180" s="156"/>
      <c r="DH1180" s="156"/>
      <c r="DI1180" s="156"/>
      <c r="DJ1180" s="156"/>
      <c r="DK1180" s="156"/>
      <c r="DL1180" s="156"/>
      <c r="DM1180" s="156"/>
      <c r="DN1180" s="156"/>
      <c r="DO1180" s="156"/>
      <c r="DP1180" s="156"/>
      <c r="DQ1180" s="156"/>
      <c r="DR1180" s="156"/>
      <c r="DS1180" s="156"/>
      <c r="DT1180" s="156"/>
      <c r="DU1180" s="156"/>
      <c r="DV1180" s="156"/>
      <c r="DW1180" s="156"/>
      <c r="DX1180" s="156"/>
      <c r="DY1180" s="156"/>
      <c r="DZ1180" s="156"/>
      <c r="EA1180" s="156"/>
      <c r="EB1180" s="156"/>
      <c r="EC1180" s="156"/>
      <c r="ED1180" s="156"/>
      <c r="EE1180" s="156"/>
      <c r="EF1180" s="156"/>
      <c r="EG1180" s="156"/>
      <c r="EH1180" s="156"/>
      <c r="EI1180" s="156"/>
      <c r="EJ1180" s="156"/>
      <c r="EK1180" s="156"/>
      <c r="EL1180" s="156"/>
      <c r="EM1180" s="156"/>
    </row>
    <row r="1181" spans="20:143" ht="10.5" customHeight="1">
      <c r="T1181" s="156"/>
      <c r="AZ1181" s="156"/>
      <c r="BA1181" s="156"/>
      <c r="BB1181" s="156"/>
      <c r="BC1181" s="156"/>
      <c r="BD1181" s="156"/>
      <c r="BE1181" s="156"/>
      <c r="BF1181" s="156"/>
      <c r="BG1181" s="156"/>
      <c r="BH1181" s="156"/>
      <c r="BI1181" s="156"/>
      <c r="BJ1181" s="156"/>
      <c r="BK1181" s="156"/>
      <c r="BL1181" s="156"/>
      <c r="BM1181" s="156"/>
      <c r="BN1181" s="156"/>
      <c r="BO1181" s="156"/>
      <c r="BP1181" s="156"/>
      <c r="BQ1181" s="156"/>
      <c r="BR1181" s="156"/>
      <c r="BS1181" s="156"/>
      <c r="BT1181" s="156"/>
      <c r="BU1181" s="156"/>
      <c r="BV1181" s="156"/>
      <c r="BW1181" s="156"/>
      <c r="BX1181" s="156"/>
      <c r="BY1181" s="156"/>
      <c r="BZ1181" s="156"/>
      <c r="CA1181" s="156"/>
      <c r="CB1181" s="156"/>
      <c r="CC1181" s="156"/>
      <c r="CD1181" s="156"/>
      <c r="CE1181" s="156"/>
      <c r="CF1181" s="156"/>
      <c r="CG1181" s="156"/>
      <c r="CH1181" s="156"/>
      <c r="CI1181" s="156"/>
      <c r="CJ1181" s="156"/>
      <c r="CK1181" s="156"/>
      <c r="CL1181" s="156"/>
      <c r="CM1181" s="156"/>
      <c r="CN1181" s="156"/>
      <c r="CO1181" s="156"/>
      <c r="CP1181" s="156"/>
      <c r="CQ1181" s="156"/>
      <c r="CR1181" s="156"/>
      <c r="CS1181" s="156"/>
      <c r="CT1181" s="156"/>
      <c r="CU1181" s="156"/>
      <c r="CV1181" s="156"/>
      <c r="CW1181" s="156"/>
      <c r="CX1181" s="156"/>
      <c r="CY1181" s="156"/>
      <c r="CZ1181" s="156"/>
      <c r="DA1181" s="156"/>
      <c r="DB1181" s="156"/>
      <c r="DC1181" s="156"/>
      <c r="DD1181" s="156"/>
      <c r="DE1181" s="156"/>
      <c r="DF1181" s="156"/>
      <c r="DG1181" s="156"/>
      <c r="DH1181" s="156"/>
      <c r="DI1181" s="156"/>
      <c r="DJ1181" s="156"/>
      <c r="DK1181" s="156"/>
      <c r="DL1181" s="156"/>
      <c r="DM1181" s="156"/>
      <c r="DN1181" s="156"/>
      <c r="DO1181" s="156"/>
      <c r="DP1181" s="156"/>
      <c r="DQ1181" s="156"/>
      <c r="DR1181" s="156"/>
      <c r="DS1181" s="156"/>
      <c r="DT1181" s="156"/>
      <c r="DU1181" s="156"/>
      <c r="DV1181" s="156"/>
      <c r="DW1181" s="156"/>
      <c r="DX1181" s="156"/>
      <c r="DY1181" s="156"/>
      <c r="DZ1181" s="156"/>
      <c r="EA1181" s="156"/>
      <c r="EB1181" s="156"/>
      <c r="EC1181" s="156"/>
      <c r="ED1181" s="156"/>
      <c r="EE1181" s="156"/>
      <c r="EF1181" s="156"/>
      <c r="EG1181" s="156"/>
      <c r="EH1181" s="156"/>
      <c r="EI1181" s="156"/>
      <c r="EJ1181" s="156"/>
      <c r="EK1181" s="156"/>
      <c r="EL1181" s="156"/>
      <c r="EM1181" s="156"/>
    </row>
    <row r="1182" spans="20:143" ht="10.5" customHeight="1">
      <c r="T1182" s="156"/>
      <c r="AZ1182" s="156"/>
      <c r="BA1182" s="156"/>
      <c r="BB1182" s="156"/>
      <c r="BC1182" s="156"/>
      <c r="BD1182" s="156"/>
      <c r="BE1182" s="156"/>
      <c r="BF1182" s="156"/>
      <c r="BG1182" s="156"/>
      <c r="BH1182" s="156"/>
      <c r="BI1182" s="156"/>
      <c r="BJ1182" s="156"/>
      <c r="BK1182" s="156"/>
      <c r="BL1182" s="156"/>
      <c r="BM1182" s="156"/>
      <c r="BN1182" s="156"/>
      <c r="BO1182" s="156"/>
      <c r="BP1182" s="156"/>
      <c r="BQ1182" s="156"/>
      <c r="BR1182" s="156"/>
      <c r="BS1182" s="156"/>
      <c r="BT1182" s="156"/>
      <c r="BU1182" s="156"/>
      <c r="BV1182" s="156"/>
      <c r="BW1182" s="156"/>
      <c r="BX1182" s="156"/>
      <c r="BY1182" s="156"/>
      <c r="BZ1182" s="156"/>
      <c r="CA1182" s="156"/>
      <c r="CB1182" s="156"/>
      <c r="CC1182" s="156"/>
      <c r="CD1182" s="156"/>
      <c r="CE1182" s="156"/>
      <c r="CF1182" s="156"/>
      <c r="CG1182" s="156"/>
      <c r="CH1182" s="156"/>
      <c r="CI1182" s="156"/>
      <c r="CJ1182" s="156"/>
      <c r="CK1182" s="156"/>
      <c r="CL1182" s="156"/>
      <c r="CM1182" s="156"/>
      <c r="CN1182" s="156"/>
      <c r="CO1182" s="156"/>
      <c r="CP1182" s="156"/>
      <c r="CQ1182" s="156"/>
      <c r="CR1182" s="156"/>
      <c r="CS1182" s="156"/>
      <c r="CT1182" s="156"/>
      <c r="CU1182" s="156"/>
      <c r="CV1182" s="156"/>
      <c r="CW1182" s="156"/>
      <c r="CX1182" s="156"/>
      <c r="CY1182" s="156"/>
      <c r="CZ1182" s="156"/>
      <c r="DA1182" s="156"/>
      <c r="DB1182" s="156"/>
      <c r="DC1182" s="156"/>
      <c r="DD1182" s="156"/>
      <c r="DE1182" s="156"/>
      <c r="DF1182" s="156"/>
      <c r="DG1182" s="156"/>
      <c r="DH1182" s="156"/>
      <c r="DI1182" s="156"/>
      <c r="DJ1182" s="156"/>
      <c r="DK1182" s="156"/>
      <c r="DL1182" s="156"/>
      <c r="DM1182" s="156"/>
      <c r="DN1182" s="156"/>
      <c r="DO1182" s="156"/>
      <c r="DP1182" s="156"/>
      <c r="DQ1182" s="156"/>
      <c r="DR1182" s="156"/>
      <c r="DS1182" s="156"/>
      <c r="DT1182" s="156"/>
      <c r="DU1182" s="156"/>
      <c r="DV1182" s="156"/>
      <c r="DW1182" s="156"/>
      <c r="DX1182" s="156"/>
      <c r="DY1182" s="156"/>
      <c r="DZ1182" s="156"/>
      <c r="EA1182" s="156"/>
      <c r="EB1182" s="156"/>
      <c r="EC1182" s="156"/>
      <c r="ED1182" s="156"/>
      <c r="EE1182" s="156"/>
      <c r="EF1182" s="156"/>
      <c r="EG1182" s="156"/>
      <c r="EH1182" s="156"/>
      <c r="EI1182" s="156"/>
      <c r="EJ1182" s="156"/>
      <c r="EK1182" s="156"/>
      <c r="EL1182" s="156"/>
      <c r="EM1182" s="156"/>
    </row>
    <row r="1183" spans="20:143" ht="10.5" customHeight="1">
      <c r="T1183" s="156"/>
      <c r="AZ1183" s="156"/>
      <c r="BA1183" s="156"/>
      <c r="BB1183" s="156"/>
      <c r="BC1183" s="156"/>
      <c r="BD1183" s="156"/>
      <c r="BE1183" s="156"/>
      <c r="BF1183" s="156"/>
      <c r="BG1183" s="156"/>
      <c r="BH1183" s="156"/>
      <c r="BI1183" s="156"/>
      <c r="BJ1183" s="156"/>
      <c r="BK1183" s="156"/>
      <c r="BL1183" s="156"/>
      <c r="BM1183" s="156"/>
      <c r="BN1183" s="156"/>
      <c r="BO1183" s="156"/>
      <c r="BP1183" s="156"/>
      <c r="BQ1183" s="156"/>
      <c r="BR1183" s="156"/>
      <c r="BS1183" s="156"/>
      <c r="BT1183" s="156"/>
      <c r="BU1183" s="156"/>
      <c r="BV1183" s="156"/>
      <c r="BW1183" s="156"/>
      <c r="BX1183" s="156"/>
      <c r="BY1183" s="156"/>
      <c r="BZ1183" s="156"/>
      <c r="CA1183" s="156"/>
      <c r="CB1183" s="156"/>
      <c r="CC1183" s="156"/>
      <c r="CD1183" s="156"/>
      <c r="CE1183" s="156"/>
      <c r="CF1183" s="156"/>
      <c r="CG1183" s="156"/>
      <c r="CH1183" s="156"/>
      <c r="CI1183" s="156"/>
      <c r="CJ1183" s="156"/>
      <c r="CK1183" s="156"/>
      <c r="CL1183" s="156"/>
      <c r="CM1183" s="156"/>
      <c r="CN1183" s="156"/>
      <c r="CO1183" s="156"/>
      <c r="CP1183" s="156"/>
      <c r="CQ1183" s="156"/>
      <c r="CR1183" s="156"/>
      <c r="CS1183" s="156"/>
      <c r="CT1183" s="156"/>
      <c r="CU1183" s="156"/>
      <c r="CV1183" s="156"/>
      <c r="CW1183" s="156"/>
      <c r="CX1183" s="156"/>
      <c r="CY1183" s="156"/>
      <c r="CZ1183" s="156"/>
      <c r="DA1183" s="156"/>
      <c r="DB1183" s="156"/>
      <c r="DC1183" s="156"/>
      <c r="DD1183" s="156"/>
      <c r="DE1183" s="156"/>
      <c r="DF1183" s="156"/>
      <c r="DG1183" s="156"/>
      <c r="DH1183" s="156"/>
      <c r="DI1183" s="156"/>
      <c r="DJ1183" s="156"/>
      <c r="DK1183" s="156"/>
      <c r="DL1183" s="156"/>
      <c r="DM1183" s="156"/>
      <c r="DN1183" s="156"/>
      <c r="DO1183" s="156"/>
      <c r="DP1183" s="156"/>
      <c r="DQ1183" s="156"/>
      <c r="DR1183" s="156"/>
      <c r="DS1183" s="156"/>
      <c r="DT1183" s="156"/>
      <c r="DU1183" s="156"/>
      <c r="DV1183" s="156"/>
      <c r="DW1183" s="156"/>
      <c r="DX1183" s="156"/>
      <c r="DY1183" s="156"/>
      <c r="DZ1183" s="156"/>
      <c r="EA1183" s="156"/>
      <c r="EB1183" s="156"/>
      <c r="EC1183" s="156"/>
      <c r="ED1183" s="156"/>
      <c r="EE1183" s="156"/>
      <c r="EF1183" s="156"/>
      <c r="EG1183" s="156"/>
      <c r="EH1183" s="156"/>
      <c r="EI1183" s="156"/>
      <c r="EJ1183" s="156"/>
      <c r="EK1183" s="156"/>
      <c r="EL1183" s="156"/>
      <c r="EM1183" s="156"/>
    </row>
    <row r="1184" spans="20:143" ht="10.5" customHeight="1">
      <c r="T1184" s="156"/>
      <c r="AZ1184" s="156"/>
      <c r="BA1184" s="156"/>
      <c r="BB1184" s="156"/>
      <c r="BC1184" s="156"/>
      <c r="BD1184" s="156"/>
      <c r="BE1184" s="156"/>
      <c r="BF1184" s="156"/>
      <c r="BG1184" s="156"/>
      <c r="BH1184" s="156"/>
      <c r="BI1184" s="156"/>
      <c r="BJ1184" s="156"/>
      <c r="BK1184" s="156"/>
      <c r="BL1184" s="156"/>
      <c r="BM1184" s="156"/>
      <c r="BN1184" s="156"/>
      <c r="BO1184" s="156"/>
      <c r="BP1184" s="156"/>
      <c r="BQ1184" s="156"/>
      <c r="BR1184" s="156"/>
      <c r="BS1184" s="156"/>
      <c r="BT1184" s="156"/>
      <c r="BU1184" s="156"/>
      <c r="BV1184" s="156"/>
      <c r="BW1184" s="156"/>
      <c r="BX1184" s="156"/>
      <c r="BY1184" s="156"/>
      <c r="BZ1184" s="156"/>
      <c r="CA1184" s="156"/>
      <c r="CB1184" s="156"/>
      <c r="CC1184" s="156"/>
      <c r="CD1184" s="156"/>
      <c r="CE1184" s="156"/>
      <c r="CF1184" s="156"/>
      <c r="CG1184" s="156"/>
      <c r="CH1184" s="156"/>
      <c r="CI1184" s="156"/>
      <c r="CJ1184" s="156"/>
      <c r="CK1184" s="156"/>
      <c r="CL1184" s="156"/>
      <c r="CM1184" s="156"/>
      <c r="CN1184" s="156"/>
      <c r="CO1184" s="156"/>
      <c r="CP1184" s="156"/>
      <c r="CQ1184" s="156"/>
      <c r="CR1184" s="156"/>
      <c r="CS1184" s="156"/>
      <c r="CT1184" s="156"/>
      <c r="CU1184" s="156"/>
      <c r="CV1184" s="156"/>
      <c r="CW1184" s="156"/>
      <c r="CX1184" s="156"/>
      <c r="CY1184" s="156"/>
      <c r="CZ1184" s="156"/>
      <c r="DA1184" s="156"/>
      <c r="DB1184" s="156"/>
      <c r="DC1184" s="156"/>
      <c r="DD1184" s="156"/>
      <c r="DE1184" s="156"/>
      <c r="DF1184" s="156"/>
      <c r="DG1184" s="156"/>
      <c r="DH1184" s="156"/>
      <c r="DI1184" s="156"/>
      <c r="DJ1184" s="156"/>
      <c r="DK1184" s="156"/>
      <c r="DL1184" s="156"/>
      <c r="DM1184" s="156"/>
      <c r="DN1184" s="156"/>
      <c r="DO1184" s="156"/>
      <c r="DP1184" s="156"/>
      <c r="DQ1184" s="156"/>
      <c r="DR1184" s="156"/>
      <c r="DS1184" s="156"/>
      <c r="DT1184" s="156"/>
      <c r="DU1184" s="156"/>
      <c r="DV1184" s="156"/>
      <c r="DW1184" s="156"/>
      <c r="DX1184" s="156"/>
      <c r="DY1184" s="156"/>
      <c r="DZ1184" s="156"/>
      <c r="EA1184" s="156"/>
      <c r="EB1184" s="156"/>
      <c r="EC1184" s="156"/>
      <c r="ED1184" s="156"/>
      <c r="EE1184" s="156"/>
      <c r="EF1184" s="156"/>
      <c r="EG1184" s="156"/>
      <c r="EH1184" s="156"/>
      <c r="EI1184" s="156"/>
      <c r="EJ1184" s="156"/>
      <c r="EK1184" s="156"/>
      <c r="EL1184" s="156"/>
      <c r="EM1184" s="156"/>
    </row>
    <row r="1185" spans="20:143" ht="10.5" customHeight="1">
      <c r="T1185" s="156"/>
      <c r="AZ1185" s="156"/>
      <c r="BA1185" s="156"/>
      <c r="BB1185" s="156"/>
      <c r="BC1185" s="156"/>
      <c r="BD1185" s="156"/>
      <c r="BE1185" s="156"/>
      <c r="BF1185" s="156"/>
      <c r="BG1185" s="156"/>
      <c r="BH1185" s="156"/>
      <c r="BI1185" s="156"/>
      <c r="BJ1185" s="156"/>
      <c r="BK1185" s="156"/>
      <c r="BL1185" s="156"/>
      <c r="BM1185" s="156"/>
      <c r="BN1185" s="156"/>
      <c r="BO1185" s="156"/>
      <c r="BP1185" s="156"/>
      <c r="BQ1185" s="156"/>
      <c r="BR1185" s="156"/>
      <c r="BS1185" s="156"/>
      <c r="BT1185" s="156"/>
      <c r="BU1185" s="156"/>
      <c r="BV1185" s="156"/>
      <c r="BW1185" s="156"/>
      <c r="BX1185" s="156"/>
      <c r="BY1185" s="156"/>
      <c r="BZ1185" s="156"/>
      <c r="CA1185" s="156"/>
      <c r="CB1185" s="156"/>
      <c r="CC1185" s="156"/>
      <c r="CD1185" s="156"/>
      <c r="CE1185" s="156"/>
      <c r="CF1185" s="156"/>
      <c r="CG1185" s="156"/>
      <c r="CH1185" s="156"/>
      <c r="CI1185" s="156"/>
      <c r="CJ1185" s="156"/>
      <c r="CK1185" s="156"/>
      <c r="CL1185" s="156"/>
      <c r="CM1185" s="156"/>
      <c r="CN1185" s="156"/>
      <c r="CO1185" s="156"/>
      <c r="CP1185" s="156"/>
      <c r="CQ1185" s="156"/>
      <c r="CR1185" s="156"/>
      <c r="CS1185" s="156"/>
      <c r="CT1185" s="156"/>
      <c r="CU1185" s="156"/>
      <c r="CV1185" s="156"/>
      <c r="CW1185" s="156"/>
      <c r="CX1185" s="156"/>
      <c r="CY1185" s="156"/>
      <c r="CZ1185" s="156"/>
      <c r="DA1185" s="156"/>
      <c r="DB1185" s="156"/>
      <c r="DC1185" s="156"/>
      <c r="DD1185" s="156"/>
      <c r="DE1185" s="156"/>
      <c r="DF1185" s="156"/>
      <c r="DG1185" s="156"/>
      <c r="DH1185" s="156"/>
      <c r="DI1185" s="156"/>
      <c r="DJ1185" s="156"/>
      <c r="DK1185" s="156"/>
      <c r="DL1185" s="156"/>
      <c r="DM1185" s="156"/>
      <c r="DN1185" s="156"/>
      <c r="DO1185" s="156"/>
      <c r="DP1185" s="156"/>
      <c r="DQ1185" s="156"/>
      <c r="DR1185" s="156"/>
      <c r="DS1185" s="156"/>
      <c r="DT1185" s="156"/>
      <c r="DU1185" s="156"/>
      <c r="DV1185" s="156"/>
      <c r="DW1185" s="156"/>
      <c r="DX1185" s="156"/>
      <c r="DY1185" s="156"/>
      <c r="DZ1185" s="156"/>
      <c r="EA1185" s="156"/>
      <c r="EB1185" s="156"/>
      <c r="EC1185" s="156"/>
      <c r="ED1185" s="156"/>
      <c r="EE1185" s="156"/>
      <c r="EF1185" s="156"/>
      <c r="EG1185" s="156"/>
      <c r="EH1185" s="156"/>
      <c r="EI1185" s="156"/>
      <c r="EJ1185" s="156"/>
      <c r="EK1185" s="156"/>
      <c r="EL1185" s="156"/>
      <c r="EM1185" s="156"/>
    </row>
    <row r="1186" spans="20:143" ht="10.5" customHeight="1">
      <c r="T1186" s="156"/>
      <c r="AZ1186" s="156"/>
      <c r="BA1186" s="156"/>
      <c r="BB1186" s="156"/>
      <c r="BC1186" s="156"/>
      <c r="BD1186" s="156"/>
      <c r="BE1186" s="156"/>
      <c r="BF1186" s="156"/>
      <c r="BG1186" s="156"/>
      <c r="BH1186" s="156"/>
      <c r="BI1186" s="156"/>
      <c r="BJ1186" s="156"/>
      <c r="BK1186" s="156"/>
      <c r="BL1186" s="156"/>
      <c r="BM1186" s="156"/>
      <c r="BN1186" s="156"/>
      <c r="BO1186" s="156"/>
      <c r="BP1186" s="156"/>
      <c r="BQ1186" s="156"/>
      <c r="BR1186" s="156"/>
      <c r="BS1186" s="156"/>
      <c r="BT1186" s="156"/>
      <c r="BU1186" s="156"/>
      <c r="BV1186" s="156"/>
      <c r="BW1186" s="156"/>
      <c r="BX1186" s="156"/>
      <c r="BY1186" s="156"/>
      <c r="BZ1186" s="156"/>
      <c r="CA1186" s="156"/>
      <c r="CB1186" s="156"/>
      <c r="CC1186" s="156"/>
      <c r="CD1186" s="156"/>
      <c r="CE1186" s="156"/>
      <c r="CF1186" s="156"/>
      <c r="CG1186" s="156"/>
      <c r="CH1186" s="156"/>
      <c r="CI1186" s="156"/>
      <c r="CJ1186" s="156"/>
      <c r="CK1186" s="156"/>
      <c r="CL1186" s="156"/>
      <c r="CM1186" s="156"/>
      <c r="CN1186" s="156"/>
      <c r="CO1186" s="156"/>
      <c r="CP1186" s="156"/>
      <c r="CQ1186" s="156"/>
      <c r="CR1186" s="156"/>
      <c r="CS1186" s="156"/>
      <c r="CT1186" s="156"/>
      <c r="CU1186" s="156"/>
      <c r="CV1186" s="156"/>
      <c r="CW1186" s="156"/>
      <c r="CX1186" s="156"/>
      <c r="CY1186" s="156"/>
      <c r="CZ1186" s="156"/>
      <c r="DA1186" s="156"/>
      <c r="DB1186" s="156"/>
      <c r="DC1186" s="156"/>
      <c r="DD1186" s="156"/>
      <c r="DE1186" s="156"/>
      <c r="DF1186" s="156"/>
      <c r="DG1186" s="156"/>
      <c r="DH1186" s="156"/>
      <c r="DI1186" s="156"/>
      <c r="DJ1186" s="156"/>
      <c r="DK1186" s="156"/>
      <c r="DL1186" s="156"/>
      <c r="DM1186" s="156"/>
      <c r="DN1186" s="156"/>
      <c r="DO1186" s="156"/>
      <c r="DP1186" s="156"/>
      <c r="DQ1186" s="156"/>
      <c r="DR1186" s="156"/>
      <c r="DS1186" s="156"/>
      <c r="DT1186" s="156"/>
      <c r="DU1186" s="156"/>
      <c r="DV1186" s="156"/>
      <c r="DW1186" s="156"/>
      <c r="DX1186" s="156"/>
      <c r="DY1186" s="156"/>
      <c r="DZ1186" s="156"/>
      <c r="EA1186" s="156"/>
      <c r="EB1186" s="156"/>
      <c r="EC1186" s="156"/>
      <c r="ED1186" s="156"/>
      <c r="EE1186" s="156"/>
      <c r="EF1186" s="156"/>
      <c r="EG1186" s="156"/>
      <c r="EH1186" s="156"/>
      <c r="EI1186" s="156"/>
      <c r="EJ1186" s="156"/>
      <c r="EK1186" s="156"/>
      <c r="EL1186" s="156"/>
      <c r="EM1186" s="156"/>
    </row>
    <row r="1187" spans="20:143" ht="10.5" customHeight="1">
      <c r="T1187" s="156"/>
      <c r="AZ1187" s="156"/>
      <c r="BA1187" s="156"/>
      <c r="BB1187" s="156"/>
      <c r="BC1187" s="156"/>
      <c r="BD1187" s="156"/>
      <c r="BE1187" s="156"/>
      <c r="BF1187" s="156"/>
      <c r="BG1187" s="156"/>
      <c r="BH1187" s="156"/>
      <c r="BI1187" s="156"/>
      <c r="BJ1187" s="156"/>
      <c r="BK1187" s="156"/>
      <c r="BL1187" s="156"/>
      <c r="BM1187" s="156"/>
      <c r="BN1187" s="156"/>
      <c r="BO1187" s="156"/>
      <c r="BP1187" s="156"/>
      <c r="BQ1187" s="156"/>
      <c r="BR1187" s="156"/>
      <c r="BS1187" s="156"/>
      <c r="BT1187" s="156"/>
      <c r="BU1187" s="156"/>
      <c r="BV1187" s="156"/>
      <c r="BW1187" s="156"/>
      <c r="BX1187" s="156"/>
      <c r="BY1187" s="156"/>
      <c r="BZ1187" s="156"/>
      <c r="CA1187" s="156"/>
      <c r="CB1187" s="156"/>
      <c r="CC1187" s="156"/>
      <c r="CD1187" s="156"/>
      <c r="CE1187" s="156"/>
      <c r="CF1187" s="156"/>
      <c r="CG1187" s="156"/>
      <c r="CH1187" s="156"/>
      <c r="CI1187" s="156"/>
      <c r="CJ1187" s="156"/>
      <c r="CK1187" s="156"/>
      <c r="CL1187" s="156"/>
      <c r="CM1187" s="156"/>
      <c r="CN1187" s="156"/>
      <c r="CO1187" s="156"/>
      <c r="CP1187" s="156"/>
      <c r="CQ1187" s="156"/>
      <c r="CR1187" s="156"/>
      <c r="CS1187" s="156"/>
      <c r="CT1187" s="156"/>
      <c r="CU1187" s="156"/>
      <c r="CV1187" s="156"/>
      <c r="CW1187" s="156"/>
      <c r="CX1187" s="156"/>
      <c r="CY1187" s="156"/>
      <c r="CZ1187" s="156"/>
      <c r="DA1187" s="156"/>
      <c r="DB1187" s="156"/>
      <c r="DC1187" s="156"/>
      <c r="DD1187" s="156"/>
      <c r="DE1187" s="156"/>
      <c r="DF1187" s="156"/>
      <c r="DG1187" s="156"/>
      <c r="DH1187" s="156"/>
      <c r="DI1187" s="156"/>
      <c r="DJ1187" s="156"/>
      <c r="DK1187" s="156"/>
      <c r="DL1187" s="156"/>
      <c r="DM1187" s="156"/>
      <c r="DN1187" s="156"/>
      <c r="DO1187" s="156"/>
      <c r="DP1187" s="156"/>
      <c r="DQ1187" s="156"/>
      <c r="DR1187" s="156"/>
      <c r="DS1187" s="156"/>
      <c r="DT1187" s="156"/>
      <c r="DU1187" s="156"/>
      <c r="DV1187" s="156"/>
      <c r="DW1187" s="156"/>
      <c r="DX1187" s="156"/>
      <c r="DY1187" s="156"/>
      <c r="DZ1187" s="156"/>
      <c r="EA1187" s="156"/>
      <c r="EB1187" s="156"/>
      <c r="EC1187" s="156"/>
      <c r="ED1187" s="156"/>
      <c r="EE1187" s="156"/>
      <c r="EF1187" s="156"/>
      <c r="EG1187" s="156"/>
      <c r="EH1187" s="156"/>
      <c r="EI1187" s="156"/>
      <c r="EJ1187" s="156"/>
      <c r="EK1187" s="156"/>
      <c r="EL1187" s="156"/>
      <c r="EM1187" s="156"/>
    </row>
    <row r="1188" spans="20:143" ht="10.5" customHeight="1">
      <c r="T1188" s="156"/>
      <c r="AZ1188" s="156"/>
      <c r="BA1188" s="156"/>
      <c r="BB1188" s="156"/>
      <c r="BC1188" s="156"/>
      <c r="BD1188" s="156"/>
      <c r="BE1188" s="156"/>
      <c r="BF1188" s="156"/>
      <c r="BG1188" s="156"/>
      <c r="BH1188" s="156"/>
      <c r="BI1188" s="156"/>
      <c r="BJ1188" s="156"/>
      <c r="BK1188" s="156"/>
      <c r="BL1188" s="156"/>
      <c r="BM1188" s="156"/>
      <c r="BN1188" s="156"/>
      <c r="BO1188" s="156"/>
      <c r="BP1188" s="156"/>
      <c r="BQ1188" s="156"/>
      <c r="BR1188" s="156"/>
      <c r="BS1188" s="156"/>
      <c r="BT1188" s="156"/>
      <c r="BU1188" s="156"/>
      <c r="BV1188" s="156"/>
      <c r="BW1188" s="156"/>
      <c r="BX1188" s="156"/>
      <c r="BY1188" s="156"/>
      <c r="BZ1188" s="156"/>
      <c r="CA1188" s="156"/>
      <c r="CB1188" s="156"/>
      <c r="CC1188" s="156"/>
      <c r="CD1188" s="156"/>
      <c r="CE1188" s="156"/>
      <c r="CF1188" s="156"/>
      <c r="CG1188" s="156"/>
      <c r="CH1188" s="156"/>
      <c r="CI1188" s="156"/>
      <c r="CJ1188" s="156"/>
      <c r="CK1188" s="156"/>
      <c r="CL1188" s="156"/>
      <c r="CM1188" s="156"/>
      <c r="CN1188" s="156"/>
      <c r="CO1188" s="156"/>
      <c r="CP1188" s="156"/>
      <c r="CQ1188" s="156"/>
      <c r="CR1188" s="156"/>
      <c r="CS1188" s="156"/>
      <c r="CT1188" s="156"/>
      <c r="CU1188" s="156"/>
      <c r="CV1188" s="156"/>
      <c r="CW1188" s="156"/>
      <c r="CX1188" s="156"/>
      <c r="CY1188" s="156"/>
      <c r="CZ1188" s="156"/>
      <c r="DA1188" s="156"/>
      <c r="DB1188" s="156"/>
      <c r="DC1188" s="156"/>
      <c r="DD1188" s="156"/>
      <c r="DE1188" s="156"/>
      <c r="DF1188" s="156"/>
      <c r="DG1188" s="156"/>
      <c r="DH1188" s="156"/>
      <c r="DI1188" s="156"/>
      <c r="DJ1188" s="156"/>
      <c r="DK1188" s="156"/>
      <c r="DL1188" s="156"/>
      <c r="DM1188" s="156"/>
      <c r="DN1188" s="156"/>
      <c r="DO1188" s="156"/>
      <c r="DP1188" s="156"/>
      <c r="DQ1188" s="156"/>
      <c r="DR1188" s="156"/>
      <c r="DS1188" s="156"/>
      <c r="DT1188" s="156"/>
      <c r="DU1188" s="156"/>
      <c r="DV1188" s="156"/>
      <c r="DW1188" s="156"/>
      <c r="DX1188" s="156"/>
      <c r="DY1188" s="156"/>
      <c r="DZ1188" s="156"/>
      <c r="EA1188" s="156"/>
      <c r="EB1188" s="156"/>
      <c r="EC1188" s="156"/>
      <c r="ED1188" s="156"/>
      <c r="EE1188" s="156"/>
      <c r="EF1188" s="156"/>
      <c r="EG1188" s="156"/>
      <c r="EH1188" s="156"/>
      <c r="EI1188" s="156"/>
      <c r="EJ1188" s="156"/>
      <c r="EK1188" s="156"/>
      <c r="EL1188" s="156"/>
      <c r="EM1188" s="156"/>
    </row>
    <row r="1189" spans="20:143" ht="10.5" customHeight="1">
      <c r="T1189" s="156"/>
      <c r="AZ1189" s="156"/>
      <c r="BA1189" s="156"/>
      <c r="BB1189" s="156"/>
      <c r="BC1189" s="156"/>
      <c r="BD1189" s="156"/>
      <c r="BE1189" s="156"/>
      <c r="BF1189" s="156"/>
      <c r="BG1189" s="156"/>
      <c r="BH1189" s="156"/>
      <c r="BI1189" s="156"/>
      <c r="BJ1189" s="156"/>
      <c r="BK1189" s="156"/>
      <c r="BL1189" s="156"/>
      <c r="BM1189" s="156"/>
      <c r="BN1189" s="156"/>
      <c r="BO1189" s="156"/>
      <c r="BP1189" s="156"/>
      <c r="BQ1189" s="156"/>
      <c r="BR1189" s="156"/>
      <c r="BS1189" s="156"/>
      <c r="BT1189" s="156"/>
      <c r="BU1189" s="156"/>
      <c r="BV1189" s="156"/>
      <c r="BW1189" s="156"/>
      <c r="BX1189" s="156"/>
      <c r="BY1189" s="156"/>
      <c r="BZ1189" s="156"/>
      <c r="CA1189" s="156"/>
      <c r="CB1189" s="156"/>
      <c r="CC1189" s="156"/>
      <c r="CD1189" s="156"/>
      <c r="CE1189" s="156"/>
      <c r="CF1189" s="156"/>
      <c r="CG1189" s="156"/>
      <c r="CH1189" s="156"/>
      <c r="CI1189" s="156"/>
      <c r="CJ1189" s="156"/>
      <c r="CK1189" s="156"/>
      <c r="CL1189" s="156"/>
      <c r="CM1189" s="156"/>
      <c r="CN1189" s="156"/>
      <c r="CO1189" s="156"/>
      <c r="CP1189" s="156"/>
      <c r="CQ1189" s="156"/>
      <c r="CR1189" s="156"/>
      <c r="CS1189" s="156"/>
      <c r="CT1189" s="156"/>
      <c r="CU1189" s="156"/>
      <c r="CV1189" s="156"/>
      <c r="CW1189" s="156"/>
      <c r="CX1189" s="156"/>
      <c r="CY1189" s="156"/>
      <c r="CZ1189" s="156"/>
      <c r="DA1189" s="156"/>
      <c r="DB1189" s="156"/>
      <c r="DC1189" s="156"/>
      <c r="DD1189" s="156"/>
      <c r="DE1189" s="156"/>
      <c r="DF1189" s="156"/>
      <c r="DG1189" s="156"/>
      <c r="DH1189" s="156"/>
      <c r="DI1189" s="156"/>
      <c r="DJ1189" s="156"/>
      <c r="DK1189" s="156"/>
      <c r="DL1189" s="156"/>
      <c r="DM1189" s="156"/>
      <c r="DN1189" s="156"/>
      <c r="DO1189" s="156"/>
      <c r="DP1189" s="156"/>
      <c r="DQ1189" s="156"/>
      <c r="DR1189" s="156"/>
      <c r="DS1189" s="156"/>
      <c r="DT1189" s="156"/>
      <c r="DU1189" s="156"/>
      <c r="DV1189" s="156"/>
      <c r="DW1189" s="156"/>
      <c r="DX1189" s="156"/>
      <c r="DY1189" s="156"/>
      <c r="DZ1189" s="156"/>
      <c r="EA1189" s="156"/>
      <c r="EB1189" s="156"/>
      <c r="EC1189" s="156"/>
      <c r="ED1189" s="156"/>
      <c r="EE1189" s="156"/>
      <c r="EF1189" s="156"/>
      <c r="EG1189" s="156"/>
      <c r="EH1189" s="156"/>
      <c r="EI1189" s="156"/>
      <c r="EJ1189" s="156"/>
      <c r="EK1189" s="156"/>
      <c r="EL1189" s="156"/>
      <c r="EM1189" s="156"/>
    </row>
    <row r="1190" spans="20:143" ht="10.5" customHeight="1">
      <c r="T1190" s="156"/>
      <c r="AZ1190" s="156"/>
      <c r="BA1190" s="156"/>
      <c r="BB1190" s="156"/>
      <c r="BC1190" s="156"/>
      <c r="BD1190" s="156"/>
      <c r="BE1190" s="156"/>
      <c r="BF1190" s="156"/>
      <c r="BG1190" s="156"/>
      <c r="BH1190" s="156"/>
      <c r="BI1190" s="156"/>
      <c r="BJ1190" s="156"/>
      <c r="BK1190" s="156"/>
      <c r="BL1190" s="156"/>
      <c r="BM1190" s="156"/>
      <c r="BN1190" s="156"/>
      <c r="BO1190" s="156"/>
      <c r="BP1190" s="156"/>
      <c r="BQ1190" s="156"/>
      <c r="BR1190" s="156"/>
      <c r="BS1190" s="156"/>
      <c r="BT1190" s="156"/>
      <c r="BU1190" s="156"/>
      <c r="BV1190" s="156"/>
      <c r="BW1190" s="156"/>
      <c r="BX1190" s="156"/>
      <c r="BY1190" s="156"/>
      <c r="BZ1190" s="156"/>
      <c r="CA1190" s="156"/>
      <c r="CB1190" s="156"/>
      <c r="CC1190" s="156"/>
      <c r="CD1190" s="156"/>
      <c r="CE1190" s="156"/>
      <c r="CF1190" s="156"/>
      <c r="CG1190" s="156"/>
      <c r="CH1190" s="156"/>
      <c r="CI1190" s="156"/>
      <c r="CJ1190" s="156"/>
      <c r="CK1190" s="156"/>
      <c r="CL1190" s="156"/>
      <c r="CM1190" s="156"/>
      <c r="CN1190" s="156"/>
      <c r="CO1190" s="156"/>
      <c r="CP1190" s="156"/>
      <c r="CQ1190" s="156"/>
      <c r="CR1190" s="156"/>
      <c r="CS1190" s="156"/>
      <c r="CT1190" s="156"/>
      <c r="CU1190" s="156"/>
      <c r="CV1190" s="156"/>
      <c r="CW1190" s="156"/>
      <c r="CX1190" s="156"/>
      <c r="CY1190" s="156"/>
      <c r="CZ1190" s="156"/>
      <c r="DA1190" s="156"/>
      <c r="DB1190" s="156"/>
      <c r="DC1190" s="156"/>
      <c r="DD1190" s="156"/>
      <c r="DE1190" s="156"/>
      <c r="DF1190" s="156"/>
      <c r="DG1190" s="156"/>
      <c r="DH1190" s="156"/>
      <c r="DI1190" s="156"/>
      <c r="DJ1190" s="156"/>
      <c r="DK1190" s="156"/>
      <c r="DL1190" s="156"/>
      <c r="DM1190" s="156"/>
      <c r="DN1190" s="156"/>
      <c r="DO1190" s="156"/>
      <c r="DP1190" s="156"/>
      <c r="DQ1190" s="156"/>
      <c r="DR1190" s="156"/>
      <c r="DS1190" s="156"/>
      <c r="DT1190" s="156"/>
      <c r="DU1190" s="156"/>
      <c r="DV1190" s="156"/>
      <c r="DW1190" s="156"/>
      <c r="DX1190" s="156"/>
      <c r="DY1190" s="156"/>
      <c r="DZ1190" s="156"/>
      <c r="EA1190" s="156"/>
      <c r="EB1190" s="156"/>
      <c r="EC1190" s="156"/>
      <c r="ED1190" s="156"/>
      <c r="EE1190" s="156"/>
      <c r="EF1190" s="156"/>
      <c r="EG1190" s="156"/>
      <c r="EH1190" s="156"/>
      <c r="EI1190" s="156"/>
      <c r="EJ1190" s="156"/>
      <c r="EK1190" s="156"/>
      <c r="EL1190" s="156"/>
      <c r="EM1190" s="156"/>
    </row>
    <row r="1191" spans="20:143" ht="10.5" customHeight="1">
      <c r="T1191" s="156"/>
      <c r="AZ1191" s="156"/>
      <c r="BA1191" s="156"/>
      <c r="BB1191" s="156"/>
      <c r="BC1191" s="156"/>
      <c r="BD1191" s="156"/>
      <c r="BE1191" s="156"/>
      <c r="BF1191" s="156"/>
      <c r="BG1191" s="156"/>
      <c r="BH1191" s="156"/>
      <c r="BI1191" s="156"/>
      <c r="BJ1191" s="156"/>
      <c r="BK1191" s="156"/>
      <c r="BL1191" s="156"/>
      <c r="BM1191" s="156"/>
      <c r="BN1191" s="156"/>
      <c r="BO1191" s="156"/>
      <c r="BP1191" s="156"/>
      <c r="BQ1191" s="156"/>
      <c r="BR1191" s="156"/>
      <c r="BS1191" s="156"/>
      <c r="BT1191" s="156"/>
      <c r="BU1191" s="156"/>
      <c r="BV1191" s="156"/>
      <c r="BW1191" s="156"/>
      <c r="BX1191" s="156"/>
      <c r="BY1191" s="156"/>
      <c r="BZ1191" s="156"/>
      <c r="CA1191" s="156"/>
      <c r="CB1191" s="156"/>
      <c r="CC1191" s="156"/>
      <c r="CD1191" s="156"/>
      <c r="CE1191" s="156"/>
      <c r="CF1191" s="156"/>
      <c r="CG1191" s="156"/>
      <c r="CH1191" s="156"/>
      <c r="CI1191" s="156"/>
      <c r="CJ1191" s="156"/>
      <c r="CK1191" s="156"/>
      <c r="CL1191" s="156"/>
      <c r="CM1191" s="156"/>
      <c r="CN1191" s="156"/>
      <c r="CO1191" s="156"/>
      <c r="CP1191" s="156"/>
      <c r="CQ1191" s="156"/>
      <c r="CR1191" s="156"/>
      <c r="CS1191" s="156"/>
      <c r="CT1191" s="156"/>
      <c r="CU1191" s="156"/>
      <c r="CV1191" s="156"/>
      <c r="CW1191" s="156"/>
      <c r="CX1191" s="156"/>
      <c r="CY1191" s="156"/>
      <c r="CZ1191" s="156"/>
      <c r="DA1191" s="156"/>
      <c r="DB1191" s="156"/>
      <c r="DC1191" s="156"/>
      <c r="DD1191" s="156"/>
      <c r="DE1191" s="156"/>
      <c r="DF1191" s="156"/>
      <c r="DG1191" s="156"/>
      <c r="DH1191" s="156"/>
      <c r="DI1191" s="156"/>
      <c r="DJ1191" s="156"/>
      <c r="DK1191" s="156"/>
      <c r="DL1191" s="156"/>
      <c r="DM1191" s="156"/>
      <c r="DN1191" s="156"/>
      <c r="DO1191" s="156"/>
      <c r="DP1191" s="156"/>
      <c r="DQ1191" s="156"/>
      <c r="DR1191" s="156"/>
      <c r="DS1191" s="156"/>
      <c r="DT1191" s="156"/>
      <c r="DU1191" s="156"/>
      <c r="DV1191" s="156"/>
      <c r="DW1191" s="156"/>
      <c r="DX1191" s="156"/>
      <c r="DY1191" s="156"/>
      <c r="DZ1191" s="156"/>
      <c r="EA1191" s="156"/>
      <c r="EB1191" s="156"/>
      <c r="EC1191" s="156"/>
      <c r="ED1191" s="156"/>
      <c r="EE1191" s="156"/>
      <c r="EF1191" s="156"/>
      <c r="EG1191" s="156"/>
      <c r="EH1191" s="156"/>
      <c r="EI1191" s="156"/>
      <c r="EJ1191" s="156"/>
      <c r="EK1191" s="156"/>
      <c r="EL1191" s="156"/>
      <c r="EM1191" s="156"/>
    </row>
    <row r="1192" spans="20:143" ht="10.5" customHeight="1">
      <c r="T1192" s="156"/>
      <c r="AZ1192" s="156"/>
      <c r="BA1192" s="156"/>
      <c r="BB1192" s="156"/>
      <c r="BC1192" s="156"/>
      <c r="BD1192" s="156"/>
      <c r="BE1192" s="156"/>
      <c r="BF1192" s="156"/>
      <c r="BG1192" s="156"/>
      <c r="BH1192" s="156"/>
      <c r="BI1192" s="156"/>
      <c r="BJ1192" s="156"/>
      <c r="BK1192" s="156"/>
      <c r="BL1192" s="156"/>
      <c r="BM1192" s="156"/>
      <c r="BN1192" s="156"/>
      <c r="BO1192" s="156"/>
      <c r="BP1192" s="156"/>
      <c r="BQ1192" s="156"/>
      <c r="BR1192" s="156"/>
      <c r="BS1192" s="156"/>
      <c r="BT1192" s="156"/>
      <c r="BU1192" s="156"/>
      <c r="BV1192" s="156"/>
      <c r="BW1192" s="156"/>
      <c r="BX1192" s="156"/>
      <c r="BY1192" s="156"/>
      <c r="BZ1192" s="156"/>
      <c r="CA1192" s="156"/>
      <c r="CB1192" s="156"/>
      <c r="CC1192" s="156"/>
      <c r="CD1192" s="156"/>
      <c r="CE1192" s="156"/>
      <c r="CF1192" s="156"/>
      <c r="CG1192" s="156"/>
      <c r="CH1192" s="156"/>
      <c r="CI1192" s="156"/>
      <c r="CJ1192" s="156"/>
      <c r="CK1192" s="156"/>
      <c r="CL1192" s="156"/>
      <c r="CM1192" s="156"/>
      <c r="CN1192" s="156"/>
      <c r="CO1192" s="156"/>
      <c r="CP1192" s="156"/>
      <c r="CQ1192" s="156"/>
      <c r="CR1192" s="156"/>
      <c r="CS1192" s="156"/>
      <c r="CT1192" s="156"/>
      <c r="CU1192" s="156"/>
      <c r="CV1192" s="156"/>
      <c r="CW1192" s="156"/>
      <c r="CX1192" s="156"/>
      <c r="CY1192" s="156"/>
      <c r="CZ1192" s="156"/>
      <c r="DA1192" s="156"/>
      <c r="DB1192" s="156"/>
      <c r="DC1192" s="156"/>
      <c r="DD1192" s="156"/>
      <c r="DE1192" s="156"/>
      <c r="DF1192" s="156"/>
      <c r="DG1192" s="156"/>
      <c r="DH1192" s="156"/>
      <c r="DI1192" s="156"/>
      <c r="DJ1192" s="156"/>
      <c r="DK1192" s="156"/>
      <c r="DL1192" s="156"/>
      <c r="DM1192" s="156"/>
      <c r="DN1192" s="156"/>
      <c r="DO1192" s="156"/>
      <c r="DP1192" s="156"/>
      <c r="DQ1192" s="156"/>
      <c r="DR1192" s="156"/>
      <c r="DS1192" s="156"/>
      <c r="DT1192" s="156"/>
      <c r="DU1192" s="156"/>
      <c r="DV1192" s="156"/>
      <c r="DW1192" s="156"/>
      <c r="DX1192" s="156"/>
      <c r="DY1192" s="156"/>
      <c r="DZ1192" s="156"/>
      <c r="EA1192" s="156"/>
      <c r="EB1192" s="156"/>
      <c r="EC1192" s="156"/>
      <c r="ED1192" s="156"/>
      <c r="EE1192" s="156"/>
      <c r="EF1192" s="156"/>
      <c r="EG1192" s="156"/>
      <c r="EH1192" s="156"/>
      <c r="EI1192" s="156"/>
      <c r="EJ1192" s="156"/>
      <c r="EK1192" s="156"/>
      <c r="EL1192" s="156"/>
      <c r="EM1192" s="156"/>
    </row>
    <row r="1193" spans="20:143" ht="10.5" customHeight="1">
      <c r="T1193" s="156"/>
      <c r="AZ1193" s="156"/>
      <c r="BA1193" s="156"/>
      <c r="BB1193" s="156"/>
      <c r="BC1193" s="156"/>
      <c r="BD1193" s="156"/>
      <c r="BE1193" s="156"/>
      <c r="BF1193" s="156"/>
      <c r="BG1193" s="156"/>
      <c r="BH1193" s="156"/>
      <c r="BI1193" s="156"/>
      <c r="BJ1193" s="156"/>
      <c r="BK1193" s="156"/>
      <c r="BL1193" s="156"/>
      <c r="BM1193" s="156"/>
      <c r="BN1193" s="156"/>
      <c r="BO1193" s="156"/>
      <c r="BP1193" s="156"/>
      <c r="BQ1193" s="156"/>
      <c r="BR1193" s="156"/>
      <c r="BS1193" s="156"/>
      <c r="BT1193" s="156"/>
      <c r="BU1193" s="156"/>
      <c r="BV1193" s="156"/>
      <c r="BW1193" s="156"/>
      <c r="BX1193" s="156"/>
      <c r="BY1193" s="156"/>
      <c r="BZ1193" s="156"/>
      <c r="CA1193" s="156"/>
      <c r="CB1193" s="156"/>
      <c r="CC1193" s="156"/>
      <c r="CD1193" s="156"/>
      <c r="CE1193" s="156"/>
      <c r="CF1193" s="156"/>
      <c r="CG1193" s="156"/>
      <c r="CH1193" s="156"/>
      <c r="CI1193" s="156"/>
      <c r="CJ1193" s="156"/>
      <c r="CK1193" s="156"/>
      <c r="CL1193" s="156"/>
      <c r="CM1193" s="156"/>
      <c r="CN1193" s="156"/>
      <c r="CO1193" s="156"/>
      <c r="CP1193" s="156"/>
      <c r="CQ1193" s="156"/>
      <c r="CR1193" s="156"/>
      <c r="CS1193" s="156"/>
      <c r="CT1193" s="156"/>
      <c r="CU1193" s="156"/>
      <c r="CV1193" s="156"/>
      <c r="CW1193" s="156"/>
      <c r="CX1193" s="156"/>
      <c r="CY1193" s="156"/>
      <c r="CZ1193" s="156"/>
      <c r="DA1193" s="156"/>
      <c r="DB1193" s="156"/>
      <c r="DC1193" s="156"/>
      <c r="DD1193" s="156"/>
      <c r="DE1193" s="156"/>
      <c r="DF1193" s="156"/>
      <c r="DG1193" s="156"/>
      <c r="DH1193" s="156"/>
      <c r="DI1193" s="156"/>
      <c r="DJ1193" s="156"/>
      <c r="DK1193" s="156"/>
      <c r="DL1193" s="156"/>
      <c r="DM1193" s="156"/>
      <c r="DN1193" s="156"/>
      <c r="DO1193" s="156"/>
      <c r="DP1193" s="156"/>
      <c r="DQ1193" s="156"/>
      <c r="DR1193" s="156"/>
      <c r="DS1193" s="156"/>
      <c r="DT1193" s="156"/>
      <c r="DU1193" s="156"/>
      <c r="DV1193" s="156"/>
      <c r="DW1193" s="156"/>
      <c r="DX1193" s="156"/>
      <c r="DY1193" s="156"/>
      <c r="DZ1193" s="156"/>
      <c r="EA1193" s="156"/>
      <c r="EB1193" s="156"/>
      <c r="EC1193" s="156"/>
      <c r="ED1193" s="156"/>
      <c r="EE1193" s="156"/>
      <c r="EF1193" s="156"/>
      <c r="EG1193" s="156"/>
      <c r="EH1193" s="156"/>
      <c r="EI1193" s="156"/>
      <c r="EJ1193" s="156"/>
      <c r="EK1193" s="156"/>
      <c r="EL1193" s="156"/>
      <c r="EM1193" s="156"/>
    </row>
    <row r="1194" spans="20:143" ht="10.5" customHeight="1">
      <c r="T1194" s="156"/>
      <c r="AZ1194" s="156"/>
      <c r="BA1194" s="156"/>
      <c r="BB1194" s="156"/>
      <c r="BC1194" s="156"/>
      <c r="BD1194" s="156"/>
      <c r="BE1194" s="156"/>
      <c r="BF1194" s="156"/>
      <c r="BG1194" s="156"/>
      <c r="BH1194" s="156"/>
      <c r="BI1194" s="156"/>
      <c r="BJ1194" s="156"/>
      <c r="BK1194" s="156"/>
      <c r="BL1194" s="156"/>
      <c r="BM1194" s="156"/>
      <c r="BN1194" s="156"/>
      <c r="BO1194" s="156"/>
      <c r="BP1194" s="156"/>
      <c r="BQ1194" s="156"/>
      <c r="BR1194" s="156"/>
      <c r="BS1194" s="156"/>
      <c r="BT1194" s="156"/>
      <c r="BU1194" s="156"/>
      <c r="BV1194" s="156"/>
      <c r="BW1194" s="156"/>
      <c r="BX1194" s="156"/>
      <c r="BY1194" s="156"/>
      <c r="BZ1194" s="156"/>
      <c r="CA1194" s="156"/>
      <c r="CB1194" s="156"/>
      <c r="CC1194" s="156"/>
      <c r="CD1194" s="156"/>
      <c r="CE1194" s="156"/>
      <c r="CF1194" s="156"/>
      <c r="CG1194" s="156"/>
      <c r="CH1194" s="156"/>
      <c r="CI1194" s="156"/>
      <c r="CJ1194" s="156"/>
      <c r="CK1194" s="156"/>
      <c r="CL1194" s="156"/>
      <c r="CM1194" s="156"/>
      <c r="CN1194" s="156"/>
      <c r="CO1194" s="156"/>
      <c r="CP1194" s="156"/>
      <c r="CQ1194" s="156"/>
      <c r="CR1194" s="156"/>
      <c r="CS1194" s="156"/>
      <c r="CT1194" s="156"/>
      <c r="CU1194" s="156"/>
      <c r="CV1194" s="156"/>
      <c r="CW1194" s="156"/>
      <c r="CX1194" s="156"/>
      <c r="CY1194" s="156"/>
      <c r="CZ1194" s="156"/>
      <c r="DA1194" s="156"/>
      <c r="DB1194" s="156"/>
      <c r="DC1194" s="156"/>
      <c r="DD1194" s="156"/>
      <c r="DE1194" s="156"/>
      <c r="DF1194" s="156"/>
      <c r="DG1194" s="156"/>
      <c r="DH1194" s="156"/>
      <c r="DI1194" s="156"/>
      <c r="DJ1194" s="156"/>
      <c r="DK1194" s="156"/>
      <c r="DL1194" s="156"/>
      <c r="DM1194" s="156"/>
      <c r="DN1194" s="156"/>
      <c r="DO1194" s="156"/>
      <c r="DP1194" s="156"/>
      <c r="DQ1194" s="156"/>
      <c r="DR1194" s="156"/>
      <c r="DS1194" s="156"/>
      <c r="DT1194" s="156"/>
      <c r="DU1194" s="156"/>
      <c r="DV1194" s="156"/>
      <c r="DW1194" s="156"/>
      <c r="DX1194" s="156"/>
      <c r="DY1194" s="156"/>
      <c r="DZ1194" s="156"/>
      <c r="EA1194" s="156"/>
      <c r="EB1194" s="156"/>
      <c r="EC1194" s="156"/>
      <c r="ED1194" s="156"/>
      <c r="EE1194" s="156"/>
      <c r="EF1194" s="156"/>
      <c r="EG1194" s="156"/>
      <c r="EH1194" s="156"/>
      <c r="EI1194" s="156"/>
      <c r="EJ1194" s="156"/>
      <c r="EK1194" s="156"/>
      <c r="EL1194" s="156"/>
      <c r="EM1194" s="156"/>
    </row>
    <row r="1195" spans="20:143" ht="10.5" customHeight="1">
      <c r="T1195" s="156"/>
      <c r="AZ1195" s="156"/>
      <c r="BA1195" s="156"/>
      <c r="BB1195" s="156"/>
      <c r="BC1195" s="156"/>
      <c r="BD1195" s="156"/>
      <c r="BE1195" s="156"/>
      <c r="BF1195" s="156"/>
      <c r="BG1195" s="156"/>
      <c r="BH1195" s="156"/>
      <c r="BI1195" s="156"/>
      <c r="BJ1195" s="156"/>
      <c r="BK1195" s="156"/>
      <c r="BL1195" s="156"/>
      <c r="BM1195" s="156"/>
      <c r="BN1195" s="156"/>
      <c r="BO1195" s="156"/>
      <c r="BP1195" s="156"/>
      <c r="BQ1195" s="156"/>
      <c r="BR1195" s="156"/>
      <c r="BS1195" s="156"/>
      <c r="BT1195" s="156"/>
      <c r="BU1195" s="156"/>
      <c r="BV1195" s="156"/>
      <c r="BW1195" s="156"/>
      <c r="BX1195" s="156"/>
      <c r="BY1195" s="156"/>
      <c r="BZ1195" s="156"/>
      <c r="CA1195" s="156"/>
      <c r="CB1195" s="156"/>
      <c r="CC1195" s="156"/>
      <c r="CD1195" s="156"/>
      <c r="CE1195" s="156"/>
      <c r="CF1195" s="156"/>
      <c r="CG1195" s="156"/>
      <c r="CH1195" s="156"/>
      <c r="CI1195" s="156"/>
      <c r="CJ1195" s="156"/>
      <c r="CK1195" s="156"/>
      <c r="CL1195" s="156"/>
      <c r="CM1195" s="156"/>
      <c r="CN1195" s="156"/>
      <c r="CO1195" s="156"/>
      <c r="CP1195" s="156"/>
      <c r="CQ1195" s="156"/>
      <c r="CR1195" s="156"/>
      <c r="CS1195" s="156"/>
      <c r="CT1195" s="156"/>
      <c r="CU1195" s="156"/>
      <c r="CV1195" s="156"/>
      <c r="CW1195" s="156"/>
      <c r="CX1195" s="156"/>
      <c r="CY1195" s="156"/>
      <c r="CZ1195" s="156"/>
      <c r="DA1195" s="156"/>
      <c r="DB1195" s="156"/>
      <c r="DC1195" s="156"/>
      <c r="DD1195" s="156"/>
      <c r="DE1195" s="156"/>
      <c r="DF1195" s="156"/>
      <c r="DG1195" s="156"/>
      <c r="DH1195" s="156"/>
      <c r="DI1195" s="156"/>
      <c r="DJ1195" s="156"/>
      <c r="DK1195" s="156"/>
      <c r="DL1195" s="156"/>
      <c r="DM1195" s="156"/>
      <c r="DN1195" s="156"/>
      <c r="DO1195" s="156"/>
      <c r="DP1195" s="156"/>
      <c r="DQ1195" s="156"/>
      <c r="DR1195" s="156"/>
      <c r="DS1195" s="156"/>
      <c r="DT1195" s="156"/>
      <c r="DU1195" s="156"/>
      <c r="DV1195" s="156"/>
      <c r="DW1195" s="156"/>
      <c r="DX1195" s="156"/>
      <c r="DY1195" s="156"/>
      <c r="DZ1195" s="156"/>
      <c r="EA1195" s="156"/>
      <c r="EB1195" s="156"/>
      <c r="EC1195" s="156"/>
      <c r="ED1195" s="156"/>
      <c r="EE1195" s="156"/>
      <c r="EF1195" s="156"/>
      <c r="EG1195" s="156"/>
      <c r="EH1195" s="156"/>
      <c r="EI1195" s="156"/>
      <c r="EJ1195" s="156"/>
      <c r="EK1195" s="156"/>
      <c r="EL1195" s="156"/>
      <c r="EM1195" s="156"/>
    </row>
    <row r="1196" spans="20:143" ht="10.5" customHeight="1">
      <c r="T1196" s="156"/>
      <c r="AZ1196" s="156"/>
      <c r="BA1196" s="156"/>
      <c r="BB1196" s="156"/>
      <c r="BC1196" s="156"/>
      <c r="BD1196" s="156"/>
      <c r="BE1196" s="156"/>
      <c r="BF1196" s="156"/>
      <c r="BG1196" s="156"/>
      <c r="BH1196" s="156"/>
      <c r="BI1196" s="156"/>
      <c r="BJ1196" s="156"/>
      <c r="BK1196" s="156"/>
      <c r="BL1196" s="156"/>
      <c r="BM1196" s="156"/>
      <c r="BN1196" s="156"/>
      <c r="BO1196" s="156"/>
      <c r="BP1196" s="156"/>
      <c r="BQ1196" s="156"/>
      <c r="BR1196" s="156"/>
      <c r="BS1196" s="156"/>
      <c r="BT1196" s="156"/>
      <c r="BU1196" s="156"/>
      <c r="BV1196" s="156"/>
      <c r="BW1196" s="156"/>
      <c r="BX1196" s="156"/>
      <c r="BY1196" s="156"/>
      <c r="BZ1196" s="156"/>
      <c r="CA1196" s="156"/>
      <c r="CB1196" s="156"/>
      <c r="CC1196" s="156"/>
      <c r="CD1196" s="156"/>
      <c r="CE1196" s="156"/>
      <c r="CF1196" s="156"/>
      <c r="CG1196" s="156"/>
      <c r="CH1196" s="156"/>
      <c r="CI1196" s="156"/>
      <c r="CJ1196" s="156"/>
      <c r="CK1196" s="156"/>
      <c r="CL1196" s="156"/>
      <c r="CM1196" s="156"/>
      <c r="CN1196" s="156"/>
      <c r="CO1196" s="156"/>
      <c r="CP1196" s="156"/>
      <c r="CQ1196" s="156"/>
      <c r="CR1196" s="156"/>
      <c r="CS1196" s="156"/>
      <c r="CT1196" s="156"/>
      <c r="CU1196" s="156"/>
      <c r="CV1196" s="156"/>
      <c r="CW1196" s="156"/>
      <c r="CX1196" s="156"/>
      <c r="CY1196" s="156"/>
      <c r="CZ1196" s="156"/>
      <c r="DA1196" s="156"/>
      <c r="DB1196" s="156"/>
      <c r="DC1196" s="156"/>
      <c r="DD1196" s="156"/>
      <c r="DE1196" s="156"/>
      <c r="DF1196" s="156"/>
      <c r="DG1196" s="156"/>
      <c r="DH1196" s="156"/>
      <c r="DI1196" s="156"/>
      <c r="DJ1196" s="156"/>
      <c r="DK1196" s="156"/>
      <c r="DL1196" s="156"/>
      <c r="DM1196" s="156"/>
      <c r="DN1196" s="156"/>
      <c r="DO1196" s="156"/>
      <c r="DP1196" s="156"/>
      <c r="DQ1196" s="156"/>
      <c r="DR1196" s="156"/>
      <c r="DS1196" s="156"/>
      <c r="DT1196" s="156"/>
      <c r="DU1196" s="156"/>
      <c r="DV1196" s="156"/>
      <c r="DW1196" s="156"/>
      <c r="DX1196" s="156"/>
      <c r="DY1196" s="156"/>
      <c r="DZ1196" s="156"/>
      <c r="EA1196" s="156"/>
      <c r="EB1196" s="156"/>
      <c r="EC1196" s="156"/>
      <c r="ED1196" s="156"/>
      <c r="EE1196" s="156"/>
      <c r="EF1196" s="156"/>
      <c r="EG1196" s="156"/>
      <c r="EH1196" s="156"/>
      <c r="EI1196" s="156"/>
      <c r="EJ1196" s="156"/>
      <c r="EK1196" s="156"/>
      <c r="EL1196" s="156"/>
      <c r="EM1196" s="156"/>
    </row>
    <row r="1197" spans="20:143" ht="10.5" customHeight="1">
      <c r="T1197" s="156"/>
      <c r="AZ1197" s="156"/>
      <c r="BA1197" s="156"/>
      <c r="BB1197" s="156"/>
      <c r="BC1197" s="156"/>
      <c r="BD1197" s="156"/>
      <c r="BE1197" s="156"/>
      <c r="BF1197" s="156"/>
      <c r="BG1197" s="156"/>
      <c r="BH1197" s="156"/>
      <c r="BI1197" s="156"/>
      <c r="BJ1197" s="156"/>
      <c r="BK1197" s="156"/>
      <c r="BL1197" s="156"/>
      <c r="BM1197" s="156"/>
      <c r="BN1197" s="156"/>
      <c r="BO1197" s="156"/>
      <c r="BP1197" s="156"/>
      <c r="BQ1197" s="156"/>
      <c r="BR1197" s="156"/>
      <c r="BS1197" s="156"/>
      <c r="BT1197" s="156"/>
      <c r="BU1197" s="156"/>
      <c r="BV1197" s="156"/>
      <c r="BW1197" s="156"/>
      <c r="BX1197" s="156"/>
      <c r="BY1197" s="156"/>
      <c r="BZ1197" s="156"/>
      <c r="CA1197" s="156"/>
      <c r="CB1197" s="156"/>
      <c r="CC1197" s="156"/>
      <c r="CD1197" s="156"/>
      <c r="CE1197" s="156"/>
      <c r="CF1197" s="156"/>
      <c r="CG1197" s="156"/>
      <c r="CH1197" s="156"/>
      <c r="CI1197" s="156"/>
      <c r="CJ1197" s="156"/>
      <c r="CK1197" s="156"/>
      <c r="CL1197" s="156"/>
      <c r="CM1197" s="156"/>
      <c r="CN1197" s="156"/>
      <c r="CO1197" s="156"/>
      <c r="CP1197" s="156"/>
      <c r="CQ1197" s="156"/>
      <c r="CR1197" s="156"/>
      <c r="CS1197" s="156"/>
      <c r="CT1197" s="156"/>
      <c r="CU1197" s="156"/>
      <c r="CV1197" s="156"/>
      <c r="CW1197" s="156"/>
      <c r="CX1197" s="156"/>
      <c r="CY1197" s="156"/>
      <c r="CZ1197" s="156"/>
      <c r="DA1197" s="156"/>
      <c r="DB1197" s="156"/>
      <c r="DC1197" s="156"/>
      <c r="DD1197" s="156"/>
      <c r="DE1197" s="156"/>
      <c r="DF1197" s="156"/>
      <c r="DG1197" s="156"/>
      <c r="DH1197" s="156"/>
      <c r="DI1197" s="156"/>
      <c r="DJ1197" s="156"/>
      <c r="DK1197" s="156"/>
      <c r="DL1197" s="156"/>
      <c r="DM1197" s="156"/>
      <c r="DN1197" s="156"/>
      <c r="DO1197" s="156"/>
      <c r="DP1197" s="156"/>
      <c r="DQ1197" s="156"/>
      <c r="DR1197" s="156"/>
      <c r="DS1197" s="156"/>
      <c r="DT1197" s="156"/>
      <c r="DU1197" s="156"/>
      <c r="DV1197" s="156"/>
      <c r="DW1197" s="156"/>
      <c r="DX1197" s="156"/>
      <c r="DY1197" s="156"/>
      <c r="DZ1197" s="156"/>
      <c r="EA1197" s="156"/>
      <c r="EB1197" s="156"/>
      <c r="EC1197" s="156"/>
      <c r="ED1197" s="156"/>
      <c r="EE1197" s="156"/>
      <c r="EF1197" s="156"/>
      <c r="EG1197" s="156"/>
      <c r="EH1197" s="156"/>
      <c r="EI1197" s="156"/>
      <c r="EJ1197" s="156"/>
      <c r="EK1197" s="156"/>
      <c r="EL1197" s="156"/>
      <c r="EM1197" s="156"/>
    </row>
    <row r="1198" spans="20:143" ht="10.5" customHeight="1">
      <c r="T1198" s="156"/>
      <c r="AZ1198" s="156"/>
      <c r="BA1198" s="156"/>
      <c r="BB1198" s="156"/>
      <c r="BC1198" s="156"/>
      <c r="BD1198" s="156"/>
      <c r="BE1198" s="156"/>
      <c r="BF1198" s="156"/>
      <c r="BG1198" s="156"/>
      <c r="BH1198" s="156"/>
      <c r="BI1198" s="156"/>
      <c r="BJ1198" s="156"/>
      <c r="BK1198" s="156"/>
      <c r="BL1198" s="156"/>
      <c r="BM1198" s="156"/>
      <c r="BN1198" s="156"/>
      <c r="BO1198" s="156"/>
      <c r="BP1198" s="156"/>
      <c r="BQ1198" s="156"/>
      <c r="BR1198" s="156"/>
      <c r="BS1198" s="156"/>
      <c r="BT1198" s="156"/>
      <c r="BU1198" s="156"/>
      <c r="BV1198" s="156"/>
      <c r="BW1198" s="156"/>
      <c r="BX1198" s="156"/>
      <c r="BY1198" s="156"/>
      <c r="BZ1198" s="156"/>
      <c r="CA1198" s="156"/>
      <c r="CB1198" s="156"/>
      <c r="CC1198" s="156"/>
      <c r="CD1198" s="156"/>
      <c r="CE1198" s="156"/>
      <c r="CF1198" s="156"/>
      <c r="CG1198" s="156"/>
      <c r="CH1198" s="156"/>
      <c r="CI1198" s="156"/>
      <c r="CJ1198" s="156"/>
      <c r="CK1198" s="156"/>
      <c r="CL1198" s="156"/>
      <c r="CM1198" s="156"/>
      <c r="CN1198" s="156"/>
      <c r="CO1198" s="156"/>
      <c r="CP1198" s="156"/>
      <c r="CQ1198" s="156"/>
      <c r="CR1198" s="156"/>
      <c r="CS1198" s="156"/>
      <c r="CT1198" s="156"/>
      <c r="CU1198" s="156"/>
      <c r="CV1198" s="156"/>
      <c r="CW1198" s="156"/>
      <c r="CX1198" s="156"/>
      <c r="CY1198" s="156"/>
      <c r="CZ1198" s="156"/>
      <c r="DA1198" s="156"/>
      <c r="DB1198" s="156"/>
      <c r="DC1198" s="156"/>
      <c r="DD1198" s="156"/>
      <c r="DE1198" s="156"/>
      <c r="DF1198" s="156"/>
      <c r="DG1198" s="156"/>
      <c r="DH1198" s="156"/>
      <c r="DI1198" s="156"/>
      <c r="DJ1198" s="156"/>
      <c r="DK1198" s="156"/>
      <c r="DL1198" s="156"/>
      <c r="DM1198" s="156"/>
      <c r="DN1198" s="156"/>
      <c r="DO1198" s="156"/>
      <c r="DP1198" s="156"/>
      <c r="DQ1198" s="156"/>
      <c r="DR1198" s="156"/>
      <c r="DS1198" s="156"/>
      <c r="DT1198" s="156"/>
      <c r="DU1198" s="156"/>
      <c r="DV1198" s="156"/>
      <c r="DW1198" s="156"/>
      <c r="DX1198" s="156"/>
      <c r="DY1198" s="156"/>
      <c r="DZ1198" s="156"/>
      <c r="EA1198" s="156"/>
      <c r="EB1198" s="156"/>
      <c r="EC1198" s="156"/>
      <c r="ED1198" s="156"/>
      <c r="EE1198" s="156"/>
      <c r="EF1198" s="156"/>
      <c r="EG1198" s="156"/>
      <c r="EH1198" s="156"/>
      <c r="EI1198" s="156"/>
      <c r="EJ1198" s="156"/>
      <c r="EK1198" s="156"/>
      <c r="EL1198" s="156"/>
      <c r="EM1198" s="156"/>
    </row>
    <row r="1199" spans="20:143" ht="10.5" customHeight="1">
      <c r="T1199" s="156"/>
      <c r="AZ1199" s="156"/>
      <c r="BA1199" s="156"/>
      <c r="BB1199" s="156"/>
      <c r="BC1199" s="156"/>
      <c r="BD1199" s="156"/>
      <c r="BE1199" s="156"/>
      <c r="BF1199" s="156"/>
      <c r="BG1199" s="156"/>
      <c r="BH1199" s="156"/>
      <c r="BI1199" s="156"/>
      <c r="BJ1199" s="156"/>
      <c r="BK1199" s="156"/>
      <c r="BL1199" s="156"/>
      <c r="BM1199" s="156"/>
      <c r="BN1199" s="156"/>
      <c r="BO1199" s="156"/>
      <c r="BP1199" s="156"/>
      <c r="BQ1199" s="156"/>
      <c r="BR1199" s="156"/>
      <c r="BS1199" s="156"/>
      <c r="BT1199" s="156"/>
      <c r="BU1199" s="156"/>
      <c r="BV1199" s="156"/>
      <c r="BW1199" s="156"/>
      <c r="BX1199" s="156"/>
      <c r="BY1199" s="156"/>
      <c r="BZ1199" s="156"/>
      <c r="CA1199" s="156"/>
      <c r="CB1199" s="156"/>
      <c r="CC1199" s="156"/>
      <c r="CD1199" s="156"/>
      <c r="CE1199" s="156"/>
      <c r="CF1199" s="156"/>
      <c r="CG1199" s="156"/>
      <c r="CH1199" s="156"/>
      <c r="CI1199" s="156"/>
      <c r="CJ1199" s="156"/>
      <c r="CK1199" s="156"/>
      <c r="CL1199" s="156"/>
      <c r="CM1199" s="156"/>
      <c r="CN1199" s="156"/>
      <c r="CO1199" s="156"/>
      <c r="CP1199" s="156"/>
      <c r="CQ1199" s="156"/>
      <c r="CR1199" s="156"/>
      <c r="CS1199" s="156"/>
      <c r="CT1199" s="156"/>
      <c r="CU1199" s="156"/>
      <c r="CV1199" s="156"/>
      <c r="CW1199" s="156"/>
      <c r="CX1199" s="156"/>
      <c r="CY1199" s="156"/>
      <c r="CZ1199" s="156"/>
      <c r="DA1199" s="156"/>
      <c r="DB1199" s="156"/>
      <c r="DC1199" s="156"/>
      <c r="DD1199" s="156"/>
      <c r="DE1199" s="156"/>
      <c r="DF1199" s="156"/>
      <c r="DG1199" s="156"/>
      <c r="DH1199" s="156"/>
      <c r="DI1199" s="156"/>
      <c r="DJ1199" s="156"/>
      <c r="DK1199" s="156"/>
      <c r="DL1199" s="156"/>
      <c r="DM1199" s="156"/>
      <c r="DN1199" s="156"/>
      <c r="DO1199" s="156"/>
      <c r="DP1199" s="156"/>
      <c r="DQ1199" s="156"/>
      <c r="DR1199" s="156"/>
      <c r="DS1199" s="156"/>
      <c r="DT1199" s="156"/>
      <c r="DU1199" s="156"/>
      <c r="DV1199" s="156"/>
      <c r="DW1199" s="156"/>
      <c r="DX1199" s="156"/>
      <c r="DY1199" s="156"/>
      <c r="DZ1199" s="156"/>
      <c r="EA1199" s="156"/>
      <c r="EB1199" s="156"/>
      <c r="EC1199" s="156"/>
      <c r="ED1199" s="156"/>
      <c r="EE1199" s="156"/>
      <c r="EF1199" s="156"/>
      <c r="EG1199" s="156"/>
      <c r="EH1199" s="156"/>
      <c r="EI1199" s="156"/>
      <c r="EJ1199" s="156"/>
      <c r="EK1199" s="156"/>
      <c r="EL1199" s="156"/>
      <c r="EM1199" s="156"/>
    </row>
    <row r="1200" spans="20:143" ht="10.5" customHeight="1">
      <c r="T1200" s="156"/>
      <c r="AZ1200" s="156"/>
      <c r="BA1200" s="156"/>
      <c r="BB1200" s="156"/>
      <c r="BC1200" s="156"/>
      <c r="BD1200" s="156"/>
      <c r="BE1200" s="156"/>
      <c r="BF1200" s="156"/>
      <c r="BG1200" s="156"/>
      <c r="BH1200" s="156"/>
      <c r="BI1200" s="156"/>
      <c r="BJ1200" s="156"/>
      <c r="BK1200" s="156"/>
      <c r="BL1200" s="156"/>
      <c r="BM1200" s="156"/>
      <c r="BN1200" s="156"/>
      <c r="BO1200" s="156"/>
      <c r="BP1200" s="156"/>
      <c r="BQ1200" s="156"/>
      <c r="BR1200" s="156"/>
      <c r="BS1200" s="156"/>
      <c r="BT1200" s="156"/>
      <c r="BU1200" s="156"/>
      <c r="BV1200" s="156"/>
      <c r="BW1200" s="156"/>
      <c r="BX1200" s="156"/>
      <c r="BY1200" s="156"/>
      <c r="BZ1200" s="156"/>
      <c r="CA1200" s="156"/>
      <c r="CB1200" s="156"/>
      <c r="CC1200" s="156"/>
      <c r="CD1200" s="156"/>
      <c r="CE1200" s="156"/>
      <c r="CF1200" s="156"/>
      <c r="CG1200" s="156"/>
      <c r="CH1200" s="156"/>
      <c r="CI1200" s="156"/>
      <c r="CJ1200" s="156"/>
      <c r="CK1200" s="156"/>
      <c r="CL1200" s="156"/>
      <c r="CM1200" s="156"/>
      <c r="CN1200" s="156"/>
      <c r="CO1200" s="156"/>
      <c r="CP1200" s="156"/>
      <c r="CQ1200" s="156"/>
      <c r="CR1200" s="156"/>
      <c r="CS1200" s="156"/>
      <c r="CT1200" s="156"/>
      <c r="CU1200" s="156"/>
      <c r="CV1200" s="156"/>
      <c r="CW1200" s="156"/>
      <c r="CX1200" s="156"/>
      <c r="CY1200" s="156"/>
      <c r="CZ1200" s="156"/>
      <c r="DA1200" s="156"/>
      <c r="DB1200" s="156"/>
      <c r="DC1200" s="156"/>
      <c r="DD1200" s="156"/>
      <c r="DE1200" s="156"/>
      <c r="DF1200" s="156"/>
      <c r="DG1200" s="156"/>
      <c r="DH1200" s="156"/>
      <c r="DI1200" s="156"/>
      <c r="DJ1200" s="156"/>
      <c r="DK1200" s="156"/>
      <c r="DL1200" s="156"/>
      <c r="DM1200" s="156"/>
      <c r="DN1200" s="156"/>
      <c r="DO1200" s="156"/>
      <c r="DP1200" s="156"/>
      <c r="DQ1200" s="156"/>
      <c r="DR1200" s="156"/>
      <c r="DS1200" s="156"/>
      <c r="DT1200" s="156"/>
      <c r="DU1200" s="156"/>
      <c r="DV1200" s="156"/>
      <c r="DW1200" s="156"/>
      <c r="DX1200" s="156"/>
      <c r="DY1200" s="156"/>
      <c r="DZ1200" s="156"/>
      <c r="EA1200" s="156"/>
      <c r="EB1200" s="156"/>
      <c r="EC1200" s="156"/>
      <c r="ED1200" s="156"/>
      <c r="EE1200" s="156"/>
      <c r="EF1200" s="156"/>
      <c r="EG1200" s="156"/>
      <c r="EH1200" s="156"/>
      <c r="EI1200" s="156"/>
      <c r="EJ1200" s="156"/>
      <c r="EK1200" s="156"/>
      <c r="EL1200" s="156"/>
      <c r="EM1200" s="156"/>
    </row>
    <row r="1201" spans="20:143" ht="10.5" customHeight="1">
      <c r="T1201" s="156"/>
      <c r="AZ1201" s="156"/>
      <c r="BA1201" s="156"/>
      <c r="BB1201" s="156"/>
      <c r="BC1201" s="156"/>
      <c r="BD1201" s="156"/>
      <c r="BE1201" s="156"/>
      <c r="BF1201" s="156"/>
      <c r="BG1201" s="156"/>
      <c r="BH1201" s="156"/>
      <c r="BI1201" s="156"/>
      <c r="BJ1201" s="156"/>
      <c r="BK1201" s="156"/>
      <c r="BL1201" s="156"/>
      <c r="BM1201" s="156"/>
      <c r="BN1201" s="156"/>
      <c r="BO1201" s="156"/>
      <c r="BP1201" s="156"/>
      <c r="BQ1201" s="156"/>
      <c r="BR1201" s="156"/>
      <c r="BS1201" s="156"/>
      <c r="BT1201" s="156"/>
      <c r="BU1201" s="156"/>
      <c r="BV1201" s="156"/>
      <c r="BW1201" s="156"/>
      <c r="BX1201" s="156"/>
      <c r="BY1201" s="156"/>
      <c r="BZ1201" s="156"/>
      <c r="CA1201" s="156"/>
      <c r="CB1201" s="156"/>
      <c r="CC1201" s="156"/>
      <c r="CD1201" s="156"/>
      <c r="CE1201" s="156"/>
      <c r="CF1201" s="156"/>
      <c r="CG1201" s="156"/>
      <c r="CH1201" s="156"/>
      <c r="CI1201" s="156"/>
      <c r="CJ1201" s="156"/>
      <c r="CK1201" s="156"/>
      <c r="CL1201" s="156"/>
      <c r="CM1201" s="156"/>
      <c r="CN1201" s="156"/>
      <c r="CO1201" s="156"/>
      <c r="CP1201" s="156"/>
      <c r="CQ1201" s="156"/>
      <c r="CR1201" s="156"/>
      <c r="CS1201" s="156"/>
      <c r="CT1201" s="156"/>
      <c r="CU1201" s="156"/>
      <c r="CV1201" s="156"/>
      <c r="CW1201" s="156"/>
      <c r="CX1201" s="156"/>
      <c r="CY1201" s="156"/>
      <c r="CZ1201" s="156"/>
      <c r="DA1201" s="156"/>
      <c r="DB1201" s="156"/>
      <c r="DC1201" s="156"/>
      <c r="DD1201" s="156"/>
      <c r="DE1201" s="156"/>
      <c r="DF1201" s="156"/>
      <c r="DG1201" s="156"/>
      <c r="DH1201" s="156"/>
      <c r="DI1201" s="156"/>
      <c r="DJ1201" s="156"/>
      <c r="DK1201" s="156"/>
      <c r="DL1201" s="156"/>
      <c r="DM1201" s="156"/>
      <c r="DN1201" s="156"/>
      <c r="DO1201" s="156"/>
      <c r="DP1201" s="156"/>
      <c r="DQ1201" s="156"/>
      <c r="DR1201" s="156"/>
      <c r="DS1201" s="156"/>
      <c r="DT1201" s="156"/>
      <c r="DU1201" s="156"/>
      <c r="DV1201" s="156"/>
      <c r="DW1201" s="156"/>
      <c r="DX1201" s="156"/>
      <c r="DY1201" s="156"/>
      <c r="DZ1201" s="156"/>
      <c r="EA1201" s="156"/>
      <c r="EB1201" s="156"/>
      <c r="EC1201" s="156"/>
      <c r="ED1201" s="156"/>
      <c r="EE1201" s="156"/>
      <c r="EF1201" s="156"/>
      <c r="EG1201" s="156"/>
      <c r="EH1201" s="156"/>
      <c r="EI1201" s="156"/>
      <c r="EJ1201" s="156"/>
      <c r="EK1201" s="156"/>
      <c r="EL1201" s="156"/>
      <c r="EM1201" s="156"/>
    </row>
    <row r="1202" spans="20:143" ht="10.5" customHeight="1">
      <c r="T1202" s="156"/>
      <c r="AZ1202" s="156"/>
      <c r="BA1202" s="156"/>
      <c r="BB1202" s="156"/>
      <c r="BC1202" s="156"/>
      <c r="BD1202" s="156"/>
      <c r="BE1202" s="156"/>
      <c r="BF1202" s="156"/>
      <c r="BG1202" s="156"/>
      <c r="BH1202" s="156"/>
      <c r="BI1202" s="156"/>
      <c r="BJ1202" s="156"/>
      <c r="BK1202" s="156"/>
      <c r="BL1202" s="156"/>
      <c r="BM1202" s="156"/>
      <c r="BN1202" s="156"/>
      <c r="BO1202" s="156"/>
      <c r="BP1202" s="156"/>
      <c r="BQ1202" s="156"/>
      <c r="BR1202" s="156"/>
      <c r="BS1202" s="156"/>
      <c r="BT1202" s="156"/>
      <c r="BU1202" s="156"/>
      <c r="BV1202" s="156"/>
      <c r="BW1202" s="156"/>
      <c r="BX1202" s="156"/>
      <c r="BY1202" s="156"/>
      <c r="BZ1202" s="156"/>
      <c r="CA1202" s="156"/>
      <c r="CB1202" s="156"/>
      <c r="CC1202" s="156"/>
      <c r="CD1202" s="156"/>
      <c r="CE1202" s="156"/>
      <c r="CF1202" s="156"/>
      <c r="CG1202" s="156"/>
      <c r="CH1202" s="156"/>
      <c r="CI1202" s="156"/>
      <c r="CJ1202" s="156"/>
      <c r="CK1202" s="156"/>
      <c r="CL1202" s="156"/>
      <c r="CM1202" s="156"/>
      <c r="CN1202" s="156"/>
      <c r="CO1202" s="156"/>
      <c r="CP1202" s="156"/>
      <c r="CQ1202" s="156"/>
      <c r="CR1202" s="156"/>
      <c r="CS1202" s="156"/>
      <c r="CT1202" s="156"/>
      <c r="CU1202" s="156"/>
      <c r="CV1202" s="156"/>
      <c r="CW1202" s="156"/>
      <c r="CX1202" s="156"/>
      <c r="CY1202" s="156"/>
      <c r="CZ1202" s="156"/>
      <c r="DA1202" s="156"/>
      <c r="DB1202" s="156"/>
      <c r="DC1202" s="156"/>
      <c r="DD1202" s="156"/>
      <c r="DE1202" s="156"/>
      <c r="DF1202" s="156"/>
      <c r="DG1202" s="156"/>
      <c r="DH1202" s="156"/>
      <c r="DI1202" s="156"/>
      <c r="DJ1202" s="156"/>
      <c r="DK1202" s="156"/>
      <c r="DL1202" s="156"/>
      <c r="DM1202" s="156"/>
      <c r="DN1202" s="156"/>
      <c r="DO1202" s="156"/>
      <c r="DP1202" s="156"/>
      <c r="DQ1202" s="156"/>
      <c r="DR1202" s="156"/>
      <c r="DS1202" s="156"/>
      <c r="DT1202" s="156"/>
      <c r="DU1202" s="156"/>
      <c r="DV1202" s="156"/>
      <c r="DW1202" s="156"/>
      <c r="DX1202" s="156"/>
      <c r="DY1202" s="156"/>
      <c r="DZ1202" s="156"/>
      <c r="EA1202" s="156"/>
      <c r="EB1202" s="156"/>
      <c r="EC1202" s="156"/>
      <c r="ED1202" s="156"/>
      <c r="EE1202" s="156"/>
      <c r="EF1202" s="156"/>
      <c r="EG1202" s="156"/>
      <c r="EH1202" s="156"/>
      <c r="EI1202" s="156"/>
      <c r="EJ1202" s="156"/>
      <c r="EK1202" s="156"/>
      <c r="EL1202" s="156"/>
      <c r="EM1202" s="156"/>
    </row>
    <row r="1203" spans="20:143" ht="10.5" customHeight="1">
      <c r="T1203" s="156"/>
      <c r="AZ1203" s="156"/>
      <c r="BA1203" s="156"/>
      <c r="BB1203" s="156"/>
      <c r="BC1203" s="156"/>
      <c r="BD1203" s="156"/>
      <c r="BE1203" s="156"/>
      <c r="BF1203" s="156"/>
      <c r="BG1203" s="156"/>
      <c r="BH1203" s="156"/>
      <c r="BI1203" s="156"/>
      <c r="BJ1203" s="156"/>
      <c r="BK1203" s="156"/>
      <c r="BL1203" s="156"/>
      <c r="BM1203" s="156"/>
      <c r="BN1203" s="156"/>
      <c r="BO1203" s="156"/>
      <c r="BP1203" s="156"/>
      <c r="BQ1203" s="156"/>
      <c r="BR1203" s="156"/>
      <c r="BS1203" s="156"/>
      <c r="BT1203" s="156"/>
      <c r="BU1203" s="156"/>
      <c r="BV1203" s="156"/>
      <c r="BW1203" s="156"/>
      <c r="BX1203" s="156"/>
      <c r="BY1203" s="156"/>
      <c r="BZ1203" s="156"/>
      <c r="CA1203" s="156"/>
      <c r="CB1203" s="156"/>
      <c r="CC1203" s="156"/>
      <c r="CD1203" s="156"/>
      <c r="CE1203" s="156"/>
      <c r="CF1203" s="156"/>
      <c r="CG1203" s="156"/>
      <c r="CH1203" s="156"/>
      <c r="CI1203" s="156"/>
      <c r="CJ1203" s="156"/>
      <c r="CK1203" s="156"/>
      <c r="CL1203" s="156"/>
      <c r="CM1203" s="156"/>
      <c r="CN1203" s="156"/>
      <c r="CO1203" s="156"/>
      <c r="CP1203" s="156"/>
      <c r="CQ1203" s="156"/>
      <c r="CR1203" s="156"/>
      <c r="CS1203" s="156"/>
      <c r="CT1203" s="156"/>
      <c r="CU1203" s="156"/>
      <c r="CV1203" s="156"/>
      <c r="CW1203" s="156"/>
      <c r="CX1203" s="156"/>
      <c r="CY1203" s="156"/>
      <c r="CZ1203" s="156"/>
      <c r="DA1203" s="156"/>
      <c r="DB1203" s="156"/>
      <c r="DC1203" s="156"/>
      <c r="DD1203" s="156"/>
      <c r="DE1203" s="156"/>
      <c r="DF1203" s="156"/>
      <c r="DG1203" s="156"/>
      <c r="DH1203" s="156"/>
      <c r="DI1203" s="156"/>
      <c r="DJ1203" s="156"/>
      <c r="DK1203" s="156"/>
      <c r="DL1203" s="156"/>
      <c r="DM1203" s="156"/>
      <c r="DN1203" s="156"/>
      <c r="DO1203" s="156"/>
      <c r="DP1203" s="156"/>
      <c r="DQ1203" s="156"/>
      <c r="DR1203" s="156"/>
      <c r="DS1203" s="156"/>
      <c r="DT1203" s="156"/>
      <c r="DU1203" s="156"/>
      <c r="DV1203" s="156"/>
      <c r="DW1203" s="156"/>
      <c r="DX1203" s="156"/>
      <c r="DY1203" s="156"/>
      <c r="DZ1203" s="156"/>
      <c r="EA1203" s="156"/>
      <c r="EB1203" s="156"/>
      <c r="EC1203" s="156"/>
      <c r="ED1203" s="156"/>
      <c r="EE1203" s="156"/>
      <c r="EF1203" s="156"/>
      <c r="EG1203" s="156"/>
      <c r="EH1203" s="156"/>
      <c r="EI1203" s="156"/>
      <c r="EJ1203" s="156"/>
      <c r="EK1203" s="156"/>
      <c r="EL1203" s="156"/>
      <c r="EM1203" s="156"/>
    </row>
    <row r="1204" spans="20:143" ht="10.5" customHeight="1">
      <c r="T1204" s="156"/>
      <c r="AZ1204" s="156"/>
      <c r="BA1204" s="156"/>
      <c r="BB1204" s="156"/>
      <c r="BC1204" s="156"/>
      <c r="BD1204" s="156"/>
      <c r="BE1204" s="156"/>
      <c r="BF1204" s="156"/>
      <c r="BG1204" s="156"/>
      <c r="BH1204" s="156"/>
      <c r="BI1204" s="156"/>
      <c r="BJ1204" s="156"/>
      <c r="BK1204" s="156"/>
      <c r="BL1204" s="156"/>
      <c r="BM1204" s="156"/>
      <c r="BN1204" s="156"/>
      <c r="BO1204" s="156"/>
      <c r="BP1204" s="156"/>
      <c r="BQ1204" s="156"/>
      <c r="BR1204" s="156"/>
      <c r="BS1204" s="156"/>
      <c r="BT1204" s="156"/>
      <c r="BU1204" s="156"/>
      <c r="BV1204" s="156"/>
      <c r="BW1204" s="156"/>
      <c r="BX1204" s="156"/>
      <c r="BY1204" s="156"/>
      <c r="BZ1204" s="156"/>
      <c r="CA1204" s="156"/>
      <c r="CB1204" s="156"/>
      <c r="CC1204" s="156"/>
      <c r="CD1204" s="156"/>
      <c r="CE1204" s="156"/>
      <c r="CF1204" s="156"/>
      <c r="CG1204" s="156"/>
      <c r="CH1204" s="156"/>
      <c r="CI1204" s="156"/>
      <c r="CJ1204" s="156"/>
      <c r="CK1204" s="156"/>
      <c r="CL1204" s="156"/>
      <c r="CM1204" s="156"/>
      <c r="CN1204" s="156"/>
      <c r="CO1204" s="156"/>
      <c r="CP1204" s="156"/>
      <c r="CQ1204" s="156"/>
      <c r="CR1204" s="156"/>
      <c r="CS1204" s="156"/>
      <c r="CT1204" s="156"/>
      <c r="CU1204" s="156"/>
      <c r="CV1204" s="156"/>
      <c r="CW1204" s="156"/>
      <c r="CX1204" s="156"/>
      <c r="CY1204" s="156"/>
      <c r="CZ1204" s="156"/>
      <c r="DA1204" s="156"/>
      <c r="DB1204" s="156"/>
      <c r="DC1204" s="156"/>
      <c r="DD1204" s="156"/>
      <c r="DE1204" s="156"/>
      <c r="DF1204" s="156"/>
      <c r="DG1204" s="156"/>
      <c r="DH1204" s="156"/>
      <c r="DI1204" s="156"/>
      <c r="DJ1204" s="156"/>
      <c r="DK1204" s="156"/>
      <c r="DL1204" s="156"/>
      <c r="DM1204" s="156"/>
      <c r="DN1204" s="156"/>
      <c r="DO1204" s="156"/>
      <c r="DP1204" s="156"/>
      <c r="DQ1204" s="156"/>
      <c r="DR1204" s="156"/>
      <c r="DS1204" s="156"/>
      <c r="DT1204" s="156"/>
      <c r="DU1204" s="156"/>
      <c r="DV1204" s="156"/>
      <c r="DW1204" s="156"/>
      <c r="DX1204" s="156"/>
      <c r="DY1204" s="156"/>
      <c r="DZ1204" s="156"/>
      <c r="EA1204" s="156"/>
      <c r="EB1204" s="156"/>
      <c r="EC1204" s="156"/>
      <c r="ED1204" s="156"/>
      <c r="EE1204" s="156"/>
      <c r="EF1204" s="156"/>
      <c r="EG1204" s="156"/>
      <c r="EH1204" s="156"/>
      <c r="EI1204" s="156"/>
      <c r="EJ1204" s="156"/>
      <c r="EK1204" s="156"/>
      <c r="EL1204" s="156"/>
      <c r="EM1204" s="156"/>
    </row>
    <row r="1205" spans="20:143" ht="10.5" customHeight="1">
      <c r="T1205" s="156"/>
      <c r="AZ1205" s="156"/>
      <c r="BA1205" s="156"/>
      <c r="BB1205" s="156"/>
      <c r="BC1205" s="156"/>
      <c r="BD1205" s="156"/>
      <c r="BE1205" s="156"/>
      <c r="BF1205" s="156"/>
      <c r="BG1205" s="156"/>
      <c r="BH1205" s="156"/>
      <c r="BI1205" s="156"/>
      <c r="BJ1205" s="156"/>
      <c r="BK1205" s="156"/>
      <c r="BL1205" s="156"/>
      <c r="BM1205" s="156"/>
      <c r="BN1205" s="156"/>
      <c r="BO1205" s="156"/>
      <c r="BP1205" s="156"/>
      <c r="BQ1205" s="156"/>
      <c r="BR1205" s="156"/>
      <c r="BS1205" s="156"/>
      <c r="BT1205" s="156"/>
      <c r="BU1205" s="156"/>
      <c r="BV1205" s="156"/>
      <c r="BW1205" s="156"/>
      <c r="BX1205" s="156"/>
      <c r="BY1205" s="156"/>
      <c r="BZ1205" s="156"/>
      <c r="CA1205" s="156"/>
      <c r="CB1205" s="156"/>
      <c r="CC1205" s="156"/>
      <c r="CD1205" s="156"/>
      <c r="CE1205" s="156"/>
      <c r="CF1205" s="156"/>
      <c r="CG1205" s="156"/>
      <c r="CH1205" s="156"/>
      <c r="CI1205" s="156"/>
      <c r="CJ1205" s="156"/>
      <c r="CK1205" s="156"/>
      <c r="CL1205" s="156"/>
      <c r="CM1205" s="156"/>
      <c r="CN1205" s="156"/>
      <c r="CO1205" s="156"/>
      <c r="CP1205" s="156"/>
      <c r="CQ1205" s="156"/>
      <c r="CR1205" s="156"/>
      <c r="CS1205" s="156"/>
      <c r="CT1205" s="156"/>
      <c r="CU1205" s="156"/>
      <c r="CV1205" s="156"/>
      <c r="CW1205" s="156"/>
      <c r="CX1205" s="156"/>
      <c r="CY1205" s="156"/>
      <c r="CZ1205" s="156"/>
      <c r="DA1205" s="156"/>
      <c r="DB1205" s="156"/>
      <c r="DC1205" s="156"/>
      <c r="DD1205" s="156"/>
      <c r="DE1205" s="156"/>
      <c r="DF1205" s="156"/>
      <c r="DG1205" s="156"/>
      <c r="DH1205" s="156"/>
      <c r="DI1205" s="156"/>
      <c r="DJ1205" s="156"/>
      <c r="DK1205" s="156"/>
      <c r="DL1205" s="156"/>
      <c r="DM1205" s="156"/>
      <c r="DN1205" s="156"/>
      <c r="DO1205" s="156"/>
      <c r="DP1205" s="156"/>
      <c r="DQ1205" s="156"/>
      <c r="DR1205" s="156"/>
      <c r="DS1205" s="156"/>
      <c r="DT1205" s="156"/>
      <c r="DU1205" s="156"/>
      <c r="DV1205" s="156"/>
      <c r="DW1205" s="156"/>
      <c r="DX1205" s="156"/>
      <c r="DY1205" s="156"/>
      <c r="DZ1205" s="156"/>
      <c r="EA1205" s="156"/>
      <c r="EB1205" s="156"/>
      <c r="EC1205" s="156"/>
      <c r="ED1205" s="156"/>
      <c r="EE1205" s="156"/>
      <c r="EF1205" s="156"/>
      <c r="EG1205" s="156"/>
      <c r="EH1205" s="156"/>
      <c r="EI1205" s="156"/>
      <c r="EJ1205" s="156"/>
      <c r="EK1205" s="156"/>
      <c r="EL1205" s="156"/>
      <c r="EM1205" s="156"/>
    </row>
    <row r="1206" spans="20:143" ht="10.5" customHeight="1">
      <c r="T1206" s="156"/>
      <c r="AZ1206" s="156"/>
      <c r="BA1206" s="156"/>
      <c r="BB1206" s="156"/>
      <c r="BC1206" s="156"/>
      <c r="BD1206" s="156"/>
      <c r="BE1206" s="156"/>
      <c r="BF1206" s="156"/>
      <c r="BG1206" s="156"/>
      <c r="BH1206" s="156"/>
      <c r="BI1206" s="156"/>
      <c r="BJ1206" s="156"/>
      <c r="BK1206" s="156"/>
      <c r="BL1206" s="156"/>
      <c r="BM1206" s="156"/>
      <c r="BN1206" s="156"/>
      <c r="BO1206" s="156"/>
      <c r="BP1206" s="156"/>
      <c r="BQ1206" s="156"/>
      <c r="BR1206" s="156"/>
      <c r="BS1206" s="156"/>
      <c r="BT1206" s="156"/>
      <c r="BU1206" s="156"/>
      <c r="BV1206" s="156"/>
      <c r="BW1206" s="156"/>
      <c r="BX1206" s="156"/>
      <c r="BY1206" s="156"/>
      <c r="BZ1206" s="156"/>
      <c r="CA1206" s="156"/>
      <c r="CB1206" s="156"/>
      <c r="CC1206" s="156"/>
      <c r="CD1206" s="156"/>
      <c r="CE1206" s="156"/>
      <c r="CF1206" s="156"/>
      <c r="CG1206" s="156"/>
      <c r="CH1206" s="156"/>
      <c r="CI1206" s="156"/>
      <c r="CJ1206" s="156"/>
      <c r="CK1206" s="156"/>
      <c r="CL1206" s="156"/>
      <c r="CM1206" s="156"/>
      <c r="CN1206" s="156"/>
      <c r="CO1206" s="156"/>
      <c r="CP1206" s="156"/>
      <c r="CQ1206" s="156"/>
      <c r="CR1206" s="156"/>
      <c r="CS1206" s="156"/>
      <c r="CT1206" s="156"/>
      <c r="CU1206" s="156"/>
      <c r="CV1206" s="156"/>
      <c r="CW1206" s="156"/>
      <c r="CX1206" s="156"/>
      <c r="CY1206" s="156"/>
      <c r="CZ1206" s="156"/>
      <c r="DA1206" s="156"/>
      <c r="DB1206" s="156"/>
      <c r="DC1206" s="156"/>
      <c r="DD1206" s="156"/>
      <c r="DE1206" s="156"/>
      <c r="DF1206" s="156"/>
      <c r="DG1206" s="156"/>
      <c r="DH1206" s="156"/>
      <c r="DI1206" s="156"/>
      <c r="DJ1206" s="156"/>
      <c r="DK1206" s="156"/>
      <c r="DL1206" s="156"/>
      <c r="DM1206" s="156"/>
      <c r="DN1206" s="156"/>
      <c r="DO1206" s="156"/>
      <c r="DP1206" s="156"/>
      <c r="DQ1206" s="156"/>
      <c r="DR1206" s="156"/>
      <c r="DS1206" s="156"/>
      <c r="DT1206" s="156"/>
      <c r="DU1206" s="156"/>
      <c r="DV1206" s="156"/>
      <c r="DW1206" s="156"/>
      <c r="DX1206" s="156"/>
      <c r="DY1206" s="156"/>
      <c r="DZ1206" s="156"/>
      <c r="EA1206" s="156"/>
      <c r="EB1206" s="156"/>
      <c r="EC1206" s="156"/>
      <c r="ED1206" s="156"/>
      <c r="EE1206" s="156"/>
      <c r="EF1206" s="156"/>
      <c r="EG1206" s="156"/>
      <c r="EH1206" s="156"/>
      <c r="EI1206" s="156"/>
      <c r="EJ1206" s="156"/>
      <c r="EK1206" s="156"/>
      <c r="EL1206" s="156"/>
      <c r="EM1206" s="156"/>
    </row>
    <row r="1207" spans="20:143" ht="10.5" customHeight="1">
      <c r="T1207" s="156"/>
      <c r="AZ1207" s="156"/>
      <c r="BA1207" s="156"/>
      <c r="BB1207" s="156"/>
      <c r="BC1207" s="156"/>
      <c r="BD1207" s="156"/>
      <c r="BE1207" s="156"/>
      <c r="BF1207" s="156"/>
      <c r="BG1207" s="156"/>
      <c r="BH1207" s="156"/>
      <c r="BI1207" s="156"/>
      <c r="BJ1207" s="156"/>
      <c r="BK1207" s="156"/>
      <c r="BL1207" s="156"/>
      <c r="BM1207" s="156"/>
      <c r="BN1207" s="156"/>
      <c r="BO1207" s="156"/>
      <c r="BP1207" s="156"/>
      <c r="BQ1207" s="156"/>
      <c r="BR1207" s="156"/>
      <c r="BS1207" s="156"/>
      <c r="BT1207" s="156"/>
      <c r="BU1207" s="156"/>
      <c r="BV1207" s="156"/>
      <c r="BW1207" s="156"/>
      <c r="BX1207" s="156"/>
      <c r="BY1207" s="156"/>
      <c r="BZ1207" s="156"/>
      <c r="CA1207" s="156"/>
      <c r="CB1207" s="156"/>
      <c r="CC1207" s="156"/>
      <c r="CD1207" s="156"/>
      <c r="CE1207" s="156"/>
      <c r="CF1207" s="156"/>
      <c r="CG1207" s="156"/>
      <c r="CH1207" s="156"/>
      <c r="CI1207" s="156"/>
      <c r="CJ1207" s="156"/>
      <c r="CK1207" s="156"/>
      <c r="CL1207" s="156"/>
      <c r="CM1207" s="156"/>
      <c r="CN1207" s="156"/>
      <c r="CO1207" s="156"/>
      <c r="CP1207" s="156"/>
      <c r="CQ1207" s="156"/>
      <c r="CR1207" s="156"/>
      <c r="CS1207" s="156"/>
      <c r="CT1207" s="156"/>
      <c r="CU1207" s="156"/>
      <c r="CV1207" s="156"/>
      <c r="CW1207" s="156"/>
      <c r="CX1207" s="156"/>
      <c r="CY1207" s="156"/>
      <c r="CZ1207" s="156"/>
      <c r="DA1207" s="156"/>
      <c r="DB1207" s="156"/>
      <c r="DC1207" s="156"/>
      <c r="DD1207" s="156"/>
      <c r="DE1207" s="156"/>
      <c r="DF1207" s="156"/>
      <c r="DG1207" s="156"/>
      <c r="DH1207" s="156"/>
      <c r="DI1207" s="156"/>
      <c r="DJ1207" s="156"/>
      <c r="DK1207" s="156"/>
      <c r="DL1207" s="156"/>
      <c r="DM1207" s="156"/>
      <c r="DN1207" s="156"/>
      <c r="DO1207" s="156"/>
      <c r="DP1207" s="156"/>
      <c r="DQ1207" s="156"/>
      <c r="DR1207" s="156"/>
      <c r="DS1207" s="156"/>
      <c r="DT1207" s="156"/>
      <c r="DU1207" s="156"/>
      <c r="DV1207" s="156"/>
      <c r="DW1207" s="156"/>
      <c r="DX1207" s="156"/>
      <c r="DY1207" s="156"/>
      <c r="DZ1207" s="156"/>
      <c r="EA1207" s="156"/>
      <c r="EB1207" s="156"/>
      <c r="EC1207" s="156"/>
      <c r="ED1207" s="156"/>
      <c r="EE1207" s="156"/>
      <c r="EF1207" s="156"/>
      <c r="EG1207" s="156"/>
      <c r="EH1207" s="156"/>
      <c r="EI1207" s="156"/>
      <c r="EJ1207" s="156"/>
      <c r="EK1207" s="156"/>
      <c r="EL1207" s="156"/>
      <c r="EM1207" s="156"/>
    </row>
    <row r="1208" spans="20:143" ht="10.5" customHeight="1">
      <c r="T1208" s="156"/>
      <c r="AZ1208" s="156"/>
      <c r="BA1208" s="156"/>
      <c r="BB1208" s="156"/>
      <c r="BC1208" s="156"/>
      <c r="BD1208" s="156"/>
      <c r="BE1208" s="156"/>
      <c r="BF1208" s="156"/>
      <c r="BG1208" s="156"/>
      <c r="BH1208" s="156"/>
      <c r="BI1208" s="156"/>
      <c r="BJ1208" s="156"/>
      <c r="BK1208" s="156"/>
      <c r="BL1208" s="156"/>
      <c r="BM1208" s="156"/>
      <c r="BN1208" s="156"/>
      <c r="BO1208" s="156"/>
      <c r="BP1208" s="156"/>
      <c r="BQ1208" s="156"/>
      <c r="BR1208" s="156"/>
      <c r="BS1208" s="156"/>
      <c r="BT1208" s="156"/>
      <c r="BU1208" s="156"/>
      <c r="BV1208" s="156"/>
      <c r="BW1208" s="156"/>
      <c r="BX1208" s="156"/>
      <c r="BY1208" s="156"/>
      <c r="BZ1208" s="156"/>
      <c r="CA1208" s="156"/>
      <c r="CB1208" s="156"/>
      <c r="CC1208" s="156"/>
      <c r="CD1208" s="156"/>
      <c r="CE1208" s="156"/>
      <c r="CF1208" s="156"/>
      <c r="CG1208" s="156"/>
      <c r="CH1208" s="156"/>
      <c r="CI1208" s="156"/>
      <c r="CJ1208" s="156"/>
      <c r="CK1208" s="156"/>
      <c r="CL1208" s="156"/>
      <c r="CM1208" s="156"/>
      <c r="CN1208" s="156"/>
      <c r="CO1208" s="156"/>
      <c r="CP1208" s="156"/>
      <c r="CQ1208" s="156"/>
      <c r="CR1208" s="156"/>
      <c r="CS1208" s="156"/>
      <c r="CT1208" s="156"/>
      <c r="CU1208" s="156"/>
      <c r="CV1208" s="156"/>
      <c r="CW1208" s="156"/>
      <c r="CX1208" s="156"/>
      <c r="CY1208" s="156"/>
      <c r="CZ1208" s="156"/>
      <c r="DA1208" s="156"/>
      <c r="DB1208" s="156"/>
      <c r="DC1208" s="156"/>
      <c r="DD1208" s="156"/>
      <c r="DE1208" s="156"/>
      <c r="DF1208" s="156"/>
      <c r="DG1208" s="156"/>
      <c r="DH1208" s="156"/>
      <c r="DI1208" s="156"/>
      <c r="DJ1208" s="156"/>
      <c r="DK1208" s="156"/>
      <c r="DL1208" s="156"/>
      <c r="DM1208" s="156"/>
      <c r="DN1208" s="156"/>
      <c r="DO1208" s="156"/>
      <c r="DP1208" s="156"/>
      <c r="DQ1208" s="156"/>
      <c r="DR1208" s="156"/>
      <c r="DS1208" s="156"/>
      <c r="DT1208" s="156"/>
      <c r="DU1208" s="156"/>
      <c r="DV1208" s="156"/>
      <c r="DW1208" s="156"/>
      <c r="DX1208" s="156"/>
      <c r="DY1208" s="156"/>
      <c r="DZ1208" s="156"/>
      <c r="EA1208" s="156"/>
      <c r="EB1208" s="156"/>
      <c r="EC1208" s="156"/>
      <c r="ED1208" s="156"/>
      <c r="EE1208" s="156"/>
      <c r="EF1208" s="156"/>
      <c r="EG1208" s="156"/>
      <c r="EH1208" s="156"/>
      <c r="EI1208" s="156"/>
      <c r="EJ1208" s="156"/>
      <c r="EK1208" s="156"/>
      <c r="EL1208" s="156"/>
      <c r="EM1208" s="156"/>
    </row>
    <row r="1209" spans="20:143" ht="10.5" customHeight="1">
      <c r="T1209" s="156"/>
      <c r="AZ1209" s="156"/>
      <c r="BA1209" s="156"/>
      <c r="BB1209" s="156"/>
      <c r="BC1209" s="156"/>
      <c r="BD1209" s="156"/>
      <c r="BE1209" s="156"/>
      <c r="BF1209" s="156"/>
      <c r="BG1209" s="156"/>
      <c r="BH1209" s="156"/>
      <c r="BI1209" s="156"/>
      <c r="BJ1209" s="156"/>
      <c r="BK1209" s="156"/>
      <c r="BL1209" s="156"/>
      <c r="BM1209" s="156"/>
      <c r="BN1209" s="156"/>
      <c r="BO1209" s="156"/>
      <c r="BP1209" s="156"/>
      <c r="BQ1209" s="156"/>
      <c r="BR1209" s="156"/>
      <c r="BS1209" s="156"/>
      <c r="BT1209" s="156"/>
      <c r="BU1209" s="156"/>
      <c r="BV1209" s="156"/>
      <c r="BW1209" s="156"/>
      <c r="BX1209" s="156"/>
      <c r="BY1209" s="156"/>
      <c r="BZ1209" s="156"/>
      <c r="CA1209" s="156"/>
      <c r="CB1209" s="156"/>
      <c r="CC1209" s="156"/>
      <c r="CD1209" s="156"/>
      <c r="CE1209" s="156"/>
      <c r="CF1209" s="156"/>
      <c r="CG1209" s="156"/>
      <c r="CH1209" s="156"/>
      <c r="CI1209" s="156"/>
      <c r="CJ1209" s="156"/>
      <c r="CK1209" s="156"/>
      <c r="CL1209" s="156"/>
      <c r="CM1209" s="156"/>
      <c r="CN1209" s="156"/>
      <c r="CO1209" s="156"/>
      <c r="CP1209" s="156"/>
      <c r="CQ1209" s="156"/>
      <c r="CR1209" s="156"/>
      <c r="CS1209" s="156"/>
      <c r="CT1209" s="156"/>
      <c r="CU1209" s="156"/>
      <c r="CV1209" s="156"/>
      <c r="CW1209" s="156"/>
      <c r="CX1209" s="156"/>
      <c r="CY1209" s="156"/>
      <c r="CZ1209" s="156"/>
      <c r="DA1209" s="156"/>
      <c r="DB1209" s="156"/>
      <c r="DC1209" s="156"/>
      <c r="DD1209" s="156"/>
      <c r="DE1209" s="156"/>
      <c r="DF1209" s="156"/>
      <c r="DG1209" s="156"/>
      <c r="DH1209" s="156"/>
      <c r="DI1209" s="156"/>
      <c r="DJ1209" s="156"/>
      <c r="DK1209" s="156"/>
      <c r="DL1209" s="156"/>
      <c r="DM1209" s="156"/>
      <c r="DN1209" s="156"/>
      <c r="DO1209" s="156"/>
      <c r="DP1209" s="156"/>
      <c r="DQ1209" s="156"/>
      <c r="DR1209" s="156"/>
      <c r="DS1209" s="156"/>
      <c r="DT1209" s="156"/>
      <c r="DU1209" s="156"/>
      <c r="DV1209" s="156"/>
      <c r="DW1209" s="156"/>
      <c r="DX1209" s="156"/>
      <c r="DY1209" s="156"/>
      <c r="DZ1209" s="156"/>
      <c r="EA1209" s="156"/>
      <c r="EB1209" s="156"/>
      <c r="EC1209" s="156"/>
      <c r="ED1209" s="156"/>
      <c r="EE1209" s="156"/>
      <c r="EF1209" s="156"/>
      <c r="EG1209" s="156"/>
      <c r="EH1209" s="156"/>
      <c r="EI1209" s="156"/>
      <c r="EJ1209" s="156"/>
      <c r="EK1209" s="156"/>
      <c r="EL1209" s="156"/>
      <c r="EM1209" s="156"/>
    </row>
    <row r="1210" spans="20:143" ht="10.5" customHeight="1">
      <c r="T1210" s="156"/>
      <c r="AZ1210" s="156"/>
      <c r="BA1210" s="156"/>
      <c r="BB1210" s="156"/>
      <c r="BC1210" s="156"/>
      <c r="BD1210" s="156"/>
      <c r="BE1210" s="156"/>
      <c r="BF1210" s="156"/>
      <c r="BG1210" s="156"/>
      <c r="BH1210" s="156"/>
      <c r="BI1210" s="156"/>
      <c r="BJ1210" s="156"/>
      <c r="BK1210" s="156"/>
      <c r="BL1210" s="156"/>
      <c r="BM1210" s="156"/>
      <c r="BN1210" s="156"/>
      <c r="BO1210" s="156"/>
      <c r="BP1210" s="156"/>
      <c r="BQ1210" s="156"/>
      <c r="BR1210" s="156"/>
      <c r="BS1210" s="156"/>
      <c r="BT1210" s="156"/>
      <c r="BU1210" s="156"/>
      <c r="BV1210" s="156"/>
      <c r="BW1210" s="156"/>
      <c r="BX1210" s="156"/>
      <c r="BY1210" s="156"/>
      <c r="BZ1210" s="156"/>
      <c r="CA1210" s="156"/>
      <c r="CB1210" s="156"/>
      <c r="CC1210" s="156"/>
      <c r="CD1210" s="156"/>
      <c r="CE1210" s="156"/>
      <c r="CF1210" s="156"/>
      <c r="CG1210" s="156"/>
      <c r="CH1210" s="156"/>
      <c r="CI1210" s="156"/>
      <c r="CJ1210" s="156"/>
      <c r="CK1210" s="156"/>
      <c r="CL1210" s="156"/>
      <c r="CM1210" s="156"/>
      <c r="CN1210" s="156"/>
      <c r="CO1210" s="156"/>
      <c r="CP1210" s="156"/>
      <c r="CQ1210" s="156"/>
      <c r="CR1210" s="156"/>
      <c r="CS1210" s="156"/>
      <c r="CT1210" s="156"/>
      <c r="CU1210" s="156"/>
      <c r="CV1210" s="156"/>
      <c r="CW1210" s="156"/>
      <c r="CX1210" s="156"/>
      <c r="CY1210" s="156"/>
      <c r="CZ1210" s="156"/>
      <c r="DA1210" s="156"/>
      <c r="DB1210" s="156"/>
      <c r="DC1210" s="156"/>
      <c r="DD1210" s="156"/>
      <c r="DE1210" s="156"/>
      <c r="DF1210" s="156"/>
      <c r="DG1210" s="156"/>
      <c r="DH1210" s="156"/>
      <c r="DI1210" s="156"/>
      <c r="DJ1210" s="156"/>
      <c r="DK1210" s="156"/>
      <c r="DL1210" s="156"/>
      <c r="DM1210" s="156"/>
      <c r="DN1210" s="156"/>
      <c r="DO1210" s="156"/>
      <c r="DP1210" s="156"/>
      <c r="DQ1210" s="156"/>
      <c r="DR1210" s="156"/>
      <c r="DS1210" s="156"/>
      <c r="DT1210" s="156"/>
      <c r="DU1210" s="156"/>
      <c r="DV1210" s="156"/>
      <c r="DW1210" s="156"/>
      <c r="DX1210" s="156"/>
      <c r="DY1210" s="156"/>
      <c r="DZ1210" s="156"/>
      <c r="EA1210" s="156"/>
      <c r="EB1210" s="156"/>
      <c r="EC1210" s="156"/>
      <c r="ED1210" s="156"/>
      <c r="EE1210" s="156"/>
      <c r="EF1210" s="156"/>
      <c r="EG1210" s="156"/>
      <c r="EH1210" s="156"/>
      <c r="EI1210" s="156"/>
      <c r="EJ1210" s="156"/>
      <c r="EK1210" s="156"/>
      <c r="EL1210" s="156"/>
      <c r="EM1210" s="156"/>
    </row>
    <row r="1211" spans="20:143" ht="10.5" customHeight="1">
      <c r="T1211" s="156"/>
      <c r="AZ1211" s="156"/>
      <c r="BA1211" s="156"/>
      <c r="BB1211" s="156"/>
      <c r="BC1211" s="156"/>
      <c r="BD1211" s="156"/>
      <c r="BE1211" s="156"/>
      <c r="BF1211" s="156"/>
      <c r="BG1211" s="156"/>
      <c r="BH1211" s="156"/>
      <c r="BI1211" s="156"/>
      <c r="BJ1211" s="156"/>
      <c r="BK1211" s="156"/>
      <c r="BL1211" s="156"/>
      <c r="BM1211" s="156"/>
      <c r="BN1211" s="156"/>
      <c r="BO1211" s="156"/>
      <c r="BP1211" s="156"/>
      <c r="BQ1211" s="156"/>
      <c r="BR1211" s="156"/>
      <c r="BS1211" s="156"/>
      <c r="BT1211" s="156"/>
      <c r="BU1211" s="156"/>
      <c r="BV1211" s="156"/>
      <c r="BW1211" s="156"/>
      <c r="BX1211" s="156"/>
      <c r="BY1211" s="156"/>
      <c r="BZ1211" s="156"/>
      <c r="CA1211" s="156"/>
      <c r="CB1211" s="156"/>
      <c r="CC1211" s="156"/>
      <c r="CD1211" s="156"/>
      <c r="CE1211" s="156"/>
      <c r="CF1211" s="156"/>
      <c r="CG1211" s="156"/>
      <c r="CH1211" s="156"/>
      <c r="CI1211" s="156"/>
      <c r="CJ1211" s="156"/>
      <c r="CK1211" s="156"/>
      <c r="CL1211" s="156"/>
      <c r="CM1211" s="156"/>
      <c r="CN1211" s="156"/>
      <c r="CO1211" s="156"/>
      <c r="CP1211" s="156"/>
      <c r="CQ1211" s="156"/>
      <c r="CR1211" s="156"/>
      <c r="CS1211" s="156"/>
      <c r="CT1211" s="156"/>
      <c r="CU1211" s="156"/>
      <c r="CV1211" s="156"/>
      <c r="CW1211" s="156"/>
      <c r="CX1211" s="156"/>
      <c r="CY1211" s="156"/>
      <c r="CZ1211" s="156"/>
      <c r="DA1211" s="156"/>
      <c r="DB1211" s="156"/>
      <c r="DC1211" s="156"/>
      <c r="DD1211" s="156"/>
      <c r="DE1211" s="156"/>
      <c r="DF1211" s="156"/>
      <c r="DG1211" s="156"/>
      <c r="DH1211" s="156"/>
      <c r="DI1211" s="156"/>
      <c r="DJ1211" s="156"/>
      <c r="DK1211" s="156"/>
      <c r="DL1211" s="156"/>
      <c r="DM1211" s="156"/>
      <c r="DN1211" s="156"/>
      <c r="DO1211" s="156"/>
      <c r="DP1211" s="156"/>
      <c r="DQ1211" s="156"/>
      <c r="DR1211" s="156"/>
      <c r="DS1211" s="156"/>
      <c r="DT1211" s="156"/>
      <c r="DU1211" s="156"/>
      <c r="DV1211" s="156"/>
      <c r="DW1211" s="156"/>
      <c r="DX1211" s="156"/>
      <c r="DY1211" s="156"/>
      <c r="DZ1211" s="156"/>
      <c r="EA1211" s="156"/>
      <c r="EB1211" s="156"/>
      <c r="EC1211" s="156"/>
      <c r="ED1211" s="156"/>
      <c r="EE1211" s="156"/>
      <c r="EF1211" s="156"/>
      <c r="EG1211" s="156"/>
      <c r="EH1211" s="156"/>
      <c r="EI1211" s="156"/>
      <c r="EJ1211" s="156"/>
      <c r="EK1211" s="156"/>
      <c r="EL1211" s="156"/>
      <c r="EM1211" s="156"/>
    </row>
    <row r="1212" spans="20:143" ht="10.5" customHeight="1">
      <c r="T1212" s="156"/>
      <c r="AZ1212" s="156"/>
      <c r="BA1212" s="156"/>
      <c r="BB1212" s="156"/>
      <c r="BC1212" s="156"/>
      <c r="BD1212" s="156"/>
      <c r="BE1212" s="156"/>
      <c r="BF1212" s="156"/>
      <c r="BG1212" s="156"/>
      <c r="BH1212" s="156"/>
      <c r="BI1212" s="156"/>
      <c r="BJ1212" s="156"/>
      <c r="BK1212" s="156"/>
      <c r="BL1212" s="156"/>
      <c r="BM1212" s="156"/>
      <c r="BN1212" s="156"/>
      <c r="BO1212" s="156"/>
      <c r="BP1212" s="156"/>
      <c r="BQ1212" s="156"/>
      <c r="BR1212" s="156"/>
      <c r="BS1212" s="156"/>
      <c r="BT1212" s="156"/>
      <c r="BU1212" s="156"/>
      <c r="BV1212" s="156"/>
      <c r="BW1212" s="156"/>
      <c r="BX1212" s="156"/>
      <c r="BY1212" s="156"/>
      <c r="BZ1212" s="156"/>
      <c r="CA1212" s="156"/>
      <c r="CB1212" s="156"/>
      <c r="CC1212" s="156"/>
      <c r="CD1212" s="156"/>
      <c r="CE1212" s="156"/>
      <c r="CF1212" s="156"/>
      <c r="CG1212" s="156"/>
      <c r="CH1212" s="156"/>
      <c r="CI1212" s="156"/>
      <c r="CJ1212" s="156"/>
      <c r="CK1212" s="156"/>
      <c r="CL1212" s="156"/>
      <c r="CM1212" s="156"/>
      <c r="CN1212" s="156"/>
      <c r="CO1212" s="156"/>
      <c r="CP1212" s="156"/>
      <c r="CQ1212" s="156"/>
      <c r="CR1212" s="156"/>
      <c r="CS1212" s="156"/>
      <c r="CT1212" s="156"/>
      <c r="CU1212" s="156"/>
      <c r="CV1212" s="156"/>
      <c r="CW1212" s="156"/>
      <c r="CX1212" s="156"/>
      <c r="CY1212" s="156"/>
      <c r="CZ1212" s="156"/>
      <c r="DA1212" s="156"/>
      <c r="DB1212" s="156"/>
      <c r="DC1212" s="156"/>
      <c r="DD1212" s="156"/>
      <c r="DE1212" s="156"/>
      <c r="DF1212" s="156"/>
      <c r="DG1212" s="156"/>
      <c r="DH1212" s="156"/>
      <c r="DI1212" s="156"/>
      <c r="DJ1212" s="156"/>
      <c r="DK1212" s="156"/>
      <c r="DL1212" s="156"/>
      <c r="DM1212" s="156"/>
      <c r="DN1212" s="156"/>
      <c r="DO1212" s="156"/>
      <c r="DP1212" s="156"/>
      <c r="DQ1212" s="156"/>
      <c r="DR1212" s="156"/>
      <c r="DS1212" s="156"/>
      <c r="DT1212" s="156"/>
      <c r="DU1212" s="156"/>
      <c r="DV1212" s="156"/>
      <c r="DW1212" s="156"/>
      <c r="DX1212" s="156"/>
      <c r="DY1212" s="156"/>
      <c r="DZ1212" s="156"/>
      <c r="EA1212" s="156"/>
      <c r="EB1212" s="156"/>
      <c r="EC1212" s="156"/>
      <c r="ED1212" s="156"/>
      <c r="EE1212" s="156"/>
      <c r="EF1212" s="156"/>
      <c r="EG1212" s="156"/>
      <c r="EH1212" s="156"/>
      <c r="EI1212" s="156"/>
      <c r="EJ1212" s="156"/>
      <c r="EK1212" s="156"/>
      <c r="EL1212" s="156"/>
      <c r="EM1212" s="156"/>
    </row>
    <row r="1213" spans="20:143" ht="10.5" customHeight="1">
      <c r="T1213" s="156"/>
      <c r="AZ1213" s="156"/>
      <c r="BA1213" s="156"/>
      <c r="BB1213" s="156"/>
      <c r="BC1213" s="156"/>
      <c r="BD1213" s="156"/>
      <c r="BE1213" s="156"/>
      <c r="BF1213" s="156"/>
      <c r="BG1213" s="156"/>
      <c r="BH1213" s="156"/>
      <c r="BI1213" s="156"/>
      <c r="BJ1213" s="156"/>
      <c r="BK1213" s="156"/>
      <c r="BL1213" s="156"/>
      <c r="BM1213" s="156"/>
      <c r="BN1213" s="156"/>
      <c r="BO1213" s="156"/>
      <c r="BP1213" s="156"/>
      <c r="BQ1213" s="156"/>
      <c r="BR1213" s="156"/>
      <c r="BS1213" s="156"/>
      <c r="BT1213" s="156"/>
      <c r="BU1213" s="156"/>
      <c r="BV1213" s="156"/>
      <c r="BW1213" s="156"/>
      <c r="BX1213" s="156"/>
      <c r="BY1213" s="156"/>
      <c r="BZ1213" s="156"/>
      <c r="CA1213" s="156"/>
      <c r="CB1213" s="156"/>
      <c r="CC1213" s="156"/>
      <c r="CD1213" s="156"/>
      <c r="CE1213" s="156"/>
      <c r="CF1213" s="156"/>
      <c r="CG1213" s="156"/>
      <c r="CH1213" s="156"/>
      <c r="CI1213" s="156"/>
      <c r="CJ1213" s="156"/>
      <c r="CK1213" s="156"/>
      <c r="CL1213" s="156"/>
      <c r="CM1213" s="156"/>
      <c r="CN1213" s="156"/>
      <c r="CO1213" s="156"/>
      <c r="CP1213" s="156"/>
      <c r="CQ1213" s="156"/>
      <c r="CR1213" s="156"/>
      <c r="CS1213" s="156"/>
      <c r="CT1213" s="156"/>
      <c r="CU1213" s="156"/>
      <c r="CV1213" s="156"/>
      <c r="CW1213" s="156"/>
      <c r="CX1213" s="156"/>
      <c r="CY1213" s="156"/>
      <c r="CZ1213" s="156"/>
      <c r="DA1213" s="156"/>
      <c r="DB1213" s="156"/>
      <c r="DC1213" s="156"/>
      <c r="DD1213" s="156"/>
      <c r="DE1213" s="156"/>
      <c r="DF1213" s="156"/>
      <c r="DG1213" s="156"/>
      <c r="DH1213" s="156"/>
      <c r="DI1213" s="156"/>
      <c r="DJ1213" s="156"/>
      <c r="DK1213" s="156"/>
      <c r="DL1213" s="156"/>
      <c r="DM1213" s="156"/>
      <c r="DN1213" s="156"/>
      <c r="DO1213" s="156"/>
      <c r="DP1213" s="156"/>
      <c r="DQ1213" s="156"/>
      <c r="DR1213" s="156"/>
      <c r="DS1213" s="156"/>
      <c r="DT1213" s="156"/>
      <c r="DU1213" s="156"/>
      <c r="DV1213" s="156"/>
      <c r="DW1213" s="156"/>
      <c r="DX1213" s="156"/>
      <c r="DY1213" s="156"/>
      <c r="DZ1213" s="156"/>
      <c r="EA1213" s="156"/>
      <c r="EB1213" s="156"/>
      <c r="EC1213" s="156"/>
      <c r="ED1213" s="156"/>
      <c r="EE1213" s="156"/>
      <c r="EF1213" s="156"/>
      <c r="EG1213" s="156"/>
      <c r="EH1213" s="156"/>
      <c r="EI1213" s="156"/>
      <c r="EJ1213" s="156"/>
      <c r="EK1213" s="156"/>
      <c r="EL1213" s="156"/>
      <c r="EM1213" s="156"/>
    </row>
    <row r="1214" spans="20:143" ht="10.5" customHeight="1">
      <c r="T1214" s="156"/>
      <c r="AZ1214" s="156"/>
      <c r="BA1214" s="156"/>
      <c r="BB1214" s="156"/>
      <c r="BC1214" s="156"/>
      <c r="BD1214" s="156"/>
      <c r="BE1214" s="156"/>
      <c r="BF1214" s="156"/>
      <c r="BG1214" s="156"/>
      <c r="BH1214" s="156"/>
      <c r="BI1214" s="156"/>
      <c r="BJ1214" s="156"/>
      <c r="BK1214" s="156"/>
      <c r="BL1214" s="156"/>
      <c r="BM1214" s="156"/>
      <c r="BN1214" s="156"/>
      <c r="BO1214" s="156"/>
      <c r="BP1214" s="156"/>
      <c r="BQ1214" s="156"/>
      <c r="BR1214" s="156"/>
      <c r="BS1214" s="156"/>
      <c r="BT1214" s="156"/>
      <c r="BU1214" s="156"/>
      <c r="BV1214" s="156"/>
      <c r="BW1214" s="156"/>
      <c r="BX1214" s="156"/>
      <c r="BY1214" s="156"/>
      <c r="BZ1214" s="156"/>
      <c r="CA1214" s="156"/>
      <c r="CB1214" s="156"/>
      <c r="CC1214" s="156"/>
      <c r="CD1214" s="156"/>
      <c r="CE1214" s="156"/>
      <c r="CF1214" s="156"/>
      <c r="CG1214" s="156"/>
      <c r="CH1214" s="156"/>
      <c r="CI1214" s="156"/>
      <c r="CJ1214" s="156"/>
      <c r="CK1214" s="156"/>
      <c r="CL1214" s="156"/>
      <c r="CM1214" s="156"/>
      <c r="CN1214" s="156"/>
      <c r="CO1214" s="156"/>
      <c r="CP1214" s="156"/>
      <c r="CQ1214" s="156"/>
      <c r="CR1214" s="156"/>
      <c r="CS1214" s="156"/>
      <c r="CT1214" s="156"/>
      <c r="CU1214" s="156"/>
      <c r="CV1214" s="156"/>
      <c r="CW1214" s="156"/>
      <c r="CX1214" s="156"/>
      <c r="CY1214" s="156"/>
      <c r="CZ1214" s="156"/>
      <c r="DA1214" s="156"/>
      <c r="DB1214" s="156"/>
      <c r="DC1214" s="156"/>
      <c r="DD1214" s="156"/>
      <c r="DE1214" s="156"/>
      <c r="DF1214" s="156"/>
      <c r="DG1214" s="156"/>
      <c r="DH1214" s="156"/>
      <c r="DI1214" s="156"/>
      <c r="DJ1214" s="156"/>
      <c r="DK1214" s="156"/>
      <c r="DL1214" s="156"/>
      <c r="DM1214" s="156"/>
      <c r="DN1214" s="156"/>
      <c r="DO1214" s="156"/>
      <c r="DP1214" s="156"/>
      <c r="DQ1214" s="156"/>
      <c r="DR1214" s="156"/>
      <c r="DS1214" s="156"/>
      <c r="DT1214" s="156"/>
      <c r="DU1214" s="156"/>
      <c r="DV1214" s="156"/>
      <c r="DW1214" s="156"/>
      <c r="DX1214" s="156"/>
      <c r="DY1214" s="156"/>
      <c r="DZ1214" s="156"/>
      <c r="EA1214" s="156"/>
      <c r="EB1214" s="156"/>
      <c r="EC1214" s="156"/>
      <c r="ED1214" s="156"/>
      <c r="EE1214" s="156"/>
      <c r="EF1214" s="156"/>
      <c r="EG1214" s="156"/>
      <c r="EH1214" s="156"/>
      <c r="EI1214" s="156"/>
      <c r="EJ1214" s="156"/>
      <c r="EK1214" s="156"/>
      <c r="EL1214" s="156"/>
      <c r="EM1214" s="156"/>
    </row>
    <row r="1215" spans="20:143" ht="10.5" customHeight="1">
      <c r="T1215" s="156"/>
      <c r="AZ1215" s="156"/>
      <c r="BA1215" s="156"/>
      <c r="BB1215" s="156"/>
      <c r="BC1215" s="156"/>
      <c r="BD1215" s="156"/>
      <c r="BE1215" s="156"/>
      <c r="BF1215" s="156"/>
      <c r="BG1215" s="156"/>
      <c r="BH1215" s="156"/>
      <c r="BI1215" s="156"/>
      <c r="BJ1215" s="156"/>
      <c r="BK1215" s="156"/>
      <c r="BL1215" s="156"/>
      <c r="BM1215" s="156"/>
      <c r="BN1215" s="156"/>
      <c r="BO1215" s="156"/>
      <c r="BP1215" s="156"/>
      <c r="BQ1215" s="156"/>
      <c r="BR1215" s="156"/>
      <c r="BS1215" s="156"/>
      <c r="BT1215" s="156"/>
      <c r="BU1215" s="156"/>
      <c r="BV1215" s="156"/>
      <c r="BW1215" s="156"/>
      <c r="BX1215" s="156"/>
      <c r="BY1215" s="156"/>
      <c r="BZ1215" s="156"/>
      <c r="CA1215" s="156"/>
      <c r="CB1215" s="156"/>
      <c r="CC1215" s="156"/>
      <c r="CD1215" s="156"/>
      <c r="CE1215" s="156"/>
      <c r="CF1215" s="156"/>
      <c r="CG1215" s="156"/>
      <c r="CH1215" s="156"/>
      <c r="CI1215" s="156"/>
      <c r="CJ1215" s="156"/>
      <c r="CK1215" s="156"/>
      <c r="CL1215" s="156"/>
      <c r="CM1215" s="156"/>
      <c r="CN1215" s="156"/>
      <c r="CO1215" s="156"/>
      <c r="CP1215" s="156"/>
      <c r="CQ1215" s="156"/>
      <c r="CR1215" s="156"/>
      <c r="CS1215" s="156"/>
      <c r="CT1215" s="156"/>
      <c r="CU1215" s="156"/>
      <c r="CV1215" s="156"/>
      <c r="CW1215" s="156"/>
      <c r="CX1215" s="156"/>
      <c r="CY1215" s="156"/>
      <c r="CZ1215" s="156"/>
      <c r="DA1215" s="156"/>
      <c r="DB1215" s="156"/>
      <c r="DC1215" s="156"/>
      <c r="DD1215" s="156"/>
      <c r="DE1215" s="156"/>
      <c r="DF1215" s="156"/>
      <c r="DG1215" s="156"/>
      <c r="DH1215" s="156"/>
      <c r="DI1215" s="156"/>
      <c r="DJ1215" s="156"/>
      <c r="DK1215" s="156"/>
      <c r="DL1215" s="156"/>
      <c r="DM1215" s="156"/>
      <c r="DN1215" s="156"/>
      <c r="DO1215" s="156"/>
      <c r="DP1215" s="156"/>
      <c r="DQ1215" s="156"/>
      <c r="DR1215" s="156"/>
      <c r="DS1215" s="156"/>
      <c r="DT1215" s="156"/>
      <c r="DU1215" s="156"/>
      <c r="DV1215" s="156"/>
      <c r="DW1215" s="156"/>
      <c r="DX1215" s="156"/>
      <c r="DY1215" s="156"/>
      <c r="DZ1215" s="156"/>
      <c r="EA1215" s="156"/>
      <c r="EB1215" s="156"/>
      <c r="EC1215" s="156"/>
      <c r="ED1215" s="156"/>
      <c r="EE1215" s="156"/>
      <c r="EF1215" s="156"/>
      <c r="EG1215" s="156"/>
      <c r="EH1215" s="156"/>
      <c r="EI1215" s="156"/>
      <c r="EJ1215" s="156"/>
      <c r="EK1215" s="156"/>
      <c r="EL1215" s="156"/>
      <c r="EM1215" s="156"/>
    </row>
    <row r="1216" spans="20:143" ht="10.5" customHeight="1">
      <c r="T1216" s="156"/>
      <c r="AZ1216" s="156"/>
      <c r="BA1216" s="156"/>
      <c r="BB1216" s="156"/>
      <c r="BC1216" s="156"/>
      <c r="BD1216" s="156"/>
      <c r="BE1216" s="156"/>
      <c r="BF1216" s="156"/>
      <c r="BG1216" s="156"/>
      <c r="BH1216" s="156"/>
      <c r="BI1216" s="156"/>
      <c r="BJ1216" s="156"/>
      <c r="BK1216" s="156"/>
      <c r="BL1216" s="156"/>
      <c r="BM1216" s="156"/>
      <c r="BN1216" s="156"/>
      <c r="BO1216" s="156"/>
      <c r="BP1216" s="156"/>
      <c r="BQ1216" s="156"/>
      <c r="BR1216" s="156"/>
      <c r="BS1216" s="156"/>
      <c r="BT1216" s="156"/>
      <c r="BU1216" s="156"/>
      <c r="BV1216" s="156"/>
      <c r="BW1216" s="156"/>
      <c r="BX1216" s="156"/>
      <c r="BY1216" s="156"/>
      <c r="BZ1216" s="156"/>
      <c r="CA1216" s="156"/>
      <c r="CB1216" s="156"/>
      <c r="CC1216" s="156"/>
      <c r="CD1216" s="156"/>
      <c r="CE1216" s="156"/>
      <c r="CF1216" s="156"/>
      <c r="CG1216" s="156"/>
      <c r="CH1216" s="156"/>
      <c r="CI1216" s="156"/>
      <c r="CJ1216" s="156"/>
      <c r="CK1216" s="156"/>
      <c r="CL1216" s="156"/>
      <c r="CM1216" s="156"/>
      <c r="CN1216" s="156"/>
      <c r="CO1216" s="156"/>
      <c r="CP1216" s="156"/>
      <c r="CQ1216" s="156"/>
      <c r="CR1216" s="156"/>
      <c r="CS1216" s="156"/>
      <c r="CT1216" s="156"/>
      <c r="CU1216" s="156"/>
      <c r="CV1216" s="156"/>
      <c r="CW1216" s="156"/>
      <c r="CX1216" s="156"/>
      <c r="CY1216" s="156"/>
      <c r="CZ1216" s="156"/>
      <c r="DA1216" s="156"/>
      <c r="DB1216" s="156"/>
      <c r="DC1216" s="156"/>
      <c r="DD1216" s="156"/>
      <c r="DE1216" s="156"/>
      <c r="DF1216" s="156"/>
      <c r="DG1216" s="156"/>
      <c r="DH1216" s="156"/>
      <c r="DI1216" s="156"/>
      <c r="DJ1216" s="156"/>
      <c r="DK1216" s="156"/>
      <c r="DL1216" s="156"/>
      <c r="DM1216" s="156"/>
      <c r="DN1216" s="156"/>
      <c r="DO1216" s="156"/>
      <c r="DP1216" s="156"/>
      <c r="DQ1216" s="156"/>
      <c r="DR1216" s="156"/>
      <c r="DS1216" s="156"/>
      <c r="DT1216" s="156"/>
      <c r="DU1216" s="156"/>
      <c r="DV1216" s="156"/>
      <c r="DW1216" s="156"/>
      <c r="DX1216" s="156"/>
      <c r="DY1216" s="156"/>
      <c r="DZ1216" s="156"/>
      <c r="EA1216" s="156"/>
      <c r="EB1216" s="156"/>
      <c r="EC1216" s="156"/>
      <c r="ED1216" s="156"/>
      <c r="EE1216" s="156"/>
      <c r="EF1216" s="156"/>
      <c r="EG1216" s="156"/>
      <c r="EH1216" s="156"/>
      <c r="EI1216" s="156"/>
      <c r="EJ1216" s="156"/>
      <c r="EK1216" s="156"/>
      <c r="EL1216" s="156"/>
      <c r="EM1216" s="156"/>
    </row>
    <row r="1217" spans="20:143" ht="10.5" customHeight="1">
      <c r="T1217" s="156"/>
      <c r="AZ1217" s="156"/>
      <c r="BA1217" s="156"/>
      <c r="BB1217" s="156"/>
      <c r="BC1217" s="156"/>
      <c r="BD1217" s="156"/>
      <c r="BE1217" s="156"/>
      <c r="BF1217" s="156"/>
      <c r="BG1217" s="156"/>
      <c r="BH1217" s="156"/>
      <c r="BI1217" s="156"/>
      <c r="BJ1217" s="156"/>
      <c r="BK1217" s="156"/>
      <c r="BL1217" s="156"/>
      <c r="BM1217" s="156"/>
      <c r="BN1217" s="156"/>
      <c r="BO1217" s="156"/>
      <c r="BP1217" s="156"/>
      <c r="BQ1217" s="156"/>
      <c r="BR1217" s="156"/>
      <c r="BS1217" s="156"/>
      <c r="BT1217" s="156"/>
      <c r="BU1217" s="156"/>
      <c r="BV1217" s="156"/>
      <c r="BW1217" s="156"/>
      <c r="BX1217" s="156"/>
      <c r="BY1217" s="156"/>
      <c r="BZ1217" s="156"/>
      <c r="CA1217" s="156"/>
      <c r="CB1217" s="156"/>
      <c r="CC1217" s="156"/>
      <c r="CD1217" s="156"/>
      <c r="CE1217" s="156"/>
      <c r="CF1217" s="156"/>
      <c r="CG1217" s="156"/>
      <c r="CH1217" s="156"/>
      <c r="CI1217" s="156"/>
      <c r="CJ1217" s="156"/>
      <c r="CK1217" s="156"/>
      <c r="CL1217" s="156"/>
      <c r="CM1217" s="156"/>
      <c r="CN1217" s="156"/>
      <c r="CO1217" s="156"/>
      <c r="CP1217" s="156"/>
      <c r="CQ1217" s="156"/>
      <c r="CR1217" s="156"/>
      <c r="CS1217" s="156"/>
      <c r="CT1217" s="156"/>
      <c r="CU1217" s="156"/>
      <c r="CV1217" s="156"/>
      <c r="CW1217" s="156"/>
      <c r="CX1217" s="156"/>
      <c r="CY1217" s="156"/>
      <c r="CZ1217" s="156"/>
      <c r="DA1217" s="156"/>
      <c r="DB1217" s="156"/>
      <c r="DC1217" s="156"/>
      <c r="DD1217" s="156"/>
      <c r="DE1217" s="156"/>
      <c r="DF1217" s="156"/>
      <c r="DG1217" s="156"/>
      <c r="DH1217" s="156"/>
      <c r="DI1217" s="156"/>
      <c r="DJ1217" s="156"/>
      <c r="DK1217" s="156"/>
      <c r="DL1217" s="156"/>
      <c r="DM1217" s="156"/>
      <c r="DN1217" s="156"/>
      <c r="DO1217" s="156"/>
      <c r="DP1217" s="156"/>
      <c r="DQ1217" s="156"/>
      <c r="DR1217" s="156"/>
      <c r="DS1217" s="156"/>
      <c r="DT1217" s="156"/>
      <c r="DU1217" s="156"/>
      <c r="DV1217" s="156"/>
      <c r="DW1217" s="156"/>
      <c r="DX1217" s="156"/>
      <c r="DY1217" s="156"/>
      <c r="DZ1217" s="156"/>
      <c r="EA1217" s="156"/>
      <c r="EB1217" s="156"/>
      <c r="EC1217" s="156"/>
      <c r="ED1217" s="156"/>
      <c r="EE1217" s="156"/>
      <c r="EF1217" s="156"/>
      <c r="EG1217" s="156"/>
      <c r="EH1217" s="156"/>
      <c r="EI1217" s="156"/>
      <c r="EJ1217" s="156"/>
      <c r="EK1217" s="156"/>
      <c r="EL1217" s="156"/>
      <c r="EM1217" s="156"/>
    </row>
    <row r="1218" spans="20:143" ht="10.5" customHeight="1">
      <c r="T1218" s="156"/>
      <c r="AZ1218" s="156"/>
      <c r="BA1218" s="156"/>
      <c r="BB1218" s="156"/>
      <c r="BC1218" s="156"/>
      <c r="BD1218" s="156"/>
      <c r="BE1218" s="156"/>
      <c r="BF1218" s="156"/>
      <c r="BG1218" s="156"/>
      <c r="BH1218" s="156"/>
      <c r="BI1218" s="156"/>
      <c r="BJ1218" s="156"/>
      <c r="BK1218" s="156"/>
      <c r="BL1218" s="156"/>
      <c r="BM1218" s="156"/>
      <c r="BN1218" s="156"/>
      <c r="BO1218" s="156"/>
      <c r="BP1218" s="156"/>
      <c r="BQ1218" s="156"/>
      <c r="BR1218" s="156"/>
      <c r="BS1218" s="156"/>
      <c r="BT1218" s="156"/>
      <c r="BU1218" s="156"/>
      <c r="BV1218" s="156"/>
      <c r="BW1218" s="156"/>
      <c r="BX1218" s="156"/>
      <c r="BY1218" s="156"/>
      <c r="BZ1218" s="156"/>
      <c r="CA1218" s="156"/>
      <c r="CB1218" s="156"/>
      <c r="CC1218" s="156"/>
      <c r="CD1218" s="156"/>
      <c r="CE1218" s="156"/>
      <c r="CF1218" s="156"/>
      <c r="CG1218" s="156"/>
      <c r="CH1218" s="156"/>
      <c r="CI1218" s="156"/>
      <c r="CJ1218" s="156"/>
      <c r="CK1218" s="156"/>
      <c r="CL1218" s="156"/>
      <c r="CM1218" s="156"/>
      <c r="CN1218" s="156"/>
      <c r="CO1218" s="156"/>
      <c r="CP1218" s="156"/>
      <c r="CQ1218" s="156"/>
      <c r="CR1218" s="156"/>
      <c r="CS1218" s="156"/>
      <c r="CT1218" s="156"/>
      <c r="CU1218" s="156"/>
      <c r="CV1218" s="156"/>
      <c r="CW1218" s="156"/>
      <c r="CX1218" s="156"/>
      <c r="CY1218" s="156"/>
      <c r="CZ1218" s="156"/>
      <c r="DA1218" s="156"/>
      <c r="DB1218" s="156"/>
      <c r="DC1218" s="156"/>
      <c r="DD1218" s="156"/>
      <c r="DE1218" s="156"/>
      <c r="DF1218" s="156"/>
      <c r="DG1218" s="156"/>
      <c r="DH1218" s="156"/>
      <c r="DI1218" s="156"/>
      <c r="DJ1218" s="156"/>
      <c r="DK1218" s="156"/>
      <c r="DL1218" s="156"/>
      <c r="DM1218" s="156"/>
      <c r="DN1218" s="156"/>
      <c r="DO1218" s="156"/>
      <c r="DP1218" s="156"/>
      <c r="DQ1218" s="156"/>
      <c r="DR1218" s="156"/>
      <c r="DS1218" s="156"/>
      <c r="DT1218" s="156"/>
      <c r="DU1218" s="156"/>
      <c r="DV1218" s="156"/>
      <c r="DW1218" s="156"/>
      <c r="DX1218" s="156"/>
      <c r="DY1218" s="156"/>
      <c r="DZ1218" s="156"/>
      <c r="EA1218" s="156"/>
      <c r="EB1218" s="156"/>
      <c r="EC1218" s="156"/>
      <c r="ED1218" s="156"/>
      <c r="EE1218" s="156"/>
      <c r="EF1218" s="156"/>
      <c r="EG1218" s="156"/>
      <c r="EH1218" s="156"/>
      <c r="EI1218" s="156"/>
      <c r="EJ1218" s="156"/>
      <c r="EK1218" s="156"/>
      <c r="EL1218" s="156"/>
      <c r="EM1218" s="156"/>
    </row>
    <row r="1219" spans="20:143" ht="10.5" customHeight="1">
      <c r="T1219" s="156"/>
      <c r="AZ1219" s="156"/>
      <c r="BA1219" s="156"/>
      <c r="BB1219" s="156"/>
      <c r="BC1219" s="156"/>
      <c r="BD1219" s="156"/>
      <c r="BE1219" s="156"/>
      <c r="BF1219" s="156"/>
      <c r="BG1219" s="156"/>
      <c r="BH1219" s="156"/>
      <c r="BI1219" s="156"/>
      <c r="BJ1219" s="156"/>
      <c r="BK1219" s="156"/>
      <c r="BL1219" s="156"/>
      <c r="BM1219" s="156"/>
      <c r="BN1219" s="156"/>
      <c r="BO1219" s="156"/>
      <c r="BP1219" s="156"/>
      <c r="BQ1219" s="156"/>
      <c r="BR1219" s="156"/>
      <c r="BS1219" s="156"/>
      <c r="BT1219" s="156"/>
      <c r="BU1219" s="156"/>
      <c r="BV1219" s="156"/>
      <c r="BW1219" s="156"/>
      <c r="BX1219" s="156"/>
      <c r="BY1219" s="156"/>
      <c r="BZ1219" s="156"/>
      <c r="CA1219" s="156"/>
      <c r="CB1219" s="156"/>
      <c r="CC1219" s="156"/>
      <c r="CD1219" s="156"/>
      <c r="CE1219" s="156"/>
      <c r="CF1219" s="156"/>
      <c r="CG1219" s="156"/>
      <c r="CH1219" s="156"/>
      <c r="CI1219" s="156"/>
      <c r="CJ1219" s="156"/>
      <c r="CK1219" s="156"/>
      <c r="CL1219" s="156"/>
      <c r="CM1219" s="156"/>
      <c r="CN1219" s="156"/>
      <c r="CO1219" s="156"/>
      <c r="CP1219" s="156"/>
      <c r="CQ1219" s="156"/>
      <c r="CR1219" s="156"/>
      <c r="CS1219" s="156"/>
      <c r="CT1219" s="156"/>
      <c r="CU1219" s="156"/>
      <c r="CV1219" s="156"/>
      <c r="CW1219" s="156"/>
      <c r="CX1219" s="156"/>
      <c r="CY1219" s="156"/>
      <c r="CZ1219" s="156"/>
      <c r="DA1219" s="156"/>
      <c r="DB1219" s="156"/>
      <c r="DC1219" s="156"/>
      <c r="DD1219" s="156"/>
      <c r="DE1219" s="156"/>
      <c r="DF1219" s="156"/>
      <c r="DG1219" s="156"/>
      <c r="DH1219" s="156"/>
      <c r="DI1219" s="156"/>
      <c r="DJ1219" s="156"/>
      <c r="DK1219" s="156"/>
      <c r="DL1219" s="156"/>
      <c r="DM1219" s="156"/>
      <c r="DN1219" s="156"/>
      <c r="DO1219" s="156"/>
      <c r="DP1219" s="156"/>
      <c r="DQ1219" s="156"/>
      <c r="DR1219" s="156"/>
      <c r="DS1219" s="156"/>
      <c r="DT1219" s="156"/>
      <c r="DU1219" s="156"/>
      <c r="DV1219" s="156"/>
      <c r="DW1219" s="156"/>
      <c r="DX1219" s="156"/>
      <c r="DY1219" s="156"/>
      <c r="DZ1219" s="156"/>
      <c r="EA1219" s="156"/>
      <c r="EB1219" s="156"/>
      <c r="EC1219" s="156"/>
      <c r="ED1219" s="156"/>
      <c r="EE1219" s="156"/>
      <c r="EF1219" s="156"/>
      <c r="EG1219" s="156"/>
      <c r="EH1219" s="156"/>
      <c r="EI1219" s="156"/>
      <c r="EJ1219" s="156"/>
      <c r="EK1219" s="156"/>
      <c r="EL1219" s="156"/>
      <c r="EM1219" s="156"/>
    </row>
    <row r="1220" spans="20:143" ht="10.5" customHeight="1">
      <c r="T1220" s="156"/>
      <c r="AZ1220" s="156"/>
      <c r="BA1220" s="156"/>
      <c r="BB1220" s="156"/>
      <c r="BC1220" s="156"/>
      <c r="BD1220" s="156"/>
      <c r="BE1220" s="156"/>
      <c r="BF1220" s="156"/>
      <c r="BG1220" s="156"/>
      <c r="BH1220" s="156"/>
      <c r="BI1220" s="156"/>
      <c r="BJ1220" s="156"/>
      <c r="BK1220" s="156"/>
      <c r="BL1220" s="156"/>
      <c r="BM1220" s="156"/>
      <c r="BN1220" s="156"/>
      <c r="BO1220" s="156"/>
      <c r="BP1220" s="156"/>
      <c r="BQ1220" s="156"/>
      <c r="BR1220" s="156"/>
      <c r="BS1220" s="156"/>
      <c r="BT1220" s="156"/>
      <c r="BU1220" s="156"/>
      <c r="BV1220" s="156"/>
      <c r="BW1220" s="156"/>
      <c r="BX1220" s="156"/>
      <c r="BY1220" s="156"/>
      <c r="BZ1220" s="156"/>
      <c r="CA1220" s="156"/>
      <c r="CB1220" s="156"/>
      <c r="CC1220" s="156"/>
      <c r="CD1220" s="156"/>
      <c r="CE1220" s="156"/>
      <c r="CF1220" s="156"/>
      <c r="CG1220" s="156"/>
      <c r="CH1220" s="156"/>
      <c r="CI1220" s="156"/>
      <c r="CJ1220" s="156"/>
      <c r="CK1220" s="156"/>
      <c r="CL1220" s="156"/>
      <c r="CM1220" s="156"/>
      <c r="CN1220" s="156"/>
      <c r="CO1220" s="156"/>
      <c r="CP1220" s="156"/>
      <c r="CQ1220" s="156"/>
      <c r="CR1220" s="156"/>
      <c r="CS1220" s="156"/>
      <c r="CT1220" s="156"/>
      <c r="CU1220" s="156"/>
      <c r="CV1220" s="156"/>
      <c r="CW1220" s="156"/>
      <c r="CX1220" s="156"/>
      <c r="CY1220" s="156"/>
      <c r="CZ1220" s="156"/>
      <c r="DA1220" s="156"/>
      <c r="DB1220" s="156"/>
      <c r="DC1220" s="156"/>
      <c r="DD1220" s="156"/>
      <c r="DE1220" s="156"/>
      <c r="DF1220" s="156"/>
      <c r="DG1220" s="156"/>
      <c r="DH1220" s="156"/>
      <c r="DI1220" s="156"/>
      <c r="DJ1220" s="156"/>
      <c r="DK1220" s="156"/>
      <c r="DL1220" s="156"/>
      <c r="DM1220" s="156"/>
      <c r="DN1220" s="156"/>
      <c r="DO1220" s="156"/>
      <c r="DP1220" s="156"/>
      <c r="DQ1220" s="156"/>
      <c r="DR1220" s="156"/>
      <c r="DS1220" s="156"/>
      <c r="DT1220" s="156"/>
      <c r="DU1220" s="156"/>
      <c r="DV1220" s="156"/>
      <c r="DW1220" s="156"/>
      <c r="DX1220" s="156"/>
      <c r="DY1220" s="156"/>
      <c r="DZ1220" s="156"/>
      <c r="EA1220" s="156"/>
      <c r="EB1220" s="156"/>
      <c r="EC1220" s="156"/>
      <c r="ED1220" s="156"/>
      <c r="EE1220" s="156"/>
      <c r="EF1220" s="156"/>
      <c r="EG1220" s="156"/>
      <c r="EH1220" s="156"/>
      <c r="EI1220" s="156"/>
      <c r="EJ1220" s="156"/>
      <c r="EK1220" s="156"/>
      <c r="EL1220" s="156"/>
      <c r="EM1220" s="156"/>
    </row>
    <row r="1221" spans="20:143" ht="10.5" customHeight="1">
      <c r="T1221" s="156"/>
      <c r="AZ1221" s="156"/>
      <c r="BA1221" s="156"/>
      <c r="BB1221" s="156"/>
      <c r="BC1221" s="156"/>
      <c r="BD1221" s="156"/>
      <c r="BE1221" s="156"/>
      <c r="BF1221" s="156"/>
      <c r="BG1221" s="156"/>
      <c r="BH1221" s="156"/>
      <c r="BI1221" s="156"/>
      <c r="BJ1221" s="156"/>
      <c r="BK1221" s="156"/>
      <c r="BL1221" s="156"/>
      <c r="BM1221" s="156"/>
      <c r="BN1221" s="156"/>
      <c r="BO1221" s="156"/>
      <c r="BP1221" s="156"/>
      <c r="BQ1221" s="156"/>
      <c r="BR1221" s="156"/>
      <c r="BS1221" s="156"/>
      <c r="BT1221" s="156"/>
      <c r="BU1221" s="156"/>
      <c r="BV1221" s="156"/>
      <c r="BW1221" s="156"/>
      <c r="BX1221" s="156"/>
      <c r="BY1221" s="156"/>
      <c r="BZ1221" s="156"/>
      <c r="CA1221" s="156"/>
      <c r="CB1221" s="156"/>
      <c r="CC1221" s="156"/>
      <c r="CD1221" s="156"/>
      <c r="CE1221" s="156"/>
      <c r="CF1221" s="156"/>
      <c r="CG1221" s="156"/>
      <c r="CH1221" s="156"/>
      <c r="CI1221" s="156"/>
      <c r="CJ1221" s="156"/>
      <c r="CK1221" s="156"/>
      <c r="CL1221" s="156"/>
      <c r="CM1221" s="156"/>
      <c r="CN1221" s="156"/>
      <c r="CO1221" s="156"/>
      <c r="CP1221" s="156"/>
      <c r="CQ1221" s="156"/>
      <c r="CR1221" s="156"/>
      <c r="CS1221" s="156"/>
      <c r="CT1221" s="156"/>
      <c r="CU1221" s="156"/>
      <c r="CV1221" s="156"/>
      <c r="CW1221" s="156"/>
      <c r="CX1221" s="156"/>
      <c r="CY1221" s="156"/>
      <c r="CZ1221" s="156"/>
      <c r="DA1221" s="156"/>
      <c r="DB1221" s="156"/>
      <c r="DC1221" s="156"/>
      <c r="DD1221" s="156"/>
      <c r="DE1221" s="156"/>
      <c r="DF1221" s="156"/>
      <c r="DG1221" s="156"/>
      <c r="DH1221" s="156"/>
      <c r="DI1221" s="156"/>
      <c r="DJ1221" s="156"/>
      <c r="DK1221" s="156"/>
      <c r="DL1221" s="156"/>
      <c r="DM1221" s="156"/>
      <c r="DN1221" s="156"/>
      <c r="DO1221" s="156"/>
      <c r="DP1221" s="156"/>
      <c r="DQ1221" s="156"/>
      <c r="DR1221" s="156"/>
      <c r="DS1221" s="156"/>
      <c r="DT1221" s="156"/>
      <c r="DU1221" s="156"/>
      <c r="DV1221" s="156"/>
      <c r="DW1221" s="156"/>
      <c r="DX1221" s="156"/>
      <c r="DY1221" s="156"/>
      <c r="DZ1221" s="156"/>
      <c r="EA1221" s="156"/>
      <c r="EB1221" s="156"/>
      <c r="EC1221" s="156"/>
      <c r="ED1221" s="156"/>
      <c r="EE1221" s="156"/>
      <c r="EF1221" s="156"/>
      <c r="EG1221" s="156"/>
      <c r="EH1221" s="156"/>
      <c r="EI1221" s="156"/>
      <c r="EJ1221" s="156"/>
      <c r="EK1221" s="156"/>
      <c r="EL1221" s="156"/>
      <c r="EM1221" s="156"/>
    </row>
    <row r="1222" spans="20:143" ht="10.5" customHeight="1">
      <c r="T1222" s="156"/>
      <c r="AZ1222" s="156"/>
      <c r="BA1222" s="156"/>
      <c r="BB1222" s="156"/>
      <c r="BC1222" s="156"/>
      <c r="BD1222" s="156"/>
      <c r="BE1222" s="156"/>
      <c r="BF1222" s="156"/>
      <c r="BG1222" s="156"/>
      <c r="BH1222" s="156"/>
      <c r="BI1222" s="156"/>
      <c r="BJ1222" s="156"/>
      <c r="BK1222" s="156"/>
      <c r="BL1222" s="156"/>
      <c r="BM1222" s="156"/>
      <c r="BN1222" s="156"/>
      <c r="BO1222" s="156"/>
      <c r="BP1222" s="156"/>
      <c r="BQ1222" s="156"/>
      <c r="BR1222" s="156"/>
      <c r="BS1222" s="156"/>
      <c r="BT1222" s="156"/>
      <c r="BU1222" s="156"/>
      <c r="BV1222" s="156"/>
      <c r="BW1222" s="156"/>
      <c r="BX1222" s="156"/>
      <c r="BY1222" s="156"/>
      <c r="BZ1222" s="156"/>
      <c r="CA1222" s="156"/>
      <c r="CB1222" s="156"/>
      <c r="CC1222" s="156"/>
      <c r="CD1222" s="156"/>
      <c r="CE1222" s="156"/>
      <c r="CF1222" s="156"/>
      <c r="CG1222" s="156"/>
      <c r="CH1222" s="156"/>
      <c r="CI1222" s="156"/>
      <c r="CJ1222" s="156"/>
      <c r="CK1222" s="156"/>
      <c r="CL1222" s="156"/>
      <c r="CM1222" s="156"/>
      <c r="CN1222" s="156"/>
      <c r="CO1222" s="156"/>
      <c r="CP1222" s="156"/>
      <c r="CQ1222" s="156"/>
      <c r="CR1222" s="156"/>
      <c r="CS1222" s="156"/>
      <c r="CT1222" s="156"/>
      <c r="CU1222" s="156"/>
      <c r="CV1222" s="156"/>
      <c r="CW1222" s="156"/>
      <c r="CX1222" s="156"/>
      <c r="CY1222" s="156"/>
      <c r="CZ1222" s="156"/>
      <c r="DA1222" s="156"/>
      <c r="DB1222" s="156"/>
      <c r="DC1222" s="156"/>
      <c r="DD1222" s="156"/>
      <c r="DE1222" s="156"/>
      <c r="DF1222" s="156"/>
      <c r="DG1222" s="156"/>
      <c r="DH1222" s="156"/>
      <c r="DI1222" s="156"/>
      <c r="DJ1222" s="156"/>
      <c r="DK1222" s="156"/>
      <c r="DL1222" s="156"/>
      <c r="DM1222" s="156"/>
      <c r="DN1222" s="156"/>
      <c r="DO1222" s="156"/>
      <c r="DP1222" s="156"/>
      <c r="DQ1222" s="156"/>
      <c r="DR1222" s="156"/>
      <c r="DS1222" s="156"/>
      <c r="DT1222" s="156"/>
      <c r="DU1222" s="156"/>
      <c r="DV1222" s="156"/>
      <c r="DW1222" s="156"/>
      <c r="DX1222" s="156"/>
      <c r="DY1222" s="156"/>
      <c r="DZ1222" s="156"/>
      <c r="EA1222" s="156"/>
      <c r="EB1222" s="156"/>
      <c r="EC1222" s="156"/>
      <c r="ED1222" s="156"/>
      <c r="EE1222" s="156"/>
      <c r="EF1222" s="156"/>
      <c r="EG1222" s="156"/>
      <c r="EH1222" s="156"/>
      <c r="EI1222" s="156"/>
      <c r="EJ1222" s="156"/>
      <c r="EK1222" s="156"/>
      <c r="EL1222" s="156"/>
      <c r="EM1222" s="156"/>
    </row>
    <row r="1223" spans="20:143" ht="10.5" customHeight="1">
      <c r="T1223" s="156"/>
      <c r="AZ1223" s="156"/>
      <c r="BA1223" s="156"/>
      <c r="BB1223" s="156"/>
      <c r="BC1223" s="156"/>
      <c r="BD1223" s="156"/>
      <c r="BE1223" s="156"/>
      <c r="BF1223" s="156"/>
      <c r="BG1223" s="156"/>
      <c r="BH1223" s="156"/>
      <c r="BI1223" s="156"/>
      <c r="BJ1223" s="156"/>
      <c r="BK1223" s="156"/>
      <c r="BL1223" s="156"/>
      <c r="BM1223" s="156"/>
      <c r="BN1223" s="156"/>
      <c r="BO1223" s="156"/>
      <c r="BP1223" s="156"/>
      <c r="BQ1223" s="156"/>
      <c r="BR1223" s="156"/>
      <c r="BS1223" s="156"/>
      <c r="BT1223" s="156"/>
      <c r="BU1223" s="156"/>
      <c r="BV1223" s="156"/>
      <c r="BW1223" s="156"/>
      <c r="BX1223" s="156"/>
      <c r="BY1223" s="156"/>
      <c r="BZ1223" s="156"/>
      <c r="CA1223" s="156"/>
      <c r="CB1223" s="156"/>
      <c r="CC1223" s="156"/>
      <c r="CD1223" s="156"/>
      <c r="CE1223" s="156"/>
      <c r="CF1223" s="156"/>
      <c r="CG1223" s="156"/>
      <c r="CH1223" s="156"/>
      <c r="CI1223" s="156"/>
      <c r="CJ1223" s="156"/>
      <c r="CK1223" s="156"/>
      <c r="CL1223" s="156"/>
      <c r="CM1223" s="156"/>
      <c r="CN1223" s="156"/>
      <c r="CO1223" s="156"/>
      <c r="CP1223" s="156"/>
      <c r="CQ1223" s="156"/>
      <c r="CR1223" s="156"/>
      <c r="CS1223" s="156"/>
      <c r="CT1223" s="156"/>
      <c r="CU1223" s="156"/>
      <c r="CV1223" s="156"/>
      <c r="CW1223" s="156"/>
      <c r="CX1223" s="156"/>
      <c r="CY1223" s="156"/>
      <c r="CZ1223" s="156"/>
      <c r="DA1223" s="156"/>
      <c r="DB1223" s="156"/>
      <c r="DC1223" s="156"/>
      <c r="DD1223" s="156"/>
      <c r="DE1223" s="156"/>
      <c r="DF1223" s="156"/>
      <c r="DG1223" s="156"/>
      <c r="DH1223" s="156"/>
      <c r="DI1223" s="156"/>
      <c r="DJ1223" s="156"/>
      <c r="DK1223" s="156"/>
      <c r="DL1223" s="156"/>
      <c r="DM1223" s="156"/>
      <c r="DN1223" s="156"/>
      <c r="DO1223" s="156"/>
      <c r="DP1223" s="156"/>
      <c r="DQ1223" s="156"/>
      <c r="DR1223" s="156"/>
      <c r="DS1223" s="156"/>
      <c r="DT1223" s="156"/>
      <c r="DU1223" s="156"/>
      <c r="DV1223" s="156"/>
      <c r="DW1223" s="156"/>
      <c r="DX1223" s="156"/>
      <c r="DY1223" s="156"/>
      <c r="DZ1223" s="156"/>
      <c r="EA1223" s="156"/>
      <c r="EB1223" s="156"/>
      <c r="EC1223" s="156"/>
      <c r="ED1223" s="156"/>
      <c r="EE1223" s="156"/>
      <c r="EF1223" s="156"/>
      <c r="EG1223" s="156"/>
      <c r="EH1223" s="156"/>
      <c r="EI1223" s="156"/>
      <c r="EJ1223" s="156"/>
      <c r="EK1223" s="156"/>
      <c r="EL1223" s="156"/>
      <c r="EM1223" s="156"/>
    </row>
    <row r="1224" spans="20:143" ht="10.5" customHeight="1">
      <c r="T1224" s="156"/>
      <c r="AZ1224" s="156"/>
      <c r="BA1224" s="156"/>
      <c r="BB1224" s="156"/>
      <c r="BC1224" s="156"/>
      <c r="BD1224" s="156"/>
      <c r="BE1224" s="156"/>
      <c r="BF1224" s="156"/>
      <c r="BG1224" s="156"/>
      <c r="BH1224" s="156"/>
      <c r="BI1224" s="156"/>
      <c r="BJ1224" s="156"/>
      <c r="BK1224" s="156"/>
      <c r="BL1224" s="156"/>
      <c r="BM1224" s="156"/>
      <c r="BN1224" s="156"/>
      <c r="BO1224" s="156"/>
      <c r="BP1224" s="156"/>
      <c r="BQ1224" s="156"/>
      <c r="BR1224" s="156"/>
      <c r="BS1224" s="156"/>
      <c r="BT1224" s="156"/>
      <c r="BU1224" s="156"/>
      <c r="BV1224" s="156"/>
      <c r="BW1224" s="156"/>
      <c r="BX1224" s="156"/>
      <c r="BY1224" s="156"/>
      <c r="BZ1224" s="156"/>
      <c r="CA1224" s="156"/>
      <c r="CB1224" s="156"/>
      <c r="CC1224" s="156"/>
      <c r="CD1224" s="156"/>
      <c r="CE1224" s="156"/>
      <c r="CF1224" s="156"/>
      <c r="CG1224" s="156"/>
      <c r="CH1224" s="156"/>
      <c r="CI1224" s="156"/>
      <c r="CJ1224" s="156"/>
      <c r="CK1224" s="156"/>
      <c r="CL1224" s="156"/>
      <c r="CM1224" s="156"/>
      <c r="CN1224" s="156"/>
      <c r="CO1224" s="156"/>
      <c r="CP1224" s="156"/>
      <c r="CQ1224" s="156"/>
      <c r="CR1224" s="156"/>
      <c r="CS1224" s="156"/>
      <c r="CT1224" s="156"/>
      <c r="CU1224" s="156"/>
      <c r="CV1224" s="156"/>
      <c r="CW1224" s="156"/>
      <c r="CX1224" s="156"/>
      <c r="CY1224" s="156"/>
      <c r="CZ1224" s="156"/>
      <c r="DA1224" s="156"/>
      <c r="DB1224" s="156"/>
      <c r="DC1224" s="156"/>
      <c r="DD1224" s="156"/>
      <c r="DE1224" s="156"/>
      <c r="DF1224" s="156"/>
      <c r="DG1224" s="156"/>
      <c r="DH1224" s="156"/>
      <c r="DI1224" s="156"/>
      <c r="DJ1224" s="156"/>
      <c r="DK1224" s="156"/>
      <c r="DL1224" s="156"/>
      <c r="DM1224" s="156"/>
      <c r="DN1224" s="156"/>
      <c r="DO1224" s="156"/>
      <c r="DP1224" s="156"/>
      <c r="DQ1224" s="156"/>
      <c r="DR1224" s="156"/>
      <c r="DS1224" s="156"/>
      <c r="DT1224" s="156"/>
      <c r="DU1224" s="156"/>
      <c r="DV1224" s="156"/>
      <c r="DW1224" s="156"/>
      <c r="DX1224" s="156"/>
      <c r="DY1224" s="156"/>
      <c r="DZ1224" s="156"/>
      <c r="EA1224" s="156"/>
      <c r="EB1224" s="156"/>
      <c r="EC1224" s="156"/>
      <c r="ED1224" s="156"/>
      <c r="EE1224" s="156"/>
      <c r="EF1224" s="156"/>
      <c r="EG1224" s="156"/>
      <c r="EH1224" s="156"/>
      <c r="EI1224" s="156"/>
      <c r="EJ1224" s="156"/>
      <c r="EK1224" s="156"/>
      <c r="EL1224" s="156"/>
      <c r="EM1224" s="156"/>
    </row>
    <row r="1225" spans="20:143" ht="10.5" customHeight="1">
      <c r="T1225" s="156"/>
      <c r="AZ1225" s="156"/>
      <c r="BA1225" s="156"/>
      <c r="BB1225" s="156"/>
      <c r="BC1225" s="156"/>
      <c r="BD1225" s="156"/>
      <c r="BE1225" s="156"/>
      <c r="BF1225" s="156"/>
      <c r="BG1225" s="156"/>
      <c r="BH1225" s="156"/>
      <c r="BI1225" s="156"/>
      <c r="BJ1225" s="156"/>
      <c r="BK1225" s="156"/>
      <c r="BL1225" s="156"/>
      <c r="BM1225" s="156"/>
      <c r="BN1225" s="156"/>
      <c r="BO1225" s="156"/>
      <c r="BP1225" s="156"/>
      <c r="BQ1225" s="156"/>
      <c r="BR1225" s="156"/>
      <c r="BS1225" s="156"/>
      <c r="BT1225" s="156"/>
      <c r="BU1225" s="156"/>
      <c r="BV1225" s="156"/>
      <c r="BW1225" s="156"/>
      <c r="BX1225" s="156"/>
      <c r="BY1225" s="156"/>
      <c r="BZ1225" s="156"/>
      <c r="CA1225" s="156"/>
      <c r="CB1225" s="156"/>
      <c r="CC1225" s="156"/>
      <c r="CD1225" s="156"/>
      <c r="CE1225" s="156"/>
      <c r="CF1225" s="156"/>
      <c r="CG1225" s="156"/>
      <c r="CH1225" s="156"/>
      <c r="CI1225" s="156"/>
      <c r="CJ1225" s="156"/>
      <c r="CK1225" s="156"/>
      <c r="CL1225" s="156"/>
      <c r="CM1225" s="156"/>
      <c r="CN1225" s="156"/>
      <c r="CO1225" s="156"/>
      <c r="CP1225" s="156"/>
      <c r="CQ1225" s="156"/>
      <c r="CR1225" s="156"/>
      <c r="CS1225" s="156"/>
      <c r="CT1225" s="156"/>
      <c r="CU1225" s="156"/>
      <c r="CV1225" s="156"/>
      <c r="CW1225" s="156"/>
      <c r="CX1225" s="156"/>
      <c r="CY1225" s="156"/>
      <c r="CZ1225" s="156"/>
      <c r="DA1225" s="156"/>
      <c r="DB1225" s="156"/>
      <c r="DC1225" s="156"/>
      <c r="DD1225" s="156"/>
      <c r="DE1225" s="156"/>
      <c r="DF1225" s="156"/>
      <c r="DG1225" s="156"/>
      <c r="DH1225" s="156"/>
      <c r="DI1225" s="156"/>
      <c r="DJ1225" s="156"/>
      <c r="DK1225" s="156"/>
      <c r="DL1225" s="156"/>
      <c r="DM1225" s="156"/>
      <c r="DN1225" s="156"/>
      <c r="DO1225" s="156"/>
      <c r="DP1225" s="156"/>
      <c r="DQ1225" s="156"/>
      <c r="DR1225" s="156"/>
      <c r="DS1225" s="156"/>
      <c r="DT1225" s="156"/>
      <c r="DU1225" s="156"/>
      <c r="DV1225" s="156"/>
      <c r="DW1225" s="156"/>
      <c r="DX1225" s="156"/>
      <c r="DY1225" s="156"/>
      <c r="DZ1225" s="156"/>
      <c r="EA1225" s="156"/>
      <c r="EB1225" s="156"/>
      <c r="EC1225" s="156"/>
      <c r="ED1225" s="156"/>
      <c r="EE1225" s="156"/>
      <c r="EF1225" s="156"/>
      <c r="EG1225" s="156"/>
      <c r="EH1225" s="156"/>
      <c r="EI1225" s="156"/>
      <c r="EJ1225" s="156"/>
      <c r="EK1225" s="156"/>
      <c r="EL1225" s="156"/>
      <c r="EM1225" s="156"/>
    </row>
    <row r="1226" spans="20:143" ht="10.5" customHeight="1">
      <c r="T1226" s="156"/>
      <c r="AZ1226" s="156"/>
      <c r="BA1226" s="156"/>
      <c r="BB1226" s="156"/>
      <c r="BC1226" s="156"/>
      <c r="BD1226" s="156"/>
      <c r="BE1226" s="156"/>
      <c r="BF1226" s="156"/>
      <c r="BG1226" s="156"/>
      <c r="BH1226" s="156"/>
      <c r="BI1226" s="156"/>
      <c r="BJ1226" s="156"/>
      <c r="BK1226" s="156"/>
      <c r="BL1226" s="156"/>
      <c r="BM1226" s="156"/>
      <c r="BN1226" s="156"/>
      <c r="BO1226" s="156"/>
      <c r="BP1226" s="156"/>
      <c r="BQ1226" s="156"/>
      <c r="BR1226" s="156"/>
      <c r="BS1226" s="156"/>
      <c r="BT1226" s="156"/>
      <c r="BU1226" s="156"/>
      <c r="BV1226" s="156"/>
      <c r="BW1226" s="156"/>
      <c r="BX1226" s="156"/>
      <c r="BY1226" s="156"/>
      <c r="BZ1226" s="156"/>
      <c r="CA1226" s="156"/>
      <c r="CB1226" s="156"/>
      <c r="CC1226" s="156"/>
      <c r="CD1226" s="156"/>
      <c r="CE1226" s="156"/>
      <c r="CF1226" s="156"/>
      <c r="CG1226" s="156"/>
      <c r="CH1226" s="156"/>
      <c r="CI1226" s="156"/>
      <c r="CJ1226" s="156"/>
      <c r="CK1226" s="156"/>
      <c r="CL1226" s="156"/>
      <c r="CM1226" s="156"/>
      <c r="CN1226" s="156"/>
      <c r="CO1226" s="156"/>
      <c r="CP1226" s="156"/>
      <c r="CQ1226" s="156"/>
      <c r="CR1226" s="156"/>
      <c r="CS1226" s="156"/>
      <c r="CT1226" s="156"/>
      <c r="CU1226" s="156"/>
      <c r="CV1226" s="156"/>
      <c r="CW1226" s="156"/>
      <c r="CX1226" s="156"/>
      <c r="CY1226" s="156"/>
      <c r="CZ1226" s="156"/>
      <c r="DA1226" s="156"/>
      <c r="DB1226" s="156"/>
      <c r="DC1226" s="156"/>
      <c r="DD1226" s="156"/>
      <c r="DE1226" s="156"/>
      <c r="DF1226" s="156"/>
      <c r="DG1226" s="156"/>
      <c r="DH1226" s="156"/>
      <c r="DI1226" s="156"/>
      <c r="DJ1226" s="156"/>
      <c r="DK1226" s="156"/>
      <c r="DL1226" s="156"/>
      <c r="DM1226" s="156"/>
      <c r="DN1226" s="156"/>
      <c r="DO1226" s="156"/>
      <c r="DP1226" s="156"/>
      <c r="DQ1226" s="156"/>
      <c r="DR1226" s="156"/>
      <c r="DS1226" s="156"/>
      <c r="DT1226" s="156"/>
      <c r="DU1226" s="156"/>
      <c r="DV1226" s="156"/>
      <c r="DW1226" s="156"/>
      <c r="DX1226" s="156"/>
      <c r="DY1226" s="156"/>
      <c r="DZ1226" s="156"/>
      <c r="EA1226" s="156"/>
      <c r="EB1226" s="156"/>
      <c r="EC1226" s="156"/>
      <c r="ED1226" s="156"/>
      <c r="EE1226" s="156"/>
      <c r="EF1226" s="156"/>
      <c r="EG1226" s="156"/>
      <c r="EH1226" s="156"/>
      <c r="EI1226" s="156"/>
      <c r="EJ1226" s="156"/>
      <c r="EK1226" s="156"/>
      <c r="EL1226" s="156"/>
      <c r="EM1226" s="156"/>
    </row>
    <row r="1227" spans="20:143" ht="10.5" customHeight="1">
      <c r="T1227" s="156"/>
      <c r="AZ1227" s="156"/>
      <c r="BA1227" s="156"/>
      <c r="BB1227" s="156"/>
      <c r="BC1227" s="156"/>
      <c r="BD1227" s="156"/>
      <c r="BE1227" s="156"/>
      <c r="BF1227" s="156"/>
      <c r="BG1227" s="156"/>
      <c r="BH1227" s="156"/>
      <c r="BI1227" s="156"/>
      <c r="BJ1227" s="156"/>
      <c r="BK1227" s="156"/>
      <c r="BL1227" s="156"/>
      <c r="BM1227" s="156"/>
      <c r="BN1227" s="156"/>
      <c r="BO1227" s="156"/>
      <c r="BP1227" s="156"/>
      <c r="BQ1227" s="156"/>
      <c r="BR1227" s="156"/>
      <c r="BS1227" s="156"/>
      <c r="BT1227" s="156"/>
      <c r="BU1227" s="156"/>
      <c r="BV1227" s="156"/>
      <c r="BW1227" s="156"/>
      <c r="BX1227" s="156"/>
      <c r="BY1227" s="156"/>
      <c r="BZ1227" s="156"/>
      <c r="CA1227" s="156"/>
      <c r="CB1227" s="156"/>
      <c r="CC1227" s="156"/>
      <c r="CD1227" s="156"/>
      <c r="CE1227" s="156"/>
      <c r="CF1227" s="156"/>
      <c r="CG1227" s="156"/>
      <c r="CH1227" s="156"/>
      <c r="CI1227" s="156"/>
      <c r="CJ1227" s="156"/>
      <c r="CK1227" s="156"/>
      <c r="CL1227" s="156"/>
      <c r="CM1227" s="156"/>
      <c r="CN1227" s="156"/>
      <c r="CO1227" s="156"/>
      <c r="CP1227" s="156"/>
      <c r="CQ1227" s="156"/>
      <c r="CR1227" s="156"/>
      <c r="CS1227" s="156"/>
      <c r="CT1227" s="156"/>
      <c r="CU1227" s="156"/>
      <c r="CV1227" s="156"/>
      <c r="CW1227" s="156"/>
      <c r="CX1227" s="156"/>
      <c r="CY1227" s="156"/>
      <c r="CZ1227" s="156"/>
      <c r="DA1227" s="156"/>
      <c r="DB1227" s="156"/>
      <c r="DC1227" s="156"/>
      <c r="DD1227" s="156"/>
      <c r="DE1227" s="156"/>
      <c r="DF1227" s="156"/>
      <c r="DG1227" s="156"/>
      <c r="DH1227" s="156"/>
      <c r="DI1227" s="156"/>
      <c r="DJ1227" s="156"/>
      <c r="DK1227" s="156"/>
      <c r="DL1227" s="156"/>
      <c r="DM1227" s="156"/>
      <c r="DN1227" s="156"/>
      <c r="DO1227" s="156"/>
      <c r="DP1227" s="156"/>
      <c r="DQ1227" s="156"/>
      <c r="DR1227" s="156"/>
      <c r="DS1227" s="156"/>
      <c r="DT1227" s="156"/>
      <c r="DU1227" s="156"/>
      <c r="DV1227" s="156"/>
      <c r="DW1227" s="156"/>
      <c r="DX1227" s="156"/>
      <c r="DY1227" s="156"/>
      <c r="DZ1227" s="156"/>
      <c r="EA1227" s="156"/>
      <c r="EB1227" s="156"/>
      <c r="EC1227" s="156"/>
      <c r="ED1227" s="156"/>
      <c r="EE1227" s="156"/>
      <c r="EF1227" s="156"/>
      <c r="EG1227" s="156"/>
      <c r="EH1227" s="156"/>
      <c r="EI1227" s="156"/>
      <c r="EJ1227" s="156"/>
      <c r="EK1227" s="156"/>
      <c r="EL1227" s="156"/>
      <c r="EM1227" s="156"/>
    </row>
    <row r="1228" spans="20:143" ht="10.5" customHeight="1">
      <c r="T1228" s="156"/>
      <c r="AZ1228" s="156"/>
      <c r="BA1228" s="156"/>
      <c r="BB1228" s="156"/>
      <c r="BC1228" s="156"/>
      <c r="BD1228" s="156"/>
      <c r="BE1228" s="156"/>
      <c r="BF1228" s="156"/>
      <c r="BG1228" s="156"/>
      <c r="BH1228" s="156"/>
      <c r="BI1228" s="156"/>
      <c r="BJ1228" s="156"/>
      <c r="BK1228" s="156"/>
      <c r="BL1228" s="156"/>
      <c r="BM1228" s="156"/>
      <c r="BN1228" s="156"/>
      <c r="BO1228" s="156"/>
      <c r="BP1228" s="156"/>
      <c r="BQ1228" s="156"/>
      <c r="BR1228" s="156"/>
      <c r="BS1228" s="156"/>
      <c r="BT1228" s="156"/>
      <c r="BU1228" s="156"/>
      <c r="BV1228" s="156"/>
      <c r="BW1228" s="156"/>
      <c r="BX1228" s="156"/>
      <c r="BY1228" s="156"/>
      <c r="BZ1228" s="156"/>
      <c r="CA1228" s="156"/>
      <c r="CB1228" s="156"/>
      <c r="CC1228" s="156"/>
      <c r="CD1228" s="156"/>
      <c r="CE1228" s="156"/>
      <c r="CF1228" s="156"/>
      <c r="CG1228" s="156"/>
      <c r="CH1228" s="156"/>
      <c r="CI1228" s="156"/>
      <c r="CJ1228" s="156"/>
      <c r="CK1228" s="156"/>
      <c r="CL1228" s="156"/>
      <c r="CM1228" s="156"/>
      <c r="CN1228" s="156"/>
      <c r="CO1228" s="156"/>
      <c r="CP1228" s="156"/>
      <c r="CQ1228" s="156"/>
      <c r="CR1228" s="156"/>
      <c r="CS1228" s="156"/>
      <c r="CT1228" s="156"/>
      <c r="CU1228" s="156"/>
      <c r="CV1228" s="156"/>
      <c r="CW1228" s="156"/>
      <c r="CX1228" s="156"/>
      <c r="CY1228" s="156"/>
      <c r="CZ1228" s="156"/>
      <c r="DA1228" s="156"/>
      <c r="DB1228" s="156"/>
      <c r="DC1228" s="156"/>
      <c r="DD1228" s="156"/>
      <c r="DE1228" s="156"/>
      <c r="DF1228" s="156"/>
      <c r="DG1228" s="156"/>
      <c r="DH1228" s="156"/>
      <c r="DI1228" s="156"/>
      <c r="DJ1228" s="156"/>
      <c r="DK1228" s="156"/>
      <c r="DL1228" s="156"/>
      <c r="DM1228" s="156"/>
      <c r="DN1228" s="156"/>
      <c r="DO1228" s="156"/>
      <c r="DP1228" s="156"/>
      <c r="DQ1228" s="156"/>
      <c r="DR1228" s="156"/>
      <c r="DS1228" s="156"/>
      <c r="DT1228" s="156"/>
      <c r="DU1228" s="156"/>
      <c r="DV1228" s="156"/>
      <c r="DW1228" s="156"/>
      <c r="DX1228" s="156"/>
      <c r="DY1228" s="156"/>
      <c r="DZ1228" s="156"/>
      <c r="EA1228" s="156"/>
      <c r="EB1228" s="156"/>
      <c r="EC1228" s="156"/>
      <c r="ED1228" s="156"/>
      <c r="EE1228" s="156"/>
      <c r="EF1228" s="156"/>
      <c r="EG1228" s="156"/>
      <c r="EH1228" s="156"/>
      <c r="EI1228" s="156"/>
      <c r="EJ1228" s="156"/>
      <c r="EK1228" s="156"/>
      <c r="EL1228" s="156"/>
      <c r="EM1228" s="156"/>
    </row>
    <row r="1229" spans="20:143" ht="10.5" customHeight="1">
      <c r="T1229" s="156"/>
      <c r="AZ1229" s="156"/>
      <c r="BA1229" s="156"/>
      <c r="BB1229" s="156"/>
      <c r="BC1229" s="156"/>
      <c r="BD1229" s="156"/>
      <c r="BE1229" s="156"/>
      <c r="BF1229" s="156"/>
      <c r="BG1229" s="156"/>
      <c r="BH1229" s="156"/>
      <c r="BI1229" s="156"/>
      <c r="BJ1229" s="156"/>
      <c r="BK1229" s="156"/>
      <c r="BL1229" s="156"/>
      <c r="BM1229" s="156"/>
      <c r="BN1229" s="156"/>
      <c r="BO1229" s="156"/>
      <c r="BP1229" s="156"/>
      <c r="BQ1229" s="156"/>
      <c r="BR1229" s="156"/>
      <c r="BS1229" s="156"/>
      <c r="BT1229" s="156"/>
      <c r="BU1229" s="156"/>
      <c r="BV1229" s="156"/>
      <c r="BW1229" s="156"/>
      <c r="BX1229" s="156"/>
      <c r="BY1229" s="156"/>
      <c r="BZ1229" s="156"/>
      <c r="CA1229" s="156"/>
      <c r="CB1229" s="156"/>
      <c r="CC1229" s="156"/>
      <c r="CD1229" s="156"/>
      <c r="CE1229" s="156"/>
      <c r="CF1229" s="156"/>
      <c r="CG1229" s="156"/>
      <c r="CH1229" s="156"/>
      <c r="CI1229" s="156"/>
      <c r="CJ1229" s="156"/>
      <c r="CK1229" s="156"/>
      <c r="CL1229" s="156"/>
      <c r="CM1229" s="156"/>
      <c r="CN1229" s="156"/>
      <c r="CO1229" s="156"/>
      <c r="CP1229" s="156"/>
      <c r="CQ1229" s="156"/>
      <c r="CR1229" s="156"/>
      <c r="CS1229" s="156"/>
      <c r="CT1229" s="156"/>
      <c r="CU1229" s="156"/>
      <c r="CV1229" s="156"/>
      <c r="CW1229" s="156"/>
      <c r="CX1229" s="156"/>
      <c r="CY1229" s="156"/>
      <c r="CZ1229" s="156"/>
      <c r="DA1229" s="156"/>
      <c r="DB1229" s="156"/>
      <c r="DC1229" s="156"/>
      <c r="DD1229" s="156"/>
      <c r="DE1229" s="156"/>
      <c r="DF1229" s="156"/>
      <c r="DG1229" s="156"/>
      <c r="DH1229" s="156"/>
      <c r="DI1229" s="156"/>
      <c r="DJ1229" s="156"/>
      <c r="DK1229" s="156"/>
      <c r="DL1229" s="156"/>
      <c r="DM1229" s="156"/>
      <c r="DN1229" s="156"/>
      <c r="DO1229" s="156"/>
      <c r="DP1229" s="156"/>
      <c r="DQ1229" s="156"/>
      <c r="DR1229" s="156"/>
      <c r="DS1229" s="156"/>
      <c r="DT1229" s="156"/>
      <c r="DU1229" s="156"/>
      <c r="DV1229" s="156"/>
      <c r="DW1229" s="156"/>
      <c r="DX1229" s="156"/>
      <c r="DY1229" s="156"/>
      <c r="DZ1229" s="156"/>
      <c r="EA1229" s="156"/>
      <c r="EB1229" s="156"/>
      <c r="EC1229" s="156"/>
      <c r="ED1229" s="156"/>
      <c r="EE1229" s="156"/>
      <c r="EF1229" s="156"/>
      <c r="EG1229" s="156"/>
      <c r="EH1229" s="156"/>
      <c r="EI1229" s="156"/>
      <c r="EJ1229" s="156"/>
      <c r="EK1229" s="156"/>
      <c r="EL1229" s="156"/>
      <c r="EM1229" s="156"/>
    </row>
    <row r="1230" spans="20:143" ht="10.5" customHeight="1">
      <c r="T1230" s="156"/>
      <c r="AZ1230" s="156"/>
      <c r="BA1230" s="156"/>
      <c r="BB1230" s="156"/>
      <c r="BC1230" s="156"/>
      <c r="BD1230" s="156"/>
      <c r="BE1230" s="156"/>
      <c r="BF1230" s="156"/>
      <c r="BG1230" s="156"/>
      <c r="BH1230" s="156"/>
      <c r="BI1230" s="156"/>
      <c r="BJ1230" s="156"/>
      <c r="BK1230" s="156"/>
      <c r="BL1230" s="156"/>
      <c r="BM1230" s="156"/>
      <c r="BN1230" s="156"/>
      <c r="BO1230" s="156"/>
      <c r="BP1230" s="156"/>
      <c r="BQ1230" s="156"/>
      <c r="BR1230" s="156"/>
      <c r="BS1230" s="156"/>
      <c r="BT1230" s="156"/>
      <c r="BU1230" s="156"/>
      <c r="BV1230" s="156"/>
      <c r="BW1230" s="156"/>
      <c r="BX1230" s="156"/>
      <c r="BY1230" s="156"/>
      <c r="BZ1230" s="156"/>
      <c r="CA1230" s="156"/>
      <c r="CB1230" s="156"/>
      <c r="CC1230" s="156"/>
      <c r="CD1230" s="156"/>
      <c r="CE1230" s="156"/>
      <c r="CF1230" s="156"/>
      <c r="CG1230" s="156"/>
      <c r="CH1230" s="156"/>
      <c r="CI1230" s="156"/>
      <c r="CJ1230" s="156"/>
      <c r="CK1230" s="156"/>
      <c r="CL1230" s="156"/>
      <c r="CM1230" s="156"/>
      <c r="CN1230" s="156"/>
      <c r="CO1230" s="156"/>
      <c r="CP1230" s="156"/>
      <c r="CQ1230" s="156"/>
      <c r="CR1230" s="156"/>
      <c r="CS1230" s="156"/>
      <c r="CT1230" s="156"/>
      <c r="CU1230" s="156"/>
      <c r="CV1230" s="156"/>
      <c r="CW1230" s="156"/>
      <c r="CX1230" s="156"/>
      <c r="CY1230" s="156"/>
      <c r="CZ1230" s="156"/>
      <c r="DA1230" s="156"/>
      <c r="DB1230" s="156"/>
      <c r="DC1230" s="156"/>
      <c r="DD1230" s="156"/>
      <c r="DE1230" s="156"/>
      <c r="DF1230" s="156"/>
      <c r="DG1230" s="156"/>
      <c r="DH1230" s="156"/>
      <c r="DI1230" s="156"/>
      <c r="DJ1230" s="156"/>
      <c r="DK1230" s="156"/>
      <c r="DL1230" s="156"/>
      <c r="DM1230" s="156"/>
      <c r="DN1230" s="156"/>
      <c r="DO1230" s="156"/>
      <c r="DP1230" s="156"/>
      <c r="DQ1230" s="156"/>
      <c r="DR1230" s="156"/>
      <c r="DS1230" s="156"/>
      <c r="DT1230" s="156"/>
      <c r="DU1230" s="156"/>
      <c r="DV1230" s="156"/>
      <c r="DW1230" s="156"/>
      <c r="DX1230" s="156"/>
      <c r="DY1230" s="156"/>
      <c r="DZ1230" s="156"/>
      <c r="EA1230" s="156"/>
      <c r="EB1230" s="156"/>
      <c r="EC1230" s="156"/>
      <c r="ED1230" s="156"/>
      <c r="EE1230" s="156"/>
      <c r="EF1230" s="156"/>
      <c r="EG1230" s="156"/>
      <c r="EH1230" s="156"/>
      <c r="EI1230" s="156"/>
      <c r="EJ1230" s="156"/>
      <c r="EK1230" s="156"/>
      <c r="EL1230" s="156"/>
      <c r="EM1230" s="156"/>
    </row>
    <row r="1231" spans="20:143" ht="10.5" customHeight="1">
      <c r="T1231" s="156"/>
      <c r="AZ1231" s="156"/>
      <c r="BA1231" s="156"/>
      <c r="BB1231" s="156"/>
      <c r="BC1231" s="156"/>
      <c r="BD1231" s="156"/>
      <c r="BE1231" s="156"/>
      <c r="BF1231" s="156"/>
      <c r="BG1231" s="156"/>
      <c r="BH1231" s="156"/>
      <c r="BI1231" s="156"/>
      <c r="BJ1231" s="156"/>
      <c r="BK1231" s="156"/>
      <c r="BL1231" s="156"/>
      <c r="BM1231" s="156"/>
      <c r="BN1231" s="156"/>
      <c r="BO1231" s="156"/>
      <c r="BP1231" s="156"/>
      <c r="BQ1231" s="156"/>
      <c r="BR1231" s="156"/>
      <c r="BS1231" s="156"/>
      <c r="BT1231" s="156"/>
      <c r="BU1231" s="156"/>
      <c r="BV1231" s="156"/>
      <c r="BW1231" s="156"/>
      <c r="BX1231" s="156"/>
      <c r="BY1231" s="156"/>
      <c r="BZ1231" s="156"/>
      <c r="CA1231" s="156"/>
      <c r="CB1231" s="156"/>
      <c r="CC1231" s="156"/>
      <c r="CD1231" s="156"/>
      <c r="CE1231" s="156"/>
      <c r="CF1231" s="156"/>
      <c r="CG1231" s="156"/>
      <c r="CH1231" s="156"/>
      <c r="CI1231" s="156"/>
      <c r="CJ1231" s="156"/>
      <c r="CK1231" s="156"/>
      <c r="CL1231" s="156"/>
      <c r="CM1231" s="156"/>
      <c r="CN1231" s="156"/>
      <c r="CO1231" s="156"/>
      <c r="CP1231" s="156"/>
      <c r="CQ1231" s="156"/>
      <c r="CR1231" s="156"/>
      <c r="CS1231" s="156"/>
      <c r="CT1231" s="156"/>
      <c r="CU1231" s="156"/>
      <c r="CV1231" s="156"/>
      <c r="CW1231" s="156"/>
      <c r="CX1231" s="156"/>
      <c r="CY1231" s="156"/>
      <c r="CZ1231" s="156"/>
      <c r="DA1231" s="156"/>
      <c r="DB1231" s="156"/>
      <c r="DC1231" s="156"/>
      <c r="DD1231" s="156"/>
      <c r="DE1231" s="156"/>
      <c r="DF1231" s="156"/>
      <c r="DG1231" s="156"/>
      <c r="DH1231" s="156"/>
      <c r="DI1231" s="156"/>
      <c r="DJ1231" s="156"/>
      <c r="DK1231" s="156"/>
      <c r="DL1231" s="156"/>
      <c r="DM1231" s="156"/>
      <c r="DN1231" s="156"/>
      <c r="DO1231" s="156"/>
      <c r="DP1231" s="156"/>
      <c r="DQ1231" s="156"/>
      <c r="DR1231" s="156"/>
      <c r="DS1231" s="156"/>
      <c r="DT1231" s="156"/>
      <c r="DU1231" s="156"/>
      <c r="DV1231" s="156"/>
      <c r="DW1231" s="156"/>
      <c r="DX1231" s="156"/>
      <c r="DY1231" s="156"/>
      <c r="DZ1231" s="156"/>
      <c r="EA1231" s="156"/>
      <c r="EB1231" s="156"/>
      <c r="EC1231" s="156"/>
      <c r="ED1231" s="156"/>
      <c r="EE1231" s="156"/>
      <c r="EF1231" s="156"/>
      <c r="EG1231" s="156"/>
      <c r="EH1231" s="156"/>
      <c r="EI1231" s="156"/>
      <c r="EJ1231" s="156"/>
      <c r="EK1231" s="156"/>
      <c r="EL1231" s="156"/>
      <c r="EM1231" s="156"/>
    </row>
    <row r="1232" spans="20:143" ht="10.5" customHeight="1">
      <c r="T1232" s="156"/>
      <c r="AZ1232" s="156"/>
      <c r="BA1232" s="156"/>
      <c r="BB1232" s="156"/>
      <c r="BC1232" s="156"/>
      <c r="BD1232" s="156"/>
      <c r="BE1232" s="156"/>
      <c r="BF1232" s="156"/>
      <c r="BG1232" s="156"/>
      <c r="BH1232" s="156"/>
      <c r="BI1232" s="156"/>
      <c r="BJ1232" s="156"/>
      <c r="BK1232" s="156"/>
      <c r="BL1232" s="156"/>
      <c r="BM1232" s="156"/>
      <c r="BN1232" s="156"/>
      <c r="BO1232" s="156"/>
      <c r="BP1232" s="156"/>
      <c r="BQ1232" s="156"/>
      <c r="BR1232" s="156"/>
      <c r="BS1232" s="156"/>
      <c r="BT1232" s="156"/>
      <c r="BU1232" s="156"/>
      <c r="BV1232" s="156"/>
      <c r="BW1232" s="156"/>
      <c r="BX1232" s="156"/>
      <c r="BY1232" s="156"/>
      <c r="BZ1232" s="156"/>
      <c r="CA1232" s="156"/>
      <c r="CB1232" s="156"/>
      <c r="CC1232" s="156"/>
      <c r="CD1232" s="156"/>
      <c r="CE1232" s="156"/>
      <c r="CF1232" s="156"/>
      <c r="CG1232" s="156"/>
      <c r="CH1232" s="156"/>
      <c r="CI1232" s="156"/>
      <c r="CJ1232" s="156"/>
      <c r="CK1232" s="156"/>
      <c r="CL1232" s="156"/>
      <c r="CM1232" s="156"/>
      <c r="CN1232" s="156"/>
      <c r="CO1232" s="156"/>
      <c r="CP1232" s="156"/>
      <c r="CQ1232" s="156"/>
      <c r="CR1232" s="156"/>
      <c r="CS1232" s="156"/>
      <c r="CT1232" s="156"/>
      <c r="CU1232" s="156"/>
      <c r="CV1232" s="156"/>
      <c r="CW1232" s="156"/>
      <c r="CX1232" s="156"/>
      <c r="CY1232" s="156"/>
      <c r="CZ1232" s="156"/>
      <c r="DA1232" s="156"/>
      <c r="DB1232" s="156"/>
      <c r="DC1232" s="156"/>
      <c r="DD1232" s="156"/>
      <c r="DE1232" s="156"/>
      <c r="DF1232" s="156"/>
      <c r="DG1232" s="156"/>
      <c r="DH1232" s="156"/>
      <c r="DI1232" s="156"/>
      <c r="DJ1232" s="156"/>
      <c r="DK1232" s="156"/>
      <c r="DL1232" s="156"/>
      <c r="DM1232" s="156"/>
      <c r="DN1232" s="156"/>
      <c r="DO1232" s="156"/>
      <c r="DP1232" s="156"/>
      <c r="DQ1232" s="156"/>
      <c r="DR1232" s="156"/>
      <c r="DS1232" s="156"/>
      <c r="DT1232" s="156"/>
      <c r="DU1232" s="156"/>
      <c r="DV1232" s="156"/>
      <c r="DW1232" s="156"/>
      <c r="DX1232" s="156"/>
      <c r="DY1232" s="156"/>
      <c r="DZ1232" s="156"/>
      <c r="EA1232" s="156"/>
      <c r="EB1232" s="156"/>
      <c r="EC1232" s="156"/>
      <c r="ED1232" s="156"/>
      <c r="EE1232" s="156"/>
      <c r="EF1232" s="156"/>
      <c r="EG1232" s="156"/>
      <c r="EH1232" s="156"/>
      <c r="EI1232" s="156"/>
      <c r="EJ1232" s="156"/>
      <c r="EK1232" s="156"/>
      <c r="EL1232" s="156"/>
      <c r="EM1232" s="156"/>
    </row>
    <row r="1233" spans="20:143" ht="10.5" customHeight="1">
      <c r="T1233" s="156"/>
      <c r="AZ1233" s="156"/>
      <c r="BA1233" s="156"/>
      <c r="BB1233" s="156"/>
      <c r="BC1233" s="156"/>
      <c r="BD1233" s="156"/>
      <c r="BE1233" s="156"/>
      <c r="BF1233" s="156"/>
      <c r="BG1233" s="156"/>
      <c r="BH1233" s="156"/>
      <c r="BI1233" s="156"/>
      <c r="BJ1233" s="156"/>
      <c r="BK1233" s="156"/>
      <c r="BL1233" s="156"/>
      <c r="BM1233" s="156"/>
      <c r="BN1233" s="156"/>
      <c r="BO1233" s="156"/>
      <c r="BP1233" s="156"/>
      <c r="BQ1233" s="156"/>
      <c r="BR1233" s="156"/>
      <c r="BS1233" s="156"/>
      <c r="BT1233" s="156"/>
      <c r="BU1233" s="156"/>
      <c r="BV1233" s="156"/>
      <c r="BW1233" s="156"/>
      <c r="BX1233" s="156"/>
      <c r="BY1233" s="156"/>
      <c r="BZ1233" s="156"/>
      <c r="CA1233" s="156"/>
      <c r="CB1233" s="156"/>
      <c r="CC1233" s="156"/>
      <c r="CD1233" s="156"/>
      <c r="CE1233" s="156"/>
      <c r="CF1233" s="156"/>
      <c r="CG1233" s="156"/>
      <c r="CH1233" s="156"/>
      <c r="CI1233" s="156"/>
      <c r="CJ1233" s="156"/>
      <c r="CK1233" s="156"/>
      <c r="CL1233" s="156"/>
      <c r="CM1233" s="156"/>
      <c r="CN1233" s="156"/>
      <c r="CO1233" s="156"/>
      <c r="CP1233" s="156"/>
      <c r="CQ1233" s="156"/>
      <c r="CR1233" s="156"/>
      <c r="CS1233" s="156"/>
      <c r="CT1233" s="156"/>
      <c r="CU1233" s="156"/>
      <c r="CV1233" s="156"/>
      <c r="CW1233" s="156"/>
      <c r="CX1233" s="156"/>
      <c r="CY1233" s="156"/>
      <c r="CZ1233" s="156"/>
      <c r="DA1233" s="156"/>
      <c r="DB1233" s="156"/>
      <c r="DC1233" s="156"/>
      <c r="DD1233" s="156"/>
      <c r="DE1233" s="156"/>
      <c r="DF1233" s="156"/>
      <c r="DG1233" s="156"/>
      <c r="DH1233" s="156"/>
      <c r="DI1233" s="156"/>
      <c r="DJ1233" s="156"/>
      <c r="DK1233" s="156"/>
      <c r="DL1233" s="156"/>
      <c r="DM1233" s="156"/>
      <c r="DN1233" s="156"/>
      <c r="DO1233" s="156"/>
      <c r="DP1233" s="156"/>
      <c r="DQ1233" s="156"/>
      <c r="DR1233" s="156"/>
      <c r="DS1233" s="156"/>
      <c r="DT1233" s="156"/>
      <c r="DU1233" s="156"/>
      <c r="DV1233" s="156"/>
      <c r="DW1233" s="156"/>
      <c r="DX1233" s="156"/>
      <c r="DY1233" s="156"/>
      <c r="DZ1233" s="156"/>
      <c r="EA1233" s="156"/>
      <c r="EB1233" s="156"/>
      <c r="EC1233" s="156"/>
      <c r="ED1233" s="156"/>
      <c r="EE1233" s="156"/>
      <c r="EF1233" s="156"/>
      <c r="EG1233" s="156"/>
      <c r="EH1233" s="156"/>
      <c r="EI1233" s="156"/>
      <c r="EJ1233" s="156"/>
      <c r="EK1233" s="156"/>
      <c r="EL1233" s="156"/>
      <c r="EM1233" s="156"/>
    </row>
    <row r="1234" spans="20:143" ht="10.5" customHeight="1">
      <c r="T1234" s="156"/>
      <c r="AZ1234" s="156"/>
      <c r="BA1234" s="156"/>
      <c r="BB1234" s="156"/>
      <c r="BC1234" s="156"/>
      <c r="BD1234" s="156"/>
      <c r="BE1234" s="156"/>
      <c r="BF1234" s="156"/>
      <c r="BG1234" s="156"/>
      <c r="BH1234" s="156"/>
      <c r="BI1234" s="156"/>
      <c r="BJ1234" s="156"/>
      <c r="BK1234" s="156"/>
      <c r="BL1234" s="156"/>
      <c r="BM1234" s="156"/>
      <c r="BN1234" s="156"/>
      <c r="BO1234" s="156"/>
      <c r="BP1234" s="156"/>
      <c r="BQ1234" s="156"/>
      <c r="BR1234" s="156"/>
      <c r="BS1234" s="156"/>
      <c r="BT1234" s="156"/>
      <c r="BU1234" s="156"/>
      <c r="BV1234" s="156"/>
      <c r="BW1234" s="156"/>
      <c r="BX1234" s="156"/>
      <c r="BY1234" s="156"/>
      <c r="BZ1234" s="156"/>
      <c r="CA1234" s="156"/>
      <c r="CB1234" s="156"/>
      <c r="CC1234" s="156"/>
      <c r="CD1234" s="156"/>
      <c r="CE1234" s="156"/>
      <c r="CF1234" s="156"/>
      <c r="CG1234" s="156"/>
      <c r="CH1234" s="156"/>
      <c r="CI1234" s="156"/>
      <c r="CJ1234" s="156"/>
      <c r="CK1234" s="156"/>
      <c r="CL1234" s="156"/>
      <c r="CM1234" s="156"/>
      <c r="CN1234" s="156"/>
      <c r="CO1234" s="156"/>
      <c r="CP1234" s="156"/>
      <c r="CQ1234" s="156"/>
      <c r="CR1234" s="156"/>
      <c r="CS1234" s="156"/>
      <c r="CT1234" s="156"/>
      <c r="CU1234" s="156"/>
      <c r="CV1234" s="156"/>
      <c r="CW1234" s="156"/>
      <c r="CX1234" s="156"/>
      <c r="CY1234" s="156"/>
      <c r="CZ1234" s="156"/>
      <c r="DA1234" s="156"/>
      <c r="DB1234" s="156"/>
      <c r="DC1234" s="156"/>
      <c r="DD1234" s="156"/>
      <c r="DE1234" s="156"/>
      <c r="DF1234" s="156"/>
      <c r="DG1234" s="156"/>
      <c r="DH1234" s="156"/>
      <c r="DI1234" s="156"/>
      <c r="DJ1234" s="156"/>
      <c r="DK1234" s="156"/>
      <c r="DL1234" s="156"/>
      <c r="DM1234" s="156"/>
      <c r="DN1234" s="156"/>
      <c r="DO1234" s="156"/>
      <c r="DP1234" s="156"/>
      <c r="DQ1234" s="156"/>
      <c r="DR1234" s="156"/>
      <c r="DS1234" s="156"/>
      <c r="DT1234" s="156"/>
      <c r="DU1234" s="156"/>
      <c r="DV1234" s="156"/>
      <c r="DW1234" s="156"/>
      <c r="DX1234" s="156"/>
      <c r="DY1234" s="156"/>
      <c r="DZ1234" s="156"/>
      <c r="EA1234" s="156"/>
      <c r="EB1234" s="156"/>
      <c r="EC1234" s="156"/>
      <c r="ED1234" s="156"/>
      <c r="EE1234" s="156"/>
      <c r="EF1234" s="156"/>
      <c r="EG1234" s="156"/>
      <c r="EH1234" s="156"/>
      <c r="EI1234" s="156"/>
      <c r="EJ1234" s="156"/>
      <c r="EK1234" s="156"/>
      <c r="EL1234" s="156"/>
      <c r="EM1234" s="156"/>
    </row>
    <row r="1235" spans="20:143" ht="10.5" customHeight="1">
      <c r="T1235" s="156"/>
      <c r="AZ1235" s="156"/>
      <c r="BA1235" s="156"/>
      <c r="BB1235" s="156"/>
      <c r="BC1235" s="156"/>
      <c r="BD1235" s="156"/>
      <c r="BE1235" s="156"/>
      <c r="BF1235" s="156"/>
      <c r="BG1235" s="156"/>
      <c r="BH1235" s="156"/>
      <c r="BI1235" s="156"/>
      <c r="BJ1235" s="156"/>
      <c r="BK1235" s="156"/>
      <c r="BL1235" s="156"/>
      <c r="BM1235" s="156"/>
      <c r="BN1235" s="156"/>
      <c r="BO1235" s="156"/>
      <c r="BP1235" s="156"/>
      <c r="BQ1235" s="156"/>
      <c r="BR1235" s="156"/>
      <c r="BS1235" s="156"/>
      <c r="BT1235" s="156"/>
      <c r="BU1235" s="156"/>
      <c r="BV1235" s="156"/>
      <c r="BW1235" s="156"/>
      <c r="BX1235" s="156"/>
      <c r="BY1235" s="156"/>
      <c r="BZ1235" s="156"/>
      <c r="CA1235" s="156"/>
      <c r="CB1235" s="156"/>
      <c r="CC1235" s="156"/>
      <c r="CD1235" s="156"/>
      <c r="CE1235" s="156"/>
      <c r="CF1235" s="156"/>
      <c r="CG1235" s="156"/>
      <c r="CH1235" s="156"/>
      <c r="CI1235" s="156"/>
      <c r="CJ1235" s="156"/>
      <c r="CK1235" s="156"/>
      <c r="CL1235" s="156"/>
      <c r="CM1235" s="156"/>
      <c r="CN1235" s="156"/>
      <c r="CO1235" s="156"/>
      <c r="CP1235" s="156"/>
      <c r="CQ1235" s="156"/>
      <c r="CR1235" s="156"/>
      <c r="CS1235" s="156"/>
      <c r="CT1235" s="156"/>
      <c r="CU1235" s="156"/>
      <c r="CV1235" s="156"/>
      <c r="CW1235" s="156"/>
      <c r="CX1235" s="156"/>
      <c r="CY1235" s="156"/>
      <c r="CZ1235" s="156"/>
      <c r="DA1235" s="156"/>
      <c r="DB1235" s="156"/>
      <c r="DC1235" s="156"/>
      <c r="DD1235" s="156"/>
      <c r="DE1235" s="156"/>
      <c r="DF1235" s="156"/>
      <c r="DG1235" s="156"/>
      <c r="DH1235" s="156"/>
      <c r="DI1235" s="156"/>
      <c r="DJ1235" s="156"/>
      <c r="DK1235" s="156"/>
      <c r="DL1235" s="156"/>
      <c r="DM1235" s="156"/>
      <c r="DN1235" s="156"/>
      <c r="DO1235" s="156"/>
      <c r="DP1235" s="156"/>
      <c r="DQ1235" s="156"/>
      <c r="DR1235" s="156"/>
      <c r="DS1235" s="156"/>
      <c r="DT1235" s="156"/>
      <c r="DU1235" s="156"/>
      <c r="DV1235" s="156"/>
      <c r="DW1235" s="156"/>
      <c r="DX1235" s="156"/>
      <c r="DY1235" s="156"/>
      <c r="DZ1235" s="156"/>
      <c r="EA1235" s="156"/>
      <c r="EB1235" s="156"/>
      <c r="EC1235" s="156"/>
      <c r="ED1235" s="156"/>
      <c r="EE1235" s="156"/>
      <c r="EF1235" s="156"/>
      <c r="EG1235" s="156"/>
      <c r="EH1235" s="156"/>
      <c r="EI1235" s="156"/>
      <c r="EJ1235" s="156"/>
      <c r="EK1235" s="156"/>
      <c r="EL1235" s="156"/>
      <c r="EM1235" s="156"/>
    </row>
    <row r="1236" spans="20:143" ht="10.5" customHeight="1">
      <c r="T1236" s="156"/>
      <c r="AZ1236" s="156"/>
      <c r="BA1236" s="156"/>
      <c r="BB1236" s="156"/>
      <c r="BC1236" s="156"/>
      <c r="BD1236" s="156"/>
      <c r="BE1236" s="156"/>
      <c r="BF1236" s="156"/>
      <c r="BG1236" s="156"/>
      <c r="BH1236" s="156"/>
      <c r="BI1236" s="156"/>
      <c r="BJ1236" s="156"/>
      <c r="BK1236" s="156"/>
      <c r="BL1236" s="156"/>
      <c r="BM1236" s="156"/>
      <c r="BN1236" s="156"/>
      <c r="BO1236" s="156"/>
      <c r="BP1236" s="156"/>
      <c r="BQ1236" s="156"/>
      <c r="BR1236" s="156"/>
      <c r="BS1236" s="156"/>
      <c r="BT1236" s="156"/>
      <c r="BU1236" s="156"/>
      <c r="BV1236" s="156"/>
      <c r="BW1236" s="156"/>
      <c r="BX1236" s="156"/>
      <c r="BY1236" s="156"/>
      <c r="BZ1236" s="156"/>
      <c r="CA1236" s="156"/>
      <c r="CB1236" s="156"/>
      <c r="CC1236" s="156"/>
      <c r="CD1236" s="156"/>
      <c r="CE1236" s="156"/>
      <c r="CF1236" s="156"/>
      <c r="CG1236" s="156"/>
      <c r="CH1236" s="156"/>
      <c r="CI1236" s="156"/>
      <c r="CJ1236" s="156"/>
      <c r="CK1236" s="156"/>
      <c r="CL1236" s="156"/>
      <c r="CM1236" s="156"/>
      <c r="CN1236" s="156"/>
      <c r="CO1236" s="156"/>
      <c r="CP1236" s="156"/>
      <c r="CQ1236" s="156"/>
      <c r="CR1236" s="156"/>
      <c r="CS1236" s="156"/>
      <c r="CT1236" s="156"/>
      <c r="CU1236" s="156"/>
      <c r="CV1236" s="156"/>
      <c r="CW1236" s="156"/>
      <c r="CX1236" s="156"/>
      <c r="CY1236" s="156"/>
      <c r="CZ1236" s="156"/>
      <c r="DA1236" s="156"/>
      <c r="DB1236" s="156"/>
      <c r="DC1236" s="156"/>
      <c r="DD1236" s="156"/>
      <c r="DE1236" s="156"/>
      <c r="DF1236" s="156"/>
      <c r="DG1236" s="156"/>
      <c r="DH1236" s="156"/>
      <c r="DI1236" s="156"/>
      <c r="DJ1236" s="156"/>
      <c r="DK1236" s="156"/>
      <c r="DL1236" s="156"/>
      <c r="DM1236" s="156"/>
      <c r="DN1236" s="156"/>
      <c r="DO1236" s="156"/>
      <c r="DP1236" s="156"/>
      <c r="DQ1236" s="156"/>
      <c r="DR1236" s="156"/>
      <c r="DS1236" s="156"/>
      <c r="DT1236" s="156"/>
      <c r="DU1236" s="156"/>
      <c r="DV1236" s="156"/>
      <c r="DW1236" s="156"/>
      <c r="DX1236" s="156"/>
      <c r="DY1236" s="156"/>
      <c r="DZ1236" s="156"/>
      <c r="EA1236" s="156"/>
      <c r="EB1236" s="156"/>
      <c r="EC1236" s="156"/>
      <c r="ED1236" s="156"/>
      <c r="EE1236" s="156"/>
      <c r="EF1236" s="156"/>
      <c r="EG1236" s="156"/>
      <c r="EH1236" s="156"/>
      <c r="EI1236" s="156"/>
      <c r="EJ1236" s="156"/>
      <c r="EK1236" s="156"/>
      <c r="EL1236" s="156"/>
      <c r="EM1236" s="156"/>
    </row>
    <row r="1237" spans="20:143" ht="10.5" customHeight="1">
      <c r="T1237" s="156"/>
      <c r="AZ1237" s="156"/>
      <c r="BA1237" s="156"/>
      <c r="BB1237" s="156"/>
      <c r="BC1237" s="156"/>
      <c r="BD1237" s="156"/>
      <c r="BE1237" s="156"/>
      <c r="BF1237" s="156"/>
      <c r="BG1237" s="156"/>
      <c r="BH1237" s="156"/>
      <c r="BI1237" s="156"/>
      <c r="BJ1237" s="156"/>
      <c r="BK1237" s="156"/>
      <c r="BL1237" s="156"/>
      <c r="BM1237" s="156"/>
      <c r="BN1237" s="156"/>
      <c r="BO1237" s="156"/>
      <c r="BP1237" s="156"/>
      <c r="BQ1237" s="156"/>
      <c r="BR1237" s="156"/>
      <c r="BS1237" s="156"/>
      <c r="BT1237" s="156"/>
      <c r="BU1237" s="156"/>
      <c r="BV1237" s="156"/>
      <c r="BW1237" s="156"/>
      <c r="BX1237" s="156"/>
      <c r="BY1237" s="156"/>
      <c r="BZ1237" s="156"/>
      <c r="CA1237" s="156"/>
      <c r="CB1237" s="156"/>
      <c r="CC1237" s="156"/>
      <c r="CD1237" s="156"/>
      <c r="CE1237" s="156"/>
      <c r="CF1237" s="156"/>
      <c r="CG1237" s="156"/>
      <c r="CH1237" s="156"/>
      <c r="CI1237" s="156"/>
      <c r="CJ1237" s="156"/>
      <c r="CK1237" s="156"/>
      <c r="CL1237" s="156"/>
      <c r="CM1237" s="156"/>
      <c r="CN1237" s="156"/>
      <c r="CO1237" s="156"/>
      <c r="CP1237" s="156"/>
      <c r="CQ1237" s="156"/>
      <c r="CR1237" s="156"/>
      <c r="CS1237" s="156"/>
      <c r="CT1237" s="156"/>
      <c r="CU1237" s="156"/>
      <c r="CV1237" s="156"/>
      <c r="CW1237" s="156"/>
      <c r="CX1237" s="156"/>
      <c r="CY1237" s="156"/>
      <c r="CZ1237" s="156"/>
      <c r="DA1237" s="156"/>
      <c r="DB1237" s="156"/>
      <c r="DC1237" s="156"/>
      <c r="DD1237" s="156"/>
      <c r="DE1237" s="156"/>
      <c r="DF1237" s="156"/>
      <c r="DG1237" s="156"/>
      <c r="DH1237" s="156"/>
      <c r="DI1237" s="156"/>
      <c r="DJ1237" s="156"/>
      <c r="DK1237" s="156"/>
      <c r="DL1237" s="156"/>
      <c r="DM1237" s="156"/>
      <c r="DN1237" s="156"/>
      <c r="DO1237" s="156"/>
      <c r="DP1237" s="156"/>
      <c r="DQ1237" s="156"/>
      <c r="DR1237" s="156"/>
      <c r="DS1237" s="156"/>
      <c r="DT1237" s="156"/>
      <c r="DU1237" s="156"/>
      <c r="DV1237" s="156"/>
      <c r="DW1237" s="156"/>
      <c r="DX1237" s="156"/>
      <c r="DY1237" s="156"/>
      <c r="DZ1237" s="156"/>
      <c r="EA1237" s="156"/>
      <c r="EB1237" s="156"/>
      <c r="EC1237" s="156"/>
      <c r="ED1237" s="156"/>
      <c r="EE1237" s="156"/>
      <c r="EF1237" s="156"/>
      <c r="EG1237" s="156"/>
      <c r="EH1237" s="156"/>
      <c r="EI1237" s="156"/>
      <c r="EJ1237" s="156"/>
      <c r="EK1237" s="156"/>
      <c r="EL1237" s="156"/>
      <c r="EM1237" s="156"/>
    </row>
    <row r="1238" spans="20:143" ht="10.5" customHeight="1">
      <c r="T1238" s="156"/>
      <c r="AZ1238" s="156"/>
      <c r="BA1238" s="156"/>
      <c r="BB1238" s="156"/>
      <c r="BC1238" s="156"/>
      <c r="BD1238" s="156"/>
      <c r="BE1238" s="156"/>
      <c r="BF1238" s="156"/>
      <c r="BG1238" s="156"/>
      <c r="BH1238" s="156"/>
      <c r="BI1238" s="156"/>
      <c r="BJ1238" s="156"/>
      <c r="BK1238" s="156"/>
      <c r="BL1238" s="156"/>
      <c r="BM1238" s="156"/>
      <c r="BN1238" s="156"/>
      <c r="BO1238" s="156"/>
      <c r="BP1238" s="156"/>
      <c r="BQ1238" s="156"/>
      <c r="BR1238" s="156"/>
      <c r="BS1238" s="156"/>
      <c r="BT1238" s="156"/>
      <c r="BU1238" s="156"/>
      <c r="BV1238" s="156"/>
      <c r="BW1238" s="156"/>
      <c r="BX1238" s="156"/>
      <c r="BY1238" s="156"/>
      <c r="BZ1238" s="156"/>
      <c r="CA1238" s="156"/>
      <c r="CB1238" s="156"/>
      <c r="CC1238" s="156"/>
      <c r="CD1238" s="156"/>
      <c r="CE1238" s="156"/>
      <c r="CF1238" s="156"/>
      <c r="CG1238" s="156"/>
      <c r="CH1238" s="156"/>
      <c r="CI1238" s="156"/>
      <c r="CJ1238" s="156"/>
      <c r="CK1238" s="156"/>
      <c r="CL1238" s="156"/>
      <c r="CM1238" s="156"/>
      <c r="CN1238" s="156"/>
      <c r="CO1238" s="156"/>
      <c r="CP1238" s="156"/>
      <c r="CQ1238" s="156"/>
      <c r="CR1238" s="156"/>
      <c r="CS1238" s="156"/>
      <c r="CT1238" s="156"/>
      <c r="CU1238" s="156"/>
      <c r="CV1238" s="156"/>
      <c r="CW1238" s="156"/>
      <c r="CX1238" s="156"/>
      <c r="CY1238" s="156"/>
      <c r="CZ1238" s="156"/>
      <c r="DA1238" s="156"/>
      <c r="DB1238" s="156"/>
      <c r="DC1238" s="156"/>
      <c r="DD1238" s="156"/>
      <c r="DE1238" s="156"/>
      <c r="DF1238" s="156"/>
      <c r="DG1238" s="156"/>
      <c r="DH1238" s="156"/>
      <c r="DI1238" s="156"/>
      <c r="DJ1238" s="156"/>
      <c r="DK1238" s="156"/>
      <c r="DL1238" s="156"/>
      <c r="DM1238" s="156"/>
      <c r="DN1238" s="156"/>
      <c r="DO1238" s="156"/>
      <c r="DP1238" s="156"/>
      <c r="DQ1238" s="156"/>
      <c r="DR1238" s="156"/>
      <c r="DS1238" s="156"/>
      <c r="DT1238" s="156"/>
      <c r="DU1238" s="156"/>
      <c r="DV1238" s="156"/>
      <c r="DW1238" s="156"/>
      <c r="DX1238" s="156"/>
      <c r="DY1238" s="156"/>
      <c r="DZ1238" s="156"/>
      <c r="EA1238" s="156"/>
      <c r="EB1238" s="156"/>
      <c r="EC1238" s="156"/>
      <c r="ED1238" s="156"/>
      <c r="EE1238" s="156"/>
      <c r="EF1238" s="156"/>
      <c r="EG1238" s="156"/>
      <c r="EH1238" s="156"/>
      <c r="EI1238" s="156"/>
      <c r="EJ1238" s="156"/>
      <c r="EK1238" s="156"/>
      <c r="EL1238" s="156"/>
      <c r="EM1238" s="156"/>
    </row>
    <row r="1239" spans="20:143" ht="10.5" customHeight="1">
      <c r="T1239" s="156"/>
      <c r="AZ1239" s="156"/>
      <c r="BA1239" s="156"/>
      <c r="BB1239" s="156"/>
      <c r="BC1239" s="156"/>
      <c r="BD1239" s="156"/>
      <c r="BE1239" s="156"/>
      <c r="BF1239" s="156"/>
      <c r="BG1239" s="156"/>
      <c r="BH1239" s="156"/>
      <c r="BI1239" s="156"/>
      <c r="BJ1239" s="156"/>
      <c r="BK1239" s="156"/>
      <c r="BL1239" s="156"/>
      <c r="BM1239" s="156"/>
      <c r="BN1239" s="156"/>
      <c r="BO1239" s="156"/>
      <c r="BP1239" s="156"/>
      <c r="BQ1239" s="156"/>
      <c r="BR1239" s="156"/>
      <c r="BS1239" s="156"/>
      <c r="BT1239" s="156"/>
      <c r="BU1239" s="156"/>
      <c r="BV1239" s="156"/>
      <c r="BW1239" s="156"/>
      <c r="BX1239" s="156"/>
      <c r="BY1239" s="156"/>
      <c r="BZ1239" s="156"/>
      <c r="CA1239" s="156"/>
      <c r="CB1239" s="156"/>
      <c r="CC1239" s="156"/>
      <c r="CD1239" s="156"/>
      <c r="CE1239" s="156"/>
      <c r="CF1239" s="156"/>
      <c r="CG1239" s="156"/>
      <c r="CH1239" s="156"/>
      <c r="CI1239" s="156"/>
      <c r="CJ1239" s="156"/>
      <c r="CK1239" s="156"/>
      <c r="CL1239" s="156"/>
      <c r="CM1239" s="156"/>
      <c r="CN1239" s="156"/>
      <c r="CO1239" s="156"/>
      <c r="CP1239" s="156"/>
      <c r="CQ1239" s="156"/>
      <c r="CR1239" s="156"/>
      <c r="CS1239" s="156"/>
      <c r="CT1239" s="156"/>
      <c r="CU1239" s="156"/>
      <c r="CV1239" s="156"/>
      <c r="CW1239" s="156"/>
      <c r="CX1239" s="156"/>
      <c r="CY1239" s="156"/>
      <c r="CZ1239" s="156"/>
      <c r="DA1239" s="156"/>
      <c r="DB1239" s="156"/>
      <c r="DC1239" s="156"/>
      <c r="DD1239" s="156"/>
      <c r="DE1239" s="156"/>
      <c r="DF1239" s="156"/>
      <c r="DG1239" s="156"/>
      <c r="DH1239" s="156"/>
      <c r="DI1239" s="156"/>
      <c r="DJ1239" s="156"/>
      <c r="DK1239" s="156"/>
      <c r="DL1239" s="156"/>
      <c r="DM1239" s="156"/>
      <c r="DN1239" s="156"/>
      <c r="DO1239" s="156"/>
      <c r="DP1239" s="156"/>
      <c r="DQ1239" s="156"/>
      <c r="DR1239" s="156"/>
      <c r="DS1239" s="156"/>
      <c r="DT1239" s="156"/>
      <c r="DU1239" s="156"/>
      <c r="DV1239" s="156"/>
      <c r="DW1239" s="156"/>
      <c r="DX1239" s="156"/>
      <c r="DY1239" s="156"/>
      <c r="DZ1239" s="156"/>
      <c r="EA1239" s="156"/>
      <c r="EB1239" s="156"/>
      <c r="EC1239" s="156"/>
      <c r="ED1239" s="156"/>
      <c r="EE1239" s="156"/>
      <c r="EF1239" s="156"/>
      <c r="EG1239" s="156"/>
      <c r="EH1239" s="156"/>
      <c r="EI1239" s="156"/>
      <c r="EJ1239" s="156"/>
      <c r="EK1239" s="156"/>
      <c r="EL1239" s="156"/>
      <c r="EM1239" s="156"/>
    </row>
    <row r="1240" spans="20:143" ht="10.5" customHeight="1">
      <c r="T1240" s="156"/>
      <c r="AZ1240" s="156"/>
      <c r="BA1240" s="156"/>
      <c r="BB1240" s="156"/>
      <c r="BC1240" s="156"/>
      <c r="BD1240" s="156"/>
      <c r="BE1240" s="156"/>
      <c r="BF1240" s="156"/>
      <c r="BG1240" s="156"/>
      <c r="BH1240" s="156"/>
      <c r="BI1240" s="156"/>
      <c r="BJ1240" s="156"/>
      <c r="BK1240" s="156"/>
      <c r="BL1240" s="156"/>
      <c r="BM1240" s="156"/>
      <c r="BN1240" s="156"/>
      <c r="BO1240" s="156"/>
      <c r="BP1240" s="156"/>
      <c r="BQ1240" s="156"/>
      <c r="BR1240" s="156"/>
      <c r="BS1240" s="156"/>
      <c r="BT1240" s="156"/>
      <c r="BU1240" s="156"/>
      <c r="BV1240" s="156"/>
      <c r="BW1240" s="156"/>
      <c r="BX1240" s="156"/>
      <c r="BY1240" s="156"/>
      <c r="BZ1240" s="156"/>
      <c r="CA1240" s="156"/>
      <c r="CB1240" s="156"/>
      <c r="CC1240" s="156"/>
      <c r="CD1240" s="156"/>
      <c r="CE1240" s="156"/>
      <c r="CF1240" s="156"/>
      <c r="CG1240" s="156"/>
      <c r="CH1240" s="156"/>
      <c r="CI1240" s="156"/>
      <c r="CJ1240" s="156"/>
      <c r="CK1240" s="156"/>
      <c r="CL1240" s="156"/>
      <c r="CM1240" s="156"/>
      <c r="CN1240" s="156"/>
      <c r="CO1240" s="156"/>
      <c r="CP1240" s="156"/>
      <c r="CQ1240" s="156"/>
      <c r="CR1240" s="156"/>
      <c r="CS1240" s="156"/>
      <c r="CT1240" s="156"/>
      <c r="CU1240" s="156"/>
      <c r="CV1240" s="156"/>
      <c r="CW1240" s="156"/>
      <c r="CX1240" s="156"/>
      <c r="CY1240" s="156"/>
      <c r="CZ1240" s="156"/>
      <c r="DA1240" s="156"/>
      <c r="DB1240" s="156"/>
      <c r="DC1240" s="156"/>
      <c r="DD1240" s="156"/>
      <c r="DE1240" s="156"/>
      <c r="DF1240" s="156"/>
      <c r="DG1240" s="156"/>
      <c r="DH1240" s="156"/>
      <c r="DI1240" s="156"/>
      <c r="DJ1240" s="156"/>
      <c r="DK1240" s="156"/>
      <c r="DL1240" s="156"/>
      <c r="DM1240" s="156"/>
      <c r="DN1240" s="156"/>
      <c r="DO1240" s="156"/>
      <c r="DP1240" s="156"/>
      <c r="DQ1240" s="156"/>
      <c r="DR1240" s="156"/>
      <c r="DS1240" s="156"/>
      <c r="DT1240" s="156"/>
      <c r="DU1240" s="156"/>
      <c r="DV1240" s="156"/>
      <c r="DW1240" s="156"/>
      <c r="DX1240" s="156"/>
      <c r="DY1240" s="156"/>
      <c r="DZ1240" s="156"/>
      <c r="EA1240" s="156"/>
      <c r="EB1240" s="156"/>
      <c r="EC1240" s="156"/>
      <c r="ED1240" s="156"/>
      <c r="EE1240" s="156"/>
      <c r="EF1240" s="156"/>
      <c r="EG1240" s="156"/>
      <c r="EH1240" s="156"/>
      <c r="EI1240" s="156"/>
      <c r="EJ1240" s="156"/>
      <c r="EK1240" s="156"/>
      <c r="EL1240" s="156"/>
      <c r="EM1240" s="156"/>
    </row>
    <row r="1241" spans="20:143" ht="10.5" customHeight="1">
      <c r="T1241" s="156"/>
      <c r="AZ1241" s="156"/>
      <c r="BA1241" s="156"/>
      <c r="BB1241" s="156"/>
      <c r="BC1241" s="156"/>
      <c r="BD1241" s="156"/>
      <c r="BE1241" s="156"/>
      <c r="BF1241" s="156"/>
      <c r="BG1241" s="156"/>
      <c r="BH1241" s="156"/>
      <c r="BI1241" s="156"/>
      <c r="BJ1241" s="156"/>
      <c r="BK1241" s="156"/>
      <c r="BL1241" s="156"/>
      <c r="BM1241" s="156"/>
      <c r="BN1241" s="156"/>
      <c r="BO1241" s="156"/>
      <c r="BP1241" s="156"/>
      <c r="BQ1241" s="156"/>
      <c r="BR1241" s="156"/>
      <c r="BS1241" s="156"/>
      <c r="BT1241" s="156"/>
      <c r="BU1241" s="156"/>
      <c r="BV1241" s="156"/>
      <c r="BW1241" s="156"/>
      <c r="BX1241" s="156"/>
      <c r="BY1241" s="156"/>
      <c r="BZ1241" s="156"/>
      <c r="CA1241" s="156"/>
      <c r="CB1241" s="156"/>
      <c r="CC1241" s="156"/>
      <c r="CD1241" s="156"/>
      <c r="CE1241" s="156"/>
      <c r="CF1241" s="156"/>
      <c r="CG1241" s="156"/>
      <c r="CH1241" s="156"/>
      <c r="CI1241" s="156"/>
      <c r="CJ1241" s="156"/>
      <c r="CK1241" s="156"/>
      <c r="CL1241" s="156"/>
      <c r="CM1241" s="156"/>
      <c r="CN1241" s="156"/>
      <c r="CO1241" s="156"/>
      <c r="CP1241" s="156"/>
      <c r="CQ1241" s="156"/>
      <c r="CR1241" s="156"/>
      <c r="CS1241" s="156"/>
      <c r="CT1241" s="156"/>
      <c r="CU1241" s="156"/>
      <c r="CV1241" s="156"/>
      <c r="CW1241" s="156"/>
      <c r="CX1241" s="156"/>
      <c r="CY1241" s="156"/>
      <c r="CZ1241" s="156"/>
      <c r="DA1241" s="156"/>
      <c r="DB1241" s="156"/>
      <c r="DC1241" s="156"/>
      <c r="DD1241" s="156"/>
      <c r="DE1241" s="156"/>
      <c r="DF1241" s="156"/>
      <c r="DG1241" s="156"/>
      <c r="DH1241" s="156"/>
      <c r="DI1241" s="156"/>
      <c r="DJ1241" s="156"/>
      <c r="DK1241" s="156"/>
      <c r="DL1241" s="156"/>
      <c r="DM1241" s="156"/>
      <c r="DN1241" s="156"/>
      <c r="DO1241" s="156"/>
      <c r="DP1241" s="156"/>
      <c r="DQ1241" s="156"/>
      <c r="DR1241" s="156"/>
      <c r="DS1241" s="156"/>
      <c r="DT1241" s="156"/>
      <c r="DU1241" s="156"/>
      <c r="DV1241" s="156"/>
      <c r="DW1241" s="156"/>
      <c r="DX1241" s="156"/>
      <c r="DY1241" s="156"/>
      <c r="DZ1241" s="156"/>
      <c r="EA1241" s="156"/>
      <c r="EB1241" s="156"/>
      <c r="EC1241" s="156"/>
      <c r="ED1241" s="156"/>
      <c r="EE1241" s="156"/>
      <c r="EF1241" s="156"/>
      <c r="EG1241" s="156"/>
      <c r="EH1241" s="156"/>
      <c r="EI1241" s="156"/>
      <c r="EJ1241" s="156"/>
      <c r="EK1241" s="156"/>
      <c r="EL1241" s="156"/>
      <c r="EM1241" s="156"/>
    </row>
    <row r="1242" spans="20:143" ht="10.5" customHeight="1">
      <c r="T1242" s="156"/>
      <c r="AZ1242" s="156"/>
      <c r="BA1242" s="156"/>
      <c r="BB1242" s="156"/>
      <c r="BC1242" s="156"/>
      <c r="BD1242" s="156"/>
      <c r="BE1242" s="156"/>
      <c r="BF1242" s="156"/>
      <c r="BG1242" s="156"/>
      <c r="BH1242" s="156"/>
      <c r="BI1242" s="156"/>
      <c r="BJ1242" s="156"/>
      <c r="BK1242" s="156"/>
      <c r="BL1242" s="156"/>
      <c r="BM1242" s="156"/>
      <c r="BN1242" s="156"/>
      <c r="BO1242" s="156"/>
      <c r="BP1242" s="156"/>
      <c r="BQ1242" s="156"/>
      <c r="BR1242" s="156"/>
      <c r="BS1242" s="156"/>
      <c r="BT1242" s="156"/>
      <c r="BU1242" s="156"/>
      <c r="BV1242" s="156"/>
      <c r="BW1242" s="156"/>
      <c r="BX1242" s="156"/>
      <c r="BY1242" s="156"/>
      <c r="BZ1242" s="156"/>
      <c r="CA1242" s="156"/>
      <c r="CB1242" s="156"/>
      <c r="CC1242" s="156"/>
      <c r="CD1242" s="156"/>
      <c r="CE1242" s="156"/>
      <c r="CF1242" s="156"/>
      <c r="CG1242" s="156"/>
      <c r="CH1242" s="156"/>
      <c r="CI1242" s="156"/>
      <c r="CJ1242" s="156"/>
      <c r="CK1242" s="156"/>
      <c r="CL1242" s="156"/>
      <c r="CM1242" s="156"/>
      <c r="CN1242" s="156"/>
      <c r="CO1242" s="156"/>
      <c r="CP1242" s="156"/>
      <c r="CQ1242" s="156"/>
      <c r="CR1242" s="156"/>
      <c r="CS1242" s="156"/>
      <c r="CT1242" s="156"/>
      <c r="CU1242" s="156"/>
      <c r="CV1242" s="156"/>
      <c r="CW1242" s="156"/>
      <c r="CX1242" s="156"/>
      <c r="CY1242" s="156"/>
      <c r="CZ1242" s="156"/>
      <c r="DA1242" s="156"/>
      <c r="DB1242" s="156"/>
      <c r="DC1242" s="156"/>
      <c r="DD1242" s="156"/>
      <c r="DE1242" s="156"/>
      <c r="DF1242" s="156"/>
      <c r="DG1242" s="156"/>
      <c r="DH1242" s="156"/>
      <c r="DI1242" s="156"/>
      <c r="DJ1242" s="156"/>
      <c r="DK1242" s="156"/>
      <c r="DL1242" s="156"/>
      <c r="DM1242" s="156"/>
      <c r="DN1242" s="156"/>
      <c r="DO1242" s="156"/>
      <c r="DP1242" s="156"/>
      <c r="DQ1242" s="156"/>
      <c r="DR1242" s="156"/>
      <c r="DS1242" s="156"/>
      <c r="DT1242" s="156"/>
      <c r="DU1242" s="156"/>
      <c r="DV1242" s="156"/>
      <c r="DW1242" s="156"/>
      <c r="DX1242" s="156"/>
      <c r="DY1242" s="156"/>
      <c r="DZ1242" s="156"/>
      <c r="EA1242" s="156"/>
      <c r="EB1242" s="156"/>
      <c r="EC1242" s="156"/>
      <c r="ED1242" s="156"/>
      <c r="EE1242" s="156"/>
      <c r="EF1242" s="156"/>
      <c r="EG1242" s="156"/>
      <c r="EH1242" s="156"/>
      <c r="EI1242" s="156"/>
      <c r="EJ1242" s="156"/>
      <c r="EK1242" s="156"/>
      <c r="EL1242" s="156"/>
      <c r="EM1242" s="156"/>
    </row>
    <row r="1243" spans="20:143" ht="10.5" customHeight="1">
      <c r="T1243" s="156"/>
      <c r="AZ1243" s="156"/>
      <c r="BA1243" s="156"/>
      <c r="BB1243" s="156"/>
      <c r="BC1243" s="156"/>
      <c r="BD1243" s="156"/>
      <c r="BE1243" s="156"/>
      <c r="BF1243" s="156"/>
      <c r="BG1243" s="156"/>
      <c r="BH1243" s="156"/>
      <c r="BI1243" s="156"/>
      <c r="BJ1243" s="156"/>
      <c r="BK1243" s="156"/>
      <c r="BL1243" s="156"/>
      <c r="BM1243" s="156"/>
      <c r="BN1243" s="156"/>
      <c r="BO1243" s="156"/>
      <c r="BP1243" s="156"/>
      <c r="BQ1243" s="156"/>
      <c r="BR1243" s="156"/>
      <c r="BS1243" s="156"/>
      <c r="BT1243" s="156"/>
      <c r="BU1243" s="156"/>
      <c r="BV1243" s="156"/>
      <c r="BW1243" s="156"/>
      <c r="BX1243" s="156"/>
      <c r="BY1243" s="156"/>
      <c r="BZ1243" s="156"/>
      <c r="CA1243" s="156"/>
      <c r="CB1243" s="156"/>
      <c r="CC1243" s="156"/>
      <c r="CD1243" s="156"/>
      <c r="CE1243" s="156"/>
      <c r="CF1243" s="156"/>
      <c r="CG1243" s="156"/>
      <c r="CH1243" s="156"/>
      <c r="CI1243" s="156"/>
      <c r="CJ1243" s="156"/>
      <c r="CK1243" s="156"/>
      <c r="CL1243" s="156"/>
      <c r="CM1243" s="156"/>
      <c r="CN1243" s="156"/>
      <c r="CO1243" s="156"/>
      <c r="CP1243" s="156"/>
      <c r="CQ1243" s="156"/>
      <c r="CR1243" s="156"/>
      <c r="CS1243" s="156"/>
      <c r="CT1243" s="156"/>
      <c r="CU1243" s="156"/>
      <c r="CV1243" s="156"/>
      <c r="CW1243" s="156"/>
      <c r="CX1243" s="156"/>
      <c r="CY1243" s="156"/>
      <c r="CZ1243" s="156"/>
      <c r="DA1243" s="156"/>
      <c r="DB1243" s="156"/>
      <c r="DC1243" s="156"/>
      <c r="DD1243" s="156"/>
      <c r="DE1243" s="156"/>
      <c r="DF1243" s="156"/>
      <c r="DG1243" s="156"/>
      <c r="DH1243" s="156"/>
      <c r="DI1243" s="156"/>
      <c r="DJ1243" s="156"/>
      <c r="DK1243" s="156"/>
      <c r="DL1243" s="156"/>
      <c r="DM1243" s="156"/>
      <c r="DN1243" s="156"/>
      <c r="DO1243" s="156"/>
      <c r="DP1243" s="156"/>
      <c r="DQ1243" s="156"/>
      <c r="DR1243" s="156"/>
      <c r="DS1243" s="156"/>
      <c r="DT1243" s="156"/>
      <c r="DU1243" s="156"/>
      <c r="DV1243" s="156"/>
      <c r="DW1243" s="156"/>
      <c r="DX1243" s="156"/>
      <c r="DY1243" s="156"/>
      <c r="DZ1243" s="156"/>
      <c r="EA1243" s="156"/>
      <c r="EB1243" s="156"/>
      <c r="EC1243" s="156"/>
      <c r="ED1243" s="156"/>
      <c r="EE1243" s="156"/>
      <c r="EF1243" s="156"/>
      <c r="EG1243" s="156"/>
      <c r="EH1243" s="156"/>
      <c r="EI1243" s="156"/>
      <c r="EJ1243" s="156"/>
      <c r="EK1243" s="156"/>
      <c r="EL1243" s="156"/>
      <c r="EM1243" s="156"/>
    </row>
    <row r="1244" spans="20:143" ht="10.5" customHeight="1">
      <c r="T1244" s="156"/>
      <c r="AZ1244" s="156"/>
      <c r="BA1244" s="156"/>
      <c r="BB1244" s="156"/>
      <c r="BC1244" s="156"/>
      <c r="BD1244" s="156"/>
      <c r="BE1244" s="156"/>
      <c r="BF1244" s="156"/>
      <c r="BG1244" s="156"/>
      <c r="BH1244" s="156"/>
      <c r="BI1244" s="156"/>
      <c r="BJ1244" s="156"/>
      <c r="BK1244" s="156"/>
      <c r="BL1244" s="156"/>
      <c r="BM1244" s="156"/>
      <c r="BN1244" s="156"/>
      <c r="BO1244" s="156"/>
      <c r="BP1244" s="156"/>
      <c r="BQ1244" s="156"/>
      <c r="BR1244" s="156"/>
      <c r="BS1244" s="156"/>
      <c r="BT1244" s="156"/>
      <c r="BU1244" s="156"/>
      <c r="BV1244" s="156"/>
      <c r="BW1244" s="156"/>
      <c r="BX1244" s="156"/>
      <c r="BY1244" s="156"/>
      <c r="BZ1244" s="156"/>
      <c r="CA1244" s="156"/>
      <c r="CB1244" s="156"/>
      <c r="CC1244" s="156"/>
      <c r="CD1244" s="156"/>
      <c r="CE1244" s="156"/>
      <c r="CF1244" s="156"/>
      <c r="CG1244" s="156"/>
      <c r="CH1244" s="156"/>
      <c r="CI1244" s="156"/>
      <c r="CJ1244" s="156"/>
      <c r="CK1244" s="156"/>
      <c r="CL1244" s="156"/>
      <c r="CM1244" s="156"/>
      <c r="CN1244" s="156"/>
      <c r="CO1244" s="156"/>
      <c r="CP1244" s="156"/>
      <c r="CQ1244" s="156"/>
      <c r="CR1244" s="156"/>
      <c r="CS1244" s="156"/>
      <c r="CT1244" s="156"/>
      <c r="CU1244" s="156"/>
      <c r="CV1244" s="156"/>
      <c r="CW1244" s="156"/>
      <c r="CX1244" s="156"/>
      <c r="CY1244" s="156"/>
      <c r="CZ1244" s="156"/>
      <c r="DA1244" s="156"/>
      <c r="DB1244" s="156"/>
      <c r="DC1244" s="156"/>
      <c r="DD1244" s="156"/>
      <c r="DE1244" s="156"/>
      <c r="DF1244" s="156"/>
      <c r="DG1244" s="156"/>
      <c r="DH1244" s="156"/>
      <c r="DI1244" s="156"/>
      <c r="DJ1244" s="156"/>
      <c r="DK1244" s="156"/>
      <c r="DL1244" s="156"/>
      <c r="DM1244" s="156"/>
      <c r="DN1244" s="156"/>
      <c r="DO1244" s="156"/>
      <c r="DP1244" s="156"/>
      <c r="DQ1244" s="156"/>
      <c r="DR1244" s="156"/>
      <c r="DS1244" s="156"/>
      <c r="DT1244" s="156"/>
      <c r="DU1244" s="156"/>
      <c r="DV1244" s="156"/>
      <c r="DW1244" s="156"/>
      <c r="DX1244" s="156"/>
      <c r="DY1244" s="156"/>
      <c r="DZ1244" s="156"/>
      <c r="EA1244" s="156"/>
      <c r="EB1244" s="156"/>
      <c r="EC1244" s="156"/>
      <c r="ED1244" s="156"/>
      <c r="EE1244" s="156"/>
      <c r="EF1244" s="156"/>
      <c r="EG1244" s="156"/>
      <c r="EH1244" s="156"/>
      <c r="EI1244" s="156"/>
      <c r="EJ1244" s="156"/>
      <c r="EK1244" s="156"/>
      <c r="EL1244" s="156"/>
      <c r="EM1244" s="156"/>
    </row>
    <row r="1245" spans="20:143" ht="10.5" customHeight="1">
      <c r="T1245" s="156"/>
      <c r="AZ1245" s="156"/>
      <c r="BA1245" s="156"/>
      <c r="BB1245" s="156"/>
      <c r="BC1245" s="156"/>
      <c r="BD1245" s="156"/>
      <c r="BE1245" s="156"/>
      <c r="BF1245" s="156"/>
      <c r="BG1245" s="156"/>
      <c r="BH1245" s="156"/>
      <c r="BI1245" s="156"/>
      <c r="BJ1245" s="156"/>
      <c r="BK1245" s="156"/>
      <c r="BL1245" s="156"/>
      <c r="BM1245" s="156"/>
      <c r="BN1245" s="156"/>
      <c r="BO1245" s="156"/>
      <c r="BP1245" s="156"/>
      <c r="BQ1245" s="156"/>
      <c r="BR1245" s="156"/>
      <c r="BS1245" s="156"/>
      <c r="BT1245" s="156"/>
      <c r="BU1245" s="156"/>
      <c r="BV1245" s="156"/>
      <c r="BW1245" s="156"/>
      <c r="BX1245" s="156"/>
      <c r="BY1245" s="156"/>
      <c r="BZ1245" s="156"/>
      <c r="CA1245" s="156"/>
      <c r="CB1245" s="156"/>
      <c r="CC1245" s="156"/>
      <c r="CD1245" s="156"/>
      <c r="CE1245" s="156"/>
      <c r="CF1245" s="156"/>
      <c r="CG1245" s="156"/>
      <c r="CH1245" s="156"/>
      <c r="CI1245" s="156"/>
      <c r="CJ1245" s="156"/>
      <c r="CK1245" s="156"/>
      <c r="CL1245" s="156"/>
      <c r="CM1245" s="156"/>
      <c r="CN1245" s="156"/>
      <c r="CO1245" s="156"/>
      <c r="CP1245" s="156"/>
      <c r="CQ1245" s="156"/>
      <c r="CR1245" s="156"/>
      <c r="CS1245" s="156"/>
      <c r="CT1245" s="156"/>
      <c r="CU1245" s="156"/>
      <c r="CV1245" s="156"/>
      <c r="CW1245" s="156"/>
      <c r="CX1245" s="156"/>
      <c r="CY1245" s="156"/>
      <c r="CZ1245" s="156"/>
      <c r="DA1245" s="156"/>
      <c r="DB1245" s="156"/>
      <c r="DC1245" s="156"/>
      <c r="DD1245" s="156"/>
      <c r="DE1245" s="156"/>
      <c r="DF1245" s="156"/>
      <c r="DG1245" s="156"/>
      <c r="DH1245" s="156"/>
      <c r="DI1245" s="156"/>
      <c r="DJ1245" s="156"/>
      <c r="DK1245" s="156"/>
      <c r="DL1245" s="156"/>
      <c r="DM1245" s="156"/>
      <c r="DN1245" s="156"/>
      <c r="DO1245" s="156"/>
      <c r="DP1245" s="156"/>
      <c r="DQ1245" s="156"/>
      <c r="DR1245" s="156"/>
      <c r="DS1245" s="156"/>
      <c r="DT1245" s="156"/>
      <c r="DU1245" s="156"/>
      <c r="DV1245" s="156"/>
      <c r="DW1245" s="156"/>
      <c r="DX1245" s="156"/>
      <c r="DY1245" s="156"/>
      <c r="DZ1245" s="156"/>
      <c r="EA1245" s="156"/>
      <c r="EB1245" s="156"/>
      <c r="EC1245" s="156"/>
      <c r="ED1245" s="156"/>
      <c r="EE1245" s="156"/>
      <c r="EF1245" s="156"/>
      <c r="EG1245" s="156"/>
      <c r="EH1245" s="156"/>
      <c r="EI1245" s="156"/>
      <c r="EJ1245" s="156"/>
      <c r="EK1245" s="156"/>
      <c r="EL1245" s="156"/>
      <c r="EM1245" s="156"/>
    </row>
    <row r="1246" spans="20:143" ht="10.5" customHeight="1">
      <c r="T1246" s="156"/>
      <c r="AZ1246" s="156"/>
      <c r="BA1246" s="156"/>
      <c r="BB1246" s="156"/>
      <c r="BC1246" s="156"/>
      <c r="BD1246" s="156"/>
      <c r="BE1246" s="156"/>
      <c r="BF1246" s="156"/>
      <c r="BG1246" s="156"/>
      <c r="BH1246" s="156"/>
      <c r="BI1246" s="156"/>
      <c r="BJ1246" s="156"/>
      <c r="BK1246" s="156"/>
      <c r="BL1246" s="156"/>
      <c r="BM1246" s="156"/>
      <c r="BN1246" s="156"/>
      <c r="BO1246" s="156"/>
      <c r="BP1246" s="156"/>
      <c r="BQ1246" s="156"/>
      <c r="BR1246" s="156"/>
      <c r="BS1246" s="156"/>
      <c r="BT1246" s="156"/>
      <c r="BU1246" s="156"/>
      <c r="BV1246" s="156"/>
      <c r="BW1246" s="156"/>
      <c r="BX1246" s="156"/>
      <c r="BY1246" s="156"/>
      <c r="BZ1246" s="156"/>
      <c r="CA1246" s="156"/>
      <c r="CB1246" s="156"/>
      <c r="CC1246" s="156"/>
      <c r="CD1246" s="156"/>
      <c r="CE1246" s="156"/>
      <c r="CF1246" s="156"/>
      <c r="CG1246" s="156"/>
      <c r="CH1246" s="156"/>
      <c r="CI1246" s="156"/>
      <c r="CJ1246" s="156"/>
      <c r="CK1246" s="156"/>
      <c r="CL1246" s="156"/>
      <c r="CM1246" s="156"/>
      <c r="CN1246" s="156"/>
      <c r="CO1246" s="156"/>
      <c r="CP1246" s="156"/>
      <c r="CQ1246" s="156"/>
      <c r="CR1246" s="156"/>
      <c r="CS1246" s="156"/>
      <c r="CT1246" s="156"/>
      <c r="CU1246" s="156"/>
      <c r="CV1246" s="156"/>
      <c r="CW1246" s="156"/>
      <c r="CX1246" s="156"/>
      <c r="CY1246" s="156"/>
      <c r="CZ1246" s="156"/>
      <c r="DA1246" s="156"/>
      <c r="DB1246" s="156"/>
      <c r="DC1246" s="156"/>
      <c r="DD1246" s="156"/>
      <c r="DE1246" s="156"/>
      <c r="DF1246" s="156"/>
      <c r="DG1246" s="156"/>
      <c r="DH1246" s="156"/>
      <c r="DI1246" s="156"/>
      <c r="DJ1246" s="156"/>
      <c r="DK1246" s="156"/>
      <c r="DL1246" s="156"/>
      <c r="DM1246" s="156"/>
      <c r="DN1246" s="156"/>
      <c r="DO1246" s="156"/>
      <c r="DP1246" s="156"/>
      <c r="DQ1246" s="156"/>
      <c r="DR1246" s="156"/>
      <c r="DS1246" s="156"/>
      <c r="DT1246" s="156"/>
      <c r="DU1246" s="156"/>
      <c r="DV1246" s="156"/>
      <c r="DW1246" s="156"/>
      <c r="DX1246" s="156"/>
      <c r="DY1246" s="156"/>
      <c r="DZ1246" s="156"/>
      <c r="EA1246" s="156"/>
      <c r="EB1246" s="156"/>
      <c r="EC1246" s="156"/>
      <c r="ED1246" s="156"/>
      <c r="EE1246" s="156"/>
      <c r="EF1246" s="156"/>
      <c r="EG1246" s="156"/>
      <c r="EH1246" s="156"/>
      <c r="EI1246" s="156"/>
      <c r="EJ1246" s="156"/>
      <c r="EK1246" s="156"/>
      <c r="EL1246" s="156"/>
      <c r="EM1246" s="156"/>
    </row>
    <row r="1247" spans="20:143" ht="10.5" customHeight="1">
      <c r="T1247" s="156"/>
      <c r="AZ1247" s="156"/>
      <c r="BA1247" s="156"/>
      <c r="BB1247" s="156"/>
      <c r="BC1247" s="156"/>
      <c r="BD1247" s="156"/>
      <c r="BE1247" s="156"/>
      <c r="BF1247" s="156"/>
      <c r="BG1247" s="156"/>
      <c r="BH1247" s="156"/>
      <c r="BI1247" s="156"/>
      <c r="BJ1247" s="156"/>
      <c r="BK1247" s="156"/>
      <c r="BL1247" s="156"/>
      <c r="BM1247" s="156"/>
      <c r="BN1247" s="156"/>
      <c r="BO1247" s="156"/>
      <c r="BP1247" s="156"/>
      <c r="BQ1247" s="156"/>
      <c r="BR1247" s="156"/>
      <c r="BS1247" s="156"/>
      <c r="BT1247" s="156"/>
      <c r="BU1247" s="156"/>
      <c r="BV1247" s="156"/>
      <c r="BW1247" s="156"/>
      <c r="BX1247" s="156"/>
      <c r="BY1247" s="156"/>
      <c r="BZ1247" s="156"/>
      <c r="CA1247" s="156"/>
      <c r="CB1247" s="156"/>
      <c r="CC1247" s="156"/>
      <c r="CD1247" s="156"/>
      <c r="CE1247" s="156"/>
      <c r="CF1247" s="156"/>
      <c r="CG1247" s="156"/>
      <c r="CH1247" s="156"/>
      <c r="CI1247" s="156"/>
      <c r="CJ1247" s="156"/>
      <c r="CK1247" s="156"/>
      <c r="CL1247" s="156"/>
      <c r="CM1247" s="156"/>
      <c r="CN1247" s="156"/>
      <c r="CO1247" s="156"/>
      <c r="CP1247" s="156"/>
      <c r="CQ1247" s="156"/>
      <c r="CR1247" s="156"/>
      <c r="CS1247" s="156"/>
      <c r="CT1247" s="156"/>
      <c r="CU1247" s="156"/>
      <c r="CV1247" s="156"/>
      <c r="CW1247" s="156"/>
      <c r="CX1247" s="156"/>
      <c r="CY1247" s="156"/>
      <c r="CZ1247" s="156"/>
      <c r="DA1247" s="156"/>
      <c r="DB1247" s="156"/>
      <c r="DC1247" s="156"/>
      <c r="DD1247" s="156"/>
      <c r="DE1247" s="156"/>
      <c r="DF1247" s="156"/>
      <c r="DG1247" s="156"/>
      <c r="DH1247" s="156"/>
      <c r="DI1247" s="156"/>
      <c r="DJ1247" s="156"/>
      <c r="DK1247" s="156"/>
      <c r="DL1247" s="156"/>
      <c r="DM1247" s="156"/>
      <c r="DN1247" s="156"/>
      <c r="DO1247" s="156"/>
      <c r="DP1247" s="156"/>
      <c r="DQ1247" s="156"/>
      <c r="DR1247" s="156"/>
      <c r="DS1247" s="156"/>
      <c r="DT1247" s="156"/>
      <c r="DU1247" s="156"/>
      <c r="DV1247" s="156"/>
      <c r="DW1247" s="156"/>
      <c r="DX1247" s="156"/>
      <c r="DY1247" s="156"/>
      <c r="DZ1247" s="156"/>
      <c r="EA1247" s="156"/>
      <c r="EB1247" s="156"/>
      <c r="EC1247" s="156"/>
      <c r="ED1247" s="156"/>
      <c r="EE1247" s="156"/>
      <c r="EF1247" s="156"/>
      <c r="EG1247" s="156"/>
      <c r="EH1247" s="156"/>
      <c r="EI1247" s="156"/>
      <c r="EJ1247" s="156"/>
      <c r="EK1247" s="156"/>
      <c r="EL1247" s="156"/>
      <c r="EM1247" s="156"/>
    </row>
    <row r="1248" spans="20:143" ht="10.5" customHeight="1">
      <c r="T1248" s="156"/>
      <c r="AZ1248" s="156"/>
      <c r="BA1248" s="156"/>
      <c r="BB1248" s="156"/>
      <c r="BC1248" s="156"/>
      <c r="BD1248" s="156"/>
      <c r="BE1248" s="156"/>
      <c r="BF1248" s="156"/>
      <c r="BG1248" s="156"/>
      <c r="BH1248" s="156"/>
      <c r="BI1248" s="156"/>
      <c r="BJ1248" s="156"/>
      <c r="BK1248" s="156"/>
      <c r="BL1248" s="156"/>
      <c r="BM1248" s="156"/>
      <c r="BN1248" s="156"/>
      <c r="BO1248" s="156"/>
      <c r="BP1248" s="156"/>
      <c r="BQ1248" s="156"/>
      <c r="BR1248" s="156"/>
      <c r="BS1248" s="156"/>
      <c r="BT1248" s="156"/>
      <c r="BU1248" s="156"/>
      <c r="BV1248" s="156"/>
      <c r="BW1248" s="156"/>
      <c r="BX1248" s="156"/>
      <c r="BY1248" s="156"/>
      <c r="BZ1248" s="156"/>
      <c r="CA1248" s="156"/>
      <c r="CB1248" s="156"/>
      <c r="CC1248" s="156"/>
      <c r="CD1248" s="156"/>
      <c r="CE1248" s="156"/>
      <c r="CF1248" s="156"/>
      <c r="CG1248" s="156"/>
      <c r="CH1248" s="156"/>
      <c r="CI1248" s="156"/>
      <c r="CJ1248" s="156"/>
      <c r="CK1248" s="156"/>
      <c r="CL1248" s="156"/>
      <c r="CM1248" s="156"/>
      <c r="CN1248" s="156"/>
      <c r="CO1248" s="156"/>
      <c r="CP1248" s="156"/>
      <c r="CQ1248" s="156"/>
      <c r="CR1248" s="156"/>
      <c r="CS1248" s="156"/>
      <c r="CT1248" s="156"/>
      <c r="CU1248" s="156"/>
      <c r="CV1248" s="156"/>
      <c r="CW1248" s="156"/>
      <c r="CX1248" s="156"/>
      <c r="CY1248" s="156"/>
      <c r="CZ1248" s="156"/>
      <c r="DA1248" s="156"/>
      <c r="DB1248" s="156"/>
      <c r="DC1248" s="156"/>
      <c r="DD1248" s="156"/>
      <c r="DE1248" s="156"/>
      <c r="DF1248" s="156"/>
      <c r="DG1248" s="156"/>
      <c r="DH1248" s="156"/>
      <c r="DI1248" s="156"/>
      <c r="DJ1248" s="156"/>
      <c r="DK1248" s="156"/>
      <c r="DL1248" s="156"/>
      <c r="DM1248" s="156"/>
      <c r="DN1248" s="156"/>
      <c r="DO1248" s="156"/>
      <c r="DP1248" s="156"/>
      <c r="DQ1248" s="156"/>
      <c r="DR1248" s="156"/>
      <c r="DS1248" s="156"/>
      <c r="DT1248" s="156"/>
      <c r="DU1248" s="156"/>
      <c r="DV1248" s="156"/>
      <c r="DW1248" s="156"/>
      <c r="DX1248" s="156"/>
      <c r="DY1248" s="156"/>
      <c r="DZ1248" s="156"/>
      <c r="EA1248" s="156"/>
      <c r="EB1248" s="156"/>
      <c r="EC1248" s="156"/>
      <c r="ED1248" s="156"/>
      <c r="EE1248" s="156"/>
      <c r="EF1248" s="156"/>
      <c r="EG1248" s="156"/>
      <c r="EH1248" s="156"/>
      <c r="EI1248" s="156"/>
      <c r="EJ1248" s="156"/>
      <c r="EK1248" s="156"/>
      <c r="EL1248" s="156"/>
      <c r="EM1248" s="156"/>
    </row>
    <row r="1249" spans="20:143" ht="10.5" customHeight="1">
      <c r="T1249" s="156"/>
      <c r="AZ1249" s="156"/>
      <c r="BA1249" s="156"/>
      <c r="BB1249" s="156"/>
      <c r="BC1249" s="156"/>
      <c r="BD1249" s="156"/>
      <c r="BE1249" s="156"/>
      <c r="BF1249" s="156"/>
      <c r="BG1249" s="156"/>
      <c r="BH1249" s="156"/>
      <c r="BI1249" s="156"/>
      <c r="BJ1249" s="156"/>
      <c r="BK1249" s="156"/>
      <c r="BL1249" s="156"/>
      <c r="BM1249" s="156"/>
      <c r="BN1249" s="156"/>
      <c r="BO1249" s="156"/>
      <c r="BP1249" s="156"/>
      <c r="BQ1249" s="156"/>
      <c r="BR1249" s="156"/>
      <c r="BS1249" s="156"/>
      <c r="BT1249" s="156"/>
      <c r="BU1249" s="156"/>
      <c r="BV1249" s="156"/>
      <c r="BW1249" s="156"/>
      <c r="BX1249" s="156"/>
      <c r="BY1249" s="156"/>
      <c r="BZ1249" s="156"/>
      <c r="CA1249" s="156"/>
      <c r="CB1249" s="156"/>
      <c r="CC1249" s="156"/>
      <c r="CD1249" s="156"/>
      <c r="CE1249" s="156"/>
      <c r="CF1249" s="156"/>
      <c r="CG1249" s="156"/>
      <c r="CH1249" s="156"/>
      <c r="CI1249" s="156"/>
      <c r="CJ1249" s="156"/>
      <c r="CK1249" s="156"/>
      <c r="CL1249" s="156"/>
      <c r="CM1249" s="156"/>
      <c r="CN1249" s="156"/>
      <c r="CO1249" s="156"/>
      <c r="CP1249" s="156"/>
      <c r="CQ1249" s="156"/>
      <c r="CR1249" s="156"/>
      <c r="CS1249" s="156"/>
      <c r="CT1249" s="156"/>
      <c r="CU1249" s="156"/>
      <c r="CV1249" s="156"/>
      <c r="CW1249" s="156"/>
      <c r="CX1249" s="156"/>
      <c r="CY1249" s="156"/>
      <c r="CZ1249" s="156"/>
      <c r="DA1249" s="156"/>
      <c r="DB1249" s="156"/>
      <c r="DC1249" s="156"/>
      <c r="DD1249" s="156"/>
      <c r="DE1249" s="156"/>
      <c r="DF1249" s="156"/>
      <c r="DG1249" s="156"/>
      <c r="DH1249" s="156"/>
      <c r="DI1249" s="156"/>
      <c r="DJ1249" s="156"/>
      <c r="DK1249" s="156"/>
      <c r="DL1249" s="156"/>
      <c r="DM1249" s="156"/>
      <c r="DN1249" s="156"/>
      <c r="DO1249" s="156"/>
      <c r="DP1249" s="156"/>
      <c r="DQ1249" s="156"/>
      <c r="DR1249" s="156"/>
      <c r="DS1249" s="156"/>
      <c r="DT1249" s="156"/>
      <c r="DU1249" s="156"/>
      <c r="DV1249" s="156"/>
      <c r="DW1249" s="156"/>
      <c r="DX1249" s="156"/>
      <c r="DY1249" s="156"/>
      <c r="DZ1249" s="156"/>
      <c r="EA1249" s="156"/>
      <c r="EB1249" s="156"/>
      <c r="EC1249" s="156"/>
      <c r="ED1249" s="156"/>
      <c r="EE1249" s="156"/>
      <c r="EF1249" s="156"/>
      <c r="EG1249" s="156"/>
      <c r="EH1249" s="156"/>
      <c r="EI1249" s="156"/>
      <c r="EJ1249" s="156"/>
      <c r="EK1249" s="156"/>
      <c r="EL1249" s="156"/>
      <c r="EM1249" s="156"/>
    </row>
    <row r="1250" spans="20:143" ht="10.5" customHeight="1">
      <c r="T1250" s="156"/>
      <c r="AZ1250" s="156"/>
      <c r="BA1250" s="156"/>
      <c r="BB1250" s="156"/>
      <c r="BC1250" s="156"/>
      <c r="BD1250" s="156"/>
      <c r="BE1250" s="156"/>
      <c r="BF1250" s="156"/>
      <c r="BG1250" s="156"/>
      <c r="BH1250" s="156"/>
      <c r="BI1250" s="156"/>
      <c r="BJ1250" s="156"/>
      <c r="BK1250" s="156"/>
      <c r="BL1250" s="156"/>
      <c r="BM1250" s="156"/>
      <c r="BN1250" s="156"/>
      <c r="BO1250" s="156"/>
      <c r="BP1250" s="156"/>
      <c r="BQ1250" s="156"/>
      <c r="BR1250" s="156"/>
      <c r="BS1250" s="156"/>
      <c r="BT1250" s="156"/>
      <c r="BU1250" s="156"/>
      <c r="BV1250" s="156"/>
      <c r="BW1250" s="156"/>
      <c r="BX1250" s="156"/>
      <c r="BY1250" s="156"/>
      <c r="BZ1250" s="156"/>
      <c r="CA1250" s="156"/>
      <c r="CB1250" s="156"/>
      <c r="CC1250" s="156"/>
      <c r="CD1250" s="156"/>
      <c r="CE1250" s="156"/>
      <c r="CF1250" s="156"/>
      <c r="CG1250" s="156"/>
      <c r="CH1250" s="156"/>
      <c r="CI1250" s="156"/>
      <c r="CJ1250" s="156"/>
      <c r="CK1250" s="156"/>
      <c r="CL1250" s="156"/>
      <c r="CM1250" s="156"/>
      <c r="CN1250" s="156"/>
      <c r="CO1250" s="156"/>
      <c r="CP1250" s="156"/>
      <c r="CQ1250" s="156"/>
      <c r="CR1250" s="156"/>
      <c r="CS1250" s="156"/>
      <c r="CT1250" s="156"/>
      <c r="CU1250" s="156"/>
      <c r="CV1250" s="156"/>
      <c r="CW1250" s="156"/>
      <c r="CX1250" s="156"/>
      <c r="CY1250" s="156"/>
      <c r="CZ1250" s="156"/>
      <c r="DA1250" s="156"/>
      <c r="DB1250" s="156"/>
      <c r="DC1250" s="156"/>
      <c r="DD1250" s="156"/>
      <c r="DE1250" s="156"/>
      <c r="DF1250" s="156"/>
      <c r="DG1250" s="156"/>
      <c r="DH1250" s="156"/>
      <c r="DI1250" s="156"/>
      <c r="DJ1250" s="156"/>
      <c r="DK1250" s="156"/>
      <c r="DL1250" s="156"/>
      <c r="DM1250" s="156"/>
      <c r="DN1250" s="156"/>
      <c r="DO1250" s="156"/>
      <c r="DP1250" s="156"/>
      <c r="DQ1250" s="156"/>
      <c r="DR1250" s="156"/>
      <c r="DS1250" s="156"/>
      <c r="DT1250" s="156"/>
      <c r="DU1250" s="156"/>
      <c r="DV1250" s="156"/>
      <c r="DW1250" s="156"/>
      <c r="DX1250" s="156"/>
      <c r="DY1250" s="156"/>
      <c r="DZ1250" s="156"/>
      <c r="EA1250" s="156"/>
      <c r="EB1250" s="156"/>
      <c r="EC1250" s="156"/>
      <c r="ED1250" s="156"/>
      <c r="EE1250" s="156"/>
      <c r="EF1250" s="156"/>
      <c r="EG1250" s="156"/>
      <c r="EH1250" s="156"/>
      <c r="EI1250" s="156"/>
      <c r="EJ1250" s="156"/>
      <c r="EK1250" s="156"/>
      <c r="EL1250" s="156"/>
      <c r="EM1250" s="156"/>
    </row>
    <row r="1251" spans="20:143" ht="10.5" customHeight="1">
      <c r="T1251" s="156"/>
      <c r="AZ1251" s="156"/>
      <c r="BA1251" s="156"/>
      <c r="BB1251" s="156"/>
      <c r="BC1251" s="156"/>
      <c r="BD1251" s="156"/>
      <c r="BE1251" s="156"/>
      <c r="BF1251" s="156"/>
      <c r="BG1251" s="156"/>
      <c r="BH1251" s="156"/>
      <c r="BI1251" s="156"/>
      <c r="BJ1251" s="156"/>
      <c r="BK1251" s="156"/>
      <c r="BL1251" s="156"/>
      <c r="BM1251" s="156"/>
      <c r="BN1251" s="156"/>
      <c r="BO1251" s="156"/>
      <c r="BP1251" s="156"/>
      <c r="BQ1251" s="156"/>
      <c r="BR1251" s="156"/>
      <c r="BS1251" s="156"/>
      <c r="BT1251" s="156"/>
      <c r="BU1251" s="156"/>
      <c r="BV1251" s="156"/>
      <c r="BW1251" s="156"/>
      <c r="BX1251" s="156"/>
      <c r="BY1251" s="156"/>
      <c r="BZ1251" s="156"/>
      <c r="CA1251" s="156"/>
      <c r="CB1251" s="156"/>
      <c r="CC1251" s="156"/>
      <c r="CD1251" s="156"/>
      <c r="CE1251" s="156"/>
      <c r="CF1251" s="156"/>
      <c r="CG1251" s="156"/>
      <c r="CH1251" s="156"/>
      <c r="CI1251" s="156"/>
      <c r="CJ1251" s="156"/>
      <c r="CK1251" s="156"/>
      <c r="CL1251" s="156"/>
      <c r="CM1251" s="156"/>
      <c r="CN1251" s="156"/>
      <c r="CO1251" s="156"/>
      <c r="CP1251" s="156"/>
      <c r="CQ1251" s="156"/>
      <c r="CR1251" s="156"/>
      <c r="CS1251" s="156"/>
      <c r="CT1251" s="156"/>
      <c r="CU1251" s="156"/>
      <c r="CV1251" s="156"/>
      <c r="CW1251" s="156"/>
      <c r="CX1251" s="156"/>
      <c r="CY1251" s="156"/>
      <c r="CZ1251" s="156"/>
      <c r="DA1251" s="156"/>
      <c r="DB1251" s="156"/>
      <c r="DC1251" s="156"/>
      <c r="DD1251" s="156"/>
      <c r="DE1251" s="156"/>
      <c r="DF1251" s="156"/>
      <c r="DG1251" s="156"/>
      <c r="DH1251" s="156"/>
      <c r="DI1251" s="156"/>
      <c r="DJ1251" s="156"/>
      <c r="DK1251" s="156"/>
      <c r="DL1251" s="156"/>
      <c r="DM1251" s="156"/>
      <c r="DN1251" s="156"/>
      <c r="DO1251" s="156"/>
      <c r="DP1251" s="156"/>
      <c r="DQ1251" s="156"/>
      <c r="DR1251" s="156"/>
      <c r="DS1251" s="156"/>
      <c r="DT1251" s="156"/>
      <c r="DU1251" s="156"/>
      <c r="DV1251" s="156"/>
      <c r="DW1251" s="156"/>
      <c r="DX1251" s="156"/>
      <c r="DY1251" s="156"/>
      <c r="DZ1251" s="156"/>
      <c r="EA1251" s="156"/>
      <c r="EB1251" s="156"/>
      <c r="EC1251" s="156"/>
      <c r="ED1251" s="156"/>
      <c r="EE1251" s="156"/>
      <c r="EF1251" s="156"/>
      <c r="EG1251" s="156"/>
      <c r="EH1251" s="156"/>
      <c r="EI1251" s="156"/>
      <c r="EJ1251" s="156"/>
      <c r="EK1251" s="156"/>
      <c r="EL1251" s="156"/>
      <c r="EM1251" s="156"/>
    </row>
    <row r="1252" spans="20:143" ht="10.5" customHeight="1">
      <c r="T1252" s="156"/>
      <c r="AZ1252" s="156"/>
      <c r="BA1252" s="156"/>
      <c r="BB1252" s="156"/>
      <c r="BC1252" s="156"/>
      <c r="BD1252" s="156"/>
      <c r="BE1252" s="156"/>
      <c r="BF1252" s="156"/>
      <c r="BG1252" s="156"/>
      <c r="BH1252" s="156"/>
      <c r="BI1252" s="156"/>
      <c r="BJ1252" s="156"/>
      <c r="BK1252" s="156"/>
      <c r="BL1252" s="156"/>
      <c r="BM1252" s="156"/>
      <c r="BN1252" s="156"/>
      <c r="BO1252" s="156"/>
      <c r="BP1252" s="156"/>
      <c r="BQ1252" s="156"/>
      <c r="BR1252" s="156"/>
      <c r="BS1252" s="156"/>
      <c r="BT1252" s="156"/>
      <c r="BU1252" s="156"/>
      <c r="BV1252" s="156"/>
      <c r="BW1252" s="156"/>
      <c r="BX1252" s="156"/>
      <c r="BY1252" s="156"/>
      <c r="BZ1252" s="156"/>
      <c r="CA1252" s="156"/>
      <c r="CB1252" s="156"/>
      <c r="CC1252" s="156"/>
      <c r="CD1252" s="156"/>
      <c r="CE1252" s="156"/>
      <c r="CF1252" s="156"/>
      <c r="CG1252" s="156"/>
      <c r="CH1252" s="156"/>
      <c r="CI1252" s="156"/>
      <c r="CJ1252" s="156"/>
      <c r="CK1252" s="156"/>
      <c r="CL1252" s="156"/>
      <c r="CM1252" s="156"/>
      <c r="CN1252" s="156"/>
      <c r="CO1252" s="156"/>
      <c r="CP1252" s="156"/>
      <c r="CQ1252" s="156"/>
      <c r="CR1252" s="156"/>
      <c r="CS1252" s="156"/>
      <c r="CT1252" s="156"/>
      <c r="CU1252" s="156"/>
      <c r="CV1252" s="156"/>
      <c r="CW1252" s="156"/>
      <c r="CX1252" s="156"/>
      <c r="CY1252" s="156"/>
      <c r="CZ1252" s="156"/>
      <c r="DA1252" s="156"/>
      <c r="DB1252" s="156"/>
      <c r="DC1252" s="156"/>
      <c r="DD1252" s="156"/>
      <c r="DE1252" s="156"/>
      <c r="DF1252" s="156"/>
      <c r="DG1252" s="156"/>
      <c r="DH1252" s="156"/>
      <c r="DI1252" s="156"/>
      <c r="DJ1252" s="156"/>
      <c r="DK1252" s="156"/>
      <c r="DL1252" s="156"/>
      <c r="DM1252" s="156"/>
      <c r="DN1252" s="156"/>
      <c r="DO1252" s="156"/>
      <c r="DP1252" s="156"/>
      <c r="DQ1252" s="156"/>
      <c r="DR1252" s="156"/>
      <c r="DS1252" s="156"/>
      <c r="DT1252" s="156"/>
      <c r="DU1252" s="156"/>
      <c r="DV1252" s="156"/>
      <c r="DW1252" s="156"/>
      <c r="DX1252" s="156"/>
      <c r="DY1252" s="156"/>
      <c r="DZ1252" s="156"/>
      <c r="EA1252" s="156"/>
      <c r="EB1252" s="156"/>
      <c r="EC1252" s="156"/>
      <c r="ED1252" s="156"/>
      <c r="EE1252" s="156"/>
      <c r="EF1252" s="156"/>
      <c r="EG1252" s="156"/>
      <c r="EH1252" s="156"/>
      <c r="EI1252" s="156"/>
      <c r="EJ1252" s="156"/>
      <c r="EK1252" s="156"/>
      <c r="EL1252" s="156"/>
      <c r="EM1252" s="156"/>
    </row>
    <row r="1253" spans="20:143" ht="10.5" customHeight="1">
      <c r="T1253" s="156"/>
      <c r="AZ1253" s="156"/>
      <c r="BA1253" s="156"/>
      <c r="BB1253" s="156"/>
      <c r="BC1253" s="156"/>
      <c r="BD1253" s="156"/>
      <c r="BE1253" s="156"/>
      <c r="BF1253" s="156"/>
      <c r="BG1253" s="156"/>
      <c r="BH1253" s="156"/>
      <c r="BI1253" s="156"/>
      <c r="BJ1253" s="156"/>
      <c r="BK1253" s="156"/>
      <c r="BL1253" s="156"/>
      <c r="BM1253" s="156"/>
      <c r="BN1253" s="156"/>
      <c r="BO1253" s="156"/>
      <c r="BP1253" s="156"/>
      <c r="BQ1253" s="156"/>
      <c r="BR1253" s="156"/>
      <c r="BS1253" s="156"/>
      <c r="BT1253" s="156"/>
      <c r="BU1253" s="156"/>
      <c r="BV1253" s="156"/>
      <c r="BW1253" s="156"/>
      <c r="BX1253" s="156"/>
      <c r="BY1253" s="156"/>
      <c r="BZ1253" s="156"/>
      <c r="CA1253" s="156"/>
      <c r="CB1253" s="156"/>
      <c r="CC1253" s="156"/>
      <c r="CD1253" s="156"/>
      <c r="CE1253" s="156"/>
      <c r="CF1253" s="156"/>
      <c r="CG1253" s="156"/>
      <c r="CH1253" s="156"/>
      <c r="CI1253" s="156"/>
      <c r="CJ1253" s="156"/>
      <c r="CK1253" s="156"/>
      <c r="CL1253" s="156"/>
      <c r="CM1253" s="156"/>
      <c r="CN1253" s="156"/>
      <c r="CO1253" s="156"/>
      <c r="CP1253" s="156"/>
      <c r="CQ1253" s="156"/>
      <c r="CR1253" s="156"/>
      <c r="CS1253" s="156"/>
      <c r="CT1253" s="156"/>
      <c r="CU1253" s="156"/>
      <c r="CV1253" s="156"/>
      <c r="CW1253" s="156"/>
      <c r="CX1253" s="156"/>
      <c r="CY1253" s="156"/>
      <c r="CZ1253" s="156"/>
      <c r="DA1253" s="156"/>
      <c r="DB1253" s="156"/>
      <c r="DC1253" s="156"/>
      <c r="DD1253" s="156"/>
      <c r="DE1253" s="156"/>
      <c r="DF1253" s="156"/>
      <c r="DG1253" s="156"/>
      <c r="DH1253" s="156"/>
      <c r="DI1253" s="156"/>
      <c r="DJ1253" s="156"/>
      <c r="DK1253" s="156"/>
      <c r="DL1253" s="156"/>
      <c r="DM1253" s="156"/>
      <c r="DN1253" s="156"/>
      <c r="DO1253" s="156"/>
      <c r="DP1253" s="156"/>
      <c r="DQ1253" s="156"/>
      <c r="DR1253" s="156"/>
      <c r="DS1253" s="156"/>
      <c r="DT1253" s="156"/>
      <c r="DU1253" s="156"/>
      <c r="DV1253" s="156"/>
      <c r="DW1253" s="156"/>
      <c r="DX1253" s="156"/>
      <c r="DY1253" s="156"/>
      <c r="DZ1253" s="156"/>
      <c r="EA1253" s="156"/>
      <c r="EB1253" s="156"/>
      <c r="EC1253" s="156"/>
      <c r="ED1253" s="156"/>
      <c r="EE1253" s="156"/>
      <c r="EF1253" s="156"/>
      <c r="EG1253" s="156"/>
      <c r="EH1253" s="156"/>
      <c r="EI1253" s="156"/>
      <c r="EJ1253" s="156"/>
      <c r="EK1253" s="156"/>
      <c r="EL1253" s="156"/>
      <c r="EM1253" s="156"/>
    </row>
    <row r="1254" spans="20:143" ht="10.5" customHeight="1">
      <c r="T1254" s="156"/>
      <c r="AZ1254" s="156"/>
      <c r="BA1254" s="156"/>
      <c r="BB1254" s="156"/>
      <c r="BC1254" s="156"/>
      <c r="BD1254" s="156"/>
      <c r="BE1254" s="156"/>
      <c r="BF1254" s="156"/>
      <c r="BG1254" s="156"/>
      <c r="BH1254" s="156"/>
      <c r="BI1254" s="156"/>
      <c r="BJ1254" s="156"/>
      <c r="BK1254" s="156"/>
      <c r="BL1254" s="156"/>
      <c r="BM1254" s="156"/>
      <c r="BN1254" s="156"/>
      <c r="BO1254" s="156"/>
      <c r="BP1254" s="156"/>
      <c r="BQ1254" s="156"/>
      <c r="BR1254" s="156"/>
      <c r="BS1254" s="156"/>
      <c r="BT1254" s="156"/>
      <c r="BU1254" s="156"/>
      <c r="BV1254" s="156"/>
      <c r="BW1254" s="156"/>
      <c r="BX1254" s="156"/>
      <c r="BY1254" s="156"/>
      <c r="BZ1254" s="156"/>
      <c r="CA1254" s="156"/>
      <c r="CB1254" s="156"/>
      <c r="CC1254" s="156"/>
      <c r="CD1254" s="156"/>
      <c r="CE1254" s="156"/>
      <c r="CF1254" s="156"/>
      <c r="CG1254" s="156"/>
      <c r="CH1254" s="156"/>
      <c r="CI1254" s="156"/>
      <c r="CJ1254" s="156"/>
      <c r="CK1254" s="156"/>
      <c r="CL1254" s="156"/>
      <c r="CM1254" s="156"/>
      <c r="CN1254" s="156"/>
      <c r="CO1254" s="156"/>
      <c r="CP1254" s="156"/>
      <c r="CQ1254" s="156"/>
      <c r="CR1254" s="156"/>
      <c r="CS1254" s="156"/>
      <c r="CT1254" s="156"/>
      <c r="CU1254" s="156"/>
      <c r="CV1254" s="156"/>
      <c r="CW1254" s="156"/>
      <c r="CX1254" s="156"/>
      <c r="CY1254" s="156"/>
      <c r="CZ1254" s="156"/>
      <c r="DA1254" s="156"/>
      <c r="DB1254" s="156"/>
      <c r="DC1254" s="156"/>
      <c r="DD1254" s="156"/>
      <c r="DE1254" s="156"/>
      <c r="DF1254" s="156"/>
      <c r="DG1254" s="156"/>
      <c r="DH1254" s="156"/>
      <c r="DI1254" s="156"/>
      <c r="DJ1254" s="156"/>
      <c r="DK1254" s="156"/>
      <c r="DL1254" s="156"/>
      <c r="DM1254" s="156"/>
      <c r="DN1254" s="156"/>
      <c r="DO1254" s="156"/>
      <c r="DP1254" s="156"/>
      <c r="DQ1254" s="156"/>
      <c r="DR1254" s="156"/>
      <c r="DS1254" s="156"/>
      <c r="DT1254" s="156"/>
      <c r="DU1254" s="156"/>
      <c r="DV1254" s="156"/>
      <c r="DW1254" s="156"/>
      <c r="DX1254" s="156"/>
      <c r="DY1254" s="156"/>
      <c r="DZ1254" s="156"/>
      <c r="EA1254" s="156"/>
      <c r="EB1254" s="156"/>
      <c r="EC1254" s="156"/>
      <c r="ED1254" s="156"/>
      <c r="EE1254" s="156"/>
      <c r="EF1254" s="156"/>
      <c r="EG1254" s="156"/>
      <c r="EH1254" s="156"/>
      <c r="EI1254" s="156"/>
      <c r="EJ1254" s="156"/>
      <c r="EK1254" s="156"/>
      <c r="EL1254" s="156"/>
      <c r="EM1254" s="156"/>
    </row>
    <row r="1255" spans="20:143" ht="10.5" customHeight="1">
      <c r="T1255" s="156"/>
      <c r="AZ1255" s="156"/>
      <c r="BA1255" s="156"/>
      <c r="BB1255" s="156"/>
      <c r="BC1255" s="156"/>
      <c r="BD1255" s="156"/>
      <c r="BE1255" s="156"/>
      <c r="BF1255" s="156"/>
      <c r="BG1255" s="156"/>
      <c r="BH1255" s="156"/>
      <c r="BI1255" s="156"/>
      <c r="BJ1255" s="156"/>
      <c r="BK1255" s="156"/>
      <c r="BL1255" s="156"/>
      <c r="BM1255" s="156"/>
      <c r="BN1255" s="156"/>
      <c r="BO1255" s="156"/>
      <c r="BP1255" s="156"/>
      <c r="BQ1255" s="156"/>
      <c r="BR1255" s="156"/>
      <c r="BS1255" s="156"/>
      <c r="BT1255" s="156"/>
      <c r="BU1255" s="156"/>
      <c r="BV1255" s="156"/>
      <c r="BW1255" s="156"/>
      <c r="BX1255" s="156"/>
      <c r="BY1255" s="156"/>
      <c r="BZ1255" s="156"/>
      <c r="CA1255" s="156"/>
      <c r="CB1255" s="156"/>
      <c r="CC1255" s="156"/>
      <c r="CD1255" s="156"/>
      <c r="CE1255" s="156"/>
      <c r="CF1255" s="156"/>
      <c r="CG1255" s="156"/>
      <c r="CH1255" s="156"/>
      <c r="CI1255" s="156"/>
      <c r="CJ1255" s="156"/>
      <c r="CK1255" s="156"/>
      <c r="CL1255" s="156"/>
      <c r="CM1255" s="156"/>
      <c r="CN1255" s="156"/>
      <c r="CO1255" s="156"/>
      <c r="CP1255" s="156"/>
      <c r="CQ1255" s="156"/>
      <c r="CR1255" s="156"/>
      <c r="CS1255" s="156"/>
      <c r="CT1255" s="156"/>
      <c r="CU1255" s="156"/>
      <c r="CV1255" s="156"/>
      <c r="CW1255" s="156"/>
      <c r="CX1255" s="156"/>
      <c r="CY1255" s="156"/>
      <c r="CZ1255" s="156"/>
      <c r="DA1255" s="156"/>
      <c r="DB1255" s="156"/>
      <c r="DC1255" s="156"/>
      <c r="DD1255" s="156"/>
      <c r="DE1255" s="156"/>
      <c r="DF1255" s="156"/>
      <c r="DG1255" s="156"/>
      <c r="DH1255" s="156"/>
      <c r="DI1255" s="156"/>
      <c r="DJ1255" s="156"/>
      <c r="DK1255" s="156"/>
      <c r="DL1255" s="156"/>
      <c r="DM1255" s="156"/>
      <c r="DN1255" s="156"/>
      <c r="DO1255" s="156"/>
      <c r="DP1255" s="156"/>
      <c r="DQ1255" s="156"/>
      <c r="DR1255" s="156"/>
      <c r="DS1255" s="156"/>
      <c r="DT1255" s="156"/>
      <c r="DU1255" s="156"/>
      <c r="DV1255" s="156"/>
      <c r="DW1255" s="156"/>
      <c r="DX1255" s="156"/>
      <c r="DY1255" s="156"/>
      <c r="DZ1255" s="156"/>
      <c r="EA1255" s="156"/>
      <c r="EB1255" s="156"/>
      <c r="EC1255" s="156"/>
      <c r="ED1255" s="156"/>
      <c r="EE1255" s="156"/>
      <c r="EF1255" s="156"/>
      <c r="EG1255" s="156"/>
      <c r="EH1255" s="156"/>
      <c r="EI1255" s="156"/>
      <c r="EJ1255" s="156"/>
      <c r="EK1255" s="156"/>
      <c r="EL1255" s="156"/>
      <c r="EM1255" s="156"/>
    </row>
    <row r="1256" spans="20:143" ht="10.5" customHeight="1">
      <c r="T1256" s="156"/>
      <c r="AZ1256" s="156"/>
      <c r="BA1256" s="156"/>
      <c r="BB1256" s="156"/>
      <c r="BC1256" s="156"/>
      <c r="BD1256" s="156"/>
      <c r="BE1256" s="156"/>
      <c r="BF1256" s="156"/>
      <c r="BG1256" s="156"/>
      <c r="BH1256" s="156"/>
      <c r="BI1256" s="156"/>
      <c r="BJ1256" s="156"/>
      <c r="BK1256" s="156"/>
      <c r="BL1256" s="156"/>
      <c r="BM1256" s="156"/>
      <c r="BN1256" s="156"/>
      <c r="BO1256" s="156"/>
      <c r="BP1256" s="156"/>
      <c r="BQ1256" s="156"/>
      <c r="BR1256" s="156"/>
      <c r="BS1256" s="156"/>
      <c r="BT1256" s="156"/>
      <c r="BU1256" s="156"/>
      <c r="BV1256" s="156"/>
      <c r="BW1256" s="156"/>
      <c r="BX1256" s="156"/>
      <c r="BY1256" s="156"/>
      <c r="BZ1256" s="156"/>
      <c r="CA1256" s="156"/>
      <c r="CB1256" s="156"/>
      <c r="CC1256" s="156"/>
      <c r="CD1256" s="156"/>
      <c r="CE1256" s="156"/>
      <c r="CF1256" s="156"/>
      <c r="CG1256" s="156"/>
      <c r="CH1256" s="156"/>
      <c r="CI1256" s="156"/>
      <c r="CJ1256" s="156"/>
      <c r="CK1256" s="156"/>
      <c r="CL1256" s="156"/>
      <c r="CM1256" s="156"/>
      <c r="CN1256" s="156"/>
      <c r="CO1256" s="156"/>
      <c r="CP1256" s="156"/>
      <c r="CQ1256" s="156"/>
      <c r="CR1256" s="156"/>
      <c r="CS1256" s="156"/>
      <c r="CT1256" s="156"/>
      <c r="CU1256" s="156"/>
      <c r="CV1256" s="156"/>
      <c r="CW1256" s="156"/>
      <c r="CX1256" s="156"/>
      <c r="CY1256" s="156"/>
      <c r="CZ1256" s="156"/>
      <c r="DA1256" s="156"/>
      <c r="DB1256" s="156"/>
      <c r="DC1256" s="156"/>
      <c r="DD1256" s="156"/>
      <c r="DE1256" s="156"/>
      <c r="DF1256" s="156"/>
      <c r="DG1256" s="156"/>
      <c r="DH1256" s="156"/>
      <c r="DI1256" s="156"/>
      <c r="DJ1256" s="156"/>
      <c r="DK1256" s="156"/>
      <c r="DL1256" s="156"/>
      <c r="DM1256" s="156"/>
      <c r="DN1256" s="156"/>
      <c r="DO1256" s="156"/>
      <c r="DP1256" s="156"/>
      <c r="DQ1256" s="156"/>
      <c r="DR1256" s="156"/>
      <c r="DS1256" s="156"/>
      <c r="DT1256" s="156"/>
      <c r="DU1256" s="156"/>
      <c r="DV1256" s="156"/>
      <c r="DW1256" s="156"/>
      <c r="DX1256" s="156"/>
      <c r="DY1256" s="156"/>
      <c r="DZ1256" s="156"/>
      <c r="EA1256" s="156"/>
      <c r="EB1256" s="156"/>
      <c r="EC1256" s="156"/>
      <c r="ED1256" s="156"/>
      <c r="EE1256" s="156"/>
      <c r="EF1256" s="156"/>
      <c r="EG1256" s="156"/>
      <c r="EH1256" s="156"/>
      <c r="EI1256" s="156"/>
      <c r="EJ1256" s="156"/>
      <c r="EK1256" s="156"/>
      <c r="EL1256" s="156"/>
      <c r="EM1256" s="156"/>
    </row>
    <row r="1257" spans="20:143" ht="10.5" customHeight="1">
      <c r="T1257" s="156"/>
      <c r="AZ1257" s="156"/>
      <c r="BA1257" s="156"/>
      <c r="BB1257" s="156"/>
      <c r="BC1257" s="156"/>
      <c r="BD1257" s="156"/>
      <c r="BE1257" s="156"/>
      <c r="BF1257" s="156"/>
      <c r="BG1257" s="156"/>
      <c r="BH1257" s="156"/>
      <c r="BI1257" s="156"/>
      <c r="BJ1257" s="156"/>
      <c r="BK1257" s="156"/>
      <c r="BL1257" s="156"/>
      <c r="BM1257" s="156"/>
      <c r="BN1257" s="156"/>
      <c r="BO1257" s="156"/>
      <c r="BP1257" s="156"/>
      <c r="BQ1257" s="156"/>
      <c r="BR1257" s="156"/>
      <c r="BS1257" s="156"/>
      <c r="BT1257" s="156"/>
      <c r="BU1257" s="156"/>
      <c r="BV1257" s="156"/>
      <c r="BW1257" s="156"/>
      <c r="BX1257" s="156"/>
      <c r="BY1257" s="156"/>
      <c r="BZ1257" s="156"/>
      <c r="CA1257" s="156"/>
      <c r="CB1257" s="156"/>
      <c r="CC1257" s="156"/>
      <c r="CD1257" s="156"/>
      <c r="CE1257" s="156"/>
      <c r="CF1257" s="156"/>
      <c r="CG1257" s="156"/>
      <c r="CH1257" s="156"/>
      <c r="CI1257" s="156"/>
      <c r="CJ1257" s="156"/>
      <c r="CK1257" s="156"/>
      <c r="CL1257" s="156"/>
      <c r="CM1257" s="156"/>
      <c r="CN1257" s="156"/>
      <c r="CO1257" s="156"/>
      <c r="CP1257" s="156"/>
      <c r="CQ1257" s="156"/>
      <c r="CR1257" s="156"/>
      <c r="CS1257" s="156"/>
      <c r="CT1257" s="156"/>
      <c r="CU1257" s="156"/>
      <c r="CV1257" s="156"/>
      <c r="CW1257" s="156"/>
      <c r="CX1257" s="156"/>
      <c r="CY1257" s="156"/>
      <c r="CZ1257" s="156"/>
      <c r="DA1257" s="156"/>
      <c r="DB1257" s="156"/>
      <c r="DC1257" s="156"/>
      <c r="DD1257" s="156"/>
      <c r="DE1257" s="156"/>
      <c r="DF1257" s="156"/>
      <c r="DG1257" s="156"/>
      <c r="DH1257" s="156"/>
      <c r="DI1257" s="156"/>
      <c r="DJ1257" s="156"/>
      <c r="DK1257" s="156"/>
      <c r="DL1257" s="156"/>
      <c r="DM1257" s="156"/>
      <c r="DN1257" s="156"/>
      <c r="DO1257" s="156"/>
      <c r="DP1257" s="156"/>
      <c r="DQ1257" s="156"/>
      <c r="DR1257" s="156"/>
      <c r="DS1257" s="156"/>
      <c r="DT1257" s="156"/>
      <c r="DU1257" s="156"/>
      <c r="DV1257" s="156"/>
      <c r="DW1257" s="156"/>
      <c r="DX1257" s="156"/>
      <c r="DY1257" s="156"/>
      <c r="DZ1257" s="156"/>
      <c r="EA1257" s="156"/>
      <c r="EB1257" s="156"/>
      <c r="EC1257" s="156"/>
      <c r="ED1257" s="156"/>
      <c r="EE1257" s="156"/>
      <c r="EF1257" s="156"/>
      <c r="EG1257" s="156"/>
      <c r="EH1257" s="156"/>
      <c r="EI1257" s="156"/>
      <c r="EJ1257" s="156"/>
      <c r="EK1257" s="156"/>
      <c r="EL1257" s="156"/>
      <c r="EM1257" s="156"/>
    </row>
    <row r="1258" spans="20:143" ht="10.5" customHeight="1">
      <c r="T1258" s="156"/>
      <c r="AZ1258" s="156"/>
      <c r="BA1258" s="156"/>
      <c r="BB1258" s="156"/>
      <c r="BC1258" s="156"/>
      <c r="BD1258" s="156"/>
      <c r="BE1258" s="156"/>
      <c r="BF1258" s="156"/>
      <c r="BG1258" s="156"/>
      <c r="BH1258" s="156"/>
      <c r="BI1258" s="156"/>
      <c r="BJ1258" s="156"/>
      <c r="BK1258" s="156"/>
      <c r="BL1258" s="156"/>
      <c r="BM1258" s="156"/>
      <c r="BN1258" s="156"/>
      <c r="BO1258" s="156"/>
      <c r="BP1258" s="156"/>
      <c r="BQ1258" s="156"/>
      <c r="BR1258" s="156"/>
      <c r="BS1258" s="156"/>
      <c r="BT1258" s="156"/>
      <c r="BU1258" s="156"/>
      <c r="BV1258" s="156"/>
      <c r="BW1258" s="156"/>
      <c r="BX1258" s="156"/>
      <c r="BY1258" s="156"/>
      <c r="BZ1258" s="156"/>
      <c r="CA1258" s="156"/>
      <c r="CB1258" s="156"/>
      <c r="CC1258" s="156"/>
      <c r="CD1258" s="156"/>
      <c r="CE1258" s="156"/>
      <c r="CF1258" s="156"/>
      <c r="CG1258" s="156"/>
      <c r="CH1258" s="156"/>
      <c r="CI1258" s="156"/>
      <c r="CJ1258" s="156"/>
      <c r="CK1258" s="156"/>
      <c r="CL1258" s="156"/>
      <c r="CM1258" s="156"/>
      <c r="CN1258" s="156"/>
      <c r="CO1258" s="156"/>
      <c r="CP1258" s="156"/>
      <c r="CQ1258" s="156"/>
      <c r="CR1258" s="156"/>
      <c r="CS1258" s="156"/>
      <c r="CT1258" s="156"/>
      <c r="CU1258" s="156"/>
      <c r="CV1258" s="156"/>
      <c r="CW1258" s="156"/>
      <c r="CX1258" s="156"/>
      <c r="CY1258" s="156"/>
      <c r="CZ1258" s="156"/>
      <c r="DA1258" s="156"/>
      <c r="DB1258" s="156"/>
      <c r="DC1258" s="156"/>
      <c r="DD1258" s="156"/>
      <c r="DE1258" s="156"/>
      <c r="DF1258" s="156"/>
      <c r="DG1258" s="156"/>
      <c r="DH1258" s="156"/>
      <c r="DI1258" s="156"/>
      <c r="DJ1258" s="156"/>
      <c r="DK1258" s="156"/>
      <c r="DL1258" s="156"/>
      <c r="DM1258" s="156"/>
      <c r="DN1258" s="156"/>
      <c r="DO1258" s="156"/>
      <c r="DP1258" s="156"/>
      <c r="DQ1258" s="156"/>
      <c r="DR1258" s="156"/>
      <c r="DS1258" s="156"/>
      <c r="DT1258" s="156"/>
      <c r="DU1258" s="156"/>
      <c r="DV1258" s="156"/>
      <c r="DW1258" s="156"/>
      <c r="DX1258" s="156"/>
      <c r="DY1258" s="156"/>
      <c r="DZ1258" s="156"/>
      <c r="EA1258" s="156"/>
      <c r="EB1258" s="156"/>
      <c r="EC1258" s="156"/>
      <c r="ED1258" s="156"/>
      <c r="EE1258" s="156"/>
      <c r="EF1258" s="156"/>
      <c r="EG1258" s="156"/>
      <c r="EH1258" s="156"/>
      <c r="EI1258" s="156"/>
      <c r="EJ1258" s="156"/>
      <c r="EK1258" s="156"/>
      <c r="EL1258" s="156"/>
      <c r="EM1258" s="156"/>
    </row>
    <row r="1259" spans="20:143" ht="10.5" customHeight="1">
      <c r="T1259" s="156"/>
      <c r="AZ1259" s="156"/>
      <c r="BA1259" s="156"/>
      <c r="BB1259" s="156"/>
      <c r="BC1259" s="156"/>
      <c r="BD1259" s="156"/>
      <c r="BE1259" s="156"/>
      <c r="BF1259" s="156"/>
      <c r="BG1259" s="156"/>
      <c r="BH1259" s="156"/>
      <c r="BI1259" s="156"/>
      <c r="BJ1259" s="156"/>
      <c r="BK1259" s="156"/>
      <c r="BL1259" s="156"/>
      <c r="BM1259" s="156"/>
      <c r="BN1259" s="156"/>
      <c r="BO1259" s="156"/>
      <c r="BP1259" s="156"/>
      <c r="BQ1259" s="156"/>
      <c r="BR1259" s="156"/>
      <c r="BS1259" s="156"/>
      <c r="BT1259" s="156"/>
      <c r="BU1259" s="156"/>
      <c r="BV1259" s="156"/>
      <c r="BW1259" s="156"/>
      <c r="BX1259" s="156"/>
      <c r="BY1259" s="156"/>
      <c r="BZ1259" s="156"/>
      <c r="CA1259" s="156"/>
      <c r="CB1259" s="156"/>
      <c r="CC1259" s="156"/>
      <c r="CD1259" s="156"/>
      <c r="CE1259" s="156"/>
      <c r="CF1259" s="156"/>
      <c r="CG1259" s="156"/>
      <c r="CH1259" s="156"/>
      <c r="CI1259" s="156"/>
      <c r="CJ1259" s="156"/>
      <c r="CK1259" s="156"/>
      <c r="CL1259" s="156"/>
      <c r="CM1259" s="156"/>
      <c r="CN1259" s="156"/>
      <c r="CO1259" s="156"/>
      <c r="CP1259" s="156"/>
      <c r="CQ1259" s="156"/>
      <c r="CR1259" s="156"/>
      <c r="CS1259" s="156"/>
      <c r="CT1259" s="156"/>
      <c r="CU1259" s="156"/>
      <c r="CV1259" s="156"/>
      <c r="CW1259" s="156"/>
      <c r="CX1259" s="156"/>
      <c r="CY1259" s="156"/>
      <c r="CZ1259" s="156"/>
      <c r="DA1259" s="156"/>
      <c r="DB1259" s="156"/>
      <c r="DC1259" s="156"/>
      <c r="DD1259" s="156"/>
      <c r="DE1259" s="156"/>
      <c r="DF1259" s="156"/>
      <c r="DG1259" s="156"/>
      <c r="DH1259" s="156"/>
      <c r="DI1259" s="156"/>
      <c r="DJ1259" s="156"/>
      <c r="DK1259" s="156"/>
      <c r="DL1259" s="156"/>
      <c r="DM1259" s="156"/>
      <c r="DN1259" s="156"/>
      <c r="DO1259" s="156"/>
      <c r="DP1259" s="156"/>
      <c r="DQ1259" s="156"/>
      <c r="DR1259" s="156"/>
      <c r="DS1259" s="156"/>
      <c r="DT1259" s="156"/>
      <c r="DU1259" s="156"/>
      <c r="DV1259" s="156"/>
      <c r="DW1259" s="156"/>
      <c r="DX1259" s="156"/>
      <c r="DY1259" s="156"/>
      <c r="DZ1259" s="156"/>
      <c r="EA1259" s="156"/>
      <c r="EB1259" s="156"/>
      <c r="EC1259" s="156"/>
      <c r="ED1259" s="156"/>
      <c r="EE1259" s="156"/>
      <c r="EF1259" s="156"/>
      <c r="EG1259" s="156"/>
      <c r="EH1259" s="156"/>
      <c r="EI1259" s="156"/>
      <c r="EJ1259" s="156"/>
      <c r="EK1259" s="156"/>
      <c r="EL1259" s="156"/>
      <c r="EM1259" s="156"/>
    </row>
    <row r="1260" spans="20:143" ht="10.5" customHeight="1">
      <c r="T1260" s="156"/>
      <c r="AZ1260" s="156"/>
      <c r="BA1260" s="156"/>
      <c r="BB1260" s="156"/>
      <c r="BC1260" s="156"/>
      <c r="BD1260" s="156"/>
      <c r="BE1260" s="156"/>
      <c r="BF1260" s="156"/>
      <c r="BG1260" s="156"/>
      <c r="BH1260" s="156"/>
      <c r="BI1260" s="156"/>
      <c r="BJ1260" s="156"/>
      <c r="BK1260" s="156"/>
      <c r="BL1260" s="156"/>
      <c r="BM1260" s="156"/>
      <c r="BN1260" s="156"/>
      <c r="BO1260" s="156"/>
      <c r="BP1260" s="156"/>
      <c r="BQ1260" s="156"/>
      <c r="BR1260" s="156"/>
      <c r="BS1260" s="156"/>
      <c r="BT1260" s="156"/>
      <c r="BU1260" s="156"/>
      <c r="BV1260" s="156"/>
      <c r="BW1260" s="156"/>
      <c r="BX1260" s="156"/>
      <c r="BY1260" s="156"/>
      <c r="BZ1260" s="156"/>
      <c r="CA1260" s="156"/>
      <c r="CB1260" s="156"/>
      <c r="CC1260" s="156"/>
      <c r="CD1260" s="156"/>
      <c r="CE1260" s="156"/>
      <c r="CF1260" s="156"/>
      <c r="CG1260" s="156"/>
      <c r="CH1260" s="156"/>
      <c r="CI1260" s="156"/>
      <c r="CJ1260" s="156"/>
      <c r="CK1260" s="156"/>
      <c r="CL1260" s="156"/>
      <c r="CM1260" s="156"/>
      <c r="CN1260" s="156"/>
      <c r="CO1260" s="156"/>
      <c r="CP1260" s="156"/>
      <c r="CQ1260" s="156"/>
      <c r="CR1260" s="156"/>
      <c r="CS1260" s="156"/>
      <c r="CT1260" s="156"/>
      <c r="CU1260" s="156"/>
      <c r="CV1260" s="156"/>
      <c r="CW1260" s="156"/>
      <c r="CX1260" s="156"/>
      <c r="CY1260" s="156"/>
      <c r="CZ1260" s="156"/>
      <c r="DA1260" s="156"/>
      <c r="DB1260" s="156"/>
      <c r="DC1260" s="156"/>
      <c r="DD1260" s="156"/>
      <c r="DE1260" s="156"/>
      <c r="DF1260" s="156"/>
      <c r="DG1260" s="156"/>
      <c r="DH1260" s="156"/>
      <c r="DI1260" s="156"/>
      <c r="DJ1260" s="156"/>
      <c r="DK1260" s="156"/>
      <c r="DL1260" s="156"/>
      <c r="DM1260" s="156"/>
      <c r="DN1260" s="156"/>
      <c r="DO1260" s="156"/>
      <c r="DP1260" s="156"/>
      <c r="DQ1260" s="156"/>
      <c r="DR1260" s="156"/>
      <c r="DS1260" s="156"/>
      <c r="DT1260" s="156"/>
      <c r="DU1260" s="156"/>
      <c r="DV1260" s="156"/>
      <c r="DW1260" s="156"/>
      <c r="DX1260" s="156"/>
      <c r="DY1260" s="156"/>
      <c r="DZ1260" s="156"/>
      <c r="EA1260" s="156"/>
      <c r="EB1260" s="156"/>
      <c r="EC1260" s="156"/>
      <c r="ED1260" s="156"/>
      <c r="EE1260" s="156"/>
      <c r="EF1260" s="156"/>
      <c r="EG1260" s="156"/>
      <c r="EH1260" s="156"/>
      <c r="EI1260" s="156"/>
      <c r="EJ1260" s="156"/>
      <c r="EK1260" s="156"/>
      <c r="EL1260" s="156"/>
      <c r="EM1260" s="156"/>
    </row>
    <row r="1261" spans="20:143" ht="10.5" customHeight="1">
      <c r="T1261" s="156"/>
      <c r="AZ1261" s="156"/>
      <c r="BA1261" s="156"/>
      <c r="BB1261" s="156"/>
      <c r="BC1261" s="156"/>
      <c r="BD1261" s="156"/>
      <c r="BE1261" s="156"/>
      <c r="BF1261" s="156"/>
      <c r="BG1261" s="156"/>
      <c r="BH1261" s="156"/>
      <c r="BI1261" s="156"/>
      <c r="BJ1261" s="156"/>
      <c r="BK1261" s="156"/>
      <c r="BL1261" s="156"/>
      <c r="BM1261" s="156"/>
      <c r="BN1261" s="156"/>
      <c r="BO1261" s="156"/>
      <c r="BP1261" s="156"/>
      <c r="BQ1261" s="156"/>
      <c r="BR1261" s="156"/>
      <c r="BS1261" s="156"/>
      <c r="BT1261" s="156"/>
      <c r="BU1261" s="156"/>
      <c r="BV1261" s="156"/>
      <c r="BW1261" s="156"/>
      <c r="BX1261" s="156"/>
      <c r="BY1261" s="156"/>
      <c r="BZ1261" s="156"/>
      <c r="CA1261" s="156"/>
      <c r="CB1261" s="156"/>
      <c r="CC1261" s="156"/>
      <c r="CD1261" s="156"/>
      <c r="CE1261" s="156"/>
      <c r="CF1261" s="156"/>
      <c r="CG1261" s="156"/>
      <c r="CH1261" s="156"/>
      <c r="CI1261" s="156"/>
      <c r="CJ1261" s="156"/>
      <c r="CK1261" s="156"/>
      <c r="CL1261" s="156"/>
      <c r="CM1261" s="156"/>
      <c r="CN1261" s="156"/>
      <c r="CO1261" s="156"/>
      <c r="CP1261" s="156"/>
      <c r="CQ1261" s="156"/>
      <c r="CR1261" s="156"/>
      <c r="CS1261" s="156"/>
      <c r="CT1261" s="156"/>
      <c r="CU1261" s="156"/>
      <c r="CV1261" s="156"/>
      <c r="CW1261" s="156"/>
      <c r="CX1261" s="156"/>
      <c r="CY1261" s="156"/>
      <c r="CZ1261" s="156"/>
      <c r="DA1261" s="156"/>
      <c r="DB1261" s="156"/>
      <c r="DC1261" s="156"/>
      <c r="DD1261" s="156"/>
      <c r="DE1261" s="156"/>
      <c r="DF1261" s="156"/>
      <c r="DG1261" s="156"/>
      <c r="DH1261" s="156"/>
      <c r="DI1261" s="156"/>
      <c r="DJ1261" s="156"/>
      <c r="DK1261" s="156"/>
      <c r="DL1261" s="156"/>
      <c r="DM1261" s="156"/>
      <c r="DN1261" s="156"/>
      <c r="DO1261" s="156"/>
      <c r="DP1261" s="156"/>
      <c r="DQ1261" s="156"/>
      <c r="DR1261" s="156"/>
      <c r="DS1261" s="156"/>
      <c r="DT1261" s="156"/>
      <c r="DU1261" s="156"/>
      <c r="DV1261" s="156"/>
      <c r="DW1261" s="156"/>
      <c r="DX1261" s="156"/>
      <c r="DY1261" s="156"/>
      <c r="DZ1261" s="156"/>
      <c r="EA1261" s="156"/>
      <c r="EB1261" s="156"/>
      <c r="EC1261" s="156"/>
      <c r="ED1261" s="156"/>
      <c r="EE1261" s="156"/>
      <c r="EF1261" s="156"/>
      <c r="EG1261" s="156"/>
      <c r="EH1261" s="156"/>
      <c r="EI1261" s="156"/>
      <c r="EJ1261" s="156"/>
      <c r="EK1261" s="156"/>
      <c r="EL1261" s="156"/>
      <c r="EM1261" s="156"/>
    </row>
    <row r="1262" spans="20:143" ht="10.5" customHeight="1">
      <c r="T1262" s="156"/>
      <c r="AZ1262" s="156"/>
      <c r="BA1262" s="156"/>
      <c r="BB1262" s="156"/>
      <c r="BC1262" s="156"/>
      <c r="BD1262" s="156"/>
      <c r="BE1262" s="156"/>
      <c r="BF1262" s="156"/>
      <c r="BG1262" s="156"/>
      <c r="BH1262" s="156"/>
      <c r="BI1262" s="156"/>
      <c r="BJ1262" s="156"/>
      <c r="BK1262" s="156"/>
      <c r="BL1262" s="156"/>
      <c r="BM1262" s="156"/>
      <c r="BN1262" s="156"/>
      <c r="BO1262" s="156"/>
      <c r="BP1262" s="156"/>
      <c r="BQ1262" s="156"/>
      <c r="BR1262" s="156"/>
      <c r="BS1262" s="156"/>
      <c r="BT1262" s="156"/>
      <c r="BU1262" s="156"/>
      <c r="BV1262" s="156"/>
      <c r="BW1262" s="156"/>
      <c r="BX1262" s="156"/>
      <c r="BY1262" s="156"/>
      <c r="BZ1262" s="156"/>
      <c r="CA1262" s="156"/>
      <c r="CB1262" s="156"/>
      <c r="CC1262" s="156"/>
      <c r="CD1262" s="156"/>
      <c r="CE1262" s="156"/>
      <c r="CF1262" s="156"/>
      <c r="CG1262" s="156"/>
      <c r="CH1262" s="156"/>
      <c r="CI1262" s="156"/>
      <c r="CJ1262" s="156"/>
      <c r="CK1262" s="156"/>
      <c r="CL1262" s="156"/>
      <c r="CM1262" s="156"/>
      <c r="CN1262" s="156"/>
      <c r="CO1262" s="156"/>
      <c r="CP1262" s="156"/>
      <c r="CQ1262" s="156"/>
      <c r="CR1262" s="156"/>
      <c r="CS1262" s="156"/>
      <c r="CT1262" s="156"/>
      <c r="CU1262" s="156"/>
      <c r="CV1262" s="156"/>
      <c r="CW1262" s="156"/>
      <c r="CX1262" s="156"/>
      <c r="CY1262" s="156"/>
      <c r="CZ1262" s="156"/>
      <c r="DA1262" s="156"/>
      <c r="DB1262" s="156"/>
      <c r="DC1262" s="156"/>
      <c r="DD1262" s="156"/>
      <c r="DE1262" s="156"/>
      <c r="DF1262" s="156"/>
      <c r="DG1262" s="156"/>
      <c r="DH1262" s="156"/>
      <c r="DI1262" s="156"/>
      <c r="DJ1262" s="156"/>
      <c r="DK1262" s="156"/>
      <c r="DL1262" s="156"/>
      <c r="DM1262" s="156"/>
      <c r="DN1262" s="156"/>
      <c r="DO1262" s="156"/>
      <c r="DP1262" s="156"/>
      <c r="DQ1262" s="156"/>
      <c r="DR1262" s="156"/>
      <c r="DS1262" s="156"/>
      <c r="DT1262" s="156"/>
      <c r="DU1262" s="156"/>
      <c r="DV1262" s="156"/>
      <c r="DW1262" s="156"/>
      <c r="DX1262" s="156"/>
      <c r="DY1262" s="156"/>
      <c r="DZ1262" s="156"/>
      <c r="EA1262" s="156"/>
      <c r="EB1262" s="156"/>
      <c r="EC1262" s="156"/>
      <c r="ED1262" s="156"/>
      <c r="EE1262" s="156"/>
      <c r="EF1262" s="156"/>
      <c r="EG1262" s="156"/>
      <c r="EH1262" s="156"/>
      <c r="EI1262" s="156"/>
      <c r="EJ1262" s="156"/>
      <c r="EK1262" s="156"/>
      <c r="EL1262" s="156"/>
      <c r="EM1262" s="156"/>
    </row>
    <row r="1263" spans="20:143" ht="10.5" customHeight="1">
      <c r="T1263" s="156"/>
      <c r="AZ1263" s="156"/>
      <c r="BA1263" s="156"/>
      <c r="BB1263" s="156"/>
      <c r="BC1263" s="156"/>
      <c r="BD1263" s="156"/>
      <c r="BE1263" s="156"/>
      <c r="BF1263" s="156"/>
      <c r="BG1263" s="156"/>
      <c r="BH1263" s="156"/>
      <c r="BI1263" s="156"/>
      <c r="BJ1263" s="156"/>
      <c r="BK1263" s="156"/>
      <c r="BL1263" s="156"/>
      <c r="BM1263" s="156"/>
      <c r="BN1263" s="156"/>
      <c r="BO1263" s="156"/>
      <c r="BP1263" s="156"/>
      <c r="BQ1263" s="156"/>
      <c r="BR1263" s="156"/>
      <c r="BS1263" s="156"/>
      <c r="BT1263" s="156"/>
      <c r="BU1263" s="156"/>
      <c r="BV1263" s="156"/>
      <c r="BW1263" s="156"/>
      <c r="BX1263" s="156"/>
      <c r="BY1263" s="156"/>
      <c r="BZ1263" s="156"/>
      <c r="CA1263" s="156"/>
      <c r="CB1263" s="156"/>
      <c r="CC1263" s="156"/>
      <c r="CD1263" s="156"/>
      <c r="CE1263" s="156"/>
      <c r="CF1263" s="156"/>
      <c r="CG1263" s="156"/>
      <c r="CH1263" s="156"/>
      <c r="CI1263" s="156"/>
      <c r="CJ1263" s="156"/>
      <c r="CK1263" s="156"/>
      <c r="CL1263" s="156"/>
      <c r="CM1263" s="156"/>
      <c r="CN1263" s="156"/>
      <c r="CO1263" s="156"/>
      <c r="CP1263" s="156"/>
      <c r="CQ1263" s="156"/>
      <c r="CR1263" s="156"/>
      <c r="CS1263" s="156"/>
      <c r="CT1263" s="156"/>
      <c r="CU1263" s="156"/>
      <c r="CV1263" s="156"/>
      <c r="CW1263" s="156"/>
      <c r="CX1263" s="156"/>
      <c r="CY1263" s="156"/>
      <c r="CZ1263" s="156"/>
      <c r="DA1263" s="156"/>
      <c r="DB1263" s="156"/>
      <c r="DC1263" s="156"/>
      <c r="DD1263" s="156"/>
      <c r="DE1263" s="156"/>
      <c r="DF1263" s="156"/>
      <c r="DG1263" s="156"/>
      <c r="DH1263" s="156"/>
      <c r="DI1263" s="156"/>
      <c r="DJ1263" s="156"/>
      <c r="DK1263" s="156"/>
      <c r="DL1263" s="156"/>
      <c r="DM1263" s="156"/>
      <c r="DN1263" s="156"/>
      <c r="DO1263" s="156"/>
      <c r="DP1263" s="156"/>
      <c r="DQ1263" s="156"/>
      <c r="DR1263" s="156"/>
      <c r="DS1263" s="156"/>
      <c r="DT1263" s="156"/>
      <c r="DU1263" s="156"/>
      <c r="DV1263" s="156"/>
      <c r="DW1263" s="156"/>
      <c r="DX1263" s="156"/>
      <c r="DY1263" s="156"/>
      <c r="DZ1263" s="156"/>
      <c r="EA1263" s="156"/>
      <c r="EB1263" s="156"/>
      <c r="EC1263" s="156"/>
      <c r="ED1263" s="156"/>
      <c r="EE1263" s="156"/>
      <c r="EF1263" s="156"/>
      <c r="EG1263" s="156"/>
      <c r="EH1263" s="156"/>
      <c r="EI1263" s="156"/>
      <c r="EJ1263" s="156"/>
      <c r="EK1263" s="156"/>
      <c r="EL1263" s="156"/>
      <c r="EM1263" s="156"/>
    </row>
    <row r="1264" spans="20:143" ht="10.5" customHeight="1">
      <c r="T1264" s="156"/>
      <c r="AZ1264" s="156"/>
      <c r="BA1264" s="156"/>
      <c r="BB1264" s="156"/>
      <c r="BC1264" s="156"/>
      <c r="BD1264" s="156"/>
      <c r="BE1264" s="156"/>
      <c r="BF1264" s="156"/>
      <c r="BG1264" s="156"/>
      <c r="BH1264" s="156"/>
      <c r="BI1264" s="156"/>
      <c r="BJ1264" s="156"/>
      <c r="BK1264" s="156"/>
      <c r="BL1264" s="156"/>
      <c r="BM1264" s="156"/>
      <c r="BN1264" s="156"/>
      <c r="BO1264" s="156"/>
      <c r="BP1264" s="156"/>
      <c r="BQ1264" s="156"/>
      <c r="BR1264" s="156"/>
      <c r="BS1264" s="156"/>
      <c r="BT1264" s="156"/>
      <c r="BU1264" s="156"/>
      <c r="BV1264" s="156"/>
      <c r="BW1264" s="156"/>
      <c r="BX1264" s="156"/>
      <c r="BY1264" s="156"/>
      <c r="BZ1264" s="156"/>
      <c r="CA1264" s="156"/>
      <c r="CB1264" s="156"/>
      <c r="CC1264" s="156"/>
      <c r="CD1264" s="156"/>
      <c r="CE1264" s="156"/>
      <c r="CF1264" s="156"/>
      <c r="CG1264" s="156"/>
      <c r="CH1264" s="156"/>
      <c r="CI1264" s="156"/>
      <c r="CJ1264" s="156"/>
      <c r="CK1264" s="156"/>
      <c r="CL1264" s="156"/>
      <c r="CM1264" s="156"/>
      <c r="CN1264" s="156"/>
      <c r="CO1264" s="156"/>
      <c r="CP1264" s="156"/>
      <c r="CQ1264" s="156"/>
      <c r="CR1264" s="156"/>
      <c r="CS1264" s="156"/>
      <c r="CT1264" s="156"/>
      <c r="CU1264" s="156"/>
      <c r="CV1264" s="156"/>
      <c r="CW1264" s="156"/>
      <c r="CX1264" s="156"/>
      <c r="CY1264" s="156"/>
      <c r="CZ1264" s="156"/>
      <c r="DA1264" s="156"/>
      <c r="DB1264" s="156"/>
      <c r="DC1264" s="156"/>
      <c r="DD1264" s="156"/>
      <c r="DE1264" s="156"/>
      <c r="DF1264" s="156"/>
      <c r="DG1264" s="156"/>
      <c r="DH1264" s="156"/>
      <c r="DI1264" s="156"/>
      <c r="DJ1264" s="156"/>
      <c r="DK1264" s="156"/>
      <c r="DL1264" s="156"/>
      <c r="DM1264" s="156"/>
      <c r="DN1264" s="156"/>
      <c r="DO1264" s="156"/>
      <c r="DP1264" s="156"/>
      <c r="DQ1264" s="156"/>
      <c r="DR1264" s="156"/>
      <c r="DS1264" s="156"/>
      <c r="DT1264" s="156"/>
      <c r="DU1264" s="156"/>
      <c r="DV1264" s="156"/>
      <c r="DW1264" s="156"/>
      <c r="DX1264" s="156"/>
      <c r="DY1264" s="156"/>
      <c r="DZ1264" s="156"/>
      <c r="EA1264" s="156"/>
      <c r="EB1264" s="156"/>
      <c r="EC1264" s="156"/>
      <c r="ED1264" s="156"/>
      <c r="EE1264" s="156"/>
      <c r="EF1264" s="156"/>
      <c r="EG1264" s="156"/>
      <c r="EH1264" s="156"/>
      <c r="EI1264" s="156"/>
      <c r="EJ1264" s="156"/>
      <c r="EK1264" s="156"/>
      <c r="EL1264" s="156"/>
      <c r="EM1264" s="156"/>
    </row>
    <row r="1265" spans="20:143" ht="10.5" customHeight="1">
      <c r="T1265" s="156"/>
      <c r="AZ1265" s="156"/>
      <c r="BA1265" s="156"/>
      <c r="BB1265" s="156"/>
      <c r="BC1265" s="156"/>
      <c r="BD1265" s="156"/>
      <c r="BE1265" s="156"/>
      <c r="BF1265" s="156"/>
      <c r="BG1265" s="156"/>
      <c r="BH1265" s="156"/>
      <c r="BI1265" s="156"/>
      <c r="BJ1265" s="156"/>
      <c r="BK1265" s="156"/>
      <c r="BL1265" s="156"/>
      <c r="BM1265" s="156"/>
      <c r="BN1265" s="156"/>
      <c r="BO1265" s="156"/>
      <c r="BP1265" s="156"/>
      <c r="BQ1265" s="156"/>
      <c r="BR1265" s="156"/>
      <c r="BS1265" s="156"/>
      <c r="BT1265" s="156"/>
      <c r="BU1265" s="156"/>
      <c r="BV1265" s="156"/>
      <c r="BW1265" s="156"/>
      <c r="BX1265" s="156"/>
      <c r="BY1265" s="156"/>
      <c r="BZ1265" s="156"/>
      <c r="CA1265" s="156"/>
      <c r="CB1265" s="156"/>
      <c r="CC1265" s="156"/>
      <c r="CD1265" s="156"/>
      <c r="CE1265" s="156"/>
      <c r="CF1265" s="156"/>
      <c r="CG1265" s="156"/>
      <c r="CH1265" s="156"/>
      <c r="CI1265" s="156"/>
      <c r="CJ1265" s="156"/>
      <c r="CK1265" s="156"/>
      <c r="CL1265" s="156"/>
      <c r="CM1265" s="156"/>
      <c r="CN1265" s="156"/>
      <c r="CO1265" s="156"/>
      <c r="CP1265" s="156"/>
      <c r="CQ1265" s="156"/>
      <c r="CR1265" s="156"/>
      <c r="CS1265" s="156"/>
      <c r="CT1265" s="156"/>
      <c r="CU1265" s="156"/>
      <c r="CV1265" s="156"/>
      <c r="CW1265" s="156"/>
      <c r="CX1265" s="156"/>
      <c r="CY1265" s="156"/>
      <c r="CZ1265" s="156"/>
      <c r="DA1265" s="156"/>
      <c r="DB1265" s="156"/>
      <c r="DC1265" s="156"/>
      <c r="DD1265" s="156"/>
      <c r="DE1265" s="156"/>
      <c r="DF1265" s="156"/>
      <c r="DG1265" s="156"/>
      <c r="DH1265" s="156"/>
      <c r="DI1265" s="156"/>
      <c r="DJ1265" s="156"/>
      <c r="DK1265" s="156"/>
      <c r="DL1265" s="156"/>
      <c r="DM1265" s="156"/>
      <c r="DN1265" s="156"/>
      <c r="DO1265" s="156"/>
      <c r="DP1265" s="156"/>
      <c r="DQ1265" s="156"/>
      <c r="DR1265" s="156"/>
      <c r="DS1265" s="156"/>
      <c r="DT1265" s="156"/>
      <c r="DU1265" s="156"/>
      <c r="DV1265" s="156"/>
      <c r="DW1265" s="156"/>
      <c r="DX1265" s="156"/>
      <c r="DY1265" s="156"/>
      <c r="DZ1265" s="156"/>
      <c r="EA1265" s="156"/>
      <c r="EB1265" s="156"/>
      <c r="EC1265" s="156"/>
      <c r="ED1265" s="156"/>
      <c r="EE1265" s="156"/>
      <c r="EF1265" s="156"/>
      <c r="EG1265" s="156"/>
      <c r="EH1265" s="156"/>
      <c r="EI1265" s="156"/>
      <c r="EJ1265" s="156"/>
      <c r="EK1265" s="156"/>
      <c r="EL1265" s="156"/>
      <c r="EM1265" s="156"/>
    </row>
    <row r="1266" spans="20:143" ht="10.5" customHeight="1">
      <c r="T1266" s="156"/>
      <c r="AZ1266" s="156"/>
      <c r="BA1266" s="156"/>
      <c r="BB1266" s="156"/>
      <c r="BC1266" s="156"/>
      <c r="BD1266" s="156"/>
      <c r="BE1266" s="156"/>
      <c r="BF1266" s="156"/>
      <c r="BG1266" s="156"/>
      <c r="BH1266" s="156"/>
      <c r="BI1266" s="156"/>
      <c r="BJ1266" s="156"/>
      <c r="BK1266" s="156"/>
      <c r="BL1266" s="156"/>
      <c r="BM1266" s="156"/>
      <c r="BN1266" s="156"/>
      <c r="BO1266" s="156"/>
      <c r="BP1266" s="156"/>
      <c r="BQ1266" s="156"/>
      <c r="BR1266" s="156"/>
      <c r="BS1266" s="156"/>
      <c r="BT1266" s="156"/>
      <c r="BU1266" s="156"/>
      <c r="BV1266" s="156"/>
      <c r="BW1266" s="156"/>
      <c r="BX1266" s="156"/>
      <c r="BY1266" s="156"/>
      <c r="BZ1266" s="156"/>
      <c r="CA1266" s="156"/>
      <c r="CB1266" s="156"/>
      <c r="CC1266" s="156"/>
      <c r="CD1266" s="156"/>
      <c r="CE1266" s="156"/>
      <c r="CF1266" s="156"/>
      <c r="CG1266" s="156"/>
      <c r="CH1266" s="156"/>
      <c r="CI1266" s="156"/>
      <c r="CJ1266" s="156"/>
      <c r="CK1266" s="156"/>
      <c r="CL1266" s="156"/>
      <c r="CM1266" s="156"/>
      <c r="CN1266" s="156"/>
      <c r="CO1266" s="156"/>
      <c r="CP1266" s="156"/>
      <c r="CQ1266" s="156"/>
      <c r="CR1266" s="156"/>
      <c r="CS1266" s="156"/>
      <c r="CT1266" s="156"/>
      <c r="CU1266" s="156"/>
      <c r="CV1266" s="156"/>
      <c r="CW1266" s="156"/>
      <c r="CX1266" s="156"/>
      <c r="CY1266" s="156"/>
      <c r="CZ1266" s="156"/>
      <c r="DA1266" s="156"/>
      <c r="DB1266" s="156"/>
      <c r="DC1266" s="156"/>
      <c r="DD1266" s="156"/>
      <c r="DE1266" s="156"/>
      <c r="DF1266" s="156"/>
      <c r="DG1266" s="156"/>
      <c r="DH1266" s="156"/>
      <c r="DI1266" s="156"/>
      <c r="DJ1266" s="156"/>
      <c r="DK1266" s="156"/>
      <c r="DL1266" s="156"/>
      <c r="DM1266" s="156"/>
      <c r="DN1266" s="156"/>
      <c r="DO1266" s="156"/>
      <c r="DP1266" s="156"/>
      <c r="DQ1266" s="156"/>
      <c r="DR1266" s="156"/>
      <c r="DS1266" s="156"/>
      <c r="DT1266" s="156"/>
      <c r="DU1266" s="156"/>
      <c r="DV1266" s="156"/>
      <c r="DW1266" s="156"/>
      <c r="DX1266" s="156"/>
      <c r="DY1266" s="156"/>
      <c r="DZ1266" s="156"/>
      <c r="EA1266" s="156"/>
      <c r="EB1266" s="156"/>
      <c r="EC1266" s="156"/>
      <c r="ED1266" s="156"/>
      <c r="EE1266" s="156"/>
      <c r="EF1266" s="156"/>
      <c r="EG1266" s="156"/>
      <c r="EH1266" s="156"/>
      <c r="EI1266" s="156"/>
      <c r="EJ1266" s="156"/>
      <c r="EK1266" s="156"/>
      <c r="EL1266" s="156"/>
      <c r="EM1266" s="156"/>
    </row>
    <row r="1267" spans="20:143" ht="10.5" customHeight="1">
      <c r="T1267" s="156"/>
      <c r="AZ1267" s="156"/>
      <c r="BA1267" s="156"/>
      <c r="BB1267" s="156"/>
      <c r="BC1267" s="156"/>
      <c r="BD1267" s="156"/>
      <c r="BE1267" s="156"/>
      <c r="BF1267" s="156"/>
      <c r="BG1267" s="156"/>
      <c r="BH1267" s="156"/>
      <c r="BI1267" s="156"/>
      <c r="BJ1267" s="156"/>
      <c r="BK1267" s="156"/>
      <c r="BL1267" s="156"/>
      <c r="BM1267" s="156"/>
      <c r="BN1267" s="156"/>
      <c r="BO1267" s="156"/>
      <c r="BP1267" s="156"/>
      <c r="BQ1267" s="156"/>
      <c r="BR1267" s="156"/>
      <c r="BS1267" s="156"/>
      <c r="BT1267" s="156"/>
      <c r="BU1267" s="156"/>
      <c r="BV1267" s="156"/>
      <c r="BW1267" s="156"/>
      <c r="BX1267" s="156"/>
      <c r="BY1267" s="156"/>
      <c r="BZ1267" s="156"/>
      <c r="CA1267" s="156"/>
      <c r="CB1267" s="156"/>
      <c r="CC1267" s="156"/>
      <c r="CD1267" s="156"/>
      <c r="CE1267" s="156"/>
      <c r="CF1267" s="156"/>
      <c r="CG1267" s="156"/>
      <c r="CH1267" s="156"/>
      <c r="CI1267" s="156"/>
      <c r="CJ1267" s="156"/>
      <c r="CK1267" s="156"/>
      <c r="CL1267" s="156"/>
      <c r="CM1267" s="156"/>
      <c r="CN1267" s="156"/>
      <c r="CO1267" s="156"/>
      <c r="CP1267" s="156"/>
      <c r="CQ1267" s="156"/>
      <c r="CR1267" s="156"/>
      <c r="CS1267" s="156"/>
      <c r="CT1267" s="156"/>
      <c r="CU1267" s="156"/>
      <c r="CV1267" s="156"/>
      <c r="CW1267" s="156"/>
      <c r="CX1267" s="156"/>
      <c r="CY1267" s="156"/>
      <c r="CZ1267" s="156"/>
      <c r="DA1267" s="156"/>
      <c r="DB1267" s="156"/>
      <c r="DC1267" s="156"/>
      <c r="DD1267" s="156"/>
      <c r="DE1267" s="156"/>
      <c r="DF1267" s="156"/>
      <c r="DG1267" s="156"/>
      <c r="DH1267" s="156"/>
      <c r="DI1267" s="156"/>
      <c r="DJ1267" s="156"/>
      <c r="DK1267" s="156"/>
      <c r="DL1267" s="156"/>
      <c r="DM1267" s="156"/>
      <c r="DN1267" s="156"/>
      <c r="DO1267" s="156"/>
      <c r="DP1267" s="156"/>
      <c r="DQ1267" s="156"/>
      <c r="DR1267" s="156"/>
      <c r="DS1267" s="156"/>
      <c r="DT1267" s="156"/>
      <c r="DU1267" s="156"/>
      <c r="DV1267" s="156"/>
      <c r="DW1267" s="156"/>
      <c r="DX1267" s="156"/>
      <c r="DY1267" s="156"/>
      <c r="DZ1267" s="156"/>
      <c r="EA1267" s="156"/>
      <c r="EB1267" s="156"/>
      <c r="EC1267" s="156"/>
      <c r="ED1267" s="156"/>
      <c r="EE1267" s="156"/>
      <c r="EF1267" s="156"/>
      <c r="EG1267" s="156"/>
      <c r="EH1267" s="156"/>
      <c r="EI1267" s="156"/>
      <c r="EJ1267" s="156"/>
      <c r="EK1267" s="156"/>
      <c r="EL1267" s="156"/>
      <c r="EM1267" s="156"/>
    </row>
    <row r="1268" spans="20:143" ht="10.5" customHeight="1">
      <c r="T1268" s="156"/>
      <c r="AZ1268" s="156"/>
      <c r="BA1268" s="156"/>
      <c r="BB1268" s="156"/>
      <c r="BC1268" s="156"/>
      <c r="BD1268" s="156"/>
      <c r="BE1268" s="156"/>
      <c r="BF1268" s="156"/>
      <c r="BG1268" s="156"/>
      <c r="BH1268" s="156"/>
      <c r="BI1268" s="156"/>
      <c r="BJ1268" s="156"/>
      <c r="BK1268" s="156"/>
      <c r="BL1268" s="156"/>
      <c r="BM1268" s="156"/>
      <c r="BN1268" s="156"/>
      <c r="BO1268" s="156"/>
      <c r="BP1268" s="156"/>
      <c r="BQ1268" s="156"/>
      <c r="BR1268" s="156"/>
      <c r="BS1268" s="156"/>
      <c r="BT1268" s="156"/>
      <c r="BU1268" s="156"/>
      <c r="BV1268" s="156"/>
      <c r="BW1268" s="156"/>
      <c r="BX1268" s="156"/>
      <c r="BY1268" s="156"/>
      <c r="BZ1268" s="156"/>
      <c r="CA1268" s="156"/>
      <c r="CB1268" s="156"/>
      <c r="CC1268" s="156"/>
      <c r="CD1268" s="156"/>
      <c r="CE1268" s="156"/>
      <c r="CF1268" s="156"/>
      <c r="CG1268" s="156"/>
      <c r="CH1268" s="156"/>
      <c r="CI1268" s="156"/>
      <c r="CJ1268" s="156"/>
      <c r="CK1268" s="156"/>
      <c r="CL1268" s="156"/>
      <c r="CM1268" s="156"/>
      <c r="CN1268" s="156"/>
      <c r="CO1268" s="156"/>
      <c r="CP1268" s="156"/>
      <c r="CQ1268" s="156"/>
      <c r="CR1268" s="156"/>
      <c r="CS1268" s="156"/>
      <c r="CT1268" s="156"/>
      <c r="CU1268" s="156"/>
      <c r="CV1268" s="156"/>
      <c r="CW1268" s="156"/>
      <c r="CX1268" s="156"/>
      <c r="CY1268" s="156"/>
      <c r="CZ1268" s="156"/>
      <c r="DA1268" s="156"/>
      <c r="DB1268" s="156"/>
      <c r="DC1268" s="156"/>
      <c r="DD1268" s="156"/>
      <c r="DE1268" s="156"/>
      <c r="DF1268" s="156"/>
      <c r="DG1268" s="156"/>
      <c r="DH1268" s="156"/>
      <c r="DI1268" s="156"/>
      <c r="DJ1268" s="156"/>
      <c r="DK1268" s="156"/>
      <c r="DL1268" s="156"/>
      <c r="DM1268" s="156"/>
      <c r="DN1268" s="156"/>
      <c r="DO1268" s="156"/>
      <c r="DP1268" s="156"/>
      <c r="DQ1268" s="156"/>
      <c r="DR1268" s="156"/>
      <c r="DS1268" s="156"/>
      <c r="DT1268" s="156"/>
      <c r="DU1268" s="156"/>
      <c r="DV1268" s="156"/>
      <c r="DW1268" s="156"/>
      <c r="DX1268" s="156"/>
      <c r="DY1268" s="156"/>
      <c r="DZ1268" s="156"/>
      <c r="EA1268" s="156"/>
      <c r="EB1268" s="156"/>
      <c r="EC1268" s="156"/>
      <c r="ED1268" s="156"/>
      <c r="EE1268" s="156"/>
      <c r="EF1268" s="156"/>
      <c r="EG1268" s="156"/>
      <c r="EH1268" s="156"/>
      <c r="EI1268" s="156"/>
      <c r="EJ1268" s="156"/>
      <c r="EK1268" s="156"/>
      <c r="EL1268" s="156"/>
      <c r="EM1268" s="156"/>
    </row>
    <row r="1269" spans="20:143" ht="10.5" customHeight="1">
      <c r="T1269" s="156"/>
      <c r="AZ1269" s="156"/>
      <c r="BA1269" s="156"/>
      <c r="BB1269" s="156"/>
      <c r="BC1269" s="156"/>
      <c r="BD1269" s="156"/>
      <c r="BE1269" s="156"/>
      <c r="BF1269" s="156"/>
      <c r="BG1269" s="156"/>
      <c r="BH1269" s="156"/>
      <c r="BI1269" s="156"/>
      <c r="BJ1269" s="156"/>
      <c r="BK1269" s="156"/>
      <c r="BL1269" s="156"/>
      <c r="BM1269" s="156"/>
      <c r="BN1269" s="156"/>
      <c r="BO1269" s="156"/>
      <c r="BP1269" s="156"/>
      <c r="BQ1269" s="156"/>
      <c r="BR1269" s="156"/>
      <c r="BS1269" s="156"/>
      <c r="BT1269" s="156"/>
      <c r="BU1269" s="156"/>
      <c r="BV1269" s="156"/>
      <c r="BW1269" s="156"/>
      <c r="BX1269" s="156"/>
      <c r="BY1269" s="156"/>
      <c r="BZ1269" s="156"/>
      <c r="CA1269" s="156"/>
      <c r="CB1269" s="156"/>
      <c r="CC1269" s="156"/>
      <c r="CD1269" s="156"/>
      <c r="CE1269" s="156"/>
      <c r="CF1269" s="156"/>
      <c r="CG1269" s="156"/>
      <c r="CH1269" s="156"/>
      <c r="CI1269" s="156"/>
      <c r="CJ1269" s="156"/>
      <c r="CK1269" s="156"/>
      <c r="CL1269" s="156"/>
      <c r="CM1269" s="156"/>
      <c r="CN1269" s="156"/>
      <c r="CO1269" s="156"/>
      <c r="CP1269" s="156"/>
      <c r="CQ1269" s="156"/>
      <c r="CR1269" s="156"/>
      <c r="CS1269" s="156"/>
      <c r="CT1269" s="156"/>
      <c r="CU1269" s="156"/>
      <c r="CV1269" s="156"/>
      <c r="CW1269" s="156"/>
      <c r="CX1269" s="156"/>
      <c r="CY1269" s="156"/>
      <c r="CZ1269" s="156"/>
      <c r="DA1269" s="156"/>
      <c r="DB1269" s="156"/>
      <c r="DC1269" s="156"/>
      <c r="DD1269" s="156"/>
      <c r="DE1269" s="156"/>
      <c r="DF1269" s="156"/>
      <c r="DG1269" s="156"/>
      <c r="DH1269" s="156"/>
      <c r="DI1269" s="156"/>
      <c r="DJ1269" s="156"/>
      <c r="DK1269" s="156"/>
      <c r="DL1269" s="156"/>
      <c r="DM1269" s="156"/>
      <c r="DN1269" s="156"/>
      <c r="DO1269" s="156"/>
      <c r="DP1269" s="156"/>
      <c r="DQ1269" s="156"/>
      <c r="DR1269" s="156"/>
      <c r="DS1269" s="156"/>
      <c r="DT1269" s="156"/>
      <c r="DU1269" s="156"/>
      <c r="DV1269" s="156"/>
      <c r="DW1269" s="156"/>
      <c r="DX1269" s="156"/>
      <c r="DY1269" s="156"/>
      <c r="DZ1269" s="156"/>
      <c r="EA1269" s="156"/>
      <c r="EB1269" s="156"/>
      <c r="EC1269" s="156"/>
      <c r="ED1269" s="156"/>
      <c r="EE1269" s="156"/>
      <c r="EF1269" s="156"/>
      <c r="EG1269" s="156"/>
      <c r="EH1269" s="156"/>
      <c r="EI1269" s="156"/>
      <c r="EJ1269" s="156"/>
      <c r="EK1269" s="156"/>
      <c r="EL1269" s="156"/>
      <c r="EM1269" s="156"/>
    </row>
    <row r="1270" spans="20:143" ht="10.5" customHeight="1">
      <c r="T1270" s="156"/>
      <c r="AZ1270" s="156"/>
      <c r="BA1270" s="156"/>
      <c r="BB1270" s="156"/>
      <c r="BC1270" s="156"/>
      <c r="BD1270" s="156"/>
      <c r="BE1270" s="156"/>
      <c r="BF1270" s="156"/>
      <c r="BG1270" s="156"/>
      <c r="BH1270" s="156"/>
      <c r="BI1270" s="156"/>
      <c r="BJ1270" s="156"/>
      <c r="BK1270" s="156"/>
      <c r="BL1270" s="156"/>
      <c r="BM1270" s="156"/>
      <c r="BN1270" s="156"/>
      <c r="BO1270" s="156"/>
      <c r="BP1270" s="156"/>
      <c r="BQ1270" s="156"/>
      <c r="BR1270" s="156"/>
      <c r="BS1270" s="156"/>
      <c r="BT1270" s="156"/>
      <c r="BU1270" s="156"/>
      <c r="BV1270" s="156"/>
      <c r="BW1270" s="156"/>
      <c r="BX1270" s="156"/>
      <c r="BY1270" s="156"/>
      <c r="BZ1270" s="156"/>
      <c r="CA1270" s="156"/>
      <c r="CB1270" s="156"/>
      <c r="CC1270" s="156"/>
      <c r="CD1270" s="156"/>
      <c r="CE1270" s="156"/>
      <c r="CF1270" s="156"/>
      <c r="CG1270" s="156"/>
      <c r="CH1270" s="156"/>
      <c r="CI1270" s="156"/>
      <c r="CJ1270" s="156"/>
      <c r="CK1270" s="156"/>
      <c r="CL1270" s="156"/>
      <c r="CM1270" s="156"/>
      <c r="CN1270" s="156"/>
      <c r="CO1270" s="156"/>
      <c r="CP1270" s="156"/>
      <c r="CQ1270" s="156"/>
      <c r="CR1270" s="156"/>
      <c r="CS1270" s="156"/>
      <c r="CT1270" s="156"/>
      <c r="CU1270" s="156"/>
      <c r="CV1270" s="156"/>
      <c r="CW1270" s="156"/>
      <c r="CX1270" s="156"/>
      <c r="CY1270" s="156"/>
      <c r="CZ1270" s="156"/>
      <c r="DA1270" s="156"/>
      <c r="DB1270" s="156"/>
      <c r="DC1270" s="156"/>
      <c r="DD1270" s="156"/>
      <c r="DE1270" s="156"/>
      <c r="DF1270" s="156"/>
      <c r="DG1270" s="156"/>
      <c r="DH1270" s="156"/>
      <c r="DI1270" s="156"/>
      <c r="DJ1270" s="156"/>
      <c r="DK1270" s="156"/>
      <c r="DL1270" s="156"/>
      <c r="DM1270" s="156"/>
      <c r="DN1270" s="156"/>
      <c r="DO1270" s="156"/>
      <c r="DP1270" s="156"/>
      <c r="DQ1270" s="156"/>
      <c r="DR1270" s="156"/>
      <c r="DS1270" s="156"/>
      <c r="DT1270" s="156"/>
      <c r="DU1270" s="156"/>
      <c r="DV1270" s="156"/>
      <c r="DW1270" s="156"/>
      <c r="DX1270" s="156"/>
      <c r="DY1270" s="156"/>
      <c r="DZ1270" s="156"/>
      <c r="EA1270" s="156"/>
      <c r="EB1270" s="156"/>
      <c r="EC1270" s="156"/>
      <c r="ED1270" s="156"/>
      <c r="EE1270" s="156"/>
      <c r="EF1270" s="156"/>
      <c r="EG1270" s="156"/>
      <c r="EH1270" s="156"/>
      <c r="EI1270" s="156"/>
      <c r="EJ1270" s="156"/>
      <c r="EK1270" s="156"/>
      <c r="EL1270" s="156"/>
      <c r="EM1270" s="156"/>
    </row>
    <row r="1271" spans="20:143" ht="10.5" customHeight="1">
      <c r="T1271" s="156"/>
      <c r="AZ1271" s="156"/>
      <c r="BA1271" s="156"/>
      <c r="BB1271" s="156"/>
      <c r="BC1271" s="156"/>
      <c r="BD1271" s="156"/>
      <c r="BE1271" s="156"/>
      <c r="BF1271" s="156"/>
      <c r="BG1271" s="156"/>
      <c r="BH1271" s="156"/>
      <c r="BI1271" s="156"/>
      <c r="BJ1271" s="156"/>
      <c r="BK1271" s="156"/>
      <c r="BL1271" s="156"/>
      <c r="BM1271" s="156"/>
      <c r="BN1271" s="156"/>
      <c r="BO1271" s="156"/>
      <c r="BP1271" s="156"/>
      <c r="BQ1271" s="156"/>
      <c r="BR1271" s="156"/>
      <c r="BS1271" s="156"/>
      <c r="BT1271" s="156"/>
      <c r="BU1271" s="156"/>
      <c r="BV1271" s="156"/>
      <c r="BW1271" s="156"/>
      <c r="BX1271" s="156"/>
      <c r="BY1271" s="156"/>
      <c r="BZ1271" s="156"/>
      <c r="CA1271" s="156"/>
      <c r="CB1271" s="156"/>
      <c r="CC1271" s="156"/>
      <c r="CD1271" s="156"/>
      <c r="CE1271" s="156"/>
      <c r="CF1271" s="156"/>
      <c r="CG1271" s="156"/>
      <c r="CH1271" s="156"/>
      <c r="CI1271" s="156"/>
      <c r="CJ1271" s="156"/>
      <c r="CK1271" s="156"/>
      <c r="CL1271" s="156"/>
      <c r="CM1271" s="156"/>
      <c r="CN1271" s="156"/>
      <c r="CO1271" s="156"/>
      <c r="CP1271" s="156"/>
      <c r="CQ1271" s="156"/>
      <c r="CR1271" s="156"/>
      <c r="CS1271" s="156"/>
      <c r="CT1271" s="156"/>
      <c r="CU1271" s="156"/>
      <c r="CV1271" s="156"/>
      <c r="CW1271" s="156"/>
      <c r="CX1271" s="156"/>
      <c r="CY1271" s="156"/>
      <c r="CZ1271" s="156"/>
      <c r="DA1271" s="156"/>
      <c r="DB1271" s="156"/>
      <c r="DC1271" s="156"/>
      <c r="DD1271" s="156"/>
      <c r="DE1271" s="156"/>
      <c r="DF1271" s="156"/>
      <c r="DG1271" s="156"/>
      <c r="DH1271" s="156"/>
      <c r="DI1271" s="156"/>
      <c r="DJ1271" s="156"/>
      <c r="DK1271" s="156"/>
      <c r="DL1271" s="156"/>
      <c r="DM1271" s="156"/>
      <c r="DN1271" s="156"/>
      <c r="DO1271" s="156"/>
      <c r="DP1271" s="156"/>
      <c r="DQ1271" s="156"/>
      <c r="DR1271" s="156"/>
      <c r="DS1271" s="156"/>
      <c r="DT1271" s="156"/>
      <c r="DU1271" s="156"/>
      <c r="DV1271" s="156"/>
      <c r="DW1271" s="156"/>
      <c r="DX1271" s="156"/>
      <c r="DY1271" s="156"/>
      <c r="DZ1271" s="156"/>
      <c r="EA1271" s="156"/>
      <c r="EB1271" s="156"/>
      <c r="EC1271" s="156"/>
      <c r="ED1271" s="156"/>
      <c r="EE1271" s="156"/>
      <c r="EF1271" s="156"/>
      <c r="EG1271" s="156"/>
      <c r="EH1271" s="156"/>
      <c r="EI1271" s="156"/>
      <c r="EJ1271" s="156"/>
      <c r="EK1271" s="156"/>
      <c r="EL1271" s="156"/>
      <c r="EM1271" s="156"/>
    </row>
    <row r="1272" spans="20:143" ht="10.5" customHeight="1">
      <c r="T1272" s="156"/>
      <c r="AZ1272" s="156"/>
      <c r="BA1272" s="156"/>
      <c r="BB1272" s="156"/>
      <c r="BC1272" s="156"/>
      <c r="BD1272" s="156"/>
      <c r="BE1272" s="156"/>
      <c r="BF1272" s="156"/>
      <c r="BG1272" s="156"/>
      <c r="BH1272" s="156"/>
      <c r="BI1272" s="156"/>
      <c r="BJ1272" s="156"/>
      <c r="BK1272" s="156"/>
      <c r="BL1272" s="156"/>
      <c r="BM1272" s="156"/>
      <c r="BN1272" s="156"/>
      <c r="BO1272" s="156"/>
      <c r="BP1272" s="156"/>
      <c r="BQ1272" s="156"/>
      <c r="BR1272" s="156"/>
      <c r="BS1272" s="156"/>
      <c r="BT1272" s="156"/>
      <c r="BU1272" s="156"/>
      <c r="BV1272" s="156"/>
      <c r="BW1272" s="156"/>
      <c r="BX1272" s="156"/>
      <c r="BY1272" s="156"/>
      <c r="BZ1272" s="156"/>
      <c r="CA1272" s="156"/>
      <c r="CB1272" s="156"/>
      <c r="CC1272" s="156"/>
      <c r="CD1272" s="156"/>
      <c r="CE1272" s="156"/>
      <c r="CF1272" s="156"/>
      <c r="CG1272" s="156"/>
      <c r="CH1272" s="156"/>
      <c r="CI1272" s="156"/>
      <c r="CJ1272" s="156"/>
      <c r="CK1272" s="156"/>
      <c r="CL1272" s="156"/>
      <c r="CM1272" s="156"/>
      <c r="CN1272" s="156"/>
      <c r="CO1272" s="156"/>
      <c r="CP1272" s="156"/>
      <c r="CQ1272" s="156"/>
      <c r="CR1272" s="156"/>
      <c r="CS1272" s="156"/>
      <c r="CT1272" s="156"/>
      <c r="CU1272" s="156"/>
      <c r="CV1272" s="156"/>
      <c r="CW1272" s="156"/>
      <c r="CX1272" s="156"/>
      <c r="CY1272" s="156"/>
      <c r="CZ1272" s="156"/>
      <c r="DA1272" s="156"/>
      <c r="DB1272" s="156"/>
      <c r="DC1272" s="156"/>
      <c r="DD1272" s="156"/>
      <c r="DE1272" s="156"/>
      <c r="DF1272" s="156"/>
      <c r="DG1272" s="156"/>
      <c r="DH1272" s="156"/>
      <c r="DI1272" s="156"/>
      <c r="DJ1272" s="156"/>
      <c r="DK1272" s="156"/>
      <c r="DL1272" s="156"/>
      <c r="DM1272" s="156"/>
      <c r="DN1272" s="156"/>
      <c r="DO1272" s="156"/>
      <c r="DP1272" s="156"/>
      <c r="DQ1272" s="156"/>
      <c r="DR1272" s="156"/>
      <c r="DS1272" s="156"/>
      <c r="DT1272" s="156"/>
      <c r="DU1272" s="156"/>
      <c r="DV1272" s="156"/>
      <c r="DW1272" s="156"/>
      <c r="DX1272" s="156"/>
      <c r="DY1272" s="156"/>
      <c r="DZ1272" s="156"/>
      <c r="EA1272" s="156"/>
      <c r="EB1272" s="156"/>
      <c r="EC1272" s="156"/>
      <c r="ED1272" s="156"/>
      <c r="EE1272" s="156"/>
      <c r="EF1272" s="156"/>
      <c r="EG1272" s="156"/>
      <c r="EH1272" s="156"/>
      <c r="EI1272" s="156"/>
      <c r="EJ1272" s="156"/>
      <c r="EK1272" s="156"/>
      <c r="EL1272" s="156"/>
      <c r="EM1272" s="156"/>
    </row>
    <row r="1273" spans="20:143" ht="10.5" customHeight="1">
      <c r="T1273" s="156"/>
      <c r="AZ1273" s="156"/>
      <c r="BA1273" s="156"/>
      <c r="BB1273" s="156"/>
      <c r="BC1273" s="156"/>
      <c r="BD1273" s="156"/>
      <c r="BE1273" s="156"/>
      <c r="BF1273" s="156"/>
      <c r="BG1273" s="156"/>
      <c r="BH1273" s="156"/>
      <c r="BI1273" s="156"/>
      <c r="BJ1273" s="156"/>
      <c r="BK1273" s="156"/>
      <c r="BL1273" s="156"/>
      <c r="BM1273" s="156"/>
      <c r="BN1273" s="156"/>
      <c r="BO1273" s="156"/>
      <c r="BP1273" s="156"/>
      <c r="BQ1273" s="156"/>
      <c r="BR1273" s="156"/>
      <c r="BS1273" s="156"/>
      <c r="BT1273" s="156"/>
      <c r="BU1273" s="156"/>
      <c r="BV1273" s="156"/>
      <c r="BW1273" s="156"/>
      <c r="BX1273" s="156"/>
      <c r="BY1273" s="156"/>
      <c r="BZ1273" s="156"/>
      <c r="CA1273" s="156"/>
      <c r="CB1273" s="156"/>
      <c r="CC1273" s="156"/>
      <c r="CD1273" s="156"/>
      <c r="CE1273" s="156"/>
      <c r="CF1273" s="156"/>
      <c r="CG1273" s="156"/>
      <c r="CH1273" s="156"/>
      <c r="CI1273" s="156"/>
      <c r="CJ1273" s="156"/>
      <c r="CK1273" s="156"/>
      <c r="CL1273" s="156"/>
      <c r="CM1273" s="156"/>
      <c r="CN1273" s="156"/>
      <c r="CO1273" s="156"/>
      <c r="CP1273" s="156"/>
      <c r="CQ1273" s="156"/>
      <c r="CR1273" s="156"/>
      <c r="CS1273" s="156"/>
      <c r="CT1273" s="156"/>
      <c r="CU1273" s="156"/>
      <c r="CV1273" s="156"/>
      <c r="CW1273" s="156"/>
      <c r="CX1273" s="156"/>
      <c r="CY1273" s="156"/>
      <c r="CZ1273" s="156"/>
      <c r="DA1273" s="156"/>
      <c r="DB1273" s="156"/>
      <c r="DC1273" s="156"/>
      <c r="DD1273" s="156"/>
      <c r="DE1273" s="156"/>
      <c r="DF1273" s="156"/>
      <c r="DG1273" s="156"/>
      <c r="DH1273" s="156"/>
      <c r="DI1273" s="156"/>
      <c r="DJ1273" s="156"/>
      <c r="DK1273" s="156"/>
      <c r="DL1273" s="156"/>
      <c r="DM1273" s="156"/>
      <c r="DN1273" s="156"/>
      <c r="DO1273" s="156"/>
      <c r="DP1273" s="156"/>
      <c r="DQ1273" s="156"/>
      <c r="DR1273" s="156"/>
      <c r="DS1273" s="156"/>
      <c r="DT1273" s="156"/>
      <c r="DU1273" s="156"/>
      <c r="DV1273" s="156"/>
      <c r="DW1273" s="156"/>
      <c r="DX1273" s="156"/>
      <c r="DY1273" s="156"/>
      <c r="DZ1273" s="156"/>
      <c r="EA1273" s="156"/>
      <c r="EB1273" s="156"/>
      <c r="EC1273" s="156"/>
      <c r="ED1273" s="156"/>
      <c r="EE1273" s="156"/>
      <c r="EF1273" s="156"/>
      <c r="EG1273" s="156"/>
      <c r="EH1273" s="156"/>
      <c r="EI1273" s="156"/>
      <c r="EJ1273" s="156"/>
      <c r="EK1273" s="156"/>
      <c r="EL1273" s="156"/>
      <c r="EM1273" s="156"/>
    </row>
    <row r="1274" spans="20:143" ht="10.5" customHeight="1">
      <c r="T1274" s="156"/>
      <c r="AZ1274" s="156"/>
      <c r="BA1274" s="156"/>
      <c r="BB1274" s="156"/>
      <c r="BC1274" s="156"/>
      <c r="BD1274" s="156"/>
      <c r="BE1274" s="156"/>
      <c r="BF1274" s="156"/>
      <c r="BG1274" s="156"/>
      <c r="BH1274" s="156"/>
      <c r="BI1274" s="156"/>
      <c r="BJ1274" s="156"/>
      <c r="BK1274" s="156"/>
      <c r="BL1274" s="156"/>
      <c r="BM1274" s="156"/>
      <c r="BN1274" s="156"/>
      <c r="BO1274" s="156"/>
      <c r="BP1274" s="156"/>
      <c r="BQ1274" s="156"/>
      <c r="BR1274" s="156"/>
      <c r="BS1274" s="156"/>
      <c r="BT1274" s="156"/>
      <c r="BU1274" s="156"/>
      <c r="BV1274" s="156"/>
      <c r="BW1274" s="156"/>
      <c r="BX1274" s="156"/>
      <c r="BY1274" s="156"/>
      <c r="BZ1274" s="156"/>
      <c r="CA1274" s="156"/>
      <c r="CB1274" s="156"/>
      <c r="CC1274" s="156"/>
      <c r="CD1274" s="156"/>
      <c r="CE1274" s="156"/>
      <c r="CF1274" s="156"/>
      <c r="CG1274" s="156"/>
      <c r="CH1274" s="156"/>
      <c r="CI1274" s="156"/>
      <c r="CJ1274" s="156"/>
      <c r="CK1274" s="156"/>
      <c r="CL1274" s="156"/>
      <c r="CM1274" s="156"/>
      <c r="CN1274" s="156"/>
      <c r="CO1274" s="156"/>
      <c r="CP1274" s="156"/>
      <c r="CQ1274" s="156"/>
      <c r="CR1274" s="156"/>
      <c r="CS1274" s="156"/>
      <c r="CT1274" s="156"/>
      <c r="CU1274" s="156"/>
      <c r="CV1274" s="156"/>
      <c r="CW1274" s="156"/>
      <c r="CX1274" s="156"/>
      <c r="CY1274" s="156"/>
      <c r="CZ1274" s="156"/>
      <c r="DA1274" s="156"/>
      <c r="DB1274" s="156"/>
      <c r="DC1274" s="156"/>
      <c r="DD1274" s="156"/>
      <c r="DE1274" s="156"/>
      <c r="DF1274" s="156"/>
      <c r="DG1274" s="156"/>
      <c r="DH1274" s="156"/>
      <c r="DI1274" s="156"/>
      <c r="DJ1274" s="156"/>
      <c r="DK1274" s="156"/>
      <c r="DL1274" s="156"/>
      <c r="DM1274" s="156"/>
      <c r="DN1274" s="156"/>
      <c r="DO1274" s="156"/>
      <c r="DP1274" s="156"/>
      <c r="DQ1274" s="156"/>
      <c r="DR1274" s="156"/>
      <c r="DS1274" s="156"/>
      <c r="DT1274" s="156"/>
      <c r="DU1274" s="156"/>
      <c r="DV1274" s="156"/>
      <c r="DW1274" s="156"/>
      <c r="DX1274" s="156"/>
      <c r="DY1274" s="156"/>
      <c r="DZ1274" s="156"/>
      <c r="EA1274" s="156"/>
      <c r="EB1274" s="156"/>
      <c r="EC1274" s="156"/>
      <c r="ED1274" s="156"/>
      <c r="EE1274" s="156"/>
      <c r="EF1274" s="156"/>
      <c r="EG1274" s="156"/>
      <c r="EH1274" s="156"/>
      <c r="EI1274" s="156"/>
      <c r="EJ1274" s="156"/>
      <c r="EK1274" s="156"/>
      <c r="EL1274" s="156"/>
      <c r="EM1274" s="156"/>
    </row>
    <row r="1275" spans="20:143" ht="10.5" customHeight="1">
      <c r="T1275" s="156"/>
      <c r="AZ1275" s="156"/>
      <c r="BA1275" s="156"/>
      <c r="BB1275" s="156"/>
      <c r="BC1275" s="156"/>
      <c r="BD1275" s="156"/>
      <c r="BE1275" s="156"/>
      <c r="BF1275" s="156"/>
      <c r="BG1275" s="156"/>
      <c r="BH1275" s="156"/>
      <c r="BI1275" s="156"/>
      <c r="BJ1275" s="156"/>
      <c r="BK1275" s="156"/>
      <c r="BL1275" s="156"/>
      <c r="BM1275" s="156"/>
      <c r="BN1275" s="156"/>
      <c r="BO1275" s="156"/>
      <c r="BP1275" s="156"/>
      <c r="BQ1275" s="156"/>
      <c r="BR1275" s="156"/>
      <c r="BS1275" s="156"/>
      <c r="BT1275" s="156"/>
      <c r="BU1275" s="156"/>
      <c r="BV1275" s="156"/>
      <c r="BW1275" s="156"/>
      <c r="BX1275" s="156"/>
      <c r="BY1275" s="156"/>
      <c r="BZ1275" s="156"/>
      <c r="CA1275" s="156"/>
      <c r="CB1275" s="156"/>
      <c r="CC1275" s="156"/>
      <c r="CD1275" s="156"/>
      <c r="CE1275" s="156"/>
      <c r="CF1275" s="156"/>
      <c r="CG1275" s="156"/>
      <c r="CH1275" s="156"/>
      <c r="CI1275" s="156"/>
      <c r="CJ1275" s="156"/>
      <c r="CK1275" s="156"/>
      <c r="CL1275" s="156"/>
      <c r="CM1275" s="156"/>
      <c r="CN1275" s="156"/>
      <c r="CO1275" s="156"/>
      <c r="CP1275" s="156"/>
      <c r="CQ1275" s="156"/>
      <c r="CR1275" s="156"/>
      <c r="CS1275" s="156"/>
      <c r="CT1275" s="156"/>
      <c r="CU1275" s="156"/>
      <c r="CV1275" s="156"/>
      <c r="CW1275" s="156"/>
      <c r="CX1275" s="156"/>
      <c r="CY1275" s="156"/>
      <c r="CZ1275" s="156"/>
      <c r="DA1275" s="156"/>
      <c r="DB1275" s="156"/>
      <c r="DC1275" s="156"/>
      <c r="DD1275" s="156"/>
      <c r="DE1275" s="156"/>
      <c r="DF1275" s="156"/>
      <c r="DG1275" s="156"/>
      <c r="DH1275" s="156"/>
      <c r="DI1275" s="156"/>
      <c r="DJ1275" s="156"/>
      <c r="DK1275" s="156"/>
      <c r="DL1275" s="156"/>
      <c r="DM1275" s="156"/>
      <c r="DN1275" s="156"/>
      <c r="DO1275" s="156"/>
      <c r="DP1275" s="156"/>
      <c r="DQ1275" s="156"/>
      <c r="DR1275" s="156"/>
      <c r="DS1275" s="156"/>
      <c r="DT1275" s="156"/>
      <c r="DU1275" s="156"/>
      <c r="DV1275" s="156"/>
      <c r="DW1275" s="156"/>
      <c r="DX1275" s="156"/>
      <c r="DY1275" s="156"/>
      <c r="DZ1275" s="156"/>
      <c r="EA1275" s="156"/>
      <c r="EB1275" s="156"/>
      <c r="EC1275" s="156"/>
      <c r="ED1275" s="156"/>
      <c r="EE1275" s="156"/>
      <c r="EF1275" s="156"/>
      <c r="EG1275" s="156"/>
      <c r="EH1275" s="156"/>
      <c r="EI1275" s="156"/>
      <c r="EJ1275" s="156"/>
      <c r="EK1275" s="156"/>
      <c r="EL1275" s="156"/>
      <c r="EM1275" s="156"/>
    </row>
    <row r="1276" spans="20:143" ht="10.5" customHeight="1">
      <c r="T1276" s="156"/>
      <c r="AZ1276" s="156"/>
      <c r="BA1276" s="156"/>
      <c r="BB1276" s="156"/>
      <c r="BC1276" s="156"/>
      <c r="BD1276" s="156"/>
      <c r="BE1276" s="156"/>
      <c r="BF1276" s="156"/>
      <c r="BG1276" s="156"/>
      <c r="BH1276" s="156"/>
      <c r="BI1276" s="156"/>
      <c r="BJ1276" s="156"/>
      <c r="BK1276" s="156"/>
      <c r="BL1276" s="156"/>
      <c r="BM1276" s="156"/>
      <c r="BN1276" s="156"/>
      <c r="BO1276" s="156"/>
      <c r="BP1276" s="156"/>
      <c r="BQ1276" s="156"/>
      <c r="BR1276" s="156"/>
      <c r="BS1276" s="156"/>
      <c r="BT1276" s="156"/>
      <c r="BU1276" s="156"/>
      <c r="BV1276" s="156"/>
      <c r="BW1276" s="156"/>
      <c r="BX1276" s="156"/>
      <c r="BY1276" s="156"/>
      <c r="BZ1276" s="156"/>
      <c r="CA1276" s="156"/>
      <c r="CB1276" s="156"/>
      <c r="CC1276" s="156"/>
      <c r="CD1276" s="156"/>
      <c r="CE1276" s="156"/>
      <c r="CF1276" s="156"/>
      <c r="CG1276" s="156"/>
      <c r="CH1276" s="156"/>
      <c r="CI1276" s="156"/>
      <c r="CJ1276" s="156"/>
      <c r="CK1276" s="156"/>
      <c r="CL1276" s="156"/>
      <c r="CM1276" s="156"/>
      <c r="CN1276" s="156"/>
      <c r="CO1276" s="156"/>
      <c r="CP1276" s="156"/>
      <c r="CQ1276" s="156"/>
      <c r="CR1276" s="156"/>
      <c r="CS1276" s="156"/>
      <c r="CT1276" s="156"/>
      <c r="CU1276" s="156"/>
      <c r="CV1276" s="156"/>
      <c r="CW1276" s="156"/>
      <c r="CX1276" s="156"/>
      <c r="CY1276" s="156"/>
      <c r="CZ1276" s="156"/>
      <c r="DA1276" s="156"/>
      <c r="DB1276" s="156"/>
      <c r="DC1276" s="156"/>
      <c r="DD1276" s="156"/>
      <c r="DE1276" s="156"/>
      <c r="DF1276" s="156"/>
      <c r="DG1276" s="156"/>
      <c r="DH1276" s="156"/>
      <c r="DI1276" s="156"/>
      <c r="DJ1276" s="156"/>
      <c r="DK1276" s="156"/>
      <c r="DL1276" s="156"/>
      <c r="DM1276" s="156"/>
      <c r="DN1276" s="156"/>
      <c r="DO1276" s="156"/>
      <c r="DP1276" s="156"/>
      <c r="DQ1276" s="156"/>
      <c r="DR1276" s="156"/>
      <c r="DS1276" s="156"/>
      <c r="DT1276" s="156"/>
      <c r="DU1276" s="156"/>
      <c r="DV1276" s="156"/>
      <c r="DW1276" s="156"/>
      <c r="DX1276" s="156"/>
      <c r="DY1276" s="156"/>
      <c r="DZ1276" s="156"/>
      <c r="EA1276" s="156"/>
      <c r="EB1276" s="156"/>
      <c r="EC1276" s="156"/>
      <c r="ED1276" s="156"/>
      <c r="EE1276" s="156"/>
      <c r="EF1276" s="156"/>
      <c r="EG1276" s="156"/>
      <c r="EH1276" s="156"/>
      <c r="EI1276" s="156"/>
      <c r="EJ1276" s="156"/>
      <c r="EK1276" s="156"/>
      <c r="EL1276" s="156"/>
      <c r="EM1276" s="156"/>
    </row>
    <row r="1277" spans="20:143" ht="10.5" customHeight="1">
      <c r="T1277" s="156"/>
      <c r="AZ1277" s="156"/>
      <c r="BA1277" s="156"/>
      <c r="BB1277" s="156"/>
      <c r="BC1277" s="156"/>
      <c r="BD1277" s="156"/>
      <c r="BE1277" s="156"/>
      <c r="BF1277" s="156"/>
      <c r="BG1277" s="156"/>
      <c r="BH1277" s="156"/>
      <c r="BI1277" s="156"/>
      <c r="BJ1277" s="156"/>
      <c r="BK1277" s="156"/>
      <c r="BL1277" s="156"/>
      <c r="BM1277" s="156"/>
      <c r="BN1277" s="156"/>
      <c r="BO1277" s="156"/>
      <c r="BP1277" s="156"/>
      <c r="BQ1277" s="156"/>
      <c r="BR1277" s="156"/>
      <c r="BS1277" s="156"/>
      <c r="BT1277" s="156"/>
      <c r="BU1277" s="156"/>
      <c r="BV1277" s="156"/>
      <c r="BW1277" s="156"/>
      <c r="BX1277" s="156"/>
      <c r="BY1277" s="156"/>
      <c r="BZ1277" s="156"/>
      <c r="CA1277" s="156"/>
      <c r="CB1277" s="156"/>
      <c r="CC1277" s="156"/>
      <c r="CD1277" s="156"/>
      <c r="CE1277" s="156"/>
      <c r="CF1277" s="156"/>
      <c r="CG1277" s="156"/>
      <c r="CH1277" s="156"/>
      <c r="CI1277" s="156"/>
      <c r="CJ1277" s="156"/>
      <c r="CK1277" s="156"/>
      <c r="CL1277" s="156"/>
      <c r="CM1277" s="156"/>
      <c r="CN1277" s="156"/>
      <c r="CO1277" s="156"/>
      <c r="CP1277" s="156"/>
      <c r="CQ1277" s="156"/>
      <c r="CR1277" s="156"/>
      <c r="CS1277" s="156"/>
      <c r="CT1277" s="156"/>
      <c r="CU1277" s="156"/>
      <c r="CV1277" s="156"/>
      <c r="CW1277" s="156"/>
      <c r="CX1277" s="156"/>
      <c r="CY1277" s="156"/>
      <c r="CZ1277" s="156"/>
      <c r="DA1277" s="156"/>
      <c r="DB1277" s="156"/>
      <c r="DC1277" s="156"/>
      <c r="DD1277" s="156"/>
      <c r="DE1277" s="156"/>
      <c r="DF1277" s="156"/>
      <c r="DG1277" s="156"/>
      <c r="DH1277" s="156"/>
      <c r="DI1277" s="156"/>
      <c r="DJ1277" s="156"/>
      <c r="DK1277" s="156"/>
      <c r="DL1277" s="156"/>
      <c r="DM1277" s="156"/>
      <c r="DN1277" s="156"/>
      <c r="DO1277" s="156"/>
      <c r="DP1277" s="156"/>
      <c r="DQ1277" s="156"/>
      <c r="DR1277" s="156"/>
      <c r="DS1277" s="156"/>
      <c r="DT1277" s="156"/>
      <c r="DU1277" s="156"/>
      <c r="DV1277" s="156"/>
      <c r="DW1277" s="156"/>
      <c r="DX1277" s="156"/>
      <c r="DY1277" s="156"/>
      <c r="DZ1277" s="156"/>
      <c r="EA1277" s="156"/>
      <c r="EB1277" s="156"/>
      <c r="EC1277" s="156"/>
      <c r="ED1277" s="156"/>
      <c r="EE1277" s="156"/>
      <c r="EF1277" s="156"/>
      <c r="EG1277" s="156"/>
      <c r="EH1277" s="156"/>
      <c r="EI1277" s="156"/>
      <c r="EJ1277" s="156"/>
      <c r="EK1277" s="156"/>
      <c r="EL1277" s="156"/>
      <c r="EM1277" s="156"/>
    </row>
    <row r="1278" spans="20:143" ht="10.5" customHeight="1">
      <c r="T1278" s="156"/>
      <c r="AZ1278" s="156"/>
      <c r="BA1278" s="156"/>
      <c r="BB1278" s="156"/>
      <c r="BC1278" s="156"/>
      <c r="BD1278" s="156"/>
      <c r="BE1278" s="156"/>
      <c r="BF1278" s="156"/>
      <c r="BG1278" s="156"/>
      <c r="BH1278" s="156"/>
      <c r="BI1278" s="156"/>
      <c r="BJ1278" s="156"/>
      <c r="BK1278" s="156"/>
      <c r="BL1278" s="156"/>
      <c r="BM1278" s="156"/>
      <c r="BN1278" s="156"/>
      <c r="BO1278" s="156"/>
      <c r="BP1278" s="156"/>
      <c r="BQ1278" s="156"/>
      <c r="BR1278" s="156"/>
      <c r="BS1278" s="156"/>
      <c r="BT1278" s="156"/>
      <c r="BU1278" s="156"/>
      <c r="BV1278" s="156"/>
      <c r="BW1278" s="156"/>
      <c r="BX1278" s="156"/>
      <c r="BY1278" s="156"/>
      <c r="BZ1278" s="156"/>
      <c r="CA1278" s="156"/>
      <c r="CB1278" s="156"/>
      <c r="CC1278" s="156"/>
      <c r="CD1278" s="156"/>
      <c r="CE1278" s="156"/>
      <c r="CF1278" s="156"/>
      <c r="CG1278" s="156"/>
      <c r="CH1278" s="156"/>
      <c r="CI1278" s="156"/>
      <c r="CJ1278" s="156"/>
      <c r="CK1278" s="156"/>
      <c r="CL1278" s="156"/>
      <c r="CM1278" s="156"/>
      <c r="CN1278" s="156"/>
      <c r="CO1278" s="156"/>
      <c r="CP1278" s="156"/>
      <c r="CQ1278" s="156"/>
      <c r="CR1278" s="156"/>
      <c r="CS1278" s="156"/>
      <c r="CT1278" s="156"/>
      <c r="CU1278" s="156"/>
      <c r="CV1278" s="156"/>
      <c r="CW1278" s="156"/>
      <c r="CX1278" s="156"/>
      <c r="CY1278" s="156"/>
      <c r="CZ1278" s="156"/>
      <c r="DA1278" s="156"/>
      <c r="DB1278" s="156"/>
      <c r="DC1278" s="156"/>
      <c r="DD1278" s="156"/>
      <c r="DE1278" s="156"/>
      <c r="DF1278" s="156"/>
      <c r="DG1278" s="156"/>
      <c r="DH1278" s="156"/>
      <c r="DI1278" s="156"/>
      <c r="DJ1278" s="156"/>
      <c r="DK1278" s="156"/>
      <c r="DL1278" s="156"/>
      <c r="DM1278" s="156"/>
      <c r="DN1278" s="156"/>
      <c r="DO1278" s="156"/>
      <c r="DP1278" s="156"/>
      <c r="DQ1278" s="156"/>
      <c r="DR1278" s="156"/>
      <c r="DS1278" s="156"/>
      <c r="DT1278" s="156"/>
      <c r="DU1278" s="156"/>
      <c r="DV1278" s="156"/>
      <c r="DW1278" s="156"/>
      <c r="DX1278" s="156"/>
      <c r="DY1278" s="156"/>
      <c r="DZ1278" s="156"/>
      <c r="EA1278" s="156"/>
      <c r="EB1278" s="156"/>
      <c r="EC1278" s="156"/>
      <c r="ED1278" s="156"/>
      <c r="EE1278" s="156"/>
      <c r="EF1278" s="156"/>
      <c r="EG1278" s="156"/>
      <c r="EH1278" s="156"/>
      <c r="EI1278" s="156"/>
      <c r="EJ1278" s="156"/>
      <c r="EK1278" s="156"/>
      <c r="EL1278" s="156"/>
      <c r="EM1278" s="156"/>
    </row>
    <row r="1279" spans="20:143" ht="10.5" customHeight="1">
      <c r="T1279" s="156"/>
      <c r="AZ1279" s="156"/>
      <c r="BA1279" s="156"/>
      <c r="BB1279" s="156"/>
      <c r="BC1279" s="156"/>
      <c r="BD1279" s="156"/>
      <c r="BE1279" s="156"/>
      <c r="BF1279" s="156"/>
      <c r="BG1279" s="156"/>
      <c r="BH1279" s="156"/>
      <c r="BI1279" s="156"/>
      <c r="BJ1279" s="156"/>
      <c r="BK1279" s="156"/>
      <c r="BL1279" s="156"/>
      <c r="BM1279" s="156"/>
      <c r="BN1279" s="156"/>
      <c r="BO1279" s="156"/>
      <c r="BP1279" s="156"/>
      <c r="BQ1279" s="156"/>
      <c r="BR1279" s="156"/>
      <c r="BS1279" s="156"/>
      <c r="BT1279" s="156"/>
      <c r="BU1279" s="156"/>
      <c r="BV1279" s="156"/>
      <c r="BW1279" s="156"/>
      <c r="BX1279" s="156"/>
      <c r="BY1279" s="156"/>
      <c r="BZ1279" s="156"/>
      <c r="CA1279" s="156"/>
      <c r="CB1279" s="156"/>
      <c r="CC1279" s="156"/>
      <c r="CD1279" s="156"/>
      <c r="CE1279" s="156"/>
      <c r="CF1279" s="156"/>
      <c r="CG1279" s="156"/>
      <c r="CH1279" s="156"/>
      <c r="CI1279" s="156"/>
      <c r="CJ1279" s="156"/>
      <c r="CK1279" s="156"/>
      <c r="CL1279" s="156"/>
      <c r="CM1279" s="156"/>
      <c r="CN1279" s="156"/>
      <c r="CO1279" s="156"/>
      <c r="CP1279" s="156"/>
      <c r="CQ1279" s="156"/>
      <c r="CR1279" s="156"/>
      <c r="CS1279" s="156"/>
      <c r="CT1279" s="156"/>
      <c r="CU1279" s="156"/>
      <c r="CV1279" s="156"/>
      <c r="CW1279" s="156"/>
      <c r="CX1279" s="156"/>
      <c r="CY1279" s="156"/>
      <c r="CZ1279" s="156"/>
      <c r="DA1279" s="156"/>
      <c r="DB1279" s="156"/>
      <c r="DC1279" s="156"/>
      <c r="DD1279" s="156"/>
      <c r="DE1279" s="156"/>
      <c r="DF1279" s="156"/>
      <c r="DG1279" s="156"/>
      <c r="DH1279" s="156"/>
      <c r="DI1279" s="156"/>
      <c r="DJ1279" s="156"/>
      <c r="DK1279" s="156"/>
      <c r="DL1279" s="156"/>
      <c r="DM1279" s="156"/>
      <c r="DN1279" s="156"/>
      <c r="DO1279" s="156"/>
      <c r="DP1279" s="156"/>
      <c r="DQ1279" s="156"/>
      <c r="DR1279" s="156"/>
      <c r="DS1279" s="156"/>
      <c r="DT1279" s="156"/>
      <c r="DU1279" s="156"/>
      <c r="DV1279" s="156"/>
      <c r="DW1279" s="156"/>
      <c r="DX1279" s="156"/>
      <c r="DY1279" s="156"/>
      <c r="DZ1279" s="156"/>
      <c r="EA1279" s="156"/>
      <c r="EB1279" s="156"/>
      <c r="EC1279" s="156"/>
      <c r="ED1279" s="156"/>
      <c r="EE1279" s="156"/>
      <c r="EF1279" s="156"/>
      <c r="EG1279" s="156"/>
      <c r="EH1279" s="156"/>
      <c r="EI1279" s="156"/>
      <c r="EJ1279" s="156"/>
      <c r="EK1279" s="156"/>
      <c r="EL1279" s="156"/>
      <c r="EM1279" s="156"/>
    </row>
    <row r="1280" spans="20:143" ht="10.5" customHeight="1">
      <c r="T1280" s="156"/>
      <c r="AZ1280" s="156"/>
      <c r="BA1280" s="156"/>
      <c r="BB1280" s="156"/>
      <c r="BC1280" s="156"/>
      <c r="BD1280" s="156"/>
      <c r="BE1280" s="156"/>
      <c r="BF1280" s="156"/>
      <c r="BG1280" s="156"/>
      <c r="BH1280" s="156"/>
      <c r="BI1280" s="156"/>
      <c r="BJ1280" s="156"/>
      <c r="BK1280" s="156"/>
      <c r="BL1280" s="156"/>
      <c r="BM1280" s="156"/>
      <c r="BN1280" s="156"/>
      <c r="BO1280" s="156"/>
      <c r="BP1280" s="156"/>
      <c r="BQ1280" s="156"/>
      <c r="BR1280" s="156"/>
      <c r="BS1280" s="156"/>
      <c r="BT1280" s="156"/>
      <c r="BU1280" s="156"/>
      <c r="BV1280" s="156"/>
      <c r="BW1280" s="156"/>
      <c r="BX1280" s="156"/>
      <c r="BY1280" s="156"/>
      <c r="BZ1280" s="156"/>
      <c r="CA1280" s="156"/>
      <c r="CB1280" s="156"/>
      <c r="CC1280" s="156"/>
      <c r="CD1280" s="156"/>
      <c r="CE1280" s="156"/>
      <c r="CF1280" s="156"/>
      <c r="CG1280" s="156"/>
      <c r="CH1280" s="156"/>
      <c r="CI1280" s="156"/>
      <c r="CJ1280" s="156"/>
      <c r="CK1280" s="156"/>
      <c r="CL1280" s="156"/>
      <c r="CM1280" s="156"/>
      <c r="CN1280" s="156"/>
      <c r="CO1280" s="156"/>
      <c r="CP1280" s="156"/>
      <c r="CQ1280" s="156"/>
      <c r="CR1280" s="156"/>
      <c r="CS1280" s="156"/>
      <c r="CT1280" s="156"/>
      <c r="CU1280" s="156"/>
      <c r="CV1280" s="156"/>
      <c r="CW1280" s="156"/>
      <c r="CX1280" s="156"/>
      <c r="CY1280" s="156"/>
      <c r="CZ1280" s="156"/>
      <c r="DA1280" s="156"/>
      <c r="DB1280" s="156"/>
      <c r="DC1280" s="156"/>
      <c r="DD1280" s="156"/>
      <c r="DE1280" s="156"/>
      <c r="DF1280" s="156"/>
      <c r="DG1280" s="156"/>
      <c r="DH1280" s="156"/>
      <c r="DI1280" s="156"/>
      <c r="DJ1280" s="156"/>
      <c r="DK1280" s="156"/>
      <c r="DL1280" s="156"/>
      <c r="DM1280" s="156"/>
      <c r="DN1280" s="156"/>
      <c r="DO1280" s="156"/>
      <c r="DP1280" s="156"/>
      <c r="DQ1280" s="156"/>
      <c r="DR1280" s="156"/>
      <c r="DS1280" s="156"/>
      <c r="DT1280" s="156"/>
      <c r="DU1280" s="156"/>
      <c r="DV1280" s="156"/>
      <c r="DW1280" s="156"/>
      <c r="DX1280" s="156"/>
      <c r="DY1280" s="156"/>
      <c r="DZ1280" s="156"/>
      <c r="EA1280" s="156"/>
      <c r="EB1280" s="156"/>
      <c r="EC1280" s="156"/>
      <c r="ED1280" s="156"/>
      <c r="EE1280" s="156"/>
      <c r="EF1280" s="156"/>
      <c r="EG1280" s="156"/>
      <c r="EH1280" s="156"/>
      <c r="EI1280" s="156"/>
      <c r="EJ1280" s="156"/>
      <c r="EK1280" s="156"/>
      <c r="EL1280" s="156"/>
      <c r="EM1280" s="156"/>
    </row>
    <row r="1281" spans="20:143" ht="10.5" customHeight="1">
      <c r="T1281" s="156"/>
      <c r="AZ1281" s="156"/>
      <c r="BA1281" s="156"/>
      <c r="BB1281" s="156"/>
      <c r="BC1281" s="156"/>
      <c r="BD1281" s="156"/>
      <c r="BE1281" s="156"/>
      <c r="BF1281" s="156"/>
      <c r="BG1281" s="156"/>
      <c r="BH1281" s="156"/>
      <c r="BI1281" s="156"/>
      <c r="BJ1281" s="156"/>
      <c r="BK1281" s="156"/>
      <c r="BL1281" s="156"/>
      <c r="BM1281" s="156"/>
      <c r="BN1281" s="156"/>
      <c r="BO1281" s="156"/>
      <c r="BP1281" s="156"/>
      <c r="BQ1281" s="156"/>
      <c r="BR1281" s="156"/>
      <c r="BS1281" s="156"/>
      <c r="BT1281" s="156"/>
      <c r="BU1281" s="156"/>
      <c r="BV1281" s="156"/>
      <c r="BW1281" s="156"/>
      <c r="BX1281" s="156"/>
      <c r="BY1281" s="156"/>
      <c r="BZ1281" s="156"/>
      <c r="CA1281" s="156"/>
      <c r="CB1281" s="156"/>
      <c r="CC1281" s="156"/>
      <c r="CD1281" s="156"/>
      <c r="CE1281" s="156"/>
      <c r="CF1281" s="156"/>
      <c r="CG1281" s="156"/>
      <c r="CH1281" s="156"/>
      <c r="CI1281" s="156"/>
      <c r="CJ1281" s="156"/>
      <c r="CK1281" s="156"/>
      <c r="CL1281" s="156"/>
      <c r="CM1281" s="156"/>
      <c r="CN1281" s="156"/>
      <c r="CO1281" s="156"/>
      <c r="CP1281" s="156"/>
      <c r="CQ1281" s="156"/>
      <c r="CR1281" s="156"/>
      <c r="CS1281" s="156"/>
      <c r="CT1281" s="156"/>
      <c r="CU1281" s="156"/>
      <c r="CV1281" s="156"/>
      <c r="CW1281" s="156"/>
      <c r="CX1281" s="156"/>
      <c r="CY1281" s="156"/>
      <c r="CZ1281" s="156"/>
      <c r="DA1281" s="156"/>
      <c r="DB1281" s="156"/>
      <c r="DC1281" s="156"/>
      <c r="DD1281" s="156"/>
      <c r="DE1281" s="156"/>
      <c r="DF1281" s="156"/>
      <c r="DG1281" s="156"/>
      <c r="DH1281" s="156"/>
      <c r="DI1281" s="156"/>
      <c r="DJ1281" s="156"/>
      <c r="DK1281" s="156"/>
      <c r="DL1281" s="156"/>
      <c r="DM1281" s="156"/>
      <c r="DN1281" s="156"/>
      <c r="DO1281" s="156"/>
      <c r="DP1281" s="156"/>
      <c r="DQ1281" s="156"/>
      <c r="DR1281" s="156"/>
      <c r="DS1281" s="156"/>
      <c r="DT1281" s="156"/>
      <c r="DU1281" s="156"/>
      <c r="DV1281" s="156"/>
      <c r="DW1281" s="156"/>
      <c r="DX1281" s="156"/>
      <c r="DY1281" s="156"/>
      <c r="DZ1281" s="156"/>
      <c r="EA1281" s="156"/>
      <c r="EB1281" s="156"/>
      <c r="EC1281" s="156"/>
      <c r="ED1281" s="156"/>
      <c r="EE1281" s="156"/>
      <c r="EF1281" s="156"/>
      <c r="EG1281" s="156"/>
      <c r="EH1281" s="156"/>
      <c r="EI1281" s="156"/>
      <c r="EJ1281" s="156"/>
      <c r="EK1281" s="156"/>
      <c r="EL1281" s="156"/>
      <c r="EM1281" s="156"/>
    </row>
    <row r="1282" spans="20:143" ht="10.5" customHeight="1">
      <c r="T1282" s="156"/>
      <c r="AZ1282" s="156"/>
      <c r="BA1282" s="156"/>
      <c r="BB1282" s="156"/>
      <c r="BC1282" s="156"/>
      <c r="BD1282" s="156"/>
      <c r="BE1282" s="156"/>
      <c r="BF1282" s="156"/>
      <c r="BG1282" s="156"/>
      <c r="BH1282" s="156"/>
      <c r="BI1282" s="156"/>
      <c r="BJ1282" s="156"/>
      <c r="BK1282" s="156"/>
      <c r="BL1282" s="156"/>
      <c r="BM1282" s="156"/>
      <c r="BN1282" s="156"/>
      <c r="BO1282" s="156"/>
      <c r="BP1282" s="156"/>
      <c r="BQ1282" s="156"/>
      <c r="BR1282" s="156"/>
      <c r="BS1282" s="156"/>
      <c r="BT1282" s="156"/>
      <c r="BU1282" s="156"/>
      <c r="BV1282" s="156"/>
      <c r="BW1282" s="156"/>
      <c r="BX1282" s="156"/>
      <c r="BY1282" s="156"/>
      <c r="BZ1282" s="156"/>
      <c r="CA1282" s="156"/>
      <c r="CB1282" s="156"/>
      <c r="CC1282" s="156"/>
      <c r="CD1282" s="156"/>
      <c r="CE1282" s="156"/>
      <c r="CF1282" s="156"/>
      <c r="CG1282" s="156"/>
      <c r="CH1282" s="156"/>
      <c r="CI1282" s="156"/>
      <c r="CJ1282" s="156"/>
      <c r="CK1282" s="156"/>
      <c r="CL1282" s="156"/>
      <c r="CM1282" s="156"/>
      <c r="CN1282" s="156"/>
      <c r="CO1282" s="156"/>
      <c r="CP1282" s="156"/>
      <c r="CQ1282" s="156"/>
      <c r="CR1282" s="156"/>
      <c r="CS1282" s="156"/>
      <c r="CT1282" s="156"/>
      <c r="CU1282" s="156"/>
      <c r="CV1282" s="156"/>
      <c r="CW1282" s="156"/>
      <c r="CX1282" s="156"/>
      <c r="CY1282" s="156"/>
      <c r="CZ1282" s="156"/>
      <c r="DA1282" s="156"/>
      <c r="DB1282" s="156"/>
      <c r="DC1282" s="156"/>
      <c r="DD1282" s="156"/>
      <c r="DE1282" s="156"/>
      <c r="DF1282" s="156"/>
      <c r="DG1282" s="156"/>
      <c r="DH1282" s="156"/>
      <c r="DI1282" s="156"/>
      <c r="DJ1282" s="156"/>
      <c r="DK1282" s="156"/>
      <c r="DL1282" s="156"/>
      <c r="DM1282" s="156"/>
      <c r="DN1282" s="156"/>
      <c r="DO1282" s="156"/>
      <c r="DP1282" s="156"/>
      <c r="DQ1282" s="156"/>
      <c r="DR1282" s="156"/>
      <c r="DS1282" s="156"/>
      <c r="DT1282" s="156"/>
      <c r="DU1282" s="156"/>
      <c r="DV1282" s="156"/>
      <c r="DW1282" s="156"/>
      <c r="DX1282" s="156"/>
      <c r="DY1282" s="156"/>
      <c r="DZ1282" s="156"/>
      <c r="EA1282" s="156"/>
      <c r="EB1282" s="156"/>
      <c r="EC1282" s="156"/>
      <c r="ED1282" s="156"/>
      <c r="EE1282" s="156"/>
      <c r="EF1282" s="156"/>
      <c r="EG1282" s="156"/>
      <c r="EH1282" s="156"/>
      <c r="EI1282" s="156"/>
      <c r="EJ1282" s="156"/>
      <c r="EK1282" s="156"/>
      <c r="EL1282" s="156"/>
      <c r="EM1282" s="156"/>
    </row>
    <row r="1283" spans="20:143" ht="10.5" customHeight="1">
      <c r="T1283" s="156"/>
      <c r="AZ1283" s="156"/>
      <c r="BA1283" s="156"/>
      <c r="BB1283" s="156"/>
      <c r="BC1283" s="156"/>
      <c r="BD1283" s="156"/>
      <c r="BE1283" s="156"/>
      <c r="BF1283" s="156"/>
      <c r="BG1283" s="156"/>
      <c r="BH1283" s="156"/>
      <c r="BI1283" s="156"/>
      <c r="BJ1283" s="156"/>
      <c r="BK1283" s="156"/>
      <c r="BL1283" s="156"/>
      <c r="BM1283" s="156"/>
      <c r="BN1283" s="156"/>
      <c r="BO1283" s="156"/>
      <c r="BP1283" s="156"/>
      <c r="BQ1283" s="156"/>
      <c r="BR1283" s="156"/>
      <c r="BS1283" s="156"/>
      <c r="BT1283" s="156"/>
      <c r="BU1283" s="156"/>
      <c r="BV1283" s="156"/>
      <c r="BW1283" s="156"/>
      <c r="BX1283" s="156"/>
      <c r="BY1283" s="156"/>
      <c r="BZ1283" s="156"/>
      <c r="CA1283" s="156"/>
      <c r="CB1283" s="156"/>
      <c r="CC1283" s="156"/>
      <c r="CD1283" s="156"/>
      <c r="CE1283" s="156"/>
      <c r="CF1283" s="156"/>
      <c r="CG1283" s="156"/>
      <c r="CH1283" s="156"/>
      <c r="CI1283" s="156"/>
      <c r="CJ1283" s="156"/>
      <c r="CK1283" s="156"/>
      <c r="CL1283" s="156"/>
      <c r="CM1283" s="156"/>
      <c r="CN1283" s="156"/>
      <c r="CO1283" s="156"/>
      <c r="CP1283" s="156"/>
      <c r="CQ1283" s="156"/>
      <c r="CR1283" s="156"/>
      <c r="CS1283" s="156"/>
      <c r="CT1283" s="156"/>
      <c r="CU1283" s="156"/>
      <c r="CV1283" s="156"/>
      <c r="CW1283" s="156"/>
      <c r="CX1283" s="156"/>
      <c r="CY1283" s="156"/>
      <c r="CZ1283" s="156"/>
      <c r="DA1283" s="156"/>
      <c r="DB1283" s="156"/>
      <c r="DC1283" s="156"/>
      <c r="DD1283" s="156"/>
      <c r="DE1283" s="156"/>
      <c r="DF1283" s="156"/>
      <c r="DG1283" s="156"/>
      <c r="DH1283" s="156"/>
      <c r="DI1283" s="156"/>
      <c r="DJ1283" s="156"/>
      <c r="DK1283" s="156"/>
      <c r="DL1283" s="156"/>
      <c r="DM1283" s="156"/>
      <c r="DN1283" s="156"/>
      <c r="DO1283" s="156"/>
      <c r="DP1283" s="156"/>
      <c r="DQ1283" s="156"/>
      <c r="DR1283" s="156"/>
      <c r="DS1283" s="156"/>
      <c r="DT1283" s="156"/>
      <c r="DU1283" s="156"/>
      <c r="DV1283" s="156"/>
      <c r="DW1283" s="156"/>
      <c r="DX1283" s="156"/>
      <c r="DY1283" s="156"/>
      <c r="DZ1283" s="156"/>
      <c r="EA1283" s="156"/>
      <c r="EB1283" s="156"/>
      <c r="EC1283" s="156"/>
      <c r="ED1283" s="156"/>
      <c r="EE1283" s="156"/>
      <c r="EF1283" s="156"/>
      <c r="EG1283" s="156"/>
      <c r="EH1283" s="156"/>
      <c r="EI1283" s="156"/>
      <c r="EJ1283" s="156"/>
      <c r="EK1283" s="156"/>
      <c r="EL1283" s="156"/>
      <c r="EM1283" s="156"/>
    </row>
    <row r="1284" spans="20:143" ht="10.5" customHeight="1">
      <c r="T1284" s="156"/>
      <c r="AZ1284" s="156"/>
      <c r="BA1284" s="156"/>
      <c r="BB1284" s="156"/>
      <c r="BC1284" s="156"/>
      <c r="BD1284" s="156"/>
      <c r="BE1284" s="156"/>
      <c r="BF1284" s="156"/>
      <c r="BG1284" s="156"/>
      <c r="BH1284" s="156"/>
      <c r="BI1284" s="156"/>
      <c r="BJ1284" s="156"/>
      <c r="BK1284" s="156"/>
      <c r="BL1284" s="156"/>
      <c r="BM1284" s="156"/>
      <c r="BN1284" s="156"/>
      <c r="BO1284" s="156"/>
      <c r="BP1284" s="156"/>
      <c r="BQ1284" s="156"/>
      <c r="BR1284" s="156"/>
      <c r="BS1284" s="156"/>
      <c r="BT1284" s="156"/>
      <c r="BU1284" s="156"/>
      <c r="BV1284" s="156"/>
      <c r="BW1284" s="156"/>
      <c r="BX1284" s="156"/>
      <c r="BY1284" s="156"/>
      <c r="BZ1284" s="156"/>
      <c r="CA1284" s="156"/>
      <c r="CB1284" s="156"/>
      <c r="CC1284" s="156"/>
      <c r="CD1284" s="156"/>
      <c r="CE1284" s="156"/>
      <c r="CF1284" s="156"/>
      <c r="CG1284" s="156"/>
      <c r="CH1284" s="156"/>
      <c r="CI1284" s="156"/>
      <c r="CJ1284" s="156"/>
      <c r="CK1284" s="156"/>
      <c r="CL1284" s="156"/>
      <c r="CM1284" s="156"/>
      <c r="CN1284" s="156"/>
      <c r="CO1284" s="156"/>
      <c r="CP1284" s="156"/>
      <c r="CQ1284" s="156"/>
      <c r="CR1284" s="156"/>
      <c r="CS1284" s="156"/>
      <c r="CT1284" s="156"/>
      <c r="CU1284" s="156"/>
      <c r="CV1284" s="156"/>
      <c r="CW1284" s="156"/>
      <c r="CX1284" s="156"/>
      <c r="CY1284" s="156"/>
      <c r="CZ1284" s="156"/>
      <c r="DA1284" s="156"/>
      <c r="DB1284" s="156"/>
      <c r="DC1284" s="156"/>
      <c r="DD1284" s="156"/>
      <c r="DE1284" s="156"/>
      <c r="DF1284" s="156"/>
      <c r="DG1284" s="156"/>
      <c r="DH1284" s="156"/>
      <c r="DI1284" s="156"/>
      <c r="DJ1284" s="156"/>
      <c r="DK1284" s="156"/>
      <c r="DL1284" s="156"/>
      <c r="DM1284" s="156"/>
      <c r="DN1284" s="156"/>
      <c r="DO1284" s="156"/>
      <c r="DP1284" s="156"/>
      <c r="DQ1284" s="156"/>
      <c r="DR1284" s="156"/>
      <c r="DS1284" s="156"/>
      <c r="DT1284" s="156"/>
      <c r="DU1284" s="156"/>
      <c r="DV1284" s="156"/>
      <c r="DW1284" s="156"/>
      <c r="DX1284" s="156"/>
      <c r="DY1284" s="156"/>
      <c r="DZ1284" s="156"/>
      <c r="EA1284" s="156"/>
      <c r="EB1284" s="156"/>
      <c r="EC1284" s="156"/>
      <c r="ED1284" s="156"/>
      <c r="EE1284" s="156"/>
      <c r="EF1284" s="156"/>
      <c r="EG1284" s="156"/>
      <c r="EH1284" s="156"/>
      <c r="EI1284" s="156"/>
      <c r="EJ1284" s="156"/>
      <c r="EK1284" s="156"/>
      <c r="EL1284" s="156"/>
      <c r="EM1284" s="156"/>
    </row>
    <row r="1285" spans="20:143" ht="10.5" customHeight="1">
      <c r="T1285" s="156"/>
      <c r="AZ1285" s="156"/>
      <c r="BA1285" s="156"/>
      <c r="BB1285" s="156"/>
      <c r="BC1285" s="156"/>
      <c r="BD1285" s="156"/>
      <c r="BE1285" s="156"/>
      <c r="BF1285" s="156"/>
      <c r="BG1285" s="156"/>
      <c r="BH1285" s="156"/>
      <c r="BI1285" s="156"/>
      <c r="BJ1285" s="156"/>
      <c r="BK1285" s="156"/>
      <c r="BL1285" s="156"/>
      <c r="BM1285" s="156"/>
      <c r="BN1285" s="156"/>
      <c r="BO1285" s="156"/>
      <c r="BP1285" s="156"/>
      <c r="BQ1285" s="156"/>
      <c r="BR1285" s="156"/>
      <c r="BS1285" s="156"/>
      <c r="BT1285" s="156"/>
      <c r="BU1285" s="156"/>
      <c r="BV1285" s="156"/>
      <c r="BW1285" s="156"/>
      <c r="BX1285" s="156"/>
      <c r="BY1285" s="156"/>
      <c r="BZ1285" s="156"/>
      <c r="CA1285" s="156"/>
      <c r="CB1285" s="156"/>
      <c r="CC1285" s="156"/>
      <c r="CD1285" s="156"/>
      <c r="CE1285" s="156"/>
      <c r="CF1285" s="156"/>
      <c r="CG1285" s="156"/>
      <c r="CH1285" s="156"/>
      <c r="CI1285" s="156"/>
      <c r="CJ1285" s="156"/>
      <c r="CK1285" s="156"/>
      <c r="CL1285" s="156"/>
      <c r="CM1285" s="156"/>
      <c r="CN1285" s="156"/>
      <c r="CO1285" s="156"/>
      <c r="CP1285" s="156"/>
      <c r="CQ1285" s="156"/>
      <c r="CR1285" s="156"/>
      <c r="CS1285" s="156"/>
      <c r="CT1285" s="156"/>
      <c r="CU1285" s="156"/>
      <c r="CV1285" s="156"/>
      <c r="CW1285" s="156"/>
      <c r="CX1285" s="156"/>
      <c r="CY1285" s="156"/>
      <c r="CZ1285" s="156"/>
      <c r="DA1285" s="156"/>
      <c r="DB1285" s="156"/>
      <c r="DC1285" s="156"/>
      <c r="DD1285" s="156"/>
      <c r="DE1285" s="156"/>
      <c r="DF1285" s="156"/>
      <c r="DG1285" s="156"/>
      <c r="DH1285" s="156"/>
      <c r="DI1285" s="156"/>
      <c r="DJ1285" s="156"/>
      <c r="DK1285" s="156"/>
      <c r="DL1285" s="156"/>
      <c r="DM1285" s="156"/>
      <c r="DN1285" s="156"/>
      <c r="DO1285" s="156"/>
      <c r="DP1285" s="156"/>
      <c r="DQ1285" s="156"/>
      <c r="DR1285" s="156"/>
      <c r="DS1285" s="156"/>
      <c r="DT1285" s="156"/>
      <c r="DU1285" s="156"/>
      <c r="DV1285" s="156"/>
      <c r="DW1285" s="156"/>
      <c r="DX1285" s="156"/>
      <c r="DY1285" s="156"/>
      <c r="DZ1285" s="156"/>
      <c r="EA1285" s="156"/>
      <c r="EB1285" s="156"/>
      <c r="EC1285" s="156"/>
      <c r="ED1285" s="156"/>
      <c r="EE1285" s="156"/>
      <c r="EF1285" s="156"/>
      <c r="EG1285" s="156"/>
      <c r="EH1285" s="156"/>
      <c r="EI1285" s="156"/>
      <c r="EJ1285" s="156"/>
      <c r="EK1285" s="156"/>
      <c r="EL1285" s="156"/>
      <c r="EM1285" s="156"/>
    </row>
    <row r="1286" spans="20:143" ht="10.5" customHeight="1">
      <c r="T1286" s="156"/>
      <c r="AZ1286" s="156"/>
      <c r="BA1286" s="156"/>
      <c r="BB1286" s="156"/>
      <c r="BC1286" s="156"/>
      <c r="BD1286" s="156"/>
      <c r="BE1286" s="156"/>
      <c r="BF1286" s="156"/>
      <c r="BG1286" s="156"/>
      <c r="BH1286" s="156"/>
      <c r="BI1286" s="156"/>
      <c r="BJ1286" s="156"/>
      <c r="BK1286" s="156"/>
      <c r="BL1286" s="156"/>
      <c r="BM1286" s="156"/>
      <c r="BN1286" s="156"/>
      <c r="BO1286" s="156"/>
      <c r="BP1286" s="156"/>
      <c r="BQ1286" s="156"/>
      <c r="BR1286" s="156"/>
      <c r="BS1286" s="156"/>
      <c r="BT1286" s="156"/>
      <c r="BU1286" s="156"/>
      <c r="BV1286" s="156"/>
      <c r="BW1286" s="156"/>
      <c r="BX1286" s="156"/>
      <c r="BY1286" s="156"/>
      <c r="BZ1286" s="156"/>
      <c r="CA1286" s="156"/>
      <c r="CB1286" s="156"/>
      <c r="CC1286" s="156"/>
      <c r="CD1286" s="156"/>
      <c r="CE1286" s="156"/>
      <c r="CF1286" s="156"/>
      <c r="CG1286" s="156"/>
      <c r="CH1286" s="156"/>
      <c r="CI1286" s="156"/>
      <c r="CJ1286" s="156"/>
      <c r="CK1286" s="156"/>
      <c r="CL1286" s="156"/>
      <c r="CM1286" s="156"/>
      <c r="CN1286" s="156"/>
      <c r="CO1286" s="156"/>
      <c r="CP1286" s="156"/>
      <c r="CQ1286" s="156"/>
      <c r="CR1286" s="156"/>
      <c r="CS1286" s="156"/>
      <c r="CT1286" s="156"/>
      <c r="CU1286" s="156"/>
      <c r="CV1286" s="156"/>
      <c r="CW1286" s="156"/>
      <c r="CX1286" s="156"/>
      <c r="CY1286" s="156"/>
      <c r="CZ1286" s="156"/>
      <c r="DA1286" s="156"/>
      <c r="DB1286" s="156"/>
      <c r="DC1286" s="156"/>
      <c r="DD1286" s="156"/>
      <c r="DE1286" s="156"/>
      <c r="DF1286" s="156"/>
      <c r="DG1286" s="156"/>
      <c r="DH1286" s="156"/>
      <c r="DI1286" s="156"/>
      <c r="DJ1286" s="156"/>
      <c r="DK1286" s="156"/>
      <c r="DL1286" s="156"/>
      <c r="DM1286" s="156"/>
      <c r="DN1286" s="156"/>
      <c r="DO1286" s="156"/>
      <c r="DP1286" s="156"/>
      <c r="DQ1286" s="156"/>
      <c r="DR1286" s="156"/>
      <c r="DS1286" s="156"/>
      <c r="DT1286" s="156"/>
      <c r="DU1286" s="156"/>
      <c r="DV1286" s="156"/>
      <c r="DW1286" s="156"/>
      <c r="DX1286" s="156"/>
      <c r="DY1286" s="156"/>
      <c r="DZ1286" s="156"/>
      <c r="EA1286" s="156"/>
      <c r="EB1286" s="156"/>
      <c r="EC1286" s="156"/>
      <c r="ED1286" s="156"/>
      <c r="EE1286" s="156"/>
      <c r="EF1286" s="156"/>
      <c r="EG1286" s="156"/>
      <c r="EH1286" s="156"/>
      <c r="EI1286" s="156"/>
      <c r="EJ1286" s="156"/>
      <c r="EK1286" s="156"/>
      <c r="EL1286" s="156"/>
      <c r="EM1286" s="156"/>
    </row>
    <row r="1287" spans="20:143" ht="10.5" customHeight="1">
      <c r="T1287" s="156"/>
      <c r="AZ1287" s="156"/>
      <c r="BA1287" s="156"/>
      <c r="BB1287" s="156"/>
      <c r="BC1287" s="156"/>
      <c r="BD1287" s="156"/>
      <c r="BE1287" s="156"/>
      <c r="BF1287" s="156"/>
      <c r="BG1287" s="156"/>
      <c r="BH1287" s="156"/>
      <c r="BI1287" s="156"/>
      <c r="BJ1287" s="156"/>
      <c r="BK1287" s="156"/>
      <c r="BL1287" s="156"/>
      <c r="BM1287" s="156"/>
      <c r="BN1287" s="156"/>
      <c r="BO1287" s="156"/>
      <c r="BP1287" s="156"/>
      <c r="BQ1287" s="156"/>
      <c r="BR1287" s="156"/>
      <c r="BS1287" s="156"/>
      <c r="BT1287" s="156"/>
      <c r="BU1287" s="156"/>
      <c r="BV1287" s="156"/>
      <c r="BW1287" s="156"/>
      <c r="BX1287" s="156"/>
      <c r="BY1287" s="156"/>
      <c r="BZ1287" s="156"/>
      <c r="CA1287" s="156"/>
      <c r="CB1287" s="156"/>
      <c r="CC1287" s="156"/>
      <c r="CD1287" s="156"/>
      <c r="CE1287" s="156"/>
      <c r="CF1287" s="156"/>
      <c r="CG1287" s="156"/>
      <c r="CH1287" s="156"/>
      <c r="CI1287" s="156"/>
      <c r="CJ1287" s="156"/>
      <c r="CK1287" s="156"/>
      <c r="CL1287" s="156"/>
      <c r="CM1287" s="156"/>
      <c r="CN1287" s="156"/>
      <c r="CO1287" s="156"/>
      <c r="CP1287" s="156"/>
      <c r="CQ1287" s="156"/>
      <c r="CR1287" s="156"/>
      <c r="CS1287" s="156"/>
      <c r="CT1287" s="156"/>
      <c r="CU1287" s="156"/>
      <c r="CV1287" s="156"/>
      <c r="CW1287" s="156"/>
      <c r="CX1287" s="156"/>
      <c r="CY1287" s="156"/>
      <c r="CZ1287" s="156"/>
      <c r="DA1287" s="156"/>
      <c r="DB1287" s="156"/>
      <c r="DC1287" s="156"/>
      <c r="DD1287" s="156"/>
      <c r="DE1287" s="156"/>
      <c r="DF1287" s="156"/>
      <c r="DG1287" s="156"/>
      <c r="DH1287" s="156"/>
      <c r="DI1287" s="156"/>
      <c r="DJ1287" s="156"/>
      <c r="DK1287" s="156"/>
      <c r="DL1287" s="156"/>
      <c r="DM1287" s="156"/>
      <c r="DN1287" s="156"/>
      <c r="DO1287" s="156"/>
      <c r="DP1287" s="156"/>
      <c r="DQ1287" s="156"/>
      <c r="DR1287" s="156"/>
      <c r="DS1287" s="156"/>
      <c r="DT1287" s="156"/>
      <c r="DU1287" s="156"/>
      <c r="DV1287" s="156"/>
      <c r="DW1287" s="156"/>
      <c r="DX1287" s="156"/>
      <c r="DY1287" s="156"/>
      <c r="DZ1287" s="156"/>
      <c r="EA1287" s="156"/>
      <c r="EB1287" s="156"/>
      <c r="EC1287" s="156"/>
      <c r="ED1287" s="156"/>
      <c r="EE1287" s="156"/>
      <c r="EF1287" s="156"/>
      <c r="EG1287" s="156"/>
      <c r="EH1287" s="156"/>
      <c r="EI1287" s="156"/>
      <c r="EJ1287" s="156"/>
      <c r="EK1287" s="156"/>
      <c r="EL1287" s="156"/>
      <c r="EM1287" s="156"/>
    </row>
    <row r="1288" spans="20:143" ht="10.5" customHeight="1">
      <c r="T1288" s="156"/>
      <c r="AZ1288" s="156"/>
      <c r="BA1288" s="156"/>
      <c r="BB1288" s="156"/>
      <c r="BC1288" s="156"/>
      <c r="BD1288" s="156"/>
      <c r="BE1288" s="156"/>
      <c r="BF1288" s="156"/>
      <c r="BG1288" s="156"/>
      <c r="BH1288" s="156"/>
      <c r="BI1288" s="156"/>
      <c r="BJ1288" s="156"/>
      <c r="BK1288" s="156"/>
      <c r="BL1288" s="156"/>
      <c r="BM1288" s="156"/>
      <c r="BN1288" s="156"/>
      <c r="BO1288" s="156"/>
      <c r="BP1288" s="156"/>
      <c r="BQ1288" s="156"/>
      <c r="BR1288" s="156"/>
      <c r="BS1288" s="156"/>
      <c r="BT1288" s="156"/>
      <c r="BU1288" s="156"/>
      <c r="BV1288" s="156"/>
      <c r="BW1288" s="156"/>
      <c r="BX1288" s="156"/>
      <c r="BY1288" s="156"/>
      <c r="BZ1288" s="156"/>
      <c r="CA1288" s="156"/>
      <c r="CB1288" s="156"/>
      <c r="CC1288" s="156"/>
      <c r="CD1288" s="156"/>
      <c r="CE1288" s="156"/>
      <c r="CF1288" s="156"/>
      <c r="CG1288" s="156"/>
      <c r="CH1288" s="156"/>
      <c r="CI1288" s="156"/>
      <c r="CJ1288" s="156"/>
      <c r="CK1288" s="156"/>
      <c r="CL1288" s="156"/>
      <c r="CM1288" s="156"/>
      <c r="CN1288" s="156"/>
      <c r="CO1288" s="156"/>
      <c r="CP1288" s="156"/>
      <c r="CQ1288" s="156"/>
      <c r="CR1288" s="156"/>
      <c r="CS1288" s="156"/>
      <c r="CT1288" s="156"/>
      <c r="CU1288" s="156"/>
      <c r="CV1288" s="156"/>
      <c r="CW1288" s="156"/>
      <c r="CX1288" s="156"/>
      <c r="CY1288" s="156"/>
      <c r="CZ1288" s="156"/>
      <c r="DA1288" s="156"/>
      <c r="DB1288" s="156"/>
      <c r="DC1288" s="156"/>
      <c r="DD1288" s="156"/>
      <c r="DE1288" s="156"/>
      <c r="DF1288" s="156"/>
      <c r="DG1288" s="156"/>
      <c r="DH1288" s="156"/>
      <c r="DI1288" s="156"/>
      <c r="DJ1288" s="156"/>
      <c r="DK1288" s="156"/>
      <c r="DL1288" s="156"/>
      <c r="DM1288" s="156"/>
      <c r="DN1288" s="156"/>
      <c r="DO1288" s="156"/>
      <c r="DP1288" s="156"/>
      <c r="DQ1288" s="156"/>
      <c r="DR1288" s="156"/>
      <c r="DS1288" s="156"/>
      <c r="DT1288" s="156"/>
      <c r="DU1288" s="156"/>
      <c r="DV1288" s="156"/>
      <c r="DW1288" s="156"/>
      <c r="DX1288" s="156"/>
      <c r="DY1288" s="156"/>
      <c r="DZ1288" s="156"/>
      <c r="EA1288" s="156"/>
      <c r="EB1288" s="156"/>
      <c r="EC1288" s="156"/>
      <c r="ED1288" s="156"/>
      <c r="EE1288" s="156"/>
      <c r="EF1288" s="156"/>
      <c r="EG1288" s="156"/>
      <c r="EH1288" s="156"/>
      <c r="EI1288" s="156"/>
      <c r="EJ1288" s="156"/>
      <c r="EK1288" s="156"/>
      <c r="EL1288" s="156"/>
      <c r="EM1288" s="156"/>
    </row>
    <row r="1289" spans="20:143" ht="10.5" customHeight="1">
      <c r="T1289" s="156"/>
      <c r="AZ1289" s="156"/>
      <c r="BA1289" s="156"/>
      <c r="BB1289" s="156"/>
      <c r="BC1289" s="156"/>
      <c r="BD1289" s="156"/>
      <c r="BE1289" s="156"/>
      <c r="BF1289" s="156"/>
      <c r="BG1289" s="156"/>
      <c r="BH1289" s="156"/>
      <c r="BI1289" s="156"/>
      <c r="BJ1289" s="156"/>
      <c r="BK1289" s="156"/>
      <c r="BL1289" s="156"/>
      <c r="BM1289" s="156"/>
      <c r="BN1289" s="156"/>
      <c r="BO1289" s="156"/>
      <c r="BP1289" s="156"/>
      <c r="BQ1289" s="156"/>
      <c r="BR1289" s="156"/>
      <c r="BS1289" s="156"/>
      <c r="BT1289" s="156"/>
      <c r="BU1289" s="156"/>
      <c r="BV1289" s="156"/>
      <c r="BW1289" s="156"/>
      <c r="BX1289" s="156"/>
      <c r="BY1289" s="156"/>
      <c r="BZ1289" s="156"/>
      <c r="CA1289" s="156"/>
      <c r="CB1289" s="156"/>
      <c r="CC1289" s="156"/>
      <c r="CD1289" s="156"/>
      <c r="CE1289" s="156"/>
      <c r="CF1289" s="156"/>
      <c r="CG1289" s="156"/>
      <c r="CH1289" s="156"/>
      <c r="CI1289" s="156"/>
      <c r="CJ1289" s="156"/>
      <c r="CK1289" s="156"/>
      <c r="CL1289" s="156"/>
      <c r="CM1289" s="156"/>
      <c r="CN1289" s="156"/>
      <c r="CO1289" s="156"/>
      <c r="CP1289" s="156"/>
      <c r="CQ1289" s="156"/>
      <c r="CR1289" s="156"/>
      <c r="CS1289" s="156"/>
      <c r="CT1289" s="156"/>
      <c r="CU1289" s="156"/>
      <c r="CV1289" s="156"/>
      <c r="CW1289" s="156"/>
      <c r="CX1289" s="156"/>
      <c r="CY1289" s="156"/>
      <c r="CZ1289" s="156"/>
      <c r="DA1289" s="156"/>
      <c r="DB1289" s="156"/>
      <c r="DC1289" s="156"/>
      <c r="DD1289" s="156"/>
      <c r="DE1289" s="156"/>
      <c r="DF1289" s="156"/>
      <c r="DG1289" s="156"/>
      <c r="DH1289" s="156"/>
      <c r="DI1289" s="156"/>
      <c r="DJ1289" s="156"/>
      <c r="DK1289" s="156"/>
      <c r="DL1289" s="156"/>
      <c r="DM1289" s="156"/>
      <c r="DN1289" s="156"/>
      <c r="DO1289" s="156"/>
      <c r="DP1289" s="156"/>
      <c r="DQ1289" s="156"/>
      <c r="DR1289" s="156"/>
      <c r="DS1289" s="156"/>
      <c r="DT1289" s="156"/>
      <c r="DU1289" s="156"/>
      <c r="DV1289" s="156"/>
      <c r="DW1289" s="156"/>
      <c r="DX1289" s="156"/>
      <c r="DY1289" s="156"/>
      <c r="DZ1289" s="156"/>
      <c r="EA1289" s="156"/>
      <c r="EB1289" s="156"/>
      <c r="EC1289" s="156"/>
      <c r="ED1289" s="156"/>
      <c r="EE1289" s="156"/>
      <c r="EF1289" s="156"/>
      <c r="EG1289" s="156"/>
      <c r="EH1289" s="156"/>
      <c r="EI1289" s="156"/>
      <c r="EJ1289" s="156"/>
      <c r="EK1289" s="156"/>
      <c r="EL1289" s="156"/>
      <c r="EM1289" s="156"/>
    </row>
    <row r="1290" spans="20:143" ht="10.5" customHeight="1">
      <c r="T1290" s="156"/>
      <c r="AZ1290" s="156"/>
      <c r="BA1290" s="156"/>
      <c r="BB1290" s="156"/>
      <c r="BC1290" s="156"/>
      <c r="BD1290" s="156"/>
      <c r="BE1290" s="156"/>
      <c r="BF1290" s="156"/>
      <c r="BG1290" s="156"/>
      <c r="BH1290" s="156"/>
      <c r="BI1290" s="156"/>
      <c r="BJ1290" s="156"/>
      <c r="BK1290" s="156"/>
      <c r="BL1290" s="156"/>
      <c r="BM1290" s="156"/>
      <c r="BN1290" s="156"/>
      <c r="BO1290" s="156"/>
      <c r="BP1290" s="156"/>
      <c r="BQ1290" s="156"/>
      <c r="BR1290" s="156"/>
      <c r="BS1290" s="156"/>
      <c r="BT1290" s="156"/>
      <c r="BU1290" s="156"/>
      <c r="BV1290" s="156"/>
      <c r="BW1290" s="156"/>
      <c r="BX1290" s="156"/>
      <c r="BY1290" s="156"/>
      <c r="BZ1290" s="156"/>
      <c r="CA1290" s="156"/>
      <c r="CB1290" s="156"/>
      <c r="CC1290" s="156"/>
      <c r="CD1290" s="156"/>
      <c r="CE1290" s="156"/>
      <c r="CF1290" s="156"/>
      <c r="CG1290" s="156"/>
      <c r="CH1290" s="156"/>
      <c r="CI1290" s="156"/>
      <c r="CJ1290" s="156"/>
      <c r="CK1290" s="156"/>
      <c r="CL1290" s="156"/>
      <c r="CM1290" s="156"/>
      <c r="CN1290" s="156"/>
      <c r="CO1290" s="156"/>
      <c r="CP1290" s="156"/>
      <c r="CQ1290" s="156"/>
      <c r="CR1290" s="156"/>
      <c r="CS1290" s="156"/>
      <c r="CT1290" s="156"/>
      <c r="CU1290" s="156"/>
      <c r="CV1290" s="156"/>
      <c r="CW1290" s="156"/>
      <c r="CX1290" s="156"/>
      <c r="CY1290" s="156"/>
      <c r="CZ1290" s="156"/>
      <c r="DA1290" s="156"/>
      <c r="DB1290" s="156"/>
      <c r="DC1290" s="156"/>
      <c r="DD1290" s="156"/>
      <c r="DE1290" s="156"/>
      <c r="DF1290" s="156"/>
      <c r="DG1290" s="156"/>
      <c r="DH1290" s="156"/>
      <c r="DI1290" s="156"/>
      <c r="DJ1290" s="156"/>
      <c r="DK1290" s="156"/>
      <c r="DL1290" s="156"/>
      <c r="DM1290" s="156"/>
      <c r="DN1290" s="156"/>
      <c r="DO1290" s="156"/>
      <c r="DP1290" s="156"/>
      <c r="DQ1290" s="156"/>
      <c r="DR1290" s="156"/>
      <c r="DS1290" s="156"/>
      <c r="DT1290" s="156"/>
      <c r="DU1290" s="156"/>
      <c r="DV1290" s="156"/>
      <c r="DW1290" s="156"/>
      <c r="DX1290" s="156"/>
      <c r="DY1290" s="156"/>
      <c r="DZ1290" s="156"/>
      <c r="EA1290" s="156"/>
      <c r="EB1290" s="156"/>
      <c r="EC1290" s="156"/>
      <c r="ED1290" s="156"/>
      <c r="EE1290" s="156"/>
      <c r="EF1290" s="156"/>
      <c r="EG1290" s="156"/>
      <c r="EH1290" s="156"/>
      <c r="EI1290" s="156"/>
      <c r="EJ1290" s="156"/>
      <c r="EK1290" s="156"/>
      <c r="EL1290" s="156"/>
      <c r="EM1290" s="156"/>
    </row>
    <row r="1291" spans="20:143" ht="10.5" customHeight="1">
      <c r="T1291" s="156"/>
      <c r="AZ1291" s="156"/>
      <c r="BA1291" s="156"/>
      <c r="BB1291" s="156"/>
      <c r="BC1291" s="156"/>
      <c r="BD1291" s="156"/>
      <c r="BE1291" s="156"/>
      <c r="BF1291" s="156"/>
      <c r="BG1291" s="156"/>
      <c r="BH1291" s="156"/>
      <c r="BI1291" s="156"/>
      <c r="BJ1291" s="156"/>
      <c r="BK1291" s="156"/>
      <c r="BL1291" s="156"/>
      <c r="BM1291" s="156"/>
      <c r="BN1291" s="156"/>
      <c r="BO1291" s="156"/>
      <c r="BP1291" s="156"/>
      <c r="BQ1291" s="156"/>
      <c r="BR1291" s="156"/>
      <c r="BS1291" s="156"/>
      <c r="BT1291" s="156"/>
      <c r="BU1291" s="156"/>
      <c r="BV1291" s="156"/>
      <c r="BW1291" s="156"/>
      <c r="BX1291" s="156"/>
      <c r="BY1291" s="156"/>
      <c r="BZ1291" s="156"/>
      <c r="CA1291" s="156"/>
      <c r="CB1291" s="156"/>
      <c r="CC1291" s="156"/>
      <c r="CD1291" s="156"/>
      <c r="CE1291" s="156"/>
      <c r="CF1291" s="156"/>
      <c r="CG1291" s="156"/>
      <c r="CH1291" s="156"/>
      <c r="CI1291" s="156"/>
      <c r="CJ1291" s="156"/>
      <c r="CK1291" s="156"/>
      <c r="CL1291" s="156"/>
      <c r="CM1291" s="156"/>
      <c r="CN1291" s="156"/>
      <c r="CO1291" s="156"/>
      <c r="CP1291" s="156"/>
      <c r="CQ1291" s="156"/>
      <c r="CR1291" s="156"/>
      <c r="CS1291" s="156"/>
      <c r="CT1291" s="156"/>
      <c r="CU1291" s="156"/>
      <c r="CV1291" s="156"/>
      <c r="CW1291" s="156"/>
      <c r="CX1291" s="156"/>
      <c r="CY1291" s="156"/>
      <c r="CZ1291" s="156"/>
      <c r="DA1291" s="156"/>
      <c r="DB1291" s="156"/>
      <c r="DC1291" s="156"/>
      <c r="DD1291" s="156"/>
      <c r="DE1291" s="156"/>
      <c r="DF1291" s="156"/>
      <c r="DG1291" s="156"/>
      <c r="DH1291" s="156"/>
      <c r="DI1291" s="156"/>
      <c r="DJ1291" s="156"/>
      <c r="DK1291" s="156"/>
      <c r="DL1291" s="156"/>
      <c r="DM1291" s="156"/>
      <c r="DN1291" s="156"/>
      <c r="DO1291" s="156"/>
      <c r="DP1291" s="156"/>
      <c r="DQ1291" s="156"/>
      <c r="DR1291" s="156"/>
      <c r="DS1291" s="156"/>
      <c r="DT1291" s="156"/>
      <c r="DU1291" s="156"/>
      <c r="DV1291" s="156"/>
      <c r="DW1291" s="156"/>
      <c r="DX1291" s="156"/>
      <c r="DY1291" s="156"/>
      <c r="DZ1291" s="156"/>
      <c r="EA1291" s="156"/>
      <c r="EB1291" s="156"/>
      <c r="EC1291" s="156"/>
      <c r="ED1291" s="156"/>
      <c r="EE1291" s="156"/>
      <c r="EF1291" s="156"/>
      <c r="EG1291" s="156"/>
      <c r="EH1291" s="156"/>
      <c r="EI1291" s="156"/>
      <c r="EJ1291" s="156"/>
      <c r="EK1291" s="156"/>
      <c r="EL1291" s="156"/>
      <c r="EM1291" s="156"/>
    </row>
    <row r="1292" spans="20:143" ht="10.5" customHeight="1">
      <c r="T1292" s="156"/>
      <c r="AZ1292" s="156"/>
      <c r="BA1292" s="156"/>
      <c r="BB1292" s="156"/>
      <c r="BC1292" s="156"/>
      <c r="BD1292" s="156"/>
      <c r="BE1292" s="156"/>
      <c r="BF1292" s="156"/>
      <c r="BG1292" s="156"/>
      <c r="BH1292" s="156"/>
      <c r="BI1292" s="156"/>
      <c r="BJ1292" s="156"/>
      <c r="BK1292" s="156"/>
      <c r="BL1292" s="156"/>
      <c r="BM1292" s="156"/>
      <c r="BN1292" s="156"/>
      <c r="BO1292" s="156"/>
      <c r="BP1292" s="156"/>
      <c r="BQ1292" s="156"/>
      <c r="BR1292" s="156"/>
      <c r="BS1292" s="156"/>
      <c r="BT1292" s="156"/>
      <c r="BU1292" s="156"/>
      <c r="BV1292" s="156"/>
      <c r="BW1292" s="156"/>
      <c r="BX1292" s="156"/>
      <c r="BY1292" s="156"/>
      <c r="BZ1292" s="156"/>
      <c r="CA1292" s="156"/>
      <c r="CB1292" s="156"/>
      <c r="CC1292" s="156"/>
      <c r="CD1292" s="156"/>
      <c r="CE1292" s="156"/>
      <c r="CF1292" s="156"/>
      <c r="CG1292" s="156"/>
      <c r="CH1292" s="156"/>
      <c r="CI1292" s="156"/>
      <c r="CJ1292" s="156"/>
      <c r="CK1292" s="156"/>
      <c r="CL1292" s="156"/>
      <c r="CM1292" s="156"/>
      <c r="CN1292" s="156"/>
      <c r="CO1292" s="156"/>
      <c r="CP1292" s="156"/>
      <c r="CQ1292" s="156"/>
      <c r="CR1292" s="156"/>
      <c r="CS1292" s="156"/>
      <c r="CT1292" s="156"/>
      <c r="CU1292" s="156"/>
      <c r="CV1292" s="156"/>
      <c r="CW1292" s="156"/>
      <c r="CX1292" s="156"/>
      <c r="CY1292" s="156"/>
      <c r="CZ1292" s="156"/>
      <c r="DA1292" s="156"/>
      <c r="DB1292" s="156"/>
      <c r="DC1292" s="156"/>
      <c r="DD1292" s="156"/>
      <c r="DE1292" s="156"/>
      <c r="DF1292" s="156"/>
      <c r="DG1292" s="156"/>
      <c r="DH1292" s="156"/>
      <c r="DI1292" s="156"/>
      <c r="DJ1292" s="156"/>
      <c r="DK1292" s="156"/>
      <c r="DL1292" s="156"/>
      <c r="DM1292" s="156"/>
      <c r="DN1292" s="156"/>
      <c r="DO1292" s="156"/>
      <c r="DP1292" s="156"/>
      <c r="DQ1292" s="156"/>
      <c r="DR1292" s="156"/>
      <c r="DS1292" s="156"/>
      <c r="DT1292" s="156"/>
      <c r="DU1292" s="156"/>
      <c r="DV1292" s="156"/>
      <c r="DW1292" s="156"/>
      <c r="DX1292" s="156"/>
      <c r="DY1292" s="156"/>
      <c r="DZ1292" s="156"/>
      <c r="EA1292" s="156"/>
      <c r="EB1292" s="156"/>
      <c r="EC1292" s="156"/>
      <c r="ED1292" s="156"/>
      <c r="EE1292" s="156"/>
      <c r="EF1292" s="156"/>
      <c r="EG1292" s="156"/>
      <c r="EH1292" s="156"/>
      <c r="EI1292" s="156"/>
      <c r="EJ1292" s="156"/>
      <c r="EK1292" s="156"/>
      <c r="EL1292" s="156"/>
      <c r="EM1292" s="156"/>
    </row>
    <row r="1293" spans="20:143" ht="10.5" customHeight="1">
      <c r="T1293" s="156"/>
      <c r="AZ1293" s="156"/>
      <c r="BA1293" s="156"/>
      <c r="BB1293" s="156"/>
      <c r="BC1293" s="156"/>
      <c r="BD1293" s="156"/>
      <c r="BE1293" s="156"/>
      <c r="BF1293" s="156"/>
      <c r="BG1293" s="156"/>
      <c r="BH1293" s="156"/>
      <c r="BI1293" s="156"/>
      <c r="BJ1293" s="156"/>
      <c r="BK1293" s="156"/>
      <c r="BL1293" s="156"/>
      <c r="BM1293" s="156"/>
      <c r="BN1293" s="156"/>
      <c r="BO1293" s="156"/>
      <c r="BP1293" s="156"/>
      <c r="BQ1293" s="156"/>
      <c r="BR1293" s="156"/>
      <c r="BS1293" s="156"/>
      <c r="BT1293" s="156"/>
      <c r="BU1293" s="156"/>
      <c r="BV1293" s="156"/>
      <c r="BW1293" s="156"/>
      <c r="BX1293" s="156"/>
      <c r="BY1293" s="156"/>
      <c r="BZ1293" s="156"/>
      <c r="CA1293" s="156"/>
      <c r="CB1293" s="156"/>
      <c r="CC1293" s="156"/>
      <c r="CD1293" s="156"/>
      <c r="CE1293" s="156"/>
      <c r="CF1293" s="156"/>
      <c r="CG1293" s="156"/>
      <c r="CH1293" s="156"/>
      <c r="CI1293" s="156"/>
      <c r="CJ1293" s="156"/>
      <c r="CK1293" s="156"/>
      <c r="CL1293" s="156"/>
      <c r="CM1293" s="156"/>
      <c r="CN1293" s="156"/>
      <c r="CO1293" s="156"/>
      <c r="CP1293" s="156"/>
      <c r="CQ1293" s="156"/>
      <c r="CR1293" s="156"/>
      <c r="CS1293" s="156"/>
      <c r="CT1293" s="156"/>
      <c r="CU1293" s="156"/>
      <c r="CV1293" s="156"/>
      <c r="CW1293" s="156"/>
      <c r="CX1293" s="156"/>
      <c r="CY1293" s="156"/>
      <c r="CZ1293" s="156"/>
      <c r="DA1293" s="156"/>
      <c r="DB1293" s="156"/>
      <c r="DC1293" s="156"/>
      <c r="DD1293" s="156"/>
      <c r="DE1293" s="156"/>
      <c r="DF1293" s="156"/>
      <c r="DG1293" s="156"/>
      <c r="DH1293" s="156"/>
      <c r="DI1293" s="156"/>
      <c r="DJ1293" s="156"/>
      <c r="DK1293" s="156"/>
      <c r="DL1293" s="156"/>
      <c r="DM1293" s="156"/>
      <c r="DN1293" s="156"/>
      <c r="DO1293" s="156"/>
      <c r="DP1293" s="156"/>
      <c r="DQ1293" s="156"/>
      <c r="DR1293" s="156"/>
      <c r="DS1293" s="156"/>
      <c r="DT1293" s="156"/>
      <c r="DU1293" s="156"/>
      <c r="DV1293" s="156"/>
      <c r="DW1293" s="156"/>
      <c r="DX1293" s="156"/>
      <c r="DY1293" s="156"/>
      <c r="DZ1293" s="156"/>
      <c r="EA1293" s="156"/>
      <c r="EB1293" s="156"/>
      <c r="EC1293" s="156"/>
      <c r="ED1293" s="156"/>
      <c r="EE1293" s="156"/>
      <c r="EF1293" s="156"/>
      <c r="EG1293" s="156"/>
      <c r="EH1293" s="156"/>
      <c r="EI1293" s="156"/>
      <c r="EJ1293" s="156"/>
      <c r="EK1293" s="156"/>
      <c r="EL1293" s="156"/>
      <c r="EM1293" s="156"/>
    </row>
    <row r="1294" spans="20:143" ht="10.5" customHeight="1">
      <c r="T1294" s="156"/>
      <c r="AZ1294" s="156"/>
      <c r="BA1294" s="156"/>
      <c r="BB1294" s="156"/>
      <c r="BC1294" s="156"/>
      <c r="BD1294" s="156"/>
      <c r="BE1294" s="156"/>
      <c r="BF1294" s="156"/>
      <c r="BG1294" s="156"/>
      <c r="BH1294" s="156"/>
      <c r="BI1294" s="156"/>
      <c r="BJ1294" s="156"/>
      <c r="BK1294" s="156"/>
      <c r="BL1294" s="156"/>
      <c r="BM1294" s="156"/>
      <c r="BN1294" s="156"/>
      <c r="BO1294" s="156"/>
      <c r="BP1294" s="156"/>
      <c r="BQ1294" s="156"/>
      <c r="BR1294" s="156"/>
      <c r="BS1294" s="156"/>
      <c r="BT1294" s="156"/>
      <c r="BU1294" s="156"/>
      <c r="BV1294" s="156"/>
      <c r="BW1294" s="156"/>
      <c r="BX1294" s="156"/>
      <c r="BY1294" s="156"/>
      <c r="BZ1294" s="156"/>
      <c r="CA1294" s="156"/>
      <c r="CB1294" s="156"/>
      <c r="CC1294" s="156"/>
      <c r="CD1294" s="156"/>
      <c r="CE1294" s="156"/>
      <c r="CF1294" s="156"/>
      <c r="CG1294" s="156"/>
      <c r="CH1294" s="156"/>
      <c r="CI1294" s="156"/>
      <c r="CJ1294" s="156"/>
      <c r="CK1294" s="156"/>
      <c r="CL1294" s="156"/>
      <c r="CM1294" s="156"/>
      <c r="CN1294" s="156"/>
      <c r="CO1294" s="156"/>
      <c r="CP1294" s="156"/>
      <c r="CQ1294" s="156"/>
      <c r="CR1294" s="156"/>
      <c r="CS1294" s="156"/>
      <c r="CT1294" s="156"/>
      <c r="CU1294" s="156"/>
      <c r="CV1294" s="156"/>
      <c r="CW1294" s="156"/>
      <c r="CX1294" s="156"/>
      <c r="CY1294" s="156"/>
      <c r="CZ1294" s="156"/>
      <c r="DA1294" s="156"/>
      <c r="DB1294" s="156"/>
      <c r="DC1294" s="156"/>
      <c r="DD1294" s="156"/>
      <c r="DE1294" s="156"/>
      <c r="DF1294" s="156"/>
      <c r="DG1294" s="156"/>
      <c r="DH1294" s="156"/>
      <c r="DI1294" s="156"/>
      <c r="DJ1294" s="156"/>
      <c r="DK1294" s="156"/>
      <c r="DL1294" s="156"/>
      <c r="DM1294" s="156"/>
      <c r="DN1294" s="156"/>
      <c r="DO1294" s="156"/>
      <c r="DP1294" s="156"/>
      <c r="DQ1294" s="156"/>
      <c r="DR1294" s="156"/>
      <c r="DS1294" s="156"/>
      <c r="DT1294" s="156"/>
      <c r="DU1294" s="156"/>
      <c r="DV1294" s="156"/>
      <c r="DW1294" s="156"/>
      <c r="DX1294" s="156"/>
      <c r="DY1294" s="156"/>
      <c r="DZ1294" s="156"/>
      <c r="EA1294" s="156"/>
      <c r="EB1294" s="156"/>
      <c r="EC1294" s="156"/>
      <c r="ED1294" s="156"/>
      <c r="EE1294" s="156"/>
      <c r="EF1294" s="156"/>
      <c r="EG1294" s="156"/>
      <c r="EH1294" s="156"/>
      <c r="EI1294" s="156"/>
      <c r="EJ1294" s="156"/>
      <c r="EK1294" s="156"/>
      <c r="EL1294" s="156"/>
      <c r="EM1294" s="156"/>
    </row>
    <row r="1295" spans="20:143" ht="10.5" customHeight="1">
      <c r="T1295" s="156"/>
      <c r="AZ1295" s="156"/>
      <c r="BA1295" s="156"/>
      <c r="BB1295" s="156"/>
      <c r="BC1295" s="156"/>
      <c r="BD1295" s="156"/>
      <c r="BE1295" s="156"/>
      <c r="BF1295" s="156"/>
      <c r="BG1295" s="156"/>
      <c r="BH1295" s="156"/>
      <c r="BI1295" s="156"/>
      <c r="BJ1295" s="156"/>
      <c r="BK1295" s="156"/>
      <c r="BL1295" s="156"/>
      <c r="BM1295" s="156"/>
      <c r="BN1295" s="156"/>
      <c r="BO1295" s="156"/>
      <c r="BP1295" s="156"/>
      <c r="BQ1295" s="156"/>
      <c r="BR1295" s="156"/>
      <c r="BS1295" s="156"/>
      <c r="BT1295" s="156"/>
      <c r="BU1295" s="156"/>
      <c r="BV1295" s="156"/>
      <c r="BW1295" s="156"/>
      <c r="BX1295" s="156"/>
      <c r="BY1295" s="156"/>
      <c r="BZ1295" s="156"/>
      <c r="CA1295" s="156"/>
      <c r="CB1295" s="156"/>
      <c r="CC1295" s="156"/>
      <c r="CD1295" s="156"/>
      <c r="CE1295" s="156"/>
      <c r="CF1295" s="156"/>
      <c r="CG1295" s="156"/>
      <c r="CH1295" s="156"/>
      <c r="CI1295" s="156"/>
      <c r="CJ1295" s="156"/>
      <c r="CK1295" s="156"/>
      <c r="CL1295" s="156"/>
      <c r="CM1295" s="156"/>
      <c r="CN1295" s="156"/>
      <c r="CO1295" s="156"/>
      <c r="CP1295" s="156"/>
      <c r="CQ1295" s="156"/>
      <c r="CR1295" s="156"/>
      <c r="CS1295" s="156"/>
      <c r="CT1295" s="156"/>
      <c r="CU1295" s="156"/>
      <c r="CV1295" s="156"/>
      <c r="CW1295" s="156"/>
      <c r="CX1295" s="156"/>
      <c r="CY1295" s="156"/>
      <c r="CZ1295" s="156"/>
      <c r="DA1295" s="156"/>
      <c r="DB1295" s="156"/>
      <c r="DC1295" s="156"/>
      <c r="DD1295" s="156"/>
      <c r="DE1295" s="156"/>
      <c r="DF1295" s="156"/>
      <c r="DG1295" s="156"/>
      <c r="DH1295" s="156"/>
      <c r="DI1295" s="156"/>
      <c r="DJ1295" s="156"/>
      <c r="DK1295" s="156"/>
      <c r="DL1295" s="156"/>
      <c r="DM1295" s="156"/>
      <c r="DN1295" s="156"/>
      <c r="DO1295" s="156"/>
      <c r="DP1295" s="156"/>
      <c r="DQ1295" s="156"/>
      <c r="DR1295" s="156"/>
      <c r="DS1295" s="156"/>
      <c r="DT1295" s="156"/>
      <c r="DU1295" s="156"/>
      <c r="DV1295" s="156"/>
      <c r="DW1295" s="156"/>
      <c r="DX1295" s="156"/>
      <c r="DY1295" s="156"/>
      <c r="DZ1295" s="156"/>
      <c r="EA1295" s="156"/>
      <c r="EB1295" s="156"/>
      <c r="EC1295" s="156"/>
      <c r="ED1295" s="156"/>
      <c r="EE1295" s="156"/>
      <c r="EF1295" s="156"/>
      <c r="EG1295" s="156"/>
      <c r="EH1295" s="156"/>
      <c r="EI1295" s="156"/>
      <c r="EJ1295" s="156"/>
      <c r="EK1295" s="156"/>
      <c r="EL1295" s="156"/>
      <c r="EM1295" s="156"/>
    </row>
    <row r="1296" spans="20:143" ht="10.5" customHeight="1">
      <c r="T1296" s="156"/>
      <c r="AZ1296" s="156"/>
      <c r="BA1296" s="156"/>
      <c r="BB1296" s="156"/>
      <c r="BC1296" s="156"/>
      <c r="BD1296" s="156"/>
      <c r="BE1296" s="156"/>
      <c r="BF1296" s="156"/>
      <c r="BG1296" s="156"/>
      <c r="BH1296" s="156"/>
      <c r="BI1296" s="156"/>
      <c r="BJ1296" s="156"/>
      <c r="BK1296" s="156"/>
      <c r="BL1296" s="156"/>
      <c r="BM1296" s="156"/>
      <c r="BN1296" s="156"/>
      <c r="BO1296" s="156"/>
      <c r="BP1296" s="156"/>
      <c r="BQ1296" s="156"/>
      <c r="BR1296" s="156"/>
      <c r="BS1296" s="156"/>
      <c r="BT1296" s="156"/>
      <c r="BU1296" s="156"/>
      <c r="BV1296" s="156"/>
      <c r="BW1296" s="156"/>
      <c r="BX1296" s="156"/>
      <c r="BY1296" s="156"/>
      <c r="BZ1296" s="156"/>
      <c r="CA1296" s="156"/>
      <c r="CB1296" s="156"/>
      <c r="CC1296" s="156"/>
      <c r="CD1296" s="156"/>
      <c r="CE1296" s="156"/>
      <c r="CF1296" s="156"/>
      <c r="CG1296" s="156"/>
      <c r="CH1296" s="156"/>
      <c r="CI1296" s="156"/>
      <c r="CJ1296" s="156"/>
      <c r="CK1296" s="156"/>
      <c r="CL1296" s="156"/>
      <c r="CM1296" s="156"/>
      <c r="CN1296" s="156"/>
      <c r="CO1296" s="156"/>
      <c r="CP1296" s="156"/>
      <c r="CQ1296" s="156"/>
      <c r="CR1296" s="156"/>
      <c r="CS1296" s="156"/>
      <c r="CT1296" s="156"/>
      <c r="CU1296" s="156"/>
      <c r="CV1296" s="156"/>
      <c r="CW1296" s="156"/>
      <c r="CX1296" s="156"/>
      <c r="CY1296" s="156"/>
      <c r="CZ1296" s="156"/>
      <c r="DA1296" s="156"/>
      <c r="DB1296" s="156"/>
      <c r="DC1296" s="156"/>
      <c r="DD1296" s="156"/>
      <c r="DE1296" s="156"/>
      <c r="DF1296" s="156"/>
      <c r="DG1296" s="156"/>
      <c r="DH1296" s="156"/>
      <c r="DI1296" s="156"/>
      <c r="DJ1296" s="156"/>
      <c r="DK1296" s="156"/>
      <c r="DL1296" s="156"/>
      <c r="DM1296" s="156"/>
      <c r="DN1296" s="156"/>
      <c r="DO1296" s="156"/>
      <c r="DP1296" s="156"/>
      <c r="DQ1296" s="156"/>
      <c r="DR1296" s="156"/>
      <c r="DS1296" s="156"/>
      <c r="DT1296" s="156"/>
      <c r="DU1296" s="156"/>
      <c r="DV1296" s="156"/>
      <c r="DW1296" s="156"/>
      <c r="DX1296" s="156"/>
      <c r="DY1296" s="156"/>
      <c r="DZ1296" s="156"/>
      <c r="EA1296" s="156"/>
      <c r="EB1296" s="156"/>
      <c r="EC1296" s="156"/>
      <c r="ED1296" s="156"/>
      <c r="EE1296" s="156"/>
      <c r="EF1296" s="156"/>
      <c r="EG1296" s="156"/>
      <c r="EH1296" s="156"/>
      <c r="EI1296" s="156"/>
      <c r="EJ1296" s="156"/>
      <c r="EK1296" s="156"/>
      <c r="EL1296" s="156"/>
      <c r="EM1296" s="156"/>
    </row>
    <row r="1297" spans="20:143" ht="10.5" customHeight="1">
      <c r="T1297" s="156"/>
      <c r="AZ1297" s="156"/>
      <c r="BA1297" s="156"/>
      <c r="BB1297" s="156"/>
      <c r="BC1297" s="156"/>
      <c r="BD1297" s="156"/>
      <c r="BE1297" s="156"/>
      <c r="BF1297" s="156"/>
      <c r="BG1297" s="156"/>
      <c r="BH1297" s="156"/>
      <c r="BI1297" s="156"/>
      <c r="BJ1297" s="156"/>
      <c r="BK1297" s="156"/>
      <c r="BL1297" s="156"/>
      <c r="BM1297" s="156"/>
      <c r="BN1297" s="156"/>
      <c r="BO1297" s="156"/>
      <c r="BP1297" s="156"/>
      <c r="BQ1297" s="156"/>
      <c r="BR1297" s="156"/>
      <c r="BS1297" s="156"/>
      <c r="BT1297" s="156"/>
      <c r="BU1297" s="156"/>
      <c r="BV1297" s="156"/>
      <c r="BW1297" s="156"/>
      <c r="BX1297" s="156"/>
      <c r="BY1297" s="156"/>
      <c r="BZ1297" s="156"/>
      <c r="CA1297" s="156"/>
      <c r="CB1297" s="156"/>
      <c r="CC1297" s="156"/>
      <c r="CD1297" s="156"/>
      <c r="CE1297" s="156"/>
      <c r="CF1297" s="156"/>
      <c r="CG1297" s="156"/>
      <c r="CH1297" s="156"/>
      <c r="CI1297" s="156"/>
      <c r="CJ1297" s="156"/>
      <c r="CK1297" s="156"/>
      <c r="CL1297" s="156"/>
      <c r="CM1297" s="156"/>
      <c r="CN1297" s="156"/>
      <c r="CO1297" s="156"/>
      <c r="CP1297" s="156"/>
      <c r="CQ1297" s="156"/>
      <c r="CR1297" s="156"/>
      <c r="CS1297" s="156"/>
      <c r="CT1297" s="156"/>
      <c r="CU1297" s="156"/>
      <c r="CV1297" s="156"/>
      <c r="CW1297" s="156"/>
      <c r="CX1297" s="156"/>
      <c r="CY1297" s="156"/>
      <c r="CZ1297" s="156"/>
      <c r="DA1297" s="156"/>
      <c r="DB1297" s="156"/>
      <c r="DC1297" s="156"/>
      <c r="DD1297" s="156"/>
      <c r="DE1297" s="156"/>
      <c r="DF1297" s="156"/>
      <c r="DG1297" s="156"/>
      <c r="DH1297" s="156"/>
      <c r="DI1297" s="156"/>
      <c r="DJ1297" s="156"/>
      <c r="DK1297" s="156"/>
      <c r="DL1297" s="156"/>
      <c r="DM1297" s="156"/>
      <c r="DN1297" s="156"/>
      <c r="DO1297" s="156"/>
      <c r="DP1297" s="156"/>
      <c r="DQ1297" s="156"/>
      <c r="DR1297" s="156"/>
      <c r="DS1297" s="156"/>
      <c r="DT1297" s="156"/>
      <c r="DU1297" s="156"/>
      <c r="DV1297" s="156"/>
      <c r="DW1297" s="156"/>
      <c r="DX1297" s="156"/>
      <c r="DY1297" s="156"/>
      <c r="DZ1297" s="156"/>
      <c r="EA1297" s="156"/>
      <c r="EB1297" s="156"/>
      <c r="EC1297" s="156"/>
      <c r="ED1297" s="156"/>
      <c r="EE1297" s="156"/>
      <c r="EF1297" s="156"/>
      <c r="EG1297" s="156"/>
      <c r="EH1297" s="156"/>
      <c r="EI1297" s="156"/>
      <c r="EJ1297" s="156"/>
      <c r="EK1297" s="156"/>
      <c r="EL1297" s="156"/>
      <c r="EM1297" s="156"/>
    </row>
    <row r="1298" spans="20:143" ht="10.5" customHeight="1">
      <c r="T1298" s="156"/>
      <c r="AZ1298" s="156"/>
      <c r="BA1298" s="156"/>
      <c r="BB1298" s="156"/>
      <c r="BC1298" s="156"/>
      <c r="BD1298" s="156"/>
      <c r="BE1298" s="156"/>
      <c r="BF1298" s="156"/>
      <c r="BG1298" s="156"/>
      <c r="BH1298" s="156"/>
      <c r="BI1298" s="156"/>
      <c r="BJ1298" s="156"/>
      <c r="BK1298" s="156"/>
      <c r="BL1298" s="156"/>
      <c r="BM1298" s="156"/>
      <c r="BN1298" s="156"/>
      <c r="BO1298" s="156"/>
      <c r="BP1298" s="156"/>
      <c r="BQ1298" s="156"/>
      <c r="BR1298" s="156"/>
      <c r="BS1298" s="156"/>
      <c r="BT1298" s="156"/>
      <c r="BU1298" s="156"/>
      <c r="BV1298" s="156"/>
      <c r="BW1298" s="156"/>
      <c r="BX1298" s="156"/>
      <c r="BY1298" s="156"/>
      <c r="BZ1298" s="156"/>
      <c r="CA1298" s="156"/>
      <c r="CB1298" s="156"/>
      <c r="CC1298" s="156"/>
      <c r="CD1298" s="156"/>
      <c r="CE1298" s="156"/>
      <c r="CF1298" s="156"/>
      <c r="CG1298" s="156"/>
      <c r="CH1298" s="156"/>
      <c r="CI1298" s="156"/>
      <c r="CJ1298" s="156"/>
      <c r="CK1298" s="156"/>
      <c r="CL1298" s="156"/>
      <c r="CM1298" s="156"/>
      <c r="CN1298" s="156"/>
      <c r="CO1298" s="156"/>
      <c r="CP1298" s="156"/>
      <c r="CQ1298" s="156"/>
      <c r="CR1298" s="156"/>
      <c r="CS1298" s="156"/>
      <c r="CT1298" s="156"/>
      <c r="CU1298" s="156"/>
      <c r="CV1298" s="156"/>
      <c r="CW1298" s="156"/>
      <c r="CX1298" s="156"/>
      <c r="CY1298" s="156"/>
      <c r="CZ1298" s="156"/>
      <c r="DA1298" s="156"/>
      <c r="DB1298" s="156"/>
      <c r="DC1298" s="156"/>
      <c r="DD1298" s="156"/>
      <c r="DE1298" s="156"/>
      <c r="DF1298" s="156"/>
      <c r="DG1298" s="156"/>
      <c r="DH1298" s="156"/>
      <c r="DI1298" s="156"/>
      <c r="DJ1298" s="156"/>
      <c r="DK1298" s="156"/>
      <c r="DL1298" s="156"/>
      <c r="DM1298" s="156"/>
      <c r="DN1298" s="156"/>
      <c r="DO1298" s="156"/>
      <c r="DP1298" s="156"/>
      <c r="DQ1298" s="156"/>
      <c r="DR1298" s="156"/>
      <c r="DS1298" s="156"/>
      <c r="DT1298" s="156"/>
      <c r="DU1298" s="156"/>
      <c r="DV1298" s="156"/>
      <c r="DW1298" s="156"/>
      <c r="DX1298" s="156"/>
      <c r="DY1298" s="156"/>
      <c r="DZ1298" s="156"/>
      <c r="EA1298" s="156"/>
      <c r="EB1298" s="156"/>
      <c r="EC1298" s="156"/>
      <c r="ED1298" s="156"/>
      <c r="EE1298" s="156"/>
      <c r="EF1298" s="156"/>
      <c r="EG1298" s="156"/>
      <c r="EH1298" s="156"/>
      <c r="EI1298" s="156"/>
      <c r="EJ1298" s="156"/>
      <c r="EK1298" s="156"/>
      <c r="EL1298" s="156"/>
      <c r="EM1298" s="156"/>
    </row>
    <row r="1299" spans="20:143" ht="10.5" customHeight="1">
      <c r="T1299" s="156"/>
      <c r="AZ1299" s="156"/>
      <c r="BA1299" s="156"/>
      <c r="BB1299" s="156"/>
      <c r="BC1299" s="156"/>
      <c r="BD1299" s="156"/>
      <c r="BE1299" s="156"/>
      <c r="BF1299" s="156"/>
      <c r="BG1299" s="156"/>
      <c r="BH1299" s="156"/>
      <c r="BI1299" s="156"/>
      <c r="BJ1299" s="156"/>
      <c r="BK1299" s="156"/>
      <c r="BL1299" s="156"/>
      <c r="BM1299" s="156"/>
      <c r="BN1299" s="156"/>
      <c r="BO1299" s="156"/>
      <c r="BP1299" s="156"/>
      <c r="BQ1299" s="156"/>
      <c r="BR1299" s="156"/>
      <c r="BS1299" s="156"/>
      <c r="BT1299" s="156"/>
      <c r="BU1299" s="156"/>
      <c r="BV1299" s="156"/>
      <c r="BW1299" s="156"/>
      <c r="BX1299" s="156"/>
      <c r="BY1299" s="156"/>
      <c r="BZ1299" s="156"/>
      <c r="CA1299" s="156"/>
      <c r="CB1299" s="156"/>
      <c r="CC1299" s="156"/>
      <c r="CD1299" s="156"/>
      <c r="CE1299" s="156"/>
      <c r="CF1299" s="156"/>
      <c r="CG1299" s="156"/>
      <c r="CH1299" s="156"/>
      <c r="CI1299" s="156"/>
      <c r="CJ1299" s="156"/>
      <c r="CK1299" s="156"/>
      <c r="CL1299" s="156"/>
      <c r="CM1299" s="156"/>
      <c r="CN1299" s="156"/>
      <c r="CO1299" s="156"/>
      <c r="CP1299" s="156"/>
      <c r="CQ1299" s="156"/>
      <c r="CR1299" s="156"/>
      <c r="CS1299" s="156"/>
      <c r="CT1299" s="156"/>
      <c r="CU1299" s="156"/>
      <c r="CV1299" s="156"/>
      <c r="CW1299" s="156"/>
      <c r="CX1299" s="156"/>
      <c r="CY1299" s="156"/>
      <c r="CZ1299" s="156"/>
      <c r="DA1299" s="156"/>
      <c r="DB1299" s="156"/>
      <c r="DC1299" s="156"/>
      <c r="DD1299" s="156"/>
      <c r="DE1299" s="156"/>
      <c r="DF1299" s="156"/>
      <c r="DG1299" s="156"/>
      <c r="DH1299" s="156"/>
      <c r="DI1299" s="156"/>
      <c r="DJ1299" s="156"/>
      <c r="DK1299" s="156"/>
      <c r="DL1299" s="156"/>
      <c r="DM1299" s="156"/>
      <c r="DN1299" s="156"/>
      <c r="DO1299" s="156"/>
      <c r="DP1299" s="156"/>
      <c r="DQ1299" s="156"/>
      <c r="DR1299" s="156"/>
      <c r="DS1299" s="156"/>
      <c r="DT1299" s="156"/>
      <c r="DU1299" s="156"/>
      <c r="DV1299" s="156"/>
      <c r="DW1299" s="156"/>
      <c r="DX1299" s="156"/>
      <c r="DY1299" s="156"/>
      <c r="DZ1299" s="156"/>
      <c r="EA1299" s="156"/>
      <c r="EB1299" s="156"/>
      <c r="EC1299" s="156"/>
      <c r="ED1299" s="156"/>
      <c r="EE1299" s="156"/>
      <c r="EF1299" s="156"/>
      <c r="EG1299" s="156"/>
      <c r="EH1299" s="156"/>
      <c r="EI1299" s="156"/>
      <c r="EJ1299" s="156"/>
      <c r="EK1299" s="156"/>
      <c r="EL1299" s="156"/>
      <c r="EM1299" s="156"/>
    </row>
    <row r="1300" spans="20:143" ht="10.5" customHeight="1">
      <c r="T1300" s="156"/>
      <c r="AZ1300" s="156"/>
      <c r="BA1300" s="156"/>
      <c r="BB1300" s="156"/>
      <c r="BC1300" s="156"/>
      <c r="BD1300" s="156"/>
      <c r="BE1300" s="156"/>
      <c r="BF1300" s="156"/>
      <c r="BG1300" s="156"/>
      <c r="BH1300" s="156"/>
      <c r="BI1300" s="156"/>
      <c r="BJ1300" s="156"/>
      <c r="BK1300" s="156"/>
      <c r="BL1300" s="156"/>
      <c r="BM1300" s="156"/>
      <c r="BN1300" s="156"/>
      <c r="BO1300" s="156"/>
      <c r="BP1300" s="156"/>
      <c r="BQ1300" s="156"/>
      <c r="BR1300" s="156"/>
      <c r="BS1300" s="156"/>
      <c r="BT1300" s="156"/>
      <c r="BU1300" s="156"/>
      <c r="BV1300" s="156"/>
      <c r="BW1300" s="156"/>
      <c r="BX1300" s="156"/>
      <c r="BY1300" s="156"/>
      <c r="BZ1300" s="156"/>
      <c r="CA1300" s="156"/>
      <c r="CB1300" s="156"/>
      <c r="CC1300" s="156"/>
      <c r="CD1300" s="156"/>
      <c r="CE1300" s="156"/>
      <c r="CF1300" s="156"/>
      <c r="CG1300" s="156"/>
      <c r="CH1300" s="156"/>
      <c r="CI1300" s="156"/>
      <c r="CJ1300" s="156"/>
      <c r="CK1300" s="156"/>
      <c r="CL1300" s="156"/>
      <c r="CM1300" s="156"/>
      <c r="CN1300" s="156"/>
      <c r="CO1300" s="156"/>
      <c r="CP1300" s="156"/>
      <c r="CQ1300" s="156"/>
      <c r="CR1300" s="156"/>
      <c r="CS1300" s="156"/>
      <c r="CT1300" s="156"/>
      <c r="CU1300" s="156"/>
      <c r="CV1300" s="156"/>
      <c r="CW1300" s="156"/>
      <c r="CX1300" s="156"/>
      <c r="CY1300" s="156"/>
      <c r="CZ1300" s="156"/>
      <c r="DA1300" s="156"/>
      <c r="DB1300" s="156"/>
      <c r="DC1300" s="156"/>
      <c r="DD1300" s="156"/>
      <c r="DE1300" s="156"/>
      <c r="DF1300" s="156"/>
      <c r="DG1300" s="156"/>
      <c r="DH1300" s="156"/>
      <c r="DI1300" s="156"/>
      <c r="DJ1300" s="156"/>
      <c r="DK1300" s="156"/>
      <c r="DL1300" s="156"/>
      <c r="DM1300" s="156"/>
      <c r="DN1300" s="156"/>
      <c r="DO1300" s="156"/>
      <c r="DP1300" s="156"/>
      <c r="DQ1300" s="156"/>
      <c r="DR1300" s="156"/>
      <c r="DS1300" s="156"/>
      <c r="DT1300" s="156"/>
      <c r="DU1300" s="156"/>
      <c r="DV1300" s="156"/>
      <c r="DW1300" s="156"/>
      <c r="DX1300" s="156"/>
      <c r="DY1300" s="156"/>
      <c r="DZ1300" s="156"/>
      <c r="EA1300" s="156"/>
      <c r="EB1300" s="156"/>
      <c r="EC1300" s="156"/>
      <c r="ED1300" s="156"/>
      <c r="EE1300" s="156"/>
      <c r="EF1300" s="156"/>
      <c r="EG1300" s="156"/>
      <c r="EH1300" s="156"/>
      <c r="EI1300" s="156"/>
      <c r="EJ1300" s="156"/>
      <c r="EK1300" s="156"/>
      <c r="EL1300" s="156"/>
      <c r="EM1300" s="156"/>
    </row>
    <row r="1301" spans="20:143" ht="10.5" customHeight="1">
      <c r="T1301" s="156"/>
      <c r="AZ1301" s="156"/>
      <c r="BA1301" s="156"/>
      <c r="BB1301" s="156"/>
      <c r="BC1301" s="156"/>
      <c r="BD1301" s="156"/>
      <c r="BE1301" s="156"/>
      <c r="BF1301" s="156"/>
      <c r="BG1301" s="156"/>
      <c r="BH1301" s="156"/>
      <c r="BI1301" s="156"/>
      <c r="BJ1301" s="156"/>
      <c r="BK1301" s="156"/>
      <c r="BL1301" s="156"/>
      <c r="BM1301" s="156"/>
      <c r="BN1301" s="156"/>
      <c r="BO1301" s="156"/>
      <c r="BP1301" s="156"/>
      <c r="BQ1301" s="156"/>
      <c r="BR1301" s="156"/>
      <c r="BS1301" s="156"/>
      <c r="BT1301" s="156"/>
      <c r="BU1301" s="156"/>
      <c r="BV1301" s="156"/>
      <c r="BW1301" s="156"/>
      <c r="BX1301" s="156"/>
      <c r="BY1301" s="156"/>
      <c r="BZ1301" s="156"/>
      <c r="CA1301" s="156"/>
      <c r="CB1301" s="156"/>
      <c r="CC1301" s="156"/>
      <c r="CD1301" s="156"/>
      <c r="CE1301" s="156"/>
      <c r="CF1301" s="156"/>
      <c r="CG1301" s="156"/>
      <c r="CH1301" s="156"/>
      <c r="CI1301" s="156"/>
      <c r="CJ1301" s="156"/>
      <c r="CK1301" s="156"/>
      <c r="CL1301" s="156"/>
      <c r="CM1301" s="156"/>
      <c r="CN1301" s="156"/>
      <c r="CO1301" s="156"/>
      <c r="CP1301" s="156"/>
      <c r="CQ1301" s="156"/>
      <c r="CR1301" s="156"/>
      <c r="CS1301" s="156"/>
      <c r="CT1301" s="156"/>
      <c r="CU1301" s="156"/>
      <c r="CV1301" s="156"/>
      <c r="CW1301" s="156"/>
      <c r="CX1301" s="156"/>
      <c r="CY1301" s="156"/>
      <c r="CZ1301" s="156"/>
      <c r="DA1301" s="156"/>
      <c r="DB1301" s="156"/>
      <c r="DC1301" s="156"/>
      <c r="DD1301" s="156"/>
      <c r="DE1301" s="156"/>
      <c r="DF1301" s="156"/>
      <c r="DG1301" s="156"/>
      <c r="DH1301" s="156"/>
      <c r="DI1301" s="156"/>
      <c r="DJ1301" s="156"/>
      <c r="DK1301" s="156"/>
      <c r="DL1301" s="156"/>
      <c r="DM1301" s="156"/>
      <c r="DN1301" s="156"/>
      <c r="DO1301" s="156"/>
      <c r="DP1301" s="156"/>
      <c r="DQ1301" s="156"/>
      <c r="DR1301" s="156"/>
      <c r="DS1301" s="156"/>
      <c r="DT1301" s="156"/>
      <c r="DU1301" s="156"/>
      <c r="DV1301" s="156"/>
      <c r="DW1301" s="156"/>
      <c r="DX1301" s="156"/>
      <c r="DY1301" s="156"/>
      <c r="DZ1301" s="156"/>
      <c r="EA1301" s="156"/>
      <c r="EB1301" s="156"/>
      <c r="EC1301" s="156"/>
      <c r="ED1301" s="156"/>
      <c r="EE1301" s="156"/>
      <c r="EF1301" s="156"/>
      <c r="EG1301" s="156"/>
      <c r="EH1301" s="156"/>
      <c r="EI1301" s="156"/>
      <c r="EJ1301" s="156"/>
      <c r="EK1301" s="156"/>
      <c r="EL1301" s="156"/>
      <c r="EM1301" s="156"/>
    </row>
    <row r="1302" spans="20:143" ht="10.5" customHeight="1">
      <c r="T1302" s="156"/>
      <c r="AZ1302" s="156"/>
      <c r="BA1302" s="156"/>
      <c r="BB1302" s="156"/>
      <c r="BC1302" s="156"/>
      <c r="BD1302" s="156"/>
      <c r="BE1302" s="156"/>
      <c r="BF1302" s="156"/>
      <c r="BG1302" s="156"/>
      <c r="BH1302" s="156"/>
      <c r="BI1302" s="156"/>
      <c r="BJ1302" s="156"/>
      <c r="BK1302" s="156"/>
      <c r="BL1302" s="156"/>
      <c r="BM1302" s="156"/>
      <c r="BN1302" s="156"/>
      <c r="BO1302" s="156"/>
      <c r="BP1302" s="156"/>
      <c r="BQ1302" s="156"/>
      <c r="BR1302" s="156"/>
      <c r="BS1302" s="156"/>
      <c r="BT1302" s="156"/>
      <c r="BU1302" s="156"/>
      <c r="BV1302" s="156"/>
      <c r="BW1302" s="156"/>
      <c r="BX1302" s="156"/>
      <c r="BY1302" s="156"/>
      <c r="BZ1302" s="156"/>
      <c r="CA1302" s="156"/>
      <c r="CB1302" s="156"/>
      <c r="CC1302" s="156"/>
      <c r="CD1302" s="156"/>
      <c r="CE1302" s="156"/>
      <c r="CF1302" s="156"/>
      <c r="CG1302" s="156"/>
      <c r="CH1302" s="156"/>
      <c r="CI1302" s="156"/>
      <c r="CJ1302" s="156"/>
      <c r="CK1302" s="156"/>
      <c r="CL1302" s="156"/>
      <c r="CM1302" s="156"/>
      <c r="CN1302" s="156"/>
      <c r="CO1302" s="156"/>
      <c r="CP1302" s="156"/>
      <c r="CQ1302" s="156"/>
      <c r="CR1302" s="156"/>
      <c r="CS1302" s="156"/>
      <c r="CT1302" s="156"/>
      <c r="CU1302" s="156"/>
      <c r="CV1302" s="156"/>
      <c r="CW1302" s="156"/>
      <c r="CX1302" s="156"/>
      <c r="CY1302" s="156"/>
      <c r="CZ1302" s="156"/>
      <c r="DA1302" s="156"/>
      <c r="DB1302" s="156"/>
      <c r="DC1302" s="156"/>
      <c r="DD1302" s="156"/>
      <c r="DE1302" s="156"/>
      <c r="DF1302" s="156"/>
      <c r="DG1302" s="156"/>
      <c r="DH1302" s="156"/>
      <c r="DI1302" s="156"/>
      <c r="DJ1302" s="156"/>
      <c r="DK1302" s="156"/>
      <c r="DL1302" s="156"/>
      <c r="DM1302" s="156"/>
      <c r="DN1302" s="156"/>
      <c r="DO1302" s="156"/>
      <c r="DP1302" s="156"/>
      <c r="DQ1302" s="156"/>
      <c r="DR1302" s="156"/>
      <c r="DS1302" s="156"/>
      <c r="DT1302" s="156"/>
      <c r="DU1302" s="156"/>
      <c r="DV1302" s="156"/>
      <c r="DW1302" s="156"/>
      <c r="DX1302" s="156"/>
      <c r="DY1302" s="156"/>
      <c r="DZ1302" s="156"/>
      <c r="EA1302" s="156"/>
      <c r="EB1302" s="156"/>
      <c r="EC1302" s="156"/>
      <c r="ED1302" s="156"/>
      <c r="EE1302" s="156"/>
      <c r="EF1302" s="156"/>
      <c r="EG1302" s="156"/>
      <c r="EH1302" s="156"/>
      <c r="EI1302" s="156"/>
      <c r="EJ1302" s="156"/>
      <c r="EK1302" s="156"/>
      <c r="EL1302" s="156"/>
      <c r="EM1302" s="156"/>
    </row>
    <row r="1303" spans="20:143" ht="10.5" customHeight="1">
      <c r="T1303" s="156"/>
      <c r="AZ1303" s="156"/>
      <c r="BA1303" s="156"/>
      <c r="BB1303" s="156"/>
      <c r="BC1303" s="156"/>
      <c r="BD1303" s="156"/>
      <c r="BE1303" s="156"/>
      <c r="BF1303" s="156"/>
      <c r="BG1303" s="156"/>
      <c r="BH1303" s="156"/>
      <c r="BI1303" s="156"/>
      <c r="BJ1303" s="156"/>
      <c r="BK1303" s="156"/>
      <c r="BL1303" s="156"/>
      <c r="BM1303" s="156"/>
      <c r="BN1303" s="156"/>
      <c r="BO1303" s="156"/>
      <c r="BP1303" s="156"/>
      <c r="BQ1303" s="156"/>
      <c r="BR1303" s="156"/>
      <c r="BS1303" s="156"/>
      <c r="BT1303" s="156"/>
      <c r="BU1303" s="156"/>
      <c r="BV1303" s="156"/>
      <c r="BW1303" s="156"/>
      <c r="BX1303" s="156"/>
      <c r="BY1303" s="156"/>
      <c r="BZ1303" s="156"/>
      <c r="CA1303" s="156"/>
      <c r="CB1303" s="156"/>
      <c r="CC1303" s="156"/>
      <c r="CD1303" s="156"/>
      <c r="CE1303" s="156"/>
      <c r="CF1303" s="156"/>
      <c r="CG1303" s="156"/>
      <c r="CH1303" s="156"/>
      <c r="CI1303" s="156"/>
      <c r="CJ1303" s="156"/>
      <c r="CK1303" s="156"/>
      <c r="CL1303" s="156"/>
      <c r="CM1303" s="156"/>
      <c r="CN1303" s="156"/>
      <c r="CO1303" s="156"/>
      <c r="CP1303" s="156"/>
      <c r="CQ1303" s="156"/>
      <c r="CR1303" s="156"/>
      <c r="CS1303" s="156"/>
      <c r="CT1303" s="156"/>
      <c r="CU1303" s="156"/>
      <c r="CV1303" s="156"/>
      <c r="CW1303" s="156"/>
      <c r="CX1303" s="156"/>
      <c r="CY1303" s="156"/>
      <c r="CZ1303" s="156"/>
      <c r="DA1303" s="156"/>
      <c r="DB1303" s="156"/>
      <c r="DC1303" s="156"/>
      <c r="DD1303" s="156"/>
      <c r="DE1303" s="156"/>
      <c r="DF1303" s="156"/>
      <c r="DG1303" s="156"/>
      <c r="DH1303" s="156"/>
      <c r="DI1303" s="156"/>
      <c r="DJ1303" s="156"/>
      <c r="DK1303" s="156"/>
      <c r="DL1303" s="156"/>
      <c r="DM1303" s="156"/>
      <c r="DN1303" s="156"/>
      <c r="DO1303" s="156"/>
      <c r="DP1303" s="156"/>
      <c r="DQ1303" s="156"/>
      <c r="DR1303" s="156"/>
      <c r="DS1303" s="156"/>
      <c r="DT1303" s="156"/>
      <c r="DU1303" s="156"/>
      <c r="DV1303" s="156"/>
      <c r="DW1303" s="156"/>
      <c r="DX1303" s="156"/>
      <c r="DY1303" s="156"/>
      <c r="DZ1303" s="156"/>
      <c r="EA1303" s="156"/>
      <c r="EB1303" s="156"/>
      <c r="EC1303" s="156"/>
      <c r="ED1303" s="156"/>
      <c r="EE1303" s="156"/>
      <c r="EF1303" s="156"/>
      <c r="EG1303" s="156"/>
      <c r="EH1303" s="156"/>
      <c r="EI1303" s="156"/>
      <c r="EJ1303" s="156"/>
      <c r="EK1303" s="156"/>
      <c r="EL1303" s="156"/>
      <c r="EM1303" s="156"/>
    </row>
    <row r="1304" spans="20:143" ht="10.5" customHeight="1">
      <c r="T1304" s="156"/>
      <c r="AZ1304" s="156"/>
      <c r="BA1304" s="156"/>
      <c r="BB1304" s="156"/>
      <c r="BC1304" s="156"/>
      <c r="BD1304" s="156"/>
      <c r="BE1304" s="156"/>
      <c r="BF1304" s="156"/>
      <c r="BG1304" s="156"/>
      <c r="BH1304" s="156"/>
      <c r="BI1304" s="156"/>
      <c r="BJ1304" s="156"/>
      <c r="BK1304" s="156"/>
      <c r="BL1304" s="156"/>
      <c r="BM1304" s="156"/>
      <c r="BN1304" s="156"/>
      <c r="BO1304" s="156"/>
      <c r="BP1304" s="156"/>
      <c r="BQ1304" s="156"/>
      <c r="BR1304" s="156"/>
      <c r="BS1304" s="156"/>
      <c r="BT1304" s="156"/>
      <c r="BU1304" s="156"/>
      <c r="BV1304" s="156"/>
      <c r="BW1304" s="156"/>
      <c r="BX1304" s="156"/>
      <c r="BY1304" s="156"/>
      <c r="BZ1304" s="156"/>
      <c r="CA1304" s="156"/>
      <c r="CB1304" s="156"/>
      <c r="CC1304" s="156"/>
      <c r="CD1304" s="156"/>
      <c r="CE1304" s="156"/>
      <c r="CF1304" s="156"/>
      <c r="CG1304" s="156"/>
      <c r="CH1304" s="156"/>
      <c r="CI1304" s="156"/>
      <c r="CJ1304" s="156"/>
      <c r="CK1304" s="156"/>
      <c r="CL1304" s="156"/>
      <c r="CM1304" s="156"/>
      <c r="CN1304" s="156"/>
      <c r="CO1304" s="156"/>
      <c r="CP1304" s="156"/>
      <c r="CQ1304" s="156"/>
      <c r="CR1304" s="156"/>
      <c r="CS1304" s="156"/>
      <c r="CT1304" s="156"/>
      <c r="CU1304" s="156"/>
      <c r="CV1304" s="156"/>
      <c r="CW1304" s="156"/>
      <c r="CX1304" s="156"/>
      <c r="CY1304" s="156"/>
      <c r="CZ1304" s="156"/>
      <c r="DA1304" s="156"/>
      <c r="DB1304" s="156"/>
      <c r="DC1304" s="156"/>
      <c r="DD1304" s="156"/>
      <c r="DE1304" s="156"/>
      <c r="DF1304" s="156"/>
      <c r="DG1304" s="156"/>
      <c r="DH1304" s="156"/>
      <c r="DI1304" s="156"/>
      <c r="DJ1304" s="156"/>
      <c r="DK1304" s="156"/>
      <c r="DL1304" s="156"/>
      <c r="DM1304" s="156"/>
      <c r="DN1304" s="156"/>
      <c r="DO1304" s="156"/>
      <c r="DP1304" s="156"/>
      <c r="DQ1304" s="156"/>
      <c r="DR1304" s="156"/>
      <c r="DS1304" s="156"/>
      <c r="DT1304" s="156"/>
      <c r="DU1304" s="156"/>
      <c r="DV1304" s="156"/>
      <c r="DW1304" s="156"/>
      <c r="DX1304" s="156"/>
      <c r="DY1304" s="156"/>
      <c r="DZ1304" s="156"/>
      <c r="EA1304" s="156"/>
      <c r="EB1304" s="156"/>
      <c r="EC1304" s="156"/>
      <c r="ED1304" s="156"/>
      <c r="EE1304" s="156"/>
      <c r="EF1304" s="156"/>
      <c r="EG1304" s="156"/>
      <c r="EH1304" s="156"/>
      <c r="EI1304" s="156"/>
      <c r="EJ1304" s="156"/>
      <c r="EK1304" s="156"/>
      <c r="EL1304" s="156"/>
      <c r="EM1304" s="156"/>
    </row>
    <row r="1305" spans="20:143" ht="10.5" customHeight="1">
      <c r="T1305" s="156"/>
      <c r="AZ1305" s="156"/>
      <c r="BA1305" s="156"/>
      <c r="BB1305" s="156"/>
      <c r="BC1305" s="156"/>
      <c r="BD1305" s="156"/>
      <c r="BE1305" s="156"/>
      <c r="BF1305" s="156"/>
      <c r="BG1305" s="156"/>
      <c r="BH1305" s="156"/>
      <c r="BI1305" s="156"/>
      <c r="BJ1305" s="156"/>
      <c r="BK1305" s="156"/>
      <c r="BL1305" s="156"/>
      <c r="BM1305" s="156"/>
      <c r="BN1305" s="156"/>
      <c r="BO1305" s="156"/>
      <c r="BP1305" s="156"/>
      <c r="BQ1305" s="156"/>
      <c r="BR1305" s="156"/>
      <c r="BS1305" s="156"/>
      <c r="BT1305" s="156"/>
      <c r="BU1305" s="156"/>
      <c r="BV1305" s="156"/>
      <c r="BW1305" s="156"/>
      <c r="BX1305" s="156"/>
      <c r="BY1305" s="156"/>
      <c r="BZ1305" s="156"/>
      <c r="CA1305" s="156"/>
      <c r="CB1305" s="156"/>
      <c r="CC1305" s="156"/>
      <c r="CD1305" s="156"/>
      <c r="CE1305" s="156"/>
      <c r="CF1305" s="156"/>
      <c r="CG1305" s="156"/>
      <c r="CH1305" s="156"/>
      <c r="CI1305" s="156"/>
      <c r="CJ1305" s="156"/>
      <c r="CK1305" s="156"/>
      <c r="CL1305" s="156"/>
      <c r="CM1305" s="156"/>
      <c r="CN1305" s="156"/>
      <c r="CO1305" s="156"/>
      <c r="CP1305" s="156"/>
      <c r="CQ1305" s="156"/>
      <c r="CR1305" s="156"/>
      <c r="CS1305" s="156"/>
      <c r="CT1305" s="156"/>
      <c r="CU1305" s="156"/>
      <c r="CV1305" s="156"/>
      <c r="CW1305" s="156"/>
      <c r="CX1305" s="156"/>
      <c r="CY1305" s="156"/>
      <c r="CZ1305" s="156"/>
      <c r="DA1305" s="156"/>
      <c r="DB1305" s="156"/>
      <c r="DC1305" s="156"/>
      <c r="DD1305" s="156"/>
      <c r="DE1305" s="156"/>
      <c r="DF1305" s="156"/>
      <c r="DG1305" s="156"/>
      <c r="DH1305" s="156"/>
      <c r="DI1305" s="156"/>
      <c r="DJ1305" s="156"/>
      <c r="DK1305" s="156"/>
      <c r="DL1305" s="156"/>
      <c r="DM1305" s="156"/>
      <c r="DN1305" s="156"/>
      <c r="DO1305" s="156"/>
      <c r="DP1305" s="156"/>
      <c r="DQ1305" s="156"/>
      <c r="DR1305" s="156"/>
      <c r="DS1305" s="156"/>
      <c r="DT1305" s="156"/>
      <c r="DU1305" s="156"/>
      <c r="DV1305" s="156"/>
      <c r="DW1305" s="156"/>
      <c r="DX1305" s="156"/>
      <c r="DY1305" s="156"/>
      <c r="DZ1305" s="156"/>
      <c r="EA1305" s="156"/>
      <c r="EB1305" s="156"/>
      <c r="EC1305" s="156"/>
      <c r="ED1305" s="156"/>
      <c r="EE1305" s="156"/>
      <c r="EF1305" s="156"/>
      <c r="EG1305" s="156"/>
      <c r="EH1305" s="156"/>
      <c r="EI1305" s="156"/>
      <c r="EJ1305" s="156"/>
      <c r="EK1305" s="156"/>
      <c r="EL1305" s="156"/>
      <c r="EM1305" s="156"/>
    </row>
    <row r="1306" spans="20:143" ht="10.5" customHeight="1">
      <c r="T1306" s="156"/>
      <c r="AZ1306" s="156"/>
      <c r="BA1306" s="156"/>
      <c r="BB1306" s="156"/>
      <c r="BC1306" s="156"/>
      <c r="BD1306" s="156"/>
      <c r="BE1306" s="156"/>
      <c r="BF1306" s="156"/>
      <c r="BG1306" s="156"/>
      <c r="BH1306" s="156"/>
      <c r="BI1306" s="156"/>
      <c r="BJ1306" s="156"/>
      <c r="BK1306" s="156"/>
      <c r="BL1306" s="156"/>
      <c r="BM1306" s="156"/>
      <c r="BN1306" s="156"/>
      <c r="BO1306" s="156"/>
      <c r="BP1306" s="156"/>
      <c r="BQ1306" s="156"/>
      <c r="BR1306" s="156"/>
      <c r="BS1306" s="156"/>
      <c r="BT1306" s="156"/>
      <c r="BU1306" s="156"/>
      <c r="BV1306" s="156"/>
      <c r="BW1306" s="156"/>
      <c r="BX1306" s="156"/>
      <c r="BY1306" s="156"/>
      <c r="BZ1306" s="156"/>
      <c r="CA1306" s="156"/>
      <c r="CB1306" s="156"/>
      <c r="CC1306" s="156"/>
      <c r="CD1306" s="156"/>
      <c r="CE1306" s="156"/>
      <c r="CF1306" s="156"/>
      <c r="CG1306" s="156"/>
      <c r="CH1306" s="156"/>
      <c r="CI1306" s="156"/>
      <c r="CJ1306" s="156"/>
      <c r="CK1306" s="156"/>
      <c r="CL1306" s="156"/>
      <c r="CM1306" s="156"/>
      <c r="CN1306" s="156"/>
      <c r="CO1306" s="156"/>
      <c r="CP1306" s="156"/>
      <c r="CQ1306" s="156"/>
      <c r="CR1306" s="156"/>
      <c r="CS1306" s="156"/>
      <c r="CT1306" s="156"/>
      <c r="CU1306" s="156"/>
      <c r="CV1306" s="156"/>
      <c r="CW1306" s="156"/>
      <c r="CX1306" s="156"/>
      <c r="CY1306" s="156"/>
      <c r="CZ1306" s="156"/>
      <c r="DA1306" s="156"/>
      <c r="DB1306" s="156"/>
      <c r="DC1306" s="156"/>
      <c r="DD1306" s="156"/>
      <c r="DE1306" s="156"/>
      <c r="DF1306" s="156"/>
      <c r="DG1306" s="156"/>
      <c r="DH1306" s="156"/>
      <c r="DI1306" s="156"/>
      <c r="DJ1306" s="156"/>
      <c r="DK1306" s="156"/>
      <c r="DL1306" s="156"/>
      <c r="DM1306" s="156"/>
      <c r="DN1306" s="156"/>
      <c r="DO1306" s="156"/>
      <c r="DP1306" s="156"/>
      <c r="DQ1306" s="156"/>
      <c r="DR1306" s="156"/>
      <c r="DS1306" s="156"/>
      <c r="DT1306" s="156"/>
      <c r="DU1306" s="156"/>
      <c r="DV1306" s="156"/>
      <c r="DW1306" s="156"/>
      <c r="DX1306" s="156"/>
      <c r="DY1306" s="156"/>
      <c r="DZ1306" s="156"/>
      <c r="EA1306" s="156"/>
      <c r="EB1306" s="156"/>
      <c r="EC1306" s="156"/>
      <c r="ED1306" s="156"/>
      <c r="EE1306" s="156"/>
      <c r="EF1306" s="156"/>
      <c r="EG1306" s="156"/>
      <c r="EH1306" s="156"/>
      <c r="EI1306" s="156"/>
      <c r="EJ1306" s="156"/>
      <c r="EK1306" s="156"/>
      <c r="EL1306" s="156"/>
      <c r="EM1306" s="156"/>
    </row>
    <row r="1307" spans="20:143" ht="10.5" customHeight="1">
      <c r="T1307" s="156"/>
      <c r="AZ1307" s="156"/>
      <c r="BA1307" s="156"/>
      <c r="BB1307" s="156"/>
      <c r="BC1307" s="156"/>
      <c r="BD1307" s="156"/>
      <c r="BE1307" s="156"/>
      <c r="BF1307" s="156"/>
      <c r="BG1307" s="156"/>
      <c r="BH1307" s="156"/>
      <c r="BI1307" s="156"/>
      <c r="BJ1307" s="156"/>
      <c r="BK1307" s="156"/>
      <c r="BL1307" s="156"/>
      <c r="BM1307" s="156"/>
      <c r="BN1307" s="156"/>
      <c r="BO1307" s="156"/>
      <c r="BP1307" s="156"/>
      <c r="BQ1307" s="156"/>
      <c r="BR1307" s="156"/>
      <c r="BS1307" s="156"/>
      <c r="BT1307" s="156"/>
      <c r="BU1307" s="156"/>
      <c r="BV1307" s="156"/>
      <c r="BW1307" s="156"/>
      <c r="BX1307" s="156"/>
      <c r="BY1307" s="156"/>
      <c r="BZ1307" s="156"/>
      <c r="CA1307" s="156"/>
      <c r="CB1307" s="156"/>
      <c r="CC1307" s="156"/>
      <c r="CD1307" s="156"/>
      <c r="CE1307" s="156"/>
      <c r="CF1307" s="156"/>
      <c r="CG1307" s="156"/>
      <c r="CH1307" s="156"/>
      <c r="CI1307" s="156"/>
      <c r="CJ1307" s="156"/>
      <c r="CK1307" s="156"/>
      <c r="CL1307" s="156"/>
      <c r="CM1307" s="156"/>
      <c r="CN1307" s="156"/>
      <c r="CO1307" s="156"/>
      <c r="CP1307" s="156"/>
      <c r="CQ1307" s="156"/>
      <c r="CR1307" s="156"/>
      <c r="CS1307" s="156"/>
      <c r="CT1307" s="156"/>
      <c r="CU1307" s="156"/>
      <c r="CV1307" s="156"/>
      <c r="CW1307" s="156"/>
      <c r="CX1307" s="156"/>
      <c r="CY1307" s="156"/>
      <c r="CZ1307" s="156"/>
      <c r="DA1307" s="156"/>
      <c r="DB1307" s="156"/>
      <c r="DC1307" s="156"/>
      <c r="DD1307" s="156"/>
      <c r="DE1307" s="156"/>
      <c r="DF1307" s="156"/>
      <c r="DG1307" s="156"/>
      <c r="DH1307" s="156"/>
      <c r="DI1307" s="156"/>
      <c r="DJ1307" s="156"/>
      <c r="DK1307" s="156"/>
      <c r="DL1307" s="156"/>
      <c r="DM1307" s="156"/>
      <c r="DN1307" s="156"/>
      <c r="DO1307" s="156"/>
      <c r="DP1307" s="156"/>
      <c r="DQ1307" s="156"/>
      <c r="DR1307" s="156"/>
      <c r="DS1307" s="156"/>
      <c r="DT1307" s="156"/>
      <c r="DU1307" s="156"/>
      <c r="DV1307" s="156"/>
      <c r="DW1307" s="156"/>
      <c r="DX1307" s="156"/>
      <c r="DY1307" s="156"/>
      <c r="DZ1307" s="156"/>
      <c r="EA1307" s="156"/>
      <c r="EB1307" s="156"/>
      <c r="EC1307" s="156"/>
      <c r="ED1307" s="156"/>
      <c r="EE1307" s="156"/>
      <c r="EF1307" s="156"/>
      <c r="EG1307" s="156"/>
      <c r="EH1307" s="156"/>
      <c r="EI1307" s="156"/>
      <c r="EJ1307" s="156"/>
      <c r="EK1307" s="156"/>
      <c r="EL1307" s="156"/>
      <c r="EM1307" s="156"/>
    </row>
    <row r="1308" spans="20:143" ht="10.5" customHeight="1">
      <c r="T1308" s="156"/>
      <c r="AZ1308" s="156"/>
      <c r="BA1308" s="156"/>
      <c r="BB1308" s="156"/>
      <c r="BC1308" s="156"/>
      <c r="BD1308" s="156"/>
      <c r="BE1308" s="156"/>
      <c r="BF1308" s="156"/>
      <c r="BG1308" s="156"/>
      <c r="BH1308" s="156"/>
      <c r="BI1308" s="156"/>
      <c r="BJ1308" s="156"/>
      <c r="BK1308" s="156"/>
      <c r="BL1308" s="156"/>
      <c r="BM1308" s="156"/>
      <c r="BN1308" s="156"/>
      <c r="BO1308" s="156"/>
      <c r="BP1308" s="156"/>
      <c r="BQ1308" s="156"/>
      <c r="BR1308" s="156"/>
      <c r="BS1308" s="156"/>
      <c r="BT1308" s="156"/>
      <c r="BU1308" s="156"/>
      <c r="BV1308" s="156"/>
      <c r="BW1308" s="156"/>
      <c r="BX1308" s="156"/>
      <c r="BY1308" s="156"/>
      <c r="BZ1308" s="156"/>
      <c r="CA1308" s="156"/>
      <c r="CB1308" s="156"/>
      <c r="CC1308" s="156"/>
      <c r="CD1308" s="156"/>
      <c r="CE1308" s="156"/>
      <c r="CF1308" s="156"/>
      <c r="CG1308" s="156"/>
      <c r="CH1308" s="156"/>
      <c r="CI1308" s="156"/>
      <c r="CJ1308" s="156"/>
      <c r="CK1308" s="156"/>
      <c r="CL1308" s="156"/>
      <c r="CM1308" s="156"/>
      <c r="CN1308" s="156"/>
      <c r="CO1308" s="156"/>
      <c r="CP1308" s="156"/>
      <c r="CQ1308" s="156"/>
      <c r="CR1308" s="156"/>
      <c r="CS1308" s="156"/>
      <c r="CT1308" s="156"/>
      <c r="CU1308" s="156"/>
      <c r="CV1308" s="156"/>
      <c r="CW1308" s="156"/>
      <c r="CX1308" s="156"/>
      <c r="CY1308" s="156"/>
      <c r="CZ1308" s="156"/>
      <c r="DA1308" s="156"/>
      <c r="DB1308" s="156"/>
      <c r="DC1308" s="156"/>
      <c r="DD1308" s="156"/>
      <c r="DE1308" s="156"/>
      <c r="DF1308" s="156"/>
      <c r="DG1308" s="156"/>
      <c r="DH1308" s="156"/>
      <c r="DI1308" s="156"/>
      <c r="DJ1308" s="156"/>
      <c r="DK1308" s="156"/>
      <c r="DL1308" s="156"/>
      <c r="DM1308" s="156"/>
      <c r="DN1308" s="156"/>
      <c r="DO1308" s="156"/>
      <c r="DP1308" s="156"/>
      <c r="DQ1308" s="156"/>
      <c r="DR1308" s="156"/>
      <c r="DS1308" s="156"/>
      <c r="DT1308" s="156"/>
      <c r="DU1308" s="156"/>
      <c r="DV1308" s="156"/>
      <c r="DW1308" s="156"/>
      <c r="DX1308" s="156"/>
      <c r="DY1308" s="156"/>
      <c r="DZ1308" s="156"/>
      <c r="EA1308" s="156"/>
      <c r="EB1308" s="156"/>
      <c r="EC1308" s="156"/>
      <c r="ED1308" s="156"/>
      <c r="EE1308" s="156"/>
      <c r="EF1308" s="156"/>
      <c r="EG1308" s="156"/>
      <c r="EH1308" s="156"/>
      <c r="EI1308" s="156"/>
      <c r="EJ1308" s="156"/>
      <c r="EK1308" s="156"/>
      <c r="EL1308" s="156"/>
      <c r="EM1308" s="156"/>
    </row>
    <row r="1309" spans="20:143" ht="10.5" customHeight="1">
      <c r="T1309" s="156"/>
      <c r="AZ1309" s="156"/>
      <c r="BA1309" s="156"/>
      <c r="BB1309" s="156"/>
      <c r="BC1309" s="156"/>
      <c r="BD1309" s="156"/>
      <c r="BE1309" s="156"/>
      <c r="BF1309" s="156"/>
      <c r="BG1309" s="156"/>
      <c r="BH1309" s="156"/>
      <c r="BI1309" s="156"/>
      <c r="BJ1309" s="156"/>
      <c r="BK1309" s="156"/>
      <c r="BL1309" s="156"/>
      <c r="BM1309" s="156"/>
      <c r="BN1309" s="156"/>
      <c r="BO1309" s="156"/>
      <c r="BP1309" s="156"/>
      <c r="BQ1309" s="156"/>
      <c r="BR1309" s="156"/>
      <c r="BS1309" s="156"/>
      <c r="BT1309" s="156"/>
      <c r="BU1309" s="156"/>
      <c r="BV1309" s="156"/>
      <c r="BW1309" s="156"/>
      <c r="BX1309" s="156"/>
      <c r="BY1309" s="156"/>
      <c r="BZ1309" s="156"/>
      <c r="CA1309" s="156"/>
      <c r="CB1309" s="156"/>
      <c r="CC1309" s="156"/>
      <c r="CD1309" s="156"/>
      <c r="CE1309" s="156"/>
      <c r="CF1309" s="156"/>
      <c r="CG1309" s="156"/>
      <c r="CH1309" s="156"/>
      <c r="CI1309" s="156"/>
      <c r="CJ1309" s="156"/>
      <c r="CK1309" s="156"/>
      <c r="CL1309" s="156"/>
      <c r="CM1309" s="156"/>
      <c r="CN1309" s="156"/>
      <c r="CO1309" s="156"/>
      <c r="CP1309" s="156"/>
      <c r="CQ1309" s="156"/>
      <c r="CR1309" s="156"/>
      <c r="CS1309" s="156"/>
      <c r="CT1309" s="156"/>
      <c r="CU1309" s="156"/>
      <c r="CV1309" s="156"/>
      <c r="CW1309" s="156"/>
      <c r="CX1309" s="156"/>
      <c r="CY1309" s="156"/>
      <c r="CZ1309" s="156"/>
      <c r="DA1309" s="156"/>
      <c r="DB1309" s="156"/>
      <c r="DC1309" s="156"/>
      <c r="DD1309" s="156"/>
      <c r="DE1309" s="156"/>
      <c r="DF1309" s="156"/>
      <c r="DG1309" s="156"/>
      <c r="DH1309" s="156"/>
      <c r="DI1309" s="156"/>
      <c r="DJ1309" s="156"/>
      <c r="DK1309" s="156"/>
      <c r="DL1309" s="156"/>
      <c r="DM1309" s="156"/>
      <c r="DN1309" s="156"/>
      <c r="DO1309" s="156"/>
      <c r="DP1309" s="156"/>
      <c r="DQ1309" s="156"/>
      <c r="DR1309" s="156"/>
      <c r="DS1309" s="156"/>
      <c r="DT1309" s="156"/>
      <c r="DU1309" s="156"/>
      <c r="DV1309" s="156"/>
      <c r="DW1309" s="156"/>
      <c r="DX1309" s="156"/>
      <c r="DY1309" s="156"/>
      <c r="DZ1309" s="156"/>
      <c r="EA1309" s="156"/>
      <c r="EB1309" s="156"/>
      <c r="EC1309" s="156"/>
      <c r="ED1309" s="156"/>
      <c r="EE1309" s="156"/>
      <c r="EF1309" s="156"/>
      <c r="EG1309" s="156"/>
      <c r="EH1309" s="156"/>
      <c r="EI1309" s="156"/>
      <c r="EJ1309" s="156"/>
      <c r="EK1309" s="156"/>
      <c r="EL1309" s="156"/>
      <c r="EM1309" s="156"/>
    </row>
    <row r="1310" spans="20:143" ht="10.5" customHeight="1">
      <c r="T1310" s="156"/>
      <c r="AZ1310" s="156"/>
      <c r="BA1310" s="156"/>
      <c r="BB1310" s="156"/>
      <c r="BC1310" s="156"/>
      <c r="BD1310" s="156"/>
      <c r="BE1310" s="156"/>
      <c r="BF1310" s="156"/>
      <c r="BG1310" s="156"/>
      <c r="BH1310" s="156"/>
      <c r="BI1310" s="156"/>
      <c r="BJ1310" s="156"/>
      <c r="BK1310" s="156"/>
      <c r="BL1310" s="156"/>
      <c r="BM1310" s="156"/>
      <c r="BN1310" s="156"/>
      <c r="BO1310" s="156"/>
      <c r="BP1310" s="156"/>
      <c r="BQ1310" s="156"/>
      <c r="BR1310" s="156"/>
      <c r="BS1310" s="156"/>
      <c r="BT1310" s="156"/>
      <c r="BU1310" s="156"/>
      <c r="BV1310" s="156"/>
      <c r="BW1310" s="156"/>
      <c r="BX1310" s="156"/>
      <c r="BY1310" s="156"/>
      <c r="BZ1310" s="156"/>
      <c r="CA1310" s="156"/>
      <c r="CB1310" s="156"/>
      <c r="CC1310" s="156"/>
      <c r="CD1310" s="156"/>
      <c r="CE1310" s="156"/>
      <c r="CF1310" s="156"/>
      <c r="CG1310" s="156"/>
      <c r="CH1310" s="156"/>
      <c r="CI1310" s="156"/>
      <c r="CJ1310" s="156"/>
      <c r="CK1310" s="156"/>
      <c r="CL1310" s="156"/>
      <c r="CM1310" s="156"/>
      <c r="CN1310" s="156"/>
      <c r="CO1310" s="156"/>
      <c r="CP1310" s="156"/>
      <c r="CQ1310" s="156"/>
      <c r="CR1310" s="156"/>
      <c r="CS1310" s="156"/>
      <c r="CT1310" s="156"/>
      <c r="CU1310" s="156"/>
      <c r="CV1310" s="156"/>
      <c r="CW1310" s="156"/>
      <c r="CX1310" s="156"/>
      <c r="CY1310" s="156"/>
      <c r="CZ1310" s="156"/>
      <c r="DA1310" s="156"/>
      <c r="DB1310" s="156"/>
      <c r="DC1310" s="156"/>
      <c r="DD1310" s="156"/>
      <c r="DE1310" s="156"/>
      <c r="DF1310" s="156"/>
      <c r="DG1310" s="156"/>
      <c r="DH1310" s="156"/>
      <c r="DI1310" s="156"/>
      <c r="DJ1310" s="156"/>
      <c r="DK1310" s="156"/>
      <c r="DL1310" s="156"/>
      <c r="DM1310" s="156"/>
      <c r="DN1310" s="156"/>
      <c r="DO1310" s="156"/>
      <c r="DP1310" s="156"/>
      <c r="DQ1310" s="156"/>
      <c r="DR1310" s="156"/>
      <c r="DS1310" s="156"/>
      <c r="DT1310" s="156"/>
      <c r="DU1310" s="156"/>
      <c r="DV1310" s="156"/>
      <c r="DW1310" s="156"/>
      <c r="DX1310" s="156"/>
      <c r="DY1310" s="156"/>
      <c r="DZ1310" s="156"/>
      <c r="EA1310" s="156"/>
      <c r="EB1310" s="156"/>
      <c r="EC1310" s="156"/>
      <c r="ED1310" s="156"/>
      <c r="EE1310" s="156"/>
      <c r="EF1310" s="156"/>
      <c r="EG1310" s="156"/>
      <c r="EH1310" s="156"/>
      <c r="EI1310" s="156"/>
      <c r="EJ1310" s="156"/>
      <c r="EK1310" s="156"/>
      <c r="EL1310" s="156"/>
      <c r="EM1310" s="156"/>
    </row>
    <row r="1311" spans="20:143" ht="10.5" customHeight="1">
      <c r="T1311" s="156"/>
      <c r="AZ1311" s="156"/>
      <c r="BA1311" s="156"/>
      <c r="BB1311" s="156"/>
      <c r="BC1311" s="156"/>
      <c r="BD1311" s="156"/>
      <c r="BE1311" s="156"/>
      <c r="BF1311" s="156"/>
      <c r="BG1311" s="156"/>
      <c r="BH1311" s="156"/>
      <c r="BI1311" s="156"/>
      <c r="BJ1311" s="156"/>
      <c r="BK1311" s="156"/>
      <c r="BL1311" s="156"/>
      <c r="BM1311" s="156"/>
      <c r="BN1311" s="156"/>
      <c r="BO1311" s="156"/>
      <c r="BP1311" s="156"/>
      <c r="BQ1311" s="156"/>
      <c r="BR1311" s="156"/>
      <c r="BS1311" s="156"/>
      <c r="BT1311" s="156"/>
      <c r="BU1311" s="156"/>
      <c r="BV1311" s="156"/>
      <c r="BW1311" s="156"/>
      <c r="BX1311" s="156"/>
      <c r="BY1311" s="156"/>
      <c r="BZ1311" s="156"/>
      <c r="CA1311" s="156"/>
      <c r="CB1311" s="156"/>
      <c r="CC1311" s="156"/>
      <c r="CD1311" s="156"/>
      <c r="CE1311" s="156"/>
      <c r="CF1311" s="156"/>
      <c r="CG1311" s="156"/>
      <c r="CH1311" s="156"/>
      <c r="CI1311" s="156"/>
      <c r="CJ1311" s="156"/>
      <c r="CK1311" s="156"/>
      <c r="CL1311" s="156"/>
      <c r="CM1311" s="156"/>
      <c r="CN1311" s="156"/>
      <c r="CO1311" s="156"/>
      <c r="CP1311" s="156"/>
      <c r="CQ1311" s="156"/>
      <c r="CR1311" s="156"/>
      <c r="CS1311" s="156"/>
      <c r="CT1311" s="156"/>
      <c r="CU1311" s="156"/>
      <c r="CV1311" s="156"/>
      <c r="CW1311" s="156"/>
      <c r="CX1311" s="156"/>
      <c r="CY1311" s="156"/>
      <c r="CZ1311" s="156"/>
      <c r="DA1311" s="156"/>
      <c r="DB1311" s="156"/>
      <c r="DC1311" s="156"/>
      <c r="DD1311" s="156"/>
      <c r="DE1311" s="156"/>
      <c r="DF1311" s="156"/>
      <c r="DG1311" s="156"/>
      <c r="DH1311" s="156"/>
      <c r="DI1311" s="156"/>
      <c r="DJ1311" s="156"/>
      <c r="DK1311" s="156"/>
      <c r="DL1311" s="156"/>
      <c r="DM1311" s="156"/>
      <c r="DN1311" s="156"/>
      <c r="DO1311" s="156"/>
      <c r="DP1311" s="156"/>
      <c r="DQ1311" s="156"/>
      <c r="DR1311" s="156"/>
      <c r="DS1311" s="156"/>
      <c r="DT1311" s="156"/>
      <c r="DU1311" s="156"/>
      <c r="DV1311" s="156"/>
      <c r="DW1311" s="156"/>
      <c r="DX1311" s="156"/>
      <c r="DY1311" s="156"/>
      <c r="DZ1311" s="156"/>
      <c r="EA1311" s="156"/>
      <c r="EB1311" s="156"/>
      <c r="EC1311" s="156"/>
      <c r="ED1311" s="156"/>
      <c r="EE1311" s="156"/>
      <c r="EF1311" s="156"/>
      <c r="EG1311" s="156"/>
      <c r="EH1311" s="156"/>
      <c r="EI1311" s="156"/>
      <c r="EJ1311" s="156"/>
      <c r="EK1311" s="156"/>
      <c r="EL1311" s="156"/>
      <c r="EM1311" s="156"/>
    </row>
    <row r="1312" spans="20:143" ht="10.5" customHeight="1">
      <c r="T1312" s="156"/>
      <c r="AZ1312" s="156"/>
      <c r="BA1312" s="156"/>
      <c r="BB1312" s="156"/>
      <c r="BC1312" s="156"/>
      <c r="BD1312" s="156"/>
      <c r="BE1312" s="156"/>
      <c r="BF1312" s="156"/>
      <c r="BG1312" s="156"/>
      <c r="BH1312" s="156"/>
      <c r="BI1312" s="156"/>
      <c r="BJ1312" s="156"/>
      <c r="BK1312" s="156"/>
      <c r="BL1312" s="156"/>
      <c r="BM1312" s="156"/>
      <c r="BN1312" s="156"/>
      <c r="BO1312" s="156"/>
      <c r="BP1312" s="156"/>
      <c r="BQ1312" s="156"/>
      <c r="BR1312" s="156"/>
      <c r="BS1312" s="156"/>
      <c r="BT1312" s="156"/>
      <c r="BU1312" s="156"/>
      <c r="BV1312" s="156"/>
      <c r="BW1312" s="156"/>
      <c r="BX1312" s="156"/>
      <c r="BY1312" s="156"/>
      <c r="BZ1312" s="156"/>
      <c r="CA1312" s="156"/>
      <c r="CB1312" s="156"/>
      <c r="CC1312" s="156"/>
      <c r="CD1312" s="156"/>
      <c r="CE1312" s="156"/>
      <c r="CF1312" s="156"/>
      <c r="CG1312" s="156"/>
      <c r="CH1312" s="156"/>
      <c r="CI1312" s="156"/>
      <c r="CJ1312" s="156"/>
      <c r="CK1312" s="156"/>
      <c r="CL1312" s="156"/>
      <c r="CM1312" s="156"/>
      <c r="CN1312" s="156"/>
      <c r="CO1312" s="156"/>
      <c r="CP1312" s="156"/>
      <c r="CQ1312" s="156"/>
      <c r="CR1312" s="156"/>
      <c r="CS1312" s="156"/>
      <c r="CT1312" s="156"/>
      <c r="CU1312" s="156"/>
      <c r="CV1312" s="156"/>
      <c r="CW1312" s="156"/>
      <c r="CX1312" s="156"/>
      <c r="CY1312" s="156"/>
      <c r="CZ1312" s="156"/>
      <c r="DA1312" s="156"/>
      <c r="DB1312" s="156"/>
      <c r="DC1312" s="156"/>
      <c r="DD1312" s="156"/>
      <c r="DE1312" s="156"/>
      <c r="DF1312" s="156"/>
      <c r="DG1312" s="156"/>
      <c r="DH1312" s="156"/>
      <c r="DI1312" s="156"/>
      <c r="DJ1312" s="156"/>
      <c r="DK1312" s="156"/>
      <c r="DL1312" s="156"/>
      <c r="DM1312" s="156"/>
      <c r="DN1312" s="156"/>
      <c r="DO1312" s="156"/>
      <c r="DP1312" s="156"/>
      <c r="DQ1312" s="156"/>
      <c r="DR1312" s="156"/>
      <c r="DS1312" s="156"/>
      <c r="DT1312" s="156"/>
      <c r="DU1312" s="156"/>
      <c r="DV1312" s="156"/>
      <c r="DW1312" s="156"/>
      <c r="DX1312" s="156"/>
      <c r="DY1312" s="156"/>
      <c r="DZ1312" s="156"/>
      <c r="EA1312" s="156"/>
      <c r="EB1312" s="156"/>
      <c r="EC1312" s="156"/>
      <c r="ED1312" s="156"/>
      <c r="EE1312" s="156"/>
      <c r="EF1312" s="156"/>
      <c r="EG1312" s="156"/>
      <c r="EH1312" s="156"/>
      <c r="EI1312" s="156"/>
      <c r="EJ1312" s="156"/>
      <c r="EK1312" s="156"/>
      <c r="EL1312" s="156"/>
      <c r="EM1312" s="156"/>
    </row>
    <row r="1313" spans="20:143" ht="10.5" customHeight="1">
      <c r="T1313" s="156"/>
      <c r="AZ1313" s="156"/>
      <c r="BA1313" s="156"/>
      <c r="BB1313" s="156"/>
      <c r="BC1313" s="156"/>
      <c r="BD1313" s="156"/>
      <c r="BE1313" s="156"/>
      <c r="BF1313" s="156"/>
      <c r="BG1313" s="156"/>
      <c r="BH1313" s="156"/>
      <c r="BI1313" s="156"/>
      <c r="BJ1313" s="156"/>
      <c r="BK1313" s="156"/>
      <c r="BL1313" s="156"/>
      <c r="BM1313" s="156"/>
      <c r="BN1313" s="156"/>
      <c r="BO1313" s="156"/>
      <c r="BP1313" s="156"/>
      <c r="BQ1313" s="156"/>
      <c r="BR1313" s="156"/>
      <c r="BS1313" s="156"/>
      <c r="BT1313" s="156"/>
      <c r="BU1313" s="156"/>
      <c r="BV1313" s="156"/>
      <c r="BW1313" s="156"/>
      <c r="BX1313" s="156"/>
      <c r="BY1313" s="156"/>
      <c r="BZ1313" s="156"/>
      <c r="CA1313" s="156"/>
      <c r="CB1313" s="156"/>
      <c r="CC1313" s="156"/>
      <c r="CD1313" s="156"/>
      <c r="CE1313" s="156"/>
      <c r="CF1313" s="156"/>
      <c r="CG1313" s="156"/>
      <c r="CH1313" s="156"/>
      <c r="CI1313" s="156"/>
      <c r="CJ1313" s="156"/>
      <c r="CK1313" s="156"/>
      <c r="CL1313" s="156"/>
      <c r="CM1313" s="156"/>
      <c r="CN1313" s="156"/>
      <c r="CO1313" s="156"/>
      <c r="CP1313" s="156"/>
      <c r="CQ1313" s="156"/>
      <c r="CR1313" s="156"/>
      <c r="CS1313" s="156"/>
      <c r="CT1313" s="156"/>
      <c r="CU1313" s="156"/>
      <c r="CV1313" s="156"/>
      <c r="CW1313" s="156"/>
      <c r="CX1313" s="156"/>
      <c r="CY1313" s="156"/>
      <c r="CZ1313" s="156"/>
      <c r="DA1313" s="156"/>
      <c r="DB1313" s="156"/>
      <c r="DC1313" s="156"/>
      <c r="DD1313" s="156"/>
      <c r="DE1313" s="156"/>
      <c r="DF1313" s="156"/>
      <c r="DG1313" s="156"/>
      <c r="DH1313" s="156"/>
      <c r="DI1313" s="156"/>
      <c r="DJ1313" s="156"/>
      <c r="DK1313" s="156"/>
      <c r="DL1313" s="156"/>
      <c r="DM1313" s="156"/>
      <c r="DN1313" s="156"/>
      <c r="DO1313" s="156"/>
      <c r="DP1313" s="156"/>
      <c r="DQ1313" s="156"/>
      <c r="DR1313" s="156"/>
      <c r="DS1313" s="156"/>
      <c r="DT1313" s="156"/>
      <c r="DU1313" s="156"/>
      <c r="DV1313" s="156"/>
      <c r="DW1313" s="156"/>
      <c r="DX1313" s="156"/>
      <c r="DY1313" s="156"/>
      <c r="DZ1313" s="156"/>
      <c r="EA1313" s="156"/>
      <c r="EB1313" s="156"/>
      <c r="EC1313" s="156"/>
      <c r="ED1313" s="156"/>
      <c r="EE1313" s="156"/>
      <c r="EF1313" s="156"/>
      <c r="EG1313" s="156"/>
      <c r="EH1313" s="156"/>
      <c r="EI1313" s="156"/>
      <c r="EJ1313" s="156"/>
      <c r="EK1313" s="156"/>
      <c r="EL1313" s="156"/>
      <c r="EM1313" s="156"/>
    </row>
    <row r="1314" spans="20:143" ht="10.5" customHeight="1">
      <c r="T1314" s="156"/>
      <c r="AZ1314" s="156"/>
      <c r="BA1314" s="156"/>
      <c r="BB1314" s="156"/>
      <c r="BC1314" s="156"/>
      <c r="BD1314" s="156"/>
      <c r="BE1314" s="156"/>
      <c r="BF1314" s="156"/>
      <c r="BG1314" s="156"/>
      <c r="BH1314" s="156"/>
      <c r="BI1314" s="156"/>
      <c r="BJ1314" s="156"/>
      <c r="BK1314" s="156"/>
      <c r="BL1314" s="156"/>
      <c r="BM1314" s="156"/>
      <c r="BN1314" s="156"/>
      <c r="BO1314" s="156"/>
      <c r="BP1314" s="156"/>
      <c r="BQ1314" s="156"/>
      <c r="BR1314" s="156"/>
      <c r="BS1314" s="156"/>
      <c r="BT1314" s="156"/>
      <c r="BU1314" s="156"/>
      <c r="BV1314" s="156"/>
      <c r="BW1314" s="156"/>
      <c r="BX1314" s="156"/>
      <c r="BY1314" s="156"/>
      <c r="BZ1314" s="156"/>
      <c r="CA1314" s="156"/>
      <c r="CB1314" s="156"/>
      <c r="CC1314" s="156"/>
      <c r="CD1314" s="156"/>
      <c r="CE1314" s="156"/>
      <c r="CF1314" s="156"/>
      <c r="CG1314" s="156"/>
      <c r="CH1314" s="156"/>
      <c r="CI1314" s="156"/>
      <c r="CJ1314" s="156"/>
      <c r="CK1314" s="156"/>
      <c r="CL1314" s="156"/>
      <c r="CM1314" s="156"/>
      <c r="CN1314" s="156"/>
      <c r="CO1314" s="156"/>
      <c r="CP1314" s="156"/>
      <c r="CQ1314" s="156"/>
      <c r="CR1314" s="156"/>
      <c r="CS1314" s="156"/>
      <c r="CT1314" s="156"/>
      <c r="CU1314" s="156"/>
      <c r="CV1314" s="156"/>
      <c r="CW1314" s="156"/>
      <c r="CX1314" s="156"/>
      <c r="CY1314" s="156"/>
      <c r="CZ1314" s="156"/>
      <c r="DA1314" s="156"/>
      <c r="DB1314" s="156"/>
      <c r="DC1314" s="156"/>
      <c r="DD1314" s="156"/>
      <c r="DE1314" s="156"/>
      <c r="DF1314" s="156"/>
      <c r="DG1314" s="156"/>
      <c r="DH1314" s="156"/>
      <c r="DI1314" s="156"/>
      <c r="DJ1314" s="156"/>
      <c r="DK1314" s="156"/>
      <c r="DL1314" s="156"/>
      <c r="DM1314" s="156"/>
      <c r="DN1314" s="156"/>
      <c r="DO1314" s="156"/>
      <c r="DP1314" s="156"/>
      <c r="DQ1314" s="156"/>
      <c r="DR1314" s="156"/>
      <c r="DS1314" s="156"/>
      <c r="DT1314" s="156"/>
      <c r="DU1314" s="156"/>
      <c r="DV1314" s="156"/>
      <c r="DW1314" s="156"/>
      <c r="DX1314" s="156"/>
      <c r="DY1314" s="156"/>
      <c r="DZ1314" s="156"/>
      <c r="EA1314" s="156"/>
      <c r="EB1314" s="156"/>
      <c r="EC1314" s="156"/>
      <c r="ED1314" s="156"/>
      <c r="EE1314" s="156"/>
      <c r="EF1314" s="156"/>
      <c r="EG1314" s="156"/>
      <c r="EH1314" s="156"/>
      <c r="EI1314" s="156"/>
      <c r="EJ1314" s="156"/>
      <c r="EK1314" s="156"/>
      <c r="EL1314" s="156"/>
      <c r="EM1314" s="156"/>
    </row>
    <row r="1315" spans="20:143" ht="10.5" customHeight="1">
      <c r="T1315" s="156"/>
      <c r="AZ1315" s="156"/>
      <c r="BA1315" s="156"/>
      <c r="BB1315" s="156"/>
      <c r="BC1315" s="156"/>
      <c r="BD1315" s="156"/>
      <c r="BE1315" s="156"/>
      <c r="BF1315" s="156"/>
      <c r="BG1315" s="156"/>
      <c r="BH1315" s="156"/>
      <c r="BI1315" s="156"/>
      <c r="BJ1315" s="156"/>
      <c r="BK1315" s="156"/>
      <c r="BL1315" s="156"/>
      <c r="BM1315" s="156"/>
      <c r="BN1315" s="156"/>
      <c r="BO1315" s="156"/>
      <c r="BP1315" s="156"/>
      <c r="BQ1315" s="156"/>
      <c r="BR1315" s="156"/>
      <c r="BS1315" s="156"/>
      <c r="BT1315" s="156"/>
      <c r="BU1315" s="156"/>
      <c r="BV1315" s="156"/>
      <c r="BW1315" s="156"/>
      <c r="BX1315" s="156"/>
      <c r="BY1315" s="156"/>
      <c r="BZ1315" s="156"/>
      <c r="CA1315" s="156"/>
      <c r="CB1315" s="156"/>
      <c r="CC1315" s="156"/>
      <c r="CD1315" s="156"/>
      <c r="CE1315" s="156"/>
      <c r="CF1315" s="156"/>
      <c r="CG1315" s="156"/>
      <c r="CH1315" s="156"/>
      <c r="CI1315" s="156"/>
      <c r="CJ1315" s="156"/>
      <c r="CK1315" s="156"/>
      <c r="CL1315" s="156"/>
      <c r="CM1315" s="156"/>
      <c r="CN1315" s="156"/>
      <c r="CO1315" s="156"/>
      <c r="CP1315" s="156"/>
      <c r="CQ1315" s="156"/>
      <c r="CR1315" s="156"/>
      <c r="CS1315" s="156"/>
      <c r="CT1315" s="156"/>
      <c r="CU1315" s="156"/>
      <c r="CV1315" s="156"/>
      <c r="CW1315" s="156"/>
      <c r="CX1315" s="156"/>
      <c r="CY1315" s="156"/>
      <c r="CZ1315" s="156"/>
      <c r="DA1315" s="156"/>
      <c r="DB1315" s="156"/>
      <c r="DC1315" s="156"/>
      <c r="DD1315" s="156"/>
      <c r="DE1315" s="156"/>
      <c r="DF1315" s="156"/>
      <c r="DG1315" s="156"/>
      <c r="DH1315" s="156"/>
      <c r="DI1315" s="156"/>
      <c r="DJ1315" s="156"/>
      <c r="DK1315" s="156"/>
      <c r="DL1315" s="156"/>
      <c r="DM1315" s="156"/>
      <c r="DN1315" s="156"/>
      <c r="DO1315" s="156"/>
      <c r="DP1315" s="156"/>
      <c r="DQ1315" s="156"/>
      <c r="DR1315" s="156"/>
      <c r="DS1315" s="156"/>
      <c r="DT1315" s="156"/>
      <c r="DU1315" s="156"/>
      <c r="DV1315" s="156"/>
      <c r="DW1315" s="156"/>
      <c r="DX1315" s="156"/>
      <c r="DY1315" s="156"/>
      <c r="DZ1315" s="156"/>
      <c r="EA1315" s="156"/>
      <c r="EB1315" s="156"/>
      <c r="EC1315" s="156"/>
      <c r="ED1315" s="156"/>
      <c r="EE1315" s="156"/>
      <c r="EF1315" s="156"/>
      <c r="EG1315" s="156"/>
      <c r="EH1315" s="156"/>
      <c r="EI1315" s="156"/>
      <c r="EJ1315" s="156"/>
      <c r="EK1315" s="156"/>
      <c r="EL1315" s="156"/>
      <c r="EM1315" s="156"/>
    </row>
    <row r="1316" spans="20:143" ht="10.5" customHeight="1">
      <c r="T1316" s="156"/>
      <c r="AZ1316" s="156"/>
      <c r="BA1316" s="156"/>
      <c r="BB1316" s="156"/>
      <c r="BC1316" s="156"/>
      <c r="BD1316" s="156"/>
      <c r="BE1316" s="156"/>
      <c r="BF1316" s="156"/>
      <c r="BG1316" s="156"/>
      <c r="BH1316" s="156"/>
      <c r="BI1316" s="156"/>
      <c r="BJ1316" s="156"/>
      <c r="BK1316" s="156"/>
      <c r="BL1316" s="156"/>
      <c r="BM1316" s="156"/>
      <c r="BN1316" s="156"/>
      <c r="BO1316" s="156"/>
      <c r="BP1316" s="156"/>
      <c r="BQ1316" s="156"/>
      <c r="BR1316" s="156"/>
      <c r="BS1316" s="156"/>
      <c r="BT1316" s="156"/>
      <c r="BU1316" s="156"/>
      <c r="BV1316" s="156"/>
      <c r="BW1316" s="156"/>
      <c r="BX1316" s="156"/>
      <c r="BY1316" s="156"/>
      <c r="BZ1316" s="156"/>
      <c r="CA1316" s="156"/>
      <c r="CB1316" s="156"/>
      <c r="CC1316" s="156"/>
      <c r="CD1316" s="156"/>
      <c r="CE1316" s="156"/>
      <c r="CF1316" s="156"/>
      <c r="CG1316" s="156"/>
      <c r="CH1316" s="156"/>
      <c r="CI1316" s="156"/>
      <c r="CJ1316" s="156"/>
      <c r="CK1316" s="156"/>
      <c r="CL1316" s="156"/>
      <c r="CM1316" s="156"/>
      <c r="CN1316" s="156"/>
      <c r="CO1316" s="156"/>
      <c r="CP1316" s="156"/>
      <c r="CQ1316" s="156"/>
      <c r="CR1316" s="156"/>
      <c r="CS1316" s="156"/>
      <c r="CT1316" s="156"/>
      <c r="CU1316" s="156"/>
      <c r="CV1316" s="156"/>
      <c r="CW1316" s="156"/>
      <c r="CX1316" s="156"/>
      <c r="CY1316" s="156"/>
      <c r="CZ1316" s="156"/>
      <c r="DA1316" s="156"/>
      <c r="DB1316" s="156"/>
      <c r="DC1316" s="156"/>
      <c r="DD1316" s="156"/>
      <c r="DE1316" s="156"/>
      <c r="DF1316" s="156"/>
      <c r="DG1316" s="156"/>
      <c r="DH1316" s="156"/>
      <c r="DI1316" s="156"/>
      <c r="DJ1316" s="156"/>
      <c r="DK1316" s="156"/>
      <c r="DL1316" s="156"/>
      <c r="DM1316" s="156"/>
      <c r="DN1316" s="156"/>
      <c r="DO1316" s="156"/>
      <c r="DP1316" s="156"/>
      <c r="DQ1316" s="156"/>
      <c r="DR1316" s="156"/>
      <c r="DS1316" s="156"/>
      <c r="DT1316" s="156"/>
      <c r="DU1316" s="156"/>
      <c r="DV1316" s="156"/>
      <c r="DW1316" s="156"/>
      <c r="DX1316" s="156"/>
      <c r="DY1316" s="156"/>
      <c r="DZ1316" s="156"/>
      <c r="EA1316" s="156"/>
      <c r="EB1316" s="156"/>
      <c r="EC1316" s="156"/>
      <c r="ED1316" s="156"/>
      <c r="EE1316" s="156"/>
      <c r="EF1316" s="156"/>
      <c r="EG1316" s="156"/>
      <c r="EH1316" s="156"/>
      <c r="EI1316" s="156"/>
      <c r="EJ1316" s="156"/>
      <c r="EK1316" s="156"/>
      <c r="EL1316" s="156"/>
      <c r="EM1316" s="156"/>
    </row>
    <row r="1317" spans="20:143" ht="10.5" customHeight="1">
      <c r="T1317" s="156"/>
      <c r="AZ1317" s="156"/>
      <c r="BA1317" s="156"/>
      <c r="BB1317" s="156"/>
      <c r="BC1317" s="156"/>
      <c r="BD1317" s="156"/>
      <c r="BE1317" s="156"/>
      <c r="BF1317" s="156"/>
      <c r="BG1317" s="156"/>
      <c r="BH1317" s="156"/>
      <c r="BI1317" s="156"/>
      <c r="BJ1317" s="156"/>
      <c r="BK1317" s="156"/>
      <c r="BL1317" s="156"/>
      <c r="BM1317" s="156"/>
      <c r="BN1317" s="156"/>
      <c r="BO1317" s="156"/>
      <c r="BP1317" s="156"/>
      <c r="BQ1317" s="156"/>
      <c r="BR1317" s="156"/>
      <c r="BS1317" s="156"/>
      <c r="BT1317" s="156"/>
      <c r="BU1317" s="156"/>
      <c r="BV1317" s="156"/>
      <c r="BW1317" s="156"/>
      <c r="BX1317" s="156"/>
      <c r="BY1317" s="156"/>
      <c r="BZ1317" s="156"/>
      <c r="CA1317" s="156"/>
      <c r="CB1317" s="156"/>
      <c r="CC1317" s="156"/>
      <c r="CD1317" s="156"/>
      <c r="CE1317" s="156"/>
      <c r="CF1317" s="156"/>
      <c r="CG1317" s="156"/>
      <c r="CH1317" s="156"/>
      <c r="CI1317" s="156"/>
      <c r="CJ1317" s="156"/>
      <c r="CK1317" s="156"/>
      <c r="CL1317" s="156"/>
      <c r="CM1317" s="156"/>
      <c r="CN1317" s="156"/>
      <c r="CO1317" s="156"/>
      <c r="CP1317" s="156"/>
      <c r="CQ1317" s="156"/>
      <c r="CR1317" s="156"/>
      <c r="CS1317" s="156"/>
      <c r="CT1317" s="156"/>
      <c r="CU1317" s="156"/>
      <c r="CV1317" s="156"/>
      <c r="CW1317" s="156"/>
      <c r="CX1317" s="156"/>
      <c r="CY1317" s="156"/>
      <c r="CZ1317" s="156"/>
      <c r="DA1317" s="156"/>
      <c r="DB1317" s="156"/>
      <c r="DC1317" s="156"/>
      <c r="DD1317" s="156"/>
      <c r="DE1317" s="156"/>
      <c r="DF1317" s="156"/>
      <c r="DG1317" s="156"/>
      <c r="DH1317" s="156"/>
      <c r="DI1317" s="156"/>
      <c r="DJ1317" s="156"/>
      <c r="DK1317" s="156"/>
      <c r="DL1317" s="156"/>
      <c r="DM1317" s="156"/>
      <c r="DN1317" s="156"/>
      <c r="DO1317" s="156"/>
      <c r="DP1317" s="156"/>
      <c r="DQ1317" s="156"/>
      <c r="DR1317" s="156"/>
      <c r="DS1317" s="156"/>
      <c r="DT1317" s="156"/>
      <c r="DU1317" s="156"/>
      <c r="DV1317" s="156"/>
      <c r="DW1317" s="156"/>
      <c r="DX1317" s="156"/>
      <c r="DY1317" s="156"/>
      <c r="DZ1317" s="156"/>
      <c r="EA1317" s="156"/>
      <c r="EB1317" s="156"/>
      <c r="EC1317" s="156"/>
      <c r="ED1317" s="156"/>
      <c r="EE1317" s="156"/>
      <c r="EF1317" s="156"/>
      <c r="EG1317" s="156"/>
      <c r="EH1317" s="156"/>
      <c r="EI1317" s="156"/>
      <c r="EJ1317" s="156"/>
      <c r="EK1317" s="156"/>
      <c r="EL1317" s="156"/>
      <c r="EM1317" s="156"/>
    </row>
    <row r="1318" spans="20:143" ht="10.5" customHeight="1">
      <c r="T1318" s="156"/>
      <c r="AZ1318" s="156"/>
      <c r="BA1318" s="156"/>
      <c r="BB1318" s="156"/>
      <c r="BC1318" s="156"/>
      <c r="BD1318" s="156"/>
      <c r="BE1318" s="156"/>
      <c r="BF1318" s="156"/>
      <c r="BG1318" s="156"/>
      <c r="BH1318" s="156"/>
      <c r="BI1318" s="156"/>
      <c r="BJ1318" s="156"/>
      <c r="BK1318" s="156"/>
      <c r="BL1318" s="156"/>
      <c r="BM1318" s="156"/>
      <c r="BN1318" s="156"/>
      <c r="BO1318" s="156"/>
      <c r="BP1318" s="156"/>
      <c r="BQ1318" s="156"/>
      <c r="BR1318" s="156"/>
      <c r="BS1318" s="156"/>
      <c r="BT1318" s="156"/>
      <c r="BU1318" s="156"/>
      <c r="BV1318" s="156"/>
      <c r="BW1318" s="156"/>
      <c r="BX1318" s="156"/>
      <c r="BY1318" s="156"/>
      <c r="BZ1318" s="156"/>
      <c r="CA1318" s="156"/>
      <c r="CB1318" s="156"/>
      <c r="CC1318" s="156"/>
      <c r="CD1318" s="156"/>
      <c r="CE1318" s="156"/>
      <c r="CF1318" s="156"/>
      <c r="CG1318" s="156"/>
      <c r="CH1318" s="156"/>
      <c r="CI1318" s="156"/>
      <c r="CJ1318" s="156"/>
      <c r="CK1318" s="156"/>
      <c r="CL1318" s="156"/>
      <c r="CM1318" s="156"/>
      <c r="CN1318" s="156"/>
      <c r="CO1318" s="156"/>
      <c r="CP1318" s="156"/>
      <c r="CQ1318" s="156"/>
      <c r="CR1318" s="156"/>
      <c r="CS1318" s="156"/>
      <c r="CT1318" s="156"/>
      <c r="CU1318" s="156"/>
      <c r="CV1318" s="156"/>
      <c r="CW1318" s="156"/>
      <c r="CX1318" s="156"/>
      <c r="CY1318" s="156"/>
      <c r="CZ1318" s="156"/>
      <c r="DA1318" s="156"/>
      <c r="DB1318" s="156"/>
      <c r="DC1318" s="156"/>
      <c r="DD1318" s="156"/>
      <c r="DE1318" s="156"/>
      <c r="DF1318" s="156"/>
      <c r="DG1318" s="156"/>
      <c r="DH1318" s="156"/>
      <c r="DI1318" s="156"/>
      <c r="DJ1318" s="156"/>
      <c r="DK1318" s="156"/>
      <c r="DL1318" s="156"/>
      <c r="DM1318" s="156"/>
      <c r="DN1318" s="156"/>
      <c r="DO1318" s="156"/>
      <c r="DP1318" s="156"/>
      <c r="DQ1318" s="156"/>
      <c r="DR1318" s="156"/>
      <c r="DS1318" s="156"/>
      <c r="DT1318" s="156"/>
      <c r="DU1318" s="156"/>
      <c r="DV1318" s="156"/>
      <c r="DW1318" s="156"/>
      <c r="DX1318" s="156"/>
      <c r="DY1318" s="156"/>
      <c r="DZ1318" s="156"/>
      <c r="EA1318" s="156"/>
      <c r="EB1318" s="156"/>
      <c r="EC1318" s="156"/>
      <c r="ED1318" s="156"/>
      <c r="EE1318" s="156"/>
      <c r="EF1318" s="156"/>
      <c r="EG1318" s="156"/>
      <c r="EH1318" s="156"/>
      <c r="EI1318" s="156"/>
      <c r="EJ1318" s="156"/>
      <c r="EK1318" s="156"/>
      <c r="EL1318" s="156"/>
      <c r="EM1318" s="156"/>
    </row>
    <row r="1319" spans="20:143" ht="10.5" customHeight="1">
      <c r="T1319" s="156"/>
      <c r="AZ1319" s="156"/>
      <c r="BA1319" s="156"/>
      <c r="BB1319" s="156"/>
      <c r="BC1319" s="156"/>
      <c r="BD1319" s="156"/>
      <c r="BE1319" s="156"/>
      <c r="BF1319" s="156"/>
      <c r="BG1319" s="156"/>
      <c r="BH1319" s="156"/>
      <c r="BI1319" s="156"/>
      <c r="BJ1319" s="156"/>
      <c r="BK1319" s="156"/>
      <c r="BL1319" s="156"/>
      <c r="BM1319" s="156"/>
      <c r="BN1319" s="156"/>
      <c r="BO1319" s="156"/>
      <c r="BP1319" s="156"/>
      <c r="BQ1319" s="156"/>
      <c r="BR1319" s="156"/>
      <c r="BS1319" s="156"/>
      <c r="BT1319" s="156"/>
      <c r="BU1319" s="156"/>
      <c r="BV1319" s="156"/>
      <c r="BW1319" s="156"/>
      <c r="BX1319" s="156"/>
      <c r="BY1319" s="156"/>
      <c r="BZ1319" s="156"/>
      <c r="CA1319" s="156"/>
      <c r="CB1319" s="156"/>
      <c r="CC1319" s="156"/>
      <c r="CD1319" s="156"/>
      <c r="CE1319" s="156"/>
      <c r="CF1319" s="156"/>
      <c r="CG1319" s="156"/>
      <c r="CH1319" s="156"/>
      <c r="CI1319" s="156"/>
      <c r="CJ1319" s="156"/>
      <c r="CK1319" s="156"/>
      <c r="CL1319" s="156"/>
      <c r="CM1319" s="156"/>
      <c r="CN1319" s="156"/>
      <c r="CO1319" s="156"/>
      <c r="CP1319" s="156"/>
      <c r="CQ1319" s="156"/>
      <c r="CR1319" s="156"/>
      <c r="CS1319" s="156"/>
      <c r="CT1319" s="156"/>
      <c r="CU1319" s="156"/>
      <c r="CV1319" s="156"/>
      <c r="CW1319" s="156"/>
      <c r="CX1319" s="156"/>
      <c r="CY1319" s="156"/>
      <c r="CZ1319" s="156"/>
      <c r="DA1319" s="156"/>
      <c r="DB1319" s="156"/>
      <c r="DC1319" s="156"/>
      <c r="DD1319" s="156"/>
      <c r="DE1319" s="156"/>
      <c r="DF1319" s="156"/>
      <c r="DG1319" s="156"/>
      <c r="DH1319" s="156"/>
      <c r="DI1319" s="156"/>
      <c r="DJ1319" s="156"/>
      <c r="DK1319" s="156"/>
      <c r="DL1319" s="156"/>
      <c r="DM1319" s="156"/>
      <c r="DN1319" s="156"/>
      <c r="DO1319" s="156"/>
      <c r="DP1319" s="156"/>
      <c r="DQ1319" s="156"/>
      <c r="DR1319" s="156"/>
      <c r="DS1319" s="156"/>
      <c r="DT1319" s="156"/>
      <c r="DU1319" s="156"/>
      <c r="DV1319" s="156"/>
      <c r="DW1319" s="156"/>
      <c r="DX1319" s="156"/>
      <c r="DY1319" s="156"/>
      <c r="DZ1319" s="156"/>
      <c r="EA1319" s="156"/>
      <c r="EB1319" s="156"/>
      <c r="EC1319" s="156"/>
      <c r="ED1319" s="156"/>
      <c r="EE1319" s="156"/>
      <c r="EF1319" s="156"/>
      <c r="EG1319" s="156"/>
      <c r="EH1319" s="156"/>
      <c r="EI1319" s="156"/>
      <c r="EJ1319" s="156"/>
      <c r="EK1319" s="156"/>
      <c r="EL1319" s="156"/>
      <c r="EM1319" s="156"/>
    </row>
    <row r="1320" spans="20:143" ht="10.5" customHeight="1">
      <c r="T1320" s="156"/>
      <c r="AZ1320" s="156"/>
      <c r="BA1320" s="156"/>
      <c r="BB1320" s="156"/>
      <c r="BC1320" s="156"/>
      <c r="BD1320" s="156"/>
      <c r="BE1320" s="156"/>
      <c r="BF1320" s="156"/>
      <c r="BG1320" s="156"/>
      <c r="BH1320" s="156"/>
      <c r="BI1320" s="156"/>
      <c r="BJ1320" s="156"/>
      <c r="BK1320" s="156"/>
      <c r="BL1320" s="156"/>
      <c r="BM1320" s="156"/>
      <c r="BN1320" s="156"/>
      <c r="BO1320" s="156"/>
      <c r="BP1320" s="156"/>
      <c r="BQ1320" s="156"/>
      <c r="BR1320" s="156"/>
      <c r="BS1320" s="156"/>
      <c r="BT1320" s="156"/>
      <c r="BU1320" s="156"/>
      <c r="BV1320" s="156"/>
      <c r="BW1320" s="156"/>
      <c r="BX1320" s="156"/>
      <c r="BY1320" s="156"/>
      <c r="BZ1320" s="156"/>
      <c r="CA1320" s="156"/>
      <c r="CB1320" s="156"/>
      <c r="CC1320" s="156"/>
      <c r="CD1320" s="156"/>
      <c r="CE1320" s="156"/>
      <c r="CF1320" s="156"/>
      <c r="CG1320" s="156"/>
      <c r="CH1320" s="156"/>
      <c r="CI1320" s="156"/>
      <c r="CJ1320" s="156"/>
      <c r="CK1320" s="156"/>
      <c r="CL1320" s="156"/>
      <c r="CM1320" s="156"/>
      <c r="CN1320" s="156"/>
      <c r="CO1320" s="156"/>
      <c r="CP1320" s="156"/>
      <c r="CQ1320" s="156"/>
      <c r="CR1320" s="156"/>
      <c r="CS1320" s="156"/>
      <c r="CT1320" s="156"/>
      <c r="CU1320" s="156"/>
      <c r="CV1320" s="156"/>
      <c r="CW1320" s="156"/>
      <c r="CX1320" s="156"/>
      <c r="CY1320" s="156"/>
      <c r="CZ1320" s="156"/>
      <c r="DA1320" s="156"/>
      <c r="DB1320" s="156"/>
      <c r="DC1320" s="156"/>
      <c r="DD1320" s="156"/>
      <c r="DE1320" s="156"/>
      <c r="DF1320" s="156"/>
      <c r="DG1320" s="156"/>
      <c r="DH1320" s="156"/>
      <c r="DI1320" s="156"/>
      <c r="DJ1320" s="156"/>
      <c r="DK1320" s="156"/>
      <c r="DL1320" s="156"/>
      <c r="DM1320" s="156"/>
      <c r="DN1320" s="156"/>
      <c r="DO1320" s="156"/>
      <c r="DP1320" s="156"/>
      <c r="DQ1320" s="156"/>
      <c r="DR1320" s="156"/>
      <c r="DS1320" s="156"/>
      <c r="DT1320" s="156"/>
      <c r="DU1320" s="156"/>
      <c r="DV1320" s="156"/>
      <c r="DW1320" s="156"/>
      <c r="DX1320" s="156"/>
      <c r="DY1320" s="156"/>
      <c r="DZ1320" s="156"/>
      <c r="EA1320" s="156"/>
      <c r="EB1320" s="156"/>
      <c r="EC1320" s="156"/>
      <c r="ED1320" s="156"/>
      <c r="EE1320" s="156"/>
      <c r="EF1320" s="156"/>
      <c r="EG1320" s="156"/>
      <c r="EH1320" s="156"/>
      <c r="EI1320" s="156"/>
      <c r="EJ1320" s="156"/>
      <c r="EK1320" s="156"/>
      <c r="EL1320" s="156"/>
      <c r="EM1320" s="156"/>
    </row>
    <row r="1321" spans="20:143" ht="10.5" customHeight="1">
      <c r="T1321" s="156"/>
      <c r="AZ1321" s="156"/>
      <c r="BA1321" s="156"/>
      <c r="BB1321" s="156"/>
      <c r="BC1321" s="156"/>
      <c r="BD1321" s="156"/>
      <c r="BE1321" s="156"/>
      <c r="BF1321" s="156"/>
      <c r="BG1321" s="156"/>
      <c r="BH1321" s="156"/>
      <c r="BI1321" s="156"/>
      <c r="BJ1321" s="156"/>
      <c r="BK1321" s="156"/>
      <c r="BL1321" s="156"/>
      <c r="BM1321" s="156"/>
      <c r="BN1321" s="156"/>
      <c r="BO1321" s="156"/>
      <c r="BP1321" s="156"/>
      <c r="BQ1321" s="156"/>
      <c r="BR1321" s="156"/>
      <c r="BS1321" s="156"/>
      <c r="BT1321" s="156"/>
      <c r="BU1321" s="156"/>
      <c r="BV1321" s="156"/>
      <c r="BW1321" s="156"/>
      <c r="BX1321" s="156"/>
      <c r="BY1321" s="156"/>
      <c r="BZ1321" s="156"/>
      <c r="CA1321" s="156"/>
      <c r="CB1321" s="156"/>
      <c r="CC1321" s="156"/>
      <c r="CD1321" s="156"/>
      <c r="CE1321" s="156"/>
      <c r="CF1321" s="156"/>
      <c r="CG1321" s="156"/>
      <c r="CH1321" s="156"/>
      <c r="CI1321" s="156"/>
      <c r="CJ1321" s="156"/>
      <c r="CK1321" s="156"/>
      <c r="CL1321" s="156"/>
      <c r="CM1321" s="156"/>
      <c r="CN1321" s="156"/>
      <c r="CO1321" s="156"/>
      <c r="CP1321" s="156"/>
      <c r="CQ1321" s="156"/>
      <c r="CR1321" s="156"/>
      <c r="CS1321" s="156"/>
      <c r="CT1321" s="156"/>
      <c r="CU1321" s="156"/>
      <c r="CV1321" s="156"/>
      <c r="CW1321" s="156"/>
      <c r="CX1321" s="156"/>
      <c r="CY1321" s="156"/>
      <c r="CZ1321" s="156"/>
      <c r="DA1321" s="156"/>
      <c r="DB1321" s="156"/>
      <c r="DC1321" s="156"/>
      <c r="DD1321" s="156"/>
      <c r="DE1321" s="156"/>
      <c r="DF1321" s="156"/>
      <c r="DG1321" s="156"/>
      <c r="DH1321" s="156"/>
      <c r="DI1321" s="156"/>
      <c r="DJ1321" s="156"/>
      <c r="DK1321" s="156"/>
      <c r="DL1321" s="156"/>
      <c r="DM1321" s="156"/>
      <c r="DN1321" s="156"/>
      <c r="DO1321" s="156"/>
      <c r="DP1321" s="156"/>
      <c r="DQ1321" s="156"/>
      <c r="DR1321" s="156"/>
      <c r="DS1321" s="156"/>
      <c r="DT1321" s="156"/>
      <c r="DU1321" s="156"/>
      <c r="DV1321" s="156"/>
      <c r="DW1321" s="156"/>
      <c r="DX1321" s="156"/>
      <c r="DY1321" s="156"/>
      <c r="DZ1321" s="156"/>
      <c r="EA1321" s="156"/>
      <c r="EB1321" s="156"/>
      <c r="EC1321" s="156"/>
      <c r="ED1321" s="156"/>
      <c r="EE1321" s="156"/>
      <c r="EF1321" s="156"/>
      <c r="EG1321" s="156"/>
      <c r="EH1321" s="156"/>
      <c r="EI1321" s="156"/>
      <c r="EJ1321" s="156"/>
      <c r="EK1321" s="156"/>
      <c r="EL1321" s="156"/>
      <c r="EM1321" s="156"/>
    </row>
    <row r="1322" spans="20:143" ht="10.5" customHeight="1">
      <c r="T1322" s="156"/>
      <c r="AZ1322" s="156"/>
      <c r="BA1322" s="156"/>
      <c r="BB1322" s="156"/>
      <c r="BC1322" s="156"/>
      <c r="BD1322" s="156"/>
      <c r="BE1322" s="156"/>
      <c r="BF1322" s="156"/>
      <c r="BG1322" s="156"/>
      <c r="BH1322" s="156"/>
      <c r="BI1322" s="156"/>
      <c r="BJ1322" s="156"/>
      <c r="BK1322" s="156"/>
      <c r="BL1322" s="156"/>
      <c r="BM1322" s="156"/>
      <c r="BN1322" s="156"/>
      <c r="BO1322" s="156"/>
      <c r="BP1322" s="156"/>
      <c r="BQ1322" s="156"/>
      <c r="BR1322" s="156"/>
      <c r="BS1322" s="156"/>
      <c r="BT1322" s="156"/>
      <c r="BU1322" s="156"/>
      <c r="BV1322" s="156"/>
      <c r="BW1322" s="156"/>
      <c r="BX1322" s="156"/>
      <c r="BY1322" s="156"/>
      <c r="BZ1322" s="156"/>
      <c r="CA1322" s="156"/>
      <c r="CB1322" s="156"/>
      <c r="CC1322" s="156"/>
      <c r="CD1322" s="156"/>
      <c r="CE1322" s="156"/>
      <c r="CF1322" s="156"/>
      <c r="CG1322" s="156"/>
      <c r="CH1322" s="156"/>
      <c r="CI1322" s="156"/>
      <c r="CJ1322" s="156"/>
      <c r="CK1322" s="156"/>
      <c r="CL1322" s="156"/>
      <c r="CM1322" s="156"/>
      <c r="CN1322" s="156"/>
      <c r="CO1322" s="156"/>
      <c r="CP1322" s="156"/>
      <c r="CQ1322" s="156"/>
      <c r="CR1322" s="156"/>
      <c r="CS1322" s="156"/>
      <c r="CT1322" s="156"/>
      <c r="CU1322" s="156"/>
      <c r="CV1322" s="156"/>
      <c r="CW1322" s="156"/>
      <c r="CX1322" s="156"/>
      <c r="CY1322" s="156"/>
      <c r="CZ1322" s="156"/>
      <c r="DA1322" s="156"/>
      <c r="DB1322" s="156"/>
      <c r="DC1322" s="156"/>
      <c r="DD1322" s="156"/>
      <c r="DE1322" s="156"/>
      <c r="DF1322" s="156"/>
      <c r="DG1322" s="156"/>
      <c r="DH1322" s="156"/>
      <c r="DI1322" s="156"/>
      <c r="DJ1322" s="156"/>
      <c r="DK1322" s="156"/>
      <c r="DL1322" s="156"/>
      <c r="DM1322" s="156"/>
      <c r="DN1322" s="156"/>
      <c r="DO1322" s="156"/>
      <c r="DP1322" s="156"/>
      <c r="DQ1322" s="156"/>
      <c r="DR1322" s="156"/>
      <c r="DS1322" s="156"/>
      <c r="DT1322" s="156"/>
      <c r="DU1322" s="156"/>
      <c r="DV1322" s="156"/>
      <c r="DW1322" s="156"/>
      <c r="DX1322" s="156"/>
      <c r="DY1322" s="156"/>
      <c r="DZ1322" s="156"/>
      <c r="EA1322" s="156"/>
      <c r="EB1322" s="156"/>
      <c r="EC1322" s="156"/>
      <c r="ED1322" s="156"/>
      <c r="EE1322" s="156"/>
      <c r="EF1322" s="156"/>
      <c r="EG1322" s="156"/>
      <c r="EH1322" s="156"/>
      <c r="EI1322" s="156"/>
      <c r="EJ1322" s="156"/>
      <c r="EK1322" s="156"/>
      <c r="EL1322" s="156"/>
      <c r="EM1322" s="156"/>
    </row>
    <row r="1323" spans="20:143" ht="10.5" customHeight="1">
      <c r="T1323" s="156"/>
      <c r="AZ1323" s="156"/>
      <c r="BA1323" s="156"/>
      <c r="BB1323" s="156"/>
      <c r="BC1323" s="156"/>
      <c r="BD1323" s="156"/>
      <c r="BE1323" s="156"/>
      <c r="BF1323" s="156"/>
      <c r="BG1323" s="156"/>
      <c r="BH1323" s="156"/>
      <c r="BI1323" s="156"/>
      <c r="BJ1323" s="156"/>
      <c r="BK1323" s="156"/>
      <c r="BL1323" s="156"/>
      <c r="BM1323" s="156"/>
      <c r="BN1323" s="156"/>
      <c r="BO1323" s="156"/>
      <c r="BP1323" s="156"/>
      <c r="BQ1323" s="156"/>
      <c r="BR1323" s="156"/>
      <c r="BS1323" s="156"/>
      <c r="BT1323" s="156"/>
      <c r="BU1323" s="156"/>
      <c r="BV1323" s="156"/>
      <c r="BW1323" s="156"/>
      <c r="BX1323" s="156"/>
      <c r="BY1323" s="156"/>
      <c r="BZ1323" s="156"/>
      <c r="CA1323" s="156"/>
      <c r="CB1323" s="156"/>
      <c r="CC1323" s="156"/>
      <c r="CD1323" s="156"/>
      <c r="CE1323" s="156"/>
      <c r="CF1323" s="156"/>
      <c r="CG1323" s="156"/>
      <c r="CH1323" s="156"/>
      <c r="CI1323" s="156"/>
      <c r="CJ1323" s="156"/>
      <c r="CK1323" s="156"/>
      <c r="CL1323" s="156"/>
      <c r="CM1323" s="156"/>
      <c r="CN1323" s="156"/>
      <c r="CO1323" s="156"/>
      <c r="CP1323" s="156"/>
      <c r="CQ1323" s="156"/>
      <c r="CR1323" s="156"/>
      <c r="CS1323" s="156"/>
      <c r="CT1323" s="156"/>
      <c r="CU1323" s="156"/>
      <c r="CV1323" s="156"/>
      <c r="CW1323" s="156"/>
      <c r="CX1323" s="156"/>
      <c r="CY1323" s="156"/>
      <c r="CZ1323" s="156"/>
      <c r="DA1323" s="156"/>
      <c r="DB1323" s="156"/>
      <c r="DC1323" s="156"/>
      <c r="DD1323" s="156"/>
      <c r="DE1323" s="156"/>
      <c r="DF1323" s="156"/>
      <c r="DG1323" s="156"/>
      <c r="DH1323" s="156"/>
      <c r="DI1323" s="156"/>
      <c r="DJ1323" s="156"/>
      <c r="DK1323" s="156"/>
      <c r="DL1323" s="156"/>
      <c r="DM1323" s="156"/>
      <c r="DN1323" s="156"/>
      <c r="DO1323" s="156"/>
      <c r="DP1323" s="156"/>
      <c r="DQ1323" s="156"/>
      <c r="DR1323" s="156"/>
      <c r="DS1323" s="156"/>
      <c r="DT1323" s="156"/>
      <c r="DU1323" s="156"/>
      <c r="DV1323" s="156"/>
      <c r="DW1323" s="156"/>
      <c r="DX1323" s="156"/>
      <c r="DY1323" s="156"/>
      <c r="DZ1323" s="156"/>
      <c r="EA1323" s="156"/>
      <c r="EB1323" s="156"/>
      <c r="EC1323" s="156"/>
      <c r="ED1323" s="156"/>
      <c r="EE1323" s="156"/>
      <c r="EF1323" s="156"/>
      <c r="EG1323" s="156"/>
      <c r="EH1323" s="156"/>
      <c r="EI1323" s="156"/>
      <c r="EJ1323" s="156"/>
      <c r="EK1323" s="156"/>
      <c r="EL1323" s="156"/>
      <c r="EM1323" s="156"/>
    </row>
    <row r="1324" spans="20:143" ht="10.5" customHeight="1">
      <c r="T1324" s="156"/>
      <c r="AZ1324" s="156"/>
      <c r="BA1324" s="156"/>
      <c r="BB1324" s="156"/>
      <c r="BC1324" s="156"/>
      <c r="BD1324" s="156"/>
      <c r="BE1324" s="156"/>
      <c r="BF1324" s="156"/>
      <c r="BG1324" s="156"/>
      <c r="BH1324" s="156"/>
      <c r="BI1324" s="156"/>
      <c r="BJ1324" s="156"/>
      <c r="BK1324" s="156"/>
      <c r="BL1324" s="156"/>
      <c r="BM1324" s="156"/>
      <c r="BN1324" s="156"/>
      <c r="BO1324" s="156"/>
      <c r="BP1324" s="156"/>
      <c r="BQ1324" s="156"/>
      <c r="BR1324" s="156"/>
      <c r="BS1324" s="156"/>
      <c r="BT1324" s="156"/>
      <c r="BU1324" s="156"/>
      <c r="BV1324" s="156"/>
      <c r="BW1324" s="156"/>
      <c r="BX1324" s="156"/>
      <c r="BY1324" s="156"/>
      <c r="BZ1324" s="156"/>
      <c r="CA1324" s="156"/>
      <c r="CB1324" s="156"/>
      <c r="CC1324" s="156"/>
      <c r="CD1324" s="156"/>
      <c r="CE1324" s="156"/>
      <c r="CF1324" s="156"/>
      <c r="CG1324" s="156"/>
      <c r="CH1324" s="156"/>
      <c r="CI1324" s="156"/>
      <c r="CJ1324" s="156"/>
      <c r="CK1324" s="156"/>
      <c r="CL1324" s="156"/>
      <c r="CM1324" s="156"/>
      <c r="CN1324" s="156"/>
      <c r="CO1324" s="156"/>
      <c r="CP1324" s="156"/>
      <c r="CQ1324" s="156"/>
      <c r="CR1324" s="156"/>
      <c r="CS1324" s="156"/>
      <c r="CT1324" s="156"/>
      <c r="CU1324" s="156"/>
      <c r="CV1324" s="156"/>
      <c r="CW1324" s="156"/>
      <c r="CX1324" s="156"/>
      <c r="CY1324" s="156"/>
      <c r="CZ1324" s="156"/>
      <c r="DA1324" s="156"/>
      <c r="DB1324" s="156"/>
      <c r="DC1324" s="156"/>
      <c r="DD1324" s="156"/>
      <c r="DE1324" s="156"/>
      <c r="DF1324" s="156"/>
      <c r="DG1324" s="156"/>
      <c r="DH1324" s="156"/>
      <c r="DI1324" s="156"/>
      <c r="DJ1324" s="156"/>
      <c r="DK1324" s="156"/>
      <c r="DL1324" s="156"/>
      <c r="DM1324" s="156"/>
      <c r="DN1324" s="156"/>
      <c r="DO1324" s="156"/>
      <c r="DP1324" s="156"/>
      <c r="DQ1324" s="156"/>
      <c r="DR1324" s="156"/>
      <c r="DS1324" s="156"/>
      <c r="DT1324" s="156"/>
      <c r="DU1324" s="156"/>
      <c r="DV1324" s="156"/>
      <c r="DW1324" s="156"/>
      <c r="DX1324" s="156"/>
      <c r="DY1324" s="156"/>
      <c r="DZ1324" s="156"/>
      <c r="EA1324" s="156"/>
      <c r="EB1324" s="156"/>
      <c r="EC1324" s="156"/>
      <c r="ED1324" s="156"/>
      <c r="EE1324" s="156"/>
      <c r="EF1324" s="156"/>
      <c r="EG1324" s="156"/>
      <c r="EH1324" s="156"/>
      <c r="EI1324" s="156"/>
      <c r="EJ1324" s="156"/>
      <c r="EK1324" s="156"/>
      <c r="EL1324" s="156"/>
      <c r="EM1324" s="156"/>
    </row>
    <row r="1325" spans="20:143" ht="10.5" customHeight="1">
      <c r="T1325" s="156"/>
      <c r="AZ1325" s="156"/>
      <c r="BA1325" s="156"/>
      <c r="BB1325" s="156"/>
      <c r="BC1325" s="156"/>
      <c r="BD1325" s="156"/>
      <c r="BE1325" s="156"/>
      <c r="BF1325" s="156"/>
      <c r="BG1325" s="156"/>
      <c r="BH1325" s="156"/>
      <c r="BI1325" s="156"/>
      <c r="BJ1325" s="156"/>
      <c r="BK1325" s="156"/>
      <c r="BL1325" s="156"/>
      <c r="BM1325" s="156"/>
      <c r="BN1325" s="156"/>
      <c r="BO1325" s="156"/>
      <c r="BP1325" s="156"/>
      <c r="BQ1325" s="156"/>
      <c r="BR1325" s="156"/>
      <c r="BS1325" s="156"/>
      <c r="BT1325" s="156"/>
      <c r="BU1325" s="156"/>
      <c r="BV1325" s="156"/>
      <c r="BW1325" s="156"/>
      <c r="BX1325" s="156"/>
      <c r="BY1325" s="156"/>
      <c r="BZ1325" s="156"/>
      <c r="CA1325" s="156"/>
      <c r="CB1325" s="156"/>
      <c r="CC1325" s="156"/>
      <c r="CD1325" s="156"/>
      <c r="CE1325" s="156"/>
      <c r="CF1325" s="156"/>
      <c r="CG1325" s="156"/>
      <c r="CH1325" s="156"/>
      <c r="CI1325" s="156"/>
      <c r="CJ1325" s="156"/>
      <c r="CK1325" s="156"/>
      <c r="CL1325" s="156"/>
      <c r="CM1325" s="156"/>
      <c r="CN1325" s="156"/>
      <c r="CO1325" s="156"/>
      <c r="CP1325" s="156"/>
      <c r="CQ1325" s="156"/>
      <c r="CR1325" s="156"/>
      <c r="CS1325" s="156"/>
      <c r="CT1325" s="156"/>
      <c r="CU1325" s="156"/>
      <c r="CV1325" s="156"/>
      <c r="CW1325" s="156"/>
      <c r="CX1325" s="156"/>
      <c r="CY1325" s="156"/>
      <c r="CZ1325" s="156"/>
      <c r="DA1325" s="156"/>
      <c r="DB1325" s="156"/>
      <c r="DC1325" s="156"/>
      <c r="DD1325" s="156"/>
      <c r="DE1325" s="156"/>
      <c r="DF1325" s="156"/>
      <c r="DG1325" s="156"/>
      <c r="DH1325" s="156"/>
      <c r="DI1325" s="156"/>
      <c r="DJ1325" s="156"/>
      <c r="DK1325" s="156"/>
      <c r="DL1325" s="156"/>
      <c r="DM1325" s="156"/>
      <c r="DN1325" s="156"/>
      <c r="DO1325" s="156"/>
      <c r="DP1325" s="156"/>
      <c r="DQ1325" s="156"/>
      <c r="DR1325" s="156"/>
      <c r="DS1325" s="156"/>
      <c r="DT1325" s="156"/>
      <c r="DU1325" s="156"/>
      <c r="DV1325" s="156"/>
      <c r="DW1325" s="156"/>
      <c r="DX1325" s="156"/>
      <c r="DY1325" s="156"/>
      <c r="DZ1325" s="156"/>
      <c r="EA1325" s="156"/>
      <c r="EB1325" s="156"/>
      <c r="EC1325" s="156"/>
      <c r="ED1325" s="156"/>
      <c r="EE1325" s="156"/>
      <c r="EF1325" s="156"/>
      <c r="EG1325" s="156"/>
      <c r="EH1325" s="156"/>
      <c r="EI1325" s="156"/>
      <c r="EJ1325" s="156"/>
      <c r="EK1325" s="156"/>
      <c r="EL1325" s="156"/>
      <c r="EM1325" s="156"/>
    </row>
    <row r="1326" spans="20:143" ht="10.5" customHeight="1">
      <c r="T1326" s="156"/>
      <c r="AZ1326" s="156"/>
      <c r="BA1326" s="156"/>
      <c r="BB1326" s="156"/>
      <c r="BC1326" s="156"/>
      <c r="BD1326" s="156"/>
      <c r="BE1326" s="156"/>
      <c r="BF1326" s="156"/>
      <c r="BG1326" s="156"/>
      <c r="BH1326" s="156"/>
      <c r="BI1326" s="156"/>
      <c r="BJ1326" s="156"/>
      <c r="BK1326" s="156"/>
      <c r="BL1326" s="156"/>
      <c r="BM1326" s="156"/>
      <c r="BN1326" s="156"/>
      <c r="BO1326" s="156"/>
      <c r="BP1326" s="156"/>
      <c r="BQ1326" s="156"/>
      <c r="BR1326" s="156"/>
      <c r="BS1326" s="156"/>
      <c r="BT1326" s="156"/>
      <c r="BU1326" s="156"/>
      <c r="BV1326" s="156"/>
      <c r="BW1326" s="156"/>
      <c r="BX1326" s="156"/>
      <c r="BY1326" s="156"/>
      <c r="BZ1326" s="156"/>
      <c r="CA1326" s="156"/>
      <c r="CB1326" s="156"/>
      <c r="CC1326" s="156"/>
      <c r="CD1326" s="156"/>
      <c r="CE1326" s="156"/>
      <c r="CF1326" s="156"/>
      <c r="CG1326" s="156"/>
      <c r="CH1326" s="156"/>
      <c r="CI1326" s="156"/>
      <c r="CJ1326" s="156"/>
      <c r="CK1326" s="156"/>
      <c r="CL1326" s="156"/>
      <c r="CM1326" s="156"/>
      <c r="CN1326" s="156"/>
      <c r="CO1326" s="156"/>
      <c r="CP1326" s="156"/>
      <c r="CQ1326" s="156"/>
      <c r="CR1326" s="156"/>
      <c r="CS1326" s="156"/>
      <c r="CT1326" s="156"/>
      <c r="CU1326" s="156"/>
      <c r="CV1326" s="156"/>
      <c r="CW1326" s="156"/>
      <c r="CX1326" s="156"/>
      <c r="CY1326" s="156"/>
      <c r="CZ1326" s="156"/>
      <c r="DA1326" s="156"/>
      <c r="DB1326" s="156"/>
      <c r="DC1326" s="156"/>
      <c r="DD1326" s="156"/>
      <c r="DE1326" s="156"/>
      <c r="DF1326" s="156"/>
      <c r="DG1326" s="156"/>
      <c r="DH1326" s="156"/>
      <c r="DI1326" s="156"/>
      <c r="DJ1326" s="156"/>
      <c r="DK1326" s="156"/>
      <c r="DL1326" s="156"/>
      <c r="DM1326" s="156"/>
      <c r="DN1326" s="156"/>
      <c r="DO1326" s="156"/>
      <c r="DP1326" s="156"/>
      <c r="DQ1326" s="156"/>
      <c r="DR1326" s="156"/>
      <c r="DS1326" s="156"/>
      <c r="DT1326" s="156"/>
      <c r="DU1326" s="156"/>
      <c r="DV1326" s="156"/>
      <c r="DW1326" s="156"/>
      <c r="DX1326" s="156"/>
      <c r="DY1326" s="156"/>
      <c r="DZ1326" s="156"/>
      <c r="EA1326" s="156"/>
      <c r="EB1326" s="156"/>
      <c r="EC1326" s="156"/>
      <c r="ED1326" s="156"/>
      <c r="EE1326" s="156"/>
      <c r="EF1326" s="156"/>
      <c r="EG1326" s="156"/>
      <c r="EH1326" s="156"/>
      <c r="EI1326" s="156"/>
      <c r="EJ1326" s="156"/>
      <c r="EK1326" s="156"/>
      <c r="EL1326" s="156"/>
      <c r="EM1326" s="156"/>
    </row>
    <row r="1327" spans="20:143" ht="10.5" customHeight="1">
      <c r="T1327" s="156"/>
      <c r="AZ1327" s="156"/>
      <c r="BA1327" s="156"/>
      <c r="BB1327" s="156"/>
      <c r="BC1327" s="156"/>
      <c r="BD1327" s="156"/>
      <c r="BE1327" s="156"/>
      <c r="BF1327" s="156"/>
      <c r="BG1327" s="156"/>
      <c r="BH1327" s="156"/>
      <c r="BI1327" s="156"/>
      <c r="BJ1327" s="156"/>
      <c r="BK1327" s="156"/>
      <c r="BL1327" s="156"/>
      <c r="BM1327" s="156"/>
      <c r="BN1327" s="156"/>
      <c r="BO1327" s="156"/>
      <c r="BP1327" s="156"/>
      <c r="BQ1327" s="156"/>
      <c r="BR1327" s="156"/>
      <c r="BS1327" s="156"/>
      <c r="BT1327" s="156"/>
      <c r="BU1327" s="156"/>
      <c r="BV1327" s="156"/>
      <c r="BW1327" s="156"/>
      <c r="BX1327" s="156"/>
      <c r="BY1327" s="156"/>
      <c r="BZ1327" s="156"/>
      <c r="CA1327" s="156"/>
      <c r="CB1327" s="156"/>
      <c r="CC1327" s="156"/>
      <c r="CD1327" s="156"/>
      <c r="CE1327" s="156"/>
      <c r="CF1327" s="156"/>
      <c r="CG1327" s="156"/>
      <c r="CH1327" s="156"/>
      <c r="CI1327" s="156"/>
      <c r="CJ1327" s="156"/>
      <c r="CK1327" s="156"/>
      <c r="CL1327" s="156"/>
      <c r="CM1327" s="156"/>
      <c r="CN1327" s="156"/>
      <c r="CO1327" s="156"/>
      <c r="CP1327" s="156"/>
      <c r="CQ1327" s="156"/>
      <c r="CR1327" s="156"/>
      <c r="CS1327" s="156"/>
      <c r="CT1327" s="156"/>
      <c r="CU1327" s="156"/>
      <c r="CV1327" s="156"/>
      <c r="CW1327" s="156"/>
      <c r="CX1327" s="156"/>
      <c r="CY1327" s="156"/>
      <c r="CZ1327" s="156"/>
      <c r="DA1327" s="156"/>
      <c r="DB1327" s="156"/>
      <c r="DC1327" s="156"/>
      <c r="DD1327" s="156"/>
      <c r="DE1327" s="156"/>
      <c r="DF1327" s="156"/>
      <c r="DG1327" s="156"/>
      <c r="DH1327" s="156"/>
      <c r="DI1327" s="156"/>
      <c r="DJ1327" s="156"/>
      <c r="DK1327" s="156"/>
      <c r="DL1327" s="156"/>
      <c r="DM1327" s="156"/>
      <c r="DN1327" s="156"/>
      <c r="DO1327" s="156"/>
      <c r="DP1327" s="156"/>
      <c r="DQ1327" s="156"/>
      <c r="DR1327" s="156"/>
      <c r="DS1327" s="156"/>
      <c r="DT1327" s="156"/>
      <c r="DU1327" s="156"/>
      <c r="DV1327" s="156"/>
      <c r="DW1327" s="156"/>
      <c r="DX1327" s="156"/>
      <c r="DY1327" s="156"/>
      <c r="DZ1327" s="156"/>
      <c r="EA1327" s="156"/>
      <c r="EB1327" s="156"/>
      <c r="EC1327" s="156"/>
      <c r="ED1327" s="156"/>
      <c r="EE1327" s="156"/>
      <c r="EF1327" s="156"/>
      <c r="EG1327" s="156"/>
      <c r="EH1327" s="156"/>
      <c r="EI1327" s="156"/>
      <c r="EJ1327" s="156"/>
      <c r="EK1327" s="156"/>
      <c r="EL1327" s="156"/>
      <c r="EM1327" s="156"/>
    </row>
    <row r="1328" spans="20:143" ht="10.5" customHeight="1">
      <c r="T1328" s="156"/>
      <c r="AZ1328" s="156"/>
      <c r="BA1328" s="156"/>
      <c r="BB1328" s="156"/>
      <c r="BC1328" s="156"/>
      <c r="BD1328" s="156"/>
      <c r="BE1328" s="156"/>
      <c r="BF1328" s="156"/>
      <c r="BG1328" s="156"/>
      <c r="BH1328" s="156"/>
      <c r="BI1328" s="156"/>
      <c r="BJ1328" s="156"/>
      <c r="BK1328" s="156"/>
      <c r="BL1328" s="156"/>
      <c r="BM1328" s="156"/>
      <c r="BN1328" s="156"/>
      <c r="BO1328" s="156"/>
      <c r="BP1328" s="156"/>
      <c r="BQ1328" s="156"/>
      <c r="BR1328" s="156"/>
      <c r="BS1328" s="156"/>
      <c r="BT1328" s="156"/>
      <c r="BU1328" s="156"/>
      <c r="BV1328" s="156"/>
      <c r="BW1328" s="156"/>
      <c r="BX1328" s="156"/>
      <c r="BY1328" s="156"/>
      <c r="BZ1328" s="156"/>
      <c r="CA1328" s="156"/>
      <c r="CB1328" s="156"/>
      <c r="CC1328" s="156"/>
      <c r="CD1328" s="156"/>
      <c r="CE1328" s="156"/>
      <c r="CF1328" s="156"/>
      <c r="CG1328" s="156"/>
      <c r="CH1328" s="156"/>
      <c r="CI1328" s="156"/>
      <c r="CJ1328" s="156"/>
      <c r="CK1328" s="156"/>
      <c r="CL1328" s="156"/>
      <c r="CM1328" s="156"/>
      <c r="CN1328" s="156"/>
      <c r="CO1328" s="156"/>
      <c r="CP1328" s="156"/>
      <c r="CQ1328" s="156"/>
      <c r="CR1328" s="156"/>
      <c r="CS1328" s="156"/>
      <c r="CT1328" s="156"/>
      <c r="CU1328" s="156"/>
      <c r="CV1328" s="156"/>
      <c r="CW1328" s="156"/>
      <c r="CX1328" s="156"/>
      <c r="CY1328" s="156"/>
      <c r="CZ1328" s="156"/>
      <c r="DA1328" s="156"/>
      <c r="DB1328" s="156"/>
      <c r="DC1328" s="156"/>
      <c r="DD1328" s="156"/>
      <c r="DE1328" s="156"/>
      <c r="DF1328" s="156"/>
      <c r="DG1328" s="156"/>
      <c r="DH1328" s="156"/>
      <c r="DI1328" s="156"/>
      <c r="DJ1328" s="156"/>
      <c r="DK1328" s="156"/>
      <c r="DL1328" s="156"/>
      <c r="DM1328" s="156"/>
      <c r="DN1328" s="156"/>
      <c r="DO1328" s="156"/>
      <c r="DP1328" s="156"/>
      <c r="DQ1328" s="156"/>
      <c r="DR1328" s="156"/>
      <c r="DS1328" s="156"/>
      <c r="DT1328" s="156"/>
      <c r="DU1328" s="156"/>
      <c r="DV1328" s="156"/>
      <c r="DW1328" s="156"/>
      <c r="DX1328" s="156"/>
      <c r="DY1328" s="156"/>
      <c r="DZ1328" s="156"/>
      <c r="EA1328" s="156"/>
      <c r="EB1328" s="156"/>
      <c r="EC1328" s="156"/>
      <c r="ED1328" s="156"/>
      <c r="EE1328" s="156"/>
      <c r="EF1328" s="156"/>
      <c r="EG1328" s="156"/>
      <c r="EH1328" s="156"/>
      <c r="EI1328" s="156"/>
      <c r="EJ1328" s="156"/>
      <c r="EK1328" s="156"/>
      <c r="EL1328" s="156"/>
      <c r="EM1328" s="156"/>
    </row>
    <row r="1329" spans="20:143" ht="10.5" customHeight="1">
      <c r="T1329" s="156"/>
      <c r="AZ1329" s="156"/>
      <c r="BA1329" s="156"/>
      <c r="BB1329" s="156"/>
      <c r="BC1329" s="156"/>
      <c r="BD1329" s="156"/>
      <c r="BE1329" s="156"/>
      <c r="BF1329" s="156"/>
      <c r="BG1329" s="156"/>
      <c r="BH1329" s="156"/>
      <c r="BI1329" s="156"/>
      <c r="BJ1329" s="156"/>
      <c r="BK1329" s="156"/>
      <c r="BL1329" s="156"/>
      <c r="BM1329" s="156"/>
      <c r="BN1329" s="156"/>
      <c r="BO1329" s="156"/>
      <c r="BP1329" s="156"/>
      <c r="BQ1329" s="156"/>
      <c r="BR1329" s="156"/>
      <c r="BS1329" s="156"/>
      <c r="BT1329" s="156"/>
      <c r="BU1329" s="156"/>
      <c r="BV1329" s="156"/>
      <c r="BW1329" s="156"/>
      <c r="BX1329" s="156"/>
      <c r="BY1329" s="156"/>
      <c r="BZ1329" s="156"/>
      <c r="CA1329" s="156"/>
      <c r="CB1329" s="156"/>
      <c r="CC1329" s="156"/>
      <c r="CD1329" s="156"/>
      <c r="CE1329" s="156"/>
      <c r="CF1329" s="156"/>
      <c r="CG1329" s="156"/>
      <c r="CH1329" s="156"/>
      <c r="CI1329" s="156"/>
      <c r="CJ1329" s="156"/>
      <c r="CK1329" s="156"/>
      <c r="CL1329" s="156"/>
      <c r="CM1329" s="156"/>
      <c r="CN1329" s="156"/>
      <c r="CO1329" s="156"/>
      <c r="CP1329" s="156"/>
      <c r="CQ1329" s="156"/>
      <c r="CR1329" s="156"/>
      <c r="CS1329" s="156"/>
      <c r="CT1329" s="156"/>
      <c r="CU1329" s="156"/>
      <c r="CV1329" s="156"/>
      <c r="CW1329" s="156"/>
      <c r="CX1329" s="156"/>
      <c r="CY1329" s="156"/>
      <c r="CZ1329" s="156"/>
      <c r="DA1329" s="156"/>
      <c r="DB1329" s="156"/>
      <c r="DC1329" s="156"/>
      <c r="DD1329" s="156"/>
      <c r="DE1329" s="156"/>
      <c r="DF1329" s="156"/>
      <c r="DG1329" s="156"/>
      <c r="DH1329" s="156"/>
      <c r="DI1329" s="156"/>
      <c r="DJ1329" s="156"/>
      <c r="DK1329" s="156"/>
      <c r="DL1329" s="156"/>
      <c r="DM1329" s="156"/>
      <c r="DN1329" s="156"/>
      <c r="DO1329" s="156"/>
      <c r="DP1329" s="156"/>
      <c r="DQ1329" s="156"/>
      <c r="DR1329" s="156"/>
      <c r="DS1329" s="156"/>
      <c r="DT1329" s="156"/>
      <c r="DU1329" s="156"/>
      <c r="DV1329" s="156"/>
      <c r="DW1329" s="156"/>
      <c r="DX1329" s="156"/>
      <c r="DY1329" s="156"/>
      <c r="DZ1329" s="156"/>
      <c r="EA1329" s="156"/>
      <c r="EB1329" s="156"/>
      <c r="EC1329" s="156"/>
      <c r="ED1329" s="156"/>
      <c r="EE1329" s="156"/>
      <c r="EF1329" s="156"/>
      <c r="EG1329" s="156"/>
      <c r="EH1329" s="156"/>
      <c r="EI1329" s="156"/>
      <c r="EJ1329" s="156"/>
      <c r="EK1329" s="156"/>
      <c r="EL1329" s="156"/>
      <c r="EM1329" s="156"/>
    </row>
    <row r="1330" spans="20:143" ht="10.5" customHeight="1">
      <c r="T1330" s="156"/>
      <c r="AZ1330" s="156"/>
      <c r="BA1330" s="156"/>
      <c r="BB1330" s="156"/>
      <c r="BC1330" s="156"/>
      <c r="BD1330" s="156"/>
      <c r="BE1330" s="156"/>
      <c r="BF1330" s="156"/>
      <c r="BG1330" s="156"/>
      <c r="BH1330" s="156"/>
      <c r="BI1330" s="156"/>
      <c r="BJ1330" s="156"/>
      <c r="BK1330" s="156"/>
      <c r="BL1330" s="156"/>
      <c r="BM1330" s="156"/>
      <c r="BN1330" s="156"/>
      <c r="BO1330" s="156"/>
      <c r="BP1330" s="156"/>
      <c r="BQ1330" s="156"/>
      <c r="BR1330" s="156"/>
      <c r="BS1330" s="156"/>
      <c r="BT1330" s="156"/>
      <c r="BU1330" s="156"/>
      <c r="BV1330" s="156"/>
      <c r="BW1330" s="156"/>
      <c r="BX1330" s="156"/>
      <c r="BY1330" s="156"/>
      <c r="BZ1330" s="156"/>
      <c r="CA1330" s="156"/>
      <c r="CB1330" s="156"/>
      <c r="CC1330" s="156"/>
      <c r="CD1330" s="156"/>
      <c r="CE1330" s="156"/>
      <c r="CF1330" s="156"/>
      <c r="CG1330" s="156"/>
      <c r="CH1330" s="156"/>
      <c r="CI1330" s="156"/>
      <c r="CJ1330" s="156"/>
      <c r="CK1330" s="156"/>
      <c r="CL1330" s="156"/>
      <c r="CM1330" s="156"/>
      <c r="CN1330" s="156"/>
      <c r="CO1330" s="156"/>
      <c r="CP1330" s="156"/>
      <c r="CQ1330" s="156"/>
      <c r="CR1330" s="156"/>
      <c r="CS1330" s="156"/>
      <c r="CT1330" s="156"/>
      <c r="CU1330" s="156"/>
      <c r="CV1330" s="156"/>
      <c r="CW1330" s="156"/>
      <c r="CX1330" s="156"/>
      <c r="CY1330" s="156"/>
      <c r="CZ1330" s="156"/>
      <c r="DA1330" s="156"/>
      <c r="DB1330" s="156"/>
      <c r="DC1330" s="156"/>
      <c r="DD1330" s="156"/>
      <c r="DE1330" s="156"/>
      <c r="DF1330" s="156"/>
      <c r="DG1330" s="156"/>
      <c r="DH1330" s="156"/>
      <c r="DI1330" s="156"/>
      <c r="DJ1330" s="156"/>
      <c r="DK1330" s="156"/>
      <c r="DL1330" s="156"/>
      <c r="DM1330" s="156"/>
      <c r="DN1330" s="156"/>
      <c r="DO1330" s="156"/>
      <c r="DP1330" s="156"/>
      <c r="DQ1330" s="156"/>
      <c r="DR1330" s="156"/>
      <c r="DS1330" s="156"/>
      <c r="DT1330" s="156"/>
      <c r="DU1330" s="156"/>
      <c r="DV1330" s="156"/>
      <c r="DW1330" s="156"/>
      <c r="DX1330" s="156"/>
      <c r="DY1330" s="156"/>
      <c r="DZ1330" s="156"/>
      <c r="EA1330" s="156"/>
      <c r="EB1330" s="156"/>
      <c r="EC1330" s="156"/>
      <c r="ED1330" s="156"/>
      <c r="EE1330" s="156"/>
      <c r="EF1330" s="156"/>
      <c r="EG1330" s="156"/>
      <c r="EH1330" s="156"/>
      <c r="EI1330" s="156"/>
      <c r="EJ1330" s="156"/>
      <c r="EK1330" s="156"/>
      <c r="EL1330" s="156"/>
      <c r="EM1330" s="156"/>
    </row>
    <row r="1331" spans="20:143" ht="10.5" customHeight="1">
      <c r="T1331" s="156"/>
      <c r="AZ1331" s="156"/>
      <c r="BA1331" s="156"/>
      <c r="BB1331" s="156"/>
      <c r="BC1331" s="156"/>
      <c r="BD1331" s="156"/>
      <c r="BE1331" s="156"/>
      <c r="BF1331" s="156"/>
      <c r="BG1331" s="156"/>
      <c r="BH1331" s="156"/>
      <c r="BI1331" s="156"/>
      <c r="BJ1331" s="156"/>
      <c r="BK1331" s="156"/>
      <c r="BL1331" s="156"/>
      <c r="BM1331" s="156"/>
      <c r="BN1331" s="156"/>
      <c r="BO1331" s="156"/>
      <c r="BP1331" s="156"/>
      <c r="BQ1331" s="156"/>
      <c r="BR1331" s="156"/>
      <c r="BS1331" s="156"/>
      <c r="BT1331" s="156"/>
      <c r="BU1331" s="156"/>
      <c r="BV1331" s="156"/>
      <c r="BW1331" s="156"/>
      <c r="BX1331" s="156"/>
      <c r="BY1331" s="156"/>
      <c r="BZ1331" s="156"/>
      <c r="CA1331" s="156"/>
      <c r="CB1331" s="156"/>
      <c r="CC1331" s="156"/>
      <c r="CD1331" s="156"/>
      <c r="CE1331" s="156"/>
      <c r="CF1331" s="156"/>
      <c r="CG1331" s="156"/>
      <c r="CH1331" s="156"/>
      <c r="CI1331" s="156"/>
      <c r="CJ1331" s="156"/>
      <c r="CK1331" s="156"/>
      <c r="CL1331" s="156"/>
      <c r="CM1331" s="156"/>
      <c r="CN1331" s="156"/>
      <c r="CO1331" s="156"/>
      <c r="CP1331" s="156"/>
      <c r="CQ1331" s="156"/>
      <c r="CR1331" s="156"/>
      <c r="CS1331" s="156"/>
      <c r="CT1331" s="156"/>
      <c r="CU1331" s="156"/>
      <c r="CV1331" s="156"/>
      <c r="CW1331" s="156"/>
      <c r="CX1331" s="156"/>
      <c r="CY1331" s="156"/>
      <c r="CZ1331" s="156"/>
      <c r="DA1331" s="156"/>
      <c r="DB1331" s="156"/>
      <c r="DC1331" s="156"/>
      <c r="DD1331" s="156"/>
      <c r="DE1331" s="156"/>
      <c r="DF1331" s="156"/>
      <c r="DG1331" s="156"/>
      <c r="DH1331" s="156"/>
      <c r="DI1331" s="156"/>
      <c r="DJ1331" s="156"/>
      <c r="DK1331" s="156"/>
      <c r="DL1331" s="156"/>
      <c r="DM1331" s="156"/>
      <c r="DN1331" s="156"/>
      <c r="DO1331" s="156"/>
      <c r="DP1331" s="156"/>
      <c r="DQ1331" s="156"/>
      <c r="DR1331" s="156"/>
      <c r="DS1331" s="156"/>
      <c r="DT1331" s="156"/>
      <c r="DU1331" s="156"/>
      <c r="DV1331" s="156"/>
      <c r="DW1331" s="156"/>
      <c r="DX1331" s="156"/>
      <c r="DY1331" s="156"/>
      <c r="DZ1331" s="156"/>
      <c r="EA1331" s="156"/>
      <c r="EB1331" s="156"/>
      <c r="EC1331" s="156"/>
      <c r="ED1331" s="156"/>
      <c r="EE1331" s="156"/>
      <c r="EF1331" s="156"/>
      <c r="EG1331" s="156"/>
      <c r="EH1331" s="156"/>
      <c r="EI1331" s="156"/>
      <c r="EJ1331" s="156"/>
      <c r="EK1331" s="156"/>
      <c r="EL1331" s="156"/>
      <c r="EM1331" s="156"/>
    </row>
    <row r="1332" spans="20:143" ht="10.5" customHeight="1">
      <c r="T1332" s="156"/>
      <c r="AZ1332" s="156"/>
      <c r="BA1332" s="156"/>
      <c r="BB1332" s="156"/>
      <c r="BC1332" s="156"/>
      <c r="BD1332" s="156"/>
      <c r="BE1332" s="156"/>
      <c r="BF1332" s="156"/>
      <c r="BG1332" s="156"/>
      <c r="BH1332" s="156"/>
      <c r="BI1332" s="156"/>
      <c r="BJ1332" s="156"/>
      <c r="BK1332" s="156"/>
      <c r="BL1332" s="156"/>
      <c r="BM1332" s="156"/>
      <c r="BN1332" s="156"/>
      <c r="BO1332" s="156"/>
      <c r="BP1332" s="156"/>
      <c r="BQ1332" s="156"/>
      <c r="BR1332" s="156"/>
      <c r="BS1332" s="156"/>
      <c r="BT1332" s="156"/>
      <c r="BU1332" s="156"/>
      <c r="BV1332" s="156"/>
      <c r="BW1332" s="156"/>
      <c r="BX1332" s="156"/>
      <c r="BY1332" s="156"/>
      <c r="BZ1332" s="156"/>
      <c r="CA1332" s="156"/>
      <c r="CB1332" s="156"/>
      <c r="CC1332" s="156"/>
      <c r="CD1332" s="156"/>
      <c r="CE1332" s="156"/>
      <c r="CF1332" s="156"/>
      <c r="CG1332" s="156"/>
      <c r="CH1332" s="156"/>
      <c r="CI1332" s="156"/>
      <c r="CJ1332" s="156"/>
      <c r="CK1332" s="156"/>
      <c r="CL1332" s="156"/>
      <c r="CM1332" s="156"/>
      <c r="CN1332" s="156"/>
      <c r="CO1332" s="156"/>
      <c r="CP1332" s="156"/>
      <c r="CQ1332" s="156"/>
      <c r="CR1332" s="156"/>
      <c r="CS1332" s="156"/>
      <c r="CT1332" s="156"/>
      <c r="CU1332" s="156"/>
      <c r="CV1332" s="156"/>
      <c r="CW1332" s="156"/>
      <c r="CX1332" s="156"/>
      <c r="CY1332" s="156"/>
      <c r="CZ1332" s="156"/>
      <c r="DA1332" s="156"/>
      <c r="DB1332" s="156"/>
      <c r="DC1332" s="156"/>
      <c r="DD1332" s="156"/>
      <c r="DE1332" s="156"/>
      <c r="DF1332" s="156"/>
      <c r="DG1332" s="156"/>
      <c r="DH1332" s="156"/>
      <c r="DI1332" s="156"/>
      <c r="DJ1332" s="156"/>
      <c r="DK1332" s="156"/>
      <c r="DL1332" s="156"/>
      <c r="DM1332" s="156"/>
      <c r="DN1332" s="156"/>
      <c r="DO1332" s="156"/>
      <c r="DP1332" s="156"/>
      <c r="DQ1332" s="156"/>
      <c r="DR1332" s="156"/>
      <c r="DS1332" s="156"/>
      <c r="DT1332" s="156"/>
      <c r="DU1332" s="156"/>
      <c r="DV1332" s="156"/>
      <c r="DW1332" s="156"/>
      <c r="DX1332" s="156"/>
      <c r="DY1332" s="156"/>
      <c r="DZ1332" s="156"/>
      <c r="EA1332" s="156"/>
      <c r="EB1332" s="156"/>
      <c r="EC1332" s="156"/>
      <c r="ED1332" s="156"/>
      <c r="EE1332" s="156"/>
      <c r="EF1332" s="156"/>
      <c r="EG1332" s="156"/>
      <c r="EH1332" s="156"/>
      <c r="EI1332" s="156"/>
      <c r="EJ1332" s="156"/>
      <c r="EK1332" s="156"/>
      <c r="EL1332" s="156"/>
      <c r="EM1332" s="156"/>
    </row>
    <row r="1333" spans="20:143" ht="10.5" customHeight="1">
      <c r="T1333" s="156"/>
      <c r="AZ1333" s="156"/>
      <c r="BA1333" s="156"/>
      <c r="BB1333" s="156"/>
      <c r="BC1333" s="156"/>
      <c r="BD1333" s="156"/>
      <c r="BE1333" s="156"/>
      <c r="BF1333" s="156"/>
      <c r="BG1333" s="156"/>
      <c r="BH1333" s="156"/>
      <c r="BI1333" s="156"/>
      <c r="BJ1333" s="156"/>
      <c r="BK1333" s="156"/>
      <c r="BL1333" s="156"/>
      <c r="BM1333" s="156"/>
      <c r="BN1333" s="156"/>
      <c r="BO1333" s="156"/>
      <c r="BP1333" s="156"/>
      <c r="BQ1333" s="156"/>
      <c r="BR1333" s="156"/>
      <c r="BS1333" s="156"/>
      <c r="BT1333" s="156"/>
      <c r="BU1333" s="156"/>
      <c r="BV1333" s="156"/>
      <c r="BW1333" s="156"/>
      <c r="BX1333" s="156"/>
      <c r="BY1333" s="156"/>
      <c r="BZ1333" s="156"/>
      <c r="CA1333" s="156"/>
      <c r="CB1333" s="156"/>
      <c r="CC1333" s="156"/>
      <c r="CD1333" s="156"/>
      <c r="CE1333" s="156"/>
      <c r="CF1333" s="156"/>
      <c r="CG1333" s="156"/>
      <c r="CH1333" s="156"/>
      <c r="CI1333" s="156"/>
      <c r="CJ1333" s="156"/>
      <c r="CK1333" s="156"/>
      <c r="CL1333" s="156"/>
      <c r="CM1333" s="156"/>
      <c r="CN1333" s="156"/>
      <c r="CO1333" s="156"/>
      <c r="CP1333" s="156"/>
      <c r="CQ1333" s="156"/>
      <c r="CR1333" s="156"/>
      <c r="CS1333" s="156"/>
      <c r="CT1333" s="156"/>
      <c r="CU1333" s="156"/>
      <c r="CV1333" s="156"/>
      <c r="CW1333" s="156"/>
      <c r="CX1333" s="156"/>
      <c r="CY1333" s="156"/>
      <c r="CZ1333" s="156"/>
      <c r="DA1333" s="156"/>
      <c r="DB1333" s="156"/>
      <c r="DC1333" s="156"/>
      <c r="DD1333" s="156"/>
      <c r="DE1333" s="156"/>
      <c r="DF1333" s="156"/>
      <c r="DG1333" s="156"/>
      <c r="DH1333" s="156"/>
      <c r="DI1333" s="156"/>
      <c r="DJ1333" s="156"/>
      <c r="DK1333" s="156"/>
      <c r="DL1333" s="156"/>
      <c r="DM1333" s="156"/>
      <c r="DN1333" s="156"/>
      <c r="DO1333" s="156"/>
      <c r="DP1333" s="156"/>
      <c r="DQ1333" s="156"/>
      <c r="DR1333" s="156"/>
      <c r="DS1333" s="156"/>
      <c r="DT1333" s="156"/>
      <c r="DU1333" s="156"/>
      <c r="DV1333" s="156"/>
      <c r="DW1333" s="156"/>
      <c r="DX1333" s="156"/>
      <c r="DY1333" s="156"/>
      <c r="DZ1333" s="156"/>
      <c r="EA1333" s="156"/>
      <c r="EB1333" s="156"/>
      <c r="EC1333" s="156"/>
      <c r="ED1333" s="156"/>
      <c r="EE1333" s="156"/>
      <c r="EF1333" s="156"/>
      <c r="EG1333" s="156"/>
      <c r="EH1333" s="156"/>
      <c r="EI1333" s="156"/>
      <c r="EJ1333" s="156"/>
      <c r="EK1333" s="156"/>
      <c r="EL1333" s="156"/>
      <c r="EM1333" s="156"/>
    </row>
    <row r="1334" spans="20:143" ht="10.5" customHeight="1">
      <c r="T1334" s="156"/>
      <c r="AZ1334" s="156"/>
      <c r="BA1334" s="156"/>
      <c r="BB1334" s="156"/>
      <c r="BC1334" s="156"/>
      <c r="BD1334" s="156"/>
      <c r="BE1334" s="156"/>
      <c r="BF1334" s="156"/>
      <c r="BG1334" s="156"/>
      <c r="BH1334" s="156"/>
      <c r="BI1334" s="156"/>
      <c r="BJ1334" s="156"/>
      <c r="BK1334" s="156"/>
      <c r="BL1334" s="156"/>
      <c r="BM1334" s="156"/>
      <c r="BN1334" s="156"/>
      <c r="BO1334" s="156"/>
      <c r="BP1334" s="156"/>
      <c r="BQ1334" s="156"/>
      <c r="BR1334" s="156"/>
      <c r="BS1334" s="156"/>
      <c r="BT1334" s="156"/>
      <c r="BU1334" s="156"/>
      <c r="BV1334" s="156"/>
      <c r="BW1334" s="156"/>
      <c r="BX1334" s="156"/>
      <c r="BY1334" s="156"/>
      <c r="BZ1334" s="156"/>
      <c r="CA1334" s="156"/>
      <c r="CB1334" s="156"/>
      <c r="CC1334" s="156"/>
      <c r="CD1334" s="156"/>
      <c r="CE1334" s="156"/>
      <c r="CF1334" s="156"/>
      <c r="CG1334" s="156"/>
      <c r="CH1334" s="156"/>
      <c r="CI1334" s="156"/>
      <c r="CJ1334" s="156"/>
      <c r="CK1334" s="156"/>
      <c r="CL1334" s="156"/>
      <c r="CM1334" s="156"/>
      <c r="CN1334" s="156"/>
      <c r="CO1334" s="156"/>
      <c r="CP1334" s="156"/>
      <c r="CQ1334" s="156"/>
      <c r="CR1334" s="156"/>
      <c r="CS1334" s="156"/>
      <c r="CT1334" s="156"/>
      <c r="CU1334" s="156"/>
      <c r="CV1334" s="156"/>
      <c r="CW1334" s="156"/>
      <c r="CX1334" s="156"/>
      <c r="CY1334" s="156"/>
      <c r="CZ1334" s="156"/>
      <c r="DA1334" s="156"/>
      <c r="DB1334" s="156"/>
      <c r="DC1334" s="156"/>
      <c r="DD1334" s="156"/>
      <c r="DE1334" s="156"/>
      <c r="DF1334" s="156"/>
      <c r="DG1334" s="156"/>
      <c r="DH1334" s="156"/>
      <c r="DI1334" s="156"/>
      <c r="DJ1334" s="156"/>
      <c r="DK1334" s="156"/>
      <c r="DL1334" s="156"/>
      <c r="DM1334" s="156"/>
      <c r="DN1334" s="156"/>
      <c r="DO1334" s="156"/>
      <c r="DP1334" s="156"/>
      <c r="DQ1334" s="156"/>
      <c r="DR1334" s="156"/>
      <c r="DS1334" s="156"/>
      <c r="DT1334" s="156"/>
      <c r="DU1334" s="156"/>
      <c r="DV1334" s="156"/>
      <c r="DW1334" s="156"/>
      <c r="DX1334" s="156"/>
      <c r="DY1334" s="156"/>
      <c r="DZ1334" s="156"/>
      <c r="EA1334" s="156"/>
      <c r="EB1334" s="156"/>
      <c r="EC1334" s="156"/>
      <c r="ED1334" s="156"/>
      <c r="EE1334" s="156"/>
      <c r="EF1334" s="156"/>
      <c r="EG1334" s="156"/>
      <c r="EH1334" s="156"/>
      <c r="EI1334" s="156"/>
      <c r="EJ1334" s="156"/>
      <c r="EK1334" s="156"/>
      <c r="EL1334" s="156"/>
      <c r="EM1334" s="156"/>
    </row>
    <row r="1335" spans="20:143" ht="10.5" customHeight="1">
      <c r="T1335" s="156"/>
      <c r="AZ1335" s="156"/>
      <c r="BA1335" s="156"/>
      <c r="BB1335" s="156"/>
      <c r="BC1335" s="156"/>
      <c r="BD1335" s="156"/>
      <c r="BE1335" s="156"/>
      <c r="BF1335" s="156"/>
      <c r="BG1335" s="156"/>
      <c r="BH1335" s="156"/>
      <c r="BI1335" s="156"/>
      <c r="BJ1335" s="156"/>
      <c r="BK1335" s="156"/>
      <c r="BL1335" s="156"/>
      <c r="BM1335" s="156"/>
      <c r="BN1335" s="156"/>
      <c r="BO1335" s="156"/>
      <c r="BP1335" s="156"/>
      <c r="BQ1335" s="156"/>
      <c r="BR1335" s="156"/>
      <c r="BS1335" s="156"/>
      <c r="BT1335" s="156"/>
      <c r="BU1335" s="156"/>
      <c r="BV1335" s="156"/>
      <c r="BW1335" s="156"/>
      <c r="BX1335" s="156"/>
      <c r="BY1335" s="156"/>
      <c r="BZ1335" s="156"/>
      <c r="CA1335" s="156"/>
      <c r="CB1335" s="156"/>
      <c r="CC1335" s="156"/>
      <c r="CD1335" s="156"/>
      <c r="CE1335" s="156"/>
      <c r="CF1335" s="156"/>
      <c r="CG1335" s="156"/>
      <c r="CH1335" s="156"/>
      <c r="CI1335" s="156"/>
      <c r="CJ1335" s="156"/>
      <c r="CK1335" s="156"/>
      <c r="CL1335" s="156"/>
      <c r="CM1335" s="156"/>
      <c r="CN1335" s="156"/>
      <c r="CO1335" s="156"/>
      <c r="CP1335" s="156"/>
      <c r="CQ1335" s="156"/>
      <c r="CR1335" s="156"/>
      <c r="CS1335" s="156"/>
      <c r="CT1335" s="156"/>
      <c r="CU1335" s="156"/>
      <c r="CV1335" s="156"/>
      <c r="CW1335" s="156"/>
      <c r="CX1335" s="156"/>
      <c r="CY1335" s="156"/>
      <c r="CZ1335" s="156"/>
      <c r="DA1335" s="156"/>
      <c r="DB1335" s="156"/>
      <c r="DC1335" s="156"/>
      <c r="DD1335" s="156"/>
      <c r="DE1335" s="156"/>
      <c r="DF1335" s="156"/>
      <c r="DG1335" s="156"/>
      <c r="DH1335" s="156"/>
      <c r="DI1335" s="156"/>
      <c r="DJ1335" s="156"/>
      <c r="DK1335" s="156"/>
      <c r="DL1335" s="156"/>
      <c r="DM1335" s="156"/>
      <c r="DN1335" s="156"/>
      <c r="DO1335" s="156"/>
      <c r="DP1335" s="156"/>
      <c r="DQ1335" s="156"/>
      <c r="DR1335" s="156"/>
      <c r="DS1335" s="156"/>
      <c r="DT1335" s="156"/>
      <c r="DU1335" s="156"/>
      <c r="DV1335" s="156"/>
      <c r="DW1335" s="156"/>
      <c r="DX1335" s="156"/>
      <c r="DY1335" s="156"/>
      <c r="DZ1335" s="156"/>
      <c r="EA1335" s="156"/>
      <c r="EB1335" s="156"/>
      <c r="EC1335" s="156"/>
      <c r="ED1335" s="156"/>
      <c r="EE1335" s="156"/>
      <c r="EF1335" s="156"/>
      <c r="EG1335" s="156"/>
      <c r="EH1335" s="156"/>
      <c r="EI1335" s="156"/>
      <c r="EJ1335" s="156"/>
      <c r="EK1335" s="156"/>
      <c r="EL1335" s="156"/>
      <c r="EM1335" s="156"/>
    </row>
    <row r="1336" spans="20:143" ht="10.5" customHeight="1">
      <c r="T1336" s="156"/>
      <c r="AZ1336" s="156"/>
      <c r="BA1336" s="156"/>
      <c r="BB1336" s="156"/>
      <c r="BC1336" s="156"/>
      <c r="BD1336" s="156"/>
      <c r="BE1336" s="156"/>
      <c r="BF1336" s="156"/>
      <c r="BG1336" s="156"/>
      <c r="BH1336" s="156"/>
      <c r="BI1336" s="156"/>
      <c r="BJ1336" s="156"/>
      <c r="BK1336" s="156"/>
      <c r="BL1336" s="156"/>
      <c r="BM1336" s="156"/>
      <c r="BN1336" s="156"/>
      <c r="BO1336" s="156"/>
      <c r="BP1336" s="156"/>
      <c r="BQ1336" s="156"/>
      <c r="BR1336" s="156"/>
      <c r="BS1336" s="156"/>
      <c r="BT1336" s="156"/>
      <c r="BU1336" s="156"/>
      <c r="BV1336" s="156"/>
      <c r="BW1336" s="156"/>
      <c r="BX1336" s="156"/>
      <c r="BY1336" s="156"/>
      <c r="BZ1336" s="156"/>
      <c r="CA1336" s="156"/>
      <c r="CB1336" s="156"/>
      <c r="CC1336" s="156"/>
      <c r="CD1336" s="156"/>
      <c r="CE1336" s="156"/>
      <c r="CF1336" s="156"/>
      <c r="CG1336" s="156"/>
      <c r="CH1336" s="156"/>
      <c r="CI1336" s="156"/>
      <c r="CJ1336" s="156"/>
      <c r="CK1336" s="156"/>
      <c r="CL1336" s="156"/>
      <c r="CM1336" s="156"/>
      <c r="CN1336" s="156"/>
      <c r="CO1336" s="156"/>
      <c r="CP1336" s="156"/>
      <c r="CQ1336" s="156"/>
      <c r="CR1336" s="156"/>
      <c r="CS1336" s="156"/>
      <c r="CT1336" s="156"/>
      <c r="CU1336" s="156"/>
      <c r="CV1336" s="156"/>
      <c r="CW1336" s="156"/>
      <c r="CX1336" s="156"/>
      <c r="CY1336" s="156"/>
      <c r="CZ1336" s="156"/>
      <c r="DA1336" s="156"/>
      <c r="DB1336" s="156"/>
      <c r="DC1336" s="156"/>
      <c r="DD1336" s="156"/>
      <c r="DE1336" s="156"/>
      <c r="DF1336" s="156"/>
      <c r="DG1336" s="156"/>
      <c r="DH1336" s="156"/>
      <c r="DI1336" s="156"/>
      <c r="DJ1336" s="156"/>
      <c r="DK1336" s="156"/>
      <c r="DL1336" s="156"/>
      <c r="DM1336" s="156"/>
      <c r="DN1336" s="156"/>
      <c r="DO1336" s="156"/>
      <c r="DP1336" s="156"/>
      <c r="DQ1336" s="156"/>
      <c r="DR1336" s="156"/>
      <c r="DS1336" s="156"/>
      <c r="DT1336" s="156"/>
      <c r="DU1336" s="156"/>
      <c r="DV1336" s="156"/>
      <c r="DW1336" s="156"/>
      <c r="DX1336" s="156"/>
      <c r="DY1336" s="156"/>
      <c r="DZ1336" s="156"/>
      <c r="EA1336" s="156"/>
      <c r="EB1336" s="156"/>
      <c r="EC1336" s="156"/>
      <c r="ED1336" s="156"/>
      <c r="EE1336" s="156"/>
      <c r="EF1336" s="156"/>
      <c r="EG1336" s="156"/>
      <c r="EH1336" s="156"/>
      <c r="EI1336" s="156"/>
      <c r="EJ1336" s="156"/>
      <c r="EK1336" s="156"/>
      <c r="EL1336" s="156"/>
      <c r="EM1336" s="156"/>
    </row>
    <row r="1337" spans="20:143" ht="10.5" customHeight="1">
      <c r="T1337" s="156"/>
      <c r="AZ1337" s="156"/>
      <c r="BA1337" s="156"/>
      <c r="BB1337" s="156"/>
      <c r="BC1337" s="156"/>
      <c r="BD1337" s="156"/>
      <c r="BE1337" s="156"/>
      <c r="BF1337" s="156"/>
      <c r="BG1337" s="156"/>
      <c r="BH1337" s="156"/>
      <c r="BI1337" s="156"/>
      <c r="BJ1337" s="156"/>
      <c r="BK1337" s="156"/>
      <c r="BL1337" s="156"/>
      <c r="BM1337" s="156"/>
      <c r="BN1337" s="156"/>
      <c r="BO1337" s="156"/>
      <c r="BP1337" s="156"/>
      <c r="BQ1337" s="156"/>
      <c r="BR1337" s="156"/>
      <c r="BS1337" s="156"/>
      <c r="BT1337" s="156"/>
      <c r="BU1337" s="156"/>
      <c r="BV1337" s="156"/>
      <c r="BW1337" s="156"/>
      <c r="BX1337" s="156"/>
      <c r="BY1337" s="156"/>
      <c r="BZ1337" s="156"/>
      <c r="CA1337" s="156"/>
      <c r="CB1337" s="156"/>
      <c r="CC1337" s="156"/>
      <c r="CD1337" s="156"/>
      <c r="CE1337" s="156"/>
      <c r="CF1337" s="156"/>
      <c r="CG1337" s="156"/>
      <c r="CH1337" s="156"/>
      <c r="CI1337" s="156"/>
      <c r="CJ1337" s="156"/>
      <c r="CK1337" s="156"/>
      <c r="CL1337" s="156"/>
      <c r="CM1337" s="156"/>
      <c r="CN1337" s="156"/>
      <c r="CO1337" s="156"/>
      <c r="CP1337" s="156"/>
      <c r="CQ1337" s="156"/>
      <c r="CR1337" s="156"/>
      <c r="CS1337" s="156"/>
      <c r="CT1337" s="156"/>
      <c r="CU1337" s="156"/>
      <c r="CV1337" s="156"/>
      <c r="CW1337" s="156"/>
      <c r="CX1337" s="156"/>
      <c r="CY1337" s="156"/>
      <c r="CZ1337" s="156"/>
      <c r="DA1337" s="156"/>
      <c r="DB1337" s="156"/>
      <c r="DC1337" s="156"/>
      <c r="DD1337" s="156"/>
      <c r="DE1337" s="156"/>
      <c r="DF1337" s="156"/>
      <c r="DG1337" s="156"/>
      <c r="DH1337" s="156"/>
      <c r="DI1337" s="156"/>
      <c r="DJ1337" s="156"/>
      <c r="DK1337" s="156"/>
      <c r="DL1337" s="156"/>
      <c r="DM1337" s="156"/>
      <c r="DN1337" s="156"/>
      <c r="DO1337" s="156"/>
      <c r="DP1337" s="156"/>
      <c r="DQ1337" s="156"/>
      <c r="DR1337" s="156"/>
      <c r="DS1337" s="156"/>
      <c r="DT1337" s="156"/>
      <c r="DU1337" s="156"/>
      <c r="DV1337" s="156"/>
      <c r="DW1337" s="156"/>
      <c r="DX1337" s="156"/>
      <c r="DY1337" s="156"/>
      <c r="DZ1337" s="156"/>
      <c r="EA1337" s="156"/>
      <c r="EB1337" s="156"/>
      <c r="EC1337" s="156"/>
      <c r="ED1337" s="156"/>
      <c r="EE1337" s="156"/>
      <c r="EF1337" s="156"/>
      <c r="EG1337" s="156"/>
      <c r="EH1337" s="156"/>
      <c r="EI1337" s="156"/>
      <c r="EJ1337" s="156"/>
      <c r="EK1337" s="156"/>
      <c r="EL1337" s="156"/>
      <c r="EM1337" s="156"/>
    </row>
    <row r="1338" spans="20:143" ht="10.5" customHeight="1">
      <c r="T1338" s="156"/>
      <c r="AZ1338" s="156"/>
      <c r="BA1338" s="156"/>
      <c r="BB1338" s="156"/>
      <c r="BC1338" s="156"/>
      <c r="BD1338" s="156"/>
      <c r="BE1338" s="156"/>
      <c r="BF1338" s="156"/>
      <c r="BG1338" s="156"/>
      <c r="BH1338" s="156"/>
      <c r="BI1338" s="156"/>
      <c r="BJ1338" s="156"/>
      <c r="BK1338" s="156"/>
      <c r="BL1338" s="156"/>
      <c r="BM1338" s="156"/>
      <c r="BN1338" s="156"/>
      <c r="BO1338" s="156"/>
      <c r="BP1338" s="156"/>
      <c r="BQ1338" s="156"/>
      <c r="BR1338" s="156"/>
      <c r="BS1338" s="156"/>
      <c r="BT1338" s="156"/>
      <c r="BU1338" s="156"/>
      <c r="BV1338" s="156"/>
      <c r="BW1338" s="156"/>
      <c r="BX1338" s="156"/>
      <c r="BY1338" s="156"/>
      <c r="BZ1338" s="156"/>
      <c r="CA1338" s="156"/>
      <c r="CB1338" s="156"/>
      <c r="CC1338" s="156"/>
      <c r="CD1338" s="156"/>
      <c r="CE1338" s="156"/>
      <c r="CF1338" s="156"/>
      <c r="CG1338" s="156"/>
      <c r="CH1338" s="156"/>
      <c r="CI1338" s="156"/>
      <c r="CJ1338" s="156"/>
      <c r="CK1338" s="156"/>
      <c r="CL1338" s="156"/>
      <c r="CM1338" s="156"/>
      <c r="CN1338" s="156"/>
      <c r="CO1338" s="156"/>
      <c r="CP1338" s="156"/>
      <c r="CQ1338" s="156"/>
      <c r="CR1338" s="156"/>
      <c r="CS1338" s="156"/>
      <c r="CT1338" s="156"/>
      <c r="CU1338" s="156"/>
      <c r="CV1338" s="156"/>
      <c r="CW1338" s="156"/>
      <c r="CX1338" s="156"/>
      <c r="CY1338" s="156"/>
      <c r="CZ1338" s="156"/>
      <c r="DA1338" s="156"/>
      <c r="DB1338" s="156"/>
      <c r="DC1338" s="156"/>
      <c r="DD1338" s="156"/>
      <c r="DE1338" s="156"/>
      <c r="DF1338" s="156"/>
      <c r="DG1338" s="156"/>
      <c r="DH1338" s="156"/>
      <c r="DI1338" s="156"/>
      <c r="DJ1338" s="156"/>
      <c r="DK1338" s="156"/>
      <c r="DL1338" s="156"/>
      <c r="DM1338" s="156"/>
      <c r="DN1338" s="156"/>
      <c r="DO1338" s="156"/>
      <c r="DP1338" s="156"/>
      <c r="DQ1338" s="156"/>
      <c r="DR1338" s="156"/>
      <c r="DS1338" s="156"/>
      <c r="DT1338" s="156"/>
      <c r="DU1338" s="156"/>
      <c r="DV1338" s="156"/>
      <c r="DW1338" s="156"/>
      <c r="DX1338" s="156"/>
      <c r="DY1338" s="156"/>
      <c r="DZ1338" s="156"/>
      <c r="EA1338" s="156"/>
      <c r="EB1338" s="156"/>
      <c r="EC1338" s="156"/>
      <c r="ED1338" s="156"/>
      <c r="EE1338" s="156"/>
      <c r="EF1338" s="156"/>
      <c r="EG1338" s="156"/>
      <c r="EH1338" s="156"/>
      <c r="EI1338" s="156"/>
      <c r="EJ1338" s="156"/>
      <c r="EK1338" s="156"/>
      <c r="EL1338" s="156"/>
      <c r="EM1338" s="156"/>
    </row>
    <row r="1339" spans="20:143" ht="10.5" customHeight="1">
      <c r="T1339" s="156"/>
      <c r="AZ1339" s="156"/>
      <c r="BA1339" s="156"/>
      <c r="BB1339" s="156"/>
      <c r="BC1339" s="156"/>
      <c r="BD1339" s="156"/>
      <c r="BE1339" s="156"/>
      <c r="BF1339" s="156"/>
      <c r="BG1339" s="156"/>
      <c r="BH1339" s="156"/>
      <c r="BI1339" s="156"/>
      <c r="BJ1339" s="156"/>
      <c r="BK1339" s="156"/>
      <c r="BL1339" s="156"/>
      <c r="BM1339" s="156"/>
      <c r="BN1339" s="156"/>
      <c r="BO1339" s="156"/>
      <c r="BP1339" s="156"/>
      <c r="BQ1339" s="156"/>
      <c r="BR1339" s="156"/>
      <c r="BS1339" s="156"/>
      <c r="BT1339" s="156"/>
      <c r="BU1339" s="156"/>
      <c r="BV1339" s="156"/>
      <c r="BW1339" s="156"/>
      <c r="BX1339" s="156"/>
      <c r="BY1339" s="156"/>
      <c r="BZ1339" s="156"/>
      <c r="CA1339" s="156"/>
      <c r="CB1339" s="156"/>
      <c r="CC1339" s="156"/>
      <c r="CD1339" s="156"/>
      <c r="CE1339" s="156"/>
      <c r="CF1339" s="156"/>
      <c r="CG1339" s="156"/>
      <c r="CH1339" s="156"/>
      <c r="CI1339" s="156"/>
      <c r="CJ1339" s="156"/>
      <c r="CK1339" s="156"/>
      <c r="CL1339" s="156"/>
      <c r="CM1339" s="156"/>
      <c r="CN1339" s="156"/>
      <c r="CO1339" s="156"/>
      <c r="CP1339" s="156"/>
      <c r="CQ1339" s="156"/>
      <c r="CR1339" s="156"/>
      <c r="CS1339" s="156"/>
      <c r="CT1339" s="156"/>
      <c r="CU1339" s="156"/>
      <c r="CV1339" s="156"/>
      <c r="CW1339" s="156"/>
      <c r="CX1339" s="156"/>
      <c r="CY1339" s="156"/>
      <c r="CZ1339" s="156"/>
      <c r="DA1339" s="156"/>
      <c r="DB1339" s="156"/>
      <c r="DC1339" s="156"/>
      <c r="DD1339" s="156"/>
      <c r="DE1339" s="156"/>
      <c r="DF1339" s="156"/>
      <c r="DG1339" s="156"/>
      <c r="DH1339" s="156"/>
      <c r="DI1339" s="156"/>
      <c r="DJ1339" s="156"/>
      <c r="DK1339" s="156"/>
      <c r="DL1339" s="156"/>
      <c r="DM1339" s="156"/>
      <c r="DN1339" s="156"/>
      <c r="DO1339" s="156"/>
      <c r="DP1339" s="156"/>
      <c r="DQ1339" s="156"/>
      <c r="DR1339" s="156"/>
      <c r="DS1339" s="156"/>
      <c r="DT1339" s="156"/>
      <c r="DU1339" s="156"/>
      <c r="DV1339" s="156"/>
      <c r="DW1339" s="156"/>
      <c r="DX1339" s="156"/>
      <c r="DY1339" s="156"/>
      <c r="DZ1339" s="156"/>
      <c r="EA1339" s="156"/>
      <c r="EB1339" s="156"/>
      <c r="EC1339" s="156"/>
      <c r="ED1339" s="156"/>
      <c r="EE1339" s="156"/>
      <c r="EF1339" s="156"/>
      <c r="EG1339" s="156"/>
      <c r="EH1339" s="156"/>
      <c r="EI1339" s="156"/>
      <c r="EJ1339" s="156"/>
      <c r="EK1339" s="156"/>
      <c r="EL1339" s="156"/>
      <c r="EM1339" s="156"/>
    </row>
    <row r="1340" spans="20:143" ht="10.5" customHeight="1">
      <c r="T1340" s="156"/>
      <c r="AZ1340" s="156"/>
      <c r="BA1340" s="156"/>
      <c r="BB1340" s="156"/>
      <c r="BC1340" s="156"/>
      <c r="BD1340" s="156"/>
      <c r="BE1340" s="156"/>
      <c r="BF1340" s="156"/>
      <c r="BG1340" s="156"/>
      <c r="BH1340" s="156"/>
      <c r="BI1340" s="156"/>
      <c r="BJ1340" s="156"/>
      <c r="BK1340" s="156"/>
      <c r="BL1340" s="156"/>
      <c r="BM1340" s="156"/>
      <c r="BN1340" s="156"/>
      <c r="BO1340" s="156"/>
      <c r="BP1340" s="156"/>
      <c r="BQ1340" s="156"/>
      <c r="BR1340" s="156"/>
      <c r="BS1340" s="156"/>
      <c r="BT1340" s="156"/>
      <c r="BU1340" s="156"/>
      <c r="BV1340" s="156"/>
      <c r="BW1340" s="156"/>
      <c r="BX1340" s="156"/>
      <c r="BY1340" s="156"/>
      <c r="BZ1340" s="156"/>
      <c r="CA1340" s="156"/>
      <c r="CB1340" s="156"/>
      <c r="CC1340" s="156"/>
      <c r="CD1340" s="156"/>
      <c r="CE1340" s="156"/>
      <c r="CF1340" s="156"/>
      <c r="CG1340" s="156"/>
      <c r="CH1340" s="156"/>
      <c r="CI1340" s="156"/>
      <c r="CJ1340" s="156"/>
      <c r="CK1340" s="156"/>
      <c r="CL1340" s="156"/>
      <c r="CM1340" s="156"/>
      <c r="CN1340" s="156"/>
      <c r="CO1340" s="156"/>
      <c r="CP1340" s="156"/>
      <c r="CQ1340" s="156"/>
      <c r="CR1340" s="156"/>
      <c r="CS1340" s="156"/>
      <c r="CT1340" s="156"/>
      <c r="CU1340" s="156"/>
      <c r="CV1340" s="156"/>
      <c r="CW1340" s="156"/>
      <c r="CX1340" s="156"/>
      <c r="CY1340" s="156"/>
      <c r="CZ1340" s="156"/>
      <c r="DA1340" s="156"/>
      <c r="DB1340" s="156"/>
      <c r="DC1340" s="156"/>
      <c r="DD1340" s="156"/>
      <c r="DE1340" s="156"/>
      <c r="DF1340" s="156"/>
      <c r="DG1340" s="156"/>
      <c r="DH1340" s="156"/>
      <c r="DI1340" s="156"/>
      <c r="DJ1340" s="156"/>
      <c r="DK1340" s="156"/>
      <c r="DL1340" s="156"/>
      <c r="DM1340" s="156"/>
      <c r="DN1340" s="156"/>
      <c r="DO1340" s="156"/>
      <c r="DP1340" s="156"/>
      <c r="DQ1340" s="156"/>
      <c r="DR1340" s="156"/>
      <c r="DS1340" s="156"/>
      <c r="DT1340" s="156"/>
      <c r="DU1340" s="156"/>
      <c r="DV1340" s="156"/>
      <c r="DW1340" s="156"/>
      <c r="DX1340" s="156"/>
      <c r="DY1340" s="156"/>
      <c r="DZ1340" s="156"/>
      <c r="EA1340" s="156"/>
      <c r="EB1340" s="156"/>
      <c r="EC1340" s="156"/>
      <c r="ED1340" s="156"/>
      <c r="EE1340" s="156"/>
      <c r="EF1340" s="156"/>
      <c r="EG1340" s="156"/>
      <c r="EH1340" s="156"/>
      <c r="EI1340" s="156"/>
      <c r="EJ1340" s="156"/>
      <c r="EK1340" s="156"/>
      <c r="EL1340" s="156"/>
      <c r="EM1340" s="156"/>
    </row>
    <row r="1341" spans="20:143" ht="10.5" customHeight="1">
      <c r="T1341" s="156"/>
      <c r="AZ1341" s="156"/>
      <c r="BA1341" s="156"/>
      <c r="BB1341" s="156"/>
      <c r="BC1341" s="156"/>
      <c r="BD1341" s="156"/>
      <c r="BE1341" s="156"/>
      <c r="BF1341" s="156"/>
      <c r="BG1341" s="156"/>
      <c r="BH1341" s="156"/>
      <c r="BI1341" s="156"/>
      <c r="BJ1341" s="156"/>
      <c r="BK1341" s="156"/>
      <c r="BL1341" s="156"/>
      <c r="BM1341" s="156"/>
      <c r="BN1341" s="156"/>
      <c r="BO1341" s="156"/>
      <c r="BP1341" s="156"/>
      <c r="BQ1341" s="156"/>
      <c r="BR1341" s="156"/>
      <c r="BS1341" s="156"/>
      <c r="BT1341" s="156"/>
      <c r="BU1341" s="156"/>
      <c r="BV1341" s="156"/>
      <c r="BW1341" s="156"/>
      <c r="BX1341" s="156"/>
      <c r="BY1341" s="156"/>
      <c r="BZ1341" s="156"/>
      <c r="CA1341" s="156"/>
      <c r="CB1341" s="156"/>
      <c r="CC1341" s="156"/>
      <c r="CD1341" s="156"/>
      <c r="CE1341" s="156"/>
      <c r="CF1341" s="156"/>
      <c r="CG1341" s="156"/>
      <c r="CH1341" s="156"/>
      <c r="CI1341" s="156"/>
      <c r="CJ1341" s="156"/>
      <c r="CK1341" s="156"/>
      <c r="CL1341" s="156"/>
      <c r="CM1341" s="156"/>
      <c r="CN1341" s="156"/>
      <c r="CO1341" s="156"/>
      <c r="CP1341" s="156"/>
      <c r="CQ1341" s="156"/>
      <c r="CR1341" s="156"/>
      <c r="CS1341" s="156"/>
      <c r="CT1341" s="156"/>
      <c r="CU1341" s="156"/>
      <c r="CV1341" s="156"/>
      <c r="CW1341" s="156"/>
      <c r="CX1341" s="156"/>
      <c r="CY1341" s="156"/>
      <c r="CZ1341" s="156"/>
      <c r="DA1341" s="156"/>
      <c r="DB1341" s="156"/>
      <c r="DC1341" s="156"/>
      <c r="DD1341" s="156"/>
      <c r="DE1341" s="156"/>
      <c r="DF1341" s="156"/>
      <c r="DG1341" s="156"/>
      <c r="DH1341" s="156"/>
      <c r="DI1341" s="156"/>
      <c r="DJ1341" s="156"/>
      <c r="DK1341" s="156"/>
      <c r="DL1341" s="156"/>
      <c r="DM1341" s="156"/>
      <c r="DN1341" s="156"/>
      <c r="DO1341" s="156"/>
      <c r="DP1341" s="156"/>
      <c r="DQ1341" s="156"/>
      <c r="DR1341" s="156"/>
      <c r="DS1341" s="156"/>
      <c r="DT1341" s="156"/>
      <c r="DU1341" s="156"/>
      <c r="DV1341" s="156"/>
      <c r="DW1341" s="156"/>
      <c r="DX1341" s="156"/>
      <c r="DY1341" s="156"/>
      <c r="DZ1341" s="156"/>
      <c r="EA1341" s="156"/>
      <c r="EB1341" s="156"/>
      <c r="EC1341" s="156"/>
      <c r="ED1341" s="156"/>
      <c r="EE1341" s="156"/>
      <c r="EF1341" s="156"/>
      <c r="EG1341" s="156"/>
      <c r="EH1341" s="156"/>
      <c r="EI1341" s="156"/>
      <c r="EJ1341" s="156"/>
      <c r="EK1341" s="156"/>
      <c r="EL1341" s="156"/>
      <c r="EM1341" s="156"/>
    </row>
    <row r="1342" spans="20:143" ht="10.5" customHeight="1">
      <c r="T1342" s="156"/>
      <c r="AZ1342" s="156"/>
      <c r="BA1342" s="156"/>
      <c r="BB1342" s="156"/>
      <c r="BC1342" s="156"/>
      <c r="BD1342" s="156"/>
      <c r="BE1342" s="156"/>
      <c r="BF1342" s="156"/>
      <c r="BG1342" s="156"/>
      <c r="BH1342" s="156"/>
      <c r="BI1342" s="156"/>
      <c r="BJ1342" s="156"/>
      <c r="BK1342" s="156"/>
      <c r="BL1342" s="156"/>
      <c r="BM1342" s="156"/>
      <c r="BN1342" s="156"/>
      <c r="BO1342" s="156"/>
      <c r="BP1342" s="156"/>
      <c r="BQ1342" s="156"/>
      <c r="BR1342" s="156"/>
      <c r="BS1342" s="156"/>
      <c r="BT1342" s="156"/>
      <c r="BU1342" s="156"/>
      <c r="BV1342" s="156"/>
      <c r="BW1342" s="156"/>
      <c r="BX1342" s="156"/>
      <c r="BY1342" s="156"/>
      <c r="BZ1342" s="156"/>
      <c r="CA1342" s="156"/>
      <c r="CB1342" s="156"/>
      <c r="CC1342" s="156"/>
      <c r="CD1342" s="156"/>
      <c r="CE1342" s="156"/>
      <c r="CF1342" s="156"/>
      <c r="CG1342" s="156"/>
      <c r="CH1342" s="156"/>
      <c r="CI1342" s="156"/>
      <c r="CJ1342" s="156"/>
      <c r="CK1342" s="156"/>
      <c r="CL1342" s="156"/>
      <c r="CM1342" s="156"/>
      <c r="CN1342" s="156"/>
      <c r="CO1342" s="156"/>
      <c r="CP1342" s="156"/>
      <c r="CQ1342" s="156"/>
      <c r="CR1342" s="156"/>
      <c r="CS1342" s="156"/>
      <c r="CT1342" s="156"/>
      <c r="CU1342" s="156"/>
      <c r="CV1342" s="156"/>
      <c r="CW1342" s="156"/>
      <c r="CX1342" s="156"/>
      <c r="CY1342" s="156"/>
      <c r="CZ1342" s="156"/>
      <c r="DA1342" s="156"/>
      <c r="DB1342" s="156"/>
      <c r="DC1342" s="156"/>
      <c r="DD1342" s="156"/>
      <c r="DE1342" s="156"/>
      <c r="DF1342" s="156"/>
      <c r="DG1342" s="156"/>
      <c r="DH1342" s="156"/>
      <c r="DI1342" s="156"/>
      <c r="DJ1342" s="156"/>
      <c r="DK1342" s="156"/>
      <c r="DL1342" s="156"/>
      <c r="DM1342" s="156"/>
      <c r="DN1342" s="156"/>
      <c r="DO1342" s="156"/>
      <c r="DP1342" s="156"/>
      <c r="DQ1342" s="156"/>
      <c r="DR1342" s="156"/>
      <c r="DS1342" s="156"/>
      <c r="DT1342" s="156"/>
      <c r="DU1342" s="156"/>
      <c r="DV1342" s="156"/>
      <c r="DW1342" s="156"/>
      <c r="DX1342" s="156"/>
      <c r="DY1342" s="156"/>
      <c r="DZ1342" s="156"/>
      <c r="EA1342" s="156"/>
      <c r="EB1342" s="156"/>
      <c r="EC1342" s="156"/>
      <c r="ED1342" s="156"/>
      <c r="EE1342" s="156"/>
      <c r="EF1342" s="156"/>
      <c r="EG1342" s="156"/>
      <c r="EH1342" s="156"/>
      <c r="EI1342" s="156"/>
      <c r="EJ1342" s="156"/>
      <c r="EK1342" s="156"/>
      <c r="EL1342" s="156"/>
      <c r="EM1342" s="156"/>
    </row>
    <row r="1343" spans="20:143" ht="10.5" customHeight="1">
      <c r="T1343" s="156"/>
      <c r="AZ1343" s="156"/>
      <c r="BA1343" s="156"/>
      <c r="BB1343" s="156"/>
      <c r="BC1343" s="156"/>
      <c r="BD1343" s="156"/>
      <c r="BE1343" s="156"/>
      <c r="BF1343" s="156"/>
      <c r="BG1343" s="156"/>
      <c r="BH1343" s="156"/>
      <c r="BI1343" s="156"/>
      <c r="BJ1343" s="156"/>
      <c r="BK1343" s="156"/>
      <c r="BL1343" s="156"/>
      <c r="BM1343" s="156"/>
      <c r="BN1343" s="156"/>
      <c r="BO1343" s="156"/>
      <c r="BP1343" s="156"/>
      <c r="BQ1343" s="156"/>
      <c r="BR1343" s="156"/>
      <c r="BS1343" s="156"/>
      <c r="BT1343" s="156"/>
      <c r="BU1343" s="156"/>
      <c r="BV1343" s="156"/>
      <c r="BW1343" s="156"/>
      <c r="BX1343" s="156"/>
      <c r="BY1343" s="156"/>
      <c r="BZ1343" s="156"/>
      <c r="CA1343" s="156"/>
      <c r="CB1343" s="156"/>
      <c r="CC1343" s="156"/>
      <c r="CD1343" s="156"/>
      <c r="CE1343" s="156"/>
      <c r="CF1343" s="156"/>
      <c r="CG1343" s="156"/>
      <c r="CH1343" s="156"/>
      <c r="CI1343" s="156"/>
      <c r="CJ1343" s="156"/>
      <c r="CK1343" s="156"/>
      <c r="CL1343" s="156"/>
      <c r="CM1343" s="156"/>
      <c r="CN1343" s="156"/>
      <c r="CO1343" s="156"/>
      <c r="CP1343" s="156"/>
      <c r="CQ1343" s="156"/>
      <c r="CR1343" s="156"/>
      <c r="CS1343" s="156"/>
      <c r="CT1343" s="156"/>
      <c r="CU1343" s="156"/>
      <c r="CV1343" s="156"/>
      <c r="CW1343" s="156"/>
      <c r="CX1343" s="156"/>
      <c r="CY1343" s="156"/>
      <c r="CZ1343" s="156"/>
      <c r="DA1343" s="156"/>
      <c r="DB1343" s="156"/>
      <c r="DC1343" s="156"/>
      <c r="DD1343" s="156"/>
      <c r="DE1343" s="156"/>
      <c r="DF1343" s="156"/>
      <c r="DG1343" s="156"/>
      <c r="DH1343" s="156"/>
      <c r="DI1343" s="156"/>
      <c r="DJ1343" s="156"/>
      <c r="DK1343" s="156"/>
      <c r="DL1343" s="156"/>
      <c r="DM1343" s="156"/>
      <c r="DN1343" s="156"/>
      <c r="DO1343" s="156"/>
      <c r="DP1343" s="156"/>
      <c r="DQ1343" s="156"/>
      <c r="DR1343" s="156"/>
      <c r="DS1343" s="156"/>
      <c r="DT1343" s="156"/>
      <c r="DU1343" s="156"/>
      <c r="DV1343" s="156"/>
      <c r="DW1343" s="156"/>
      <c r="DX1343" s="156"/>
      <c r="DY1343" s="156"/>
      <c r="DZ1343" s="156"/>
      <c r="EA1343" s="156"/>
      <c r="EB1343" s="156"/>
      <c r="EC1343" s="156"/>
      <c r="ED1343" s="156"/>
      <c r="EE1343" s="156"/>
      <c r="EF1343" s="156"/>
      <c r="EG1343" s="156"/>
      <c r="EH1343" s="156"/>
      <c r="EI1343" s="156"/>
      <c r="EJ1343" s="156"/>
      <c r="EK1343" s="156"/>
      <c r="EL1343" s="156"/>
      <c r="EM1343" s="156"/>
    </row>
    <row r="1344" spans="20:143" ht="10.5" customHeight="1">
      <c r="T1344" s="156"/>
      <c r="AZ1344" s="156"/>
      <c r="BA1344" s="156"/>
      <c r="BB1344" s="156"/>
      <c r="BC1344" s="156"/>
      <c r="BD1344" s="156"/>
      <c r="BE1344" s="156"/>
      <c r="BF1344" s="156"/>
      <c r="BG1344" s="156"/>
      <c r="BH1344" s="156"/>
      <c r="BI1344" s="156"/>
      <c r="BJ1344" s="156"/>
      <c r="BK1344" s="156"/>
      <c r="BL1344" s="156"/>
      <c r="BM1344" s="156"/>
      <c r="BN1344" s="156"/>
      <c r="BO1344" s="156"/>
      <c r="BP1344" s="156"/>
      <c r="BQ1344" s="156"/>
      <c r="BR1344" s="156"/>
      <c r="BS1344" s="156"/>
      <c r="BT1344" s="156"/>
      <c r="BU1344" s="156"/>
      <c r="BV1344" s="156"/>
      <c r="BW1344" s="156"/>
      <c r="BX1344" s="156"/>
      <c r="BY1344" s="156"/>
      <c r="BZ1344" s="156"/>
      <c r="CA1344" s="156"/>
      <c r="CB1344" s="156"/>
      <c r="CC1344" s="156"/>
      <c r="CD1344" s="156"/>
      <c r="CE1344" s="156"/>
      <c r="CF1344" s="156"/>
      <c r="CG1344" s="156"/>
      <c r="CH1344" s="156"/>
      <c r="CI1344" s="156"/>
      <c r="CJ1344" s="156"/>
      <c r="CK1344" s="156"/>
      <c r="CL1344" s="156"/>
      <c r="CM1344" s="156"/>
      <c r="CN1344" s="156"/>
      <c r="CO1344" s="156"/>
      <c r="CP1344" s="156"/>
      <c r="CQ1344" s="156"/>
      <c r="CR1344" s="156"/>
      <c r="CS1344" s="156"/>
      <c r="CT1344" s="156"/>
      <c r="CU1344" s="156"/>
      <c r="CV1344" s="156"/>
      <c r="CW1344" s="156"/>
      <c r="CX1344" s="156"/>
      <c r="CY1344" s="156"/>
      <c r="CZ1344" s="156"/>
      <c r="DA1344" s="156"/>
      <c r="DB1344" s="156"/>
      <c r="DC1344" s="156"/>
      <c r="DD1344" s="156"/>
      <c r="DE1344" s="156"/>
      <c r="DF1344" s="156"/>
      <c r="DG1344" s="156"/>
      <c r="DH1344" s="156"/>
      <c r="DI1344" s="156"/>
      <c r="DJ1344" s="156"/>
      <c r="DK1344" s="156"/>
      <c r="DL1344" s="156"/>
      <c r="DM1344" s="156"/>
      <c r="DN1344" s="156"/>
      <c r="DO1344" s="156"/>
      <c r="DP1344" s="156"/>
      <c r="DQ1344" s="156"/>
      <c r="DR1344" s="156"/>
      <c r="DS1344" s="156"/>
      <c r="DT1344" s="156"/>
      <c r="DU1344" s="156"/>
      <c r="DV1344" s="156"/>
      <c r="DW1344" s="156"/>
      <c r="DX1344" s="156"/>
      <c r="DY1344" s="156"/>
      <c r="DZ1344" s="156"/>
      <c r="EA1344" s="156"/>
      <c r="EB1344" s="156"/>
      <c r="EC1344" s="156"/>
      <c r="ED1344" s="156"/>
      <c r="EE1344" s="156"/>
      <c r="EF1344" s="156"/>
      <c r="EG1344" s="156"/>
      <c r="EH1344" s="156"/>
      <c r="EI1344" s="156"/>
      <c r="EJ1344" s="156"/>
      <c r="EK1344" s="156"/>
      <c r="EL1344" s="156"/>
      <c r="EM1344" s="156"/>
    </row>
    <row r="1345" spans="20:143" ht="10.5" customHeight="1">
      <c r="T1345" s="156"/>
      <c r="AZ1345" s="156"/>
      <c r="BA1345" s="156"/>
      <c r="BB1345" s="156"/>
      <c r="BC1345" s="156"/>
      <c r="BD1345" s="156"/>
      <c r="BE1345" s="156"/>
      <c r="BF1345" s="156"/>
      <c r="BG1345" s="156"/>
      <c r="BH1345" s="156"/>
      <c r="BI1345" s="156"/>
      <c r="BJ1345" s="156"/>
      <c r="BK1345" s="156"/>
      <c r="BL1345" s="156"/>
      <c r="BM1345" s="156"/>
      <c r="BN1345" s="156"/>
      <c r="BO1345" s="156"/>
      <c r="BP1345" s="156"/>
      <c r="BQ1345" s="156"/>
      <c r="BR1345" s="156"/>
      <c r="BS1345" s="156"/>
      <c r="BT1345" s="156"/>
      <c r="BU1345" s="156"/>
      <c r="BV1345" s="156"/>
      <c r="BW1345" s="156"/>
      <c r="BX1345" s="156"/>
      <c r="BY1345" s="156"/>
      <c r="BZ1345" s="156"/>
      <c r="CA1345" s="156"/>
      <c r="CB1345" s="156"/>
      <c r="CC1345" s="156"/>
      <c r="CD1345" s="156"/>
      <c r="CE1345" s="156"/>
      <c r="CF1345" s="156"/>
      <c r="CG1345" s="156"/>
      <c r="CH1345" s="156"/>
      <c r="CI1345" s="156"/>
      <c r="CJ1345" s="156"/>
      <c r="CK1345" s="156"/>
      <c r="CL1345" s="156"/>
      <c r="CM1345" s="156"/>
      <c r="CN1345" s="156"/>
      <c r="CO1345" s="156"/>
      <c r="CP1345" s="156"/>
      <c r="CQ1345" s="156"/>
      <c r="CR1345" s="156"/>
      <c r="CS1345" s="156"/>
      <c r="CT1345" s="156"/>
      <c r="CU1345" s="156"/>
      <c r="CV1345" s="156"/>
      <c r="CW1345" s="156"/>
      <c r="CX1345" s="156"/>
      <c r="CY1345" s="156"/>
      <c r="CZ1345" s="156"/>
      <c r="DA1345" s="156"/>
      <c r="DB1345" s="156"/>
      <c r="DC1345" s="156"/>
      <c r="DD1345" s="156"/>
      <c r="DE1345" s="156"/>
      <c r="DF1345" s="156"/>
      <c r="DG1345" s="156"/>
      <c r="DH1345" s="156"/>
      <c r="DI1345" s="156"/>
      <c r="DJ1345" s="156"/>
      <c r="DK1345" s="156"/>
      <c r="DL1345" s="156"/>
      <c r="DM1345" s="156"/>
      <c r="DN1345" s="156"/>
      <c r="DO1345" s="156"/>
      <c r="DP1345" s="156"/>
      <c r="DQ1345" s="156"/>
      <c r="DR1345" s="156"/>
      <c r="DS1345" s="156"/>
      <c r="DT1345" s="156"/>
      <c r="DU1345" s="156"/>
      <c r="DV1345" s="156"/>
      <c r="DW1345" s="156"/>
      <c r="DX1345" s="156"/>
      <c r="DY1345" s="156"/>
      <c r="DZ1345" s="156"/>
      <c r="EA1345" s="156"/>
      <c r="EB1345" s="156"/>
      <c r="EC1345" s="156"/>
      <c r="ED1345" s="156"/>
      <c r="EE1345" s="156"/>
      <c r="EF1345" s="156"/>
      <c r="EG1345" s="156"/>
      <c r="EH1345" s="156"/>
      <c r="EI1345" s="156"/>
      <c r="EJ1345" s="156"/>
      <c r="EK1345" s="156"/>
      <c r="EL1345" s="156"/>
      <c r="EM1345" s="156"/>
    </row>
    <row r="1346" spans="20:143" ht="10.5" customHeight="1">
      <c r="T1346" s="156"/>
      <c r="AZ1346" s="156"/>
      <c r="BA1346" s="156"/>
      <c r="BB1346" s="156"/>
      <c r="BC1346" s="156"/>
      <c r="BD1346" s="156"/>
      <c r="BE1346" s="156"/>
      <c r="BF1346" s="156"/>
      <c r="BG1346" s="156"/>
      <c r="BH1346" s="156"/>
      <c r="BI1346" s="156"/>
      <c r="BJ1346" s="156"/>
      <c r="BK1346" s="156"/>
      <c r="BL1346" s="156"/>
      <c r="BM1346" s="156"/>
      <c r="BN1346" s="156"/>
      <c r="BO1346" s="156"/>
      <c r="BP1346" s="156"/>
      <c r="BQ1346" s="156"/>
      <c r="BR1346" s="156"/>
      <c r="BS1346" s="156"/>
      <c r="BT1346" s="156"/>
      <c r="BU1346" s="156"/>
      <c r="BV1346" s="156"/>
      <c r="BW1346" s="156"/>
      <c r="BX1346" s="156"/>
      <c r="BY1346" s="156"/>
      <c r="BZ1346" s="156"/>
      <c r="CA1346" s="156"/>
      <c r="CB1346" s="156"/>
      <c r="CC1346" s="156"/>
      <c r="CD1346" s="156"/>
      <c r="CE1346" s="156"/>
      <c r="CF1346" s="156"/>
      <c r="CG1346" s="156"/>
      <c r="CH1346" s="156"/>
      <c r="CI1346" s="156"/>
      <c r="CJ1346" s="156"/>
      <c r="CK1346" s="156"/>
      <c r="CL1346" s="156"/>
      <c r="CM1346" s="156"/>
      <c r="CN1346" s="156"/>
      <c r="CO1346" s="156"/>
      <c r="CP1346" s="156"/>
      <c r="CQ1346" s="156"/>
      <c r="CR1346" s="156"/>
      <c r="CS1346" s="156"/>
      <c r="CT1346" s="156"/>
      <c r="CU1346" s="156"/>
      <c r="CV1346" s="156"/>
      <c r="CW1346" s="156"/>
      <c r="CX1346" s="156"/>
      <c r="CY1346" s="156"/>
      <c r="CZ1346" s="156"/>
      <c r="DA1346" s="156"/>
      <c r="DB1346" s="156"/>
      <c r="DC1346" s="156"/>
      <c r="DD1346" s="156"/>
      <c r="DE1346" s="156"/>
      <c r="DF1346" s="156"/>
      <c r="DG1346" s="156"/>
      <c r="DH1346" s="156"/>
      <c r="DI1346" s="156"/>
      <c r="DJ1346" s="156"/>
      <c r="DK1346" s="156"/>
      <c r="DL1346" s="156"/>
      <c r="DM1346" s="156"/>
      <c r="DN1346" s="156"/>
      <c r="DO1346" s="156"/>
      <c r="DP1346" s="156"/>
      <c r="DQ1346" s="156"/>
      <c r="DR1346" s="156"/>
      <c r="DS1346" s="156"/>
      <c r="DT1346" s="156"/>
      <c r="DU1346" s="156"/>
      <c r="DV1346" s="156"/>
      <c r="DW1346" s="156"/>
      <c r="DX1346" s="156"/>
      <c r="DY1346" s="156"/>
      <c r="DZ1346" s="156"/>
      <c r="EA1346" s="156"/>
      <c r="EB1346" s="156"/>
      <c r="EC1346" s="156"/>
      <c r="ED1346" s="156"/>
      <c r="EE1346" s="156"/>
      <c r="EF1346" s="156"/>
      <c r="EG1346" s="156"/>
      <c r="EH1346" s="156"/>
      <c r="EI1346" s="156"/>
      <c r="EJ1346" s="156"/>
      <c r="EK1346" s="156"/>
      <c r="EL1346" s="156"/>
      <c r="EM1346" s="156"/>
    </row>
    <row r="1347" spans="20:143" ht="10.5" customHeight="1">
      <c r="T1347" s="156"/>
      <c r="AZ1347" s="156"/>
      <c r="BA1347" s="156"/>
      <c r="BB1347" s="156"/>
      <c r="BC1347" s="156"/>
      <c r="BD1347" s="156"/>
      <c r="BE1347" s="156"/>
      <c r="BF1347" s="156"/>
      <c r="BG1347" s="156"/>
      <c r="BH1347" s="156"/>
      <c r="BI1347" s="156"/>
      <c r="BJ1347" s="156"/>
      <c r="BK1347" s="156"/>
      <c r="BL1347" s="156"/>
      <c r="BM1347" s="156"/>
      <c r="BN1347" s="156"/>
      <c r="BO1347" s="156"/>
      <c r="BP1347" s="156"/>
      <c r="BQ1347" s="156"/>
      <c r="BR1347" s="156"/>
      <c r="BS1347" s="156"/>
      <c r="BT1347" s="156"/>
      <c r="BU1347" s="156"/>
      <c r="BV1347" s="156"/>
      <c r="BW1347" s="156"/>
      <c r="BX1347" s="156"/>
      <c r="BY1347" s="156"/>
      <c r="BZ1347" s="156"/>
      <c r="CA1347" s="156"/>
      <c r="CB1347" s="156"/>
      <c r="CC1347" s="156"/>
      <c r="CD1347" s="156"/>
      <c r="CE1347" s="156"/>
      <c r="CF1347" s="156"/>
      <c r="CG1347" s="156"/>
      <c r="CH1347" s="156"/>
      <c r="CI1347" s="156"/>
      <c r="CJ1347" s="156"/>
      <c r="CK1347" s="156"/>
      <c r="CL1347" s="156"/>
      <c r="CM1347" s="156"/>
      <c r="CN1347" s="156"/>
      <c r="CO1347" s="156"/>
      <c r="CP1347" s="156"/>
      <c r="CQ1347" s="156"/>
      <c r="CR1347" s="156"/>
      <c r="CS1347" s="156"/>
      <c r="CT1347" s="156"/>
      <c r="CU1347" s="156"/>
      <c r="CV1347" s="156"/>
      <c r="CW1347" s="156"/>
      <c r="CX1347" s="156"/>
      <c r="CY1347" s="156"/>
      <c r="CZ1347" s="156"/>
      <c r="DA1347" s="156"/>
      <c r="DB1347" s="156"/>
      <c r="DC1347" s="156"/>
      <c r="DD1347" s="156"/>
      <c r="DE1347" s="156"/>
      <c r="DF1347" s="156"/>
      <c r="DG1347" s="156"/>
      <c r="DH1347" s="156"/>
      <c r="DI1347" s="156"/>
      <c r="DJ1347" s="156"/>
      <c r="DK1347" s="156"/>
      <c r="DL1347" s="156"/>
      <c r="DM1347" s="156"/>
      <c r="DN1347" s="156"/>
      <c r="DO1347" s="156"/>
      <c r="DP1347" s="156"/>
      <c r="DQ1347" s="156"/>
      <c r="DR1347" s="156"/>
      <c r="DS1347" s="156"/>
      <c r="DT1347" s="156"/>
      <c r="DU1347" s="156"/>
      <c r="DV1347" s="156"/>
      <c r="DW1347" s="156"/>
      <c r="DX1347" s="156"/>
      <c r="DY1347" s="156"/>
      <c r="DZ1347" s="156"/>
      <c r="EA1347" s="156"/>
      <c r="EB1347" s="156"/>
      <c r="EC1347" s="156"/>
      <c r="ED1347" s="156"/>
      <c r="EE1347" s="156"/>
      <c r="EF1347" s="156"/>
      <c r="EG1347" s="156"/>
      <c r="EH1347" s="156"/>
      <c r="EI1347" s="156"/>
      <c r="EJ1347" s="156"/>
      <c r="EK1347" s="156"/>
      <c r="EL1347" s="156"/>
      <c r="EM1347" s="156"/>
    </row>
    <row r="1348" spans="20:143" ht="10.5" customHeight="1">
      <c r="T1348" s="156"/>
      <c r="AZ1348" s="156"/>
      <c r="BA1348" s="156"/>
      <c r="BB1348" s="156"/>
      <c r="BC1348" s="156"/>
      <c r="BD1348" s="156"/>
      <c r="BE1348" s="156"/>
      <c r="BF1348" s="156"/>
      <c r="BG1348" s="156"/>
      <c r="BH1348" s="156"/>
      <c r="BI1348" s="156"/>
      <c r="BJ1348" s="156"/>
      <c r="BK1348" s="156"/>
      <c r="BL1348" s="156"/>
      <c r="BM1348" s="156"/>
      <c r="BN1348" s="156"/>
      <c r="BO1348" s="156"/>
      <c r="BP1348" s="156"/>
      <c r="BQ1348" s="156"/>
      <c r="BR1348" s="156"/>
      <c r="BS1348" s="156"/>
      <c r="BT1348" s="156"/>
      <c r="BU1348" s="156"/>
      <c r="BV1348" s="156"/>
      <c r="BW1348" s="156"/>
      <c r="BX1348" s="156"/>
      <c r="BY1348" s="156"/>
      <c r="BZ1348" s="156"/>
      <c r="CA1348" s="156"/>
      <c r="CB1348" s="156"/>
      <c r="CC1348" s="156"/>
      <c r="CD1348" s="156"/>
      <c r="CE1348" s="156"/>
      <c r="CF1348" s="156"/>
      <c r="CG1348" s="156"/>
      <c r="CH1348" s="156"/>
      <c r="CI1348" s="156"/>
      <c r="CJ1348" s="156"/>
      <c r="CK1348" s="156"/>
      <c r="CL1348" s="156"/>
      <c r="CM1348" s="156"/>
      <c r="CN1348" s="156"/>
      <c r="CO1348" s="156"/>
      <c r="CP1348" s="156"/>
      <c r="CQ1348" s="156"/>
      <c r="CR1348" s="156"/>
      <c r="CS1348" s="156"/>
      <c r="CT1348" s="156"/>
      <c r="CU1348" s="156"/>
      <c r="CV1348" s="156"/>
      <c r="CW1348" s="156"/>
      <c r="CX1348" s="156"/>
      <c r="CY1348" s="156"/>
      <c r="CZ1348" s="156"/>
      <c r="DA1348" s="156"/>
      <c r="DB1348" s="156"/>
      <c r="DC1348" s="156"/>
      <c r="DD1348" s="156"/>
      <c r="DE1348" s="156"/>
      <c r="DF1348" s="156"/>
      <c r="DG1348" s="156"/>
      <c r="DH1348" s="156"/>
      <c r="DI1348" s="156"/>
      <c r="DJ1348" s="156"/>
      <c r="DK1348" s="156"/>
      <c r="DL1348" s="156"/>
      <c r="DM1348" s="156"/>
      <c r="DN1348" s="156"/>
      <c r="DO1348" s="156"/>
      <c r="DP1348" s="156"/>
      <c r="DQ1348" s="156"/>
      <c r="DR1348" s="156"/>
      <c r="DS1348" s="156"/>
      <c r="DT1348" s="156"/>
      <c r="DU1348" s="156"/>
      <c r="DV1348" s="156"/>
      <c r="DW1348" s="156"/>
      <c r="DX1348" s="156"/>
      <c r="DY1348" s="156"/>
      <c r="DZ1348" s="156"/>
      <c r="EA1348" s="156"/>
      <c r="EB1348" s="156"/>
      <c r="EC1348" s="156"/>
      <c r="ED1348" s="156"/>
      <c r="EE1348" s="156"/>
      <c r="EF1348" s="156"/>
      <c r="EG1348" s="156"/>
      <c r="EH1348" s="156"/>
      <c r="EI1348" s="156"/>
      <c r="EJ1348" s="156"/>
      <c r="EK1348" s="156"/>
      <c r="EL1348" s="156"/>
      <c r="EM1348" s="156"/>
    </row>
    <row r="1349" spans="20:143" ht="10.5" customHeight="1">
      <c r="T1349" s="156"/>
      <c r="AZ1349" s="156"/>
      <c r="BA1349" s="156"/>
      <c r="BB1349" s="156"/>
      <c r="BC1349" s="156"/>
      <c r="BD1349" s="156"/>
      <c r="BE1349" s="156"/>
      <c r="BF1349" s="156"/>
      <c r="BG1349" s="156"/>
      <c r="BH1349" s="156"/>
      <c r="BI1349" s="156"/>
      <c r="BJ1349" s="156"/>
      <c r="BK1349" s="156"/>
      <c r="BL1349" s="156"/>
      <c r="BM1349" s="156"/>
      <c r="BN1349" s="156"/>
      <c r="BO1349" s="156"/>
      <c r="BP1349" s="156"/>
      <c r="BQ1349" s="156"/>
      <c r="BR1349" s="156"/>
      <c r="BS1349" s="156"/>
      <c r="BT1349" s="156"/>
      <c r="BU1349" s="156"/>
      <c r="BV1349" s="156"/>
      <c r="BW1349" s="156"/>
      <c r="BX1349" s="156"/>
      <c r="BY1349" s="156"/>
      <c r="BZ1349" s="156"/>
      <c r="CA1349" s="156"/>
      <c r="CB1349" s="156"/>
      <c r="CC1349" s="156"/>
      <c r="CD1349" s="156"/>
      <c r="CE1349" s="156"/>
      <c r="CF1349" s="156"/>
      <c r="CG1349" s="156"/>
      <c r="CH1349" s="156"/>
      <c r="CI1349" s="156"/>
      <c r="CJ1349" s="156"/>
      <c r="CK1349" s="156"/>
      <c r="CL1349" s="156"/>
      <c r="CM1349" s="156"/>
      <c r="CN1349" s="156"/>
      <c r="CO1349" s="156"/>
      <c r="CP1349" s="156"/>
      <c r="CQ1349" s="156"/>
      <c r="CR1349" s="156"/>
      <c r="CS1349" s="156"/>
      <c r="CT1349" s="156"/>
      <c r="CU1349" s="156"/>
      <c r="CV1349" s="156"/>
      <c r="CW1349" s="156"/>
      <c r="CX1349" s="156"/>
      <c r="CY1349" s="156"/>
      <c r="CZ1349" s="156"/>
      <c r="DA1349" s="156"/>
      <c r="DB1349" s="156"/>
      <c r="DC1349" s="156"/>
      <c r="DD1349" s="156"/>
      <c r="DE1349" s="156"/>
      <c r="DF1349" s="156"/>
      <c r="DG1349" s="156"/>
      <c r="DH1349" s="156"/>
      <c r="DI1349" s="156"/>
      <c r="DJ1349" s="156"/>
      <c r="DK1349" s="156"/>
      <c r="DL1349" s="156"/>
      <c r="DM1349" s="156"/>
      <c r="DN1349" s="156"/>
      <c r="DO1349" s="156"/>
      <c r="DP1349" s="156"/>
      <c r="DQ1349" s="156"/>
      <c r="DR1349" s="156"/>
      <c r="DS1349" s="156"/>
      <c r="DT1349" s="156"/>
      <c r="DU1349" s="156"/>
      <c r="DV1349" s="156"/>
      <c r="DW1349" s="156"/>
      <c r="DX1349" s="156"/>
      <c r="DY1349" s="156"/>
      <c r="DZ1349" s="156"/>
      <c r="EA1349" s="156"/>
      <c r="EB1349" s="156"/>
      <c r="EC1349" s="156"/>
      <c r="ED1349" s="156"/>
      <c r="EE1349" s="156"/>
      <c r="EF1349" s="156"/>
      <c r="EG1349" s="156"/>
      <c r="EH1349" s="156"/>
      <c r="EI1349" s="156"/>
      <c r="EJ1349" s="156"/>
      <c r="EK1349" s="156"/>
      <c r="EL1349" s="156"/>
      <c r="EM1349" s="156"/>
    </row>
    <row r="1350" spans="20:143" ht="10.5" customHeight="1">
      <c r="T1350" s="156"/>
      <c r="AZ1350" s="156"/>
      <c r="BA1350" s="156"/>
      <c r="BB1350" s="156"/>
      <c r="BC1350" s="156"/>
      <c r="BD1350" s="156"/>
      <c r="BE1350" s="156"/>
      <c r="BF1350" s="156"/>
      <c r="BG1350" s="156"/>
      <c r="BH1350" s="156"/>
      <c r="BI1350" s="156"/>
      <c r="BJ1350" s="156"/>
      <c r="BK1350" s="156"/>
      <c r="BL1350" s="156"/>
      <c r="BM1350" s="156"/>
      <c r="BN1350" s="156"/>
      <c r="BO1350" s="156"/>
      <c r="BP1350" s="156"/>
      <c r="BQ1350" s="156"/>
      <c r="BR1350" s="156"/>
      <c r="BS1350" s="156"/>
      <c r="BT1350" s="156"/>
      <c r="BU1350" s="156"/>
      <c r="BV1350" s="156"/>
      <c r="BW1350" s="156"/>
      <c r="BX1350" s="156"/>
      <c r="BY1350" s="156"/>
      <c r="BZ1350" s="156"/>
      <c r="CA1350" s="156"/>
      <c r="CB1350" s="156"/>
      <c r="CC1350" s="156"/>
      <c r="CD1350" s="156"/>
      <c r="CE1350" s="156"/>
      <c r="CF1350" s="156"/>
      <c r="CG1350" s="156"/>
      <c r="CH1350" s="156"/>
      <c r="CI1350" s="156"/>
      <c r="CJ1350" s="156"/>
      <c r="CK1350" s="156"/>
      <c r="CL1350" s="156"/>
      <c r="CM1350" s="156"/>
      <c r="CN1350" s="156"/>
      <c r="CO1350" s="156"/>
      <c r="CP1350" s="156"/>
      <c r="CQ1350" s="156"/>
      <c r="CR1350" s="156"/>
      <c r="CS1350" s="156"/>
      <c r="CT1350" s="156"/>
      <c r="CU1350" s="156"/>
      <c r="CV1350" s="156"/>
      <c r="CW1350" s="156"/>
      <c r="CX1350" s="156"/>
      <c r="CY1350" s="156"/>
      <c r="CZ1350" s="156"/>
      <c r="DA1350" s="156"/>
      <c r="DB1350" s="156"/>
      <c r="DC1350" s="156"/>
      <c r="DD1350" s="156"/>
      <c r="DE1350" s="156"/>
      <c r="DF1350" s="156"/>
      <c r="DG1350" s="156"/>
      <c r="DH1350" s="156"/>
      <c r="DI1350" s="156"/>
      <c r="DJ1350" s="156"/>
      <c r="DK1350" s="156"/>
      <c r="DL1350" s="156"/>
      <c r="DM1350" s="156"/>
      <c r="DN1350" s="156"/>
      <c r="DO1350" s="156"/>
      <c r="DP1350" s="156"/>
      <c r="DQ1350" s="156"/>
      <c r="DR1350" s="156"/>
      <c r="DS1350" s="156"/>
      <c r="DT1350" s="156"/>
      <c r="DU1350" s="156"/>
      <c r="DV1350" s="156"/>
      <c r="DW1350" s="156"/>
      <c r="DX1350" s="156"/>
      <c r="DY1350" s="156"/>
      <c r="DZ1350" s="156"/>
      <c r="EA1350" s="156"/>
      <c r="EB1350" s="156"/>
      <c r="EC1350" s="156"/>
      <c r="ED1350" s="156"/>
      <c r="EE1350" s="156"/>
      <c r="EF1350" s="156"/>
      <c r="EG1350" s="156"/>
      <c r="EH1350" s="156"/>
      <c r="EI1350" s="156"/>
      <c r="EJ1350" s="156"/>
      <c r="EK1350" s="156"/>
      <c r="EL1350" s="156"/>
      <c r="EM1350" s="156"/>
    </row>
    <row r="1351" spans="20:143" ht="10.5" customHeight="1">
      <c r="T1351" s="156"/>
      <c r="AZ1351" s="156"/>
      <c r="BA1351" s="156"/>
      <c r="BB1351" s="156"/>
      <c r="BC1351" s="156"/>
      <c r="BD1351" s="156"/>
      <c r="BE1351" s="156"/>
      <c r="BF1351" s="156"/>
      <c r="BG1351" s="156"/>
      <c r="BH1351" s="156"/>
      <c r="BI1351" s="156"/>
      <c r="BJ1351" s="156"/>
      <c r="BK1351" s="156"/>
      <c r="BL1351" s="156"/>
      <c r="BM1351" s="156"/>
      <c r="BN1351" s="156"/>
      <c r="BO1351" s="156"/>
      <c r="BP1351" s="156"/>
      <c r="BQ1351" s="156"/>
      <c r="BR1351" s="156"/>
      <c r="BS1351" s="156"/>
      <c r="BT1351" s="156"/>
      <c r="BU1351" s="156"/>
      <c r="BV1351" s="156"/>
      <c r="BW1351" s="156"/>
      <c r="BX1351" s="156"/>
      <c r="BY1351" s="156"/>
      <c r="BZ1351" s="156"/>
      <c r="CA1351" s="156"/>
      <c r="CB1351" s="156"/>
      <c r="CC1351" s="156"/>
      <c r="CD1351" s="156"/>
      <c r="CE1351" s="156"/>
      <c r="CF1351" s="156"/>
      <c r="CG1351" s="156"/>
      <c r="CH1351" s="156"/>
      <c r="CI1351" s="156"/>
      <c r="CJ1351" s="156"/>
      <c r="CK1351" s="156"/>
      <c r="CL1351" s="156"/>
      <c r="CM1351" s="156"/>
      <c r="CN1351" s="156"/>
      <c r="CO1351" s="156"/>
      <c r="CP1351" s="156"/>
      <c r="CQ1351" s="156"/>
      <c r="CR1351" s="156"/>
      <c r="CS1351" s="156"/>
      <c r="CT1351" s="156"/>
      <c r="CU1351" s="156"/>
      <c r="CV1351" s="156"/>
      <c r="CW1351" s="156"/>
      <c r="CX1351" s="156"/>
      <c r="CY1351" s="156"/>
      <c r="CZ1351" s="156"/>
      <c r="DA1351" s="156"/>
      <c r="DB1351" s="156"/>
      <c r="DC1351" s="156"/>
      <c r="DD1351" s="156"/>
      <c r="DE1351" s="156"/>
      <c r="DF1351" s="156"/>
      <c r="DG1351" s="156"/>
      <c r="DH1351" s="156"/>
      <c r="DI1351" s="156"/>
      <c r="DJ1351" s="156"/>
      <c r="DK1351" s="156"/>
      <c r="DL1351" s="156"/>
      <c r="DM1351" s="156"/>
      <c r="DN1351" s="156"/>
      <c r="DO1351" s="156"/>
      <c r="DP1351" s="156"/>
      <c r="DQ1351" s="156"/>
      <c r="DR1351" s="156"/>
      <c r="DS1351" s="156"/>
      <c r="DT1351" s="156"/>
      <c r="DU1351" s="156"/>
      <c r="DV1351" s="156"/>
      <c r="DW1351" s="156"/>
      <c r="DX1351" s="156"/>
      <c r="DY1351" s="156"/>
      <c r="DZ1351" s="156"/>
      <c r="EA1351" s="156"/>
      <c r="EB1351" s="156"/>
      <c r="EC1351" s="156"/>
      <c r="ED1351" s="156"/>
      <c r="EE1351" s="156"/>
      <c r="EF1351" s="156"/>
      <c r="EG1351" s="156"/>
      <c r="EH1351" s="156"/>
      <c r="EI1351" s="156"/>
      <c r="EJ1351" s="156"/>
      <c r="EK1351" s="156"/>
      <c r="EL1351" s="156"/>
      <c r="EM1351" s="156"/>
    </row>
    <row r="1352" spans="20:143" ht="10.5" customHeight="1">
      <c r="T1352" s="156"/>
      <c r="AZ1352" s="156"/>
      <c r="BA1352" s="156"/>
      <c r="BB1352" s="156"/>
      <c r="BC1352" s="156"/>
      <c r="BD1352" s="156"/>
      <c r="BE1352" s="156"/>
      <c r="BF1352" s="156"/>
      <c r="BG1352" s="156"/>
      <c r="BH1352" s="156"/>
      <c r="BI1352" s="156"/>
      <c r="BJ1352" s="156"/>
      <c r="BK1352" s="156"/>
      <c r="BL1352" s="156"/>
      <c r="BM1352" s="156"/>
      <c r="BN1352" s="156"/>
      <c r="BO1352" s="156"/>
      <c r="BP1352" s="156"/>
      <c r="BQ1352" s="156"/>
      <c r="BR1352" s="156"/>
      <c r="BS1352" s="156"/>
      <c r="BT1352" s="156"/>
      <c r="BU1352" s="156"/>
      <c r="BV1352" s="156"/>
      <c r="BW1352" s="156"/>
      <c r="BX1352" s="156"/>
      <c r="BY1352" s="156"/>
      <c r="BZ1352" s="156"/>
      <c r="CA1352" s="156"/>
      <c r="CB1352" s="156"/>
      <c r="CC1352" s="156"/>
      <c r="CD1352" s="156"/>
      <c r="CE1352" s="156"/>
      <c r="CF1352" s="156"/>
      <c r="CG1352" s="156"/>
      <c r="CH1352" s="156"/>
      <c r="CI1352" s="156"/>
      <c r="CJ1352" s="156"/>
      <c r="CK1352" s="156"/>
      <c r="CL1352" s="156"/>
      <c r="CM1352" s="156"/>
      <c r="CN1352" s="156"/>
      <c r="CO1352" s="156"/>
      <c r="CP1352" s="156"/>
      <c r="CQ1352" s="156"/>
      <c r="CR1352" s="156"/>
      <c r="CS1352" s="156"/>
      <c r="CT1352" s="156"/>
      <c r="CU1352" s="156"/>
      <c r="CV1352" s="156"/>
      <c r="CW1352" s="156"/>
      <c r="CX1352" s="156"/>
      <c r="CY1352" s="156"/>
      <c r="CZ1352" s="156"/>
      <c r="DA1352" s="156"/>
      <c r="DB1352" s="156"/>
      <c r="DC1352" s="156"/>
      <c r="DD1352" s="156"/>
      <c r="DE1352" s="156"/>
      <c r="DF1352" s="156"/>
      <c r="DG1352" s="156"/>
      <c r="DH1352" s="156"/>
      <c r="DI1352" s="156"/>
      <c r="DJ1352" s="156"/>
      <c r="DK1352" s="156"/>
      <c r="DL1352" s="156"/>
      <c r="DM1352" s="156"/>
      <c r="DN1352" s="156"/>
      <c r="DO1352" s="156"/>
      <c r="DP1352" s="156"/>
      <c r="DQ1352" s="156"/>
      <c r="DR1352" s="156"/>
      <c r="DS1352" s="156"/>
      <c r="DT1352" s="156"/>
      <c r="DU1352" s="156"/>
      <c r="DV1352" s="156"/>
      <c r="DW1352" s="156"/>
      <c r="DX1352" s="156"/>
      <c r="DY1352" s="156"/>
      <c r="DZ1352" s="156"/>
      <c r="EA1352" s="156"/>
      <c r="EB1352" s="156"/>
      <c r="EC1352" s="156"/>
      <c r="ED1352" s="156"/>
      <c r="EE1352" s="156"/>
      <c r="EF1352" s="156"/>
      <c r="EG1352" s="156"/>
      <c r="EH1352" s="156"/>
      <c r="EI1352" s="156"/>
      <c r="EJ1352" s="156"/>
      <c r="EK1352" s="156"/>
      <c r="EL1352" s="156"/>
      <c r="EM1352" s="156"/>
    </row>
    <row r="1353" spans="20:143" ht="10.5" customHeight="1">
      <c r="T1353" s="156"/>
      <c r="AZ1353" s="156"/>
      <c r="BA1353" s="156"/>
      <c r="BB1353" s="156"/>
      <c r="BC1353" s="156"/>
      <c r="BD1353" s="156"/>
      <c r="BE1353" s="156"/>
      <c r="BF1353" s="156"/>
      <c r="BG1353" s="156"/>
      <c r="BH1353" s="156"/>
      <c r="BI1353" s="156"/>
      <c r="BJ1353" s="156"/>
      <c r="BK1353" s="156"/>
      <c r="BL1353" s="156"/>
      <c r="BM1353" s="156"/>
      <c r="BN1353" s="156"/>
      <c r="BO1353" s="156"/>
      <c r="BP1353" s="156"/>
      <c r="BQ1353" s="156"/>
      <c r="BR1353" s="156"/>
      <c r="BS1353" s="156"/>
      <c r="BT1353" s="156"/>
      <c r="BU1353" s="156"/>
      <c r="BV1353" s="156"/>
      <c r="BW1353" s="156"/>
      <c r="BX1353" s="156"/>
      <c r="BY1353" s="156"/>
      <c r="BZ1353" s="156"/>
      <c r="CA1353" s="156"/>
      <c r="CB1353" s="156"/>
      <c r="CC1353" s="156"/>
      <c r="CD1353" s="156"/>
      <c r="CE1353" s="156"/>
      <c r="CF1353" s="156"/>
      <c r="CG1353" s="156"/>
      <c r="CH1353" s="156"/>
      <c r="CI1353" s="156"/>
      <c r="CJ1353" s="156"/>
      <c r="CK1353" s="156"/>
      <c r="CL1353" s="156"/>
      <c r="CM1353" s="156"/>
      <c r="CN1353" s="156"/>
      <c r="CO1353" s="156"/>
      <c r="CP1353" s="156"/>
      <c r="CQ1353" s="156"/>
      <c r="CR1353" s="156"/>
      <c r="CS1353" s="156"/>
      <c r="CT1353" s="156"/>
      <c r="CU1353" s="156"/>
      <c r="CV1353" s="156"/>
      <c r="CW1353" s="156"/>
      <c r="CX1353" s="156"/>
      <c r="CY1353" s="156"/>
      <c r="CZ1353" s="156"/>
      <c r="DA1353" s="156"/>
      <c r="DB1353" s="156"/>
      <c r="DC1353" s="156"/>
      <c r="DD1353" s="156"/>
      <c r="DE1353" s="156"/>
      <c r="DF1353" s="156"/>
      <c r="DG1353" s="156"/>
      <c r="DH1353" s="156"/>
      <c r="DI1353" s="156"/>
      <c r="DJ1353" s="156"/>
      <c r="DK1353" s="156"/>
      <c r="DL1353" s="156"/>
      <c r="DM1353" s="156"/>
      <c r="DN1353" s="156"/>
      <c r="DO1353" s="156"/>
      <c r="DP1353" s="156"/>
      <c r="DQ1353" s="156"/>
      <c r="DR1353" s="156"/>
      <c r="DS1353" s="156"/>
      <c r="DT1353" s="156"/>
      <c r="DU1353" s="156"/>
      <c r="DV1353" s="156"/>
      <c r="DW1353" s="156"/>
      <c r="DX1353" s="156"/>
      <c r="DY1353" s="156"/>
      <c r="DZ1353" s="156"/>
      <c r="EA1353" s="156"/>
      <c r="EB1353" s="156"/>
      <c r="EC1353" s="156"/>
      <c r="ED1353" s="156"/>
      <c r="EE1353" s="156"/>
      <c r="EF1353" s="156"/>
      <c r="EG1353" s="156"/>
      <c r="EH1353" s="156"/>
      <c r="EI1353" s="156"/>
      <c r="EJ1353" s="156"/>
      <c r="EK1353" s="156"/>
      <c r="EL1353" s="156"/>
      <c r="EM1353" s="156"/>
    </row>
    <row r="1354" spans="20:143" ht="10.5" customHeight="1">
      <c r="T1354" s="156"/>
      <c r="AZ1354" s="156"/>
      <c r="BA1354" s="156"/>
      <c r="BB1354" s="156"/>
      <c r="BC1354" s="156"/>
      <c r="BD1354" s="156"/>
      <c r="BE1354" s="156"/>
      <c r="BF1354" s="156"/>
      <c r="BG1354" s="156"/>
      <c r="BH1354" s="156"/>
      <c r="BI1354" s="156"/>
      <c r="BJ1354" s="156"/>
      <c r="BK1354" s="156"/>
      <c r="BL1354" s="156"/>
      <c r="BM1354" s="156"/>
      <c r="BN1354" s="156"/>
      <c r="BO1354" s="156"/>
      <c r="BP1354" s="156"/>
      <c r="BQ1354" s="156"/>
      <c r="BR1354" s="156"/>
      <c r="BS1354" s="156"/>
      <c r="BT1354" s="156"/>
      <c r="BU1354" s="156"/>
      <c r="BV1354" s="156"/>
      <c r="BW1354" s="156"/>
      <c r="BX1354" s="156"/>
      <c r="BY1354" s="156"/>
      <c r="BZ1354" s="156"/>
      <c r="CA1354" s="156"/>
      <c r="CB1354" s="156"/>
      <c r="CC1354" s="156"/>
      <c r="CD1354" s="156"/>
      <c r="CE1354" s="156"/>
      <c r="CF1354" s="156"/>
      <c r="CG1354" s="156"/>
      <c r="CH1354" s="156"/>
      <c r="CI1354" s="156"/>
      <c r="CJ1354" s="156"/>
      <c r="CK1354" s="156"/>
      <c r="CL1354" s="156"/>
      <c r="CM1354" s="156"/>
      <c r="CN1354" s="156"/>
      <c r="CO1354" s="156"/>
      <c r="CP1354" s="156"/>
      <c r="CQ1354" s="156"/>
      <c r="CR1354" s="156"/>
      <c r="CS1354" s="156"/>
      <c r="CT1354" s="156"/>
      <c r="CU1354" s="156"/>
      <c r="CV1354" s="156"/>
      <c r="CW1354" s="156"/>
      <c r="CX1354" s="156"/>
      <c r="CY1354" s="156"/>
      <c r="CZ1354" s="156"/>
      <c r="DA1354" s="156"/>
      <c r="DB1354" s="156"/>
      <c r="DC1354" s="156"/>
      <c r="DD1354" s="156"/>
      <c r="DE1354" s="156"/>
      <c r="DF1354" s="156"/>
      <c r="DG1354" s="156"/>
      <c r="DH1354" s="156"/>
      <c r="DI1354" s="156"/>
      <c r="DJ1354" s="156"/>
      <c r="DK1354" s="156"/>
      <c r="DL1354" s="156"/>
      <c r="DM1354" s="156"/>
      <c r="DN1354" s="156"/>
      <c r="DO1354" s="156"/>
      <c r="DP1354" s="156"/>
      <c r="DQ1354" s="156"/>
      <c r="DR1354" s="156"/>
      <c r="DS1354" s="156"/>
      <c r="DT1354" s="156"/>
      <c r="DU1354" s="156"/>
      <c r="DV1354" s="156"/>
      <c r="DW1354" s="156"/>
      <c r="DX1354" s="156"/>
      <c r="DY1354" s="156"/>
      <c r="DZ1354" s="156"/>
      <c r="EA1354" s="156"/>
      <c r="EB1354" s="156"/>
      <c r="EC1354" s="156"/>
      <c r="ED1354" s="156"/>
      <c r="EE1354" s="156"/>
      <c r="EF1354" s="156"/>
      <c r="EG1354" s="156"/>
      <c r="EH1354" s="156"/>
      <c r="EI1354" s="156"/>
      <c r="EJ1354" s="156"/>
      <c r="EK1354" s="156"/>
      <c r="EL1354" s="156"/>
      <c r="EM1354" s="156"/>
    </row>
    <row r="1355" spans="20:143" ht="10.5" customHeight="1">
      <c r="T1355" s="156"/>
      <c r="AZ1355" s="156"/>
      <c r="BA1355" s="156"/>
      <c r="BB1355" s="156"/>
      <c r="BC1355" s="156"/>
      <c r="BD1355" s="156"/>
      <c r="BE1355" s="156"/>
      <c r="BF1355" s="156"/>
      <c r="BG1355" s="156"/>
      <c r="BH1355" s="156"/>
      <c r="BI1355" s="156"/>
      <c r="BJ1355" s="156"/>
      <c r="BK1355" s="156"/>
      <c r="BL1355" s="156"/>
      <c r="BM1355" s="156"/>
      <c r="BN1355" s="156"/>
      <c r="BO1355" s="156"/>
      <c r="BP1355" s="156"/>
      <c r="BQ1355" s="156"/>
      <c r="BR1355" s="156"/>
      <c r="BS1355" s="156"/>
      <c r="BT1355" s="156"/>
      <c r="BU1355" s="156"/>
      <c r="BV1355" s="156"/>
      <c r="BW1355" s="156"/>
      <c r="BX1355" s="156"/>
      <c r="BY1355" s="156"/>
      <c r="BZ1355" s="156"/>
      <c r="CA1355" s="156"/>
      <c r="CB1355" s="156"/>
      <c r="CC1355" s="156"/>
      <c r="CD1355" s="156"/>
      <c r="CE1355" s="156"/>
      <c r="CF1355" s="156"/>
      <c r="CG1355" s="156"/>
      <c r="CH1355" s="156"/>
      <c r="CI1355" s="156"/>
      <c r="CJ1355" s="156"/>
      <c r="CK1355" s="156"/>
      <c r="CL1355" s="156"/>
      <c r="CM1355" s="156"/>
      <c r="CN1355" s="156"/>
      <c r="CO1355" s="156"/>
      <c r="CP1355" s="156"/>
      <c r="CQ1355" s="156"/>
      <c r="CR1355" s="156"/>
      <c r="CS1355" s="156"/>
      <c r="CT1355" s="156"/>
      <c r="CU1355" s="156"/>
      <c r="CV1355" s="156"/>
      <c r="CW1355" s="156"/>
      <c r="CX1355" s="156"/>
      <c r="CY1355" s="156"/>
      <c r="CZ1355" s="156"/>
      <c r="DA1355" s="156"/>
      <c r="DB1355" s="156"/>
      <c r="DC1355" s="156"/>
      <c r="DD1355" s="156"/>
      <c r="DE1355" s="156"/>
      <c r="DF1355" s="156"/>
      <c r="DG1355" s="156"/>
      <c r="DH1355" s="156"/>
      <c r="DI1355" s="156"/>
      <c r="DJ1355" s="156"/>
      <c r="DK1355" s="156"/>
      <c r="DL1355" s="156"/>
      <c r="DM1355" s="156"/>
      <c r="DN1355" s="156"/>
      <c r="DO1355" s="156"/>
      <c r="DP1355" s="156"/>
      <c r="DQ1355" s="156"/>
      <c r="DR1355" s="156"/>
      <c r="DS1355" s="156"/>
      <c r="DT1355" s="156"/>
      <c r="DU1355" s="156"/>
      <c r="DV1355" s="156"/>
      <c r="DW1355" s="156"/>
      <c r="DX1355" s="156"/>
      <c r="DY1355" s="156"/>
      <c r="DZ1355" s="156"/>
      <c r="EA1355" s="156"/>
      <c r="EB1355" s="156"/>
      <c r="EC1355" s="156"/>
      <c r="ED1355" s="156"/>
      <c r="EE1355" s="156"/>
      <c r="EF1355" s="156"/>
      <c r="EG1355" s="156"/>
      <c r="EH1355" s="156"/>
      <c r="EI1355" s="156"/>
      <c r="EJ1355" s="156"/>
      <c r="EK1355" s="156"/>
      <c r="EL1355" s="156"/>
      <c r="EM1355" s="156"/>
    </row>
    <row r="1356" spans="20:143" ht="10.5" customHeight="1">
      <c r="T1356" s="156"/>
      <c r="AZ1356" s="156"/>
      <c r="BA1356" s="156"/>
      <c r="BB1356" s="156"/>
      <c r="BC1356" s="156"/>
      <c r="BD1356" s="156"/>
      <c r="BE1356" s="156"/>
      <c r="BF1356" s="156"/>
      <c r="BG1356" s="156"/>
      <c r="BH1356" s="156"/>
      <c r="BI1356" s="156"/>
      <c r="BJ1356" s="156"/>
      <c r="BK1356" s="156"/>
      <c r="BL1356" s="156"/>
      <c r="BM1356" s="156"/>
      <c r="BN1356" s="156"/>
      <c r="BO1356" s="156"/>
      <c r="BP1356" s="156"/>
      <c r="BQ1356" s="156"/>
      <c r="BR1356" s="156"/>
      <c r="BS1356" s="156"/>
      <c r="BT1356" s="156"/>
      <c r="BU1356" s="156"/>
      <c r="BV1356" s="156"/>
      <c r="BW1356" s="156"/>
      <c r="BX1356" s="156"/>
      <c r="BY1356" s="156"/>
      <c r="BZ1356" s="156"/>
      <c r="CA1356" s="156"/>
      <c r="CB1356" s="156"/>
      <c r="CC1356" s="156"/>
      <c r="CD1356" s="156"/>
      <c r="CE1356" s="156"/>
      <c r="CF1356" s="156"/>
      <c r="CG1356" s="156"/>
      <c r="CH1356" s="156"/>
      <c r="CI1356" s="156"/>
      <c r="CJ1356" s="156"/>
      <c r="CK1356" s="156"/>
      <c r="CL1356" s="156"/>
      <c r="CM1356" s="156"/>
      <c r="CN1356" s="156"/>
      <c r="CO1356" s="156"/>
      <c r="CP1356" s="156"/>
      <c r="CQ1356" s="156"/>
      <c r="CR1356" s="156"/>
      <c r="CS1356" s="156"/>
      <c r="CT1356" s="156"/>
      <c r="CU1356" s="156"/>
      <c r="CV1356" s="156"/>
      <c r="CW1356" s="156"/>
      <c r="CX1356" s="156"/>
      <c r="CY1356" s="156"/>
      <c r="CZ1356" s="156"/>
      <c r="DA1356" s="156"/>
      <c r="DB1356" s="156"/>
      <c r="DC1356" s="156"/>
      <c r="DD1356" s="156"/>
      <c r="DE1356" s="156"/>
      <c r="DF1356" s="156"/>
      <c r="DG1356" s="156"/>
      <c r="DH1356" s="156"/>
      <c r="DI1356" s="156"/>
      <c r="DJ1356" s="156"/>
      <c r="DK1356" s="156"/>
      <c r="DL1356" s="156"/>
      <c r="DM1356" s="156"/>
      <c r="DN1356" s="156"/>
      <c r="DO1356" s="156"/>
      <c r="DP1356" s="156"/>
      <c r="DQ1356" s="156"/>
      <c r="DR1356" s="156"/>
      <c r="DS1356" s="156"/>
      <c r="DT1356" s="156"/>
      <c r="DU1356" s="156"/>
      <c r="DV1356" s="156"/>
      <c r="DW1356" s="156"/>
      <c r="DX1356" s="156"/>
      <c r="DY1356" s="156"/>
      <c r="DZ1356" s="156"/>
      <c r="EA1356" s="156"/>
      <c r="EB1356" s="156"/>
      <c r="EC1356" s="156"/>
      <c r="ED1356" s="156"/>
      <c r="EE1356" s="156"/>
      <c r="EF1356" s="156"/>
      <c r="EG1356" s="156"/>
      <c r="EH1356" s="156"/>
      <c r="EI1356" s="156"/>
      <c r="EJ1356" s="156"/>
      <c r="EK1356" s="156"/>
      <c r="EL1356" s="156"/>
      <c r="EM1356" s="156"/>
    </row>
    <row r="1357" spans="20:143" ht="10.5" customHeight="1">
      <c r="T1357" s="156"/>
      <c r="AZ1357" s="156"/>
      <c r="BA1357" s="156"/>
      <c r="BB1357" s="156"/>
      <c r="BC1357" s="156"/>
      <c r="BD1357" s="156"/>
      <c r="BE1357" s="156"/>
      <c r="BF1357" s="156"/>
      <c r="BG1357" s="156"/>
      <c r="BH1357" s="156"/>
      <c r="BI1357" s="156"/>
      <c r="BJ1357" s="156"/>
      <c r="BK1357" s="156"/>
      <c r="BL1357" s="156"/>
      <c r="BM1357" s="156"/>
      <c r="BN1357" s="156"/>
      <c r="BO1357" s="156"/>
      <c r="BP1357" s="156"/>
      <c r="BQ1357" s="156"/>
      <c r="BR1357" s="156"/>
      <c r="BS1357" s="156"/>
      <c r="BT1357" s="156"/>
      <c r="BU1357" s="156"/>
      <c r="BV1357" s="156"/>
      <c r="BW1357" s="156"/>
      <c r="BX1357" s="156"/>
      <c r="BY1357" s="156"/>
      <c r="BZ1357" s="156"/>
      <c r="CA1357" s="156"/>
      <c r="CB1357" s="156"/>
      <c r="CC1357" s="156"/>
      <c r="CD1357" s="156"/>
      <c r="CE1357" s="156"/>
      <c r="CF1357" s="156"/>
      <c r="CG1357" s="156"/>
      <c r="CH1357" s="156"/>
      <c r="CI1357" s="156"/>
      <c r="CJ1357" s="156"/>
      <c r="CK1357" s="156"/>
      <c r="CL1357" s="156"/>
      <c r="CM1357" s="156"/>
      <c r="CN1357" s="156"/>
      <c r="CO1357" s="156"/>
      <c r="CP1357" s="156"/>
      <c r="CQ1357" s="156"/>
      <c r="CR1357" s="156"/>
      <c r="CS1357" s="156"/>
      <c r="CT1357" s="156"/>
      <c r="CU1357" s="156"/>
      <c r="CV1357" s="156"/>
      <c r="CW1357" s="156"/>
      <c r="CX1357" s="156"/>
      <c r="CY1357" s="156"/>
      <c r="CZ1357" s="156"/>
      <c r="DA1357" s="156"/>
      <c r="DB1357" s="156"/>
      <c r="DC1357" s="156"/>
      <c r="DD1357" s="156"/>
      <c r="DE1357" s="156"/>
      <c r="DF1357" s="156"/>
      <c r="DG1357" s="156"/>
      <c r="DH1357" s="156"/>
      <c r="DI1357" s="156"/>
      <c r="DJ1357" s="156"/>
      <c r="DK1357" s="156"/>
      <c r="DL1357" s="156"/>
      <c r="DM1357" s="156"/>
      <c r="DN1357" s="156"/>
      <c r="DO1357" s="156"/>
      <c r="DP1357" s="156"/>
      <c r="DQ1357" s="156"/>
      <c r="DR1357" s="156"/>
      <c r="DS1357" s="156"/>
      <c r="DT1357" s="156"/>
      <c r="DU1357" s="156"/>
      <c r="DV1357" s="156"/>
      <c r="DW1357" s="156"/>
      <c r="DX1357" s="156"/>
      <c r="DY1357" s="156"/>
      <c r="DZ1357" s="156"/>
      <c r="EA1357" s="156"/>
      <c r="EB1357" s="156"/>
      <c r="EC1357" s="156"/>
      <c r="ED1357" s="156"/>
      <c r="EE1357" s="156"/>
      <c r="EF1357" s="156"/>
      <c r="EG1357" s="156"/>
      <c r="EH1357" s="156"/>
      <c r="EI1357" s="156"/>
      <c r="EJ1357" s="156"/>
      <c r="EK1357" s="156"/>
      <c r="EL1357" s="156"/>
      <c r="EM1357" s="156"/>
    </row>
    <row r="1358" spans="20:143" ht="10.5" customHeight="1">
      <c r="T1358" s="156"/>
      <c r="AZ1358" s="156"/>
      <c r="BA1358" s="156"/>
      <c r="BB1358" s="156"/>
      <c r="BC1358" s="156"/>
      <c r="BD1358" s="156"/>
      <c r="BE1358" s="156"/>
      <c r="BF1358" s="156"/>
      <c r="BG1358" s="156"/>
      <c r="BH1358" s="156"/>
      <c r="BI1358" s="156"/>
      <c r="BJ1358" s="156"/>
      <c r="BK1358" s="156"/>
      <c r="BL1358" s="156"/>
      <c r="BM1358" s="156"/>
      <c r="BN1358" s="156"/>
      <c r="BO1358" s="156"/>
      <c r="BP1358" s="156"/>
      <c r="BQ1358" s="156"/>
      <c r="BR1358" s="156"/>
      <c r="BS1358" s="156"/>
      <c r="BT1358" s="156"/>
      <c r="BU1358" s="156"/>
      <c r="BV1358" s="156"/>
      <c r="BW1358" s="156"/>
      <c r="BX1358" s="156"/>
      <c r="BY1358" s="156"/>
      <c r="BZ1358" s="156"/>
      <c r="CA1358" s="156"/>
      <c r="CB1358" s="156"/>
      <c r="CC1358" s="156"/>
      <c r="CD1358" s="156"/>
      <c r="CE1358" s="156"/>
      <c r="CF1358" s="156"/>
      <c r="CG1358" s="156"/>
      <c r="CH1358" s="156"/>
      <c r="CI1358" s="156"/>
      <c r="CJ1358" s="156"/>
      <c r="CK1358" s="156"/>
      <c r="CL1358" s="156"/>
      <c r="CM1358" s="156"/>
      <c r="CN1358" s="156"/>
      <c r="CO1358" s="156"/>
      <c r="CP1358" s="156"/>
      <c r="CQ1358" s="156"/>
      <c r="CR1358" s="156"/>
      <c r="CS1358" s="156"/>
      <c r="CT1358" s="156"/>
      <c r="CU1358" s="156"/>
      <c r="CV1358" s="156"/>
      <c r="CW1358" s="156"/>
      <c r="CX1358" s="156"/>
      <c r="CY1358" s="156"/>
      <c r="CZ1358" s="156"/>
      <c r="DA1358" s="156"/>
      <c r="DB1358" s="156"/>
      <c r="DC1358" s="156"/>
      <c r="DD1358" s="156"/>
      <c r="DE1358" s="156"/>
      <c r="DF1358" s="156"/>
      <c r="DG1358" s="156"/>
      <c r="DH1358" s="156"/>
      <c r="DI1358" s="156"/>
      <c r="DJ1358" s="156"/>
      <c r="DK1358" s="156"/>
      <c r="DL1358" s="156"/>
      <c r="DM1358" s="156"/>
      <c r="DN1358" s="156"/>
      <c r="DO1358" s="156"/>
      <c r="DP1358" s="156"/>
      <c r="DQ1358" s="156"/>
      <c r="DR1358" s="156"/>
      <c r="DS1358" s="156"/>
      <c r="DT1358" s="156"/>
      <c r="DU1358" s="156"/>
      <c r="DV1358" s="156"/>
      <c r="DW1358" s="156"/>
      <c r="DX1358" s="156"/>
      <c r="DY1358" s="156"/>
      <c r="DZ1358" s="156"/>
      <c r="EA1358" s="156"/>
      <c r="EB1358" s="156"/>
      <c r="EC1358" s="156"/>
      <c r="ED1358" s="156"/>
      <c r="EE1358" s="156"/>
      <c r="EF1358" s="156"/>
      <c r="EG1358" s="156"/>
      <c r="EH1358" s="156"/>
      <c r="EI1358" s="156"/>
      <c r="EJ1358" s="156"/>
      <c r="EK1358" s="156"/>
      <c r="EL1358" s="156"/>
      <c r="EM1358" s="156"/>
    </row>
    <row r="1359" spans="20:143" ht="10.5" customHeight="1">
      <c r="T1359" s="156"/>
      <c r="AZ1359" s="156"/>
      <c r="BA1359" s="156"/>
      <c r="BB1359" s="156"/>
      <c r="BC1359" s="156"/>
      <c r="BD1359" s="156"/>
      <c r="BE1359" s="156"/>
      <c r="BF1359" s="156"/>
      <c r="BG1359" s="156"/>
      <c r="BH1359" s="156"/>
      <c r="BI1359" s="156"/>
      <c r="BJ1359" s="156"/>
      <c r="BK1359" s="156"/>
      <c r="BL1359" s="156"/>
      <c r="BM1359" s="156"/>
      <c r="BN1359" s="156"/>
      <c r="BO1359" s="156"/>
      <c r="BP1359" s="156"/>
      <c r="BQ1359" s="156"/>
      <c r="BR1359" s="156"/>
      <c r="BS1359" s="156"/>
      <c r="BT1359" s="156"/>
      <c r="BU1359" s="156"/>
      <c r="BV1359" s="156"/>
      <c r="BW1359" s="156"/>
      <c r="BX1359" s="156"/>
      <c r="BY1359" s="156"/>
      <c r="BZ1359" s="156"/>
      <c r="CA1359" s="156"/>
      <c r="CB1359" s="156"/>
      <c r="CC1359" s="156"/>
      <c r="CD1359" s="156"/>
      <c r="CE1359" s="156"/>
      <c r="CF1359" s="156"/>
      <c r="CG1359" s="156"/>
      <c r="CH1359" s="156"/>
      <c r="CI1359" s="156"/>
      <c r="CJ1359" s="156"/>
      <c r="CK1359" s="156"/>
      <c r="CL1359" s="156"/>
      <c r="CM1359" s="156"/>
      <c r="CN1359" s="156"/>
      <c r="CO1359" s="156"/>
      <c r="CP1359" s="156"/>
      <c r="CQ1359" s="156"/>
      <c r="CR1359" s="156"/>
      <c r="CS1359" s="156"/>
      <c r="CT1359" s="156"/>
      <c r="CU1359" s="156"/>
      <c r="CV1359" s="156"/>
      <c r="CW1359" s="156"/>
      <c r="CX1359" s="156"/>
      <c r="CY1359" s="156"/>
      <c r="CZ1359" s="156"/>
      <c r="DA1359" s="156"/>
      <c r="DB1359" s="156"/>
      <c r="DC1359" s="156"/>
      <c r="DD1359" s="156"/>
      <c r="DE1359" s="156"/>
      <c r="DF1359" s="156"/>
      <c r="DG1359" s="156"/>
      <c r="DH1359" s="156"/>
      <c r="DI1359" s="156"/>
      <c r="DJ1359" s="156"/>
      <c r="DK1359" s="156"/>
      <c r="DL1359" s="156"/>
      <c r="DM1359" s="156"/>
      <c r="DN1359" s="156"/>
      <c r="DO1359" s="156"/>
      <c r="DP1359" s="156"/>
      <c r="DQ1359" s="156"/>
      <c r="DR1359" s="156"/>
      <c r="DS1359" s="156"/>
      <c r="DT1359" s="156"/>
      <c r="DU1359" s="156"/>
      <c r="DV1359" s="156"/>
      <c r="DW1359" s="156"/>
      <c r="DX1359" s="156"/>
      <c r="DY1359" s="156"/>
      <c r="DZ1359" s="156"/>
      <c r="EA1359" s="156"/>
      <c r="EB1359" s="156"/>
      <c r="EC1359" s="156"/>
      <c r="ED1359" s="156"/>
      <c r="EE1359" s="156"/>
      <c r="EF1359" s="156"/>
      <c r="EG1359" s="156"/>
      <c r="EH1359" s="156"/>
      <c r="EI1359" s="156"/>
      <c r="EJ1359" s="156"/>
      <c r="EK1359" s="156"/>
      <c r="EL1359" s="156"/>
      <c r="EM1359" s="156"/>
    </row>
    <row r="1360" spans="20:143" ht="10.5" customHeight="1">
      <c r="T1360" s="156"/>
      <c r="AZ1360" s="156"/>
      <c r="BA1360" s="156"/>
      <c r="BB1360" s="156"/>
      <c r="BC1360" s="156"/>
      <c r="BD1360" s="156"/>
      <c r="BE1360" s="156"/>
      <c r="BF1360" s="156"/>
      <c r="BG1360" s="156"/>
      <c r="BH1360" s="156"/>
      <c r="BI1360" s="156"/>
      <c r="BJ1360" s="156"/>
      <c r="BK1360" s="156"/>
      <c r="BL1360" s="156"/>
      <c r="BM1360" s="156"/>
      <c r="BN1360" s="156"/>
      <c r="BO1360" s="156"/>
      <c r="BP1360" s="156"/>
      <c r="BQ1360" s="156"/>
      <c r="BR1360" s="156"/>
      <c r="BS1360" s="156"/>
      <c r="BT1360" s="156"/>
      <c r="BU1360" s="156"/>
      <c r="BV1360" s="156"/>
      <c r="BW1360" s="156"/>
      <c r="BX1360" s="156"/>
      <c r="BY1360" s="156"/>
      <c r="BZ1360" s="156"/>
      <c r="CA1360" s="156"/>
      <c r="CB1360" s="156"/>
      <c r="CC1360" s="156"/>
      <c r="CD1360" s="156"/>
      <c r="CE1360" s="156"/>
      <c r="CF1360" s="156"/>
      <c r="CG1360" s="156"/>
      <c r="CH1360" s="156"/>
      <c r="CI1360" s="156"/>
      <c r="CJ1360" s="156"/>
      <c r="CK1360" s="156"/>
      <c r="CL1360" s="156"/>
      <c r="CM1360" s="156"/>
      <c r="CN1360" s="156"/>
      <c r="CO1360" s="156"/>
      <c r="CP1360" s="156"/>
      <c r="CQ1360" s="156"/>
      <c r="CR1360" s="156"/>
      <c r="CS1360" s="156"/>
      <c r="CT1360" s="156"/>
      <c r="CU1360" s="156"/>
      <c r="CV1360" s="156"/>
      <c r="CW1360" s="156"/>
      <c r="CX1360" s="156"/>
      <c r="CY1360" s="156"/>
      <c r="CZ1360" s="156"/>
      <c r="DA1360" s="156"/>
      <c r="DB1360" s="156"/>
      <c r="DC1360" s="156"/>
      <c r="DD1360" s="156"/>
      <c r="DE1360" s="156"/>
      <c r="DF1360" s="156"/>
      <c r="DG1360" s="156"/>
      <c r="DH1360" s="156"/>
      <c r="DI1360" s="156"/>
      <c r="DJ1360" s="156"/>
      <c r="DK1360" s="156"/>
      <c r="DL1360" s="156"/>
      <c r="DM1360" s="156"/>
      <c r="DN1360" s="156"/>
      <c r="DO1360" s="156"/>
      <c r="DP1360" s="156"/>
      <c r="DQ1360" s="156"/>
      <c r="DR1360" s="156"/>
      <c r="DS1360" s="156"/>
      <c r="DT1360" s="156"/>
      <c r="DU1360" s="156"/>
      <c r="DV1360" s="156"/>
      <c r="DW1360" s="156"/>
      <c r="DX1360" s="156"/>
      <c r="DY1360" s="156"/>
      <c r="DZ1360" s="156"/>
      <c r="EA1360" s="156"/>
      <c r="EB1360" s="156"/>
      <c r="EC1360" s="156"/>
      <c r="ED1360" s="156"/>
      <c r="EE1360" s="156"/>
      <c r="EF1360" s="156"/>
      <c r="EG1360" s="156"/>
      <c r="EH1360" s="156"/>
      <c r="EI1360" s="156"/>
      <c r="EJ1360" s="156"/>
      <c r="EK1360" s="156"/>
      <c r="EL1360" s="156"/>
      <c r="EM1360" s="156"/>
    </row>
    <row r="1361" spans="20:143" ht="10.5" customHeight="1">
      <c r="T1361" s="156"/>
      <c r="AZ1361" s="156"/>
      <c r="BA1361" s="156"/>
      <c r="BB1361" s="156"/>
      <c r="BC1361" s="156"/>
      <c r="BD1361" s="156"/>
      <c r="BE1361" s="156"/>
      <c r="BF1361" s="156"/>
      <c r="BG1361" s="156"/>
      <c r="BH1361" s="156"/>
      <c r="BI1361" s="156"/>
      <c r="BJ1361" s="156"/>
      <c r="BK1361" s="156"/>
      <c r="BL1361" s="156"/>
      <c r="BM1361" s="156"/>
      <c r="BN1361" s="156"/>
      <c r="BO1361" s="156"/>
      <c r="BP1361" s="156"/>
      <c r="BQ1361" s="156"/>
      <c r="BR1361" s="156"/>
      <c r="BS1361" s="156"/>
      <c r="BT1361" s="156"/>
      <c r="BU1361" s="156"/>
      <c r="BV1361" s="156"/>
      <c r="BW1361" s="156"/>
      <c r="BX1361" s="156"/>
      <c r="BY1361" s="156"/>
      <c r="BZ1361" s="156"/>
      <c r="CA1361" s="156"/>
      <c r="CB1361" s="156"/>
      <c r="CC1361" s="156"/>
      <c r="CD1361" s="156"/>
      <c r="CE1361" s="156"/>
      <c r="CF1361" s="156"/>
      <c r="CG1361" s="156"/>
      <c r="CH1361" s="156"/>
      <c r="CI1361" s="156"/>
      <c r="CJ1361" s="156"/>
      <c r="CK1361" s="156"/>
      <c r="CL1361" s="156"/>
      <c r="CM1361" s="156"/>
      <c r="CN1361" s="156"/>
      <c r="CO1361" s="156"/>
      <c r="CP1361" s="156"/>
      <c r="CQ1361" s="156"/>
      <c r="CR1361" s="156"/>
      <c r="CS1361" s="156"/>
      <c r="CT1361" s="156"/>
      <c r="CU1361" s="156"/>
      <c r="CV1361" s="156"/>
      <c r="CW1361" s="156"/>
      <c r="CX1361" s="156"/>
      <c r="CY1361" s="156"/>
      <c r="CZ1361" s="156"/>
      <c r="DA1361" s="156"/>
      <c r="DB1361" s="156"/>
      <c r="DC1361" s="156"/>
      <c r="DD1361" s="156"/>
      <c r="DE1361" s="156"/>
      <c r="DF1361" s="156"/>
      <c r="DG1361" s="156"/>
      <c r="DH1361" s="156"/>
      <c r="DI1361" s="156"/>
      <c r="DJ1361" s="156"/>
      <c r="DK1361" s="156"/>
      <c r="DL1361" s="156"/>
      <c r="DM1361" s="156"/>
      <c r="DN1361" s="156"/>
      <c r="DO1361" s="156"/>
      <c r="DP1361" s="156"/>
      <c r="DQ1361" s="156"/>
      <c r="DR1361" s="156"/>
      <c r="DS1361" s="156"/>
      <c r="DT1361" s="156"/>
      <c r="DU1361" s="156"/>
      <c r="DV1361" s="156"/>
      <c r="DW1361" s="156"/>
      <c r="DX1361" s="156"/>
      <c r="DY1361" s="156"/>
      <c r="DZ1361" s="156"/>
      <c r="EA1361" s="156"/>
      <c r="EB1361" s="156"/>
      <c r="EC1361" s="156"/>
      <c r="ED1361" s="156"/>
      <c r="EE1361" s="156"/>
      <c r="EF1361" s="156"/>
      <c r="EG1361" s="156"/>
      <c r="EH1361" s="156"/>
      <c r="EI1361" s="156"/>
      <c r="EJ1361" s="156"/>
      <c r="EK1361" s="156"/>
      <c r="EL1361" s="156"/>
      <c r="EM1361" s="156"/>
    </row>
    <row r="1362" spans="20:143" ht="10.5" customHeight="1">
      <c r="T1362" s="156"/>
      <c r="AZ1362" s="156"/>
      <c r="BA1362" s="156"/>
      <c r="BB1362" s="156"/>
      <c r="BC1362" s="156"/>
      <c r="BD1362" s="156"/>
      <c r="BE1362" s="156"/>
      <c r="BF1362" s="156"/>
      <c r="BG1362" s="156"/>
      <c r="BH1362" s="156"/>
      <c r="BI1362" s="156"/>
      <c r="BJ1362" s="156"/>
      <c r="BK1362" s="156"/>
      <c r="BL1362" s="156"/>
      <c r="BM1362" s="156"/>
      <c r="BN1362" s="156"/>
      <c r="BO1362" s="156"/>
      <c r="BP1362" s="156"/>
      <c r="BQ1362" s="156"/>
      <c r="BR1362" s="156"/>
      <c r="BS1362" s="156"/>
      <c r="BT1362" s="156"/>
      <c r="BU1362" s="156"/>
      <c r="BV1362" s="156"/>
      <c r="BW1362" s="156"/>
      <c r="BX1362" s="156"/>
      <c r="BY1362" s="156"/>
      <c r="BZ1362" s="156"/>
      <c r="CA1362" s="156"/>
      <c r="CB1362" s="156"/>
      <c r="CC1362" s="156"/>
      <c r="CD1362" s="156"/>
      <c r="CE1362" s="156"/>
      <c r="CF1362" s="156"/>
      <c r="CG1362" s="156"/>
      <c r="CH1362" s="156"/>
      <c r="CI1362" s="156"/>
      <c r="CJ1362" s="156"/>
      <c r="CK1362" s="156"/>
      <c r="CL1362" s="156"/>
      <c r="CM1362" s="156"/>
      <c r="CN1362" s="156"/>
      <c r="CO1362" s="156"/>
      <c r="CP1362" s="156"/>
      <c r="CQ1362" s="156"/>
      <c r="CR1362" s="156"/>
      <c r="CS1362" s="156"/>
      <c r="CT1362" s="156"/>
      <c r="CU1362" s="156"/>
      <c r="CV1362" s="156"/>
      <c r="CW1362" s="156"/>
      <c r="CX1362" s="156"/>
      <c r="CY1362" s="156"/>
      <c r="CZ1362" s="156"/>
      <c r="DA1362" s="156"/>
      <c r="DB1362" s="156"/>
      <c r="DC1362" s="156"/>
      <c r="DD1362" s="156"/>
      <c r="DE1362" s="156"/>
      <c r="DF1362" s="156"/>
      <c r="DG1362" s="156"/>
      <c r="DH1362" s="156"/>
      <c r="DI1362" s="156"/>
      <c r="DJ1362" s="156"/>
      <c r="DK1362" s="156"/>
      <c r="DL1362" s="156"/>
      <c r="DM1362" s="156"/>
      <c r="DN1362" s="156"/>
      <c r="DO1362" s="156"/>
      <c r="DP1362" s="156"/>
      <c r="DQ1362" s="156"/>
      <c r="DR1362" s="156"/>
      <c r="DS1362" s="156"/>
      <c r="DT1362" s="156"/>
      <c r="DU1362" s="156"/>
      <c r="DV1362" s="156"/>
      <c r="DW1362" s="156"/>
      <c r="DX1362" s="156"/>
      <c r="DY1362" s="156"/>
      <c r="DZ1362" s="156"/>
      <c r="EA1362" s="156"/>
      <c r="EB1362" s="156"/>
      <c r="EC1362" s="156"/>
      <c r="ED1362" s="156"/>
      <c r="EE1362" s="156"/>
      <c r="EF1362" s="156"/>
      <c r="EG1362" s="156"/>
      <c r="EH1362" s="156"/>
      <c r="EI1362" s="156"/>
      <c r="EJ1362" s="156"/>
      <c r="EK1362" s="156"/>
      <c r="EL1362" s="156"/>
      <c r="EM1362" s="156"/>
    </row>
    <row r="1363" spans="20:143" ht="10.5" customHeight="1">
      <c r="T1363" s="156"/>
      <c r="AZ1363" s="156"/>
      <c r="BA1363" s="156"/>
      <c r="BB1363" s="156"/>
      <c r="BC1363" s="156"/>
      <c r="BD1363" s="156"/>
      <c r="BE1363" s="156"/>
      <c r="BF1363" s="156"/>
      <c r="BG1363" s="156"/>
      <c r="BH1363" s="156"/>
      <c r="BI1363" s="156"/>
      <c r="BJ1363" s="156"/>
      <c r="BK1363" s="156"/>
      <c r="BL1363" s="156"/>
      <c r="BM1363" s="156"/>
      <c r="BN1363" s="156"/>
      <c r="BO1363" s="156"/>
      <c r="BP1363" s="156"/>
      <c r="BQ1363" s="156"/>
      <c r="BR1363" s="156"/>
      <c r="BS1363" s="156"/>
      <c r="BT1363" s="156"/>
      <c r="BU1363" s="156"/>
      <c r="BV1363" s="156"/>
      <c r="BW1363" s="156"/>
      <c r="BX1363" s="156"/>
      <c r="BY1363" s="156"/>
      <c r="BZ1363" s="156"/>
      <c r="CA1363" s="156"/>
      <c r="CB1363" s="156"/>
      <c r="CC1363" s="156"/>
      <c r="CD1363" s="156"/>
      <c r="CE1363" s="156"/>
      <c r="CF1363" s="156"/>
      <c r="CG1363" s="156"/>
      <c r="CH1363" s="156"/>
      <c r="CI1363" s="156"/>
      <c r="CJ1363" s="156"/>
      <c r="CK1363" s="156"/>
      <c r="CL1363" s="156"/>
      <c r="CM1363" s="156"/>
      <c r="CN1363" s="156"/>
      <c r="CO1363" s="156"/>
      <c r="CP1363" s="156"/>
      <c r="CQ1363" s="156"/>
      <c r="CR1363" s="156"/>
      <c r="CS1363" s="156"/>
      <c r="CT1363" s="156"/>
      <c r="CU1363" s="156"/>
      <c r="CV1363" s="156"/>
      <c r="CW1363" s="156"/>
      <c r="CX1363" s="156"/>
      <c r="CY1363" s="156"/>
      <c r="CZ1363" s="156"/>
      <c r="DA1363" s="156"/>
      <c r="DB1363" s="156"/>
      <c r="DC1363" s="156"/>
      <c r="DD1363" s="156"/>
      <c r="DE1363" s="156"/>
      <c r="DF1363" s="156"/>
      <c r="DG1363" s="156"/>
      <c r="DH1363" s="156"/>
      <c r="DI1363" s="156"/>
      <c r="DJ1363" s="156"/>
      <c r="DK1363" s="156"/>
      <c r="DL1363" s="156"/>
      <c r="DM1363" s="156"/>
      <c r="DN1363" s="156"/>
      <c r="DO1363" s="156"/>
      <c r="DP1363" s="156"/>
      <c r="DQ1363" s="156"/>
      <c r="DR1363" s="156"/>
      <c r="DS1363" s="156"/>
      <c r="DT1363" s="156"/>
      <c r="DU1363" s="156"/>
      <c r="DV1363" s="156"/>
      <c r="DW1363" s="156"/>
      <c r="DX1363" s="156"/>
      <c r="DY1363" s="156"/>
      <c r="DZ1363" s="156"/>
      <c r="EA1363" s="156"/>
      <c r="EB1363" s="156"/>
      <c r="EC1363" s="156"/>
      <c r="ED1363" s="156"/>
      <c r="EE1363" s="156"/>
      <c r="EF1363" s="156"/>
      <c r="EG1363" s="156"/>
      <c r="EH1363" s="156"/>
      <c r="EI1363" s="156"/>
      <c r="EJ1363" s="156"/>
      <c r="EK1363" s="156"/>
      <c r="EL1363" s="156"/>
      <c r="EM1363" s="156"/>
    </row>
    <row r="1364" spans="20:143" ht="10.5" customHeight="1">
      <c r="T1364" s="156"/>
      <c r="AZ1364" s="156"/>
      <c r="BA1364" s="156"/>
      <c r="BB1364" s="156"/>
      <c r="BC1364" s="156"/>
      <c r="BD1364" s="156"/>
      <c r="BE1364" s="156"/>
      <c r="BF1364" s="156"/>
      <c r="BG1364" s="156"/>
      <c r="BH1364" s="156"/>
      <c r="BI1364" s="156"/>
      <c r="BJ1364" s="156"/>
      <c r="BK1364" s="156"/>
      <c r="BL1364" s="156"/>
      <c r="BM1364" s="156"/>
      <c r="BN1364" s="156"/>
      <c r="BO1364" s="156"/>
      <c r="BP1364" s="156"/>
      <c r="BQ1364" s="156"/>
      <c r="BR1364" s="156"/>
      <c r="BS1364" s="156"/>
      <c r="BT1364" s="156"/>
      <c r="BU1364" s="156"/>
      <c r="BV1364" s="156"/>
      <c r="BW1364" s="156"/>
      <c r="BX1364" s="156"/>
      <c r="BY1364" s="156"/>
      <c r="BZ1364" s="156"/>
      <c r="CA1364" s="156"/>
      <c r="CB1364" s="156"/>
      <c r="CC1364" s="156"/>
      <c r="CD1364" s="156"/>
      <c r="CE1364" s="156"/>
      <c r="CF1364" s="156"/>
      <c r="CG1364" s="156"/>
      <c r="CH1364" s="156"/>
      <c r="CI1364" s="156"/>
      <c r="CJ1364" s="156"/>
      <c r="CK1364" s="156"/>
      <c r="CL1364" s="156"/>
      <c r="CM1364" s="156"/>
      <c r="CN1364" s="156"/>
      <c r="CO1364" s="156"/>
      <c r="CP1364" s="156"/>
      <c r="CQ1364" s="156"/>
      <c r="CR1364" s="156"/>
      <c r="CS1364" s="156"/>
      <c r="CT1364" s="156"/>
      <c r="CU1364" s="156"/>
      <c r="CV1364" s="156"/>
      <c r="CW1364" s="156"/>
      <c r="CX1364" s="156"/>
      <c r="CY1364" s="156"/>
      <c r="CZ1364" s="156"/>
      <c r="DA1364" s="156"/>
      <c r="DB1364" s="156"/>
      <c r="DC1364" s="156"/>
      <c r="DD1364" s="156"/>
      <c r="DE1364" s="156"/>
      <c r="DF1364" s="156"/>
      <c r="DG1364" s="156"/>
      <c r="DH1364" s="156"/>
      <c r="DI1364" s="156"/>
      <c r="DJ1364" s="156"/>
      <c r="DK1364" s="156"/>
      <c r="DL1364" s="156"/>
      <c r="DM1364" s="156"/>
      <c r="DN1364" s="156"/>
      <c r="DO1364" s="156"/>
      <c r="DP1364" s="156"/>
      <c r="DQ1364" s="156"/>
      <c r="DR1364" s="156"/>
      <c r="DS1364" s="156"/>
      <c r="DT1364" s="156"/>
      <c r="DU1364" s="156"/>
      <c r="DV1364" s="156"/>
      <c r="DW1364" s="156"/>
      <c r="DX1364" s="156"/>
      <c r="DY1364" s="156"/>
      <c r="DZ1364" s="156"/>
      <c r="EA1364" s="156"/>
      <c r="EB1364" s="156"/>
      <c r="EC1364" s="156"/>
      <c r="ED1364" s="156"/>
      <c r="EE1364" s="156"/>
      <c r="EF1364" s="156"/>
      <c r="EG1364" s="156"/>
      <c r="EH1364" s="156"/>
      <c r="EI1364" s="156"/>
      <c r="EJ1364" s="156"/>
      <c r="EK1364" s="156"/>
      <c r="EL1364" s="156"/>
      <c r="EM1364" s="156"/>
    </row>
    <row r="1365" spans="20:143" ht="10.5" customHeight="1">
      <c r="T1365" s="156"/>
      <c r="AZ1365" s="156"/>
      <c r="BA1365" s="156"/>
      <c r="BB1365" s="156"/>
      <c r="BC1365" s="156"/>
      <c r="BD1365" s="156"/>
      <c r="BE1365" s="156"/>
      <c r="BF1365" s="156"/>
      <c r="BG1365" s="156"/>
      <c r="BH1365" s="156"/>
      <c r="BI1365" s="156"/>
      <c r="BJ1365" s="156"/>
      <c r="BK1365" s="156"/>
      <c r="BL1365" s="156"/>
      <c r="BM1365" s="156"/>
      <c r="BN1365" s="156"/>
      <c r="BO1365" s="156"/>
      <c r="BP1365" s="156"/>
      <c r="BQ1365" s="156"/>
      <c r="BR1365" s="156"/>
      <c r="BS1365" s="156"/>
      <c r="BT1365" s="156"/>
      <c r="BU1365" s="156"/>
      <c r="BV1365" s="156"/>
      <c r="BW1365" s="156"/>
      <c r="BX1365" s="156"/>
      <c r="BY1365" s="156"/>
      <c r="BZ1365" s="156"/>
      <c r="CA1365" s="156"/>
      <c r="CB1365" s="156"/>
      <c r="CC1365" s="156"/>
      <c r="CD1365" s="156"/>
      <c r="CE1365" s="156"/>
      <c r="CF1365" s="156"/>
      <c r="CG1365" s="156"/>
      <c r="CH1365" s="156"/>
      <c r="CI1365" s="156"/>
      <c r="CJ1365" s="156"/>
      <c r="CK1365" s="156"/>
      <c r="CL1365" s="156"/>
      <c r="CM1365" s="156"/>
      <c r="CN1365" s="156"/>
      <c r="CO1365" s="156"/>
      <c r="CP1365" s="156"/>
      <c r="CQ1365" s="156"/>
      <c r="CR1365" s="156"/>
      <c r="CS1365" s="156"/>
      <c r="CT1365" s="156"/>
      <c r="CU1365" s="156"/>
      <c r="CV1365" s="156"/>
      <c r="CW1365" s="156"/>
      <c r="CX1365" s="156"/>
      <c r="CY1365" s="156"/>
      <c r="CZ1365" s="156"/>
      <c r="DA1365" s="156"/>
      <c r="DB1365" s="156"/>
      <c r="DC1365" s="156"/>
      <c r="DD1365" s="156"/>
      <c r="DE1365" s="156"/>
      <c r="DF1365" s="156"/>
      <c r="DG1365" s="156"/>
      <c r="DH1365" s="156"/>
      <c r="DI1365" s="156"/>
      <c r="DJ1365" s="156"/>
      <c r="DK1365" s="156"/>
      <c r="DL1365" s="156"/>
      <c r="DM1365" s="156"/>
      <c r="DN1365" s="156"/>
      <c r="DO1365" s="156"/>
      <c r="DP1365" s="156"/>
      <c r="DQ1365" s="156"/>
      <c r="DR1365" s="156"/>
      <c r="DS1365" s="156"/>
      <c r="DT1365" s="156"/>
      <c r="DU1365" s="156"/>
      <c r="DV1365" s="156"/>
      <c r="DW1365" s="156"/>
      <c r="DX1365" s="156"/>
      <c r="DY1365" s="156"/>
      <c r="DZ1365" s="156"/>
      <c r="EA1365" s="156"/>
      <c r="EB1365" s="156"/>
      <c r="EC1365" s="156"/>
      <c r="ED1365" s="156"/>
      <c r="EE1365" s="156"/>
      <c r="EF1365" s="156"/>
      <c r="EG1365" s="156"/>
      <c r="EH1365" s="156"/>
      <c r="EI1365" s="156"/>
      <c r="EJ1365" s="156"/>
      <c r="EK1365" s="156"/>
      <c r="EL1365" s="156"/>
      <c r="EM1365" s="156"/>
    </row>
    <row r="1366" spans="20:143" ht="10.5" customHeight="1">
      <c r="T1366" s="156"/>
      <c r="AZ1366" s="156"/>
      <c r="BA1366" s="156"/>
      <c r="BB1366" s="156"/>
      <c r="BC1366" s="156"/>
      <c r="BD1366" s="156"/>
      <c r="BE1366" s="156"/>
      <c r="BF1366" s="156"/>
      <c r="BG1366" s="156"/>
      <c r="BH1366" s="156"/>
      <c r="BI1366" s="156"/>
      <c r="BJ1366" s="156"/>
      <c r="BK1366" s="156"/>
      <c r="BL1366" s="156"/>
      <c r="BM1366" s="156"/>
      <c r="BN1366" s="156"/>
      <c r="BO1366" s="156"/>
      <c r="BP1366" s="156"/>
      <c r="BQ1366" s="156"/>
      <c r="BR1366" s="156"/>
      <c r="BS1366" s="156"/>
      <c r="BT1366" s="156"/>
      <c r="BU1366" s="156"/>
      <c r="BV1366" s="156"/>
      <c r="BW1366" s="156"/>
      <c r="BX1366" s="156"/>
      <c r="BY1366" s="156"/>
      <c r="BZ1366" s="156"/>
      <c r="CA1366" s="156"/>
      <c r="CB1366" s="156"/>
      <c r="CC1366" s="156"/>
      <c r="CD1366" s="156"/>
      <c r="CE1366" s="156"/>
      <c r="CF1366" s="156"/>
      <c r="CG1366" s="156"/>
      <c r="CH1366" s="156"/>
      <c r="CI1366" s="156"/>
      <c r="CJ1366" s="156"/>
      <c r="CK1366" s="156"/>
      <c r="CL1366" s="156"/>
      <c r="CM1366" s="156"/>
      <c r="CN1366" s="156"/>
      <c r="CO1366" s="156"/>
      <c r="CP1366" s="156"/>
      <c r="CQ1366" s="156"/>
      <c r="CR1366" s="156"/>
      <c r="CS1366" s="156"/>
      <c r="CT1366" s="156"/>
      <c r="CU1366" s="156"/>
      <c r="CV1366" s="156"/>
      <c r="CW1366" s="156"/>
      <c r="CX1366" s="156"/>
      <c r="CY1366" s="156"/>
      <c r="CZ1366" s="156"/>
      <c r="DA1366" s="156"/>
      <c r="DB1366" s="156"/>
      <c r="DC1366" s="156"/>
      <c r="DD1366" s="156"/>
      <c r="DE1366" s="156"/>
      <c r="DF1366" s="156"/>
      <c r="DG1366" s="156"/>
      <c r="DH1366" s="156"/>
      <c r="DI1366" s="156"/>
      <c r="DJ1366" s="156"/>
      <c r="DK1366" s="156"/>
      <c r="DL1366" s="156"/>
      <c r="DM1366" s="156"/>
      <c r="DN1366" s="156"/>
      <c r="DO1366" s="156"/>
      <c r="DP1366" s="156"/>
      <c r="DQ1366" s="156"/>
      <c r="DR1366" s="156"/>
      <c r="DS1366" s="156"/>
      <c r="DT1366" s="156"/>
      <c r="DU1366" s="156"/>
      <c r="DV1366" s="156"/>
      <c r="DW1366" s="156"/>
      <c r="DX1366" s="156"/>
      <c r="DY1366" s="156"/>
      <c r="DZ1366" s="156"/>
      <c r="EA1366" s="156"/>
      <c r="EB1366" s="156"/>
      <c r="EC1366" s="156"/>
      <c r="ED1366" s="156"/>
      <c r="EE1366" s="156"/>
      <c r="EF1366" s="156"/>
      <c r="EG1366" s="156"/>
      <c r="EH1366" s="156"/>
      <c r="EI1366" s="156"/>
      <c r="EJ1366" s="156"/>
      <c r="EK1366" s="156"/>
      <c r="EL1366" s="156"/>
      <c r="EM1366" s="156"/>
    </row>
    <row r="1367" spans="20:143" ht="10.5" customHeight="1">
      <c r="T1367" s="156"/>
      <c r="AZ1367" s="156"/>
      <c r="BA1367" s="156"/>
      <c r="BB1367" s="156"/>
      <c r="BC1367" s="156"/>
      <c r="BD1367" s="156"/>
      <c r="BE1367" s="156"/>
      <c r="BF1367" s="156"/>
      <c r="BG1367" s="156"/>
      <c r="BH1367" s="156"/>
      <c r="BI1367" s="156"/>
      <c r="BJ1367" s="156"/>
      <c r="BK1367" s="156"/>
      <c r="BL1367" s="156"/>
      <c r="BM1367" s="156"/>
      <c r="BN1367" s="156"/>
      <c r="BO1367" s="156"/>
      <c r="BP1367" s="156"/>
      <c r="BQ1367" s="156"/>
      <c r="BR1367" s="156"/>
      <c r="BS1367" s="156"/>
      <c r="BT1367" s="156"/>
      <c r="BU1367" s="156"/>
      <c r="BV1367" s="156"/>
      <c r="BW1367" s="156"/>
      <c r="BX1367" s="156"/>
      <c r="BY1367" s="156"/>
      <c r="BZ1367" s="156"/>
      <c r="CA1367" s="156"/>
      <c r="CB1367" s="156"/>
      <c r="CC1367" s="156"/>
      <c r="CD1367" s="156"/>
      <c r="CE1367" s="156"/>
      <c r="CF1367" s="156"/>
      <c r="CG1367" s="156"/>
      <c r="CH1367" s="156"/>
      <c r="CI1367" s="156"/>
      <c r="CJ1367" s="156"/>
      <c r="CK1367" s="156"/>
      <c r="CL1367" s="156"/>
      <c r="CM1367" s="156"/>
      <c r="CN1367" s="156"/>
      <c r="CO1367" s="156"/>
      <c r="CP1367" s="156"/>
      <c r="CQ1367" s="156"/>
      <c r="CR1367" s="156"/>
      <c r="CS1367" s="156"/>
      <c r="CT1367" s="156"/>
      <c r="CU1367" s="156"/>
      <c r="CV1367" s="156"/>
      <c r="CW1367" s="156"/>
      <c r="CX1367" s="156"/>
      <c r="CY1367" s="156"/>
      <c r="CZ1367" s="156"/>
      <c r="DA1367" s="156"/>
      <c r="DB1367" s="156"/>
      <c r="DC1367" s="156"/>
      <c r="DD1367" s="156"/>
      <c r="DE1367" s="156"/>
      <c r="DF1367" s="156"/>
      <c r="DG1367" s="156"/>
      <c r="DH1367" s="156"/>
      <c r="DI1367" s="156"/>
      <c r="DJ1367" s="156"/>
      <c r="DK1367" s="156"/>
      <c r="DL1367" s="156"/>
      <c r="DM1367" s="156"/>
      <c r="DN1367" s="156"/>
      <c r="DO1367" s="156"/>
      <c r="DP1367" s="156"/>
      <c r="DQ1367" s="156"/>
      <c r="DR1367" s="156"/>
      <c r="DS1367" s="156"/>
      <c r="DT1367" s="156"/>
      <c r="DU1367" s="156"/>
      <c r="DV1367" s="156"/>
      <c r="DW1367" s="156"/>
      <c r="DX1367" s="156"/>
      <c r="DY1367" s="156"/>
      <c r="DZ1367" s="156"/>
      <c r="EA1367" s="156"/>
      <c r="EB1367" s="156"/>
      <c r="EC1367" s="156"/>
      <c r="ED1367" s="156"/>
      <c r="EE1367" s="156"/>
      <c r="EF1367" s="156"/>
      <c r="EG1367" s="156"/>
      <c r="EH1367" s="156"/>
      <c r="EI1367" s="156"/>
      <c r="EJ1367" s="156"/>
      <c r="EK1367" s="156"/>
      <c r="EL1367" s="156"/>
      <c r="EM1367" s="156"/>
    </row>
    <row r="1368" spans="20:143" ht="10.5" customHeight="1">
      <c r="T1368" s="156"/>
      <c r="AZ1368" s="156"/>
      <c r="BA1368" s="156"/>
      <c r="BB1368" s="156"/>
      <c r="BC1368" s="156"/>
      <c r="BD1368" s="156"/>
      <c r="BE1368" s="156"/>
      <c r="BF1368" s="156"/>
      <c r="BG1368" s="156"/>
      <c r="BH1368" s="156"/>
      <c r="BI1368" s="156"/>
      <c r="BJ1368" s="156"/>
      <c r="BK1368" s="156"/>
      <c r="BL1368" s="156"/>
      <c r="BM1368" s="156"/>
      <c r="BN1368" s="156"/>
      <c r="BO1368" s="156"/>
      <c r="BP1368" s="156"/>
      <c r="BQ1368" s="156"/>
      <c r="BR1368" s="156"/>
      <c r="BS1368" s="156"/>
      <c r="BT1368" s="156"/>
      <c r="BU1368" s="156"/>
      <c r="BV1368" s="156"/>
      <c r="BW1368" s="156"/>
      <c r="BX1368" s="156"/>
      <c r="BY1368" s="156"/>
      <c r="BZ1368" s="156"/>
      <c r="CA1368" s="156"/>
      <c r="CB1368" s="156"/>
      <c r="CC1368" s="156"/>
      <c r="CD1368" s="156"/>
      <c r="CE1368" s="156"/>
      <c r="CF1368" s="156"/>
      <c r="CG1368" s="156"/>
      <c r="CH1368" s="156"/>
      <c r="CI1368" s="156"/>
      <c r="CJ1368" s="156"/>
      <c r="CK1368" s="156"/>
      <c r="CL1368" s="156"/>
      <c r="CM1368" s="156"/>
      <c r="CN1368" s="156"/>
      <c r="CO1368" s="156"/>
      <c r="CP1368" s="156"/>
      <c r="CQ1368" s="156"/>
      <c r="CR1368" s="156"/>
      <c r="CS1368" s="156"/>
      <c r="CT1368" s="156"/>
      <c r="CU1368" s="156"/>
      <c r="CV1368" s="156"/>
      <c r="CW1368" s="156"/>
      <c r="CX1368" s="156"/>
      <c r="CY1368" s="156"/>
      <c r="CZ1368" s="156"/>
      <c r="DA1368" s="156"/>
      <c r="DB1368" s="156"/>
      <c r="DC1368" s="156"/>
      <c r="DD1368" s="156"/>
      <c r="DE1368" s="156"/>
      <c r="DF1368" s="156"/>
      <c r="DG1368" s="156"/>
      <c r="DH1368" s="156"/>
      <c r="DI1368" s="156"/>
      <c r="DJ1368" s="156"/>
      <c r="DK1368" s="156"/>
      <c r="DL1368" s="156"/>
      <c r="DM1368" s="156"/>
      <c r="DN1368" s="156"/>
      <c r="DO1368" s="156"/>
      <c r="DP1368" s="156"/>
      <c r="DQ1368" s="156"/>
      <c r="DR1368" s="156"/>
      <c r="DS1368" s="156"/>
      <c r="DT1368" s="156"/>
      <c r="DU1368" s="156"/>
      <c r="DV1368" s="156"/>
      <c r="DW1368" s="156"/>
      <c r="DX1368" s="156"/>
      <c r="DY1368" s="156"/>
      <c r="DZ1368" s="156"/>
      <c r="EA1368" s="156"/>
      <c r="EB1368" s="156"/>
      <c r="EC1368" s="156"/>
      <c r="ED1368" s="156"/>
      <c r="EE1368" s="156"/>
      <c r="EF1368" s="156"/>
      <c r="EG1368" s="156"/>
      <c r="EH1368" s="156"/>
      <c r="EI1368" s="156"/>
      <c r="EJ1368" s="156"/>
      <c r="EK1368" s="156"/>
      <c r="EL1368" s="156"/>
      <c r="EM1368" s="156"/>
    </row>
    <row r="1369" spans="20:143" ht="10.5" customHeight="1">
      <c r="T1369" s="156"/>
      <c r="AZ1369" s="156"/>
      <c r="BA1369" s="156"/>
      <c r="BB1369" s="156"/>
      <c r="BC1369" s="156"/>
      <c r="BD1369" s="156"/>
      <c r="BE1369" s="156"/>
      <c r="BF1369" s="156"/>
      <c r="BG1369" s="156"/>
      <c r="BH1369" s="156"/>
      <c r="BI1369" s="156"/>
      <c r="BJ1369" s="156"/>
      <c r="BK1369" s="156"/>
      <c r="BL1369" s="156"/>
      <c r="BM1369" s="156"/>
      <c r="BN1369" s="156"/>
      <c r="BO1369" s="156"/>
      <c r="BP1369" s="156"/>
      <c r="BQ1369" s="156"/>
      <c r="BR1369" s="156"/>
      <c r="BS1369" s="156"/>
      <c r="BT1369" s="156"/>
      <c r="BU1369" s="156"/>
      <c r="BV1369" s="156"/>
      <c r="BW1369" s="156"/>
      <c r="BX1369" s="156"/>
      <c r="BY1369" s="156"/>
      <c r="BZ1369" s="156"/>
      <c r="CA1369" s="156"/>
      <c r="CB1369" s="156"/>
      <c r="CC1369" s="156"/>
      <c r="CD1369" s="156"/>
      <c r="CE1369" s="156"/>
      <c r="CF1369" s="156"/>
      <c r="CG1369" s="156"/>
      <c r="CH1369" s="156"/>
      <c r="CI1369" s="156"/>
      <c r="CJ1369" s="156"/>
      <c r="CK1369" s="156"/>
      <c r="CL1369" s="156"/>
      <c r="CM1369" s="156"/>
      <c r="CN1369" s="156"/>
      <c r="CO1369" s="156"/>
      <c r="CP1369" s="156"/>
      <c r="CQ1369" s="156"/>
      <c r="CR1369" s="156"/>
      <c r="CS1369" s="156"/>
      <c r="CT1369" s="156"/>
      <c r="CU1369" s="156"/>
      <c r="CV1369" s="156"/>
      <c r="CW1369" s="156"/>
      <c r="CX1369" s="156"/>
      <c r="CY1369" s="156"/>
      <c r="CZ1369" s="156"/>
      <c r="DA1369" s="156"/>
      <c r="DB1369" s="156"/>
      <c r="DC1369" s="156"/>
      <c r="DD1369" s="156"/>
      <c r="DE1369" s="156"/>
      <c r="DF1369" s="156"/>
      <c r="DG1369" s="156"/>
      <c r="DH1369" s="156"/>
      <c r="DI1369" s="156"/>
      <c r="DJ1369" s="156"/>
      <c r="DK1369" s="156"/>
      <c r="DL1369" s="156"/>
      <c r="DM1369" s="156"/>
      <c r="DN1369" s="156"/>
      <c r="DO1369" s="156"/>
      <c r="DP1369" s="156"/>
      <c r="DQ1369" s="156"/>
      <c r="DR1369" s="156"/>
      <c r="DS1369" s="156"/>
      <c r="DT1369" s="156"/>
      <c r="DU1369" s="156"/>
      <c r="DV1369" s="156"/>
      <c r="DW1369" s="156"/>
      <c r="DX1369" s="156"/>
      <c r="DY1369" s="156"/>
      <c r="DZ1369" s="156"/>
      <c r="EA1369" s="156"/>
      <c r="EB1369" s="156"/>
      <c r="EC1369" s="156"/>
      <c r="ED1369" s="156"/>
      <c r="EE1369" s="156"/>
      <c r="EF1369" s="156"/>
      <c r="EG1369" s="156"/>
      <c r="EH1369" s="156"/>
      <c r="EI1369" s="156"/>
      <c r="EJ1369" s="156"/>
      <c r="EK1369" s="156"/>
      <c r="EL1369" s="156"/>
      <c r="EM1369" s="156"/>
    </row>
    <row r="1370" spans="20:143" ht="10.5" customHeight="1">
      <c r="T1370" s="156"/>
      <c r="AZ1370" s="156"/>
      <c r="BA1370" s="156"/>
      <c r="BB1370" s="156"/>
      <c r="BC1370" s="156"/>
      <c r="BD1370" s="156"/>
      <c r="BE1370" s="156"/>
      <c r="BF1370" s="156"/>
      <c r="BG1370" s="156"/>
      <c r="BH1370" s="156"/>
      <c r="BI1370" s="156"/>
      <c r="BJ1370" s="156"/>
      <c r="BK1370" s="156"/>
      <c r="BL1370" s="156"/>
      <c r="BM1370" s="156"/>
      <c r="BN1370" s="156"/>
      <c r="BO1370" s="156"/>
      <c r="BP1370" s="156"/>
      <c r="BQ1370" s="156"/>
      <c r="BR1370" s="156"/>
      <c r="BS1370" s="156"/>
      <c r="BT1370" s="156"/>
      <c r="BU1370" s="156"/>
      <c r="BV1370" s="156"/>
      <c r="BW1370" s="156"/>
      <c r="BX1370" s="156"/>
      <c r="BY1370" s="156"/>
      <c r="BZ1370" s="156"/>
      <c r="CA1370" s="156"/>
      <c r="CB1370" s="156"/>
      <c r="CC1370" s="156"/>
      <c r="CD1370" s="156"/>
      <c r="CE1370" s="156"/>
      <c r="CF1370" s="156"/>
      <c r="CG1370" s="156"/>
      <c r="CH1370" s="156"/>
      <c r="CI1370" s="156"/>
      <c r="CJ1370" s="156"/>
      <c r="CK1370" s="156"/>
      <c r="CL1370" s="156"/>
      <c r="CM1370" s="156"/>
      <c r="CN1370" s="156"/>
      <c r="CO1370" s="156"/>
      <c r="CP1370" s="156"/>
      <c r="CQ1370" s="156"/>
      <c r="CR1370" s="156"/>
      <c r="CS1370" s="156"/>
      <c r="CT1370" s="156"/>
      <c r="CU1370" s="156"/>
      <c r="CV1370" s="156"/>
      <c r="CW1370" s="156"/>
      <c r="CX1370" s="156"/>
      <c r="CY1370" s="156"/>
      <c r="CZ1370" s="156"/>
      <c r="DA1370" s="156"/>
      <c r="DB1370" s="156"/>
      <c r="DC1370" s="156"/>
      <c r="DD1370" s="156"/>
      <c r="DE1370" s="156"/>
      <c r="DF1370" s="156"/>
      <c r="DG1370" s="156"/>
      <c r="DH1370" s="156"/>
      <c r="DI1370" s="156"/>
      <c r="DJ1370" s="156"/>
      <c r="DK1370" s="156"/>
      <c r="DL1370" s="156"/>
      <c r="DM1370" s="156"/>
      <c r="DN1370" s="156"/>
      <c r="DO1370" s="156"/>
      <c r="DP1370" s="156"/>
      <c r="DQ1370" s="156"/>
      <c r="DR1370" s="156"/>
      <c r="DS1370" s="156"/>
      <c r="DT1370" s="156"/>
      <c r="DU1370" s="156"/>
      <c r="DV1370" s="156"/>
      <c r="DW1370" s="156"/>
      <c r="DX1370" s="156"/>
      <c r="DY1370" s="156"/>
      <c r="DZ1370" s="156"/>
      <c r="EA1370" s="156"/>
      <c r="EB1370" s="156"/>
      <c r="EC1370" s="156"/>
      <c r="ED1370" s="156"/>
      <c r="EE1370" s="156"/>
      <c r="EF1370" s="156"/>
      <c r="EG1370" s="156"/>
      <c r="EH1370" s="156"/>
      <c r="EI1370" s="156"/>
      <c r="EJ1370" s="156"/>
      <c r="EK1370" s="156"/>
      <c r="EL1370" s="156"/>
      <c r="EM1370" s="156"/>
    </row>
    <row r="1371" spans="20:143" ht="10.5" customHeight="1">
      <c r="T1371" s="156"/>
      <c r="AZ1371" s="156"/>
      <c r="BA1371" s="156"/>
      <c r="BB1371" s="156"/>
      <c r="BC1371" s="156"/>
      <c r="BD1371" s="156"/>
      <c r="BE1371" s="156"/>
      <c r="BF1371" s="156"/>
      <c r="BG1371" s="156"/>
      <c r="BH1371" s="156"/>
      <c r="BI1371" s="156"/>
      <c r="BJ1371" s="156"/>
      <c r="BK1371" s="156"/>
      <c r="BL1371" s="156"/>
      <c r="BM1371" s="156"/>
      <c r="BN1371" s="156"/>
      <c r="BO1371" s="156"/>
      <c r="BP1371" s="156"/>
      <c r="BQ1371" s="156"/>
      <c r="BR1371" s="156"/>
      <c r="BS1371" s="156"/>
      <c r="BT1371" s="156"/>
      <c r="BU1371" s="156"/>
      <c r="BV1371" s="156"/>
      <c r="BW1371" s="156"/>
      <c r="BX1371" s="156"/>
      <c r="BY1371" s="156"/>
      <c r="BZ1371" s="156"/>
      <c r="CA1371" s="156"/>
      <c r="CB1371" s="156"/>
      <c r="CC1371" s="156"/>
      <c r="CD1371" s="156"/>
      <c r="CE1371" s="156"/>
      <c r="CF1371" s="156"/>
      <c r="CG1371" s="156"/>
      <c r="CH1371" s="156"/>
      <c r="CI1371" s="156"/>
      <c r="CJ1371" s="156"/>
      <c r="CK1371" s="156"/>
      <c r="CL1371" s="156"/>
      <c r="CM1371" s="156"/>
      <c r="CN1371" s="156"/>
      <c r="CO1371" s="156"/>
      <c r="CP1371" s="156"/>
      <c r="CQ1371" s="156"/>
      <c r="CR1371" s="156"/>
      <c r="CS1371" s="156"/>
      <c r="CT1371" s="156"/>
      <c r="CU1371" s="156"/>
      <c r="CV1371" s="156"/>
      <c r="CW1371" s="156"/>
      <c r="CX1371" s="156"/>
      <c r="CY1371" s="156"/>
      <c r="CZ1371" s="156"/>
      <c r="DA1371" s="156"/>
      <c r="DB1371" s="156"/>
      <c r="DC1371" s="156"/>
      <c r="DD1371" s="156"/>
      <c r="DE1371" s="156"/>
      <c r="DF1371" s="156"/>
      <c r="DG1371" s="156"/>
      <c r="DH1371" s="156"/>
      <c r="DI1371" s="156"/>
      <c r="DJ1371" s="156"/>
      <c r="DK1371" s="156"/>
      <c r="DL1371" s="156"/>
      <c r="DM1371" s="156"/>
      <c r="DN1371" s="156"/>
      <c r="DO1371" s="156"/>
      <c r="DP1371" s="156"/>
      <c r="DQ1371" s="156"/>
      <c r="DR1371" s="156"/>
      <c r="DS1371" s="156"/>
      <c r="DT1371" s="156"/>
      <c r="DU1371" s="156"/>
      <c r="DV1371" s="156"/>
      <c r="DW1371" s="156"/>
      <c r="DX1371" s="156"/>
      <c r="DY1371" s="156"/>
      <c r="DZ1371" s="156"/>
      <c r="EA1371" s="156"/>
      <c r="EB1371" s="156"/>
      <c r="EC1371" s="156"/>
      <c r="ED1371" s="156"/>
      <c r="EE1371" s="156"/>
      <c r="EF1371" s="156"/>
      <c r="EG1371" s="156"/>
      <c r="EH1371" s="156"/>
      <c r="EI1371" s="156"/>
      <c r="EJ1371" s="156"/>
      <c r="EK1371" s="156"/>
      <c r="EL1371" s="156"/>
      <c r="EM1371" s="156"/>
    </row>
    <row r="1372" spans="20:143" ht="10.5" customHeight="1">
      <c r="T1372" s="156"/>
      <c r="AZ1372" s="156"/>
      <c r="BA1372" s="156"/>
      <c r="BB1372" s="156"/>
      <c r="BC1372" s="156"/>
      <c r="BD1372" s="156"/>
      <c r="BE1372" s="156"/>
      <c r="BF1372" s="156"/>
      <c r="BG1372" s="156"/>
      <c r="BH1372" s="156"/>
      <c r="BI1372" s="156"/>
      <c r="BJ1372" s="156"/>
      <c r="BK1372" s="156"/>
      <c r="BL1372" s="156"/>
      <c r="BM1372" s="156"/>
      <c r="BN1372" s="156"/>
      <c r="BO1372" s="156"/>
      <c r="BP1372" s="156"/>
      <c r="BQ1372" s="156"/>
      <c r="BR1372" s="156"/>
      <c r="BS1372" s="156"/>
      <c r="BT1372" s="156"/>
      <c r="BU1372" s="156"/>
      <c r="BV1372" s="156"/>
      <c r="BW1372" s="156"/>
      <c r="BX1372" s="156"/>
      <c r="BY1372" s="156"/>
      <c r="BZ1372" s="156"/>
      <c r="CA1372" s="156"/>
      <c r="CB1372" s="156"/>
      <c r="CC1372" s="156"/>
      <c r="CD1372" s="156"/>
      <c r="CE1372" s="156"/>
      <c r="CF1372" s="156"/>
      <c r="CG1372" s="156"/>
      <c r="CH1372" s="156"/>
      <c r="CI1372" s="156"/>
      <c r="CJ1372" s="156"/>
      <c r="CK1372" s="156"/>
      <c r="CL1372" s="156"/>
      <c r="CM1372" s="156"/>
      <c r="CN1372" s="156"/>
      <c r="CO1372" s="156"/>
      <c r="CP1372" s="156"/>
      <c r="CQ1372" s="156"/>
      <c r="CR1372" s="156"/>
      <c r="CS1372" s="156"/>
      <c r="CT1372" s="156"/>
      <c r="CU1372" s="156"/>
      <c r="CV1372" s="156"/>
      <c r="CW1372" s="156"/>
      <c r="CX1372" s="156"/>
      <c r="CY1372" s="156"/>
      <c r="CZ1372" s="156"/>
      <c r="DA1372" s="156"/>
      <c r="DB1372" s="156"/>
      <c r="DC1372" s="156"/>
      <c r="DD1372" s="156"/>
      <c r="DE1372" s="156"/>
      <c r="DF1372" s="156"/>
      <c r="DG1372" s="156"/>
      <c r="DH1372" s="156"/>
      <c r="DI1372" s="156"/>
      <c r="DJ1372" s="156"/>
      <c r="DK1372" s="156"/>
      <c r="DL1372" s="156"/>
      <c r="DM1372" s="156"/>
      <c r="DN1372" s="156"/>
      <c r="DO1372" s="156"/>
      <c r="DP1372" s="156"/>
      <c r="DQ1372" s="156"/>
      <c r="DR1372" s="156"/>
      <c r="DS1372" s="156"/>
      <c r="DT1372" s="156"/>
      <c r="DU1372" s="156"/>
      <c r="DV1372" s="156"/>
      <c r="DW1372" s="156"/>
      <c r="DX1372" s="156"/>
      <c r="DY1372" s="156"/>
      <c r="DZ1372" s="156"/>
      <c r="EA1372" s="156"/>
      <c r="EB1372" s="156"/>
      <c r="EC1372" s="156"/>
      <c r="ED1372" s="156"/>
      <c r="EE1372" s="156"/>
      <c r="EF1372" s="156"/>
      <c r="EG1372" s="156"/>
      <c r="EH1372" s="156"/>
      <c r="EI1372" s="156"/>
      <c r="EJ1372" s="156"/>
      <c r="EK1372" s="156"/>
      <c r="EL1372" s="156"/>
      <c r="EM1372" s="156"/>
    </row>
    <row r="1373" spans="20:143" ht="10.5" customHeight="1">
      <c r="T1373" s="156"/>
      <c r="AZ1373" s="156"/>
      <c r="BA1373" s="156"/>
      <c r="BB1373" s="156"/>
      <c r="BC1373" s="156"/>
      <c r="BD1373" s="156"/>
      <c r="BE1373" s="156"/>
      <c r="BF1373" s="156"/>
      <c r="BG1373" s="156"/>
      <c r="BH1373" s="156"/>
      <c r="BI1373" s="156"/>
      <c r="BJ1373" s="156"/>
      <c r="BK1373" s="156"/>
      <c r="BL1373" s="156"/>
      <c r="BM1373" s="156"/>
      <c r="BN1373" s="156"/>
      <c r="BO1373" s="156"/>
      <c r="BP1373" s="156"/>
      <c r="BQ1373" s="156"/>
      <c r="BR1373" s="156"/>
      <c r="BS1373" s="156"/>
      <c r="BT1373" s="156"/>
      <c r="BU1373" s="156"/>
      <c r="BV1373" s="156"/>
      <c r="BW1373" s="156"/>
      <c r="BX1373" s="156"/>
      <c r="BY1373" s="156"/>
      <c r="BZ1373" s="156"/>
      <c r="CA1373" s="156"/>
      <c r="CB1373" s="156"/>
      <c r="CC1373" s="156"/>
      <c r="CD1373" s="156"/>
      <c r="CE1373" s="156"/>
      <c r="CF1373" s="156"/>
      <c r="CG1373" s="156"/>
      <c r="CH1373" s="156"/>
      <c r="CI1373" s="156"/>
      <c r="CJ1373" s="156"/>
      <c r="CK1373" s="156"/>
      <c r="CL1373" s="156"/>
      <c r="CM1373" s="156"/>
      <c r="CN1373" s="156"/>
      <c r="CO1373" s="156"/>
      <c r="CP1373" s="156"/>
      <c r="CQ1373" s="156"/>
      <c r="CR1373" s="156"/>
      <c r="CS1373" s="156"/>
      <c r="CT1373" s="156"/>
      <c r="CU1373" s="156"/>
      <c r="CV1373" s="156"/>
      <c r="CW1373" s="156"/>
      <c r="CX1373" s="156"/>
      <c r="CY1373" s="156"/>
      <c r="CZ1373" s="156"/>
      <c r="DA1373" s="156"/>
      <c r="DB1373" s="156"/>
      <c r="DC1373" s="156"/>
      <c r="DD1373" s="156"/>
      <c r="DE1373" s="156"/>
      <c r="DF1373" s="156"/>
      <c r="DG1373" s="156"/>
      <c r="DH1373" s="156"/>
      <c r="DI1373" s="156"/>
      <c r="DJ1373" s="156"/>
      <c r="DK1373" s="156"/>
      <c r="DL1373" s="156"/>
      <c r="DM1373" s="156"/>
      <c r="DN1373" s="156"/>
      <c r="DO1373" s="156"/>
      <c r="DP1373" s="156"/>
      <c r="DQ1373" s="156"/>
      <c r="DR1373" s="156"/>
      <c r="DS1373" s="156"/>
      <c r="DT1373" s="156"/>
      <c r="DU1373" s="156"/>
      <c r="DV1373" s="156"/>
      <c r="DW1373" s="156"/>
      <c r="DX1373" s="156"/>
      <c r="DY1373" s="156"/>
      <c r="DZ1373" s="156"/>
      <c r="EA1373" s="156"/>
      <c r="EB1373" s="156"/>
      <c r="EC1373" s="156"/>
      <c r="ED1373" s="156"/>
      <c r="EE1373" s="156"/>
      <c r="EF1373" s="156"/>
      <c r="EG1373" s="156"/>
      <c r="EH1373" s="156"/>
      <c r="EI1373" s="156"/>
      <c r="EJ1373" s="156"/>
      <c r="EK1373" s="156"/>
      <c r="EL1373" s="156"/>
      <c r="EM1373" s="156"/>
    </row>
    <row r="1374" spans="20:143" ht="10.5" customHeight="1">
      <c r="T1374" s="156"/>
      <c r="AZ1374" s="156"/>
      <c r="BA1374" s="156"/>
      <c r="BB1374" s="156"/>
      <c r="BC1374" s="156"/>
      <c r="BD1374" s="156"/>
      <c r="BE1374" s="156"/>
      <c r="BF1374" s="156"/>
      <c r="BG1374" s="156"/>
      <c r="BH1374" s="156"/>
      <c r="BI1374" s="156"/>
      <c r="BJ1374" s="156"/>
      <c r="BK1374" s="156"/>
      <c r="BL1374" s="156"/>
      <c r="BM1374" s="156"/>
      <c r="BN1374" s="156"/>
      <c r="BO1374" s="156"/>
      <c r="BP1374" s="156"/>
      <c r="BQ1374" s="156"/>
      <c r="BR1374" s="156"/>
      <c r="BS1374" s="156"/>
      <c r="BT1374" s="156"/>
      <c r="BU1374" s="156"/>
      <c r="BV1374" s="156"/>
      <c r="BW1374" s="156"/>
      <c r="BX1374" s="156"/>
      <c r="BY1374" s="156"/>
      <c r="BZ1374" s="156"/>
      <c r="CA1374" s="156"/>
      <c r="CB1374" s="156"/>
      <c r="CC1374" s="156"/>
      <c r="CD1374" s="156"/>
      <c r="CE1374" s="156"/>
      <c r="CF1374" s="156"/>
      <c r="CG1374" s="156"/>
      <c r="CH1374" s="156"/>
      <c r="CI1374" s="156"/>
      <c r="CJ1374" s="156"/>
      <c r="CK1374" s="156"/>
      <c r="CL1374" s="156"/>
      <c r="CM1374" s="156"/>
      <c r="CN1374" s="156"/>
      <c r="CO1374" s="156"/>
      <c r="CP1374" s="156"/>
      <c r="CQ1374" s="156"/>
      <c r="CR1374" s="156"/>
      <c r="CS1374" s="156"/>
      <c r="CT1374" s="156"/>
      <c r="CU1374" s="156"/>
      <c r="CV1374" s="156"/>
      <c r="CW1374" s="156"/>
      <c r="CX1374" s="156"/>
      <c r="CY1374" s="156"/>
      <c r="CZ1374" s="156"/>
      <c r="DA1374" s="156"/>
      <c r="DB1374" s="156"/>
      <c r="DC1374" s="156"/>
      <c r="DD1374" s="156"/>
      <c r="DE1374" s="156"/>
      <c r="DF1374" s="156"/>
      <c r="DG1374" s="156"/>
      <c r="DH1374" s="156"/>
      <c r="DI1374" s="156"/>
      <c r="DJ1374" s="156"/>
      <c r="DK1374" s="156"/>
      <c r="DL1374" s="156"/>
      <c r="DM1374" s="156"/>
      <c r="DN1374" s="156"/>
      <c r="DO1374" s="156"/>
      <c r="DP1374" s="156"/>
      <c r="DQ1374" s="156"/>
      <c r="DR1374" s="156"/>
      <c r="DS1374" s="156"/>
      <c r="DT1374" s="156"/>
      <c r="DU1374" s="156"/>
      <c r="DV1374" s="156"/>
      <c r="DW1374" s="156"/>
      <c r="DX1374" s="156"/>
      <c r="DY1374" s="156"/>
      <c r="DZ1374" s="156"/>
      <c r="EA1374" s="156"/>
      <c r="EB1374" s="156"/>
      <c r="EC1374" s="156"/>
      <c r="ED1374" s="156"/>
      <c r="EE1374" s="156"/>
      <c r="EF1374" s="156"/>
      <c r="EG1374" s="156"/>
      <c r="EH1374" s="156"/>
      <c r="EI1374" s="156"/>
      <c r="EJ1374" s="156"/>
      <c r="EK1374" s="156"/>
      <c r="EL1374" s="156"/>
      <c r="EM1374" s="156"/>
    </row>
    <row r="1375" spans="20:143" ht="10.5" customHeight="1">
      <c r="T1375" s="156"/>
      <c r="AZ1375" s="156"/>
      <c r="BA1375" s="156"/>
      <c r="BB1375" s="156"/>
      <c r="BC1375" s="156"/>
      <c r="BD1375" s="156"/>
      <c r="BE1375" s="156"/>
      <c r="BF1375" s="156"/>
      <c r="BG1375" s="156"/>
      <c r="BH1375" s="156"/>
      <c r="BI1375" s="156"/>
      <c r="BJ1375" s="156"/>
      <c r="BK1375" s="156"/>
      <c r="BL1375" s="156"/>
      <c r="BM1375" s="156"/>
      <c r="BN1375" s="156"/>
      <c r="BO1375" s="156"/>
      <c r="BP1375" s="156"/>
      <c r="BQ1375" s="156"/>
      <c r="BR1375" s="156"/>
      <c r="BS1375" s="156"/>
      <c r="BT1375" s="156"/>
      <c r="BU1375" s="156"/>
      <c r="BV1375" s="156"/>
      <c r="BW1375" s="156"/>
      <c r="BX1375" s="156"/>
      <c r="BY1375" s="156"/>
      <c r="BZ1375" s="156"/>
      <c r="CA1375" s="156"/>
      <c r="CB1375" s="156"/>
      <c r="CC1375" s="156"/>
      <c r="CD1375" s="156"/>
      <c r="CE1375" s="156"/>
      <c r="CF1375" s="156"/>
      <c r="CG1375" s="156"/>
      <c r="CH1375" s="156"/>
      <c r="CI1375" s="156"/>
      <c r="CJ1375" s="156"/>
      <c r="CK1375" s="156"/>
      <c r="CL1375" s="156"/>
      <c r="CM1375" s="156"/>
      <c r="CN1375" s="156"/>
      <c r="CO1375" s="156"/>
      <c r="CP1375" s="156"/>
      <c r="CQ1375" s="156"/>
      <c r="CR1375" s="156"/>
      <c r="CS1375" s="156"/>
      <c r="CT1375" s="156"/>
      <c r="CU1375" s="156"/>
      <c r="CV1375" s="156"/>
      <c r="CW1375" s="156"/>
      <c r="CX1375" s="156"/>
      <c r="CY1375" s="156"/>
      <c r="CZ1375" s="156"/>
      <c r="DA1375" s="156"/>
      <c r="DB1375" s="156"/>
      <c r="DC1375" s="156"/>
      <c r="DD1375" s="156"/>
      <c r="DE1375" s="156"/>
      <c r="DF1375" s="156"/>
      <c r="DG1375" s="156"/>
      <c r="DH1375" s="156"/>
      <c r="DI1375" s="156"/>
      <c r="DJ1375" s="156"/>
      <c r="DK1375" s="156"/>
      <c r="DL1375" s="156"/>
      <c r="DM1375" s="156"/>
      <c r="DN1375" s="156"/>
      <c r="DO1375" s="156"/>
      <c r="DP1375" s="156"/>
      <c r="DQ1375" s="156"/>
      <c r="DR1375" s="156"/>
      <c r="DS1375" s="156"/>
      <c r="DT1375" s="156"/>
      <c r="DU1375" s="156"/>
      <c r="DV1375" s="156"/>
      <c r="DW1375" s="156"/>
      <c r="DX1375" s="156"/>
      <c r="DY1375" s="156"/>
      <c r="DZ1375" s="156"/>
      <c r="EA1375" s="156"/>
      <c r="EB1375" s="156"/>
      <c r="EC1375" s="156"/>
      <c r="ED1375" s="156"/>
      <c r="EE1375" s="156"/>
      <c r="EF1375" s="156"/>
      <c r="EG1375" s="156"/>
      <c r="EH1375" s="156"/>
      <c r="EI1375" s="156"/>
      <c r="EJ1375" s="156"/>
      <c r="EK1375" s="156"/>
      <c r="EL1375" s="156"/>
      <c r="EM1375" s="156"/>
    </row>
    <row r="1376" spans="20:143" ht="10.5" customHeight="1">
      <c r="T1376" s="156"/>
      <c r="AZ1376" s="156"/>
      <c r="BA1376" s="156"/>
      <c r="BB1376" s="156"/>
      <c r="BC1376" s="156"/>
      <c r="BD1376" s="156"/>
      <c r="BE1376" s="156"/>
      <c r="BF1376" s="156"/>
      <c r="BG1376" s="156"/>
      <c r="BH1376" s="156"/>
      <c r="BI1376" s="156"/>
      <c r="BJ1376" s="156"/>
      <c r="BK1376" s="156"/>
      <c r="BL1376" s="156"/>
      <c r="BM1376" s="156"/>
      <c r="BN1376" s="156"/>
      <c r="BO1376" s="156"/>
      <c r="BP1376" s="156"/>
      <c r="BQ1376" s="156"/>
      <c r="BR1376" s="156"/>
      <c r="BS1376" s="156"/>
      <c r="BT1376" s="156"/>
      <c r="BU1376" s="156"/>
      <c r="BV1376" s="156"/>
      <c r="BW1376" s="156"/>
      <c r="BX1376" s="156"/>
      <c r="BY1376" s="156"/>
      <c r="BZ1376" s="156"/>
      <c r="CA1376" s="156"/>
      <c r="CB1376" s="156"/>
      <c r="CC1376" s="156"/>
      <c r="CD1376" s="156"/>
      <c r="CE1376" s="156"/>
      <c r="CF1376" s="156"/>
      <c r="CG1376" s="156"/>
      <c r="CH1376" s="156"/>
      <c r="CI1376" s="156"/>
      <c r="CJ1376" s="156"/>
      <c r="CK1376" s="156"/>
      <c r="CL1376" s="156"/>
      <c r="CM1376" s="156"/>
      <c r="CN1376" s="156"/>
      <c r="CO1376" s="156"/>
      <c r="CP1376" s="156"/>
      <c r="CQ1376" s="156"/>
      <c r="CR1376" s="156"/>
      <c r="CS1376" s="156"/>
      <c r="CT1376" s="156"/>
      <c r="CU1376" s="156"/>
      <c r="CV1376" s="156"/>
      <c r="CW1376" s="156"/>
      <c r="CX1376" s="156"/>
      <c r="CY1376" s="156"/>
      <c r="CZ1376" s="156"/>
      <c r="DA1376" s="156"/>
      <c r="DB1376" s="156"/>
      <c r="DC1376" s="156"/>
      <c r="DD1376" s="156"/>
      <c r="DE1376" s="156"/>
      <c r="DF1376" s="156"/>
      <c r="DG1376" s="156"/>
      <c r="DH1376" s="156"/>
      <c r="DI1376" s="156"/>
      <c r="DJ1376" s="156"/>
      <c r="DK1376" s="156"/>
      <c r="DL1376" s="156"/>
      <c r="DM1376" s="156"/>
      <c r="DN1376" s="156"/>
      <c r="DO1376" s="156"/>
      <c r="DP1376" s="156"/>
      <c r="DQ1376" s="156"/>
      <c r="DR1376" s="156"/>
      <c r="DS1376" s="156"/>
      <c r="DT1376" s="156"/>
      <c r="DU1376" s="156"/>
      <c r="DV1376" s="156"/>
      <c r="DW1376" s="156"/>
      <c r="DX1376" s="156"/>
      <c r="DY1376" s="156"/>
      <c r="DZ1376" s="156"/>
      <c r="EA1376" s="156"/>
      <c r="EB1376" s="156"/>
      <c r="EC1376" s="156"/>
      <c r="ED1376" s="156"/>
      <c r="EE1376" s="156"/>
      <c r="EF1376" s="156"/>
      <c r="EG1376" s="156"/>
      <c r="EH1376" s="156"/>
      <c r="EI1376" s="156"/>
      <c r="EJ1376" s="156"/>
      <c r="EK1376" s="156"/>
      <c r="EL1376" s="156"/>
      <c r="EM1376" s="156"/>
    </row>
    <row r="1377" spans="20:143" ht="10.5" customHeight="1">
      <c r="T1377" s="156"/>
      <c r="AZ1377" s="156"/>
      <c r="BA1377" s="156"/>
      <c r="BB1377" s="156"/>
      <c r="BC1377" s="156"/>
      <c r="BD1377" s="156"/>
      <c r="BE1377" s="156"/>
      <c r="BF1377" s="156"/>
      <c r="BG1377" s="156"/>
      <c r="BH1377" s="156"/>
      <c r="BI1377" s="156"/>
      <c r="BJ1377" s="156"/>
      <c r="BK1377" s="156"/>
      <c r="BL1377" s="156"/>
      <c r="BM1377" s="156"/>
      <c r="BN1377" s="156"/>
      <c r="BO1377" s="156"/>
      <c r="BP1377" s="156"/>
      <c r="BQ1377" s="156"/>
      <c r="BR1377" s="156"/>
      <c r="BS1377" s="156"/>
      <c r="BT1377" s="156"/>
      <c r="BU1377" s="156"/>
      <c r="BV1377" s="156"/>
      <c r="BW1377" s="156"/>
      <c r="BX1377" s="156"/>
      <c r="BY1377" s="156"/>
      <c r="BZ1377" s="156"/>
      <c r="CA1377" s="156"/>
      <c r="CB1377" s="156"/>
      <c r="CC1377" s="156"/>
      <c r="CD1377" s="156"/>
      <c r="CE1377" s="156"/>
      <c r="CF1377" s="156"/>
      <c r="CG1377" s="156"/>
      <c r="CH1377" s="156"/>
      <c r="CI1377" s="156"/>
      <c r="CJ1377" s="156"/>
      <c r="CK1377" s="156"/>
      <c r="CL1377" s="156"/>
      <c r="CM1377" s="156"/>
      <c r="CN1377" s="156"/>
      <c r="CO1377" s="156"/>
      <c r="CP1377" s="156"/>
      <c r="CQ1377" s="156"/>
      <c r="CR1377" s="156"/>
      <c r="CS1377" s="156"/>
      <c r="CT1377" s="156"/>
      <c r="CU1377" s="156"/>
      <c r="CV1377" s="156"/>
      <c r="CW1377" s="156"/>
      <c r="CX1377" s="156"/>
      <c r="CY1377" s="156"/>
      <c r="CZ1377" s="156"/>
      <c r="DA1377" s="156"/>
      <c r="DB1377" s="156"/>
      <c r="DC1377" s="156"/>
      <c r="DD1377" s="156"/>
      <c r="DE1377" s="156"/>
      <c r="DF1377" s="156"/>
      <c r="DG1377" s="156"/>
      <c r="DH1377" s="156"/>
      <c r="DI1377" s="156"/>
      <c r="DJ1377" s="156"/>
      <c r="DK1377" s="156"/>
      <c r="DL1377" s="156"/>
      <c r="DM1377" s="156"/>
      <c r="DN1377" s="156"/>
      <c r="DO1377" s="156"/>
      <c r="DP1377" s="156"/>
      <c r="DQ1377" s="156"/>
      <c r="DR1377" s="156"/>
      <c r="DS1377" s="156"/>
      <c r="DT1377" s="156"/>
      <c r="DU1377" s="156"/>
      <c r="DV1377" s="156"/>
      <c r="DW1377" s="156"/>
      <c r="DX1377" s="156"/>
      <c r="DY1377" s="156"/>
      <c r="DZ1377" s="156"/>
      <c r="EA1377" s="156"/>
      <c r="EB1377" s="156"/>
      <c r="EC1377" s="156"/>
      <c r="ED1377" s="156"/>
      <c r="EE1377" s="156"/>
      <c r="EF1377" s="156"/>
      <c r="EG1377" s="156"/>
      <c r="EH1377" s="156"/>
      <c r="EI1377" s="156"/>
      <c r="EJ1377" s="156"/>
      <c r="EK1377" s="156"/>
      <c r="EL1377" s="156"/>
      <c r="EM1377" s="156"/>
    </row>
    <row r="1378" spans="20:143" ht="10.5" customHeight="1">
      <c r="T1378" s="156"/>
      <c r="AZ1378" s="156"/>
      <c r="BA1378" s="156"/>
      <c r="BB1378" s="156"/>
      <c r="BC1378" s="156"/>
      <c r="BD1378" s="156"/>
      <c r="BE1378" s="156"/>
      <c r="BF1378" s="156"/>
      <c r="BG1378" s="156"/>
      <c r="BH1378" s="156"/>
      <c r="BI1378" s="156"/>
      <c r="BJ1378" s="156"/>
      <c r="BK1378" s="156"/>
      <c r="BL1378" s="156"/>
      <c r="BM1378" s="156"/>
      <c r="BN1378" s="156"/>
      <c r="BO1378" s="156"/>
      <c r="BP1378" s="156"/>
      <c r="BQ1378" s="156"/>
      <c r="BR1378" s="156"/>
      <c r="BS1378" s="156"/>
      <c r="BT1378" s="156"/>
      <c r="BU1378" s="156"/>
      <c r="BV1378" s="156"/>
      <c r="BW1378" s="156"/>
      <c r="BX1378" s="156"/>
      <c r="BY1378" s="156"/>
      <c r="BZ1378" s="156"/>
      <c r="CA1378" s="156"/>
      <c r="CB1378" s="156"/>
      <c r="CC1378" s="156"/>
      <c r="CD1378" s="156"/>
      <c r="CE1378" s="156"/>
      <c r="CF1378" s="156"/>
      <c r="CG1378" s="156"/>
      <c r="CH1378" s="156"/>
      <c r="CI1378" s="156"/>
      <c r="CJ1378" s="156"/>
      <c r="CK1378" s="156"/>
      <c r="CL1378" s="156"/>
      <c r="CM1378" s="156"/>
      <c r="CN1378" s="156"/>
      <c r="CO1378" s="156"/>
      <c r="CP1378" s="156"/>
      <c r="CQ1378" s="156"/>
      <c r="CR1378" s="156"/>
      <c r="CS1378" s="156"/>
      <c r="CT1378" s="156"/>
      <c r="CU1378" s="156"/>
      <c r="CV1378" s="156"/>
      <c r="CW1378" s="156"/>
      <c r="CX1378" s="156"/>
      <c r="CY1378" s="156"/>
      <c r="CZ1378" s="156"/>
      <c r="DA1378" s="156"/>
      <c r="DB1378" s="156"/>
      <c r="DC1378" s="156"/>
      <c r="DD1378" s="156"/>
      <c r="DE1378" s="156"/>
      <c r="DF1378" s="156"/>
      <c r="DG1378" s="156"/>
      <c r="DH1378" s="156"/>
      <c r="DI1378" s="156"/>
      <c r="DJ1378" s="156"/>
      <c r="DK1378" s="156"/>
      <c r="DL1378" s="156"/>
      <c r="DM1378" s="156"/>
      <c r="DN1378" s="156"/>
      <c r="DO1378" s="156"/>
      <c r="DP1378" s="156"/>
      <c r="DQ1378" s="156"/>
      <c r="DR1378" s="156"/>
      <c r="DS1378" s="156"/>
      <c r="DT1378" s="156"/>
      <c r="DU1378" s="156"/>
      <c r="DV1378" s="156"/>
      <c r="DW1378" s="156"/>
      <c r="DX1378" s="156"/>
      <c r="DY1378" s="156"/>
      <c r="DZ1378" s="156"/>
      <c r="EA1378" s="156"/>
      <c r="EB1378" s="156"/>
      <c r="EC1378" s="156"/>
      <c r="ED1378" s="156"/>
      <c r="EE1378" s="156"/>
      <c r="EF1378" s="156"/>
      <c r="EG1378" s="156"/>
      <c r="EH1378" s="156"/>
      <c r="EI1378" s="156"/>
      <c r="EJ1378" s="156"/>
      <c r="EK1378" s="156"/>
      <c r="EL1378" s="156"/>
      <c r="EM1378" s="156"/>
    </row>
    <row r="1379" spans="20:143" ht="10.5" customHeight="1">
      <c r="T1379" s="156"/>
      <c r="AZ1379" s="156"/>
      <c r="BA1379" s="156"/>
      <c r="BB1379" s="156"/>
      <c r="BC1379" s="156"/>
      <c r="BD1379" s="156"/>
      <c r="BE1379" s="156"/>
      <c r="BF1379" s="156"/>
      <c r="BG1379" s="156"/>
      <c r="BH1379" s="156"/>
      <c r="BI1379" s="156"/>
      <c r="BJ1379" s="156"/>
      <c r="BK1379" s="156"/>
      <c r="BL1379" s="156"/>
      <c r="BM1379" s="156"/>
      <c r="BN1379" s="156"/>
      <c r="BO1379" s="156"/>
      <c r="BP1379" s="156"/>
      <c r="BQ1379" s="156"/>
      <c r="BR1379" s="156"/>
      <c r="BS1379" s="156"/>
      <c r="BT1379" s="156"/>
      <c r="BU1379" s="156"/>
      <c r="BV1379" s="156"/>
      <c r="BW1379" s="156"/>
      <c r="BX1379" s="156"/>
      <c r="BY1379" s="156"/>
      <c r="BZ1379" s="156"/>
      <c r="CA1379" s="156"/>
      <c r="CB1379" s="156"/>
      <c r="CC1379" s="156"/>
      <c r="CD1379" s="156"/>
      <c r="CE1379" s="156"/>
      <c r="CF1379" s="156"/>
      <c r="CG1379" s="156"/>
      <c r="CH1379" s="156"/>
      <c r="CI1379" s="156"/>
      <c r="CJ1379" s="156"/>
      <c r="CK1379" s="156"/>
      <c r="CL1379" s="156"/>
      <c r="CM1379" s="156"/>
      <c r="CN1379" s="156"/>
      <c r="CO1379" s="156"/>
      <c r="CP1379" s="156"/>
      <c r="CQ1379" s="156"/>
      <c r="CR1379" s="156"/>
      <c r="CS1379" s="156"/>
      <c r="CT1379" s="156"/>
      <c r="CU1379" s="156"/>
      <c r="CV1379" s="156"/>
      <c r="CW1379" s="156"/>
      <c r="CX1379" s="156"/>
      <c r="CY1379" s="156"/>
      <c r="CZ1379" s="156"/>
      <c r="DA1379" s="156"/>
      <c r="DB1379" s="156"/>
      <c r="DC1379" s="156"/>
      <c r="DD1379" s="156"/>
      <c r="DE1379" s="156"/>
      <c r="DF1379" s="156"/>
      <c r="DG1379" s="156"/>
      <c r="DH1379" s="156"/>
      <c r="DI1379" s="156"/>
      <c r="DJ1379" s="156"/>
      <c r="DK1379" s="156"/>
      <c r="DL1379" s="156"/>
      <c r="DM1379" s="156"/>
      <c r="DN1379" s="156"/>
      <c r="DO1379" s="156"/>
      <c r="DP1379" s="156"/>
      <c r="DQ1379" s="156"/>
      <c r="DR1379" s="156"/>
      <c r="DS1379" s="156"/>
      <c r="DT1379" s="156"/>
      <c r="DU1379" s="156"/>
      <c r="DV1379" s="156"/>
      <c r="DW1379" s="156"/>
      <c r="DX1379" s="156"/>
      <c r="DY1379" s="156"/>
      <c r="DZ1379" s="156"/>
      <c r="EA1379" s="156"/>
      <c r="EB1379" s="156"/>
      <c r="EC1379" s="156"/>
      <c r="ED1379" s="156"/>
      <c r="EE1379" s="156"/>
      <c r="EF1379" s="156"/>
      <c r="EG1379" s="156"/>
      <c r="EH1379" s="156"/>
      <c r="EI1379" s="156"/>
      <c r="EJ1379" s="156"/>
      <c r="EK1379" s="156"/>
      <c r="EL1379" s="156"/>
      <c r="EM1379" s="156"/>
    </row>
    <row r="1380" spans="20:143" ht="10.5" customHeight="1">
      <c r="T1380" s="156"/>
      <c r="AZ1380" s="156"/>
      <c r="BA1380" s="156"/>
      <c r="BB1380" s="156"/>
      <c r="BC1380" s="156"/>
      <c r="BD1380" s="156"/>
      <c r="BE1380" s="156"/>
      <c r="BF1380" s="156"/>
      <c r="BG1380" s="156"/>
      <c r="BH1380" s="156"/>
      <c r="BI1380" s="156"/>
      <c r="BJ1380" s="156"/>
      <c r="BK1380" s="156"/>
      <c r="BL1380" s="156"/>
      <c r="BM1380" s="156"/>
      <c r="BN1380" s="156"/>
      <c r="BO1380" s="156"/>
      <c r="BP1380" s="156"/>
      <c r="BQ1380" s="156"/>
      <c r="BR1380" s="156"/>
      <c r="BS1380" s="156"/>
      <c r="BT1380" s="156"/>
      <c r="BU1380" s="156"/>
      <c r="BV1380" s="156"/>
      <c r="BW1380" s="156"/>
      <c r="BX1380" s="156"/>
      <c r="BY1380" s="156"/>
      <c r="BZ1380" s="156"/>
      <c r="CA1380" s="156"/>
      <c r="CB1380" s="156"/>
      <c r="CC1380" s="156"/>
      <c r="CD1380" s="156"/>
      <c r="CE1380" s="156"/>
      <c r="CF1380" s="156"/>
      <c r="CG1380" s="156"/>
      <c r="CH1380" s="156"/>
      <c r="CI1380" s="156"/>
      <c r="CJ1380" s="156"/>
      <c r="CK1380" s="156"/>
      <c r="CL1380" s="156"/>
      <c r="CM1380" s="156"/>
      <c r="CN1380" s="156"/>
      <c r="CO1380" s="156"/>
      <c r="CP1380" s="156"/>
      <c r="CQ1380" s="156"/>
      <c r="CR1380" s="156"/>
      <c r="CS1380" s="156"/>
      <c r="CT1380" s="156"/>
      <c r="CU1380" s="156"/>
      <c r="CV1380" s="156"/>
      <c r="CW1380" s="156"/>
      <c r="CX1380" s="156"/>
      <c r="CY1380" s="156"/>
      <c r="CZ1380" s="156"/>
      <c r="DA1380" s="156"/>
      <c r="DB1380" s="156"/>
      <c r="DC1380" s="156"/>
      <c r="DD1380" s="156"/>
      <c r="DE1380" s="156"/>
      <c r="DF1380" s="156"/>
      <c r="DG1380" s="156"/>
      <c r="DH1380" s="156"/>
      <c r="DI1380" s="156"/>
      <c r="DJ1380" s="156"/>
      <c r="DK1380" s="156"/>
      <c r="DL1380" s="156"/>
      <c r="DM1380" s="156"/>
      <c r="DN1380" s="156"/>
      <c r="DO1380" s="156"/>
      <c r="DP1380" s="156"/>
      <c r="DQ1380" s="156"/>
      <c r="DR1380" s="156"/>
      <c r="DS1380" s="156"/>
      <c r="DT1380" s="156"/>
      <c r="DU1380" s="156"/>
      <c r="DV1380" s="156"/>
      <c r="DW1380" s="156"/>
      <c r="DX1380" s="156"/>
      <c r="DY1380" s="156"/>
      <c r="DZ1380" s="156"/>
      <c r="EA1380" s="156"/>
      <c r="EB1380" s="156"/>
      <c r="EC1380" s="156"/>
      <c r="ED1380" s="156"/>
      <c r="EE1380" s="156"/>
      <c r="EF1380" s="156"/>
      <c r="EG1380" s="156"/>
      <c r="EH1380" s="156"/>
      <c r="EI1380" s="156"/>
      <c r="EJ1380" s="156"/>
      <c r="EK1380" s="156"/>
      <c r="EL1380" s="156"/>
      <c r="EM1380" s="156"/>
    </row>
    <row r="1381" spans="20:143" ht="10.5" customHeight="1">
      <c r="T1381" s="156"/>
      <c r="AZ1381" s="156"/>
      <c r="BA1381" s="156"/>
      <c r="BB1381" s="156"/>
      <c r="BC1381" s="156"/>
      <c r="BD1381" s="156"/>
      <c r="BE1381" s="156"/>
      <c r="BF1381" s="156"/>
      <c r="BG1381" s="156"/>
      <c r="BH1381" s="156"/>
      <c r="BI1381" s="156"/>
      <c r="BJ1381" s="156"/>
      <c r="BK1381" s="156"/>
      <c r="BL1381" s="156"/>
      <c r="BM1381" s="156"/>
      <c r="BN1381" s="156"/>
      <c r="BO1381" s="156"/>
      <c r="BP1381" s="156"/>
      <c r="BQ1381" s="156"/>
      <c r="BR1381" s="156"/>
      <c r="BS1381" s="156"/>
      <c r="BT1381" s="156"/>
      <c r="BU1381" s="156"/>
      <c r="BV1381" s="156"/>
      <c r="BW1381" s="156"/>
      <c r="BX1381" s="156"/>
      <c r="BY1381" s="156"/>
      <c r="BZ1381" s="156"/>
      <c r="CA1381" s="156"/>
      <c r="CB1381" s="156"/>
      <c r="CC1381" s="156"/>
      <c r="CD1381" s="156"/>
      <c r="CE1381" s="156"/>
      <c r="CF1381" s="156"/>
      <c r="CG1381" s="156"/>
      <c r="CH1381" s="156"/>
      <c r="CI1381" s="156"/>
      <c r="CJ1381" s="156"/>
      <c r="CK1381" s="156"/>
      <c r="CL1381" s="156"/>
      <c r="CM1381" s="156"/>
      <c r="CN1381" s="156"/>
      <c r="CO1381" s="156"/>
      <c r="CP1381" s="156"/>
      <c r="CQ1381" s="156"/>
      <c r="CR1381" s="156"/>
      <c r="CS1381" s="156"/>
      <c r="CT1381" s="156"/>
      <c r="CU1381" s="156"/>
      <c r="CV1381" s="156"/>
      <c r="CW1381" s="156"/>
      <c r="CX1381" s="156"/>
      <c r="CY1381" s="156"/>
      <c r="CZ1381" s="156"/>
      <c r="DA1381" s="156"/>
      <c r="DB1381" s="156"/>
      <c r="DC1381" s="156"/>
      <c r="DD1381" s="156"/>
      <c r="DE1381" s="156"/>
      <c r="DF1381" s="156"/>
      <c r="DG1381" s="156"/>
      <c r="DH1381" s="156"/>
      <c r="DI1381" s="156"/>
      <c r="DJ1381" s="156"/>
      <c r="DK1381" s="156"/>
      <c r="DL1381" s="156"/>
      <c r="DM1381" s="156"/>
      <c r="DN1381" s="156"/>
      <c r="DO1381" s="156"/>
      <c r="DP1381" s="156"/>
      <c r="DQ1381" s="156"/>
      <c r="DR1381" s="156"/>
      <c r="DS1381" s="156"/>
      <c r="DT1381" s="156"/>
      <c r="DU1381" s="156"/>
      <c r="DV1381" s="156"/>
      <c r="DW1381" s="156"/>
      <c r="DX1381" s="156"/>
      <c r="DY1381" s="156"/>
      <c r="DZ1381" s="156"/>
      <c r="EA1381" s="156"/>
      <c r="EB1381" s="156"/>
      <c r="EC1381" s="156"/>
      <c r="ED1381" s="156"/>
      <c r="EE1381" s="156"/>
      <c r="EF1381" s="156"/>
      <c r="EG1381" s="156"/>
      <c r="EH1381" s="156"/>
      <c r="EI1381" s="156"/>
      <c r="EJ1381" s="156"/>
      <c r="EK1381" s="156"/>
      <c r="EL1381" s="156"/>
      <c r="EM1381" s="156"/>
    </row>
    <row r="1382" spans="20:143" ht="10.5" customHeight="1">
      <c r="T1382" s="156"/>
      <c r="AZ1382" s="156"/>
      <c r="BA1382" s="156"/>
      <c r="BB1382" s="156"/>
      <c r="BC1382" s="156"/>
      <c r="BD1382" s="156"/>
      <c r="BE1382" s="156"/>
      <c r="BF1382" s="156"/>
      <c r="BG1382" s="156"/>
      <c r="BH1382" s="156"/>
      <c r="BI1382" s="156"/>
      <c r="BJ1382" s="156"/>
      <c r="BK1382" s="156"/>
      <c r="BL1382" s="156"/>
      <c r="BM1382" s="156"/>
      <c r="BN1382" s="156"/>
      <c r="BO1382" s="156"/>
      <c r="BP1382" s="156"/>
      <c r="BQ1382" s="156"/>
      <c r="BR1382" s="156"/>
      <c r="BS1382" s="156"/>
      <c r="BT1382" s="156"/>
      <c r="BU1382" s="156"/>
      <c r="BV1382" s="156"/>
      <c r="BW1382" s="156"/>
      <c r="BX1382" s="156"/>
      <c r="BY1382" s="156"/>
      <c r="BZ1382" s="156"/>
      <c r="CA1382" s="156"/>
      <c r="CB1382" s="156"/>
      <c r="CC1382" s="156"/>
      <c r="CD1382" s="156"/>
      <c r="CE1382" s="156"/>
      <c r="CF1382" s="156"/>
      <c r="CG1382" s="156"/>
      <c r="CH1382" s="156"/>
      <c r="CI1382" s="156"/>
      <c r="CJ1382" s="156"/>
      <c r="CK1382" s="156"/>
      <c r="CL1382" s="156"/>
      <c r="CM1382" s="156"/>
      <c r="CN1382" s="156"/>
      <c r="CO1382" s="156"/>
      <c r="CP1382" s="156"/>
      <c r="CQ1382" s="156"/>
      <c r="CR1382" s="156"/>
      <c r="CS1382" s="156"/>
      <c r="CT1382" s="156"/>
      <c r="CU1382" s="156"/>
      <c r="CV1382" s="156"/>
      <c r="CW1382" s="156"/>
      <c r="CX1382" s="156"/>
      <c r="CY1382" s="156"/>
      <c r="CZ1382" s="156"/>
      <c r="DA1382" s="156"/>
      <c r="DB1382" s="156"/>
      <c r="DC1382" s="156"/>
      <c r="DD1382" s="156"/>
      <c r="DE1382" s="156"/>
      <c r="DF1382" s="156"/>
      <c r="DG1382" s="156"/>
      <c r="DH1382" s="156"/>
      <c r="DI1382" s="156"/>
      <c r="DJ1382" s="156"/>
      <c r="DK1382" s="156"/>
      <c r="DL1382" s="156"/>
      <c r="DM1382" s="156"/>
      <c r="DN1382" s="156"/>
      <c r="DO1382" s="156"/>
      <c r="DP1382" s="156"/>
      <c r="DQ1382" s="156"/>
      <c r="DR1382" s="156"/>
      <c r="DS1382" s="156"/>
      <c r="DT1382" s="156"/>
      <c r="DU1382" s="156"/>
      <c r="DV1382" s="156"/>
      <c r="DW1382" s="156"/>
      <c r="DX1382" s="156"/>
      <c r="DY1382" s="156"/>
      <c r="DZ1382" s="156"/>
      <c r="EA1382" s="156"/>
      <c r="EB1382" s="156"/>
      <c r="EC1382" s="156"/>
      <c r="ED1382" s="156"/>
      <c r="EE1382" s="156"/>
      <c r="EF1382" s="156"/>
      <c r="EG1382" s="156"/>
      <c r="EH1382" s="156"/>
      <c r="EI1382" s="156"/>
      <c r="EJ1382" s="156"/>
      <c r="EK1382" s="156"/>
      <c r="EL1382" s="156"/>
      <c r="EM1382" s="156"/>
    </row>
    <row r="1383" spans="20:143" ht="10.5" customHeight="1">
      <c r="T1383" s="156"/>
      <c r="AZ1383" s="156"/>
      <c r="BA1383" s="156"/>
      <c r="BB1383" s="156"/>
      <c r="BC1383" s="156"/>
      <c r="BD1383" s="156"/>
      <c r="BE1383" s="156"/>
      <c r="BF1383" s="156"/>
      <c r="BG1383" s="156"/>
      <c r="BH1383" s="156"/>
      <c r="BI1383" s="156"/>
      <c r="BJ1383" s="156"/>
      <c r="BK1383" s="156"/>
      <c r="BL1383" s="156"/>
      <c r="BM1383" s="156"/>
      <c r="BN1383" s="156"/>
      <c r="BO1383" s="156"/>
      <c r="BP1383" s="156"/>
      <c r="BQ1383" s="156"/>
      <c r="BR1383" s="156"/>
      <c r="BS1383" s="156"/>
      <c r="BT1383" s="156"/>
      <c r="BU1383" s="156"/>
      <c r="BV1383" s="156"/>
      <c r="BW1383" s="156"/>
      <c r="BX1383" s="156"/>
      <c r="BY1383" s="156"/>
      <c r="BZ1383" s="156"/>
      <c r="CA1383" s="156"/>
      <c r="CB1383" s="156"/>
      <c r="CC1383" s="156"/>
      <c r="CD1383" s="156"/>
      <c r="CE1383" s="156"/>
      <c r="CF1383" s="156"/>
      <c r="CG1383" s="156"/>
      <c r="CH1383" s="156"/>
      <c r="CI1383" s="156"/>
      <c r="CJ1383" s="156"/>
      <c r="CK1383" s="156"/>
      <c r="CL1383" s="156"/>
      <c r="CM1383" s="156"/>
      <c r="CN1383" s="156"/>
      <c r="CO1383" s="156"/>
      <c r="CP1383" s="156"/>
      <c r="CQ1383" s="156"/>
      <c r="CR1383" s="156"/>
      <c r="CS1383" s="156"/>
      <c r="CT1383" s="156"/>
      <c r="CU1383" s="156"/>
      <c r="CV1383" s="156"/>
      <c r="CW1383" s="156"/>
      <c r="CX1383" s="156"/>
      <c r="CY1383" s="156"/>
      <c r="CZ1383" s="156"/>
      <c r="DA1383" s="156"/>
      <c r="DB1383" s="156"/>
      <c r="DC1383" s="156"/>
      <c r="DD1383" s="156"/>
      <c r="DE1383" s="156"/>
      <c r="DF1383" s="156"/>
      <c r="DG1383" s="156"/>
      <c r="DH1383" s="156"/>
      <c r="DI1383" s="156"/>
      <c r="DJ1383" s="156"/>
      <c r="DK1383" s="156"/>
      <c r="DL1383" s="156"/>
      <c r="DM1383" s="156"/>
      <c r="DN1383" s="156"/>
      <c r="DO1383" s="156"/>
      <c r="DP1383" s="156"/>
      <c r="DQ1383" s="156"/>
      <c r="DR1383" s="156"/>
      <c r="DS1383" s="156"/>
      <c r="DT1383" s="156"/>
      <c r="DU1383" s="156"/>
      <c r="DV1383" s="156"/>
      <c r="DW1383" s="156"/>
      <c r="DX1383" s="156"/>
      <c r="DY1383" s="156"/>
      <c r="DZ1383" s="156"/>
      <c r="EA1383" s="156"/>
      <c r="EB1383" s="156"/>
      <c r="EC1383" s="156"/>
      <c r="ED1383" s="156"/>
      <c r="EE1383" s="156"/>
      <c r="EF1383" s="156"/>
      <c r="EG1383" s="156"/>
      <c r="EH1383" s="156"/>
      <c r="EI1383" s="156"/>
      <c r="EJ1383" s="156"/>
      <c r="EK1383" s="156"/>
      <c r="EL1383" s="156"/>
      <c r="EM1383" s="156"/>
    </row>
    <row r="1384" spans="20:143" ht="10.5" customHeight="1">
      <c r="T1384" s="156"/>
      <c r="AZ1384" s="156"/>
      <c r="BA1384" s="156"/>
      <c r="BB1384" s="156"/>
      <c r="BC1384" s="156"/>
      <c r="BD1384" s="156"/>
      <c r="BE1384" s="156"/>
      <c r="BF1384" s="156"/>
      <c r="BG1384" s="156"/>
      <c r="BH1384" s="156"/>
      <c r="BI1384" s="156"/>
      <c r="BJ1384" s="156"/>
      <c r="BK1384" s="156"/>
      <c r="BL1384" s="156"/>
      <c r="BM1384" s="156"/>
      <c r="BN1384" s="156"/>
      <c r="BO1384" s="156"/>
      <c r="BP1384" s="156"/>
      <c r="BQ1384" s="156"/>
      <c r="BR1384" s="156"/>
      <c r="BS1384" s="156"/>
      <c r="BT1384" s="156"/>
      <c r="BU1384" s="156"/>
      <c r="BV1384" s="156"/>
      <c r="BW1384" s="156"/>
      <c r="BX1384" s="156"/>
      <c r="BY1384" s="156"/>
      <c r="BZ1384" s="156"/>
      <c r="CA1384" s="156"/>
      <c r="CB1384" s="156"/>
      <c r="CC1384" s="156"/>
      <c r="CD1384" s="156"/>
      <c r="CE1384" s="156"/>
      <c r="CF1384" s="156"/>
      <c r="CG1384" s="156"/>
      <c r="CH1384" s="156"/>
      <c r="CI1384" s="156"/>
      <c r="CJ1384" s="156"/>
      <c r="CK1384" s="156"/>
      <c r="CL1384" s="156"/>
      <c r="CM1384" s="156"/>
      <c r="CN1384" s="156"/>
      <c r="CO1384" s="156"/>
      <c r="CP1384" s="156"/>
      <c r="CQ1384" s="156"/>
      <c r="CR1384" s="156"/>
      <c r="CS1384" s="156"/>
      <c r="CT1384" s="156"/>
      <c r="CU1384" s="156"/>
      <c r="CV1384" s="156"/>
      <c r="CW1384" s="156"/>
      <c r="CX1384" s="156"/>
      <c r="CY1384" s="156"/>
      <c r="CZ1384" s="156"/>
      <c r="DA1384" s="156"/>
      <c r="DB1384" s="156"/>
      <c r="DC1384" s="156"/>
      <c r="DD1384" s="156"/>
      <c r="DE1384" s="156"/>
      <c r="DF1384" s="156"/>
      <c r="DG1384" s="156"/>
      <c r="DH1384" s="156"/>
      <c r="DI1384" s="156"/>
      <c r="DJ1384" s="156"/>
      <c r="DK1384" s="156"/>
      <c r="DL1384" s="156"/>
      <c r="DM1384" s="156"/>
      <c r="DN1384" s="156"/>
      <c r="DO1384" s="156"/>
      <c r="DP1384" s="156"/>
      <c r="DQ1384" s="156"/>
      <c r="DR1384" s="156"/>
      <c r="DS1384" s="156"/>
      <c r="DT1384" s="156"/>
      <c r="DU1384" s="156"/>
      <c r="DV1384" s="156"/>
      <c r="DW1384" s="156"/>
      <c r="DX1384" s="156"/>
      <c r="DY1384" s="156"/>
      <c r="DZ1384" s="156"/>
      <c r="EA1384" s="156"/>
      <c r="EB1384" s="156"/>
      <c r="EC1384" s="156"/>
      <c r="ED1384" s="156"/>
      <c r="EE1384" s="156"/>
      <c r="EF1384" s="156"/>
      <c r="EG1384" s="156"/>
      <c r="EH1384" s="156"/>
      <c r="EI1384" s="156"/>
      <c r="EJ1384" s="156"/>
      <c r="EK1384" s="156"/>
      <c r="EL1384" s="156"/>
      <c r="EM1384" s="156"/>
    </row>
    <row r="1385" spans="20:143" ht="10.5" customHeight="1">
      <c r="T1385" s="156"/>
      <c r="AZ1385" s="156"/>
      <c r="BA1385" s="156"/>
      <c r="BB1385" s="156"/>
      <c r="BC1385" s="156"/>
      <c r="BD1385" s="156"/>
      <c r="BE1385" s="156"/>
      <c r="BF1385" s="156"/>
      <c r="BG1385" s="156"/>
      <c r="BH1385" s="156"/>
      <c r="BI1385" s="156"/>
      <c r="BJ1385" s="156"/>
      <c r="BK1385" s="156"/>
      <c r="BL1385" s="156"/>
      <c r="BM1385" s="156"/>
      <c r="BN1385" s="156"/>
      <c r="BO1385" s="156"/>
      <c r="BP1385" s="156"/>
      <c r="BQ1385" s="156"/>
      <c r="BR1385" s="156"/>
      <c r="BS1385" s="156"/>
      <c r="BT1385" s="156"/>
      <c r="BU1385" s="156"/>
      <c r="BV1385" s="156"/>
      <c r="BW1385" s="156"/>
      <c r="BX1385" s="156"/>
      <c r="BY1385" s="156"/>
      <c r="BZ1385" s="156"/>
      <c r="CA1385" s="156"/>
      <c r="CB1385" s="156"/>
      <c r="CC1385" s="156"/>
      <c r="CD1385" s="156"/>
      <c r="CE1385" s="156"/>
      <c r="CF1385" s="156"/>
      <c r="CG1385" s="156"/>
      <c r="CH1385" s="156"/>
      <c r="CI1385" s="156"/>
      <c r="CJ1385" s="156"/>
      <c r="CK1385" s="156"/>
      <c r="CL1385" s="156"/>
      <c r="CM1385" s="156"/>
      <c r="CN1385" s="156"/>
      <c r="CO1385" s="156"/>
      <c r="CP1385" s="156"/>
      <c r="CQ1385" s="156"/>
      <c r="CR1385" s="156"/>
      <c r="CS1385" s="156"/>
      <c r="CT1385" s="156"/>
      <c r="CU1385" s="156"/>
      <c r="CV1385" s="156"/>
      <c r="CW1385" s="156"/>
      <c r="CX1385" s="156"/>
      <c r="CY1385" s="156"/>
      <c r="CZ1385" s="156"/>
      <c r="DA1385" s="156"/>
      <c r="DB1385" s="156"/>
      <c r="DC1385" s="156"/>
      <c r="DD1385" s="156"/>
      <c r="DE1385" s="156"/>
      <c r="DF1385" s="156"/>
      <c r="DG1385" s="156"/>
      <c r="DH1385" s="156"/>
      <c r="DI1385" s="156"/>
      <c r="DJ1385" s="156"/>
      <c r="DK1385" s="156"/>
      <c r="DL1385" s="156"/>
      <c r="DM1385" s="156"/>
      <c r="DN1385" s="156"/>
      <c r="DO1385" s="156"/>
      <c r="DP1385" s="156"/>
      <c r="DQ1385" s="156"/>
      <c r="DR1385" s="156"/>
      <c r="DS1385" s="156"/>
      <c r="DT1385" s="156"/>
      <c r="DU1385" s="156"/>
      <c r="DV1385" s="156"/>
      <c r="DW1385" s="156"/>
      <c r="DX1385" s="156"/>
      <c r="DY1385" s="156"/>
      <c r="DZ1385" s="156"/>
      <c r="EA1385" s="156"/>
      <c r="EB1385" s="156"/>
      <c r="EC1385" s="156"/>
      <c r="ED1385" s="156"/>
      <c r="EE1385" s="156"/>
      <c r="EF1385" s="156"/>
      <c r="EG1385" s="156"/>
      <c r="EH1385" s="156"/>
      <c r="EI1385" s="156"/>
      <c r="EJ1385" s="156"/>
      <c r="EK1385" s="156"/>
      <c r="EL1385" s="156"/>
      <c r="EM1385" s="156"/>
    </row>
    <row r="1386" spans="20:143" ht="10.5" customHeight="1">
      <c r="T1386" s="156"/>
      <c r="AZ1386" s="156"/>
      <c r="BA1386" s="156"/>
      <c r="BB1386" s="156"/>
      <c r="BC1386" s="156"/>
      <c r="BD1386" s="156"/>
      <c r="BE1386" s="156"/>
      <c r="BF1386" s="156"/>
      <c r="BG1386" s="156"/>
      <c r="BH1386" s="156"/>
      <c r="BI1386" s="156"/>
      <c r="BJ1386" s="156"/>
      <c r="BK1386" s="156"/>
      <c r="BL1386" s="156"/>
      <c r="BM1386" s="156"/>
      <c r="BN1386" s="156"/>
      <c r="BO1386" s="156"/>
      <c r="BP1386" s="156"/>
      <c r="BQ1386" s="156"/>
      <c r="BR1386" s="156"/>
      <c r="BS1386" s="156"/>
      <c r="BT1386" s="156"/>
      <c r="BU1386" s="156"/>
      <c r="BV1386" s="156"/>
      <c r="BW1386" s="156"/>
      <c r="BX1386" s="156"/>
      <c r="BY1386" s="156"/>
      <c r="BZ1386" s="156"/>
      <c r="CA1386" s="156"/>
      <c r="CB1386" s="156"/>
      <c r="CC1386" s="156"/>
      <c r="CD1386" s="156"/>
      <c r="CE1386" s="156"/>
      <c r="CF1386" s="156"/>
      <c r="CG1386" s="156"/>
      <c r="CH1386" s="156"/>
      <c r="CI1386" s="156"/>
      <c r="CJ1386" s="156"/>
      <c r="CK1386" s="156"/>
      <c r="CL1386" s="156"/>
      <c r="CM1386" s="156"/>
      <c r="CN1386" s="156"/>
      <c r="CO1386" s="156"/>
      <c r="CP1386" s="156"/>
      <c r="CQ1386" s="156"/>
      <c r="CR1386" s="156"/>
      <c r="CS1386" s="156"/>
      <c r="CT1386" s="156"/>
      <c r="CU1386" s="156"/>
      <c r="CV1386" s="156"/>
      <c r="CW1386" s="156"/>
      <c r="CX1386" s="156"/>
      <c r="CY1386" s="156"/>
      <c r="CZ1386" s="156"/>
      <c r="DA1386" s="156"/>
      <c r="DB1386" s="156"/>
      <c r="DC1386" s="156"/>
      <c r="DD1386" s="156"/>
      <c r="DE1386" s="156"/>
      <c r="DF1386" s="156"/>
      <c r="DG1386" s="156"/>
      <c r="DH1386" s="156"/>
      <c r="DI1386" s="156"/>
      <c r="DJ1386" s="156"/>
      <c r="DK1386" s="156"/>
      <c r="DL1386" s="156"/>
      <c r="DM1386" s="156"/>
      <c r="DN1386" s="156"/>
      <c r="DO1386" s="156"/>
      <c r="DP1386" s="156"/>
      <c r="DQ1386" s="156"/>
      <c r="DR1386" s="156"/>
      <c r="DS1386" s="156"/>
      <c r="DT1386" s="156"/>
      <c r="DU1386" s="156"/>
      <c r="DV1386" s="156"/>
      <c r="DW1386" s="156"/>
      <c r="DX1386" s="156"/>
      <c r="DY1386" s="156"/>
      <c r="DZ1386" s="156"/>
      <c r="EA1386" s="156"/>
      <c r="EB1386" s="156"/>
      <c r="EC1386" s="156"/>
      <c r="ED1386" s="156"/>
      <c r="EE1386" s="156"/>
      <c r="EF1386" s="156"/>
      <c r="EG1386" s="156"/>
      <c r="EH1386" s="156"/>
      <c r="EI1386" s="156"/>
      <c r="EJ1386" s="156"/>
      <c r="EK1386" s="156"/>
      <c r="EL1386" s="156"/>
      <c r="EM1386" s="156"/>
    </row>
    <row r="1387" spans="20:143" ht="10.5" customHeight="1">
      <c r="T1387" s="156"/>
      <c r="AZ1387" s="156"/>
      <c r="BA1387" s="156"/>
      <c r="BB1387" s="156"/>
      <c r="BC1387" s="156"/>
      <c r="BD1387" s="156"/>
      <c r="BE1387" s="156"/>
      <c r="BF1387" s="156"/>
      <c r="BG1387" s="156"/>
      <c r="BH1387" s="156"/>
      <c r="BI1387" s="156"/>
      <c r="BJ1387" s="156"/>
      <c r="BK1387" s="156"/>
      <c r="BL1387" s="156"/>
      <c r="BM1387" s="156"/>
      <c r="BN1387" s="156"/>
      <c r="BO1387" s="156"/>
      <c r="BP1387" s="156"/>
      <c r="BQ1387" s="156"/>
      <c r="BR1387" s="156"/>
      <c r="BS1387" s="156"/>
      <c r="BT1387" s="156"/>
      <c r="BU1387" s="156"/>
      <c r="BV1387" s="156"/>
      <c r="BW1387" s="156"/>
      <c r="BX1387" s="156"/>
      <c r="BY1387" s="156"/>
      <c r="BZ1387" s="156"/>
      <c r="CA1387" s="156"/>
      <c r="CB1387" s="156"/>
      <c r="CC1387" s="156"/>
      <c r="CD1387" s="156"/>
      <c r="CE1387" s="156"/>
      <c r="CF1387" s="156"/>
      <c r="CG1387" s="156"/>
      <c r="CH1387" s="156"/>
      <c r="CI1387" s="156"/>
      <c r="CJ1387" s="156"/>
      <c r="CK1387" s="156"/>
      <c r="CL1387" s="156"/>
      <c r="CM1387" s="156"/>
      <c r="CN1387" s="156"/>
      <c r="CO1387" s="156"/>
      <c r="CP1387" s="156"/>
      <c r="CQ1387" s="156"/>
      <c r="CR1387" s="156"/>
      <c r="CS1387" s="156"/>
      <c r="CT1387" s="156"/>
      <c r="CU1387" s="156"/>
      <c r="CV1387" s="156"/>
      <c r="CW1387" s="156"/>
      <c r="CX1387" s="156"/>
      <c r="CY1387" s="156"/>
      <c r="CZ1387" s="156"/>
      <c r="DA1387" s="156"/>
      <c r="DB1387" s="156"/>
      <c r="DC1387" s="156"/>
      <c r="DD1387" s="156"/>
      <c r="DE1387" s="156"/>
      <c r="DF1387" s="156"/>
      <c r="DG1387" s="156"/>
      <c r="DH1387" s="156"/>
      <c r="DI1387" s="156"/>
      <c r="DJ1387" s="156"/>
      <c r="DK1387" s="156"/>
      <c r="DL1387" s="156"/>
      <c r="DM1387" s="156"/>
      <c r="DN1387" s="156"/>
      <c r="DO1387" s="156"/>
      <c r="DP1387" s="156"/>
      <c r="DQ1387" s="156"/>
      <c r="DR1387" s="156"/>
      <c r="DS1387" s="156"/>
      <c r="DT1387" s="156"/>
      <c r="DU1387" s="156"/>
      <c r="DV1387" s="156"/>
      <c r="DW1387" s="156"/>
      <c r="DX1387" s="156"/>
      <c r="DY1387" s="156"/>
      <c r="DZ1387" s="156"/>
      <c r="EA1387" s="156"/>
      <c r="EB1387" s="156"/>
      <c r="EC1387" s="156"/>
      <c r="ED1387" s="156"/>
      <c r="EE1387" s="156"/>
      <c r="EF1387" s="156"/>
      <c r="EG1387" s="156"/>
      <c r="EH1387" s="156"/>
      <c r="EI1387" s="156"/>
      <c r="EJ1387" s="156"/>
      <c r="EK1387" s="156"/>
      <c r="EL1387" s="156"/>
      <c r="EM1387" s="156"/>
    </row>
    <row r="1388" spans="20:143" ht="10.5" customHeight="1">
      <c r="T1388" s="156"/>
      <c r="AZ1388" s="156"/>
      <c r="BA1388" s="156"/>
      <c r="BB1388" s="156"/>
      <c r="BC1388" s="156"/>
      <c r="BD1388" s="156"/>
      <c r="BE1388" s="156"/>
      <c r="BF1388" s="156"/>
      <c r="BG1388" s="156"/>
      <c r="BH1388" s="156"/>
      <c r="BI1388" s="156"/>
      <c r="BJ1388" s="156"/>
      <c r="BK1388" s="156"/>
      <c r="BL1388" s="156"/>
      <c r="BM1388" s="156"/>
      <c r="BN1388" s="156"/>
      <c r="BO1388" s="156"/>
      <c r="BP1388" s="156"/>
      <c r="BQ1388" s="156"/>
      <c r="BR1388" s="156"/>
      <c r="BS1388" s="156"/>
      <c r="BT1388" s="156"/>
      <c r="BU1388" s="156"/>
      <c r="BV1388" s="156"/>
      <c r="BW1388" s="156"/>
      <c r="BX1388" s="156"/>
      <c r="BY1388" s="156"/>
      <c r="BZ1388" s="156"/>
      <c r="CA1388" s="156"/>
      <c r="CB1388" s="156"/>
      <c r="CC1388" s="156"/>
      <c r="CD1388" s="156"/>
      <c r="CE1388" s="156"/>
      <c r="CF1388" s="156"/>
      <c r="CG1388" s="156"/>
      <c r="CH1388" s="156"/>
      <c r="CI1388" s="156"/>
      <c r="CJ1388" s="156"/>
      <c r="CK1388" s="156"/>
      <c r="CL1388" s="156"/>
      <c r="CM1388" s="156"/>
      <c r="CN1388" s="156"/>
      <c r="CO1388" s="156"/>
      <c r="CP1388" s="156"/>
      <c r="CQ1388" s="156"/>
      <c r="CR1388" s="156"/>
      <c r="CS1388" s="156"/>
      <c r="CT1388" s="156"/>
      <c r="CU1388" s="156"/>
      <c r="CV1388" s="156"/>
      <c r="CW1388" s="156"/>
      <c r="CX1388" s="156"/>
      <c r="CY1388" s="156"/>
      <c r="CZ1388" s="156"/>
      <c r="DA1388" s="156"/>
      <c r="DB1388" s="156"/>
      <c r="DC1388" s="156"/>
      <c r="DD1388" s="156"/>
      <c r="DE1388" s="156"/>
      <c r="DF1388" s="156"/>
      <c r="DG1388" s="156"/>
      <c r="DH1388" s="156"/>
      <c r="DI1388" s="156"/>
      <c r="DJ1388" s="156"/>
      <c r="DK1388" s="156"/>
      <c r="DL1388" s="156"/>
      <c r="DM1388" s="156"/>
      <c r="DN1388" s="156"/>
      <c r="DO1388" s="156"/>
      <c r="DP1388" s="156"/>
      <c r="DQ1388" s="156"/>
      <c r="DR1388" s="156"/>
      <c r="DS1388" s="156"/>
      <c r="DT1388" s="156"/>
      <c r="DU1388" s="156"/>
      <c r="DV1388" s="156"/>
      <c r="DW1388" s="156"/>
      <c r="DX1388" s="156"/>
      <c r="DY1388" s="156"/>
      <c r="DZ1388" s="156"/>
      <c r="EA1388" s="156"/>
      <c r="EB1388" s="156"/>
      <c r="EC1388" s="156"/>
      <c r="ED1388" s="156"/>
      <c r="EE1388" s="156"/>
      <c r="EF1388" s="156"/>
      <c r="EG1388" s="156"/>
      <c r="EH1388" s="156"/>
      <c r="EI1388" s="156"/>
      <c r="EJ1388" s="156"/>
      <c r="EK1388" s="156"/>
      <c r="EL1388" s="156"/>
      <c r="EM1388" s="156"/>
    </row>
    <row r="1389" spans="20:143" ht="10.5" customHeight="1">
      <c r="T1389" s="156"/>
      <c r="AZ1389" s="156"/>
      <c r="BA1389" s="156"/>
      <c r="BB1389" s="156"/>
      <c r="BC1389" s="156"/>
      <c r="BD1389" s="156"/>
      <c r="BE1389" s="156"/>
      <c r="BF1389" s="156"/>
      <c r="BG1389" s="156"/>
      <c r="BH1389" s="156"/>
      <c r="BI1389" s="156"/>
      <c r="BJ1389" s="156"/>
      <c r="BK1389" s="156"/>
      <c r="BL1389" s="156"/>
      <c r="BM1389" s="156"/>
      <c r="BN1389" s="156"/>
      <c r="BO1389" s="156"/>
      <c r="BP1389" s="156"/>
      <c r="BQ1389" s="156"/>
      <c r="BR1389" s="156"/>
      <c r="BS1389" s="156"/>
      <c r="BT1389" s="156"/>
      <c r="BU1389" s="156"/>
      <c r="BV1389" s="156"/>
      <c r="BW1389" s="156"/>
      <c r="BX1389" s="156"/>
      <c r="BY1389" s="156"/>
      <c r="BZ1389" s="156"/>
      <c r="CA1389" s="156"/>
      <c r="CB1389" s="156"/>
      <c r="CC1389" s="156"/>
      <c r="CD1389" s="156"/>
      <c r="CE1389" s="156"/>
      <c r="CF1389" s="156"/>
      <c r="CG1389" s="156"/>
      <c r="CH1389" s="156"/>
      <c r="CI1389" s="156"/>
      <c r="CJ1389" s="156"/>
      <c r="CK1389" s="156"/>
      <c r="CL1389" s="156"/>
      <c r="CM1389" s="156"/>
      <c r="CN1389" s="156"/>
      <c r="CO1389" s="156"/>
      <c r="CP1389" s="156"/>
      <c r="CQ1389" s="156"/>
      <c r="CR1389" s="156"/>
      <c r="CS1389" s="156"/>
      <c r="CT1389" s="156"/>
      <c r="CU1389" s="156"/>
      <c r="CV1389" s="156"/>
      <c r="CW1389" s="156"/>
      <c r="CX1389" s="156"/>
      <c r="CY1389" s="156"/>
      <c r="CZ1389" s="156"/>
      <c r="DA1389" s="156"/>
      <c r="DB1389" s="156"/>
      <c r="DC1389" s="156"/>
      <c r="DD1389" s="156"/>
      <c r="DE1389" s="156"/>
      <c r="DF1389" s="156"/>
      <c r="DG1389" s="156"/>
      <c r="DH1389" s="156"/>
      <c r="DI1389" s="156"/>
      <c r="DJ1389" s="156"/>
      <c r="DK1389" s="156"/>
      <c r="DL1389" s="156"/>
      <c r="DM1389" s="156"/>
      <c r="DN1389" s="156"/>
      <c r="DO1389" s="156"/>
      <c r="DP1389" s="156"/>
      <c r="DQ1389" s="156"/>
      <c r="DR1389" s="156"/>
      <c r="DS1389" s="156"/>
      <c r="DT1389" s="156"/>
      <c r="DU1389" s="156"/>
      <c r="DV1389" s="156"/>
      <c r="DW1389" s="156"/>
      <c r="DX1389" s="156"/>
      <c r="DY1389" s="156"/>
      <c r="DZ1389" s="156"/>
      <c r="EA1389" s="156"/>
      <c r="EB1389" s="156"/>
      <c r="EC1389" s="156"/>
      <c r="ED1389" s="156"/>
      <c r="EE1389" s="156"/>
      <c r="EF1389" s="156"/>
      <c r="EG1389" s="156"/>
      <c r="EH1389" s="156"/>
      <c r="EI1389" s="156"/>
      <c r="EJ1389" s="156"/>
      <c r="EK1389" s="156"/>
      <c r="EL1389" s="156"/>
      <c r="EM1389" s="156"/>
    </row>
    <row r="1390" spans="20:143" ht="10.5" customHeight="1">
      <c r="T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M1390" s="156"/>
      <c r="CN1390" s="156"/>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c r="DM1390" s="156"/>
      <c r="DN1390" s="156"/>
      <c r="DO1390" s="156"/>
      <c r="DP1390" s="156"/>
      <c r="DQ1390" s="156"/>
      <c r="DR1390" s="156"/>
      <c r="DS1390" s="156"/>
      <c r="DT1390" s="156"/>
      <c r="DU1390" s="156"/>
      <c r="DV1390" s="156"/>
      <c r="DW1390" s="156"/>
      <c r="DX1390" s="156"/>
      <c r="DY1390" s="156"/>
      <c r="DZ1390" s="156"/>
      <c r="EA1390" s="156"/>
      <c r="EB1390" s="156"/>
      <c r="EC1390" s="156"/>
      <c r="ED1390" s="156"/>
      <c r="EE1390" s="156"/>
      <c r="EF1390" s="156"/>
      <c r="EG1390" s="156"/>
      <c r="EH1390" s="156"/>
      <c r="EI1390" s="156"/>
      <c r="EJ1390" s="156"/>
      <c r="EK1390" s="156"/>
      <c r="EL1390" s="156"/>
      <c r="EM1390" s="156"/>
    </row>
    <row r="1391" spans="20:143" ht="10.5" customHeight="1">
      <c r="T1391" s="156"/>
      <c r="AZ1391" s="156"/>
      <c r="BA1391" s="156"/>
      <c r="BB1391" s="156"/>
      <c r="BC1391" s="156"/>
      <c r="BD1391" s="156"/>
      <c r="BE1391" s="156"/>
      <c r="BF1391" s="156"/>
      <c r="BG1391" s="156"/>
      <c r="BH1391" s="156"/>
      <c r="BI1391" s="156"/>
      <c r="BJ1391" s="156"/>
      <c r="BK1391" s="156"/>
      <c r="BL1391" s="156"/>
      <c r="BM1391" s="156"/>
      <c r="BN1391" s="156"/>
      <c r="BO1391" s="156"/>
      <c r="BP1391" s="156"/>
      <c r="BQ1391" s="156"/>
      <c r="BR1391" s="156"/>
      <c r="BS1391" s="156"/>
      <c r="BT1391" s="156"/>
      <c r="BU1391" s="156"/>
      <c r="BV1391" s="156"/>
      <c r="BW1391" s="156"/>
      <c r="BX1391" s="156"/>
      <c r="BY1391" s="156"/>
      <c r="BZ1391" s="156"/>
      <c r="CA1391" s="156"/>
      <c r="CB1391" s="156"/>
      <c r="CC1391" s="156"/>
      <c r="CD1391" s="156"/>
      <c r="CE1391" s="156"/>
      <c r="CF1391" s="156"/>
      <c r="CG1391" s="156"/>
      <c r="CH1391" s="156"/>
      <c r="CI1391" s="156"/>
      <c r="CJ1391" s="156"/>
      <c r="CK1391" s="156"/>
      <c r="CL1391" s="156"/>
      <c r="CM1391" s="156"/>
      <c r="CN1391" s="156"/>
      <c r="CO1391" s="156"/>
      <c r="CP1391" s="156"/>
      <c r="CQ1391" s="156"/>
      <c r="CR1391" s="156"/>
      <c r="CS1391" s="156"/>
      <c r="CT1391" s="156"/>
      <c r="CU1391" s="156"/>
      <c r="CV1391" s="156"/>
      <c r="CW1391" s="156"/>
      <c r="CX1391" s="156"/>
      <c r="CY1391" s="156"/>
      <c r="CZ1391" s="156"/>
      <c r="DA1391" s="156"/>
      <c r="DB1391" s="156"/>
      <c r="DC1391" s="156"/>
      <c r="DD1391" s="156"/>
      <c r="DE1391" s="156"/>
      <c r="DF1391" s="156"/>
      <c r="DG1391" s="156"/>
      <c r="DH1391" s="156"/>
      <c r="DI1391" s="156"/>
      <c r="DJ1391" s="156"/>
      <c r="DK1391" s="156"/>
      <c r="DL1391" s="156"/>
      <c r="DM1391" s="156"/>
      <c r="DN1391" s="156"/>
      <c r="DO1391" s="156"/>
      <c r="DP1391" s="156"/>
      <c r="DQ1391" s="156"/>
      <c r="DR1391" s="156"/>
      <c r="DS1391" s="156"/>
      <c r="DT1391" s="156"/>
      <c r="DU1391" s="156"/>
      <c r="DV1391" s="156"/>
      <c r="DW1391" s="156"/>
      <c r="DX1391" s="156"/>
      <c r="DY1391" s="156"/>
      <c r="DZ1391" s="156"/>
      <c r="EA1391" s="156"/>
      <c r="EB1391" s="156"/>
      <c r="EC1391" s="156"/>
      <c r="ED1391" s="156"/>
      <c r="EE1391" s="156"/>
      <c r="EF1391" s="156"/>
      <c r="EG1391" s="156"/>
      <c r="EH1391" s="156"/>
      <c r="EI1391" s="156"/>
      <c r="EJ1391" s="156"/>
      <c r="EK1391" s="156"/>
      <c r="EL1391" s="156"/>
      <c r="EM1391" s="156"/>
    </row>
    <row r="1392" spans="20:143" ht="10.5" customHeight="1">
      <c r="T1392" s="156"/>
      <c r="AZ1392" s="156"/>
      <c r="BA1392" s="156"/>
      <c r="BB1392" s="156"/>
      <c r="BC1392" s="156"/>
      <c r="BD1392" s="156"/>
      <c r="BE1392" s="156"/>
      <c r="BF1392" s="156"/>
      <c r="BG1392" s="156"/>
      <c r="BH1392" s="156"/>
      <c r="BI1392" s="156"/>
      <c r="BJ1392" s="156"/>
      <c r="BK1392" s="156"/>
      <c r="BL1392" s="156"/>
      <c r="BM1392" s="156"/>
      <c r="BN1392" s="156"/>
      <c r="BO1392" s="156"/>
      <c r="BP1392" s="156"/>
      <c r="BQ1392" s="156"/>
      <c r="BR1392" s="156"/>
      <c r="BS1392" s="156"/>
      <c r="BT1392" s="156"/>
      <c r="BU1392" s="156"/>
      <c r="BV1392" s="156"/>
      <c r="BW1392" s="156"/>
      <c r="BX1392" s="156"/>
      <c r="BY1392" s="156"/>
      <c r="BZ1392" s="156"/>
      <c r="CA1392" s="156"/>
      <c r="CB1392" s="156"/>
      <c r="CC1392" s="156"/>
      <c r="CD1392" s="156"/>
      <c r="CE1392" s="156"/>
      <c r="CF1392" s="156"/>
      <c r="CG1392" s="156"/>
      <c r="CH1392" s="156"/>
      <c r="CI1392" s="156"/>
      <c r="CJ1392" s="156"/>
      <c r="CK1392" s="156"/>
      <c r="CL1392" s="156"/>
      <c r="CM1392" s="156"/>
      <c r="CN1392" s="156"/>
      <c r="CO1392" s="156"/>
      <c r="CP1392" s="156"/>
      <c r="CQ1392" s="156"/>
      <c r="CR1392" s="156"/>
      <c r="CS1392" s="156"/>
      <c r="CT1392" s="156"/>
      <c r="CU1392" s="156"/>
      <c r="CV1392" s="156"/>
      <c r="CW1392" s="156"/>
      <c r="CX1392" s="156"/>
      <c r="CY1392" s="156"/>
      <c r="CZ1392" s="156"/>
      <c r="DA1392" s="156"/>
      <c r="DB1392" s="156"/>
      <c r="DC1392" s="156"/>
      <c r="DD1392" s="156"/>
      <c r="DE1392" s="156"/>
      <c r="DF1392" s="156"/>
      <c r="DG1392" s="156"/>
      <c r="DH1392" s="156"/>
      <c r="DI1392" s="156"/>
      <c r="DJ1392" s="156"/>
      <c r="DK1392" s="156"/>
      <c r="DL1392" s="156"/>
      <c r="DM1392" s="156"/>
      <c r="DN1392" s="156"/>
      <c r="DO1392" s="156"/>
      <c r="DP1392" s="156"/>
      <c r="DQ1392" s="156"/>
      <c r="DR1392" s="156"/>
      <c r="DS1392" s="156"/>
      <c r="DT1392" s="156"/>
      <c r="DU1392" s="156"/>
      <c r="DV1392" s="156"/>
      <c r="DW1392" s="156"/>
      <c r="DX1392" s="156"/>
      <c r="DY1392" s="156"/>
      <c r="DZ1392" s="156"/>
      <c r="EA1392" s="156"/>
      <c r="EB1392" s="156"/>
      <c r="EC1392" s="156"/>
      <c r="ED1392" s="156"/>
      <c r="EE1392" s="156"/>
      <c r="EF1392" s="156"/>
      <c r="EG1392" s="156"/>
      <c r="EH1392" s="156"/>
      <c r="EI1392" s="156"/>
      <c r="EJ1392" s="156"/>
      <c r="EK1392" s="156"/>
      <c r="EL1392" s="156"/>
      <c r="EM1392" s="156"/>
    </row>
    <row r="1393" spans="20:143" ht="10.5" customHeight="1">
      <c r="T1393" s="156"/>
      <c r="AZ1393" s="156"/>
      <c r="BA1393" s="156"/>
      <c r="BB1393" s="156"/>
      <c r="BC1393" s="156"/>
      <c r="BD1393" s="156"/>
      <c r="BE1393" s="156"/>
      <c r="BF1393" s="156"/>
      <c r="BG1393" s="156"/>
      <c r="BH1393" s="156"/>
      <c r="BI1393" s="156"/>
      <c r="BJ1393" s="156"/>
      <c r="BK1393" s="156"/>
      <c r="BL1393" s="156"/>
      <c r="BM1393" s="156"/>
      <c r="BN1393" s="156"/>
      <c r="BO1393" s="156"/>
      <c r="BP1393" s="156"/>
      <c r="BQ1393" s="156"/>
      <c r="BR1393" s="156"/>
      <c r="BS1393" s="156"/>
      <c r="BT1393" s="156"/>
      <c r="BU1393" s="156"/>
      <c r="BV1393" s="156"/>
      <c r="BW1393" s="156"/>
      <c r="BX1393" s="156"/>
      <c r="BY1393" s="156"/>
      <c r="BZ1393" s="156"/>
      <c r="CA1393" s="156"/>
      <c r="CB1393" s="156"/>
      <c r="CC1393" s="156"/>
      <c r="CD1393" s="156"/>
      <c r="CE1393" s="156"/>
      <c r="CF1393" s="156"/>
      <c r="CG1393" s="156"/>
      <c r="CH1393" s="156"/>
      <c r="CI1393" s="156"/>
      <c r="CJ1393" s="156"/>
      <c r="CK1393" s="156"/>
      <c r="CL1393" s="156"/>
      <c r="CM1393" s="156"/>
      <c r="CN1393" s="156"/>
      <c r="CO1393" s="156"/>
      <c r="CP1393" s="156"/>
      <c r="CQ1393" s="156"/>
      <c r="CR1393" s="156"/>
      <c r="CS1393" s="156"/>
      <c r="CT1393" s="156"/>
      <c r="CU1393" s="156"/>
      <c r="CV1393" s="156"/>
      <c r="CW1393" s="156"/>
      <c r="CX1393" s="156"/>
      <c r="CY1393" s="156"/>
      <c r="CZ1393" s="156"/>
      <c r="DA1393" s="156"/>
      <c r="DB1393" s="156"/>
      <c r="DC1393" s="156"/>
      <c r="DD1393" s="156"/>
      <c r="DE1393" s="156"/>
      <c r="DF1393" s="156"/>
      <c r="DG1393" s="156"/>
      <c r="DH1393" s="156"/>
      <c r="DI1393" s="156"/>
      <c r="DJ1393" s="156"/>
      <c r="DK1393" s="156"/>
      <c r="DL1393" s="156"/>
      <c r="DM1393" s="156"/>
      <c r="DN1393" s="156"/>
      <c r="DO1393" s="156"/>
      <c r="DP1393" s="156"/>
      <c r="DQ1393" s="156"/>
      <c r="DR1393" s="156"/>
      <c r="DS1393" s="156"/>
      <c r="DT1393" s="156"/>
      <c r="DU1393" s="156"/>
      <c r="DV1393" s="156"/>
      <c r="DW1393" s="156"/>
      <c r="DX1393" s="156"/>
      <c r="DY1393" s="156"/>
      <c r="DZ1393" s="156"/>
      <c r="EA1393" s="156"/>
      <c r="EB1393" s="156"/>
      <c r="EC1393" s="156"/>
      <c r="ED1393" s="156"/>
      <c r="EE1393" s="156"/>
      <c r="EF1393" s="156"/>
      <c r="EG1393" s="156"/>
      <c r="EH1393" s="156"/>
      <c r="EI1393" s="156"/>
      <c r="EJ1393" s="156"/>
      <c r="EK1393" s="156"/>
      <c r="EL1393" s="156"/>
      <c r="EM1393" s="156"/>
    </row>
    <row r="1394" spans="20:143" ht="10.5" customHeight="1">
      <c r="T1394" s="156"/>
      <c r="AZ1394" s="156"/>
      <c r="BA1394" s="156"/>
      <c r="BB1394" s="156"/>
      <c r="BC1394" s="156"/>
      <c r="BD1394" s="156"/>
      <c r="BE1394" s="156"/>
      <c r="BF1394" s="156"/>
      <c r="BG1394" s="156"/>
      <c r="BH1394" s="156"/>
      <c r="BI1394" s="156"/>
      <c r="BJ1394" s="156"/>
      <c r="BK1394" s="156"/>
      <c r="BL1394" s="156"/>
      <c r="BM1394" s="156"/>
      <c r="BN1394" s="156"/>
      <c r="BO1394" s="156"/>
      <c r="BP1394" s="156"/>
      <c r="BQ1394" s="156"/>
      <c r="BR1394" s="156"/>
      <c r="BS1394" s="156"/>
      <c r="BT1394" s="156"/>
      <c r="BU1394" s="156"/>
      <c r="BV1394" s="156"/>
      <c r="BW1394" s="156"/>
      <c r="BX1394" s="156"/>
      <c r="BY1394" s="156"/>
      <c r="BZ1394" s="156"/>
      <c r="CA1394" s="156"/>
      <c r="CB1394" s="156"/>
      <c r="CC1394" s="156"/>
      <c r="CD1394" s="156"/>
      <c r="CE1394" s="156"/>
      <c r="CF1394" s="156"/>
      <c r="CG1394" s="156"/>
      <c r="CH1394" s="156"/>
      <c r="CI1394" s="156"/>
      <c r="CJ1394" s="156"/>
      <c r="CK1394" s="156"/>
      <c r="CL1394" s="156"/>
      <c r="CM1394" s="156"/>
      <c r="CN1394" s="156"/>
      <c r="CO1394" s="156"/>
      <c r="CP1394" s="156"/>
      <c r="CQ1394" s="156"/>
      <c r="CR1394" s="156"/>
      <c r="CS1394" s="156"/>
      <c r="CT1394" s="156"/>
      <c r="CU1394" s="156"/>
      <c r="CV1394" s="156"/>
      <c r="CW1394" s="156"/>
      <c r="CX1394" s="156"/>
      <c r="CY1394" s="156"/>
      <c r="CZ1394" s="156"/>
      <c r="DA1394" s="156"/>
      <c r="DB1394" s="156"/>
      <c r="DC1394" s="156"/>
      <c r="DD1394" s="156"/>
      <c r="DE1394" s="156"/>
      <c r="DF1394" s="156"/>
      <c r="DG1394" s="156"/>
      <c r="DH1394" s="156"/>
      <c r="DI1394" s="156"/>
      <c r="DJ1394" s="156"/>
      <c r="DK1394" s="156"/>
      <c r="DL1394" s="156"/>
      <c r="DM1394" s="156"/>
      <c r="DN1394" s="156"/>
      <c r="DO1394" s="156"/>
      <c r="DP1394" s="156"/>
      <c r="DQ1394" s="156"/>
      <c r="DR1394" s="156"/>
      <c r="DS1394" s="156"/>
      <c r="DT1394" s="156"/>
      <c r="DU1394" s="156"/>
      <c r="DV1394" s="156"/>
      <c r="DW1394" s="156"/>
      <c r="DX1394" s="156"/>
      <c r="DY1394" s="156"/>
      <c r="DZ1394" s="156"/>
      <c r="EA1394" s="156"/>
      <c r="EB1394" s="156"/>
      <c r="EC1394" s="156"/>
      <c r="ED1394" s="156"/>
      <c r="EE1394" s="156"/>
      <c r="EF1394" s="156"/>
      <c r="EG1394" s="156"/>
      <c r="EH1394" s="156"/>
      <c r="EI1394" s="156"/>
      <c r="EJ1394" s="156"/>
      <c r="EK1394" s="156"/>
      <c r="EL1394" s="156"/>
      <c r="EM1394" s="156"/>
    </row>
    <row r="1395" spans="20:143" ht="10.5" customHeight="1">
      <c r="T1395" s="156"/>
      <c r="AZ1395" s="156"/>
      <c r="BA1395" s="156"/>
      <c r="BB1395" s="156"/>
      <c r="BC1395" s="156"/>
      <c r="BD1395" s="156"/>
      <c r="BE1395" s="156"/>
      <c r="BF1395" s="156"/>
      <c r="BG1395" s="156"/>
      <c r="BH1395" s="156"/>
      <c r="BI1395" s="156"/>
      <c r="BJ1395" s="156"/>
      <c r="BK1395" s="156"/>
      <c r="BL1395" s="156"/>
      <c r="BM1395" s="156"/>
      <c r="BN1395" s="156"/>
      <c r="BO1395" s="156"/>
      <c r="BP1395" s="156"/>
      <c r="BQ1395" s="156"/>
      <c r="BR1395" s="156"/>
      <c r="BS1395" s="156"/>
      <c r="BT1395" s="156"/>
      <c r="BU1395" s="156"/>
      <c r="BV1395" s="156"/>
      <c r="BW1395" s="156"/>
      <c r="BX1395" s="156"/>
      <c r="BY1395" s="156"/>
      <c r="BZ1395" s="156"/>
      <c r="CA1395" s="156"/>
      <c r="CB1395" s="156"/>
      <c r="CC1395" s="156"/>
      <c r="CD1395" s="156"/>
      <c r="CE1395" s="156"/>
      <c r="CF1395" s="156"/>
      <c r="CG1395" s="156"/>
      <c r="CH1395" s="156"/>
      <c r="CI1395" s="156"/>
      <c r="CJ1395" s="156"/>
      <c r="CK1395" s="156"/>
      <c r="CL1395" s="156"/>
      <c r="CM1395" s="156"/>
      <c r="CN1395" s="156"/>
      <c r="CO1395" s="156"/>
      <c r="CP1395" s="156"/>
      <c r="CQ1395" s="156"/>
      <c r="CR1395" s="156"/>
      <c r="CS1395" s="156"/>
      <c r="CT1395" s="156"/>
      <c r="CU1395" s="156"/>
      <c r="CV1395" s="156"/>
      <c r="CW1395" s="156"/>
      <c r="CX1395" s="156"/>
      <c r="CY1395" s="156"/>
      <c r="CZ1395" s="156"/>
      <c r="DA1395" s="156"/>
      <c r="DB1395" s="156"/>
      <c r="DC1395" s="156"/>
      <c r="DD1395" s="156"/>
      <c r="DE1395" s="156"/>
      <c r="DF1395" s="156"/>
      <c r="DG1395" s="156"/>
      <c r="DH1395" s="156"/>
      <c r="DI1395" s="156"/>
      <c r="DJ1395" s="156"/>
      <c r="DK1395" s="156"/>
      <c r="DL1395" s="156"/>
      <c r="DM1395" s="156"/>
      <c r="DN1395" s="156"/>
      <c r="DO1395" s="156"/>
      <c r="DP1395" s="156"/>
      <c r="DQ1395" s="156"/>
      <c r="DR1395" s="156"/>
      <c r="DS1395" s="156"/>
      <c r="DT1395" s="156"/>
      <c r="DU1395" s="156"/>
      <c r="DV1395" s="156"/>
      <c r="DW1395" s="156"/>
      <c r="DX1395" s="156"/>
      <c r="DY1395" s="156"/>
      <c r="DZ1395" s="156"/>
      <c r="EA1395" s="156"/>
      <c r="EB1395" s="156"/>
      <c r="EC1395" s="156"/>
      <c r="ED1395" s="156"/>
      <c r="EE1395" s="156"/>
      <c r="EF1395" s="156"/>
      <c r="EG1395" s="156"/>
      <c r="EH1395" s="156"/>
      <c r="EI1395" s="156"/>
      <c r="EJ1395" s="156"/>
      <c r="EK1395" s="156"/>
      <c r="EL1395" s="156"/>
      <c r="EM1395" s="156"/>
    </row>
    <row r="1396" spans="20:143" ht="10.5" customHeight="1">
      <c r="T1396" s="156"/>
      <c r="AZ1396" s="156"/>
      <c r="BA1396" s="156"/>
      <c r="BB1396" s="156"/>
      <c r="BC1396" s="156"/>
      <c r="BD1396" s="156"/>
      <c r="BE1396" s="156"/>
      <c r="BF1396" s="156"/>
      <c r="BG1396" s="156"/>
      <c r="BH1396" s="156"/>
      <c r="BI1396" s="156"/>
      <c r="BJ1396" s="156"/>
      <c r="BK1396" s="156"/>
      <c r="BL1396" s="156"/>
      <c r="BM1396" s="156"/>
      <c r="BN1396" s="156"/>
      <c r="BO1396" s="156"/>
      <c r="BP1396" s="156"/>
      <c r="BQ1396" s="156"/>
      <c r="BR1396" s="156"/>
      <c r="BS1396" s="156"/>
      <c r="BT1396" s="156"/>
      <c r="BU1396" s="156"/>
      <c r="BV1396" s="156"/>
      <c r="BW1396" s="156"/>
      <c r="BX1396" s="156"/>
      <c r="BY1396" s="156"/>
      <c r="BZ1396" s="156"/>
      <c r="CA1396" s="156"/>
      <c r="CB1396" s="156"/>
      <c r="CC1396" s="156"/>
      <c r="CD1396" s="156"/>
      <c r="CE1396" s="156"/>
      <c r="CF1396" s="156"/>
      <c r="CG1396" s="156"/>
      <c r="CH1396" s="156"/>
      <c r="CI1396" s="156"/>
      <c r="CJ1396" s="156"/>
      <c r="CK1396" s="156"/>
      <c r="CL1396" s="156"/>
      <c r="CM1396" s="156"/>
      <c r="CN1396" s="156"/>
      <c r="CO1396" s="156"/>
      <c r="CP1396" s="156"/>
      <c r="CQ1396" s="156"/>
      <c r="CR1396" s="156"/>
      <c r="CS1396" s="156"/>
      <c r="CT1396" s="156"/>
      <c r="CU1396" s="156"/>
      <c r="CV1396" s="156"/>
      <c r="CW1396" s="156"/>
      <c r="CX1396" s="156"/>
      <c r="CY1396" s="156"/>
      <c r="CZ1396" s="156"/>
      <c r="DA1396" s="156"/>
      <c r="DB1396" s="156"/>
      <c r="DC1396" s="156"/>
      <c r="DD1396" s="156"/>
      <c r="DE1396" s="156"/>
      <c r="DF1396" s="156"/>
      <c r="DG1396" s="156"/>
      <c r="DH1396" s="156"/>
      <c r="DI1396" s="156"/>
      <c r="DJ1396" s="156"/>
      <c r="DK1396" s="156"/>
      <c r="DL1396" s="156"/>
      <c r="DM1396" s="156"/>
      <c r="DN1396" s="156"/>
      <c r="DO1396" s="156"/>
      <c r="DP1396" s="156"/>
      <c r="DQ1396" s="156"/>
      <c r="DR1396" s="156"/>
      <c r="DS1396" s="156"/>
      <c r="DT1396" s="156"/>
      <c r="DU1396" s="156"/>
      <c r="DV1396" s="156"/>
      <c r="DW1396" s="156"/>
      <c r="DX1396" s="156"/>
      <c r="DY1396" s="156"/>
      <c r="DZ1396" s="156"/>
      <c r="EA1396" s="156"/>
      <c r="EB1396" s="156"/>
      <c r="EC1396" s="156"/>
      <c r="ED1396" s="156"/>
      <c r="EE1396" s="156"/>
      <c r="EF1396" s="156"/>
      <c r="EG1396" s="156"/>
      <c r="EH1396" s="156"/>
      <c r="EI1396" s="156"/>
      <c r="EJ1396" s="156"/>
      <c r="EK1396" s="156"/>
      <c r="EL1396" s="156"/>
      <c r="EM1396" s="156"/>
    </row>
    <row r="1397" spans="20:143" ht="10.5" customHeight="1">
      <c r="T1397" s="156"/>
      <c r="AZ1397" s="156"/>
      <c r="BA1397" s="156"/>
      <c r="BB1397" s="156"/>
      <c r="BC1397" s="156"/>
      <c r="BD1397" s="156"/>
      <c r="BE1397" s="156"/>
      <c r="BF1397" s="156"/>
      <c r="BG1397" s="156"/>
      <c r="BH1397" s="156"/>
      <c r="BI1397" s="156"/>
      <c r="BJ1397" s="156"/>
      <c r="BK1397" s="156"/>
      <c r="BL1397" s="156"/>
      <c r="BM1397" s="156"/>
      <c r="BN1397" s="156"/>
      <c r="BO1397" s="156"/>
      <c r="BP1397" s="156"/>
      <c r="BQ1397" s="156"/>
      <c r="BR1397" s="156"/>
      <c r="BS1397" s="156"/>
      <c r="BT1397" s="156"/>
      <c r="BU1397" s="156"/>
      <c r="BV1397" s="156"/>
      <c r="BW1397" s="156"/>
      <c r="BX1397" s="156"/>
      <c r="BY1397" s="156"/>
      <c r="BZ1397" s="156"/>
      <c r="CA1397" s="156"/>
      <c r="CB1397" s="156"/>
      <c r="CC1397" s="156"/>
      <c r="CD1397" s="156"/>
      <c r="CE1397" s="156"/>
      <c r="CF1397" s="156"/>
      <c r="CG1397" s="156"/>
      <c r="CH1397" s="156"/>
      <c r="CI1397" s="156"/>
      <c r="CJ1397" s="156"/>
      <c r="CK1397" s="156"/>
      <c r="CL1397" s="156"/>
      <c r="CM1397" s="156"/>
      <c r="CN1397" s="156"/>
      <c r="CO1397" s="156"/>
      <c r="CP1397" s="156"/>
      <c r="CQ1397" s="156"/>
      <c r="CR1397" s="156"/>
      <c r="CS1397" s="156"/>
      <c r="CT1397" s="156"/>
      <c r="CU1397" s="156"/>
      <c r="CV1397" s="156"/>
      <c r="CW1397" s="156"/>
      <c r="CX1397" s="156"/>
      <c r="CY1397" s="156"/>
      <c r="CZ1397" s="156"/>
      <c r="DA1397" s="156"/>
      <c r="DB1397" s="156"/>
      <c r="DC1397" s="156"/>
      <c r="DD1397" s="156"/>
      <c r="DE1397" s="156"/>
      <c r="DF1397" s="156"/>
      <c r="DG1397" s="156"/>
      <c r="DH1397" s="156"/>
      <c r="DI1397" s="156"/>
      <c r="DJ1397" s="156"/>
      <c r="DK1397" s="156"/>
      <c r="DL1397" s="156"/>
      <c r="DM1397" s="156"/>
      <c r="DN1397" s="156"/>
      <c r="DO1397" s="156"/>
      <c r="DP1397" s="156"/>
      <c r="DQ1397" s="156"/>
      <c r="DR1397" s="156"/>
      <c r="DS1397" s="156"/>
      <c r="DT1397" s="156"/>
      <c r="DU1397" s="156"/>
      <c r="DV1397" s="156"/>
      <c r="DW1397" s="156"/>
      <c r="DX1397" s="156"/>
      <c r="DY1397" s="156"/>
      <c r="DZ1397" s="156"/>
      <c r="EA1397" s="156"/>
      <c r="EB1397" s="156"/>
      <c r="EC1397" s="156"/>
      <c r="ED1397" s="156"/>
      <c r="EE1397" s="156"/>
      <c r="EF1397" s="156"/>
      <c r="EG1397" s="156"/>
      <c r="EH1397" s="156"/>
      <c r="EI1397" s="156"/>
      <c r="EJ1397" s="156"/>
      <c r="EK1397" s="156"/>
      <c r="EL1397" s="156"/>
      <c r="EM1397" s="156"/>
    </row>
    <row r="1398" spans="20:143" ht="10.5" customHeight="1">
      <c r="T1398" s="156"/>
      <c r="AZ1398" s="156"/>
      <c r="BA1398" s="156"/>
      <c r="BB1398" s="156"/>
      <c r="BC1398" s="156"/>
      <c r="BD1398" s="156"/>
      <c r="BE1398" s="156"/>
      <c r="BF1398" s="156"/>
      <c r="BG1398" s="156"/>
      <c r="BH1398" s="156"/>
      <c r="BI1398" s="156"/>
      <c r="BJ1398" s="156"/>
      <c r="BK1398" s="156"/>
      <c r="BL1398" s="156"/>
      <c r="BM1398" s="156"/>
      <c r="BN1398" s="156"/>
      <c r="BO1398" s="156"/>
      <c r="BP1398" s="156"/>
      <c r="BQ1398" s="156"/>
      <c r="BR1398" s="156"/>
      <c r="BS1398" s="156"/>
      <c r="BT1398" s="156"/>
      <c r="BU1398" s="156"/>
      <c r="BV1398" s="156"/>
      <c r="BW1398" s="156"/>
      <c r="BX1398" s="156"/>
      <c r="BY1398" s="156"/>
      <c r="BZ1398" s="156"/>
      <c r="CA1398" s="156"/>
      <c r="CB1398" s="156"/>
      <c r="CC1398" s="156"/>
      <c r="CD1398" s="156"/>
      <c r="CE1398" s="156"/>
      <c r="CF1398" s="156"/>
      <c r="CG1398" s="156"/>
      <c r="CH1398" s="156"/>
      <c r="CI1398" s="156"/>
      <c r="CJ1398" s="156"/>
      <c r="CK1398" s="156"/>
      <c r="CL1398" s="156"/>
      <c r="CM1398" s="156"/>
      <c r="CN1398" s="156"/>
      <c r="CO1398" s="156"/>
      <c r="CP1398" s="156"/>
      <c r="CQ1398" s="156"/>
      <c r="CR1398" s="156"/>
      <c r="CS1398" s="156"/>
      <c r="CT1398" s="156"/>
      <c r="CU1398" s="156"/>
      <c r="CV1398" s="156"/>
      <c r="CW1398" s="156"/>
      <c r="CX1398" s="156"/>
      <c r="CY1398" s="156"/>
      <c r="CZ1398" s="156"/>
      <c r="DA1398" s="156"/>
      <c r="DB1398" s="156"/>
      <c r="DC1398" s="156"/>
      <c r="DD1398" s="156"/>
      <c r="DE1398" s="156"/>
      <c r="DF1398" s="156"/>
      <c r="DG1398" s="156"/>
      <c r="DH1398" s="156"/>
      <c r="DI1398" s="156"/>
      <c r="DJ1398" s="156"/>
      <c r="DK1398" s="156"/>
      <c r="DL1398" s="156"/>
      <c r="DM1398" s="156"/>
      <c r="DN1398" s="156"/>
      <c r="DO1398" s="156"/>
      <c r="DP1398" s="156"/>
      <c r="DQ1398" s="156"/>
      <c r="DR1398" s="156"/>
      <c r="DS1398" s="156"/>
      <c r="DT1398" s="156"/>
      <c r="DU1398" s="156"/>
      <c r="DV1398" s="156"/>
      <c r="DW1398" s="156"/>
      <c r="DX1398" s="156"/>
      <c r="DY1398" s="156"/>
      <c r="DZ1398" s="156"/>
      <c r="EA1398" s="156"/>
      <c r="EB1398" s="156"/>
      <c r="EC1398" s="156"/>
      <c r="ED1398" s="156"/>
      <c r="EE1398" s="156"/>
      <c r="EF1398" s="156"/>
      <c r="EG1398" s="156"/>
      <c r="EH1398" s="156"/>
      <c r="EI1398" s="156"/>
      <c r="EJ1398" s="156"/>
      <c r="EK1398" s="156"/>
      <c r="EL1398" s="156"/>
      <c r="EM1398" s="156"/>
    </row>
    <row r="1399" spans="20:143" ht="10.5" customHeight="1">
      <c r="T1399" s="156"/>
      <c r="AZ1399" s="156"/>
      <c r="BA1399" s="156"/>
      <c r="BB1399" s="156"/>
      <c r="BC1399" s="156"/>
      <c r="BD1399" s="156"/>
      <c r="BE1399" s="156"/>
      <c r="BF1399" s="156"/>
      <c r="BG1399" s="156"/>
      <c r="BH1399" s="156"/>
      <c r="BI1399" s="156"/>
      <c r="BJ1399" s="156"/>
      <c r="BK1399" s="156"/>
      <c r="BL1399" s="156"/>
      <c r="BM1399" s="156"/>
      <c r="BN1399" s="156"/>
      <c r="BO1399" s="156"/>
      <c r="BP1399" s="156"/>
      <c r="BQ1399" s="156"/>
      <c r="BR1399" s="156"/>
      <c r="BS1399" s="156"/>
      <c r="BT1399" s="156"/>
      <c r="BU1399" s="156"/>
      <c r="BV1399" s="156"/>
      <c r="BW1399" s="156"/>
      <c r="BX1399" s="156"/>
      <c r="BY1399" s="156"/>
      <c r="BZ1399" s="156"/>
      <c r="CA1399" s="156"/>
      <c r="CB1399" s="156"/>
      <c r="CC1399" s="156"/>
      <c r="CD1399" s="156"/>
      <c r="CE1399" s="156"/>
      <c r="CF1399" s="156"/>
      <c r="CG1399" s="156"/>
      <c r="CH1399" s="156"/>
      <c r="CI1399" s="156"/>
      <c r="CJ1399" s="156"/>
      <c r="CK1399" s="156"/>
      <c r="CL1399" s="156"/>
      <c r="CM1399" s="156"/>
      <c r="CN1399" s="156"/>
      <c r="CO1399" s="156"/>
      <c r="CP1399" s="156"/>
      <c r="CQ1399" s="156"/>
      <c r="CR1399" s="156"/>
      <c r="CS1399" s="156"/>
      <c r="CT1399" s="156"/>
      <c r="CU1399" s="156"/>
      <c r="CV1399" s="156"/>
      <c r="CW1399" s="156"/>
      <c r="CX1399" s="156"/>
      <c r="CY1399" s="156"/>
      <c r="CZ1399" s="156"/>
      <c r="DA1399" s="156"/>
      <c r="DB1399" s="156"/>
      <c r="DC1399" s="156"/>
      <c r="DD1399" s="156"/>
      <c r="DE1399" s="156"/>
      <c r="DF1399" s="156"/>
      <c r="DG1399" s="156"/>
      <c r="DH1399" s="156"/>
      <c r="DI1399" s="156"/>
      <c r="DJ1399" s="156"/>
      <c r="DK1399" s="156"/>
      <c r="DL1399" s="156"/>
      <c r="DM1399" s="156"/>
      <c r="DN1399" s="156"/>
      <c r="DO1399" s="156"/>
      <c r="DP1399" s="156"/>
      <c r="DQ1399" s="156"/>
      <c r="DR1399" s="156"/>
      <c r="DS1399" s="156"/>
      <c r="DT1399" s="156"/>
      <c r="DU1399" s="156"/>
      <c r="DV1399" s="156"/>
      <c r="DW1399" s="156"/>
      <c r="DX1399" s="156"/>
      <c r="DY1399" s="156"/>
      <c r="DZ1399" s="156"/>
      <c r="EA1399" s="156"/>
      <c r="EB1399" s="156"/>
      <c r="EC1399" s="156"/>
      <c r="ED1399" s="156"/>
      <c r="EE1399" s="156"/>
      <c r="EF1399" s="156"/>
      <c r="EG1399" s="156"/>
      <c r="EH1399" s="156"/>
      <c r="EI1399" s="156"/>
      <c r="EJ1399" s="156"/>
      <c r="EK1399" s="156"/>
      <c r="EL1399" s="156"/>
      <c r="EM1399" s="156"/>
    </row>
    <row r="1400" spans="20:143" ht="10.5" customHeight="1">
      <c r="T1400" s="156"/>
      <c r="AZ1400" s="156"/>
      <c r="BA1400" s="156"/>
      <c r="BB1400" s="156"/>
      <c r="BC1400" s="156"/>
      <c r="BD1400" s="156"/>
      <c r="BE1400" s="156"/>
      <c r="BF1400" s="156"/>
      <c r="BG1400" s="156"/>
      <c r="BH1400" s="156"/>
      <c r="BI1400" s="156"/>
      <c r="BJ1400" s="156"/>
      <c r="BK1400" s="156"/>
      <c r="BL1400" s="156"/>
      <c r="BM1400" s="156"/>
      <c r="BN1400" s="156"/>
      <c r="BO1400" s="156"/>
      <c r="BP1400" s="156"/>
      <c r="BQ1400" s="156"/>
      <c r="BR1400" s="156"/>
      <c r="BS1400" s="156"/>
      <c r="BT1400" s="156"/>
      <c r="BU1400" s="156"/>
      <c r="BV1400" s="156"/>
      <c r="BW1400" s="156"/>
      <c r="BX1400" s="156"/>
      <c r="BY1400" s="156"/>
      <c r="BZ1400" s="156"/>
      <c r="CA1400" s="156"/>
      <c r="CB1400" s="156"/>
      <c r="CC1400" s="156"/>
      <c r="CD1400" s="156"/>
      <c r="CE1400" s="156"/>
      <c r="CF1400" s="156"/>
      <c r="CG1400" s="156"/>
      <c r="CH1400" s="156"/>
      <c r="CI1400" s="156"/>
      <c r="CJ1400" s="156"/>
      <c r="CK1400" s="156"/>
      <c r="CL1400" s="156"/>
      <c r="CM1400" s="156"/>
      <c r="CN1400" s="156"/>
      <c r="CO1400" s="156"/>
      <c r="CP1400" s="156"/>
      <c r="CQ1400" s="156"/>
      <c r="CR1400" s="156"/>
      <c r="CS1400" s="156"/>
      <c r="CT1400" s="156"/>
      <c r="CU1400" s="156"/>
      <c r="CV1400" s="156"/>
      <c r="CW1400" s="156"/>
      <c r="CX1400" s="156"/>
      <c r="CY1400" s="156"/>
      <c r="CZ1400" s="156"/>
      <c r="DA1400" s="156"/>
      <c r="DB1400" s="156"/>
      <c r="DC1400" s="156"/>
      <c r="DD1400" s="156"/>
      <c r="DE1400" s="156"/>
      <c r="DF1400" s="156"/>
      <c r="DG1400" s="156"/>
      <c r="DH1400" s="156"/>
      <c r="DI1400" s="156"/>
      <c r="DJ1400" s="156"/>
      <c r="DK1400" s="156"/>
      <c r="DL1400" s="156"/>
      <c r="DM1400" s="156"/>
      <c r="DN1400" s="156"/>
      <c r="DO1400" s="156"/>
      <c r="DP1400" s="156"/>
      <c r="DQ1400" s="156"/>
      <c r="DR1400" s="156"/>
      <c r="DS1400" s="156"/>
      <c r="DT1400" s="156"/>
      <c r="DU1400" s="156"/>
      <c r="DV1400" s="156"/>
      <c r="DW1400" s="156"/>
      <c r="DX1400" s="156"/>
      <c r="DY1400" s="156"/>
      <c r="DZ1400" s="156"/>
      <c r="EA1400" s="156"/>
      <c r="EB1400" s="156"/>
      <c r="EC1400" s="156"/>
      <c r="ED1400" s="156"/>
      <c r="EE1400" s="156"/>
      <c r="EF1400" s="156"/>
      <c r="EG1400" s="156"/>
      <c r="EH1400" s="156"/>
      <c r="EI1400" s="156"/>
      <c r="EJ1400" s="156"/>
      <c r="EK1400" s="156"/>
      <c r="EL1400" s="156"/>
      <c r="EM1400" s="156"/>
    </row>
    <row r="1401" spans="20:143" ht="10.5" customHeight="1">
      <c r="T1401" s="156"/>
      <c r="AZ1401" s="156"/>
      <c r="BA1401" s="156"/>
      <c r="BB1401" s="156"/>
      <c r="BC1401" s="156"/>
      <c r="BD1401" s="156"/>
      <c r="BE1401" s="156"/>
      <c r="BF1401" s="156"/>
      <c r="BG1401" s="156"/>
      <c r="BH1401" s="156"/>
      <c r="BI1401" s="156"/>
      <c r="BJ1401" s="156"/>
      <c r="BK1401" s="156"/>
      <c r="BL1401" s="156"/>
      <c r="BM1401" s="156"/>
      <c r="BN1401" s="156"/>
      <c r="BO1401" s="156"/>
      <c r="BP1401" s="156"/>
      <c r="BQ1401" s="156"/>
      <c r="BR1401" s="156"/>
      <c r="BS1401" s="156"/>
      <c r="BT1401" s="156"/>
      <c r="BU1401" s="156"/>
      <c r="BV1401" s="156"/>
      <c r="BW1401" s="156"/>
      <c r="BX1401" s="156"/>
      <c r="BY1401" s="156"/>
      <c r="BZ1401" s="156"/>
      <c r="CA1401" s="156"/>
      <c r="CB1401" s="156"/>
      <c r="CC1401" s="156"/>
      <c r="CD1401" s="156"/>
      <c r="CE1401" s="156"/>
      <c r="CF1401" s="156"/>
      <c r="CG1401" s="156"/>
      <c r="CH1401" s="156"/>
      <c r="CI1401" s="156"/>
      <c r="CJ1401" s="156"/>
      <c r="CK1401" s="156"/>
      <c r="CL1401" s="156"/>
      <c r="CM1401" s="156"/>
      <c r="CN1401" s="156"/>
      <c r="CO1401" s="156"/>
      <c r="CP1401" s="156"/>
      <c r="CQ1401" s="156"/>
      <c r="CR1401" s="156"/>
      <c r="CS1401" s="156"/>
      <c r="CT1401" s="156"/>
      <c r="CU1401" s="156"/>
      <c r="CV1401" s="156"/>
      <c r="CW1401" s="156"/>
      <c r="CX1401" s="156"/>
      <c r="CY1401" s="156"/>
      <c r="CZ1401" s="156"/>
      <c r="DA1401" s="156"/>
      <c r="DB1401" s="156"/>
      <c r="DC1401" s="156"/>
      <c r="DD1401" s="156"/>
      <c r="DE1401" s="156"/>
      <c r="DF1401" s="156"/>
      <c r="DG1401" s="156"/>
      <c r="DH1401" s="156"/>
      <c r="DI1401" s="156"/>
      <c r="DJ1401" s="156"/>
      <c r="DK1401" s="156"/>
      <c r="DL1401" s="156"/>
      <c r="DM1401" s="156"/>
      <c r="DN1401" s="156"/>
      <c r="DO1401" s="156"/>
      <c r="DP1401" s="156"/>
      <c r="DQ1401" s="156"/>
      <c r="DR1401" s="156"/>
      <c r="DS1401" s="156"/>
      <c r="DT1401" s="156"/>
      <c r="DU1401" s="156"/>
      <c r="DV1401" s="156"/>
      <c r="DW1401" s="156"/>
      <c r="DX1401" s="156"/>
      <c r="DY1401" s="156"/>
      <c r="DZ1401" s="156"/>
      <c r="EA1401" s="156"/>
      <c r="EB1401" s="156"/>
      <c r="EC1401" s="156"/>
      <c r="ED1401" s="156"/>
      <c r="EE1401" s="156"/>
      <c r="EF1401" s="156"/>
      <c r="EG1401" s="156"/>
      <c r="EH1401" s="156"/>
      <c r="EI1401" s="156"/>
      <c r="EJ1401" s="156"/>
      <c r="EK1401" s="156"/>
      <c r="EL1401" s="156"/>
      <c r="EM1401" s="156"/>
    </row>
    <row r="1402" spans="20:143" ht="10.5" customHeight="1">
      <c r="T1402" s="156"/>
      <c r="AZ1402" s="156"/>
      <c r="BA1402" s="156"/>
      <c r="BB1402" s="156"/>
      <c r="BC1402" s="156"/>
      <c r="BD1402" s="156"/>
      <c r="BE1402" s="156"/>
      <c r="BF1402" s="156"/>
      <c r="BG1402" s="156"/>
      <c r="BH1402" s="156"/>
      <c r="BI1402" s="156"/>
      <c r="BJ1402" s="156"/>
      <c r="BK1402" s="156"/>
      <c r="BL1402" s="156"/>
      <c r="BM1402" s="156"/>
      <c r="BN1402" s="156"/>
      <c r="BO1402" s="156"/>
      <c r="BP1402" s="156"/>
      <c r="BQ1402" s="156"/>
      <c r="BR1402" s="156"/>
      <c r="BS1402" s="156"/>
      <c r="BT1402" s="156"/>
      <c r="BU1402" s="156"/>
      <c r="BV1402" s="156"/>
      <c r="BW1402" s="156"/>
      <c r="BX1402" s="156"/>
      <c r="BY1402" s="156"/>
      <c r="BZ1402" s="156"/>
      <c r="CA1402" s="156"/>
      <c r="CB1402" s="156"/>
      <c r="CC1402" s="156"/>
      <c r="CD1402" s="156"/>
      <c r="CE1402" s="156"/>
      <c r="CF1402" s="156"/>
      <c r="CG1402" s="156"/>
      <c r="CH1402" s="156"/>
      <c r="CI1402" s="156"/>
      <c r="CJ1402" s="156"/>
      <c r="CK1402" s="156"/>
      <c r="CL1402" s="156"/>
      <c r="CM1402" s="156"/>
      <c r="CN1402" s="156"/>
      <c r="CO1402" s="156"/>
      <c r="CP1402" s="156"/>
      <c r="CQ1402" s="156"/>
      <c r="CR1402" s="156"/>
      <c r="CS1402" s="156"/>
      <c r="CT1402" s="156"/>
      <c r="CU1402" s="156"/>
      <c r="CV1402" s="156"/>
      <c r="CW1402" s="156"/>
      <c r="CX1402" s="156"/>
      <c r="CY1402" s="156"/>
      <c r="CZ1402" s="156"/>
      <c r="DA1402" s="156"/>
      <c r="DB1402" s="156"/>
      <c r="DC1402" s="156"/>
      <c r="DD1402" s="156"/>
      <c r="DE1402" s="156"/>
      <c r="DF1402" s="156"/>
      <c r="DG1402" s="156"/>
      <c r="DH1402" s="156"/>
      <c r="DI1402" s="156"/>
      <c r="DJ1402" s="156"/>
      <c r="DK1402" s="156"/>
      <c r="DL1402" s="156"/>
      <c r="DM1402" s="156"/>
      <c r="DN1402" s="156"/>
      <c r="DO1402" s="156"/>
      <c r="DP1402" s="156"/>
      <c r="DQ1402" s="156"/>
      <c r="DR1402" s="156"/>
      <c r="DS1402" s="156"/>
      <c r="DT1402" s="156"/>
      <c r="DU1402" s="156"/>
      <c r="DV1402" s="156"/>
      <c r="DW1402" s="156"/>
      <c r="DX1402" s="156"/>
      <c r="DY1402" s="156"/>
      <c r="DZ1402" s="156"/>
      <c r="EA1402" s="156"/>
      <c r="EB1402" s="156"/>
      <c r="EC1402" s="156"/>
      <c r="ED1402" s="156"/>
      <c r="EE1402" s="156"/>
      <c r="EF1402" s="156"/>
      <c r="EG1402" s="156"/>
      <c r="EH1402" s="156"/>
      <c r="EI1402" s="156"/>
      <c r="EJ1402" s="156"/>
      <c r="EK1402" s="156"/>
      <c r="EL1402" s="156"/>
      <c r="EM1402" s="156"/>
    </row>
    <row r="1403" spans="20:143" ht="10.5" customHeight="1">
      <c r="T1403" s="156"/>
      <c r="AZ1403" s="156"/>
      <c r="BA1403" s="156"/>
      <c r="BB1403" s="156"/>
      <c r="BC1403" s="156"/>
      <c r="BD1403" s="156"/>
      <c r="BE1403" s="156"/>
      <c r="BF1403" s="156"/>
      <c r="BG1403" s="156"/>
      <c r="BH1403" s="156"/>
      <c r="BI1403" s="156"/>
      <c r="BJ1403" s="156"/>
      <c r="BK1403" s="156"/>
      <c r="BL1403" s="156"/>
      <c r="BM1403" s="156"/>
      <c r="BN1403" s="156"/>
      <c r="BO1403" s="156"/>
      <c r="BP1403" s="156"/>
      <c r="BQ1403" s="156"/>
      <c r="BR1403" s="156"/>
      <c r="BS1403" s="156"/>
      <c r="BT1403" s="156"/>
      <c r="BU1403" s="156"/>
      <c r="BV1403" s="156"/>
      <c r="BW1403" s="156"/>
      <c r="BX1403" s="156"/>
      <c r="BY1403" s="156"/>
      <c r="BZ1403" s="156"/>
      <c r="CA1403" s="156"/>
      <c r="CB1403" s="156"/>
      <c r="CC1403" s="156"/>
      <c r="CD1403" s="156"/>
      <c r="CE1403" s="156"/>
      <c r="CF1403" s="156"/>
      <c r="CG1403" s="156"/>
      <c r="CH1403" s="156"/>
      <c r="CI1403" s="156"/>
      <c r="CJ1403" s="156"/>
      <c r="CK1403" s="156"/>
      <c r="CL1403" s="156"/>
      <c r="CM1403" s="156"/>
      <c r="CN1403" s="156"/>
      <c r="CO1403" s="156"/>
      <c r="CP1403" s="156"/>
      <c r="CQ1403" s="156"/>
      <c r="CR1403" s="156"/>
      <c r="CS1403" s="156"/>
      <c r="CT1403" s="156"/>
      <c r="CU1403" s="156"/>
      <c r="CV1403" s="156"/>
      <c r="CW1403" s="156"/>
      <c r="CX1403" s="156"/>
      <c r="CY1403" s="156"/>
      <c r="CZ1403" s="156"/>
      <c r="DA1403" s="156"/>
      <c r="DB1403" s="156"/>
      <c r="DC1403" s="156"/>
      <c r="DD1403" s="156"/>
      <c r="DE1403" s="156"/>
      <c r="DF1403" s="156"/>
      <c r="DG1403" s="156"/>
      <c r="DH1403" s="156"/>
      <c r="DI1403" s="156"/>
      <c r="DJ1403" s="156"/>
      <c r="DK1403" s="156"/>
      <c r="DL1403" s="156"/>
      <c r="DM1403" s="156"/>
      <c r="DN1403" s="156"/>
      <c r="DO1403" s="156"/>
      <c r="DP1403" s="156"/>
      <c r="DQ1403" s="156"/>
      <c r="DR1403" s="156"/>
      <c r="DS1403" s="156"/>
      <c r="DT1403" s="156"/>
      <c r="DU1403" s="156"/>
      <c r="DV1403" s="156"/>
      <c r="DW1403" s="156"/>
      <c r="DX1403" s="156"/>
      <c r="DY1403" s="156"/>
      <c r="DZ1403" s="156"/>
      <c r="EA1403" s="156"/>
      <c r="EB1403" s="156"/>
      <c r="EC1403" s="156"/>
      <c r="ED1403" s="156"/>
      <c r="EE1403" s="156"/>
      <c r="EF1403" s="156"/>
      <c r="EG1403" s="156"/>
      <c r="EH1403" s="156"/>
      <c r="EI1403" s="156"/>
      <c r="EJ1403" s="156"/>
      <c r="EK1403" s="156"/>
      <c r="EL1403" s="156"/>
      <c r="EM1403" s="156"/>
    </row>
    <row r="1404" spans="20:143" ht="10.5" customHeight="1">
      <c r="T1404" s="156"/>
      <c r="AZ1404" s="156"/>
      <c r="BA1404" s="156"/>
      <c r="BB1404" s="156"/>
      <c r="BC1404" s="156"/>
      <c r="BD1404" s="156"/>
      <c r="BE1404" s="156"/>
      <c r="BF1404" s="156"/>
      <c r="BG1404" s="156"/>
      <c r="BH1404" s="156"/>
      <c r="BI1404" s="156"/>
      <c r="BJ1404" s="156"/>
      <c r="BK1404" s="156"/>
      <c r="BL1404" s="156"/>
      <c r="BM1404" s="156"/>
      <c r="BN1404" s="156"/>
      <c r="BO1404" s="156"/>
      <c r="BP1404" s="156"/>
      <c r="BQ1404" s="156"/>
      <c r="BR1404" s="156"/>
      <c r="BS1404" s="156"/>
      <c r="BT1404" s="156"/>
      <c r="BU1404" s="156"/>
      <c r="BV1404" s="156"/>
      <c r="BW1404" s="156"/>
      <c r="BX1404" s="156"/>
      <c r="BY1404" s="156"/>
      <c r="BZ1404" s="156"/>
      <c r="CA1404" s="156"/>
      <c r="CB1404" s="156"/>
      <c r="CC1404" s="156"/>
      <c r="CD1404" s="156"/>
      <c r="CE1404" s="156"/>
      <c r="CF1404" s="156"/>
      <c r="CG1404" s="156"/>
      <c r="CH1404" s="156"/>
      <c r="CI1404" s="156"/>
      <c r="CJ1404" s="156"/>
      <c r="CK1404" s="156"/>
      <c r="CL1404" s="156"/>
      <c r="CM1404" s="156"/>
      <c r="CN1404" s="156"/>
      <c r="CO1404" s="156"/>
      <c r="CP1404" s="156"/>
      <c r="CQ1404" s="156"/>
      <c r="CR1404" s="156"/>
      <c r="CS1404" s="156"/>
      <c r="CT1404" s="156"/>
      <c r="CU1404" s="156"/>
      <c r="CV1404" s="156"/>
      <c r="CW1404" s="156"/>
      <c r="CX1404" s="156"/>
      <c r="CY1404" s="156"/>
      <c r="CZ1404" s="156"/>
      <c r="DA1404" s="156"/>
      <c r="DB1404" s="156"/>
      <c r="DC1404" s="156"/>
      <c r="DD1404" s="156"/>
      <c r="DE1404" s="156"/>
      <c r="DF1404" s="156"/>
      <c r="DG1404" s="156"/>
      <c r="DH1404" s="156"/>
      <c r="DI1404" s="156"/>
      <c r="DJ1404" s="156"/>
      <c r="DK1404" s="156"/>
      <c r="DL1404" s="156"/>
      <c r="DM1404" s="156"/>
      <c r="DN1404" s="156"/>
      <c r="DO1404" s="156"/>
      <c r="DP1404" s="156"/>
      <c r="DQ1404" s="156"/>
      <c r="DR1404" s="156"/>
      <c r="DS1404" s="156"/>
      <c r="DT1404" s="156"/>
      <c r="DU1404" s="156"/>
      <c r="DV1404" s="156"/>
      <c r="DW1404" s="156"/>
      <c r="DX1404" s="156"/>
      <c r="DY1404" s="156"/>
      <c r="DZ1404" s="156"/>
      <c r="EA1404" s="156"/>
      <c r="EB1404" s="156"/>
      <c r="EC1404" s="156"/>
      <c r="ED1404" s="156"/>
      <c r="EE1404" s="156"/>
      <c r="EF1404" s="156"/>
      <c r="EG1404" s="156"/>
      <c r="EH1404" s="156"/>
      <c r="EI1404" s="156"/>
      <c r="EJ1404" s="156"/>
      <c r="EK1404" s="156"/>
      <c r="EL1404" s="156"/>
      <c r="EM1404" s="156"/>
    </row>
    <row r="1405" spans="20:143" ht="10.5" customHeight="1">
      <c r="T1405" s="156"/>
      <c r="AZ1405" s="156"/>
      <c r="BA1405" s="156"/>
      <c r="BB1405" s="156"/>
      <c r="BC1405" s="156"/>
      <c r="BD1405" s="156"/>
      <c r="BE1405" s="156"/>
      <c r="BF1405" s="156"/>
      <c r="BG1405" s="156"/>
      <c r="BH1405" s="156"/>
      <c r="BI1405" s="156"/>
      <c r="BJ1405" s="156"/>
      <c r="BK1405" s="156"/>
      <c r="BL1405" s="156"/>
      <c r="BM1405" s="156"/>
      <c r="BN1405" s="156"/>
      <c r="BO1405" s="156"/>
      <c r="BP1405" s="156"/>
      <c r="BQ1405" s="156"/>
      <c r="BR1405" s="156"/>
      <c r="BS1405" s="156"/>
      <c r="BT1405" s="156"/>
      <c r="BU1405" s="156"/>
      <c r="BV1405" s="156"/>
      <c r="BW1405" s="156"/>
      <c r="BX1405" s="156"/>
      <c r="BY1405" s="156"/>
      <c r="BZ1405" s="156"/>
      <c r="CA1405" s="156"/>
      <c r="CB1405" s="156"/>
      <c r="CC1405" s="156"/>
      <c r="CD1405" s="156"/>
      <c r="CE1405" s="156"/>
      <c r="CF1405" s="156"/>
      <c r="CG1405" s="156"/>
      <c r="CH1405" s="156"/>
      <c r="CI1405" s="156"/>
      <c r="CJ1405" s="156"/>
      <c r="CK1405" s="156"/>
      <c r="CL1405" s="156"/>
      <c r="CM1405" s="156"/>
      <c r="CN1405" s="156"/>
      <c r="CO1405" s="156"/>
      <c r="CP1405" s="156"/>
      <c r="CQ1405" s="156"/>
      <c r="CR1405" s="156"/>
      <c r="CS1405" s="156"/>
      <c r="CT1405" s="156"/>
      <c r="CU1405" s="156"/>
      <c r="CV1405" s="156"/>
      <c r="CW1405" s="156"/>
      <c r="CX1405" s="156"/>
      <c r="CY1405" s="156"/>
      <c r="CZ1405" s="156"/>
      <c r="DA1405" s="156"/>
      <c r="DB1405" s="156"/>
      <c r="DC1405" s="156"/>
      <c r="DD1405" s="156"/>
      <c r="DE1405" s="156"/>
      <c r="DF1405" s="156"/>
      <c r="DG1405" s="156"/>
      <c r="DH1405" s="156"/>
      <c r="DI1405" s="156"/>
      <c r="DJ1405" s="156"/>
      <c r="DK1405" s="156"/>
      <c r="DL1405" s="156"/>
      <c r="DM1405" s="156"/>
      <c r="DN1405" s="156"/>
      <c r="DO1405" s="156"/>
      <c r="DP1405" s="156"/>
      <c r="DQ1405" s="156"/>
      <c r="DR1405" s="156"/>
      <c r="DS1405" s="156"/>
      <c r="DT1405" s="156"/>
      <c r="DU1405" s="156"/>
      <c r="DV1405" s="156"/>
      <c r="DW1405" s="156"/>
      <c r="DX1405" s="156"/>
      <c r="DY1405" s="156"/>
      <c r="DZ1405" s="156"/>
      <c r="EA1405" s="156"/>
      <c r="EB1405" s="156"/>
      <c r="EC1405" s="156"/>
      <c r="ED1405" s="156"/>
      <c r="EE1405" s="156"/>
      <c r="EF1405" s="156"/>
      <c r="EG1405" s="156"/>
      <c r="EH1405" s="156"/>
      <c r="EI1405" s="156"/>
      <c r="EJ1405" s="156"/>
      <c r="EK1405" s="156"/>
      <c r="EL1405" s="156"/>
      <c r="EM1405" s="156"/>
    </row>
    <row r="1406" spans="20:143" ht="10.5" customHeight="1">
      <c r="T1406" s="156"/>
      <c r="AZ1406" s="156"/>
      <c r="BA1406" s="156"/>
      <c r="BB1406" s="156"/>
      <c r="BC1406" s="156"/>
      <c r="BD1406" s="156"/>
      <c r="BE1406" s="156"/>
      <c r="BF1406" s="156"/>
      <c r="BG1406" s="156"/>
      <c r="BH1406" s="156"/>
      <c r="BI1406" s="156"/>
      <c r="BJ1406" s="156"/>
      <c r="BK1406" s="156"/>
      <c r="BL1406" s="156"/>
      <c r="BM1406" s="156"/>
      <c r="BN1406" s="156"/>
      <c r="BO1406" s="156"/>
      <c r="BP1406" s="156"/>
      <c r="BQ1406" s="156"/>
      <c r="BR1406" s="156"/>
      <c r="BS1406" s="156"/>
      <c r="BT1406" s="156"/>
      <c r="BU1406" s="156"/>
      <c r="BV1406" s="156"/>
      <c r="BW1406" s="156"/>
      <c r="BX1406" s="156"/>
      <c r="BY1406" s="156"/>
      <c r="BZ1406" s="156"/>
      <c r="CA1406" s="156"/>
      <c r="CB1406" s="156"/>
      <c r="CC1406" s="156"/>
      <c r="CD1406" s="156"/>
      <c r="CE1406" s="156"/>
      <c r="CF1406" s="156"/>
      <c r="CG1406" s="156"/>
      <c r="CH1406" s="156"/>
      <c r="CI1406" s="156"/>
      <c r="CJ1406" s="156"/>
      <c r="CK1406" s="156"/>
      <c r="CL1406" s="156"/>
      <c r="CM1406" s="156"/>
      <c r="CN1406" s="156"/>
      <c r="CO1406" s="156"/>
      <c r="CP1406" s="156"/>
      <c r="CQ1406" s="156"/>
      <c r="CR1406" s="156"/>
      <c r="CS1406" s="156"/>
      <c r="CT1406" s="156"/>
      <c r="CU1406" s="156"/>
      <c r="CV1406" s="156"/>
      <c r="CW1406" s="156"/>
      <c r="CX1406" s="156"/>
      <c r="CY1406" s="156"/>
      <c r="CZ1406" s="156"/>
      <c r="DA1406" s="156"/>
      <c r="DB1406" s="156"/>
      <c r="DC1406" s="156"/>
      <c r="DD1406" s="156"/>
      <c r="DE1406" s="156"/>
      <c r="DF1406" s="156"/>
      <c r="DG1406" s="156"/>
      <c r="DH1406" s="156"/>
      <c r="DI1406" s="156"/>
      <c r="DJ1406" s="156"/>
      <c r="DK1406" s="156"/>
      <c r="DL1406" s="156"/>
      <c r="DM1406" s="156"/>
      <c r="DN1406" s="156"/>
      <c r="DO1406" s="156"/>
      <c r="DP1406" s="156"/>
      <c r="DQ1406" s="156"/>
      <c r="DR1406" s="156"/>
      <c r="DS1406" s="156"/>
      <c r="DT1406" s="156"/>
      <c r="DU1406" s="156"/>
      <c r="DV1406" s="156"/>
      <c r="DW1406" s="156"/>
      <c r="DX1406" s="156"/>
      <c r="DY1406" s="156"/>
      <c r="DZ1406" s="156"/>
      <c r="EA1406" s="156"/>
      <c r="EB1406" s="156"/>
      <c r="EC1406" s="156"/>
      <c r="ED1406" s="156"/>
      <c r="EE1406" s="156"/>
      <c r="EF1406" s="156"/>
      <c r="EG1406" s="156"/>
      <c r="EH1406" s="156"/>
      <c r="EI1406" s="156"/>
      <c r="EJ1406" s="156"/>
      <c r="EK1406" s="156"/>
      <c r="EL1406" s="156"/>
      <c r="EM1406" s="156"/>
    </row>
    <row r="1407" spans="20:143" ht="10.5" customHeight="1">
      <c r="T1407" s="156"/>
      <c r="AZ1407" s="156"/>
      <c r="BA1407" s="156"/>
      <c r="BB1407" s="156"/>
      <c r="BC1407" s="156"/>
      <c r="BD1407" s="156"/>
      <c r="BE1407" s="156"/>
      <c r="BF1407" s="156"/>
      <c r="BG1407" s="156"/>
      <c r="BH1407" s="156"/>
      <c r="BI1407" s="156"/>
      <c r="BJ1407" s="156"/>
      <c r="BK1407" s="156"/>
      <c r="BL1407" s="156"/>
      <c r="BM1407" s="156"/>
      <c r="BN1407" s="156"/>
      <c r="BO1407" s="156"/>
      <c r="BP1407" s="156"/>
      <c r="BQ1407" s="156"/>
      <c r="BR1407" s="156"/>
      <c r="BS1407" s="156"/>
      <c r="BT1407" s="156"/>
      <c r="BU1407" s="156"/>
      <c r="BV1407" s="156"/>
      <c r="BW1407" s="156"/>
      <c r="BX1407" s="156"/>
      <c r="BY1407" s="156"/>
      <c r="BZ1407" s="156"/>
      <c r="CA1407" s="156"/>
      <c r="CB1407" s="156"/>
      <c r="CC1407" s="156"/>
      <c r="CD1407" s="156"/>
      <c r="CE1407" s="156"/>
      <c r="CF1407" s="156"/>
      <c r="CG1407" s="156"/>
      <c r="CH1407" s="156"/>
      <c r="CI1407" s="156"/>
      <c r="CJ1407" s="156"/>
      <c r="CK1407" s="156"/>
      <c r="CL1407" s="156"/>
      <c r="CM1407" s="156"/>
      <c r="CN1407" s="156"/>
      <c r="CO1407" s="156"/>
      <c r="CP1407" s="156"/>
      <c r="CQ1407" s="156"/>
      <c r="CR1407" s="156"/>
      <c r="CS1407" s="156"/>
      <c r="CT1407" s="156"/>
      <c r="CU1407" s="156"/>
      <c r="CV1407" s="156"/>
      <c r="CW1407" s="156"/>
      <c r="CX1407" s="156"/>
      <c r="CY1407" s="156"/>
      <c r="CZ1407" s="156"/>
      <c r="DA1407" s="156"/>
      <c r="DB1407" s="156"/>
      <c r="DC1407" s="156"/>
      <c r="DD1407" s="156"/>
      <c r="DE1407" s="156"/>
      <c r="DF1407" s="156"/>
      <c r="DG1407" s="156"/>
      <c r="DH1407" s="156"/>
      <c r="DI1407" s="156"/>
      <c r="DJ1407" s="156"/>
      <c r="DK1407" s="156"/>
      <c r="DL1407" s="156"/>
      <c r="DM1407" s="156"/>
      <c r="DN1407" s="156"/>
      <c r="DO1407" s="156"/>
      <c r="DP1407" s="156"/>
      <c r="DQ1407" s="156"/>
      <c r="DR1407" s="156"/>
      <c r="DS1407" s="156"/>
      <c r="DT1407" s="156"/>
      <c r="DU1407" s="156"/>
      <c r="DV1407" s="156"/>
      <c r="DW1407" s="156"/>
      <c r="DX1407" s="156"/>
      <c r="DY1407" s="156"/>
      <c r="DZ1407" s="156"/>
      <c r="EA1407" s="156"/>
      <c r="EB1407" s="156"/>
      <c r="EC1407" s="156"/>
      <c r="ED1407" s="156"/>
      <c r="EE1407" s="156"/>
      <c r="EF1407" s="156"/>
      <c r="EG1407" s="156"/>
      <c r="EH1407" s="156"/>
      <c r="EI1407" s="156"/>
      <c r="EJ1407" s="156"/>
      <c r="EK1407" s="156"/>
      <c r="EL1407" s="156"/>
      <c r="EM1407" s="156"/>
    </row>
    <row r="1408" spans="20:143" ht="10.5" customHeight="1">
      <c r="T1408" s="156"/>
      <c r="AZ1408" s="156"/>
      <c r="BA1408" s="156"/>
      <c r="BB1408" s="156"/>
      <c r="BC1408" s="156"/>
      <c r="BD1408" s="156"/>
      <c r="BE1408" s="156"/>
      <c r="BF1408" s="156"/>
      <c r="BG1408" s="156"/>
      <c r="BH1408" s="156"/>
      <c r="BI1408" s="156"/>
      <c r="BJ1408" s="156"/>
      <c r="BK1408" s="156"/>
      <c r="BL1408" s="156"/>
      <c r="BM1408" s="156"/>
      <c r="BN1408" s="156"/>
      <c r="BO1408" s="156"/>
      <c r="BP1408" s="156"/>
      <c r="BQ1408" s="156"/>
      <c r="BR1408" s="156"/>
      <c r="BS1408" s="156"/>
      <c r="BT1408" s="156"/>
      <c r="BU1408" s="156"/>
      <c r="BV1408" s="156"/>
      <c r="BW1408" s="156"/>
      <c r="BX1408" s="156"/>
      <c r="BY1408" s="156"/>
      <c r="BZ1408" s="156"/>
      <c r="CA1408" s="156"/>
      <c r="CB1408" s="156"/>
      <c r="CC1408" s="156"/>
      <c r="CD1408" s="156"/>
      <c r="CE1408" s="156"/>
      <c r="CF1408" s="156"/>
      <c r="CG1408" s="156"/>
      <c r="CH1408" s="156"/>
      <c r="CI1408" s="156"/>
      <c r="CJ1408" s="156"/>
      <c r="CK1408" s="156"/>
      <c r="CL1408" s="156"/>
      <c r="CM1408" s="156"/>
      <c r="CN1408" s="156"/>
      <c r="CO1408" s="156"/>
      <c r="CP1408" s="156"/>
      <c r="CQ1408" s="156"/>
      <c r="CR1408" s="156"/>
      <c r="CS1408" s="156"/>
      <c r="CT1408" s="156"/>
      <c r="CU1408" s="156"/>
      <c r="CV1408" s="156"/>
      <c r="CW1408" s="156"/>
      <c r="CX1408" s="156"/>
      <c r="CY1408" s="156"/>
      <c r="CZ1408" s="156"/>
      <c r="DA1408" s="156"/>
      <c r="DB1408" s="156"/>
      <c r="DC1408" s="156"/>
      <c r="DD1408" s="156"/>
      <c r="DE1408" s="156"/>
      <c r="DF1408" s="156"/>
      <c r="DG1408" s="156"/>
      <c r="DH1408" s="156"/>
      <c r="DI1408" s="156"/>
      <c r="DJ1408" s="156"/>
      <c r="DK1408" s="156"/>
      <c r="DL1408" s="156"/>
      <c r="DM1408" s="156"/>
      <c r="DN1408" s="156"/>
      <c r="DO1408" s="156"/>
      <c r="DP1408" s="156"/>
      <c r="DQ1408" s="156"/>
      <c r="DR1408" s="156"/>
      <c r="DS1408" s="156"/>
      <c r="DT1408" s="156"/>
      <c r="DU1408" s="156"/>
      <c r="DV1408" s="156"/>
      <c r="DW1408" s="156"/>
      <c r="DX1408" s="156"/>
      <c r="DY1408" s="156"/>
      <c r="DZ1408" s="156"/>
      <c r="EA1408" s="156"/>
      <c r="EB1408" s="156"/>
      <c r="EC1408" s="156"/>
      <c r="ED1408" s="156"/>
      <c r="EE1408" s="156"/>
      <c r="EF1408" s="156"/>
      <c r="EG1408" s="156"/>
      <c r="EH1408" s="156"/>
      <c r="EI1408" s="156"/>
      <c r="EJ1408" s="156"/>
      <c r="EK1408" s="156"/>
      <c r="EL1408" s="156"/>
      <c r="EM1408" s="156"/>
    </row>
    <row r="1409" spans="20:143" ht="10.5" customHeight="1">
      <c r="T1409" s="156"/>
      <c r="AZ1409" s="156"/>
      <c r="BA1409" s="156"/>
      <c r="BB1409" s="156"/>
      <c r="BC1409" s="156"/>
      <c r="BD1409" s="156"/>
      <c r="BE1409" s="156"/>
      <c r="BF1409" s="156"/>
      <c r="BG1409" s="156"/>
      <c r="BH1409" s="156"/>
      <c r="BI1409" s="156"/>
      <c r="BJ1409" s="156"/>
      <c r="BK1409" s="156"/>
      <c r="BL1409" s="156"/>
      <c r="BM1409" s="156"/>
      <c r="BN1409" s="156"/>
      <c r="BO1409" s="156"/>
      <c r="BP1409" s="156"/>
      <c r="BQ1409" s="156"/>
      <c r="BR1409" s="156"/>
      <c r="BS1409" s="156"/>
      <c r="BT1409" s="156"/>
      <c r="BU1409" s="156"/>
      <c r="BV1409" s="156"/>
      <c r="BW1409" s="156"/>
      <c r="BX1409" s="156"/>
      <c r="BY1409" s="156"/>
      <c r="BZ1409" s="156"/>
      <c r="CA1409" s="156"/>
      <c r="CB1409" s="156"/>
      <c r="CC1409" s="156"/>
      <c r="CD1409" s="156"/>
      <c r="CE1409" s="156"/>
      <c r="CF1409" s="156"/>
      <c r="CG1409" s="156"/>
      <c r="CH1409" s="156"/>
      <c r="CI1409" s="156"/>
      <c r="CJ1409" s="156"/>
      <c r="CK1409" s="156"/>
      <c r="CL1409" s="156"/>
      <c r="CM1409" s="156"/>
      <c r="CN1409" s="156"/>
      <c r="CO1409" s="156"/>
      <c r="CP1409" s="156"/>
      <c r="CQ1409" s="156"/>
      <c r="CR1409" s="156"/>
      <c r="CS1409" s="156"/>
      <c r="CT1409" s="156"/>
      <c r="CU1409" s="156"/>
      <c r="CV1409" s="156"/>
      <c r="CW1409" s="156"/>
      <c r="CX1409" s="156"/>
      <c r="CY1409" s="156"/>
      <c r="CZ1409" s="156"/>
      <c r="DA1409" s="156"/>
      <c r="DB1409" s="156"/>
      <c r="DC1409" s="156"/>
      <c r="DD1409" s="156"/>
      <c r="DE1409" s="156"/>
      <c r="DF1409" s="156"/>
      <c r="DG1409" s="156"/>
      <c r="DH1409" s="156"/>
      <c r="DI1409" s="156"/>
      <c r="DJ1409" s="156"/>
      <c r="DK1409" s="156"/>
      <c r="DL1409" s="156"/>
      <c r="DM1409" s="156"/>
      <c r="DN1409" s="156"/>
      <c r="DO1409" s="156"/>
      <c r="DP1409" s="156"/>
      <c r="DQ1409" s="156"/>
      <c r="DR1409" s="156"/>
      <c r="DS1409" s="156"/>
      <c r="DT1409" s="156"/>
      <c r="DU1409" s="156"/>
      <c r="DV1409" s="156"/>
      <c r="DW1409" s="156"/>
      <c r="DX1409" s="156"/>
      <c r="DY1409" s="156"/>
      <c r="DZ1409" s="156"/>
      <c r="EA1409" s="156"/>
      <c r="EB1409" s="156"/>
      <c r="EC1409" s="156"/>
      <c r="ED1409" s="156"/>
      <c r="EE1409" s="156"/>
      <c r="EF1409" s="156"/>
      <c r="EG1409" s="156"/>
      <c r="EH1409" s="156"/>
      <c r="EI1409" s="156"/>
      <c r="EJ1409" s="156"/>
      <c r="EK1409" s="156"/>
      <c r="EL1409" s="156"/>
      <c r="EM1409" s="156"/>
    </row>
    <row r="1410" spans="20:143" ht="10.5" customHeight="1">
      <c r="T1410" s="156"/>
      <c r="AZ1410" s="156"/>
      <c r="BA1410" s="156"/>
      <c r="BB1410" s="156"/>
      <c r="BC1410" s="156"/>
      <c r="BD1410" s="156"/>
      <c r="BE1410" s="156"/>
      <c r="BF1410" s="156"/>
      <c r="BG1410" s="156"/>
      <c r="BH1410" s="156"/>
      <c r="BI1410" s="156"/>
      <c r="BJ1410" s="156"/>
      <c r="BK1410" s="156"/>
      <c r="BL1410" s="156"/>
      <c r="BM1410" s="156"/>
      <c r="BN1410" s="156"/>
      <c r="BO1410" s="156"/>
      <c r="BP1410" s="156"/>
      <c r="BQ1410" s="156"/>
      <c r="BR1410" s="156"/>
      <c r="BS1410" s="156"/>
      <c r="BT1410" s="156"/>
      <c r="BU1410" s="156"/>
      <c r="BV1410" s="156"/>
      <c r="BW1410" s="156"/>
      <c r="BX1410" s="156"/>
      <c r="BY1410" s="156"/>
      <c r="BZ1410" s="156"/>
      <c r="CA1410" s="156"/>
      <c r="CB1410" s="156"/>
      <c r="CC1410" s="156"/>
      <c r="CD1410" s="156"/>
      <c r="CE1410" s="156"/>
      <c r="CF1410" s="156"/>
      <c r="CG1410" s="156"/>
      <c r="CH1410" s="156"/>
      <c r="CI1410" s="156"/>
      <c r="CJ1410" s="156"/>
      <c r="CK1410" s="156"/>
      <c r="CL1410" s="156"/>
      <c r="CM1410" s="156"/>
      <c r="CN1410" s="156"/>
      <c r="CO1410" s="156"/>
      <c r="CP1410" s="156"/>
      <c r="CQ1410" s="156"/>
      <c r="CR1410" s="156"/>
      <c r="CS1410" s="156"/>
      <c r="CT1410" s="156"/>
      <c r="CU1410" s="156"/>
      <c r="CV1410" s="156"/>
      <c r="CW1410" s="156"/>
      <c r="CX1410" s="156"/>
      <c r="CY1410" s="156"/>
      <c r="CZ1410" s="156"/>
      <c r="DA1410" s="156"/>
      <c r="DB1410" s="156"/>
      <c r="DC1410" s="156"/>
      <c r="DD1410" s="156"/>
      <c r="DE1410" s="156"/>
      <c r="DF1410" s="156"/>
      <c r="DG1410" s="156"/>
      <c r="DH1410" s="156"/>
      <c r="DI1410" s="156"/>
      <c r="DJ1410" s="156"/>
      <c r="DK1410" s="156"/>
      <c r="DL1410" s="156"/>
      <c r="DM1410" s="156"/>
      <c r="DN1410" s="156"/>
      <c r="DO1410" s="156"/>
      <c r="DP1410" s="156"/>
      <c r="DQ1410" s="156"/>
      <c r="DR1410" s="156"/>
      <c r="DS1410" s="156"/>
      <c r="DT1410" s="156"/>
      <c r="DU1410" s="156"/>
      <c r="DV1410" s="156"/>
      <c r="DW1410" s="156"/>
      <c r="DX1410" s="156"/>
      <c r="DY1410" s="156"/>
      <c r="DZ1410" s="156"/>
      <c r="EA1410" s="156"/>
      <c r="EB1410" s="156"/>
      <c r="EC1410" s="156"/>
      <c r="ED1410" s="156"/>
      <c r="EE1410" s="156"/>
      <c r="EF1410" s="156"/>
      <c r="EG1410" s="156"/>
      <c r="EH1410" s="156"/>
      <c r="EI1410" s="156"/>
      <c r="EJ1410" s="156"/>
      <c r="EK1410" s="156"/>
      <c r="EL1410" s="156"/>
      <c r="EM1410" s="156"/>
    </row>
    <row r="1411" spans="20:143" ht="10.5" customHeight="1">
      <c r="T1411" s="156"/>
      <c r="AZ1411" s="156"/>
      <c r="BA1411" s="156"/>
      <c r="BB1411" s="156"/>
      <c r="BC1411" s="156"/>
      <c r="BD1411" s="156"/>
      <c r="BE1411" s="156"/>
      <c r="BF1411" s="156"/>
      <c r="BG1411" s="156"/>
      <c r="BH1411" s="156"/>
      <c r="BI1411" s="156"/>
      <c r="BJ1411" s="156"/>
      <c r="BK1411" s="156"/>
      <c r="BL1411" s="156"/>
      <c r="BM1411" s="156"/>
      <c r="BN1411" s="156"/>
      <c r="BO1411" s="156"/>
      <c r="BP1411" s="156"/>
      <c r="BQ1411" s="156"/>
      <c r="BR1411" s="156"/>
      <c r="BS1411" s="156"/>
      <c r="BT1411" s="156"/>
      <c r="BU1411" s="156"/>
      <c r="BV1411" s="156"/>
      <c r="BW1411" s="156"/>
      <c r="BX1411" s="156"/>
      <c r="BY1411" s="156"/>
      <c r="BZ1411" s="156"/>
      <c r="CA1411" s="156"/>
      <c r="CB1411" s="156"/>
      <c r="CC1411" s="156"/>
      <c r="CD1411" s="156"/>
      <c r="CE1411" s="156"/>
      <c r="CF1411" s="156"/>
      <c r="CG1411" s="156"/>
      <c r="CH1411" s="156"/>
      <c r="CI1411" s="156"/>
      <c r="CJ1411" s="156"/>
      <c r="CK1411" s="156"/>
      <c r="CL1411" s="156"/>
      <c r="CM1411" s="156"/>
      <c r="CN1411" s="156"/>
      <c r="CO1411" s="156"/>
      <c r="CP1411" s="156"/>
      <c r="CQ1411" s="156"/>
      <c r="CR1411" s="156"/>
      <c r="CS1411" s="156"/>
      <c r="CT1411" s="156"/>
      <c r="CU1411" s="156"/>
      <c r="CV1411" s="156"/>
      <c r="CW1411" s="156"/>
      <c r="CX1411" s="156"/>
      <c r="CY1411" s="156"/>
      <c r="CZ1411" s="156"/>
      <c r="DA1411" s="156"/>
      <c r="DB1411" s="156"/>
      <c r="DC1411" s="156"/>
      <c r="DD1411" s="156"/>
      <c r="DE1411" s="156"/>
      <c r="DF1411" s="156"/>
      <c r="DG1411" s="156"/>
      <c r="DH1411" s="156"/>
      <c r="DI1411" s="156"/>
      <c r="DJ1411" s="156"/>
      <c r="DK1411" s="156"/>
      <c r="DL1411" s="156"/>
      <c r="DM1411" s="156"/>
      <c r="DN1411" s="156"/>
      <c r="DO1411" s="156"/>
      <c r="DP1411" s="156"/>
      <c r="DQ1411" s="156"/>
      <c r="DR1411" s="156"/>
      <c r="DS1411" s="156"/>
      <c r="DT1411" s="156"/>
      <c r="DU1411" s="156"/>
      <c r="DV1411" s="156"/>
      <c r="DW1411" s="156"/>
      <c r="DX1411" s="156"/>
      <c r="DY1411" s="156"/>
      <c r="DZ1411" s="156"/>
      <c r="EA1411" s="156"/>
      <c r="EB1411" s="156"/>
      <c r="EC1411" s="156"/>
      <c r="ED1411" s="156"/>
      <c r="EE1411" s="156"/>
      <c r="EF1411" s="156"/>
      <c r="EG1411" s="156"/>
      <c r="EH1411" s="156"/>
      <c r="EI1411" s="156"/>
      <c r="EJ1411" s="156"/>
      <c r="EK1411" s="156"/>
      <c r="EL1411" s="156"/>
      <c r="EM1411" s="156"/>
    </row>
    <row r="1412" spans="20:143" ht="10.5" customHeight="1">
      <c r="T1412" s="156"/>
      <c r="AZ1412" s="156"/>
      <c r="BA1412" s="156"/>
      <c r="BB1412" s="156"/>
      <c r="BC1412" s="156"/>
      <c r="BD1412" s="156"/>
      <c r="BE1412" s="156"/>
      <c r="BF1412" s="156"/>
      <c r="BG1412" s="156"/>
      <c r="BH1412" s="156"/>
      <c r="BI1412" s="156"/>
      <c r="BJ1412" s="156"/>
      <c r="BK1412" s="156"/>
      <c r="BL1412" s="156"/>
      <c r="BM1412" s="156"/>
      <c r="BN1412" s="156"/>
      <c r="BO1412" s="156"/>
      <c r="BP1412" s="156"/>
      <c r="BQ1412" s="156"/>
      <c r="BR1412" s="156"/>
      <c r="BS1412" s="156"/>
      <c r="BT1412" s="156"/>
      <c r="BU1412" s="156"/>
      <c r="BV1412" s="156"/>
      <c r="BW1412" s="156"/>
      <c r="BX1412" s="156"/>
      <c r="BY1412" s="156"/>
      <c r="BZ1412" s="156"/>
      <c r="CA1412" s="156"/>
      <c r="CB1412" s="156"/>
      <c r="CC1412" s="156"/>
      <c r="CD1412" s="156"/>
      <c r="CE1412" s="156"/>
      <c r="CF1412" s="156"/>
      <c r="CG1412" s="156"/>
      <c r="CH1412" s="156"/>
      <c r="CI1412" s="156"/>
      <c r="CJ1412" s="156"/>
      <c r="CK1412" s="156"/>
      <c r="CL1412" s="156"/>
      <c r="CM1412" s="156"/>
      <c r="CN1412" s="156"/>
      <c r="CO1412" s="156"/>
      <c r="CP1412" s="156"/>
      <c r="CQ1412" s="156"/>
      <c r="CR1412" s="156"/>
      <c r="CS1412" s="156"/>
      <c r="CT1412" s="156"/>
      <c r="CU1412" s="156"/>
      <c r="CV1412" s="156"/>
      <c r="CW1412" s="156"/>
      <c r="CX1412" s="156"/>
      <c r="CY1412" s="156"/>
      <c r="CZ1412" s="156"/>
      <c r="DA1412" s="156"/>
      <c r="DB1412" s="156"/>
      <c r="DC1412" s="156"/>
      <c r="DD1412" s="156"/>
      <c r="DE1412" s="156"/>
      <c r="DF1412" s="156"/>
      <c r="DG1412" s="156"/>
      <c r="DH1412" s="156"/>
      <c r="DI1412" s="156"/>
      <c r="DJ1412" s="156"/>
      <c r="DK1412" s="156"/>
      <c r="DL1412" s="156"/>
      <c r="DM1412" s="156"/>
      <c r="DN1412" s="156"/>
      <c r="DO1412" s="156"/>
      <c r="DP1412" s="156"/>
      <c r="DQ1412" s="156"/>
      <c r="DR1412" s="156"/>
      <c r="DS1412" s="156"/>
      <c r="DT1412" s="156"/>
      <c r="DU1412" s="156"/>
      <c r="DV1412" s="156"/>
      <c r="DW1412" s="156"/>
      <c r="DX1412" s="156"/>
      <c r="DY1412" s="156"/>
      <c r="DZ1412" s="156"/>
      <c r="EA1412" s="156"/>
      <c r="EB1412" s="156"/>
      <c r="EC1412" s="156"/>
      <c r="ED1412" s="156"/>
      <c r="EE1412" s="156"/>
      <c r="EF1412" s="156"/>
      <c r="EG1412" s="156"/>
      <c r="EH1412" s="156"/>
      <c r="EI1412" s="156"/>
      <c r="EJ1412" s="156"/>
      <c r="EK1412" s="156"/>
      <c r="EL1412" s="156"/>
      <c r="EM1412" s="156"/>
    </row>
    <row r="1413" spans="20:143" ht="10.5" customHeight="1">
      <c r="T1413" s="156"/>
      <c r="AZ1413" s="156"/>
      <c r="BA1413" s="156"/>
      <c r="BB1413" s="156"/>
      <c r="BC1413" s="156"/>
      <c r="BD1413" s="156"/>
      <c r="BE1413" s="156"/>
      <c r="BF1413" s="156"/>
      <c r="BG1413" s="156"/>
      <c r="BH1413" s="156"/>
      <c r="BI1413" s="156"/>
      <c r="BJ1413" s="156"/>
      <c r="BK1413" s="156"/>
      <c r="BL1413" s="156"/>
      <c r="BM1413" s="156"/>
      <c r="BN1413" s="156"/>
      <c r="BO1413" s="156"/>
      <c r="BP1413" s="156"/>
      <c r="BQ1413" s="156"/>
      <c r="BR1413" s="156"/>
      <c r="BS1413" s="156"/>
      <c r="BT1413" s="156"/>
      <c r="BU1413" s="156"/>
      <c r="BV1413" s="156"/>
      <c r="BW1413" s="156"/>
      <c r="BX1413" s="156"/>
      <c r="BY1413" s="156"/>
      <c r="BZ1413" s="156"/>
      <c r="CA1413" s="156"/>
      <c r="CB1413" s="156"/>
      <c r="CC1413" s="156"/>
      <c r="CD1413" s="156"/>
      <c r="CE1413" s="156"/>
      <c r="CF1413" s="156"/>
      <c r="CG1413" s="156"/>
      <c r="CH1413" s="156"/>
      <c r="CI1413" s="156"/>
      <c r="CJ1413" s="156"/>
      <c r="CK1413" s="156"/>
      <c r="CL1413" s="156"/>
      <c r="CM1413" s="156"/>
      <c r="CN1413" s="156"/>
      <c r="CO1413" s="156"/>
      <c r="CP1413" s="156"/>
      <c r="CQ1413" s="156"/>
      <c r="CR1413" s="156"/>
      <c r="CS1413" s="156"/>
      <c r="CT1413" s="156"/>
      <c r="CU1413" s="156"/>
      <c r="CV1413" s="156"/>
      <c r="CW1413" s="156"/>
      <c r="CX1413" s="156"/>
      <c r="CY1413" s="156"/>
      <c r="CZ1413" s="156"/>
      <c r="DA1413" s="156"/>
      <c r="DB1413" s="156"/>
      <c r="DC1413" s="156"/>
      <c r="DD1413" s="156"/>
      <c r="DE1413" s="156"/>
      <c r="DF1413" s="156"/>
      <c r="DG1413" s="156"/>
      <c r="DH1413" s="156"/>
      <c r="DI1413" s="156"/>
      <c r="DJ1413" s="156"/>
      <c r="DK1413" s="156"/>
      <c r="DL1413" s="156"/>
      <c r="DM1413" s="156"/>
      <c r="DN1413" s="156"/>
      <c r="DO1413" s="156"/>
      <c r="DP1413" s="156"/>
      <c r="DQ1413" s="156"/>
      <c r="DR1413" s="156"/>
      <c r="DS1413" s="156"/>
      <c r="DT1413" s="156"/>
      <c r="DU1413" s="156"/>
      <c r="DV1413" s="156"/>
      <c r="DW1413" s="156"/>
      <c r="DX1413" s="156"/>
      <c r="DY1413" s="156"/>
      <c r="DZ1413" s="156"/>
      <c r="EA1413" s="156"/>
      <c r="EB1413" s="156"/>
      <c r="EC1413" s="156"/>
      <c r="ED1413" s="156"/>
      <c r="EE1413" s="156"/>
      <c r="EF1413" s="156"/>
      <c r="EG1413" s="156"/>
      <c r="EH1413" s="156"/>
      <c r="EI1413" s="156"/>
      <c r="EJ1413" s="156"/>
      <c r="EK1413" s="156"/>
      <c r="EL1413" s="156"/>
      <c r="EM1413" s="156"/>
    </row>
    <row r="1414" spans="20:143" ht="10.5" customHeight="1">
      <c r="T1414" s="156"/>
      <c r="AZ1414" s="156"/>
      <c r="BA1414" s="156"/>
      <c r="BB1414" s="156"/>
      <c r="BC1414" s="156"/>
      <c r="BD1414" s="156"/>
      <c r="BE1414" s="156"/>
      <c r="BF1414" s="156"/>
      <c r="BG1414" s="156"/>
      <c r="BH1414" s="156"/>
      <c r="BI1414" s="156"/>
      <c r="BJ1414" s="156"/>
      <c r="BK1414" s="156"/>
      <c r="BL1414" s="156"/>
      <c r="BM1414" s="156"/>
      <c r="BN1414" s="156"/>
      <c r="BO1414" s="156"/>
      <c r="BP1414" s="156"/>
      <c r="BQ1414" s="156"/>
      <c r="BR1414" s="156"/>
      <c r="BS1414" s="156"/>
      <c r="BT1414" s="156"/>
      <c r="BU1414" s="156"/>
      <c r="BV1414" s="156"/>
      <c r="BW1414" s="156"/>
      <c r="BX1414" s="156"/>
      <c r="BY1414" s="156"/>
      <c r="BZ1414" s="156"/>
      <c r="CA1414" s="156"/>
      <c r="CB1414" s="156"/>
      <c r="CC1414" s="156"/>
      <c r="CD1414" s="156"/>
      <c r="CE1414" s="156"/>
      <c r="CF1414" s="156"/>
      <c r="CG1414" s="156"/>
      <c r="CH1414" s="156"/>
      <c r="CI1414" s="156"/>
      <c r="CJ1414" s="156"/>
      <c r="CK1414" s="156"/>
      <c r="CL1414" s="156"/>
      <c r="CM1414" s="156"/>
      <c r="CN1414" s="156"/>
      <c r="CO1414" s="156"/>
      <c r="CP1414" s="156"/>
      <c r="CQ1414" s="156"/>
      <c r="CR1414" s="156"/>
      <c r="CS1414" s="156"/>
      <c r="CT1414" s="156"/>
      <c r="CU1414" s="156"/>
      <c r="CV1414" s="156"/>
      <c r="CW1414" s="156"/>
      <c r="CX1414" s="156"/>
      <c r="CY1414" s="156"/>
      <c r="CZ1414" s="156"/>
      <c r="DA1414" s="156"/>
      <c r="DB1414" s="156"/>
      <c r="DC1414" s="156"/>
      <c r="DD1414" s="156"/>
      <c r="DE1414" s="156"/>
      <c r="DF1414" s="156"/>
      <c r="DG1414" s="156"/>
      <c r="DH1414" s="156"/>
      <c r="DI1414" s="156"/>
      <c r="DJ1414" s="156"/>
      <c r="DK1414" s="156"/>
      <c r="DL1414" s="156"/>
      <c r="DM1414" s="156"/>
      <c r="DN1414" s="156"/>
      <c r="DO1414" s="156"/>
      <c r="DP1414" s="156"/>
      <c r="DQ1414" s="156"/>
      <c r="DR1414" s="156"/>
      <c r="DS1414" s="156"/>
      <c r="DT1414" s="156"/>
      <c r="DU1414" s="156"/>
      <c r="DV1414" s="156"/>
      <c r="DW1414" s="156"/>
      <c r="DX1414" s="156"/>
      <c r="DY1414" s="156"/>
      <c r="DZ1414" s="156"/>
      <c r="EA1414" s="156"/>
      <c r="EB1414" s="156"/>
      <c r="EC1414" s="156"/>
      <c r="ED1414" s="156"/>
      <c r="EE1414" s="156"/>
      <c r="EF1414" s="156"/>
      <c r="EG1414" s="156"/>
      <c r="EH1414" s="156"/>
      <c r="EI1414" s="156"/>
      <c r="EJ1414" s="156"/>
      <c r="EK1414" s="156"/>
      <c r="EL1414" s="156"/>
      <c r="EM1414" s="156"/>
    </row>
    <row r="1415" spans="20:143" ht="10.5" customHeight="1">
      <c r="T1415" s="156"/>
      <c r="AZ1415" s="156"/>
      <c r="BA1415" s="156"/>
      <c r="BB1415" s="156"/>
      <c r="BC1415" s="156"/>
      <c r="BD1415" s="156"/>
      <c r="BE1415" s="156"/>
      <c r="BF1415" s="156"/>
      <c r="BG1415" s="156"/>
      <c r="BH1415" s="156"/>
      <c r="BI1415" s="156"/>
      <c r="BJ1415" s="156"/>
      <c r="BK1415" s="156"/>
      <c r="BL1415" s="156"/>
      <c r="BM1415" s="156"/>
      <c r="BN1415" s="156"/>
      <c r="BO1415" s="156"/>
      <c r="BP1415" s="156"/>
      <c r="BQ1415" s="156"/>
      <c r="BR1415" s="156"/>
      <c r="BS1415" s="156"/>
      <c r="BT1415" s="156"/>
      <c r="BU1415" s="156"/>
      <c r="BV1415" s="156"/>
      <c r="BW1415" s="156"/>
      <c r="BX1415" s="156"/>
      <c r="BY1415" s="156"/>
      <c r="BZ1415" s="156"/>
      <c r="CA1415" s="156"/>
      <c r="CB1415" s="156"/>
      <c r="CC1415" s="156"/>
      <c r="CD1415" s="156"/>
      <c r="CE1415" s="156"/>
      <c r="CF1415" s="156"/>
      <c r="CG1415" s="156"/>
      <c r="CH1415" s="156"/>
      <c r="CI1415" s="156"/>
      <c r="CJ1415" s="156"/>
      <c r="CK1415" s="156"/>
      <c r="CL1415" s="156"/>
      <c r="CM1415" s="156"/>
      <c r="CN1415" s="156"/>
      <c r="CO1415" s="156"/>
      <c r="CP1415" s="156"/>
      <c r="CQ1415" s="156"/>
      <c r="CR1415" s="156"/>
      <c r="CS1415" s="156"/>
      <c r="CT1415" s="156"/>
      <c r="CU1415" s="156"/>
      <c r="CV1415" s="156"/>
      <c r="CW1415" s="156"/>
      <c r="CX1415" s="156"/>
      <c r="CY1415" s="156"/>
      <c r="CZ1415" s="156"/>
      <c r="DA1415" s="156"/>
      <c r="DB1415" s="156"/>
      <c r="DC1415" s="156"/>
      <c r="DD1415" s="156"/>
      <c r="DE1415" s="156"/>
      <c r="DF1415" s="156"/>
      <c r="DG1415" s="156"/>
      <c r="DH1415" s="156"/>
      <c r="DI1415" s="156"/>
      <c r="DJ1415" s="156"/>
      <c r="DK1415" s="156"/>
      <c r="DL1415" s="156"/>
      <c r="DM1415" s="156"/>
      <c r="DN1415" s="156"/>
      <c r="DO1415" s="156"/>
      <c r="DP1415" s="156"/>
      <c r="DQ1415" s="156"/>
      <c r="DR1415" s="156"/>
      <c r="DS1415" s="156"/>
      <c r="DT1415" s="156"/>
      <c r="DU1415" s="156"/>
      <c r="DV1415" s="156"/>
      <c r="DW1415" s="156"/>
      <c r="DX1415" s="156"/>
      <c r="DY1415" s="156"/>
      <c r="DZ1415" s="156"/>
      <c r="EA1415" s="156"/>
      <c r="EB1415" s="156"/>
      <c r="EC1415" s="156"/>
      <c r="ED1415" s="156"/>
      <c r="EE1415" s="156"/>
      <c r="EF1415" s="156"/>
      <c r="EG1415" s="156"/>
      <c r="EH1415" s="156"/>
      <c r="EI1415" s="156"/>
      <c r="EJ1415" s="156"/>
      <c r="EK1415" s="156"/>
      <c r="EL1415" s="156"/>
      <c r="EM1415" s="156"/>
    </row>
    <row r="1416" spans="20:143" ht="10.5" customHeight="1">
      <c r="T1416" s="156"/>
      <c r="AZ1416" s="156"/>
      <c r="BA1416" s="156"/>
      <c r="BB1416" s="156"/>
      <c r="BC1416" s="156"/>
      <c r="BD1416" s="156"/>
      <c r="BE1416" s="156"/>
      <c r="BF1416" s="156"/>
      <c r="BG1416" s="156"/>
      <c r="BH1416" s="156"/>
      <c r="BI1416" s="156"/>
      <c r="BJ1416" s="156"/>
      <c r="BK1416" s="156"/>
      <c r="BL1416" s="156"/>
      <c r="BM1416" s="156"/>
      <c r="BN1416" s="156"/>
      <c r="BO1416" s="156"/>
      <c r="BP1416" s="156"/>
      <c r="BQ1416" s="156"/>
      <c r="BR1416" s="156"/>
      <c r="BS1416" s="156"/>
      <c r="BT1416" s="156"/>
      <c r="BU1416" s="156"/>
      <c r="BV1416" s="156"/>
      <c r="BW1416" s="156"/>
      <c r="BX1416" s="156"/>
      <c r="BY1416" s="156"/>
      <c r="BZ1416" s="156"/>
      <c r="CA1416" s="156"/>
      <c r="CB1416" s="156"/>
      <c r="CC1416" s="156"/>
      <c r="CD1416" s="156"/>
      <c r="CE1416" s="156"/>
      <c r="CF1416" s="156"/>
      <c r="CG1416" s="156"/>
      <c r="CH1416" s="156"/>
      <c r="CI1416" s="156"/>
      <c r="CJ1416" s="156"/>
      <c r="CK1416" s="156"/>
      <c r="CL1416" s="156"/>
      <c r="CM1416" s="156"/>
      <c r="CN1416" s="156"/>
      <c r="CO1416" s="156"/>
      <c r="CP1416" s="156"/>
      <c r="CQ1416" s="156"/>
      <c r="CR1416" s="156"/>
      <c r="CS1416" s="156"/>
      <c r="CT1416" s="156"/>
      <c r="CU1416" s="156"/>
      <c r="CV1416" s="156"/>
      <c r="CW1416" s="156"/>
      <c r="CX1416" s="156"/>
      <c r="CY1416" s="156"/>
      <c r="CZ1416" s="156"/>
      <c r="DA1416" s="156"/>
      <c r="DB1416" s="156"/>
      <c r="DC1416" s="156"/>
      <c r="DD1416" s="156"/>
      <c r="DE1416" s="156"/>
      <c r="DF1416" s="156"/>
      <c r="DG1416" s="156"/>
      <c r="DH1416" s="156"/>
      <c r="DI1416" s="156"/>
      <c r="DJ1416" s="156"/>
      <c r="DK1416" s="156"/>
      <c r="DL1416" s="156"/>
      <c r="DM1416" s="156"/>
      <c r="DN1416" s="156"/>
      <c r="DO1416" s="156"/>
      <c r="DP1416" s="156"/>
      <c r="DQ1416" s="156"/>
      <c r="DR1416" s="156"/>
      <c r="DS1416" s="156"/>
      <c r="DT1416" s="156"/>
      <c r="DU1416" s="156"/>
      <c r="DV1416" s="156"/>
      <c r="DW1416" s="156"/>
      <c r="DX1416" s="156"/>
      <c r="DY1416" s="156"/>
      <c r="DZ1416" s="156"/>
      <c r="EA1416" s="156"/>
      <c r="EB1416" s="156"/>
      <c r="EC1416" s="156"/>
      <c r="ED1416" s="156"/>
      <c r="EE1416" s="156"/>
      <c r="EF1416" s="156"/>
      <c r="EG1416" s="156"/>
      <c r="EH1416" s="156"/>
      <c r="EI1416" s="156"/>
      <c r="EJ1416" s="156"/>
      <c r="EK1416" s="156"/>
      <c r="EL1416" s="156"/>
      <c r="EM1416" s="156"/>
    </row>
    <row r="1417" spans="20:143" ht="10.5" customHeight="1">
      <c r="T1417" s="156"/>
      <c r="AZ1417" s="156"/>
      <c r="BA1417" s="156"/>
      <c r="BB1417" s="156"/>
      <c r="BC1417" s="156"/>
      <c r="BD1417" s="156"/>
      <c r="BE1417" s="156"/>
      <c r="BF1417" s="156"/>
      <c r="BG1417" s="156"/>
      <c r="BH1417" s="156"/>
      <c r="BI1417" s="156"/>
      <c r="BJ1417" s="156"/>
      <c r="BK1417" s="156"/>
      <c r="BL1417" s="156"/>
      <c r="BM1417" s="156"/>
      <c r="BN1417" s="156"/>
      <c r="BO1417" s="156"/>
      <c r="BP1417" s="156"/>
      <c r="BQ1417" s="156"/>
      <c r="BR1417" s="156"/>
      <c r="BS1417" s="156"/>
      <c r="BT1417" s="156"/>
      <c r="BU1417" s="156"/>
      <c r="BV1417" s="156"/>
      <c r="BW1417" s="156"/>
      <c r="BX1417" s="156"/>
      <c r="BY1417" s="156"/>
      <c r="BZ1417" s="156"/>
      <c r="CA1417" s="156"/>
      <c r="CB1417" s="156"/>
      <c r="CC1417" s="156"/>
      <c r="CD1417" s="156"/>
      <c r="CE1417" s="156"/>
      <c r="CF1417" s="156"/>
      <c r="CG1417" s="156"/>
      <c r="CH1417" s="156"/>
      <c r="CI1417" s="156"/>
      <c r="CJ1417" s="156"/>
      <c r="CK1417" s="156"/>
      <c r="CL1417" s="156"/>
      <c r="CM1417" s="156"/>
      <c r="CN1417" s="156"/>
      <c r="CO1417" s="156"/>
      <c r="CP1417" s="156"/>
      <c r="CQ1417" s="156"/>
      <c r="CR1417" s="156"/>
      <c r="CS1417" s="156"/>
      <c r="CT1417" s="156"/>
      <c r="CU1417" s="156"/>
      <c r="CV1417" s="156"/>
      <c r="CW1417" s="156"/>
      <c r="CX1417" s="156"/>
      <c r="CY1417" s="156"/>
      <c r="CZ1417" s="156"/>
      <c r="DA1417" s="156"/>
      <c r="DB1417" s="156"/>
      <c r="DC1417" s="156"/>
      <c r="DD1417" s="156"/>
      <c r="DE1417" s="156"/>
      <c r="DF1417" s="156"/>
      <c r="DG1417" s="156"/>
      <c r="DH1417" s="156"/>
      <c r="DI1417" s="156"/>
      <c r="DJ1417" s="156"/>
      <c r="DK1417" s="156"/>
      <c r="DL1417" s="156"/>
      <c r="DM1417" s="156"/>
      <c r="DN1417" s="156"/>
      <c r="DO1417" s="156"/>
      <c r="DP1417" s="156"/>
      <c r="DQ1417" s="156"/>
      <c r="DR1417" s="156"/>
      <c r="DS1417" s="156"/>
      <c r="DT1417" s="156"/>
      <c r="DU1417" s="156"/>
      <c r="DV1417" s="156"/>
      <c r="DW1417" s="156"/>
      <c r="DX1417" s="156"/>
      <c r="DY1417" s="156"/>
      <c r="DZ1417" s="156"/>
      <c r="EA1417" s="156"/>
      <c r="EB1417" s="156"/>
      <c r="EC1417" s="156"/>
      <c r="ED1417" s="156"/>
      <c r="EE1417" s="156"/>
      <c r="EF1417" s="156"/>
      <c r="EG1417" s="156"/>
      <c r="EH1417" s="156"/>
      <c r="EI1417" s="156"/>
      <c r="EJ1417" s="156"/>
      <c r="EK1417" s="156"/>
      <c r="EL1417" s="156"/>
      <c r="EM1417" s="156"/>
    </row>
    <row r="1418" spans="20:143" ht="10.5" customHeight="1">
      <c r="T1418" s="156"/>
      <c r="AZ1418" s="156"/>
      <c r="BA1418" s="156"/>
      <c r="BB1418" s="156"/>
      <c r="BC1418" s="156"/>
      <c r="BD1418" s="156"/>
      <c r="BE1418" s="156"/>
      <c r="BF1418" s="156"/>
      <c r="BG1418" s="156"/>
      <c r="BH1418" s="156"/>
      <c r="BI1418" s="156"/>
      <c r="BJ1418" s="156"/>
      <c r="BK1418" s="156"/>
      <c r="BL1418" s="156"/>
      <c r="BM1418" s="156"/>
      <c r="BN1418" s="156"/>
      <c r="BO1418" s="156"/>
      <c r="BP1418" s="156"/>
      <c r="BQ1418" s="156"/>
      <c r="BR1418" s="156"/>
      <c r="BS1418" s="156"/>
      <c r="BT1418" s="156"/>
      <c r="BU1418" s="156"/>
      <c r="BV1418" s="156"/>
      <c r="BW1418" s="156"/>
      <c r="BX1418" s="156"/>
      <c r="BY1418" s="156"/>
      <c r="BZ1418" s="156"/>
      <c r="CA1418" s="156"/>
      <c r="CB1418" s="156"/>
      <c r="CC1418" s="156"/>
      <c r="CD1418" s="156"/>
      <c r="CE1418" s="156"/>
      <c r="CF1418" s="156"/>
      <c r="CG1418" s="156"/>
      <c r="CH1418" s="156"/>
      <c r="CI1418" s="156"/>
      <c r="CJ1418" s="156"/>
      <c r="CK1418" s="156"/>
      <c r="CL1418" s="156"/>
      <c r="CM1418" s="156"/>
      <c r="CN1418" s="156"/>
      <c r="CO1418" s="156"/>
      <c r="CP1418" s="156"/>
      <c r="CQ1418" s="156"/>
      <c r="CR1418" s="156"/>
      <c r="CS1418" s="156"/>
      <c r="CT1418" s="156"/>
      <c r="CU1418" s="156"/>
      <c r="CV1418" s="156"/>
      <c r="CW1418" s="156"/>
      <c r="CX1418" s="156"/>
      <c r="CY1418" s="156"/>
      <c r="CZ1418" s="156"/>
      <c r="DA1418" s="156"/>
      <c r="DB1418" s="156"/>
      <c r="DC1418" s="156"/>
      <c r="DD1418" s="156"/>
      <c r="DE1418" s="156"/>
      <c r="DF1418" s="156"/>
      <c r="DG1418" s="156"/>
      <c r="DH1418" s="156"/>
      <c r="DI1418" s="156"/>
      <c r="DJ1418" s="156"/>
      <c r="DK1418" s="156"/>
      <c r="DL1418" s="156"/>
      <c r="DM1418" s="156"/>
      <c r="DN1418" s="156"/>
      <c r="DO1418" s="156"/>
      <c r="DP1418" s="156"/>
      <c r="DQ1418" s="156"/>
      <c r="DR1418" s="156"/>
      <c r="DS1418" s="156"/>
      <c r="DT1418" s="156"/>
      <c r="DU1418" s="156"/>
      <c r="DV1418" s="156"/>
      <c r="DW1418" s="156"/>
      <c r="DX1418" s="156"/>
      <c r="DY1418" s="156"/>
      <c r="DZ1418" s="156"/>
      <c r="EA1418" s="156"/>
      <c r="EB1418" s="156"/>
      <c r="EC1418" s="156"/>
      <c r="ED1418" s="156"/>
      <c r="EE1418" s="156"/>
      <c r="EF1418" s="156"/>
      <c r="EG1418" s="156"/>
      <c r="EH1418" s="156"/>
      <c r="EI1418" s="156"/>
      <c r="EJ1418" s="156"/>
      <c r="EK1418" s="156"/>
      <c r="EL1418" s="156"/>
      <c r="EM1418" s="156"/>
    </row>
    <row r="1419" spans="20:143" ht="10.5" customHeight="1">
      <c r="T1419" s="156"/>
      <c r="AZ1419" s="156"/>
      <c r="BA1419" s="156"/>
      <c r="BB1419" s="156"/>
      <c r="BC1419" s="156"/>
      <c r="BD1419" s="156"/>
      <c r="BE1419" s="156"/>
      <c r="BF1419" s="156"/>
      <c r="BG1419" s="156"/>
      <c r="BH1419" s="156"/>
      <c r="BI1419" s="156"/>
      <c r="BJ1419" s="156"/>
      <c r="BK1419" s="156"/>
      <c r="BL1419" s="156"/>
      <c r="BM1419" s="156"/>
      <c r="BN1419" s="156"/>
      <c r="BO1419" s="156"/>
      <c r="BP1419" s="156"/>
      <c r="BQ1419" s="156"/>
      <c r="BR1419" s="156"/>
      <c r="BS1419" s="156"/>
      <c r="BT1419" s="156"/>
      <c r="BU1419" s="156"/>
      <c r="BV1419" s="156"/>
      <c r="BW1419" s="156"/>
      <c r="BX1419" s="156"/>
      <c r="BY1419" s="156"/>
      <c r="BZ1419" s="156"/>
      <c r="CA1419" s="156"/>
      <c r="CB1419" s="156"/>
      <c r="CC1419" s="156"/>
      <c r="CD1419" s="156"/>
      <c r="CE1419" s="156"/>
      <c r="CF1419" s="156"/>
      <c r="CG1419" s="156"/>
      <c r="CH1419" s="156"/>
      <c r="CI1419" s="156"/>
      <c r="CJ1419" s="156"/>
      <c r="CK1419" s="156"/>
      <c r="CL1419" s="156"/>
      <c r="CM1419" s="156"/>
      <c r="CN1419" s="156"/>
      <c r="CO1419" s="156"/>
      <c r="CP1419" s="156"/>
      <c r="CQ1419" s="156"/>
      <c r="CR1419" s="156"/>
      <c r="CS1419" s="156"/>
      <c r="CT1419" s="156"/>
      <c r="CU1419" s="156"/>
      <c r="CV1419" s="156"/>
      <c r="CW1419" s="156"/>
      <c r="CX1419" s="156"/>
      <c r="CY1419" s="156"/>
      <c r="CZ1419" s="156"/>
      <c r="DA1419" s="156"/>
      <c r="DB1419" s="156"/>
      <c r="DC1419" s="156"/>
      <c r="DD1419" s="156"/>
      <c r="DE1419" s="156"/>
      <c r="DF1419" s="156"/>
      <c r="DG1419" s="156"/>
      <c r="DH1419" s="156"/>
      <c r="DI1419" s="156"/>
      <c r="DJ1419" s="156"/>
      <c r="DK1419" s="156"/>
      <c r="DL1419" s="156"/>
      <c r="DM1419" s="156"/>
      <c r="DN1419" s="156"/>
      <c r="DO1419" s="156"/>
      <c r="DP1419" s="156"/>
      <c r="DQ1419" s="156"/>
      <c r="DR1419" s="156"/>
      <c r="DS1419" s="156"/>
      <c r="DT1419" s="156"/>
      <c r="DU1419" s="156"/>
      <c r="DV1419" s="156"/>
      <c r="DW1419" s="156"/>
      <c r="DX1419" s="156"/>
      <c r="DY1419" s="156"/>
      <c r="DZ1419" s="156"/>
      <c r="EA1419" s="156"/>
      <c r="EB1419" s="156"/>
      <c r="EC1419" s="156"/>
      <c r="ED1419" s="156"/>
      <c r="EE1419" s="156"/>
      <c r="EF1419" s="156"/>
      <c r="EG1419" s="156"/>
      <c r="EH1419" s="156"/>
      <c r="EI1419" s="156"/>
      <c r="EJ1419" s="156"/>
      <c r="EK1419" s="156"/>
      <c r="EL1419" s="156"/>
      <c r="EM1419" s="156"/>
    </row>
    <row r="1420" spans="20:143" ht="10.5" customHeight="1">
      <c r="T1420" s="156"/>
      <c r="AZ1420" s="156"/>
      <c r="BA1420" s="156"/>
      <c r="BB1420" s="156"/>
      <c r="BC1420" s="156"/>
      <c r="BD1420" s="156"/>
      <c r="BE1420" s="156"/>
      <c r="BF1420" s="156"/>
      <c r="BG1420" s="156"/>
      <c r="BH1420" s="156"/>
      <c r="BI1420" s="156"/>
      <c r="BJ1420" s="156"/>
      <c r="BK1420" s="156"/>
      <c r="BL1420" s="156"/>
      <c r="BM1420" s="156"/>
      <c r="BN1420" s="156"/>
      <c r="BO1420" s="156"/>
      <c r="BP1420" s="156"/>
      <c r="BQ1420" s="156"/>
      <c r="BR1420" s="156"/>
      <c r="BS1420" s="156"/>
      <c r="BT1420" s="156"/>
      <c r="BU1420" s="156"/>
      <c r="BV1420" s="156"/>
      <c r="BW1420" s="156"/>
      <c r="BX1420" s="156"/>
      <c r="BY1420" s="156"/>
      <c r="BZ1420" s="156"/>
      <c r="CA1420" s="156"/>
      <c r="CB1420" s="156"/>
      <c r="CC1420" s="156"/>
      <c r="CD1420" s="156"/>
      <c r="CE1420" s="156"/>
      <c r="CF1420" s="156"/>
      <c r="CG1420" s="156"/>
      <c r="CH1420" s="156"/>
      <c r="CI1420" s="156"/>
      <c r="CJ1420" s="156"/>
      <c r="CK1420" s="156"/>
      <c r="CL1420" s="156"/>
      <c r="CM1420" s="156"/>
      <c r="CN1420" s="156"/>
      <c r="CO1420" s="156"/>
      <c r="CP1420" s="156"/>
      <c r="CQ1420" s="156"/>
      <c r="CR1420" s="156"/>
      <c r="CS1420" s="156"/>
      <c r="CT1420" s="156"/>
      <c r="CU1420" s="156"/>
      <c r="CV1420" s="156"/>
      <c r="CW1420" s="156"/>
      <c r="CX1420" s="156"/>
      <c r="CY1420" s="156"/>
      <c r="CZ1420" s="156"/>
      <c r="DA1420" s="156"/>
      <c r="DB1420" s="156"/>
      <c r="DC1420" s="156"/>
      <c r="DD1420" s="156"/>
      <c r="DE1420" s="156"/>
      <c r="DF1420" s="156"/>
      <c r="DG1420" s="156"/>
      <c r="DH1420" s="156"/>
      <c r="DI1420" s="156"/>
      <c r="DJ1420" s="156"/>
      <c r="DK1420" s="156"/>
      <c r="DL1420" s="156"/>
      <c r="DM1420" s="156"/>
      <c r="DN1420" s="156"/>
      <c r="DO1420" s="156"/>
      <c r="DP1420" s="156"/>
      <c r="DQ1420" s="156"/>
      <c r="DR1420" s="156"/>
      <c r="DS1420" s="156"/>
      <c r="DT1420" s="156"/>
      <c r="DU1420" s="156"/>
      <c r="DV1420" s="156"/>
      <c r="DW1420" s="156"/>
      <c r="DX1420" s="156"/>
      <c r="DY1420" s="156"/>
      <c r="DZ1420" s="156"/>
      <c r="EA1420" s="156"/>
      <c r="EB1420" s="156"/>
      <c r="EC1420" s="156"/>
      <c r="ED1420" s="156"/>
      <c r="EE1420" s="156"/>
      <c r="EF1420" s="156"/>
      <c r="EG1420" s="156"/>
      <c r="EH1420" s="156"/>
      <c r="EI1420" s="156"/>
      <c r="EJ1420" s="156"/>
      <c r="EK1420" s="156"/>
      <c r="EL1420" s="156"/>
      <c r="EM1420" s="156"/>
    </row>
    <row r="1421" spans="20:143" ht="10.5" customHeight="1">
      <c r="T1421" s="156"/>
      <c r="AZ1421" s="156"/>
      <c r="BA1421" s="156"/>
      <c r="BB1421" s="156"/>
      <c r="BC1421" s="156"/>
      <c r="BD1421" s="156"/>
      <c r="BE1421" s="156"/>
      <c r="BF1421" s="156"/>
      <c r="BG1421" s="156"/>
      <c r="BH1421" s="156"/>
      <c r="BI1421" s="156"/>
      <c r="BJ1421" s="156"/>
      <c r="BK1421" s="156"/>
      <c r="BL1421" s="156"/>
      <c r="BM1421" s="156"/>
      <c r="BN1421" s="156"/>
      <c r="BO1421" s="156"/>
      <c r="BP1421" s="156"/>
      <c r="BQ1421" s="156"/>
      <c r="BR1421" s="156"/>
      <c r="BS1421" s="156"/>
      <c r="BT1421" s="156"/>
      <c r="BU1421" s="156"/>
      <c r="BV1421" s="156"/>
      <c r="BW1421" s="156"/>
      <c r="BX1421" s="156"/>
      <c r="BY1421" s="156"/>
      <c r="BZ1421" s="156"/>
      <c r="CA1421" s="156"/>
      <c r="CB1421" s="156"/>
      <c r="CC1421" s="156"/>
      <c r="CD1421" s="156"/>
      <c r="CE1421" s="156"/>
      <c r="CF1421" s="156"/>
      <c r="CG1421" s="156"/>
      <c r="CH1421" s="156"/>
      <c r="CI1421" s="156"/>
      <c r="CJ1421" s="156"/>
      <c r="CK1421" s="156"/>
      <c r="CL1421" s="156"/>
      <c r="CM1421" s="156"/>
      <c r="CN1421" s="156"/>
      <c r="CO1421" s="156"/>
      <c r="CP1421" s="156"/>
      <c r="CQ1421" s="156"/>
      <c r="CR1421" s="156"/>
      <c r="CS1421" s="156"/>
      <c r="CT1421" s="156"/>
      <c r="CU1421" s="156"/>
      <c r="CV1421" s="156"/>
      <c r="CW1421" s="156"/>
      <c r="CX1421" s="156"/>
      <c r="CY1421" s="156"/>
      <c r="CZ1421" s="156"/>
      <c r="DA1421" s="156"/>
      <c r="DB1421" s="156"/>
      <c r="DC1421" s="156"/>
      <c r="DD1421" s="156"/>
      <c r="DE1421" s="156"/>
      <c r="DF1421" s="156"/>
      <c r="DG1421" s="156"/>
      <c r="DH1421" s="156"/>
      <c r="DI1421" s="156"/>
      <c r="DJ1421" s="156"/>
      <c r="DK1421" s="156"/>
      <c r="DL1421" s="156"/>
      <c r="DM1421" s="156"/>
      <c r="DN1421" s="156"/>
      <c r="DO1421" s="156"/>
      <c r="DP1421" s="156"/>
      <c r="DQ1421" s="156"/>
      <c r="DR1421" s="156"/>
      <c r="DS1421" s="156"/>
      <c r="DT1421" s="156"/>
      <c r="DU1421" s="156"/>
      <c r="DV1421" s="156"/>
      <c r="DW1421" s="156"/>
      <c r="DX1421" s="156"/>
      <c r="DY1421" s="156"/>
      <c r="DZ1421" s="156"/>
      <c r="EA1421" s="156"/>
      <c r="EB1421" s="156"/>
      <c r="EC1421" s="156"/>
      <c r="ED1421" s="156"/>
      <c r="EE1421" s="156"/>
      <c r="EF1421" s="156"/>
      <c r="EG1421" s="156"/>
      <c r="EH1421" s="156"/>
      <c r="EI1421" s="156"/>
      <c r="EJ1421" s="156"/>
      <c r="EK1421" s="156"/>
      <c r="EL1421" s="156"/>
      <c r="EM1421" s="156"/>
    </row>
    <row r="1422" spans="20:143" ht="10.5" customHeight="1">
      <c r="T1422" s="156"/>
      <c r="AZ1422" s="156"/>
      <c r="BA1422" s="156"/>
      <c r="BB1422" s="156"/>
      <c r="BC1422" s="156"/>
      <c r="BD1422" s="156"/>
      <c r="BE1422" s="156"/>
      <c r="BF1422" s="156"/>
      <c r="BG1422" s="156"/>
      <c r="BH1422" s="156"/>
      <c r="BI1422" s="156"/>
      <c r="BJ1422" s="156"/>
      <c r="BK1422" s="156"/>
      <c r="BL1422" s="156"/>
      <c r="BM1422" s="156"/>
      <c r="BN1422" s="156"/>
      <c r="BO1422" s="156"/>
      <c r="BP1422" s="156"/>
      <c r="BQ1422" s="156"/>
      <c r="BR1422" s="156"/>
      <c r="BS1422" s="156"/>
      <c r="BT1422" s="156"/>
      <c r="BU1422" s="156"/>
      <c r="BV1422" s="156"/>
      <c r="BW1422" s="156"/>
      <c r="BX1422" s="156"/>
      <c r="BY1422" s="156"/>
      <c r="BZ1422" s="156"/>
      <c r="CA1422" s="156"/>
      <c r="CB1422" s="156"/>
      <c r="CC1422" s="156"/>
      <c r="CD1422" s="156"/>
      <c r="CE1422" s="156"/>
      <c r="CF1422" s="156"/>
      <c r="CG1422" s="156"/>
      <c r="CH1422" s="156"/>
      <c r="CI1422" s="156"/>
      <c r="CJ1422" s="156"/>
      <c r="CK1422" s="156"/>
      <c r="CL1422" s="156"/>
      <c r="CM1422" s="156"/>
      <c r="CN1422" s="156"/>
      <c r="CO1422" s="156"/>
      <c r="CP1422" s="156"/>
      <c r="CQ1422" s="156"/>
      <c r="CR1422" s="156"/>
      <c r="CS1422" s="156"/>
      <c r="CT1422" s="156"/>
      <c r="CU1422" s="156"/>
      <c r="CV1422" s="156"/>
      <c r="CW1422" s="156"/>
      <c r="CX1422" s="156"/>
      <c r="CY1422" s="156"/>
      <c r="CZ1422" s="156"/>
      <c r="DA1422" s="156"/>
      <c r="DB1422" s="156"/>
      <c r="DC1422" s="156"/>
      <c r="DD1422" s="156"/>
      <c r="DE1422" s="156"/>
      <c r="DF1422" s="156"/>
      <c r="DG1422" s="156"/>
      <c r="DH1422" s="156"/>
      <c r="DI1422" s="156"/>
      <c r="DJ1422" s="156"/>
      <c r="DK1422" s="156"/>
      <c r="DL1422" s="156"/>
      <c r="DM1422" s="156"/>
      <c r="DN1422" s="156"/>
      <c r="DO1422" s="156"/>
      <c r="DP1422" s="156"/>
      <c r="DQ1422" s="156"/>
      <c r="DR1422" s="156"/>
      <c r="DS1422" s="156"/>
      <c r="DT1422" s="156"/>
      <c r="DU1422" s="156"/>
      <c r="DV1422" s="156"/>
      <c r="DW1422" s="156"/>
      <c r="DX1422" s="156"/>
      <c r="DY1422" s="156"/>
      <c r="DZ1422" s="156"/>
      <c r="EA1422" s="156"/>
      <c r="EB1422" s="156"/>
      <c r="EC1422" s="156"/>
      <c r="ED1422" s="156"/>
      <c r="EE1422" s="156"/>
      <c r="EF1422" s="156"/>
      <c r="EG1422" s="156"/>
      <c r="EH1422" s="156"/>
      <c r="EI1422" s="156"/>
      <c r="EJ1422" s="156"/>
      <c r="EK1422" s="156"/>
      <c r="EL1422" s="156"/>
      <c r="EM1422" s="156"/>
    </row>
    <row r="1423" spans="20:143" ht="10.5" customHeight="1">
      <c r="T1423" s="156"/>
      <c r="AZ1423" s="156"/>
      <c r="BA1423" s="156"/>
      <c r="BB1423" s="156"/>
      <c r="BC1423" s="156"/>
      <c r="BD1423" s="156"/>
      <c r="BE1423" s="156"/>
      <c r="BF1423" s="156"/>
      <c r="BG1423" s="156"/>
      <c r="BH1423" s="156"/>
      <c r="BI1423" s="156"/>
      <c r="BJ1423" s="156"/>
      <c r="BK1423" s="156"/>
      <c r="BL1423" s="156"/>
      <c r="BM1423" s="156"/>
      <c r="BN1423" s="156"/>
      <c r="BO1423" s="156"/>
      <c r="BP1423" s="156"/>
      <c r="BQ1423" s="156"/>
      <c r="BR1423" s="156"/>
      <c r="BS1423" s="156"/>
      <c r="BT1423" s="156"/>
      <c r="BU1423" s="156"/>
      <c r="BV1423" s="156"/>
      <c r="BW1423" s="156"/>
      <c r="BX1423" s="156"/>
      <c r="BY1423" s="156"/>
      <c r="BZ1423" s="156"/>
      <c r="CA1423" s="156"/>
      <c r="CB1423" s="156"/>
      <c r="CC1423" s="156"/>
      <c r="CD1423" s="156"/>
      <c r="CE1423" s="156"/>
      <c r="CF1423" s="156"/>
      <c r="CG1423" s="156"/>
      <c r="CH1423" s="156"/>
      <c r="CI1423" s="156"/>
      <c r="CJ1423" s="156"/>
      <c r="CK1423" s="156"/>
      <c r="CL1423" s="156"/>
      <c r="CM1423" s="156"/>
      <c r="CN1423" s="156"/>
      <c r="CO1423" s="156"/>
      <c r="CP1423" s="156"/>
      <c r="CQ1423" s="156"/>
      <c r="CR1423" s="156"/>
      <c r="CS1423" s="156"/>
      <c r="CT1423" s="156"/>
      <c r="CU1423" s="156"/>
      <c r="CV1423" s="156"/>
      <c r="CW1423" s="156"/>
      <c r="CX1423" s="156"/>
      <c r="CY1423" s="156"/>
      <c r="CZ1423" s="156"/>
      <c r="DA1423" s="156"/>
      <c r="DB1423" s="156"/>
      <c r="DC1423" s="156"/>
      <c r="DD1423" s="156"/>
      <c r="DE1423" s="156"/>
      <c r="DF1423" s="156"/>
      <c r="DG1423" s="156"/>
      <c r="DH1423" s="156"/>
      <c r="DI1423" s="156"/>
      <c r="DJ1423" s="156"/>
      <c r="DK1423" s="156"/>
      <c r="DL1423" s="156"/>
      <c r="DM1423" s="156"/>
      <c r="DN1423" s="156"/>
      <c r="DO1423" s="156"/>
      <c r="DP1423" s="156"/>
      <c r="DQ1423" s="156"/>
      <c r="DR1423" s="156"/>
      <c r="DS1423" s="156"/>
      <c r="DT1423" s="156"/>
      <c r="DU1423" s="156"/>
      <c r="DV1423" s="156"/>
      <c r="DW1423" s="156"/>
      <c r="DX1423" s="156"/>
      <c r="DY1423" s="156"/>
      <c r="DZ1423" s="156"/>
      <c r="EA1423" s="156"/>
      <c r="EB1423" s="156"/>
      <c r="EC1423" s="156"/>
      <c r="ED1423" s="156"/>
      <c r="EE1423" s="156"/>
      <c r="EF1423" s="156"/>
      <c r="EG1423" s="156"/>
      <c r="EH1423" s="156"/>
      <c r="EI1423" s="156"/>
      <c r="EJ1423" s="156"/>
      <c r="EK1423" s="156"/>
      <c r="EL1423" s="156"/>
      <c r="EM1423" s="156"/>
    </row>
    <row r="1424" spans="20:143" ht="10.5" customHeight="1">
      <c r="T1424" s="156"/>
      <c r="AZ1424" s="156"/>
      <c r="BA1424" s="156"/>
      <c r="BB1424" s="156"/>
      <c r="BC1424" s="156"/>
      <c r="BD1424" s="156"/>
      <c r="BE1424" s="156"/>
      <c r="BF1424" s="156"/>
      <c r="BG1424" s="156"/>
      <c r="BH1424" s="156"/>
      <c r="BI1424" s="156"/>
      <c r="BJ1424" s="156"/>
      <c r="BK1424" s="156"/>
      <c r="BL1424" s="156"/>
      <c r="BM1424" s="156"/>
      <c r="BN1424" s="156"/>
      <c r="BO1424" s="156"/>
      <c r="BP1424" s="156"/>
      <c r="BQ1424" s="156"/>
      <c r="BR1424" s="156"/>
      <c r="BS1424" s="156"/>
      <c r="BT1424" s="156"/>
      <c r="BU1424" s="156"/>
      <c r="BV1424" s="156"/>
      <c r="BW1424" s="156"/>
      <c r="BX1424" s="156"/>
      <c r="BY1424" s="156"/>
      <c r="BZ1424" s="156"/>
      <c r="CA1424" s="156"/>
      <c r="CB1424" s="156"/>
      <c r="CC1424" s="156"/>
      <c r="CD1424" s="156"/>
      <c r="CE1424" s="156"/>
      <c r="CF1424" s="156"/>
      <c r="CG1424" s="156"/>
      <c r="CH1424" s="156"/>
      <c r="CI1424" s="156"/>
      <c r="CJ1424" s="156"/>
      <c r="CK1424" s="156"/>
      <c r="CL1424" s="156"/>
      <c r="CM1424" s="156"/>
      <c r="CN1424" s="156"/>
      <c r="CO1424" s="156"/>
      <c r="CP1424" s="156"/>
      <c r="CQ1424" s="156"/>
      <c r="CR1424" s="156"/>
      <c r="CS1424" s="156"/>
      <c r="CT1424" s="156"/>
      <c r="CU1424" s="156"/>
      <c r="CV1424" s="156"/>
      <c r="CW1424" s="156"/>
      <c r="CX1424" s="156"/>
      <c r="CY1424" s="156"/>
      <c r="CZ1424" s="156"/>
      <c r="DA1424" s="156"/>
      <c r="DB1424" s="156"/>
      <c r="DC1424" s="156"/>
      <c r="DD1424" s="156"/>
      <c r="DE1424" s="156"/>
      <c r="DF1424" s="156"/>
      <c r="DG1424" s="156"/>
      <c r="DH1424" s="156"/>
      <c r="DI1424" s="156"/>
      <c r="DJ1424" s="156"/>
      <c r="DK1424" s="156"/>
      <c r="DL1424" s="156"/>
      <c r="DM1424" s="156"/>
      <c r="DN1424" s="156"/>
      <c r="DO1424" s="156"/>
      <c r="DP1424" s="156"/>
      <c r="DQ1424" s="156"/>
      <c r="DR1424" s="156"/>
      <c r="DS1424" s="156"/>
      <c r="DT1424" s="156"/>
      <c r="DU1424" s="156"/>
      <c r="DV1424" s="156"/>
      <c r="DW1424" s="156"/>
      <c r="DX1424" s="156"/>
      <c r="DY1424" s="156"/>
      <c r="DZ1424" s="156"/>
      <c r="EA1424" s="156"/>
      <c r="EB1424" s="156"/>
      <c r="EC1424" s="156"/>
      <c r="ED1424" s="156"/>
      <c r="EE1424" s="156"/>
      <c r="EF1424" s="156"/>
      <c r="EG1424" s="156"/>
      <c r="EH1424" s="156"/>
      <c r="EI1424" s="156"/>
      <c r="EJ1424" s="156"/>
      <c r="EK1424" s="156"/>
      <c r="EL1424" s="156"/>
      <c r="EM1424" s="156"/>
    </row>
    <row r="1425" spans="20:143" ht="10.5" customHeight="1">
      <c r="T1425" s="156"/>
      <c r="AZ1425" s="156"/>
      <c r="BA1425" s="156"/>
      <c r="BB1425" s="156"/>
      <c r="BC1425" s="156"/>
      <c r="BD1425" s="156"/>
      <c r="BE1425" s="156"/>
      <c r="BF1425" s="156"/>
      <c r="BG1425" s="156"/>
      <c r="BH1425" s="156"/>
      <c r="BI1425" s="156"/>
      <c r="BJ1425" s="156"/>
      <c r="BK1425" s="156"/>
      <c r="BL1425" s="156"/>
      <c r="BM1425" s="156"/>
      <c r="BN1425" s="156"/>
      <c r="BO1425" s="156"/>
      <c r="BP1425" s="156"/>
      <c r="BQ1425" s="156"/>
      <c r="BR1425" s="156"/>
      <c r="BS1425" s="156"/>
      <c r="BT1425" s="156"/>
      <c r="BU1425" s="156"/>
      <c r="BV1425" s="156"/>
      <c r="BW1425" s="156"/>
      <c r="BX1425" s="156"/>
      <c r="BY1425" s="156"/>
      <c r="BZ1425" s="156"/>
      <c r="CA1425" s="156"/>
      <c r="CB1425" s="156"/>
      <c r="CC1425" s="156"/>
      <c r="CD1425" s="156"/>
      <c r="CE1425" s="156"/>
      <c r="CF1425" s="156"/>
      <c r="CG1425" s="156"/>
      <c r="CH1425" s="156"/>
      <c r="CI1425" s="156"/>
      <c r="CJ1425" s="156"/>
      <c r="CK1425" s="156"/>
      <c r="CL1425" s="156"/>
      <c r="CM1425" s="156"/>
      <c r="CN1425" s="156"/>
      <c r="CO1425" s="156"/>
      <c r="CP1425" s="156"/>
      <c r="CQ1425" s="156"/>
      <c r="CR1425" s="156"/>
      <c r="CS1425" s="156"/>
      <c r="CT1425" s="156"/>
      <c r="CU1425" s="156"/>
      <c r="CV1425" s="156"/>
      <c r="CW1425" s="156"/>
      <c r="CX1425" s="156"/>
      <c r="CY1425" s="156"/>
      <c r="CZ1425" s="156"/>
      <c r="DA1425" s="156"/>
      <c r="DB1425" s="156"/>
      <c r="DC1425" s="156"/>
      <c r="DD1425" s="156"/>
      <c r="DE1425" s="156"/>
      <c r="DF1425" s="156"/>
      <c r="DG1425" s="156"/>
      <c r="DH1425" s="156"/>
      <c r="DI1425" s="156"/>
      <c r="DJ1425" s="156"/>
      <c r="DK1425" s="156"/>
      <c r="DL1425" s="156"/>
      <c r="DM1425" s="156"/>
      <c r="DN1425" s="156"/>
      <c r="DO1425" s="156"/>
      <c r="DP1425" s="156"/>
      <c r="DQ1425" s="156"/>
      <c r="DR1425" s="156"/>
      <c r="DS1425" s="156"/>
      <c r="DT1425" s="156"/>
      <c r="DU1425" s="156"/>
      <c r="DV1425" s="156"/>
      <c r="DW1425" s="156"/>
      <c r="DX1425" s="156"/>
      <c r="DY1425" s="156"/>
      <c r="DZ1425" s="156"/>
      <c r="EA1425" s="156"/>
      <c r="EB1425" s="156"/>
      <c r="EC1425" s="156"/>
      <c r="ED1425" s="156"/>
      <c r="EE1425" s="156"/>
      <c r="EF1425" s="156"/>
      <c r="EG1425" s="156"/>
      <c r="EH1425" s="156"/>
      <c r="EI1425" s="156"/>
      <c r="EJ1425" s="156"/>
      <c r="EK1425" s="156"/>
      <c r="EL1425" s="156"/>
      <c r="EM1425" s="156"/>
    </row>
    <row r="1426" spans="20:143" ht="10.5" customHeight="1">
      <c r="T1426" s="156"/>
      <c r="AZ1426" s="156"/>
      <c r="BA1426" s="156"/>
      <c r="BB1426" s="156"/>
      <c r="BC1426" s="156"/>
      <c r="BD1426" s="156"/>
      <c r="BE1426" s="156"/>
      <c r="BF1426" s="156"/>
      <c r="BG1426" s="156"/>
      <c r="BH1426" s="156"/>
      <c r="BI1426" s="156"/>
      <c r="BJ1426" s="156"/>
      <c r="BK1426" s="156"/>
      <c r="BL1426" s="156"/>
      <c r="BM1426" s="156"/>
      <c r="BN1426" s="156"/>
      <c r="BO1426" s="156"/>
      <c r="BP1426" s="156"/>
      <c r="BQ1426" s="156"/>
      <c r="BR1426" s="156"/>
      <c r="BS1426" s="156"/>
      <c r="BT1426" s="156"/>
      <c r="BU1426" s="156"/>
      <c r="BV1426" s="156"/>
      <c r="BW1426" s="156"/>
      <c r="BX1426" s="156"/>
      <c r="BY1426" s="156"/>
      <c r="BZ1426" s="156"/>
      <c r="CA1426" s="156"/>
      <c r="CB1426" s="156"/>
      <c r="CC1426" s="156"/>
      <c r="CD1426" s="156"/>
      <c r="CE1426" s="156"/>
      <c r="CF1426" s="156"/>
      <c r="CG1426" s="156"/>
      <c r="CH1426" s="156"/>
      <c r="CI1426" s="156"/>
      <c r="CJ1426" s="156"/>
      <c r="CK1426" s="156"/>
      <c r="CL1426" s="156"/>
      <c r="CM1426" s="156"/>
      <c r="CN1426" s="156"/>
      <c r="CO1426" s="156"/>
      <c r="CP1426" s="156"/>
      <c r="CQ1426" s="156"/>
      <c r="CR1426" s="156"/>
      <c r="CS1426" s="156"/>
      <c r="CT1426" s="156"/>
      <c r="CU1426" s="156"/>
      <c r="CV1426" s="156"/>
      <c r="CW1426" s="156"/>
      <c r="CX1426" s="156"/>
      <c r="CY1426" s="156"/>
      <c r="CZ1426" s="156"/>
      <c r="DA1426" s="156"/>
      <c r="DB1426" s="156"/>
      <c r="DC1426" s="156"/>
      <c r="DD1426" s="156"/>
      <c r="DE1426" s="156"/>
      <c r="DF1426" s="156"/>
      <c r="DG1426" s="156"/>
      <c r="DH1426" s="156"/>
      <c r="DI1426" s="156"/>
      <c r="DJ1426" s="156"/>
      <c r="DK1426" s="156"/>
      <c r="DL1426" s="156"/>
      <c r="DM1426" s="156"/>
      <c r="DN1426" s="156"/>
      <c r="DO1426" s="156"/>
      <c r="DP1426" s="156"/>
      <c r="DQ1426" s="156"/>
      <c r="DR1426" s="156"/>
      <c r="DS1426" s="156"/>
      <c r="DT1426" s="156"/>
      <c r="DU1426" s="156"/>
      <c r="DV1426" s="156"/>
      <c r="DW1426" s="156"/>
      <c r="DX1426" s="156"/>
      <c r="DY1426" s="156"/>
      <c r="DZ1426" s="156"/>
      <c r="EA1426" s="156"/>
      <c r="EB1426" s="156"/>
      <c r="EC1426" s="156"/>
      <c r="ED1426" s="156"/>
      <c r="EE1426" s="156"/>
      <c r="EF1426" s="156"/>
      <c r="EG1426" s="156"/>
      <c r="EH1426" s="156"/>
      <c r="EI1426" s="156"/>
      <c r="EJ1426" s="156"/>
      <c r="EK1426" s="156"/>
      <c r="EL1426" s="156"/>
      <c r="EM1426" s="156"/>
    </row>
    <row r="1427" spans="20:143" ht="10.5" customHeight="1">
      <c r="T1427" s="156"/>
      <c r="AZ1427" s="156"/>
      <c r="BA1427" s="156"/>
      <c r="BB1427" s="156"/>
      <c r="BC1427" s="156"/>
      <c r="BD1427" s="156"/>
      <c r="BE1427" s="156"/>
      <c r="BF1427" s="156"/>
      <c r="BG1427" s="156"/>
      <c r="BH1427" s="156"/>
      <c r="BI1427" s="156"/>
      <c r="BJ1427" s="156"/>
      <c r="BK1427" s="156"/>
      <c r="BL1427" s="156"/>
      <c r="BM1427" s="156"/>
      <c r="BN1427" s="156"/>
      <c r="BO1427" s="156"/>
      <c r="BP1427" s="156"/>
      <c r="BQ1427" s="156"/>
      <c r="BR1427" s="156"/>
      <c r="BS1427" s="156"/>
      <c r="BT1427" s="156"/>
      <c r="BU1427" s="156"/>
      <c r="BV1427" s="156"/>
      <c r="BW1427" s="156"/>
      <c r="BX1427" s="156"/>
      <c r="BY1427" s="156"/>
      <c r="BZ1427" s="156"/>
      <c r="CA1427" s="156"/>
      <c r="CB1427" s="156"/>
      <c r="CC1427" s="156"/>
      <c r="CD1427" s="156"/>
      <c r="CE1427" s="156"/>
      <c r="CF1427" s="156"/>
      <c r="CG1427" s="156"/>
      <c r="CH1427" s="156"/>
      <c r="CI1427" s="156"/>
      <c r="CJ1427" s="156"/>
      <c r="CK1427" s="156"/>
      <c r="CL1427" s="156"/>
      <c r="CM1427" s="156"/>
      <c r="CN1427" s="156"/>
      <c r="CO1427" s="156"/>
      <c r="CP1427" s="156"/>
      <c r="CQ1427" s="156"/>
      <c r="CR1427" s="156"/>
      <c r="CS1427" s="156"/>
      <c r="CT1427" s="156"/>
      <c r="CU1427" s="156"/>
      <c r="CV1427" s="156"/>
      <c r="CW1427" s="156"/>
      <c r="CX1427" s="156"/>
      <c r="CY1427" s="156"/>
      <c r="CZ1427" s="156"/>
      <c r="DA1427" s="156"/>
      <c r="DB1427" s="156"/>
      <c r="DC1427" s="156"/>
      <c r="DD1427" s="156"/>
      <c r="DE1427" s="156"/>
      <c r="DF1427" s="156"/>
      <c r="DG1427" s="156"/>
      <c r="DH1427" s="156"/>
      <c r="DI1427" s="156"/>
      <c r="DJ1427" s="156"/>
      <c r="DK1427" s="156"/>
      <c r="DL1427" s="156"/>
      <c r="DM1427" s="156"/>
      <c r="DN1427" s="156"/>
      <c r="DO1427" s="156"/>
      <c r="DP1427" s="156"/>
      <c r="DQ1427" s="156"/>
      <c r="DR1427" s="156"/>
      <c r="DS1427" s="156"/>
      <c r="DT1427" s="156"/>
      <c r="DU1427" s="156"/>
      <c r="DV1427" s="156"/>
      <c r="DW1427" s="156"/>
      <c r="DX1427" s="156"/>
      <c r="DY1427" s="156"/>
      <c r="DZ1427" s="156"/>
      <c r="EA1427" s="156"/>
      <c r="EB1427" s="156"/>
      <c r="EC1427" s="156"/>
      <c r="ED1427" s="156"/>
      <c r="EE1427" s="156"/>
      <c r="EF1427" s="156"/>
      <c r="EG1427" s="156"/>
      <c r="EH1427" s="156"/>
      <c r="EI1427" s="156"/>
      <c r="EJ1427" s="156"/>
      <c r="EK1427" s="156"/>
      <c r="EL1427" s="156"/>
      <c r="EM1427" s="156"/>
    </row>
    <row r="1428" spans="20:143" ht="10.5" customHeight="1">
      <c r="T1428" s="156"/>
      <c r="AZ1428" s="156"/>
      <c r="BA1428" s="156"/>
      <c r="BB1428" s="156"/>
      <c r="BC1428" s="156"/>
      <c r="BD1428" s="156"/>
      <c r="BE1428" s="156"/>
      <c r="BF1428" s="156"/>
      <c r="BG1428" s="156"/>
      <c r="BH1428" s="156"/>
      <c r="BI1428" s="156"/>
      <c r="BJ1428" s="156"/>
      <c r="BK1428" s="156"/>
      <c r="BL1428" s="156"/>
      <c r="BM1428" s="156"/>
      <c r="BN1428" s="156"/>
      <c r="BO1428" s="156"/>
      <c r="BP1428" s="156"/>
      <c r="BQ1428" s="156"/>
      <c r="BR1428" s="156"/>
      <c r="BS1428" s="156"/>
      <c r="BT1428" s="156"/>
      <c r="BU1428" s="156"/>
      <c r="BV1428" s="156"/>
      <c r="BW1428" s="156"/>
      <c r="BX1428" s="156"/>
      <c r="BY1428" s="156"/>
      <c r="BZ1428" s="156"/>
      <c r="CA1428" s="156"/>
      <c r="CB1428" s="156"/>
      <c r="CC1428" s="156"/>
      <c r="CD1428" s="156"/>
      <c r="CE1428" s="156"/>
      <c r="CF1428" s="156"/>
      <c r="CG1428" s="156"/>
      <c r="CH1428" s="156"/>
      <c r="CI1428" s="156"/>
      <c r="CJ1428" s="156"/>
      <c r="CK1428" s="156"/>
      <c r="CL1428" s="156"/>
      <c r="CM1428" s="156"/>
      <c r="CN1428" s="156"/>
      <c r="CO1428" s="156"/>
      <c r="CP1428" s="156"/>
      <c r="CQ1428" s="156"/>
      <c r="CR1428" s="156"/>
      <c r="CS1428" s="156"/>
      <c r="CT1428" s="156"/>
      <c r="CU1428" s="156"/>
      <c r="CV1428" s="156"/>
      <c r="CW1428" s="156"/>
      <c r="CX1428" s="156"/>
      <c r="CY1428" s="156"/>
      <c r="CZ1428" s="156"/>
      <c r="DA1428" s="156"/>
      <c r="DB1428" s="156"/>
      <c r="DC1428" s="156"/>
      <c r="DD1428" s="156"/>
      <c r="DE1428" s="156"/>
      <c r="DF1428" s="156"/>
      <c r="DG1428" s="156"/>
      <c r="DH1428" s="156"/>
      <c r="DI1428" s="156"/>
      <c r="DJ1428" s="156"/>
      <c r="DK1428" s="156"/>
      <c r="DL1428" s="156"/>
      <c r="DM1428" s="156"/>
      <c r="DN1428" s="156"/>
      <c r="DO1428" s="156"/>
      <c r="DP1428" s="156"/>
      <c r="DQ1428" s="156"/>
      <c r="DR1428" s="156"/>
      <c r="DS1428" s="156"/>
      <c r="DT1428" s="156"/>
      <c r="DU1428" s="156"/>
      <c r="DV1428" s="156"/>
      <c r="DW1428" s="156"/>
      <c r="DX1428" s="156"/>
      <c r="DY1428" s="156"/>
      <c r="DZ1428" s="156"/>
      <c r="EA1428" s="156"/>
      <c r="EB1428" s="156"/>
      <c r="EC1428" s="156"/>
      <c r="ED1428" s="156"/>
      <c r="EE1428" s="156"/>
      <c r="EF1428" s="156"/>
      <c r="EG1428" s="156"/>
      <c r="EH1428" s="156"/>
      <c r="EI1428" s="156"/>
      <c r="EJ1428" s="156"/>
      <c r="EK1428" s="156"/>
      <c r="EL1428" s="156"/>
      <c r="EM1428" s="156"/>
    </row>
    <row r="1429" spans="20:143" ht="10.5" customHeight="1">
      <c r="T1429" s="156"/>
      <c r="AZ1429" s="156"/>
      <c r="BA1429" s="156"/>
      <c r="BB1429" s="156"/>
      <c r="BC1429" s="156"/>
      <c r="BD1429" s="156"/>
      <c r="BE1429" s="156"/>
      <c r="BF1429" s="156"/>
      <c r="BG1429" s="156"/>
      <c r="BH1429" s="156"/>
      <c r="BI1429" s="156"/>
      <c r="BJ1429" s="156"/>
      <c r="BK1429" s="156"/>
      <c r="BL1429" s="156"/>
      <c r="BM1429" s="156"/>
      <c r="BN1429" s="156"/>
      <c r="BO1429" s="156"/>
      <c r="BP1429" s="156"/>
      <c r="BQ1429" s="156"/>
      <c r="BR1429" s="156"/>
      <c r="BS1429" s="156"/>
      <c r="BT1429" s="156"/>
      <c r="BU1429" s="156"/>
      <c r="BV1429" s="156"/>
      <c r="BW1429" s="156"/>
      <c r="BX1429" s="156"/>
      <c r="BY1429" s="156"/>
      <c r="BZ1429" s="156"/>
      <c r="CA1429" s="156"/>
      <c r="CB1429" s="156"/>
      <c r="CC1429" s="156"/>
      <c r="CD1429" s="156"/>
      <c r="CE1429" s="156"/>
      <c r="CF1429" s="156"/>
      <c r="CG1429" s="156"/>
      <c r="CH1429" s="156"/>
      <c r="CI1429" s="156"/>
      <c r="CJ1429" s="156"/>
      <c r="CK1429" s="156"/>
      <c r="CL1429" s="156"/>
      <c r="CM1429" s="156"/>
      <c r="CN1429" s="156"/>
      <c r="CO1429" s="156"/>
      <c r="CP1429" s="156"/>
      <c r="CQ1429" s="156"/>
      <c r="CR1429" s="156"/>
      <c r="CS1429" s="156"/>
      <c r="CT1429" s="156"/>
      <c r="CU1429" s="156"/>
      <c r="CV1429" s="156"/>
      <c r="CW1429" s="156"/>
      <c r="CX1429" s="156"/>
      <c r="CY1429" s="156"/>
      <c r="CZ1429" s="156"/>
      <c r="DA1429" s="156"/>
      <c r="DB1429" s="156"/>
      <c r="DC1429" s="156"/>
      <c r="DD1429" s="156"/>
      <c r="DE1429" s="156"/>
      <c r="DF1429" s="156"/>
      <c r="DG1429" s="156"/>
      <c r="DH1429" s="156"/>
      <c r="DI1429" s="156"/>
      <c r="DJ1429" s="156"/>
      <c r="DK1429" s="156"/>
      <c r="DL1429" s="156"/>
      <c r="DM1429" s="156"/>
      <c r="DN1429" s="156"/>
      <c r="DO1429" s="156"/>
      <c r="DP1429" s="156"/>
      <c r="DQ1429" s="156"/>
      <c r="DR1429" s="156"/>
      <c r="DS1429" s="156"/>
      <c r="DT1429" s="156"/>
      <c r="DU1429" s="156"/>
      <c r="DV1429" s="156"/>
      <c r="DW1429" s="156"/>
      <c r="DX1429" s="156"/>
      <c r="DY1429" s="156"/>
      <c r="DZ1429" s="156"/>
      <c r="EA1429" s="156"/>
      <c r="EB1429" s="156"/>
      <c r="EC1429" s="156"/>
      <c r="ED1429" s="156"/>
      <c r="EE1429" s="156"/>
      <c r="EF1429" s="156"/>
      <c r="EG1429" s="156"/>
      <c r="EH1429" s="156"/>
      <c r="EI1429" s="156"/>
      <c r="EJ1429" s="156"/>
      <c r="EK1429" s="156"/>
      <c r="EL1429" s="156"/>
      <c r="EM1429" s="156"/>
    </row>
    <row r="1430" spans="20:143" ht="10.5" customHeight="1">
      <c r="T1430" s="156"/>
      <c r="AZ1430" s="156"/>
      <c r="BA1430" s="156"/>
      <c r="BB1430" s="156"/>
      <c r="BC1430" s="156"/>
      <c r="BD1430" s="156"/>
      <c r="BE1430" s="156"/>
      <c r="BF1430" s="156"/>
      <c r="BG1430" s="156"/>
      <c r="BH1430" s="156"/>
      <c r="BI1430" s="156"/>
      <c r="BJ1430" s="156"/>
      <c r="BK1430" s="156"/>
      <c r="BL1430" s="156"/>
      <c r="BM1430" s="156"/>
      <c r="BN1430" s="156"/>
      <c r="BO1430" s="156"/>
      <c r="BP1430" s="156"/>
      <c r="BQ1430" s="156"/>
      <c r="BR1430" s="156"/>
      <c r="BS1430" s="156"/>
      <c r="BT1430" s="156"/>
      <c r="BU1430" s="156"/>
      <c r="BV1430" s="156"/>
      <c r="BW1430" s="156"/>
      <c r="BX1430" s="156"/>
      <c r="BY1430" s="156"/>
      <c r="BZ1430" s="156"/>
      <c r="CA1430" s="156"/>
      <c r="CB1430" s="156"/>
      <c r="CC1430" s="156"/>
      <c r="CD1430" s="156"/>
      <c r="CE1430" s="156"/>
      <c r="CF1430" s="156"/>
      <c r="CG1430" s="156"/>
      <c r="CH1430" s="156"/>
      <c r="CI1430" s="156"/>
      <c r="CJ1430" s="156"/>
      <c r="CK1430" s="156"/>
      <c r="CL1430" s="156"/>
      <c r="CM1430" s="156"/>
      <c r="CN1430" s="156"/>
      <c r="CO1430" s="156"/>
      <c r="CP1430" s="156"/>
      <c r="CQ1430" s="156"/>
      <c r="CR1430" s="156"/>
      <c r="CS1430" s="156"/>
      <c r="CT1430" s="156"/>
      <c r="CU1430" s="156"/>
      <c r="CV1430" s="156"/>
      <c r="CW1430" s="156"/>
      <c r="CX1430" s="156"/>
      <c r="CY1430" s="156"/>
      <c r="CZ1430" s="156"/>
      <c r="DA1430" s="156"/>
      <c r="DB1430" s="156"/>
      <c r="DC1430" s="156"/>
      <c r="DD1430" s="156"/>
      <c r="DE1430" s="156"/>
      <c r="DF1430" s="156"/>
      <c r="DG1430" s="156"/>
      <c r="DH1430" s="156"/>
      <c r="DI1430" s="156"/>
      <c r="DJ1430" s="156"/>
      <c r="DK1430" s="156"/>
      <c r="DL1430" s="156"/>
      <c r="DM1430" s="156"/>
      <c r="DN1430" s="156"/>
      <c r="DO1430" s="156"/>
      <c r="DP1430" s="156"/>
      <c r="DQ1430" s="156"/>
      <c r="DR1430" s="156"/>
      <c r="DS1430" s="156"/>
      <c r="DT1430" s="156"/>
      <c r="DU1430" s="156"/>
      <c r="DV1430" s="156"/>
      <c r="DW1430" s="156"/>
      <c r="DX1430" s="156"/>
      <c r="DY1430" s="156"/>
      <c r="DZ1430" s="156"/>
      <c r="EA1430" s="156"/>
      <c r="EB1430" s="156"/>
      <c r="EC1430" s="156"/>
      <c r="ED1430" s="156"/>
      <c r="EE1430" s="156"/>
      <c r="EF1430" s="156"/>
      <c r="EG1430" s="156"/>
      <c r="EH1430" s="156"/>
      <c r="EI1430" s="156"/>
      <c r="EJ1430" s="156"/>
      <c r="EK1430" s="156"/>
      <c r="EL1430" s="156"/>
      <c r="EM1430" s="156"/>
    </row>
    <row r="1431" spans="20:143" ht="10.5" customHeight="1">
      <c r="T1431" s="156"/>
      <c r="AZ1431" s="156"/>
      <c r="BA1431" s="156"/>
      <c r="BB1431" s="156"/>
      <c r="BC1431" s="156"/>
      <c r="BD1431" s="156"/>
      <c r="BE1431" s="156"/>
      <c r="BF1431" s="156"/>
      <c r="BG1431" s="156"/>
      <c r="BH1431" s="156"/>
      <c r="BI1431" s="156"/>
      <c r="BJ1431" s="156"/>
      <c r="BK1431" s="156"/>
      <c r="BL1431" s="156"/>
      <c r="BM1431" s="156"/>
      <c r="BN1431" s="156"/>
      <c r="BO1431" s="156"/>
      <c r="BP1431" s="156"/>
      <c r="BQ1431" s="156"/>
      <c r="BR1431" s="156"/>
      <c r="BS1431" s="156"/>
      <c r="BT1431" s="156"/>
      <c r="BU1431" s="156"/>
      <c r="BV1431" s="156"/>
      <c r="BW1431" s="156"/>
      <c r="BX1431" s="156"/>
      <c r="BY1431" s="156"/>
      <c r="BZ1431" s="156"/>
      <c r="CA1431" s="156"/>
      <c r="CB1431" s="156"/>
      <c r="CC1431" s="156"/>
      <c r="CD1431" s="156"/>
      <c r="CE1431" s="156"/>
      <c r="CF1431" s="156"/>
      <c r="CG1431" s="156"/>
      <c r="CH1431" s="156"/>
      <c r="CI1431" s="156"/>
      <c r="CJ1431" s="156"/>
      <c r="CK1431" s="156"/>
      <c r="CL1431" s="156"/>
      <c r="CM1431" s="156"/>
      <c r="CN1431" s="156"/>
      <c r="CO1431" s="156"/>
      <c r="CP1431" s="156"/>
      <c r="CQ1431" s="156"/>
      <c r="CR1431" s="156"/>
      <c r="CS1431" s="156"/>
      <c r="CT1431" s="156"/>
      <c r="CU1431" s="156"/>
      <c r="CV1431" s="156"/>
      <c r="CW1431" s="156"/>
      <c r="CX1431" s="156"/>
      <c r="CY1431" s="156"/>
      <c r="CZ1431" s="156"/>
      <c r="DA1431" s="156"/>
      <c r="DB1431" s="156"/>
      <c r="DC1431" s="156"/>
      <c r="DD1431" s="156"/>
      <c r="DE1431" s="156"/>
      <c r="DF1431" s="156"/>
      <c r="DG1431" s="156"/>
      <c r="DH1431" s="156"/>
      <c r="DI1431" s="156"/>
      <c r="DJ1431" s="156"/>
      <c r="DK1431" s="156"/>
      <c r="DL1431" s="156"/>
      <c r="DM1431" s="156"/>
      <c r="DN1431" s="156"/>
      <c r="DO1431" s="156"/>
      <c r="DP1431" s="156"/>
      <c r="DQ1431" s="156"/>
      <c r="DR1431" s="156"/>
      <c r="DS1431" s="156"/>
      <c r="DT1431" s="156"/>
      <c r="DU1431" s="156"/>
      <c r="DV1431" s="156"/>
      <c r="DW1431" s="156"/>
      <c r="DX1431" s="156"/>
      <c r="DY1431" s="156"/>
      <c r="DZ1431" s="156"/>
      <c r="EA1431" s="156"/>
      <c r="EB1431" s="156"/>
      <c r="EC1431" s="156"/>
      <c r="ED1431" s="156"/>
      <c r="EE1431" s="156"/>
      <c r="EF1431" s="156"/>
      <c r="EG1431" s="156"/>
      <c r="EH1431" s="156"/>
      <c r="EI1431" s="156"/>
      <c r="EJ1431" s="156"/>
      <c r="EK1431" s="156"/>
      <c r="EL1431" s="156"/>
      <c r="EM1431" s="156"/>
    </row>
    <row r="1432" spans="20:143" ht="10.5" customHeight="1">
      <c r="T1432" s="156"/>
      <c r="AZ1432" s="156"/>
      <c r="BA1432" s="156"/>
      <c r="BB1432" s="156"/>
      <c r="BC1432" s="156"/>
      <c r="BD1432" s="156"/>
      <c r="BE1432" s="156"/>
      <c r="BF1432" s="156"/>
      <c r="BG1432" s="156"/>
      <c r="BH1432" s="156"/>
      <c r="BI1432" s="156"/>
      <c r="BJ1432" s="156"/>
      <c r="BK1432" s="156"/>
      <c r="BL1432" s="156"/>
      <c r="BM1432" s="156"/>
      <c r="BN1432" s="156"/>
      <c r="BO1432" s="156"/>
      <c r="BP1432" s="156"/>
      <c r="BQ1432" s="156"/>
      <c r="BR1432" s="156"/>
      <c r="BS1432" s="156"/>
      <c r="BT1432" s="156"/>
      <c r="BU1432" s="156"/>
      <c r="BV1432" s="156"/>
      <c r="BW1432" s="156"/>
      <c r="BX1432" s="156"/>
      <c r="BY1432" s="156"/>
      <c r="BZ1432" s="156"/>
      <c r="CA1432" s="156"/>
      <c r="CB1432" s="156"/>
      <c r="CC1432" s="156"/>
      <c r="CD1432" s="156"/>
      <c r="CE1432" s="156"/>
      <c r="CF1432" s="156"/>
      <c r="CG1432" s="156"/>
      <c r="CH1432" s="156"/>
      <c r="CI1432" s="156"/>
      <c r="CJ1432" s="156"/>
      <c r="CK1432" s="156"/>
      <c r="CL1432" s="156"/>
      <c r="CM1432" s="156"/>
      <c r="CN1432" s="156"/>
      <c r="CO1432" s="156"/>
      <c r="CP1432" s="156"/>
      <c r="CQ1432" s="156"/>
      <c r="CR1432" s="156"/>
      <c r="CS1432" s="156"/>
      <c r="CT1432" s="156"/>
      <c r="CU1432" s="156"/>
      <c r="CV1432" s="156"/>
      <c r="CW1432" s="156"/>
      <c r="CX1432" s="156"/>
      <c r="CY1432" s="156"/>
      <c r="CZ1432" s="156"/>
      <c r="DA1432" s="156"/>
      <c r="DB1432" s="156"/>
      <c r="DC1432" s="156"/>
      <c r="DD1432" s="156"/>
      <c r="DE1432" s="156"/>
      <c r="DF1432" s="156"/>
      <c r="DG1432" s="156"/>
      <c r="DH1432" s="156"/>
      <c r="DI1432" s="156"/>
      <c r="DJ1432" s="156"/>
      <c r="DK1432" s="156"/>
      <c r="DL1432" s="156"/>
      <c r="DM1432" s="156"/>
      <c r="DN1432" s="156"/>
      <c r="DO1432" s="156"/>
      <c r="DP1432" s="156"/>
      <c r="DQ1432" s="156"/>
      <c r="DR1432" s="156"/>
      <c r="DS1432" s="156"/>
      <c r="DT1432" s="156"/>
      <c r="DU1432" s="156"/>
      <c r="DV1432" s="156"/>
      <c r="DW1432" s="156"/>
      <c r="DX1432" s="156"/>
      <c r="DY1432" s="156"/>
      <c r="DZ1432" s="156"/>
      <c r="EA1432" s="156"/>
      <c r="EB1432" s="156"/>
      <c r="EC1432" s="156"/>
      <c r="ED1432" s="156"/>
      <c r="EE1432" s="156"/>
      <c r="EF1432" s="156"/>
      <c r="EG1432" s="156"/>
      <c r="EH1432" s="156"/>
      <c r="EI1432" s="156"/>
      <c r="EJ1432" s="156"/>
      <c r="EK1432" s="156"/>
      <c r="EL1432" s="156"/>
      <c r="EM1432" s="156"/>
    </row>
    <row r="1433" spans="20:143" ht="10.5" customHeight="1">
      <c r="T1433" s="156"/>
      <c r="AZ1433" s="156"/>
      <c r="BA1433" s="156"/>
      <c r="BB1433" s="156"/>
      <c r="BC1433" s="156"/>
      <c r="BD1433" s="156"/>
      <c r="BE1433" s="156"/>
      <c r="BF1433" s="156"/>
      <c r="BG1433" s="156"/>
      <c r="BH1433" s="156"/>
      <c r="BI1433" s="156"/>
      <c r="BJ1433" s="156"/>
      <c r="BK1433" s="156"/>
      <c r="BL1433" s="156"/>
      <c r="BM1433" s="156"/>
      <c r="BN1433" s="156"/>
      <c r="BO1433" s="156"/>
      <c r="BP1433" s="156"/>
      <c r="BQ1433" s="156"/>
      <c r="BR1433" s="156"/>
      <c r="BS1433" s="156"/>
      <c r="BT1433" s="156"/>
      <c r="BU1433" s="156"/>
      <c r="BV1433" s="156"/>
      <c r="BW1433" s="156"/>
      <c r="BX1433" s="156"/>
      <c r="BY1433" s="156"/>
      <c r="BZ1433" s="156"/>
      <c r="CA1433" s="156"/>
      <c r="CB1433" s="156"/>
      <c r="CC1433" s="156"/>
      <c r="CD1433" s="156"/>
      <c r="CE1433" s="156"/>
      <c r="CF1433" s="156"/>
      <c r="CG1433" s="156"/>
      <c r="CH1433" s="156"/>
      <c r="CI1433" s="156"/>
      <c r="CJ1433" s="156"/>
      <c r="CK1433" s="156"/>
      <c r="CL1433" s="156"/>
      <c r="CM1433" s="156"/>
      <c r="CN1433" s="156"/>
      <c r="CO1433" s="156"/>
      <c r="CP1433" s="156"/>
      <c r="CQ1433" s="156"/>
      <c r="CR1433" s="156"/>
      <c r="CS1433" s="156"/>
      <c r="CT1433" s="156"/>
      <c r="CU1433" s="156"/>
      <c r="CV1433" s="156"/>
      <c r="CW1433" s="156"/>
      <c r="CX1433" s="156"/>
      <c r="CY1433" s="156"/>
      <c r="CZ1433" s="156"/>
      <c r="DA1433" s="156"/>
      <c r="DB1433" s="156"/>
      <c r="DC1433" s="156"/>
      <c r="DD1433" s="156"/>
      <c r="DE1433" s="156"/>
      <c r="DF1433" s="156"/>
      <c r="DG1433" s="156"/>
      <c r="DH1433" s="156"/>
      <c r="DI1433" s="156"/>
      <c r="DJ1433" s="156"/>
      <c r="DK1433" s="156"/>
      <c r="DL1433" s="156"/>
      <c r="DM1433" s="156"/>
      <c r="DN1433" s="156"/>
      <c r="DO1433" s="156"/>
      <c r="DP1433" s="156"/>
      <c r="DQ1433" s="156"/>
      <c r="DR1433" s="156"/>
      <c r="DS1433" s="156"/>
      <c r="DT1433" s="156"/>
      <c r="DU1433" s="156"/>
      <c r="DV1433" s="156"/>
      <c r="DW1433" s="156"/>
      <c r="DX1433" s="156"/>
      <c r="DY1433" s="156"/>
      <c r="DZ1433" s="156"/>
      <c r="EA1433" s="156"/>
      <c r="EB1433" s="156"/>
      <c r="EC1433" s="156"/>
      <c r="ED1433" s="156"/>
      <c r="EE1433" s="156"/>
      <c r="EF1433" s="156"/>
      <c r="EG1433" s="156"/>
      <c r="EH1433" s="156"/>
      <c r="EI1433" s="156"/>
      <c r="EJ1433" s="156"/>
      <c r="EK1433" s="156"/>
      <c r="EL1433" s="156"/>
      <c r="EM1433" s="156"/>
    </row>
    <row r="1434" spans="20:143" ht="10.5" customHeight="1">
      <c r="T1434" s="156"/>
      <c r="AZ1434" s="156"/>
      <c r="BA1434" s="156"/>
      <c r="BB1434" s="156"/>
      <c r="BC1434" s="156"/>
      <c r="BD1434" s="156"/>
      <c r="BE1434" s="156"/>
      <c r="BF1434" s="156"/>
      <c r="BG1434" s="156"/>
      <c r="BH1434" s="156"/>
      <c r="BI1434" s="156"/>
      <c r="BJ1434" s="156"/>
      <c r="BK1434" s="156"/>
      <c r="BL1434" s="156"/>
      <c r="BM1434" s="156"/>
      <c r="BN1434" s="156"/>
      <c r="BO1434" s="156"/>
      <c r="BP1434" s="156"/>
      <c r="BQ1434" s="156"/>
      <c r="BR1434" s="156"/>
      <c r="BS1434" s="156"/>
      <c r="BT1434" s="156"/>
      <c r="BU1434" s="156"/>
      <c r="BV1434" s="156"/>
      <c r="BW1434" s="156"/>
      <c r="BX1434" s="156"/>
      <c r="BY1434" s="156"/>
      <c r="BZ1434" s="156"/>
      <c r="CA1434" s="156"/>
      <c r="CB1434" s="156"/>
      <c r="CC1434" s="156"/>
      <c r="CD1434" s="156"/>
      <c r="CE1434" s="156"/>
      <c r="CF1434" s="156"/>
      <c r="CG1434" s="156"/>
      <c r="CH1434" s="156"/>
      <c r="CI1434" s="156"/>
      <c r="CJ1434" s="156"/>
      <c r="CK1434" s="156"/>
      <c r="CL1434" s="156"/>
      <c r="CM1434" s="156"/>
      <c r="CN1434" s="156"/>
      <c r="CO1434" s="156"/>
      <c r="CP1434" s="156"/>
      <c r="CQ1434" s="156"/>
      <c r="CR1434" s="156"/>
      <c r="CS1434" s="156"/>
      <c r="CT1434" s="156"/>
      <c r="CU1434" s="156"/>
      <c r="CV1434" s="156"/>
      <c r="CW1434" s="156"/>
      <c r="CX1434" s="156"/>
      <c r="CY1434" s="156"/>
      <c r="CZ1434" s="156"/>
      <c r="DA1434" s="156"/>
      <c r="DB1434" s="156"/>
      <c r="DC1434" s="156"/>
      <c r="DD1434" s="156"/>
      <c r="DE1434" s="156"/>
      <c r="DF1434" s="156"/>
      <c r="DG1434" s="156"/>
      <c r="DH1434" s="156"/>
      <c r="DI1434" s="156"/>
      <c r="DJ1434" s="156"/>
      <c r="DK1434" s="156"/>
      <c r="DL1434" s="156"/>
      <c r="DM1434" s="156"/>
      <c r="DN1434" s="156"/>
      <c r="DO1434" s="156"/>
      <c r="DP1434" s="156"/>
      <c r="DQ1434" s="156"/>
      <c r="DR1434" s="156"/>
      <c r="DS1434" s="156"/>
      <c r="DT1434" s="156"/>
      <c r="DU1434" s="156"/>
      <c r="DV1434" s="156"/>
      <c r="DW1434" s="156"/>
      <c r="DX1434" s="156"/>
      <c r="DY1434" s="156"/>
      <c r="DZ1434" s="156"/>
      <c r="EA1434" s="156"/>
      <c r="EB1434" s="156"/>
      <c r="EC1434" s="156"/>
      <c r="ED1434" s="156"/>
      <c r="EE1434" s="156"/>
      <c r="EF1434" s="156"/>
      <c r="EG1434" s="156"/>
      <c r="EH1434" s="156"/>
      <c r="EI1434" s="156"/>
      <c r="EJ1434" s="156"/>
      <c r="EK1434" s="156"/>
      <c r="EL1434" s="156"/>
      <c r="EM1434" s="156"/>
    </row>
    <row r="1435" spans="20:143" ht="10.5" customHeight="1">
      <c r="T1435" s="156"/>
      <c r="AZ1435" s="156"/>
      <c r="BA1435" s="156"/>
      <c r="BB1435" s="156"/>
      <c r="BC1435" s="156"/>
      <c r="BD1435" s="156"/>
      <c r="BE1435" s="156"/>
      <c r="BF1435" s="156"/>
      <c r="BG1435" s="156"/>
      <c r="BH1435" s="156"/>
      <c r="BI1435" s="156"/>
      <c r="BJ1435" s="156"/>
      <c r="BK1435" s="156"/>
      <c r="BL1435" s="156"/>
      <c r="BM1435" s="156"/>
      <c r="BN1435" s="156"/>
      <c r="BO1435" s="156"/>
      <c r="BP1435" s="156"/>
      <c r="BQ1435" s="156"/>
      <c r="BR1435" s="156"/>
      <c r="BS1435" s="156"/>
      <c r="BT1435" s="156"/>
      <c r="BU1435" s="156"/>
      <c r="BV1435" s="156"/>
      <c r="BW1435" s="156"/>
      <c r="BX1435" s="156"/>
      <c r="BY1435" s="156"/>
      <c r="BZ1435" s="156"/>
      <c r="CA1435" s="156"/>
      <c r="CB1435" s="156"/>
      <c r="CC1435" s="156"/>
      <c r="CD1435" s="156"/>
      <c r="CE1435" s="156"/>
      <c r="CF1435" s="156"/>
      <c r="CG1435" s="156"/>
      <c r="CH1435" s="156"/>
      <c r="CI1435" s="156"/>
      <c r="CJ1435" s="156"/>
      <c r="CK1435" s="156"/>
      <c r="CL1435" s="156"/>
      <c r="CM1435" s="156"/>
      <c r="CN1435" s="156"/>
      <c r="CO1435" s="156"/>
      <c r="CP1435" s="156"/>
      <c r="CQ1435" s="156"/>
      <c r="CR1435" s="156"/>
      <c r="CS1435" s="156"/>
      <c r="CT1435" s="156"/>
      <c r="CU1435" s="156"/>
      <c r="CV1435" s="156"/>
      <c r="CW1435" s="156"/>
      <c r="CX1435" s="156"/>
      <c r="CY1435" s="156"/>
      <c r="CZ1435" s="156"/>
      <c r="DA1435" s="156"/>
      <c r="DB1435" s="156"/>
      <c r="DC1435" s="156"/>
      <c r="DD1435" s="156"/>
      <c r="DE1435" s="156"/>
      <c r="DF1435" s="156"/>
      <c r="DG1435" s="156"/>
      <c r="DH1435" s="156"/>
      <c r="DI1435" s="156"/>
      <c r="DJ1435" s="156"/>
      <c r="DK1435" s="156"/>
      <c r="DL1435" s="156"/>
      <c r="DM1435" s="156"/>
      <c r="DN1435" s="156"/>
      <c r="DO1435" s="156"/>
      <c r="DP1435" s="156"/>
      <c r="DQ1435" s="156"/>
      <c r="DR1435" s="156"/>
      <c r="DS1435" s="156"/>
      <c r="DT1435" s="156"/>
      <c r="DU1435" s="156"/>
      <c r="DV1435" s="156"/>
      <c r="DW1435" s="156"/>
      <c r="DX1435" s="156"/>
      <c r="DY1435" s="156"/>
      <c r="DZ1435" s="156"/>
      <c r="EA1435" s="156"/>
      <c r="EB1435" s="156"/>
      <c r="EC1435" s="156"/>
      <c r="ED1435" s="156"/>
      <c r="EE1435" s="156"/>
      <c r="EF1435" s="156"/>
      <c r="EG1435" s="156"/>
      <c r="EH1435" s="156"/>
      <c r="EI1435" s="156"/>
      <c r="EJ1435" s="156"/>
      <c r="EK1435" s="156"/>
      <c r="EL1435" s="156"/>
      <c r="EM1435" s="156"/>
    </row>
    <row r="1436" spans="20:143" ht="10.5" customHeight="1">
      <c r="T1436" s="156"/>
      <c r="AZ1436" s="156"/>
      <c r="BA1436" s="156"/>
      <c r="BB1436" s="156"/>
      <c r="BC1436" s="156"/>
      <c r="BD1436" s="156"/>
      <c r="BE1436" s="156"/>
      <c r="BF1436" s="156"/>
      <c r="BG1436" s="156"/>
      <c r="BH1436" s="156"/>
      <c r="BI1436" s="156"/>
      <c r="BJ1436" s="156"/>
      <c r="BK1436" s="156"/>
      <c r="BL1436" s="156"/>
      <c r="BM1436" s="156"/>
      <c r="BN1436" s="156"/>
      <c r="BO1436" s="156"/>
      <c r="BP1436" s="156"/>
      <c r="BQ1436" s="156"/>
      <c r="BR1436" s="156"/>
      <c r="BS1436" s="156"/>
      <c r="BT1436" s="156"/>
      <c r="BU1436" s="156"/>
      <c r="BV1436" s="156"/>
      <c r="BW1436" s="156"/>
      <c r="BX1436" s="156"/>
      <c r="BY1436" s="156"/>
      <c r="BZ1436" s="156"/>
      <c r="CA1436" s="156"/>
      <c r="CB1436" s="156"/>
      <c r="CC1436" s="156"/>
      <c r="CD1436" s="156"/>
      <c r="CE1436" s="156"/>
      <c r="CF1436" s="156"/>
      <c r="CG1436" s="156"/>
      <c r="CH1436" s="156"/>
      <c r="CI1436" s="156"/>
      <c r="CJ1436" s="156"/>
      <c r="CK1436" s="156"/>
      <c r="CL1436" s="156"/>
      <c r="CM1436" s="156"/>
      <c r="CN1436" s="156"/>
      <c r="CO1436" s="156"/>
      <c r="CP1436" s="156"/>
      <c r="CQ1436" s="156"/>
      <c r="CR1436" s="156"/>
      <c r="CS1436" s="156"/>
      <c r="CT1436" s="156"/>
      <c r="CU1436" s="156"/>
      <c r="CV1436" s="156"/>
      <c r="CW1436" s="156"/>
      <c r="CX1436" s="156"/>
      <c r="CY1436" s="156"/>
      <c r="CZ1436" s="156"/>
      <c r="DA1436" s="156"/>
      <c r="DB1436" s="156"/>
      <c r="DC1436" s="156"/>
      <c r="DD1436" s="156"/>
      <c r="DE1436" s="156"/>
      <c r="DF1436" s="156"/>
      <c r="DG1436" s="156"/>
      <c r="DH1436" s="156"/>
      <c r="DI1436" s="156"/>
      <c r="DJ1436" s="156"/>
      <c r="DK1436" s="156"/>
      <c r="DL1436" s="156"/>
      <c r="DM1436" s="156"/>
      <c r="DN1436" s="156"/>
      <c r="DO1436" s="156"/>
      <c r="DP1436" s="156"/>
      <c r="DQ1436" s="156"/>
      <c r="DR1436" s="156"/>
      <c r="DS1436" s="156"/>
      <c r="DT1436" s="156"/>
      <c r="DU1436" s="156"/>
      <c r="DV1436" s="156"/>
      <c r="DW1436" s="156"/>
      <c r="DX1436" s="156"/>
      <c r="DY1436" s="156"/>
      <c r="DZ1436" s="156"/>
      <c r="EA1436" s="156"/>
      <c r="EB1436" s="156"/>
      <c r="EC1436" s="156"/>
      <c r="ED1436" s="156"/>
      <c r="EE1436" s="156"/>
      <c r="EF1436" s="156"/>
      <c r="EG1436" s="156"/>
      <c r="EH1436" s="156"/>
      <c r="EI1436" s="156"/>
      <c r="EJ1436" s="156"/>
      <c r="EK1436" s="156"/>
      <c r="EL1436" s="156"/>
      <c r="EM1436" s="156"/>
    </row>
    <row r="1437" spans="20:143" ht="10.5" customHeight="1">
      <c r="T1437" s="156"/>
      <c r="AZ1437" s="156"/>
      <c r="BA1437" s="156"/>
      <c r="BB1437" s="156"/>
      <c r="BC1437" s="156"/>
      <c r="BD1437" s="156"/>
      <c r="BE1437" s="156"/>
      <c r="BF1437" s="156"/>
      <c r="BG1437" s="156"/>
      <c r="BH1437" s="156"/>
      <c r="BI1437" s="156"/>
      <c r="BJ1437" s="156"/>
      <c r="BK1437" s="156"/>
      <c r="BL1437" s="156"/>
      <c r="BM1437" s="156"/>
      <c r="BN1437" s="156"/>
      <c r="BO1437" s="156"/>
      <c r="BP1437" s="156"/>
      <c r="BQ1437" s="156"/>
      <c r="BR1437" s="156"/>
      <c r="BS1437" s="156"/>
      <c r="BT1437" s="156"/>
      <c r="BU1437" s="156"/>
      <c r="BV1437" s="156"/>
      <c r="BW1437" s="156"/>
      <c r="BX1437" s="156"/>
      <c r="BY1437" s="156"/>
      <c r="BZ1437" s="156"/>
      <c r="CA1437" s="156"/>
      <c r="CB1437" s="156"/>
      <c r="CC1437" s="156"/>
      <c r="CD1437" s="156"/>
      <c r="CE1437" s="156"/>
      <c r="CF1437" s="156"/>
      <c r="CG1437" s="156"/>
      <c r="CH1437" s="156"/>
      <c r="CI1437" s="156"/>
      <c r="CJ1437" s="156"/>
      <c r="CK1437" s="156"/>
      <c r="CL1437" s="156"/>
      <c r="CM1437" s="156"/>
      <c r="CN1437" s="156"/>
      <c r="CO1437" s="156"/>
      <c r="CP1437" s="156"/>
      <c r="CQ1437" s="156"/>
      <c r="CR1437" s="156"/>
      <c r="CS1437" s="156"/>
      <c r="CT1437" s="156"/>
      <c r="CU1437" s="156"/>
      <c r="CV1437" s="156"/>
      <c r="CW1437" s="156"/>
      <c r="CX1437" s="156"/>
      <c r="CY1437" s="156"/>
      <c r="CZ1437" s="156"/>
      <c r="DA1437" s="156"/>
      <c r="DB1437" s="156"/>
      <c r="DC1437" s="156"/>
      <c r="DD1437" s="156"/>
      <c r="DE1437" s="156"/>
      <c r="DF1437" s="156"/>
      <c r="DG1437" s="156"/>
      <c r="DH1437" s="156"/>
      <c r="DI1437" s="156"/>
      <c r="DJ1437" s="156"/>
      <c r="DK1437" s="156"/>
      <c r="DL1437" s="156"/>
      <c r="DM1437" s="156"/>
      <c r="DN1437" s="156"/>
      <c r="DO1437" s="156"/>
      <c r="DP1437" s="156"/>
      <c r="DQ1437" s="156"/>
      <c r="DR1437" s="156"/>
      <c r="DS1437" s="156"/>
      <c r="DT1437" s="156"/>
      <c r="DU1437" s="156"/>
      <c r="DV1437" s="156"/>
      <c r="DW1437" s="156"/>
      <c r="DX1437" s="156"/>
      <c r="DY1437" s="156"/>
      <c r="DZ1437" s="156"/>
      <c r="EA1437" s="156"/>
      <c r="EB1437" s="156"/>
      <c r="EC1437" s="156"/>
      <c r="ED1437" s="156"/>
      <c r="EE1437" s="156"/>
      <c r="EF1437" s="156"/>
      <c r="EG1437" s="156"/>
      <c r="EH1437" s="156"/>
      <c r="EI1437" s="156"/>
      <c r="EJ1437" s="156"/>
      <c r="EK1437" s="156"/>
      <c r="EL1437" s="156"/>
      <c r="EM1437" s="156"/>
    </row>
    <row r="1438" spans="20:143" ht="10.5" customHeight="1">
      <c r="T1438" s="156"/>
      <c r="AZ1438" s="156"/>
      <c r="BA1438" s="156"/>
      <c r="BB1438" s="156"/>
      <c r="BC1438" s="156"/>
      <c r="BD1438" s="156"/>
      <c r="BE1438" s="156"/>
      <c r="BF1438" s="156"/>
      <c r="BG1438" s="156"/>
      <c r="BH1438" s="156"/>
      <c r="BI1438" s="156"/>
      <c r="BJ1438" s="156"/>
      <c r="BK1438" s="156"/>
      <c r="BL1438" s="156"/>
      <c r="BM1438" s="156"/>
      <c r="BN1438" s="156"/>
      <c r="BO1438" s="156"/>
      <c r="BP1438" s="156"/>
      <c r="BQ1438" s="156"/>
      <c r="BR1438" s="156"/>
      <c r="BS1438" s="156"/>
      <c r="BT1438" s="156"/>
      <c r="BU1438" s="156"/>
      <c r="BV1438" s="156"/>
      <c r="BW1438" s="156"/>
      <c r="BX1438" s="156"/>
      <c r="BY1438" s="156"/>
      <c r="BZ1438" s="156"/>
      <c r="CA1438" s="156"/>
      <c r="CB1438" s="156"/>
      <c r="CC1438" s="156"/>
      <c r="CD1438" s="156"/>
      <c r="CE1438" s="156"/>
      <c r="CF1438" s="156"/>
      <c r="CG1438" s="156"/>
      <c r="CH1438" s="156"/>
      <c r="CI1438" s="156"/>
      <c r="CJ1438" s="156"/>
      <c r="CK1438" s="156"/>
      <c r="CL1438" s="156"/>
      <c r="CM1438" s="156"/>
      <c r="CN1438" s="156"/>
      <c r="CO1438" s="156"/>
      <c r="CP1438" s="156"/>
      <c r="CQ1438" s="156"/>
      <c r="CR1438" s="156"/>
      <c r="CS1438" s="156"/>
      <c r="CT1438" s="156"/>
      <c r="CU1438" s="156"/>
      <c r="CV1438" s="156"/>
      <c r="CW1438" s="156"/>
      <c r="CX1438" s="156"/>
      <c r="CY1438" s="156"/>
      <c r="CZ1438" s="156"/>
      <c r="DA1438" s="156"/>
      <c r="DB1438" s="156"/>
      <c r="DC1438" s="156"/>
      <c r="DD1438" s="156"/>
      <c r="DE1438" s="156"/>
      <c r="DF1438" s="156"/>
      <c r="DG1438" s="156"/>
      <c r="DH1438" s="156"/>
      <c r="DI1438" s="156"/>
      <c r="DJ1438" s="156"/>
      <c r="DK1438" s="156"/>
      <c r="DL1438" s="156"/>
      <c r="DM1438" s="156"/>
      <c r="DN1438" s="156"/>
      <c r="DO1438" s="156"/>
      <c r="DP1438" s="156"/>
      <c r="DQ1438" s="156"/>
      <c r="DR1438" s="156"/>
      <c r="DS1438" s="156"/>
      <c r="DT1438" s="156"/>
      <c r="DU1438" s="156"/>
      <c r="DV1438" s="156"/>
      <c r="DW1438" s="156"/>
      <c r="DX1438" s="156"/>
      <c r="DY1438" s="156"/>
      <c r="DZ1438" s="156"/>
      <c r="EA1438" s="156"/>
      <c r="EB1438" s="156"/>
      <c r="EC1438" s="156"/>
      <c r="ED1438" s="156"/>
      <c r="EE1438" s="156"/>
      <c r="EF1438" s="156"/>
      <c r="EG1438" s="156"/>
      <c r="EH1438" s="156"/>
      <c r="EI1438" s="156"/>
      <c r="EJ1438" s="156"/>
      <c r="EK1438" s="156"/>
      <c r="EL1438" s="156"/>
      <c r="EM1438" s="156"/>
    </row>
    <row r="1439" spans="20:143" ht="10.5" customHeight="1">
      <c r="T1439" s="156"/>
      <c r="AZ1439" s="156"/>
      <c r="BA1439" s="156"/>
      <c r="BB1439" s="156"/>
      <c r="BC1439" s="156"/>
      <c r="BD1439" s="156"/>
      <c r="BE1439" s="156"/>
      <c r="BF1439" s="156"/>
      <c r="BG1439" s="156"/>
      <c r="BH1439" s="156"/>
      <c r="BI1439" s="156"/>
      <c r="BJ1439" s="156"/>
      <c r="BK1439" s="156"/>
      <c r="BL1439" s="156"/>
      <c r="BM1439" s="156"/>
      <c r="BN1439" s="156"/>
      <c r="BO1439" s="156"/>
      <c r="BP1439" s="156"/>
      <c r="BQ1439" s="156"/>
      <c r="BR1439" s="156"/>
      <c r="BS1439" s="156"/>
      <c r="BT1439" s="156"/>
      <c r="BU1439" s="156"/>
      <c r="BV1439" s="156"/>
      <c r="BW1439" s="156"/>
      <c r="BX1439" s="156"/>
      <c r="BY1439" s="156"/>
      <c r="BZ1439" s="156"/>
      <c r="CA1439" s="156"/>
      <c r="CB1439" s="156"/>
      <c r="CC1439" s="156"/>
      <c r="CD1439" s="156"/>
      <c r="CE1439" s="156"/>
      <c r="CF1439" s="156"/>
      <c r="CG1439" s="156"/>
      <c r="CH1439" s="156"/>
      <c r="CI1439" s="156"/>
      <c r="CJ1439" s="156"/>
      <c r="CK1439" s="156"/>
      <c r="CL1439" s="156"/>
      <c r="CM1439" s="156"/>
      <c r="CN1439" s="156"/>
      <c r="CO1439" s="156"/>
      <c r="CP1439" s="156"/>
      <c r="CQ1439" s="156"/>
      <c r="CR1439" s="156"/>
      <c r="CS1439" s="156"/>
      <c r="CT1439" s="156"/>
      <c r="CU1439" s="156"/>
      <c r="CV1439" s="156"/>
      <c r="CW1439" s="156"/>
      <c r="CX1439" s="156"/>
      <c r="CY1439" s="156"/>
      <c r="CZ1439" s="156"/>
      <c r="DA1439" s="156"/>
      <c r="DB1439" s="156"/>
      <c r="DC1439" s="156"/>
      <c r="DD1439" s="156"/>
      <c r="DE1439" s="156"/>
      <c r="DF1439" s="156"/>
      <c r="DG1439" s="156"/>
      <c r="DH1439" s="156"/>
      <c r="DI1439" s="156"/>
      <c r="DJ1439" s="156"/>
      <c r="DK1439" s="156"/>
      <c r="DL1439" s="156"/>
      <c r="DM1439" s="156"/>
      <c r="DN1439" s="156"/>
      <c r="DO1439" s="156"/>
      <c r="DP1439" s="156"/>
      <c r="DQ1439" s="156"/>
      <c r="DR1439" s="156"/>
      <c r="DS1439" s="156"/>
      <c r="DT1439" s="156"/>
      <c r="DU1439" s="156"/>
      <c r="DV1439" s="156"/>
      <c r="DW1439" s="156"/>
      <c r="DX1439" s="156"/>
      <c r="DY1439" s="156"/>
      <c r="DZ1439" s="156"/>
      <c r="EA1439" s="156"/>
      <c r="EB1439" s="156"/>
      <c r="EC1439" s="156"/>
      <c r="ED1439" s="156"/>
      <c r="EE1439" s="156"/>
      <c r="EF1439" s="156"/>
      <c r="EG1439" s="156"/>
      <c r="EH1439" s="156"/>
      <c r="EI1439" s="156"/>
      <c r="EJ1439" s="156"/>
      <c r="EK1439" s="156"/>
      <c r="EL1439" s="156"/>
      <c r="EM1439" s="156"/>
    </row>
    <row r="1440" spans="20:143" ht="10.5" customHeight="1">
      <c r="T1440" s="156"/>
      <c r="AZ1440" s="156"/>
      <c r="BA1440" s="156"/>
      <c r="BB1440" s="156"/>
      <c r="BC1440" s="156"/>
      <c r="BD1440" s="156"/>
      <c r="BE1440" s="156"/>
      <c r="BF1440" s="156"/>
      <c r="BG1440" s="156"/>
      <c r="BH1440" s="156"/>
      <c r="BI1440" s="156"/>
      <c r="BJ1440" s="156"/>
      <c r="BK1440" s="156"/>
      <c r="BL1440" s="156"/>
      <c r="BM1440" s="156"/>
      <c r="BN1440" s="156"/>
      <c r="BO1440" s="156"/>
      <c r="BP1440" s="156"/>
      <c r="BQ1440" s="156"/>
      <c r="BR1440" s="156"/>
      <c r="BS1440" s="156"/>
      <c r="BT1440" s="156"/>
      <c r="BU1440" s="156"/>
      <c r="BV1440" s="156"/>
      <c r="BW1440" s="156"/>
      <c r="BX1440" s="156"/>
      <c r="BY1440" s="156"/>
      <c r="BZ1440" s="156"/>
      <c r="CA1440" s="156"/>
      <c r="CB1440" s="156"/>
      <c r="CC1440" s="156"/>
      <c r="CD1440" s="156"/>
      <c r="CE1440" s="156"/>
      <c r="CF1440" s="156"/>
      <c r="CG1440" s="156"/>
      <c r="CH1440" s="156"/>
      <c r="CI1440" s="156"/>
      <c r="CJ1440" s="156"/>
      <c r="CK1440" s="156"/>
      <c r="CL1440" s="156"/>
      <c r="CM1440" s="156"/>
      <c r="CN1440" s="156"/>
      <c r="CO1440" s="156"/>
      <c r="CP1440" s="156"/>
      <c r="CQ1440" s="156"/>
      <c r="CR1440" s="156"/>
      <c r="CS1440" s="156"/>
      <c r="CT1440" s="156"/>
      <c r="CU1440" s="156"/>
      <c r="CV1440" s="156"/>
      <c r="CW1440" s="156"/>
      <c r="CX1440" s="156"/>
      <c r="CY1440" s="156"/>
      <c r="CZ1440" s="156"/>
      <c r="DA1440" s="156"/>
      <c r="DB1440" s="156"/>
      <c r="DC1440" s="156"/>
      <c r="DD1440" s="156"/>
      <c r="DE1440" s="156"/>
      <c r="DF1440" s="156"/>
      <c r="DG1440" s="156"/>
      <c r="DH1440" s="156"/>
      <c r="DI1440" s="156"/>
      <c r="DJ1440" s="156"/>
      <c r="DK1440" s="156"/>
      <c r="DL1440" s="156"/>
      <c r="DM1440" s="156"/>
      <c r="DN1440" s="156"/>
      <c r="DO1440" s="156"/>
      <c r="DP1440" s="156"/>
      <c r="DQ1440" s="156"/>
      <c r="DR1440" s="156"/>
      <c r="DS1440" s="156"/>
      <c r="DT1440" s="156"/>
      <c r="DU1440" s="156"/>
      <c r="DV1440" s="156"/>
      <c r="DW1440" s="156"/>
      <c r="DX1440" s="156"/>
      <c r="DY1440" s="156"/>
      <c r="DZ1440" s="156"/>
      <c r="EA1440" s="156"/>
      <c r="EB1440" s="156"/>
      <c r="EC1440" s="156"/>
      <c r="ED1440" s="156"/>
      <c r="EE1440" s="156"/>
      <c r="EF1440" s="156"/>
      <c r="EG1440" s="156"/>
      <c r="EH1440" s="156"/>
      <c r="EI1440" s="156"/>
      <c r="EJ1440" s="156"/>
      <c r="EK1440" s="156"/>
      <c r="EL1440" s="156"/>
      <c r="EM1440" s="156"/>
    </row>
    <row r="1441" spans="20:143" ht="10.5" customHeight="1">
      <c r="T1441" s="156"/>
      <c r="AZ1441" s="156"/>
      <c r="BA1441" s="156"/>
      <c r="BB1441" s="156"/>
      <c r="BC1441" s="156"/>
      <c r="BD1441" s="156"/>
      <c r="BE1441" s="156"/>
      <c r="BF1441" s="156"/>
      <c r="BG1441" s="156"/>
      <c r="BH1441" s="156"/>
      <c r="BI1441" s="156"/>
      <c r="BJ1441" s="156"/>
      <c r="BK1441" s="156"/>
      <c r="BL1441" s="156"/>
      <c r="BM1441" s="156"/>
      <c r="BN1441" s="156"/>
      <c r="BO1441" s="156"/>
      <c r="BP1441" s="156"/>
      <c r="BQ1441" s="156"/>
      <c r="BR1441" s="156"/>
      <c r="BS1441" s="156"/>
      <c r="BT1441" s="156"/>
      <c r="BU1441" s="156"/>
      <c r="BV1441" s="156"/>
      <c r="BW1441" s="156"/>
      <c r="BX1441" s="156"/>
      <c r="BY1441" s="156"/>
      <c r="BZ1441" s="156"/>
      <c r="CA1441" s="156"/>
      <c r="CB1441" s="156"/>
      <c r="CC1441" s="156"/>
      <c r="CD1441" s="156"/>
      <c r="CE1441" s="156"/>
      <c r="CF1441" s="156"/>
      <c r="CG1441" s="156"/>
      <c r="CH1441" s="156"/>
      <c r="CI1441" s="156"/>
      <c r="CJ1441" s="156"/>
      <c r="CK1441" s="156"/>
      <c r="CL1441" s="156"/>
      <c r="CM1441" s="156"/>
      <c r="CN1441" s="156"/>
      <c r="CO1441" s="156"/>
      <c r="CP1441" s="156"/>
      <c r="CQ1441" s="156"/>
      <c r="CR1441" s="156"/>
      <c r="CS1441" s="156"/>
      <c r="CT1441" s="156"/>
      <c r="CU1441" s="156"/>
      <c r="CV1441" s="156"/>
      <c r="CW1441" s="156"/>
      <c r="CX1441" s="156"/>
      <c r="CY1441" s="156"/>
      <c r="CZ1441" s="156"/>
      <c r="DA1441" s="156"/>
      <c r="DB1441" s="156"/>
      <c r="DC1441" s="156"/>
      <c r="DD1441" s="156"/>
      <c r="DE1441" s="156"/>
      <c r="DF1441" s="156"/>
      <c r="DG1441" s="156"/>
      <c r="DH1441" s="156"/>
      <c r="DI1441" s="156"/>
      <c r="DJ1441" s="156"/>
      <c r="DK1441" s="156"/>
      <c r="DL1441" s="156"/>
      <c r="DM1441" s="156"/>
      <c r="DN1441" s="156"/>
      <c r="DO1441" s="156"/>
      <c r="DP1441" s="156"/>
      <c r="DQ1441" s="156"/>
      <c r="DR1441" s="156"/>
      <c r="DS1441" s="156"/>
      <c r="DT1441" s="156"/>
      <c r="DU1441" s="156"/>
      <c r="DV1441" s="156"/>
      <c r="DW1441" s="156"/>
      <c r="DX1441" s="156"/>
      <c r="DY1441" s="156"/>
      <c r="DZ1441" s="156"/>
      <c r="EA1441" s="156"/>
      <c r="EB1441" s="156"/>
      <c r="EC1441" s="156"/>
      <c r="ED1441" s="156"/>
      <c r="EE1441" s="156"/>
      <c r="EF1441" s="156"/>
      <c r="EG1441" s="156"/>
      <c r="EH1441" s="156"/>
      <c r="EI1441" s="156"/>
      <c r="EJ1441" s="156"/>
      <c r="EK1441" s="156"/>
      <c r="EL1441" s="156"/>
      <c r="EM1441" s="156"/>
    </row>
    <row r="1442" spans="20:143" ht="10.5" customHeight="1">
      <c r="T1442" s="156"/>
      <c r="AZ1442" s="156"/>
      <c r="BA1442" s="156"/>
      <c r="BB1442" s="156"/>
      <c r="BC1442" s="156"/>
      <c r="BD1442" s="156"/>
      <c r="BE1442" s="156"/>
      <c r="BF1442" s="156"/>
      <c r="BG1442" s="156"/>
      <c r="BH1442" s="156"/>
      <c r="BI1442" s="156"/>
      <c r="BJ1442" s="156"/>
      <c r="BK1442" s="156"/>
      <c r="BL1442" s="156"/>
      <c r="BM1442" s="156"/>
      <c r="BN1442" s="156"/>
      <c r="BO1442" s="156"/>
      <c r="BP1442" s="156"/>
      <c r="BQ1442" s="156"/>
      <c r="BR1442" s="156"/>
      <c r="BS1442" s="156"/>
      <c r="BT1442" s="156"/>
      <c r="BU1442" s="156"/>
      <c r="BV1442" s="156"/>
      <c r="BW1442" s="156"/>
      <c r="BX1442" s="156"/>
      <c r="BY1442" s="156"/>
      <c r="BZ1442" s="156"/>
      <c r="CA1442" s="156"/>
      <c r="CB1442" s="156"/>
      <c r="CC1442" s="156"/>
      <c r="CD1442" s="156"/>
      <c r="CE1442" s="156"/>
      <c r="CF1442" s="156"/>
      <c r="CG1442" s="156"/>
      <c r="CH1442" s="156"/>
      <c r="CI1442" s="156"/>
      <c r="CJ1442" s="156"/>
      <c r="CK1442" s="156"/>
      <c r="CL1442" s="156"/>
      <c r="CM1442" s="156"/>
      <c r="CN1442" s="156"/>
      <c r="CO1442" s="156"/>
      <c r="CP1442" s="156"/>
      <c r="CQ1442" s="156"/>
      <c r="CR1442" s="156"/>
      <c r="CS1442" s="156"/>
      <c r="CT1442" s="156"/>
      <c r="CU1442" s="156"/>
      <c r="CV1442" s="156"/>
      <c r="CW1442" s="156"/>
      <c r="CX1442" s="156"/>
      <c r="CY1442" s="156"/>
      <c r="CZ1442" s="156"/>
      <c r="DA1442" s="156"/>
      <c r="DB1442" s="156"/>
      <c r="DC1442" s="156"/>
      <c r="DD1442" s="156"/>
      <c r="DE1442" s="156"/>
      <c r="DF1442" s="156"/>
      <c r="DG1442" s="156"/>
      <c r="DH1442" s="156"/>
      <c r="DI1442" s="156"/>
      <c r="DJ1442" s="156"/>
      <c r="DK1442" s="156"/>
      <c r="DL1442" s="156"/>
      <c r="DM1442" s="156"/>
      <c r="DN1442" s="156"/>
      <c r="DO1442" s="156"/>
      <c r="DP1442" s="156"/>
      <c r="DQ1442" s="156"/>
      <c r="DR1442" s="156"/>
      <c r="DS1442" s="156"/>
      <c r="DT1442" s="156"/>
      <c r="DU1442" s="156"/>
      <c r="DV1442" s="156"/>
      <c r="DW1442" s="156"/>
      <c r="DX1442" s="156"/>
      <c r="DY1442" s="156"/>
      <c r="DZ1442" s="156"/>
      <c r="EA1442" s="156"/>
      <c r="EB1442" s="156"/>
      <c r="EC1442" s="156"/>
      <c r="ED1442" s="156"/>
      <c r="EE1442" s="156"/>
      <c r="EF1442" s="156"/>
      <c r="EG1442" s="156"/>
      <c r="EH1442" s="156"/>
      <c r="EI1442" s="156"/>
      <c r="EJ1442" s="156"/>
      <c r="EK1442" s="156"/>
      <c r="EL1442" s="156"/>
      <c r="EM1442" s="156"/>
    </row>
    <row r="1443" spans="20:143" ht="10.5" customHeight="1">
      <c r="T1443" s="156"/>
      <c r="AZ1443" s="156"/>
      <c r="BA1443" s="156"/>
      <c r="BB1443" s="156"/>
      <c r="BC1443" s="156"/>
      <c r="BD1443" s="156"/>
      <c r="BE1443" s="156"/>
      <c r="BF1443" s="156"/>
      <c r="BG1443" s="156"/>
      <c r="BH1443" s="156"/>
      <c r="BI1443" s="156"/>
      <c r="BJ1443" s="156"/>
      <c r="BK1443" s="156"/>
      <c r="BL1443" s="156"/>
      <c r="BM1443" s="156"/>
      <c r="BN1443" s="156"/>
      <c r="BO1443" s="156"/>
      <c r="BP1443" s="156"/>
      <c r="BQ1443" s="156"/>
      <c r="BR1443" s="156"/>
      <c r="BS1443" s="156"/>
      <c r="BT1443" s="156"/>
      <c r="BU1443" s="156"/>
      <c r="BV1443" s="156"/>
      <c r="BW1443" s="156"/>
      <c r="BX1443" s="156"/>
      <c r="BY1443" s="156"/>
      <c r="BZ1443" s="156"/>
      <c r="CA1443" s="156"/>
      <c r="CB1443" s="156"/>
      <c r="CC1443" s="156"/>
      <c r="CD1443" s="156"/>
      <c r="CE1443" s="156"/>
      <c r="CF1443" s="156"/>
      <c r="CG1443" s="156"/>
      <c r="CH1443" s="156"/>
      <c r="CI1443" s="156"/>
      <c r="CJ1443" s="156"/>
      <c r="CK1443" s="156"/>
      <c r="CL1443" s="156"/>
      <c r="CM1443" s="156"/>
      <c r="CN1443" s="156"/>
      <c r="CO1443" s="156"/>
      <c r="CP1443" s="156"/>
      <c r="CQ1443" s="156"/>
      <c r="CR1443" s="156"/>
      <c r="CS1443" s="156"/>
      <c r="CT1443" s="156"/>
      <c r="CU1443" s="156"/>
      <c r="CV1443" s="156"/>
      <c r="CW1443" s="156"/>
      <c r="CX1443" s="156"/>
      <c r="CY1443" s="156"/>
      <c r="CZ1443" s="156"/>
      <c r="DA1443" s="156"/>
      <c r="DB1443" s="156"/>
      <c r="DC1443" s="156"/>
      <c r="DD1443" s="156"/>
      <c r="DE1443" s="156"/>
      <c r="DF1443" s="156"/>
      <c r="DG1443" s="156"/>
      <c r="DH1443" s="156"/>
      <c r="DI1443" s="156"/>
      <c r="DJ1443" s="156"/>
      <c r="DK1443" s="156"/>
      <c r="DL1443" s="156"/>
      <c r="DM1443" s="156"/>
      <c r="DN1443" s="156"/>
      <c r="DO1443" s="156"/>
      <c r="DP1443" s="156"/>
      <c r="DQ1443" s="156"/>
      <c r="DR1443" s="156"/>
      <c r="DS1443" s="156"/>
      <c r="DT1443" s="156"/>
      <c r="DU1443" s="156"/>
      <c r="DV1443" s="156"/>
      <c r="DW1443" s="156"/>
      <c r="DX1443" s="156"/>
      <c r="DY1443" s="156"/>
      <c r="DZ1443" s="156"/>
      <c r="EA1443" s="156"/>
      <c r="EB1443" s="156"/>
      <c r="EC1443" s="156"/>
      <c r="ED1443" s="156"/>
      <c r="EE1443" s="156"/>
      <c r="EF1443" s="156"/>
      <c r="EG1443" s="156"/>
      <c r="EH1443" s="156"/>
      <c r="EI1443" s="156"/>
      <c r="EJ1443" s="156"/>
      <c r="EK1443" s="156"/>
      <c r="EL1443" s="156"/>
      <c r="EM1443" s="156"/>
    </row>
    <row r="1444" spans="20:143" ht="10.5" customHeight="1">
      <c r="T1444" s="156"/>
      <c r="AZ1444" s="156"/>
      <c r="BA1444" s="156"/>
      <c r="BB1444" s="156"/>
      <c r="BC1444" s="156"/>
      <c r="BD1444" s="156"/>
      <c r="BE1444" s="156"/>
      <c r="BF1444" s="156"/>
      <c r="BG1444" s="156"/>
      <c r="BH1444" s="156"/>
      <c r="BI1444" s="156"/>
      <c r="BJ1444" s="156"/>
      <c r="BK1444" s="156"/>
      <c r="BL1444" s="156"/>
      <c r="BM1444" s="156"/>
      <c r="BN1444" s="156"/>
      <c r="BO1444" s="156"/>
      <c r="BP1444" s="156"/>
      <c r="BQ1444" s="156"/>
      <c r="BR1444" s="156"/>
      <c r="BS1444" s="156"/>
      <c r="BT1444" s="156"/>
      <c r="BU1444" s="156"/>
      <c r="BV1444" s="156"/>
      <c r="BW1444" s="156"/>
      <c r="BX1444" s="156"/>
      <c r="BY1444" s="156"/>
      <c r="BZ1444" s="156"/>
      <c r="CA1444" s="156"/>
      <c r="CB1444" s="156"/>
      <c r="CC1444" s="156"/>
      <c r="CD1444" s="156"/>
      <c r="CE1444" s="156"/>
      <c r="CF1444" s="156"/>
      <c r="CG1444" s="156"/>
      <c r="CH1444" s="156"/>
      <c r="CI1444" s="156"/>
      <c r="CJ1444" s="156"/>
      <c r="CK1444" s="156"/>
      <c r="CL1444" s="156"/>
      <c r="CM1444" s="156"/>
      <c r="CN1444" s="156"/>
      <c r="CO1444" s="156"/>
      <c r="CP1444" s="156"/>
      <c r="CQ1444" s="156"/>
      <c r="CR1444" s="156"/>
      <c r="CS1444" s="156"/>
      <c r="CT1444" s="156"/>
      <c r="CU1444" s="156"/>
      <c r="CV1444" s="156"/>
      <c r="CW1444" s="156"/>
      <c r="CX1444" s="156"/>
      <c r="CY1444" s="156"/>
      <c r="CZ1444" s="156"/>
      <c r="DA1444" s="156"/>
      <c r="DB1444" s="156"/>
      <c r="DC1444" s="156"/>
      <c r="DD1444" s="156"/>
      <c r="DE1444" s="156"/>
      <c r="DF1444" s="156"/>
      <c r="DG1444" s="156"/>
      <c r="DH1444" s="156"/>
      <c r="DI1444" s="156"/>
      <c r="DJ1444" s="156"/>
      <c r="DK1444" s="156"/>
      <c r="DL1444" s="156"/>
      <c r="DM1444" s="156"/>
      <c r="DN1444" s="156"/>
      <c r="DO1444" s="156"/>
      <c r="DP1444" s="156"/>
      <c r="DQ1444" s="156"/>
      <c r="DR1444" s="156"/>
      <c r="DS1444" s="156"/>
      <c r="DT1444" s="156"/>
      <c r="DU1444" s="156"/>
      <c r="DV1444" s="156"/>
      <c r="DW1444" s="156"/>
      <c r="DX1444" s="156"/>
      <c r="DY1444" s="156"/>
      <c r="DZ1444" s="156"/>
      <c r="EA1444" s="156"/>
      <c r="EB1444" s="156"/>
      <c r="EC1444" s="156"/>
      <c r="ED1444" s="156"/>
      <c r="EE1444" s="156"/>
      <c r="EF1444" s="156"/>
      <c r="EG1444" s="156"/>
      <c r="EH1444" s="156"/>
      <c r="EI1444" s="156"/>
      <c r="EJ1444" s="156"/>
      <c r="EK1444" s="156"/>
      <c r="EL1444" s="156"/>
      <c r="EM1444" s="156"/>
    </row>
    <row r="1445" spans="20:143" ht="10.5" customHeight="1">
      <c r="T1445" s="156"/>
      <c r="AZ1445" s="156"/>
      <c r="BA1445" s="156"/>
      <c r="BB1445" s="156"/>
      <c r="BC1445" s="156"/>
      <c r="BD1445" s="156"/>
      <c r="BE1445" s="156"/>
      <c r="BF1445" s="156"/>
      <c r="BG1445" s="156"/>
      <c r="BH1445" s="156"/>
      <c r="BI1445" s="156"/>
      <c r="BJ1445" s="156"/>
      <c r="BK1445" s="156"/>
      <c r="BL1445" s="156"/>
      <c r="BM1445" s="156"/>
      <c r="BN1445" s="156"/>
      <c r="BO1445" s="156"/>
      <c r="BP1445" s="156"/>
      <c r="BQ1445" s="156"/>
      <c r="BR1445" s="156"/>
      <c r="BS1445" s="156"/>
      <c r="BT1445" s="156"/>
      <c r="BU1445" s="156"/>
      <c r="BV1445" s="156"/>
      <c r="BW1445" s="156"/>
      <c r="BX1445" s="156"/>
      <c r="BY1445" s="156"/>
      <c r="BZ1445" s="156"/>
      <c r="CA1445" s="156"/>
      <c r="CB1445" s="156"/>
      <c r="CC1445" s="156"/>
      <c r="CD1445" s="156"/>
      <c r="CE1445" s="156"/>
      <c r="CF1445" s="156"/>
      <c r="CG1445" s="156"/>
      <c r="CH1445" s="156"/>
      <c r="CI1445" s="156"/>
      <c r="CJ1445" s="156"/>
      <c r="CK1445" s="156"/>
      <c r="CL1445" s="156"/>
      <c r="CM1445" s="156"/>
      <c r="CN1445" s="156"/>
      <c r="CO1445" s="156"/>
      <c r="CP1445" s="156"/>
      <c r="CQ1445" s="156"/>
      <c r="CR1445" s="156"/>
      <c r="CS1445" s="156"/>
      <c r="CT1445" s="156"/>
      <c r="CU1445" s="156"/>
      <c r="CV1445" s="156"/>
      <c r="CW1445" s="156"/>
      <c r="CX1445" s="156"/>
      <c r="CY1445" s="156"/>
      <c r="CZ1445" s="156"/>
      <c r="DA1445" s="156"/>
      <c r="DB1445" s="156"/>
      <c r="DC1445" s="156"/>
      <c r="DD1445" s="156"/>
      <c r="DE1445" s="156"/>
      <c r="DF1445" s="156"/>
      <c r="DG1445" s="156"/>
      <c r="DH1445" s="156"/>
      <c r="DI1445" s="156"/>
      <c r="DJ1445" s="156"/>
      <c r="DK1445" s="156"/>
      <c r="DL1445" s="156"/>
      <c r="DM1445" s="156"/>
      <c r="DN1445" s="156"/>
      <c r="DO1445" s="156"/>
      <c r="DP1445" s="156"/>
      <c r="DQ1445" s="156"/>
      <c r="DR1445" s="156"/>
      <c r="DS1445" s="156"/>
      <c r="DT1445" s="156"/>
      <c r="DU1445" s="156"/>
      <c r="DV1445" s="156"/>
      <c r="DW1445" s="156"/>
      <c r="DX1445" s="156"/>
      <c r="DY1445" s="156"/>
      <c r="DZ1445" s="156"/>
      <c r="EA1445" s="156"/>
      <c r="EB1445" s="156"/>
      <c r="EC1445" s="156"/>
      <c r="ED1445" s="156"/>
      <c r="EE1445" s="156"/>
      <c r="EF1445" s="156"/>
      <c r="EG1445" s="156"/>
      <c r="EH1445" s="156"/>
      <c r="EI1445" s="156"/>
      <c r="EJ1445" s="156"/>
      <c r="EK1445" s="156"/>
      <c r="EL1445" s="156"/>
      <c r="EM1445" s="156"/>
    </row>
    <row r="1446" spans="20:143" ht="10.5" customHeight="1">
      <c r="T1446" s="156"/>
      <c r="AZ1446" s="156"/>
      <c r="BA1446" s="156"/>
      <c r="BB1446" s="156"/>
      <c r="BC1446" s="156"/>
      <c r="BD1446" s="156"/>
      <c r="BE1446" s="156"/>
      <c r="BF1446" s="156"/>
      <c r="BG1446" s="156"/>
      <c r="BH1446" s="156"/>
      <c r="BI1446" s="156"/>
      <c r="BJ1446" s="156"/>
      <c r="BK1446" s="156"/>
      <c r="BL1446" s="156"/>
      <c r="BM1446" s="156"/>
      <c r="BN1446" s="156"/>
      <c r="BO1446" s="156"/>
      <c r="BP1446" s="156"/>
      <c r="BQ1446" s="156"/>
      <c r="BR1446" s="156"/>
      <c r="BS1446" s="156"/>
      <c r="BT1446" s="156"/>
      <c r="BU1446" s="156"/>
      <c r="BV1446" s="156"/>
      <c r="BW1446" s="156"/>
      <c r="BX1446" s="156"/>
      <c r="BY1446" s="156"/>
      <c r="BZ1446" s="156"/>
      <c r="CA1446" s="156"/>
      <c r="CB1446" s="156"/>
      <c r="CC1446" s="156"/>
      <c r="CD1446" s="156"/>
      <c r="CE1446" s="156"/>
      <c r="CF1446" s="156"/>
      <c r="CG1446" s="156"/>
      <c r="CH1446" s="156"/>
      <c r="CI1446" s="156"/>
      <c r="CJ1446" s="156"/>
      <c r="CK1446" s="156"/>
      <c r="CL1446" s="156"/>
      <c r="CM1446" s="156"/>
      <c r="CN1446" s="156"/>
      <c r="CO1446" s="156"/>
      <c r="CP1446" s="156"/>
      <c r="CQ1446" s="156"/>
      <c r="CR1446" s="156"/>
      <c r="CS1446" s="156"/>
      <c r="CT1446" s="156"/>
      <c r="CU1446" s="156"/>
      <c r="CV1446" s="156"/>
      <c r="CW1446" s="156"/>
      <c r="CX1446" s="156"/>
      <c r="CY1446" s="156"/>
      <c r="CZ1446" s="156"/>
      <c r="DA1446" s="156"/>
      <c r="DB1446" s="156"/>
      <c r="DC1446" s="156"/>
      <c r="DD1446" s="156"/>
      <c r="DE1446" s="156"/>
      <c r="DF1446" s="156"/>
      <c r="DG1446" s="156"/>
      <c r="DH1446" s="156"/>
      <c r="DI1446" s="156"/>
      <c r="DJ1446" s="156"/>
      <c r="DK1446" s="156"/>
      <c r="DL1446" s="156"/>
      <c r="DM1446" s="156"/>
      <c r="DN1446" s="156"/>
      <c r="DO1446" s="156"/>
      <c r="DP1446" s="156"/>
      <c r="DQ1446" s="156"/>
      <c r="DR1446" s="156"/>
      <c r="DS1446" s="156"/>
      <c r="DT1446" s="156"/>
      <c r="DU1446" s="156"/>
      <c r="DV1446" s="156"/>
      <c r="DW1446" s="156"/>
      <c r="DX1446" s="156"/>
      <c r="DY1446" s="156"/>
      <c r="DZ1446" s="156"/>
      <c r="EA1446" s="156"/>
      <c r="EB1446" s="156"/>
      <c r="EC1446" s="156"/>
      <c r="ED1446" s="156"/>
      <c r="EE1446" s="156"/>
      <c r="EF1446" s="156"/>
      <c r="EG1446" s="156"/>
      <c r="EH1446" s="156"/>
      <c r="EI1446" s="156"/>
      <c r="EJ1446" s="156"/>
      <c r="EK1446" s="156"/>
      <c r="EL1446" s="156"/>
      <c r="EM1446" s="156"/>
    </row>
    <row r="1447" spans="20:143" ht="10.5" customHeight="1">
      <c r="T1447" s="156"/>
      <c r="AZ1447" s="156"/>
      <c r="BA1447" s="156"/>
      <c r="BB1447" s="156"/>
      <c r="BC1447" s="156"/>
      <c r="BD1447" s="156"/>
      <c r="BE1447" s="156"/>
      <c r="BF1447" s="156"/>
      <c r="BG1447" s="156"/>
      <c r="BH1447" s="156"/>
      <c r="BI1447" s="156"/>
      <c r="BJ1447" s="156"/>
      <c r="BK1447" s="156"/>
      <c r="BL1447" s="156"/>
      <c r="BM1447" s="156"/>
      <c r="BN1447" s="156"/>
      <c r="BO1447" s="156"/>
      <c r="BP1447" s="156"/>
      <c r="BQ1447" s="156"/>
      <c r="BR1447" s="156"/>
      <c r="BS1447" s="156"/>
      <c r="BT1447" s="156"/>
      <c r="BU1447" s="156"/>
      <c r="BV1447" s="156"/>
      <c r="BW1447" s="156"/>
      <c r="BX1447" s="156"/>
      <c r="BY1447" s="156"/>
      <c r="BZ1447" s="156"/>
      <c r="CA1447" s="156"/>
      <c r="CB1447" s="156"/>
      <c r="CC1447" s="156"/>
      <c r="CD1447" s="156"/>
      <c r="CE1447" s="156"/>
      <c r="CF1447" s="156"/>
      <c r="CG1447" s="156"/>
      <c r="CH1447" s="156"/>
      <c r="CI1447" s="156"/>
      <c r="CJ1447" s="156"/>
      <c r="CK1447" s="156"/>
      <c r="CL1447" s="156"/>
      <c r="CM1447" s="156"/>
      <c r="CN1447" s="156"/>
      <c r="CO1447" s="156"/>
      <c r="CP1447" s="156"/>
      <c r="CQ1447" s="156"/>
      <c r="CR1447" s="156"/>
      <c r="CS1447" s="156"/>
      <c r="CT1447" s="156"/>
      <c r="CU1447" s="156"/>
      <c r="CV1447" s="156"/>
      <c r="CW1447" s="156"/>
      <c r="CX1447" s="156"/>
      <c r="CY1447" s="156"/>
      <c r="CZ1447" s="156"/>
      <c r="DA1447" s="156"/>
      <c r="DB1447" s="156"/>
      <c r="DC1447" s="156"/>
      <c r="DD1447" s="156"/>
      <c r="DE1447" s="156"/>
      <c r="DF1447" s="156"/>
      <c r="DG1447" s="156"/>
      <c r="DH1447" s="156"/>
      <c r="DI1447" s="156"/>
      <c r="DJ1447" s="156"/>
      <c r="DK1447" s="156"/>
      <c r="DL1447" s="156"/>
      <c r="DM1447" s="156"/>
      <c r="DN1447" s="156"/>
      <c r="DO1447" s="156"/>
      <c r="DP1447" s="156"/>
      <c r="DQ1447" s="156"/>
      <c r="DR1447" s="156"/>
      <c r="DS1447" s="156"/>
      <c r="DT1447" s="156"/>
      <c r="DU1447" s="156"/>
      <c r="DV1447" s="156"/>
      <c r="DW1447" s="156"/>
      <c r="DX1447" s="156"/>
      <c r="DY1447" s="156"/>
      <c r="DZ1447" s="156"/>
      <c r="EA1447" s="156"/>
      <c r="EB1447" s="156"/>
      <c r="EC1447" s="156"/>
      <c r="ED1447" s="156"/>
      <c r="EE1447" s="156"/>
      <c r="EF1447" s="156"/>
      <c r="EG1447" s="156"/>
      <c r="EH1447" s="156"/>
      <c r="EI1447" s="156"/>
      <c r="EJ1447" s="156"/>
      <c r="EK1447" s="156"/>
      <c r="EL1447" s="156"/>
      <c r="EM1447" s="156"/>
    </row>
    <row r="1448" spans="20:143" ht="10.5" customHeight="1">
      <c r="T1448" s="156"/>
      <c r="AZ1448" s="156"/>
      <c r="BA1448" s="156"/>
      <c r="BB1448" s="156"/>
      <c r="BC1448" s="156"/>
      <c r="BD1448" s="156"/>
      <c r="BE1448" s="156"/>
      <c r="BF1448" s="156"/>
      <c r="BG1448" s="156"/>
      <c r="BH1448" s="156"/>
      <c r="BI1448" s="156"/>
      <c r="BJ1448" s="156"/>
      <c r="BK1448" s="156"/>
      <c r="BL1448" s="156"/>
      <c r="BM1448" s="156"/>
      <c r="BN1448" s="156"/>
      <c r="BO1448" s="156"/>
      <c r="BP1448" s="156"/>
      <c r="BQ1448" s="156"/>
      <c r="BR1448" s="156"/>
      <c r="BS1448" s="156"/>
      <c r="BT1448" s="156"/>
      <c r="BU1448" s="156"/>
      <c r="BV1448" s="156"/>
      <c r="BW1448" s="156"/>
      <c r="BX1448" s="156"/>
      <c r="BY1448" s="156"/>
      <c r="BZ1448" s="156"/>
      <c r="CA1448" s="156"/>
      <c r="CB1448" s="156"/>
      <c r="CC1448" s="156"/>
      <c r="CD1448" s="156"/>
      <c r="CE1448" s="156"/>
      <c r="CF1448" s="156"/>
      <c r="CG1448" s="156"/>
      <c r="CH1448" s="156"/>
      <c r="CI1448" s="156"/>
      <c r="CJ1448" s="156"/>
      <c r="CK1448" s="156"/>
      <c r="CL1448" s="156"/>
      <c r="CM1448" s="156"/>
      <c r="CN1448" s="156"/>
      <c r="CO1448" s="156"/>
      <c r="CP1448" s="156"/>
      <c r="CQ1448" s="156"/>
      <c r="CR1448" s="156"/>
      <c r="CS1448" s="156"/>
      <c r="CT1448" s="156"/>
      <c r="CU1448" s="156"/>
      <c r="CV1448" s="156"/>
      <c r="CW1448" s="156"/>
      <c r="CX1448" s="156"/>
      <c r="CY1448" s="156"/>
      <c r="CZ1448" s="156"/>
      <c r="DA1448" s="156"/>
      <c r="DB1448" s="156"/>
      <c r="DC1448" s="156"/>
      <c r="DD1448" s="156"/>
      <c r="DE1448" s="156"/>
      <c r="DF1448" s="156"/>
      <c r="DG1448" s="156"/>
      <c r="DH1448" s="156"/>
      <c r="DI1448" s="156"/>
      <c r="DJ1448" s="156"/>
      <c r="DK1448" s="156"/>
      <c r="DL1448" s="156"/>
      <c r="DM1448" s="156"/>
      <c r="DN1448" s="156"/>
      <c r="DO1448" s="156"/>
      <c r="DP1448" s="156"/>
      <c r="DQ1448" s="156"/>
      <c r="DR1448" s="156"/>
      <c r="DS1448" s="156"/>
      <c r="DT1448" s="156"/>
      <c r="DU1448" s="156"/>
      <c r="DV1448" s="156"/>
      <c r="DW1448" s="156"/>
      <c r="DX1448" s="156"/>
      <c r="DY1448" s="156"/>
      <c r="DZ1448" s="156"/>
      <c r="EA1448" s="156"/>
      <c r="EB1448" s="156"/>
      <c r="EC1448" s="156"/>
      <c r="ED1448" s="156"/>
      <c r="EE1448" s="156"/>
      <c r="EF1448" s="156"/>
      <c r="EG1448" s="156"/>
      <c r="EH1448" s="156"/>
      <c r="EI1448" s="156"/>
      <c r="EJ1448" s="156"/>
      <c r="EK1448" s="156"/>
      <c r="EL1448" s="156"/>
      <c r="EM1448" s="156"/>
    </row>
    <row r="1449" spans="20:143" ht="10.5" customHeight="1">
      <c r="T1449" s="156"/>
      <c r="AZ1449" s="156"/>
      <c r="BA1449" s="156"/>
      <c r="BB1449" s="156"/>
      <c r="BC1449" s="156"/>
      <c r="BD1449" s="156"/>
      <c r="BE1449" s="156"/>
      <c r="BF1449" s="156"/>
      <c r="BG1449" s="156"/>
      <c r="BH1449" s="156"/>
      <c r="BI1449" s="156"/>
      <c r="BJ1449" s="156"/>
      <c r="BK1449" s="156"/>
      <c r="BL1449" s="156"/>
      <c r="BM1449" s="156"/>
      <c r="BN1449" s="156"/>
      <c r="BO1449" s="156"/>
      <c r="BP1449" s="156"/>
      <c r="BQ1449" s="156"/>
      <c r="BR1449" s="156"/>
      <c r="BS1449" s="156"/>
      <c r="BT1449" s="156"/>
      <c r="BU1449" s="156"/>
      <c r="BV1449" s="156"/>
      <c r="BW1449" s="156"/>
      <c r="BX1449" s="156"/>
      <c r="BY1449" s="156"/>
      <c r="BZ1449" s="156"/>
      <c r="CA1449" s="156"/>
      <c r="CB1449" s="156"/>
      <c r="CC1449" s="156"/>
      <c r="CD1449" s="156"/>
      <c r="CE1449" s="156"/>
      <c r="CF1449" s="156"/>
      <c r="CG1449" s="156"/>
      <c r="CH1449" s="156"/>
      <c r="CI1449" s="156"/>
      <c r="CJ1449" s="156"/>
      <c r="CK1449" s="156"/>
      <c r="CL1449" s="156"/>
      <c r="CM1449" s="156"/>
      <c r="CN1449" s="156"/>
      <c r="CO1449" s="156"/>
      <c r="CP1449" s="156"/>
      <c r="CQ1449" s="156"/>
      <c r="CR1449" s="156"/>
      <c r="CS1449" s="156"/>
      <c r="CT1449" s="156"/>
      <c r="CU1449" s="156"/>
      <c r="CV1449" s="156"/>
      <c r="CW1449" s="156"/>
      <c r="CX1449" s="156"/>
      <c r="CY1449" s="156"/>
      <c r="CZ1449" s="156"/>
      <c r="DA1449" s="156"/>
      <c r="DB1449" s="156"/>
      <c r="DC1449" s="156"/>
      <c r="DD1449" s="156"/>
      <c r="DE1449" s="156"/>
      <c r="DF1449" s="156"/>
      <c r="DG1449" s="156"/>
      <c r="DH1449" s="156"/>
      <c r="DI1449" s="156"/>
      <c r="DJ1449" s="156"/>
      <c r="DK1449" s="156"/>
      <c r="DL1449" s="156"/>
      <c r="DM1449" s="156"/>
      <c r="DN1449" s="156"/>
      <c r="DO1449" s="156"/>
      <c r="DP1449" s="156"/>
      <c r="DQ1449" s="156"/>
      <c r="DR1449" s="156"/>
      <c r="DS1449" s="156"/>
      <c r="DT1449" s="156"/>
      <c r="DU1449" s="156"/>
      <c r="DV1449" s="156"/>
      <c r="DW1449" s="156"/>
      <c r="DX1449" s="156"/>
      <c r="DY1449" s="156"/>
      <c r="DZ1449" s="156"/>
      <c r="EA1449" s="156"/>
      <c r="EB1449" s="156"/>
      <c r="EC1449" s="156"/>
      <c r="ED1449" s="156"/>
      <c r="EE1449" s="156"/>
      <c r="EF1449" s="156"/>
      <c r="EG1449" s="156"/>
      <c r="EH1449" s="156"/>
      <c r="EI1449" s="156"/>
      <c r="EJ1449" s="156"/>
      <c r="EK1449" s="156"/>
      <c r="EL1449" s="156"/>
      <c r="EM1449" s="156"/>
    </row>
    <row r="1450" spans="20:143" ht="10.5" customHeight="1">
      <c r="T1450" s="156"/>
      <c r="AZ1450" s="156"/>
      <c r="BA1450" s="156"/>
      <c r="BB1450" s="156"/>
      <c r="BC1450" s="156"/>
      <c r="BD1450" s="156"/>
      <c r="BE1450" s="156"/>
      <c r="BF1450" s="156"/>
      <c r="BG1450" s="156"/>
      <c r="BH1450" s="156"/>
      <c r="BI1450" s="156"/>
      <c r="BJ1450" s="156"/>
      <c r="BK1450" s="156"/>
      <c r="BL1450" s="156"/>
      <c r="BM1450" s="156"/>
      <c r="BN1450" s="156"/>
      <c r="BO1450" s="156"/>
      <c r="BP1450" s="156"/>
      <c r="BQ1450" s="156"/>
      <c r="BR1450" s="156"/>
      <c r="BS1450" s="156"/>
      <c r="BT1450" s="156"/>
      <c r="BU1450" s="156"/>
      <c r="BV1450" s="156"/>
      <c r="BW1450" s="156"/>
      <c r="BX1450" s="156"/>
      <c r="BY1450" s="156"/>
      <c r="BZ1450" s="156"/>
      <c r="CA1450" s="156"/>
      <c r="CB1450" s="156"/>
      <c r="CC1450" s="156"/>
      <c r="CD1450" s="156"/>
      <c r="CE1450" s="156"/>
      <c r="CF1450" s="156"/>
      <c r="CG1450" s="156"/>
      <c r="CH1450" s="156"/>
      <c r="CI1450" s="156"/>
      <c r="CJ1450" s="156"/>
      <c r="CK1450" s="156"/>
      <c r="CL1450" s="156"/>
      <c r="CM1450" s="156"/>
      <c r="CN1450" s="156"/>
      <c r="CO1450" s="156"/>
      <c r="CP1450" s="156"/>
      <c r="CQ1450" s="156"/>
      <c r="CR1450" s="156"/>
      <c r="CS1450" s="156"/>
      <c r="CT1450" s="156"/>
      <c r="CU1450" s="156"/>
      <c r="CV1450" s="156"/>
      <c r="CW1450" s="156"/>
      <c r="CX1450" s="156"/>
      <c r="CY1450" s="156"/>
      <c r="CZ1450" s="156"/>
      <c r="DA1450" s="156"/>
      <c r="DB1450" s="156"/>
      <c r="DC1450" s="156"/>
      <c r="DD1450" s="156"/>
      <c r="DE1450" s="156"/>
      <c r="DF1450" s="156"/>
      <c r="DG1450" s="156"/>
      <c r="DH1450" s="156"/>
      <c r="DI1450" s="156"/>
      <c r="DJ1450" s="156"/>
      <c r="DK1450" s="156"/>
      <c r="DL1450" s="156"/>
      <c r="DM1450" s="156"/>
      <c r="DN1450" s="156"/>
      <c r="DO1450" s="156"/>
      <c r="DP1450" s="156"/>
      <c r="DQ1450" s="156"/>
      <c r="DR1450" s="156"/>
      <c r="DS1450" s="156"/>
      <c r="DT1450" s="156"/>
      <c r="DU1450" s="156"/>
      <c r="DV1450" s="156"/>
      <c r="DW1450" s="156"/>
      <c r="DX1450" s="156"/>
      <c r="DY1450" s="156"/>
      <c r="DZ1450" s="156"/>
      <c r="EA1450" s="156"/>
      <c r="EB1450" s="156"/>
      <c r="EC1450" s="156"/>
      <c r="ED1450" s="156"/>
      <c r="EE1450" s="156"/>
      <c r="EF1450" s="156"/>
      <c r="EG1450" s="156"/>
      <c r="EH1450" s="156"/>
      <c r="EI1450" s="156"/>
      <c r="EJ1450" s="156"/>
      <c r="EK1450" s="156"/>
      <c r="EL1450" s="156"/>
      <c r="EM1450" s="156"/>
    </row>
    <row r="1451" spans="20:143" ht="10.5" customHeight="1">
      <c r="T1451" s="156"/>
      <c r="AZ1451" s="156"/>
      <c r="BA1451" s="156"/>
      <c r="BB1451" s="156"/>
      <c r="BC1451" s="156"/>
      <c r="BD1451" s="156"/>
      <c r="BE1451" s="156"/>
      <c r="BF1451" s="156"/>
      <c r="BG1451" s="156"/>
      <c r="BH1451" s="156"/>
      <c r="BI1451" s="156"/>
      <c r="BJ1451" s="156"/>
      <c r="BK1451" s="156"/>
      <c r="BL1451" s="156"/>
      <c r="BM1451" s="156"/>
      <c r="BN1451" s="156"/>
      <c r="BO1451" s="156"/>
      <c r="BP1451" s="156"/>
      <c r="BQ1451" s="156"/>
      <c r="BR1451" s="156"/>
      <c r="BS1451" s="156"/>
      <c r="BT1451" s="156"/>
      <c r="BU1451" s="156"/>
      <c r="BV1451" s="156"/>
      <c r="BW1451" s="156"/>
      <c r="BX1451" s="156"/>
      <c r="BY1451" s="156"/>
      <c r="BZ1451" s="156"/>
      <c r="CA1451" s="156"/>
      <c r="CB1451" s="156"/>
      <c r="CC1451" s="156"/>
      <c r="CD1451" s="156"/>
      <c r="CE1451" s="156"/>
      <c r="CF1451" s="156"/>
      <c r="CG1451" s="156"/>
      <c r="CH1451" s="156"/>
      <c r="CI1451" s="156"/>
      <c r="CJ1451" s="156"/>
      <c r="CK1451" s="156"/>
      <c r="CL1451" s="156"/>
      <c r="CM1451" s="156"/>
      <c r="CN1451" s="156"/>
      <c r="CO1451" s="156"/>
      <c r="CP1451" s="156"/>
      <c r="CQ1451" s="156"/>
      <c r="CR1451" s="156"/>
      <c r="CS1451" s="156"/>
      <c r="CT1451" s="156"/>
      <c r="CU1451" s="156"/>
      <c r="CV1451" s="156"/>
      <c r="CW1451" s="156"/>
      <c r="CX1451" s="156"/>
      <c r="CY1451" s="156"/>
      <c r="CZ1451" s="156"/>
      <c r="DA1451" s="156"/>
      <c r="DB1451" s="156"/>
      <c r="DC1451" s="156"/>
      <c r="DD1451" s="156"/>
      <c r="DE1451" s="156"/>
      <c r="DF1451" s="156"/>
      <c r="DG1451" s="156"/>
      <c r="DH1451" s="156"/>
      <c r="DI1451" s="156"/>
      <c r="DJ1451" s="156"/>
      <c r="DK1451" s="156"/>
      <c r="DL1451" s="156"/>
      <c r="DM1451" s="156"/>
      <c r="DN1451" s="156"/>
      <c r="DO1451" s="156"/>
      <c r="DP1451" s="156"/>
      <c r="DQ1451" s="156"/>
      <c r="DR1451" s="156"/>
      <c r="DS1451" s="156"/>
      <c r="DT1451" s="156"/>
      <c r="DU1451" s="156"/>
      <c r="DV1451" s="156"/>
      <c r="DW1451" s="156"/>
      <c r="DX1451" s="156"/>
      <c r="DY1451" s="156"/>
      <c r="DZ1451" s="156"/>
      <c r="EA1451" s="156"/>
      <c r="EB1451" s="156"/>
      <c r="EC1451" s="156"/>
      <c r="ED1451" s="156"/>
      <c r="EE1451" s="156"/>
      <c r="EF1451" s="156"/>
      <c r="EG1451" s="156"/>
      <c r="EH1451" s="156"/>
      <c r="EI1451" s="156"/>
      <c r="EJ1451" s="156"/>
      <c r="EK1451" s="156"/>
      <c r="EL1451" s="156"/>
      <c r="EM1451" s="156"/>
    </row>
    <row r="1452" spans="20:143" ht="10.5" customHeight="1">
      <c r="T1452" s="156"/>
      <c r="AZ1452" s="156"/>
      <c r="BA1452" s="156"/>
      <c r="BB1452" s="156"/>
      <c r="BC1452" s="156"/>
      <c r="BD1452" s="156"/>
      <c r="BE1452" s="156"/>
      <c r="BF1452" s="156"/>
      <c r="BG1452" s="156"/>
      <c r="BH1452" s="156"/>
      <c r="BI1452" s="156"/>
      <c r="BJ1452" s="156"/>
      <c r="BK1452" s="156"/>
      <c r="BL1452" s="156"/>
      <c r="BM1452" s="156"/>
      <c r="BN1452" s="156"/>
      <c r="BO1452" s="156"/>
      <c r="BP1452" s="156"/>
      <c r="BQ1452" s="156"/>
      <c r="BR1452" s="156"/>
      <c r="BS1452" s="156"/>
      <c r="BT1452" s="156"/>
      <c r="BU1452" s="156"/>
      <c r="BV1452" s="156"/>
      <c r="BW1452" s="156"/>
      <c r="BX1452" s="156"/>
      <c r="BY1452" s="156"/>
      <c r="BZ1452" s="156"/>
      <c r="CA1452" s="156"/>
      <c r="CB1452" s="156"/>
      <c r="CC1452" s="156"/>
      <c r="CD1452" s="156"/>
      <c r="CE1452" s="156"/>
      <c r="CF1452" s="156"/>
      <c r="CG1452" s="156"/>
      <c r="CH1452" s="156"/>
      <c r="CI1452" s="156"/>
      <c r="CJ1452" s="156"/>
      <c r="CK1452" s="156"/>
      <c r="CL1452" s="156"/>
      <c r="CM1452" s="156"/>
      <c r="CN1452" s="156"/>
      <c r="CO1452" s="156"/>
      <c r="CP1452" s="156"/>
      <c r="CQ1452" s="156"/>
      <c r="CR1452" s="156"/>
      <c r="CS1452" s="156"/>
      <c r="CT1452" s="156"/>
      <c r="CU1452" s="156"/>
      <c r="CV1452" s="156"/>
      <c r="CW1452" s="156"/>
      <c r="CX1452" s="156"/>
      <c r="CY1452" s="156"/>
      <c r="CZ1452" s="156"/>
      <c r="DA1452" s="156"/>
      <c r="DB1452" s="156"/>
      <c r="DC1452" s="156"/>
      <c r="DD1452" s="156"/>
      <c r="DE1452" s="156"/>
      <c r="DF1452" s="156"/>
      <c r="DG1452" s="156"/>
      <c r="DH1452" s="156"/>
      <c r="DI1452" s="156"/>
      <c r="DJ1452" s="156"/>
      <c r="DK1452" s="156"/>
      <c r="DL1452" s="156"/>
      <c r="DM1452" s="156"/>
      <c r="DN1452" s="156"/>
      <c r="DO1452" s="156"/>
      <c r="DP1452" s="156"/>
      <c r="DQ1452" s="156"/>
      <c r="DR1452" s="156"/>
      <c r="DS1452" s="156"/>
      <c r="DT1452" s="156"/>
      <c r="DU1452" s="156"/>
      <c r="DV1452" s="156"/>
      <c r="DW1452" s="156"/>
      <c r="DX1452" s="156"/>
      <c r="DY1452" s="156"/>
      <c r="DZ1452" s="156"/>
      <c r="EA1452" s="156"/>
      <c r="EB1452" s="156"/>
      <c r="EC1452" s="156"/>
      <c r="ED1452" s="156"/>
      <c r="EE1452" s="156"/>
      <c r="EF1452" s="156"/>
      <c r="EG1452" s="156"/>
      <c r="EH1452" s="156"/>
      <c r="EI1452" s="156"/>
      <c r="EJ1452" s="156"/>
      <c r="EK1452" s="156"/>
      <c r="EL1452" s="156"/>
      <c r="EM1452" s="156"/>
    </row>
    <row r="1453" spans="20:143" ht="10.5" customHeight="1">
      <c r="T1453" s="156"/>
      <c r="AZ1453" s="156"/>
      <c r="BA1453" s="156"/>
      <c r="BB1453" s="156"/>
      <c r="BC1453" s="156"/>
      <c r="BD1453" s="156"/>
      <c r="BE1453" s="156"/>
      <c r="BF1453" s="156"/>
      <c r="BG1453" s="156"/>
      <c r="BH1453" s="156"/>
      <c r="BI1453" s="156"/>
      <c r="BJ1453" s="156"/>
      <c r="BK1453" s="156"/>
      <c r="BL1453" s="156"/>
      <c r="BM1453" s="156"/>
      <c r="BN1453" s="156"/>
      <c r="BO1453" s="156"/>
      <c r="BP1453" s="156"/>
      <c r="BQ1453" s="156"/>
      <c r="BR1453" s="156"/>
      <c r="BS1453" s="156"/>
      <c r="BT1453" s="156"/>
      <c r="BU1453" s="156"/>
      <c r="BV1453" s="156"/>
      <c r="BW1453" s="156"/>
      <c r="BX1453" s="156"/>
      <c r="BY1453" s="156"/>
      <c r="BZ1453" s="156"/>
      <c r="CA1453" s="156"/>
      <c r="CB1453" s="156"/>
      <c r="CC1453" s="156"/>
      <c r="CD1453" s="156"/>
      <c r="CE1453" s="156"/>
      <c r="CF1453" s="156"/>
      <c r="CG1453" s="156"/>
      <c r="CH1453" s="156"/>
      <c r="CI1453" s="156"/>
      <c r="CJ1453" s="156"/>
      <c r="CK1453" s="156"/>
      <c r="CL1453" s="156"/>
      <c r="CM1453" s="156"/>
      <c r="CN1453" s="156"/>
      <c r="CO1453" s="156"/>
      <c r="CP1453" s="156"/>
      <c r="CQ1453" s="156"/>
      <c r="CR1453" s="156"/>
      <c r="CS1453" s="156"/>
      <c r="CT1453" s="156"/>
      <c r="CU1453" s="156"/>
      <c r="CV1453" s="156"/>
      <c r="CW1453" s="156"/>
      <c r="CX1453" s="156"/>
      <c r="CY1453" s="156"/>
      <c r="CZ1453" s="156"/>
      <c r="DA1453" s="156"/>
      <c r="DB1453" s="156"/>
      <c r="DC1453" s="156"/>
      <c r="DD1453" s="156"/>
      <c r="DE1453" s="156"/>
      <c r="DF1453" s="156"/>
      <c r="DG1453" s="156"/>
      <c r="DH1453" s="156"/>
      <c r="DI1453" s="156"/>
      <c r="DJ1453" s="156"/>
      <c r="DK1453" s="156"/>
      <c r="DL1453" s="156"/>
      <c r="DM1453" s="156"/>
      <c r="DN1453" s="156"/>
      <c r="DO1453" s="156"/>
      <c r="DP1453" s="156"/>
      <c r="DQ1453" s="156"/>
      <c r="DR1453" s="156"/>
      <c r="DS1453" s="156"/>
      <c r="DT1453" s="156"/>
      <c r="DU1453" s="156"/>
      <c r="DV1453" s="156"/>
      <c r="DW1453" s="156"/>
      <c r="DX1453" s="156"/>
      <c r="DY1453" s="156"/>
      <c r="DZ1453" s="156"/>
      <c r="EA1453" s="156"/>
      <c r="EB1453" s="156"/>
      <c r="EC1453" s="156"/>
      <c r="ED1453" s="156"/>
      <c r="EE1453" s="156"/>
      <c r="EF1453" s="156"/>
      <c r="EG1453" s="156"/>
      <c r="EH1453" s="156"/>
      <c r="EI1453" s="156"/>
      <c r="EJ1453" s="156"/>
      <c r="EK1453" s="156"/>
      <c r="EL1453" s="156"/>
      <c r="EM1453" s="156"/>
    </row>
  </sheetData>
  <sheetProtection sheet="1" objects="1" scenarios="1"/>
  <mergeCells count="36">
    <mergeCell ref="P8:Q8"/>
    <mergeCell ref="R8:S8"/>
    <mergeCell ref="L1:S1"/>
    <mergeCell ref="L2:S2"/>
    <mergeCell ref="L3:S3"/>
    <mergeCell ref="L4:M4"/>
    <mergeCell ref="N4:O4"/>
    <mergeCell ref="L7:M7"/>
    <mergeCell ref="P506:Q506"/>
    <mergeCell ref="R506:S506"/>
    <mergeCell ref="L8:M8"/>
    <mergeCell ref="D525:F526"/>
    <mergeCell ref="N506:O506"/>
    <mergeCell ref="F8:G8"/>
    <mergeCell ref="H8:I8"/>
    <mergeCell ref="D506:E506"/>
    <mergeCell ref="L506:M506"/>
    <mergeCell ref="N8:O8"/>
    <mergeCell ref="L525:N526"/>
    <mergeCell ref="D8:E8"/>
    <mergeCell ref="F506:G506"/>
    <mergeCell ref="H506:I506"/>
    <mergeCell ref="J506:K506"/>
    <mergeCell ref="J8:K8"/>
    <mergeCell ref="C1:D1"/>
    <mergeCell ref="C2:D2"/>
    <mergeCell ref="C5:D5"/>
    <mergeCell ref="C6:D6"/>
    <mergeCell ref="J7:K7"/>
    <mergeCell ref="J1:K1"/>
    <mergeCell ref="J2:K2"/>
    <mergeCell ref="J3:K3"/>
    <mergeCell ref="J4:K4"/>
    <mergeCell ref="C3:D3"/>
    <mergeCell ref="C4:D4"/>
    <mergeCell ref="C7:H7"/>
  </mergeCells>
  <phoneticPr fontId="0" type="noConversion"/>
  <conditionalFormatting sqref="D18:G19 I18:S19">
    <cfRule type="cellIs" dxfId="152" priority="5" stopIfTrue="1" operator="greaterThan">
      <formula>0.05</formula>
    </cfRule>
  </conditionalFormatting>
  <conditionalFormatting sqref="H4:I4 H2 H6:I6 I5">
    <cfRule type="cellIs" dxfId="151" priority="6" stopIfTrue="1" operator="notEqual">
      <formula>1</formula>
    </cfRule>
  </conditionalFormatting>
  <conditionalFormatting sqref="P509:P517 P26:P505">
    <cfRule type="cellIs" dxfId="150" priority="9" stopIfTrue="1" operator="greaterThan">
      <formula>20.9</formula>
    </cfRule>
  </conditionalFormatting>
  <conditionalFormatting sqref="S509:S517">
    <cfRule type="cellIs" dxfId="149" priority="4" stopIfTrue="1" operator="greaterThan">
      <formula>20.9</formula>
    </cfRule>
  </conditionalFormatting>
  <conditionalFormatting sqref="E26:R26">
    <cfRule type="containsText" dxfId="148" priority="3" operator="containsText" text="No">
      <formula>NOT(ISERROR(SEARCH("No",E26)))</formula>
    </cfRule>
  </conditionalFormatting>
  <conditionalFormatting sqref="D26">
    <cfRule type="containsText" dxfId="147" priority="2" operator="containsText" text="No">
      <formula>NOT(ISERROR(SEARCH("No",D26)))</formula>
    </cfRule>
  </conditionalFormatting>
  <conditionalFormatting sqref="V7">
    <cfRule type="cellIs" dxfId="146" priority="1" stopIfTrue="1" operator="equal">
      <formula>"pass"</formula>
    </cfRule>
  </conditionalFormatting>
  <dataValidations count="2">
    <dataValidation type="list" allowBlank="1" showInputMessage="1" showErrorMessage="1" sqref="H507:H508 L507:L508 J507:J508 F507:F508 D507:D508 N507:S508 E508 G508 I508">
      <formula1>ConcUnits</formula1>
    </dataValidation>
    <dataValidation type="list" allowBlank="1" showInputMessage="1" showErrorMessage="1" sqref="C5:D5">
      <formula1>GasAnalyserList</formula1>
    </dataValidation>
  </dataValidations>
  <printOptions horizontalCentered="1"/>
  <pageMargins left="0.19685039370078741" right="0.19685039370078741" top="0.62992125984251968" bottom="0.39370078740157483" header="0.31496062992125984" footer="0.19685039370078741"/>
  <pageSetup paperSize="9" orientation="portrait" horizontalDpi="300" verticalDpi="300"/>
  <headerFooter alignWithMargins="0">
    <oddHeader>&amp;C&amp;"MS Sans Serif,Bold"&amp;16&amp;A</oddHeader>
    <oddFooter>&amp;L&amp;8&amp;F&amp;R&amp;8&amp;D  &amp;T</oddFooter>
  </headerFooter>
  <drawing r:id="rId1"/>
  <legacyDrawing r:id="rId2"/>
  <extLst>
    <ext xmlns:x14="http://schemas.microsoft.com/office/spreadsheetml/2009/9/main" uri="{CCE6A557-97BC-4b89-ADB6-D9C93CAAB3DF}">
      <x14:dataValidations xmlns:xm="http://schemas.microsoft.com/office/excel/2006/main" count="1">
        <x14:dataValidation type="list" allowBlank="1" showInputMessage="1">
          <x14:formula1>
            <xm:f>'Compound Lists'!$F$10:$F$13</xm:f>
          </x14:formula1>
          <xm:sqref>R8:S8</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enableFormatConditionsCalculation="0">
    <tabColor indexed="43"/>
  </sheetPr>
  <dimension ref="A1:AP222"/>
  <sheetViews>
    <sheetView workbookViewId="0">
      <selection activeCell="F6" sqref="F6"/>
    </sheetView>
  </sheetViews>
  <sheetFormatPr baseColWidth="10" defaultColWidth="8.7109375" defaultRowHeight="10.5" customHeight="1" outlineLevelRow="1" x14ac:dyDescent="0"/>
  <cols>
    <col min="1" max="1" width="15.7109375" style="3" customWidth="1"/>
    <col min="2" max="8" width="8.28515625" style="3" customWidth="1"/>
    <col min="9" max="10" width="8.28515625" style="3" hidden="1" customWidth="1"/>
    <col min="11" max="12" width="8.28515625" style="3" customWidth="1"/>
    <col min="13" max="14" width="8.28515625" style="3" hidden="1" customWidth="1"/>
    <col min="15" max="18" width="8.28515625" style="3" customWidth="1"/>
    <col min="19" max="19" width="8.28515625" style="3" hidden="1" customWidth="1"/>
    <col min="20" max="20" width="8.28515625" style="3" customWidth="1"/>
    <col min="21" max="21" width="8.7109375" style="4"/>
    <col min="22" max="23" width="8.7109375" style="16"/>
    <col min="43" max="16384" width="8.7109375" style="3"/>
  </cols>
  <sheetData>
    <row r="1" spans="1:23" ht="10.5" customHeight="1">
      <c r="A1" s="28" t="s">
        <v>96</v>
      </c>
      <c r="B1" s="184" t="e">
        <f>AverageStackTemp</f>
        <v>#DIV/0!</v>
      </c>
      <c r="C1" s="180" t="str">
        <f>TU</f>
        <v>°C</v>
      </c>
      <c r="D1" s="180"/>
      <c r="E1" s="43" t="s">
        <v>1293</v>
      </c>
      <c r="F1" s="184">
        <f>MoistureCont</f>
        <v>1</v>
      </c>
      <c r="G1" s="180" t="s">
        <v>1201</v>
      </c>
      <c r="H1" s="185" t="s">
        <v>1343</v>
      </c>
      <c r="I1" s="185"/>
      <c r="J1" s="2769">
        <f>Client</f>
        <v>0</v>
      </c>
      <c r="K1" s="2769"/>
      <c r="L1" s="2769"/>
      <c r="M1" s="2769"/>
      <c r="N1" s="2769"/>
      <c r="O1" s="2770"/>
      <c r="P1" s="2"/>
      <c r="Q1" s="2"/>
      <c r="R1" s="2"/>
      <c r="S1" s="2"/>
      <c r="T1" s="2"/>
    </row>
    <row r="2" spans="1:23" ht="10.5" customHeight="1">
      <c r="A2" s="29" t="s">
        <v>1300</v>
      </c>
      <c r="B2" s="187" t="e">
        <f>AverageFlowDis</f>
        <v>#DIV/0!</v>
      </c>
      <c r="C2" s="188" t="str">
        <f>FU</f>
        <v>m³/min</v>
      </c>
      <c r="D2" s="188"/>
      <c r="E2" s="44" t="s">
        <v>1214</v>
      </c>
      <c r="F2" s="187" t="e">
        <f>AverageVelocity</f>
        <v>#DIV/0!</v>
      </c>
      <c r="G2" s="188" t="str">
        <f>VU</f>
        <v>m/s</v>
      </c>
      <c r="H2" s="363" t="s">
        <v>1204</v>
      </c>
      <c r="I2" s="363"/>
      <c r="J2" s="2771">
        <f>StackID</f>
        <v>0</v>
      </c>
      <c r="K2" s="2771"/>
      <c r="L2" s="2771"/>
      <c r="M2" s="2771"/>
      <c r="N2" s="2771"/>
      <c r="O2" s="2772"/>
      <c r="P2" s="2"/>
      <c r="Q2" s="2"/>
      <c r="R2" s="2"/>
      <c r="S2" s="2"/>
      <c r="T2" s="2"/>
    </row>
    <row r="3" spans="1:23" ht="10.5" customHeight="1" thickBot="1">
      <c r="A3" s="32" t="s">
        <v>1301</v>
      </c>
      <c r="B3" s="190" t="e">
        <f>AverageFlowWet</f>
        <v>#DIV/0!</v>
      </c>
      <c r="C3" s="189" t="str">
        <f>FU</f>
        <v>m³/min</v>
      </c>
      <c r="D3" s="189"/>
      <c r="E3" s="546" t="s">
        <v>1276</v>
      </c>
      <c r="F3" s="190" t="e">
        <f>AverageFlowDry</f>
        <v>#DIV/0!</v>
      </c>
      <c r="G3" s="189" t="str">
        <f>FU</f>
        <v>m³/min</v>
      </c>
      <c r="H3" s="364" t="s">
        <v>1196</v>
      </c>
      <c r="I3" s="364"/>
      <c r="J3" s="2773">
        <f>Date</f>
        <v>0</v>
      </c>
      <c r="K3" s="2773"/>
      <c r="L3" s="2773"/>
      <c r="M3" s="2773"/>
      <c r="N3" s="2773"/>
      <c r="O3" s="2774"/>
      <c r="P3" s="2"/>
      <c r="Q3" s="2"/>
      <c r="R3" s="2"/>
      <c r="S3" s="2"/>
      <c r="T3" s="2"/>
      <c r="W3" s="456"/>
    </row>
    <row r="4" spans="1:23" ht="9" customHeight="1" thickBot="1">
      <c r="A4" s="55"/>
      <c r="B4" s="56"/>
      <c r="C4" s="57"/>
      <c r="E4" s="55"/>
      <c r="F4" s="56"/>
      <c r="G4" s="57"/>
      <c r="H4" s="58"/>
      <c r="I4" s="58"/>
      <c r="J4" s="59"/>
      <c r="K4" s="59"/>
      <c r="L4" s="59"/>
      <c r="M4" s="59"/>
      <c r="N4" s="59"/>
      <c r="O4" s="59"/>
      <c r="P4" s="2"/>
      <c r="Q4" s="2"/>
      <c r="R4" s="2"/>
      <c r="S4" s="2"/>
      <c r="T4" s="2"/>
      <c r="W4" s="456"/>
    </row>
    <row r="5" spans="1:23" ht="10.5" customHeight="1" thickBot="1">
      <c r="A5" s="25" t="s">
        <v>404</v>
      </c>
      <c r="B5" s="11"/>
      <c r="C5" s="11"/>
      <c r="D5" s="11"/>
      <c r="E5" s="182"/>
      <c r="F5" s="183" t="s">
        <v>8</v>
      </c>
      <c r="G5" s="183" t="s">
        <v>9</v>
      </c>
      <c r="H5" s="11"/>
      <c r="I5" s="11"/>
      <c r="J5" s="11"/>
      <c r="K5" s="11"/>
      <c r="L5" s="11"/>
      <c r="M5" s="11"/>
      <c r="N5" s="11"/>
      <c r="O5" s="19"/>
      <c r="P5" s="2"/>
      <c r="Q5" s="2781" t="s">
        <v>1242</v>
      </c>
      <c r="R5" s="2781"/>
      <c r="S5" s="2781"/>
      <c r="T5" s="2781"/>
      <c r="W5" s="456"/>
    </row>
    <row r="6" spans="1:23" ht="10.5" customHeight="1">
      <c r="A6" s="8"/>
      <c r="B6" s="9"/>
      <c r="C6" s="9"/>
      <c r="D6" s="9"/>
      <c r="E6" s="33" t="s">
        <v>263</v>
      </c>
      <c r="F6" s="662"/>
      <c r="G6" s="662"/>
      <c r="H6" s="9"/>
      <c r="I6" s="9"/>
      <c r="J6" s="9"/>
      <c r="K6" s="9"/>
      <c r="L6" s="9"/>
      <c r="M6" s="9"/>
      <c r="N6" s="9"/>
      <c r="O6" s="13"/>
      <c r="P6" s="2"/>
      <c r="Q6" s="2775" t="str">
        <f>A5</f>
        <v>Gaseous</v>
      </c>
      <c r="R6" s="2776"/>
      <c r="S6" s="2776"/>
      <c r="T6" s="2777"/>
      <c r="W6" s="456"/>
    </row>
    <row r="7" spans="1:23" ht="10.5" customHeight="1">
      <c r="A7" s="8"/>
      <c r="B7" s="9"/>
      <c r="C7" s="9"/>
      <c r="D7" s="33"/>
      <c r="E7" s="33" t="s">
        <v>264</v>
      </c>
      <c r="F7" s="663"/>
      <c r="G7" s="663"/>
      <c r="H7" s="9"/>
      <c r="I7" s="9"/>
      <c r="J7" s="9"/>
      <c r="K7" s="9"/>
      <c r="L7" s="10"/>
      <c r="M7" s="10"/>
      <c r="N7" s="10"/>
      <c r="O7" s="53"/>
      <c r="P7" s="2"/>
      <c r="Q7" s="2778"/>
      <c r="R7" s="2779"/>
      <c r="S7" s="2779"/>
      <c r="T7" s="2780"/>
    </row>
    <row r="8" spans="1:23" ht="10.5" customHeight="1">
      <c r="A8" s="568"/>
      <c r="B8" s="569"/>
      <c r="C8" s="570"/>
      <c r="D8" s="2789" t="s">
        <v>8</v>
      </c>
      <c r="E8" s="2790"/>
      <c r="F8" s="2789" t="s">
        <v>9</v>
      </c>
      <c r="G8" s="2790"/>
      <c r="H8" s="27" t="s">
        <v>1319</v>
      </c>
      <c r="I8" s="1674" t="s">
        <v>1728</v>
      </c>
      <c r="J8" s="27" t="s">
        <v>97</v>
      </c>
      <c r="K8" s="27" t="s">
        <v>1202</v>
      </c>
      <c r="L8" s="979" t="s">
        <v>1319</v>
      </c>
      <c r="M8" s="1674" t="s">
        <v>1728</v>
      </c>
      <c r="N8" s="27" t="s">
        <v>97</v>
      </c>
      <c r="O8" s="24" t="s">
        <v>1202</v>
      </c>
      <c r="P8" s="14"/>
      <c r="Q8" s="367" t="s">
        <v>1279</v>
      </c>
      <c r="R8" s="27" t="s">
        <v>1319</v>
      </c>
      <c r="S8" s="27" t="s">
        <v>97</v>
      </c>
      <c r="T8" s="24" t="s">
        <v>1202</v>
      </c>
    </row>
    <row r="9" spans="1:23" ht="10.5" customHeight="1">
      <c r="A9" s="716"/>
      <c r="B9" s="17"/>
      <c r="C9" s="717"/>
      <c r="D9" s="563" t="s">
        <v>1333</v>
      </c>
      <c r="E9" s="651" t="s">
        <v>1200</v>
      </c>
      <c r="F9" s="563" t="s">
        <v>1333</v>
      </c>
      <c r="G9" s="651" t="s">
        <v>1200</v>
      </c>
      <c r="H9" s="714" t="str">
        <f>CU</f>
        <v>mg/m³</v>
      </c>
      <c r="I9" s="561" t="str">
        <f>H9</f>
        <v>mg/m³</v>
      </c>
      <c r="J9" s="38" t="str">
        <f>H9</f>
        <v>mg/m³</v>
      </c>
      <c r="K9" s="39" t="str">
        <f>MRU</f>
        <v>g/min</v>
      </c>
      <c r="L9" s="37" t="str">
        <f>$H9</f>
        <v>mg/m³</v>
      </c>
      <c r="M9" s="561" t="str">
        <f>H9</f>
        <v>mg/m³</v>
      </c>
      <c r="N9" s="38" t="str">
        <f>H9</f>
        <v>mg/m³</v>
      </c>
      <c r="O9" s="40" t="str">
        <f>MRU</f>
        <v>g/min</v>
      </c>
      <c r="P9" s="14"/>
      <c r="Q9" s="52" t="s">
        <v>1333</v>
      </c>
      <c r="R9" s="38" t="str">
        <f>$H9</f>
        <v>mg/m³</v>
      </c>
      <c r="S9" s="45" t="str">
        <f>CU</f>
        <v>mg/m³</v>
      </c>
      <c r="T9" s="40" t="str">
        <f>MRU</f>
        <v>g/min</v>
      </c>
      <c r="V9" s="572" t="s">
        <v>310</v>
      </c>
      <c r="W9" s="572" t="s">
        <v>311</v>
      </c>
    </row>
    <row r="10" spans="1:23" ht="10.5" hidden="1" customHeight="1">
      <c r="A10" s="718"/>
      <c r="B10" s="45"/>
      <c r="C10" s="719"/>
      <c r="D10" s="563"/>
      <c r="E10" s="652">
        <f>VLOOKUP(E9,ConcTable,2,FALSE)</f>
        <v>1000000</v>
      </c>
      <c r="F10" s="563"/>
      <c r="G10" s="652">
        <f>VLOOKUP(G9,ConcTable,2,FALSE)</f>
        <v>1000000</v>
      </c>
      <c r="H10" s="715">
        <f>VLOOKUP(H9,ConcTable,2,FALSE)</f>
        <v>1000000</v>
      </c>
      <c r="I10" s="561"/>
      <c r="J10" s="45"/>
      <c r="K10" s="39"/>
      <c r="L10" s="715">
        <f>VLOOKUP(L9,ConcTable,2,FALSE)</f>
        <v>1000000</v>
      </c>
      <c r="M10" s="561"/>
      <c r="N10" s="45"/>
      <c r="O10" s="40"/>
      <c r="P10" s="14"/>
      <c r="Q10" s="52"/>
      <c r="R10" s="45"/>
      <c r="S10" s="45"/>
      <c r="T10" s="40"/>
      <c r="V10" s="572"/>
      <c r="W10" s="572"/>
    </row>
    <row r="11" spans="1:23" s="16" customFormat="1" ht="10.5" customHeight="1">
      <c r="A11" s="2791" t="s">
        <v>177</v>
      </c>
      <c r="B11" s="2792"/>
      <c r="C11" s="211"/>
      <c r="D11" s="194"/>
      <c r="E11" s="193"/>
      <c r="F11" s="194"/>
      <c r="G11" s="193"/>
      <c r="H11" s="212" t="str">
        <f>IF(E11="","",Conc2(E11,$V11,MolVol,E$9,E$10,H$9,H$10))</f>
        <v/>
      </c>
      <c r="I11" s="195" t="str">
        <f>IF(OR(E11="",$W11=0),"",Conc2V(E11,$V11,MolVol,E$9,E$10,H$9,H$10,ReportVOC,MWC,$W11))</f>
        <v/>
      </c>
      <c r="J11" s="195" t="str">
        <f t="shared" ref="J11:J42" si="0">IF(H11="","",H11*O2correction*CO2correction)</f>
        <v/>
      </c>
      <c r="K11" s="213" t="str">
        <f t="shared" ref="K11:K42" si="1">IF(H11="","",MassRate(H11,$V11,MolVol,H$9,H$10,MRU,MRF,AverageFlowDry,FF))</f>
        <v/>
      </c>
      <c r="L11" s="212" t="str">
        <f>IF(G11="","",Conc2(G11,$V11,MolVol,G$9,G$10,L$9,L$10))</f>
        <v/>
      </c>
      <c r="M11" s="195" t="str">
        <f>IF(OR(G11="",$W11=0),"",Conc2V(G11,$V11,MolVol,G$9,G$10,L$9,L$10,ReportVOC,MWC,$W11))</f>
        <v/>
      </c>
      <c r="N11" s="195" t="str">
        <f t="shared" ref="N11:N42" si="2">IF(L11="","",L11*O2correction*CO2correction)</f>
        <v/>
      </c>
      <c r="O11" s="196" t="str">
        <f t="shared" ref="O11:O42" si="3">IF(L11="","",MassRate(L11,$V11,MolVol,L$9,L$10,MRU,MRF,AverageFlowDry,FF))</f>
        <v/>
      </c>
      <c r="P11" s="14"/>
      <c r="Q11" s="635" t="str">
        <f>IF(AND(ISTEXT(D11),ISTEXT(F11)),"&lt;",IF(OR(ISTEXT(D11),ISTEXT(F11)),"≤",""))</f>
        <v/>
      </c>
      <c r="R11" s="212" t="str">
        <f t="shared" ref="R11:R42" si="4">IF(OR(ISNUMBER(H11),ISNUMBER(L11)),AVERAGE(H11,L11),"")</f>
        <v/>
      </c>
      <c r="S11" s="195" t="str">
        <f t="shared" ref="S11:S40" si="5">IF(ISNUMBER(R11),R11*O2correction*CO2correction,"")</f>
        <v/>
      </c>
      <c r="T11" s="196" t="str">
        <f t="shared" ref="T11:T42" si="6">IF(OR(ISNUMBER(K11),ISNUMBER(O11)),AVERAGE(K11,O11),"")</f>
        <v/>
      </c>
      <c r="V11" s="573">
        <f t="shared" ref="V11:V42" si="7">IF($A11="","",VLOOKUP($A11,VOCtable,2,FALSE))</f>
        <v>16.0425</v>
      </c>
      <c r="W11" s="573">
        <f t="shared" ref="W11:W42" si="8">IF($A11="","",VLOOKUP($A11,VOCtable,3,FALSE))</f>
        <v>1</v>
      </c>
    </row>
    <row r="12" spans="1:23" s="18" customFormat="1" ht="10.5" customHeight="1">
      <c r="A12" s="666" t="s">
        <v>178</v>
      </c>
      <c r="B12" s="667"/>
      <c r="C12" s="211"/>
      <c r="D12" s="194"/>
      <c r="E12" s="193"/>
      <c r="F12" s="194"/>
      <c r="G12" s="193"/>
      <c r="H12" s="212" t="str">
        <f>IF(E12="","",Conc2(E12,$V12,MolVol,E$9,E$10,H$9,H$10))</f>
        <v/>
      </c>
      <c r="I12" s="195" t="str">
        <f>IF(OR(E12="",$W12=0),"",Conc2V(E12,$V12,MolVol,E$9,E$10,H$9,H$10,ReportVOC,MWC,$W12))</f>
        <v/>
      </c>
      <c r="J12" s="195" t="str">
        <f t="shared" si="0"/>
        <v/>
      </c>
      <c r="K12" s="213" t="str">
        <f t="shared" si="1"/>
        <v/>
      </c>
      <c r="L12" s="212" t="str">
        <f>IF(G12="","",Conc2(G12,$V12,MolVol,G$9,G$10,L$9,L$10))</f>
        <v/>
      </c>
      <c r="M12" s="195" t="str">
        <f>IF(OR(G12="",$W12=0),"",Conc2V(G12,$V12,MolVol,G$9,G$10,L$9,L$10,ReportVOC,MWC,$W12))</f>
        <v/>
      </c>
      <c r="N12" s="195" t="str">
        <f t="shared" si="2"/>
        <v/>
      </c>
      <c r="O12" s="196" t="str">
        <f t="shared" si="3"/>
        <v/>
      </c>
      <c r="P12" s="14"/>
      <c r="Q12" s="468" t="str">
        <f t="shared" ref="Q12:Q34" si="9">IF(AND(ISTEXT(D12),ISTEXT(F12)),"&lt;",IF(OR(ISTEXT(D12),ISTEXT(F12)),"≤",""))</f>
        <v/>
      </c>
      <c r="R12" s="212" t="str">
        <f t="shared" si="4"/>
        <v/>
      </c>
      <c r="S12" s="195" t="str">
        <f t="shared" si="5"/>
        <v/>
      </c>
      <c r="T12" s="196" t="str">
        <f t="shared" si="6"/>
        <v/>
      </c>
      <c r="U12" s="16"/>
      <c r="V12" s="573">
        <f t="shared" si="7"/>
        <v>30.1</v>
      </c>
      <c r="W12" s="573">
        <f t="shared" si="8"/>
        <v>2</v>
      </c>
    </row>
    <row r="13" spans="1:23" ht="10.5" customHeight="1">
      <c r="A13" s="666" t="s">
        <v>179</v>
      </c>
      <c r="B13" s="667"/>
      <c r="C13" s="211"/>
      <c r="D13" s="194"/>
      <c r="E13" s="193"/>
      <c r="F13" s="194"/>
      <c r="G13" s="193"/>
      <c r="H13" s="212" t="str">
        <f>IF(E13="","",Conc2(E13,$V13,MolVol,E$9,E$10,H$9,H$10))</f>
        <v/>
      </c>
      <c r="I13" s="195" t="str">
        <f>IF(OR(E13="",$W13=0),"",Conc2V(E13,$V13,MolVol,E$9,E$10,H$9,H$10,ReportVOC,MWC,$W13))</f>
        <v/>
      </c>
      <c r="J13" s="195" t="str">
        <f t="shared" si="0"/>
        <v/>
      </c>
      <c r="K13" s="213" t="str">
        <f t="shared" si="1"/>
        <v/>
      </c>
      <c r="L13" s="212" t="str">
        <f>IF(G13="","",Conc2(G13,$V13,MolVol,G$9,G$10,L$9,L$10))</f>
        <v/>
      </c>
      <c r="M13" s="195" t="str">
        <f>IF(OR(G13="",$W13=0),"",Conc2V(G13,$V13,MolVol,G$9,G$10,L$9,L$10,ReportVOC,MWC,$W13))</f>
        <v/>
      </c>
      <c r="N13" s="195" t="str">
        <f t="shared" si="2"/>
        <v/>
      </c>
      <c r="O13" s="196" t="str">
        <f t="shared" si="3"/>
        <v/>
      </c>
      <c r="P13" s="14"/>
      <c r="Q13" s="468" t="str">
        <f t="shared" si="9"/>
        <v/>
      </c>
      <c r="R13" s="212" t="str">
        <f t="shared" si="4"/>
        <v/>
      </c>
      <c r="S13" s="195" t="str">
        <f t="shared" si="5"/>
        <v/>
      </c>
      <c r="T13" s="196" t="str">
        <f t="shared" si="6"/>
        <v/>
      </c>
      <c r="V13" s="573">
        <f t="shared" si="7"/>
        <v>28.05</v>
      </c>
      <c r="W13" s="573">
        <f t="shared" si="8"/>
        <v>2</v>
      </c>
    </row>
    <row r="14" spans="1:23" ht="10.5" customHeight="1">
      <c r="A14" s="666" t="s">
        <v>180</v>
      </c>
      <c r="B14" s="667"/>
      <c r="C14" s="211"/>
      <c r="D14" s="194"/>
      <c r="E14" s="193"/>
      <c r="F14" s="194"/>
      <c r="G14" s="193"/>
      <c r="H14" s="212" t="str">
        <f>IF(E14="","",Conc2(E14,$V14,MolVol,E$9,E$10,H$9,H$10))</f>
        <v/>
      </c>
      <c r="I14" s="195" t="str">
        <f>IF(OR(E14="",$W14=0),"",Conc2V(E14,$V14,MolVol,E$9,E$10,H$9,H$10,ReportVOC,MWC,$W14))</f>
        <v/>
      </c>
      <c r="J14" s="195" t="str">
        <f t="shared" si="0"/>
        <v/>
      </c>
      <c r="K14" s="213" t="str">
        <f t="shared" si="1"/>
        <v/>
      </c>
      <c r="L14" s="212" t="str">
        <f>IF(G14="","",Conc2(G14,$V14,MolVol,G$9,G$10,L$9,L$10))</f>
        <v/>
      </c>
      <c r="M14" s="195" t="str">
        <f>IF(OR(G14="",$W14=0),"",Conc2V(G14,$V14,MolVol,G$9,G$10,L$9,L$10,ReportVOC,MWC,$W14))</f>
        <v/>
      </c>
      <c r="N14" s="195" t="str">
        <f t="shared" si="2"/>
        <v/>
      </c>
      <c r="O14" s="196" t="str">
        <f t="shared" si="3"/>
        <v/>
      </c>
      <c r="P14" s="14"/>
      <c r="Q14" s="468" t="str">
        <f t="shared" si="9"/>
        <v/>
      </c>
      <c r="R14" s="212" t="str">
        <f t="shared" si="4"/>
        <v/>
      </c>
      <c r="S14" s="195" t="str">
        <f t="shared" si="5"/>
        <v/>
      </c>
      <c r="T14" s="196" t="str">
        <f t="shared" si="6"/>
        <v/>
      </c>
      <c r="V14" s="573">
        <f t="shared" si="7"/>
        <v>44.095599999999997</v>
      </c>
      <c r="W14" s="573">
        <f t="shared" si="8"/>
        <v>3</v>
      </c>
    </row>
    <row r="15" spans="1:23" ht="10.5" customHeight="1">
      <c r="A15" s="666" t="s">
        <v>484</v>
      </c>
      <c r="B15" s="667"/>
      <c r="C15" s="211"/>
      <c r="D15" s="194"/>
      <c r="E15" s="193"/>
      <c r="F15" s="194"/>
      <c r="G15" s="193"/>
      <c r="H15" s="212" t="str">
        <f>IF(E15="","",Conc2(E15,$V15,MolVol,E$9,E$10,H$9,H$10))</f>
        <v/>
      </c>
      <c r="I15" s="195" t="str">
        <f>IF(OR(E15="",$W15=0),"",Conc2V(E15,$V15,MolVol,E$9,E$10,H$9,H$10,ReportVOC,MWC,$W15))</f>
        <v/>
      </c>
      <c r="J15" s="195" t="str">
        <f t="shared" si="0"/>
        <v/>
      </c>
      <c r="K15" s="213" t="str">
        <f t="shared" si="1"/>
        <v/>
      </c>
      <c r="L15" s="212" t="str">
        <f>IF(G15="","",Conc2(G15,$V15,MolVol,G$9,G$10,L$9,L$10))</f>
        <v/>
      </c>
      <c r="M15" s="195" t="str">
        <f>IF(OR(G15="",$W15=0),"",Conc2V(G15,$V15,MolVol,G$9,G$10,L$9,L$10,ReportVOC,MWC,$W15))</f>
        <v/>
      </c>
      <c r="N15" s="195" t="str">
        <f t="shared" si="2"/>
        <v/>
      </c>
      <c r="O15" s="196" t="str">
        <f t="shared" si="3"/>
        <v/>
      </c>
      <c r="P15" s="14"/>
      <c r="Q15" s="468" t="str">
        <f t="shared" si="9"/>
        <v/>
      </c>
      <c r="R15" s="212" t="str">
        <f t="shared" si="4"/>
        <v/>
      </c>
      <c r="S15" s="195" t="str">
        <f t="shared" si="5"/>
        <v/>
      </c>
      <c r="T15" s="196" t="str">
        <f t="shared" si="6"/>
        <v/>
      </c>
      <c r="V15" s="573">
        <f t="shared" si="7"/>
        <v>42.1</v>
      </c>
      <c r="W15" s="573">
        <f t="shared" si="8"/>
        <v>3</v>
      </c>
    </row>
    <row r="16" spans="1:23" ht="10.5" customHeight="1">
      <c r="A16" s="666" t="s">
        <v>181</v>
      </c>
      <c r="B16" s="667"/>
      <c r="C16" s="211"/>
      <c r="D16" s="194"/>
      <c r="E16" s="193"/>
      <c r="F16" s="194"/>
      <c r="G16" s="193"/>
      <c r="H16" s="212" t="str">
        <f>IF(E16="","",Conc2(E16,$V16,MolVol,E$9,E$10,H$9,H$10))</f>
        <v/>
      </c>
      <c r="I16" s="195" t="str">
        <f>IF(OR(E16="",$W16=0),"",Conc2V(E16,$V16,MolVol,E$9,E$10,H$9,H$10,ReportVOC,MWC,$W16))</f>
        <v/>
      </c>
      <c r="J16" s="195" t="str">
        <f t="shared" si="0"/>
        <v/>
      </c>
      <c r="K16" s="213" t="str">
        <f t="shared" si="1"/>
        <v/>
      </c>
      <c r="L16" s="212" t="str">
        <f>IF(G16="","",Conc2(G16,$V16,MolVol,G$9,G$10,L$9,L$10))</f>
        <v/>
      </c>
      <c r="M16" s="195" t="str">
        <f>IF(OR(G16="",$W16=0),"",Conc2V(G16,$V16,MolVol,G$9,G$10,L$9,L$10,ReportVOC,MWC,$W16))</f>
        <v/>
      </c>
      <c r="N16" s="195" t="str">
        <f t="shared" si="2"/>
        <v/>
      </c>
      <c r="O16" s="196" t="str">
        <f t="shared" si="3"/>
        <v/>
      </c>
      <c r="P16" s="14"/>
      <c r="Q16" s="468" t="str">
        <f t="shared" si="9"/>
        <v/>
      </c>
      <c r="R16" s="212" t="str">
        <f t="shared" si="4"/>
        <v/>
      </c>
      <c r="S16" s="195" t="str">
        <f t="shared" si="5"/>
        <v/>
      </c>
      <c r="T16" s="196" t="str">
        <f t="shared" si="6"/>
        <v/>
      </c>
      <c r="V16" s="573">
        <f t="shared" si="7"/>
        <v>42.1</v>
      </c>
      <c r="W16" s="573">
        <f t="shared" si="8"/>
        <v>3</v>
      </c>
    </row>
    <row r="17" spans="1:23" ht="10.5" customHeight="1">
      <c r="A17" s="666" t="s">
        <v>778</v>
      </c>
      <c r="B17" s="667"/>
      <c r="C17" s="211"/>
      <c r="D17" s="194"/>
      <c r="E17" s="193"/>
      <c r="F17" s="194"/>
      <c r="G17" s="193"/>
      <c r="H17" s="212" t="str">
        <f>IF(E17="","",Conc2(E17,$V17,MolVol,E$9,E$10,H$9,H$10))</f>
        <v/>
      </c>
      <c r="I17" s="195" t="str">
        <f>IF(OR(E17="",$W17=0),"",Conc2V(E17,$V17,MolVol,E$9,E$10,H$9,H$10,ReportVOC,MWC,$W17))</f>
        <v/>
      </c>
      <c r="J17" s="195" t="str">
        <f t="shared" si="0"/>
        <v/>
      </c>
      <c r="K17" s="213" t="str">
        <f t="shared" si="1"/>
        <v/>
      </c>
      <c r="L17" s="212" t="str">
        <f>IF(G17="","",Conc2(G17,$V17,MolVol,G$9,G$10,L$9,L$10))</f>
        <v/>
      </c>
      <c r="M17" s="195" t="str">
        <f>IF(OR(G17="",$W17=0),"",Conc2V(G17,$V17,MolVol,G$9,G$10,L$9,L$10,ReportVOC,MWC,$W17))</f>
        <v/>
      </c>
      <c r="N17" s="195" t="str">
        <f t="shared" si="2"/>
        <v/>
      </c>
      <c r="O17" s="196" t="str">
        <f t="shared" si="3"/>
        <v/>
      </c>
      <c r="P17" s="14"/>
      <c r="Q17" s="468" t="str">
        <f t="shared" si="9"/>
        <v/>
      </c>
      <c r="R17" s="212" t="str">
        <f t="shared" si="4"/>
        <v/>
      </c>
      <c r="S17" s="195" t="str">
        <f t="shared" si="5"/>
        <v/>
      </c>
      <c r="T17" s="196" t="str">
        <f t="shared" si="6"/>
        <v/>
      </c>
      <c r="V17" s="573">
        <f t="shared" si="7"/>
        <v>58.1</v>
      </c>
      <c r="W17" s="573">
        <f t="shared" si="8"/>
        <v>4</v>
      </c>
    </row>
    <row r="18" spans="1:23" ht="10.5" customHeight="1">
      <c r="A18" s="666" t="s">
        <v>800</v>
      </c>
      <c r="B18" s="667"/>
      <c r="C18" s="211"/>
      <c r="D18" s="194"/>
      <c r="E18" s="193"/>
      <c r="F18" s="194"/>
      <c r="G18" s="193"/>
      <c r="H18" s="212" t="str">
        <f>IF(E18="","",Conc2(E18,$V18,MolVol,E$9,E$10,H$9,H$10))</f>
        <v/>
      </c>
      <c r="I18" s="195" t="str">
        <f>IF(OR(E18="",$W18=0),"",Conc2V(E18,$V18,MolVol,E$9,E$10,H$9,H$10,ReportVOC,MWC,$W18))</f>
        <v/>
      </c>
      <c r="J18" s="195" t="str">
        <f t="shared" si="0"/>
        <v/>
      </c>
      <c r="K18" s="213" t="str">
        <f t="shared" si="1"/>
        <v/>
      </c>
      <c r="L18" s="212" t="str">
        <f>IF(G18="","",Conc2(G18,$V18,MolVol,G$9,G$10,L$9,L$10))</f>
        <v/>
      </c>
      <c r="M18" s="195" t="str">
        <f>IF(OR(G18="",$W18=0),"",Conc2V(G18,$V18,MolVol,G$9,G$10,L$9,L$10,ReportVOC,MWC,$W18))</f>
        <v/>
      </c>
      <c r="N18" s="195" t="str">
        <f t="shared" si="2"/>
        <v/>
      </c>
      <c r="O18" s="196" t="str">
        <f t="shared" si="3"/>
        <v/>
      </c>
      <c r="P18" s="14"/>
      <c r="Q18" s="468" t="str">
        <f t="shared" si="9"/>
        <v/>
      </c>
      <c r="R18" s="212" t="str">
        <f t="shared" si="4"/>
        <v/>
      </c>
      <c r="S18" s="195" t="str">
        <f t="shared" si="5"/>
        <v/>
      </c>
      <c r="T18" s="196" t="str">
        <f t="shared" si="6"/>
        <v/>
      </c>
      <c r="V18" s="573">
        <f t="shared" si="7"/>
        <v>58.1</v>
      </c>
      <c r="W18" s="573">
        <f t="shared" si="8"/>
        <v>4</v>
      </c>
    </row>
    <row r="19" spans="1:23" ht="10.5" customHeight="1">
      <c r="A19" s="666" t="s">
        <v>480</v>
      </c>
      <c r="B19" s="667"/>
      <c r="C19" s="211"/>
      <c r="D19" s="194"/>
      <c r="E19" s="193"/>
      <c r="F19" s="194"/>
      <c r="G19" s="193"/>
      <c r="H19" s="212" t="str">
        <f>IF(E19="","",Conc2(E19,$V19,MolVol,E$9,E$10,H$9,H$10))</f>
        <v/>
      </c>
      <c r="I19" s="195" t="str">
        <f>IF(OR(E19="",$W19=0),"",Conc2V(E19,$V19,MolVol,E$9,E$10,H$9,H$10,ReportVOC,MWC,$W19))</f>
        <v/>
      </c>
      <c r="J19" s="195" t="str">
        <f t="shared" si="0"/>
        <v/>
      </c>
      <c r="K19" s="213" t="str">
        <f t="shared" si="1"/>
        <v/>
      </c>
      <c r="L19" s="212" t="str">
        <f>IF(G19="","",Conc2(G19,$V19,MolVol,G$9,G$10,L$9,L$10))</f>
        <v/>
      </c>
      <c r="M19" s="195" t="str">
        <f>IF(OR(G19="",$W19=0),"",Conc2V(G19,$V19,MolVol,G$9,G$10,L$9,L$10,ReportVOC,MWC,$W19))</f>
        <v/>
      </c>
      <c r="N19" s="195" t="str">
        <f t="shared" si="2"/>
        <v/>
      </c>
      <c r="O19" s="196" t="str">
        <f t="shared" si="3"/>
        <v/>
      </c>
      <c r="P19" s="14"/>
      <c r="Q19" s="468" t="str">
        <f t="shared" si="9"/>
        <v/>
      </c>
      <c r="R19" s="212" t="str">
        <f t="shared" si="4"/>
        <v/>
      </c>
      <c r="S19" s="195" t="str">
        <f t="shared" si="5"/>
        <v/>
      </c>
      <c r="T19" s="196" t="str">
        <f t="shared" si="6"/>
        <v/>
      </c>
      <c r="V19" s="573">
        <f t="shared" si="7"/>
        <v>40.1</v>
      </c>
      <c r="W19" s="573">
        <f t="shared" si="8"/>
        <v>3</v>
      </c>
    </row>
    <row r="20" spans="1:23" ht="10.5" customHeight="1">
      <c r="A20" s="666" t="s">
        <v>479</v>
      </c>
      <c r="B20" s="667"/>
      <c r="C20" s="211"/>
      <c r="D20" s="194"/>
      <c r="E20" s="193"/>
      <c r="F20" s="194"/>
      <c r="G20" s="193"/>
      <c r="H20" s="212" t="str">
        <f>IF(E20="","",Conc2(E20,$V20,MolVol,E$9,E$10,H$9,H$10))</f>
        <v/>
      </c>
      <c r="I20" s="195" t="str">
        <f>IF(OR(E20="",$W20=0),"",Conc2V(E20,$V20,MolVol,E$9,E$10,H$9,H$10,ReportVOC,MWC,$W20))</f>
        <v/>
      </c>
      <c r="J20" s="195" t="str">
        <f t="shared" si="0"/>
        <v/>
      </c>
      <c r="K20" s="213" t="str">
        <f t="shared" si="1"/>
        <v/>
      </c>
      <c r="L20" s="212" t="str">
        <f>IF(G20="","",Conc2(G20,$V20,MolVol,G$9,G$10,L$9,L$10))</f>
        <v/>
      </c>
      <c r="M20" s="195" t="str">
        <f>IF(OR(G20="",$W20=0),"",Conc2V(G20,$V20,MolVol,G$9,G$10,L$9,L$10,ReportVOC,MWC,$W20))</f>
        <v/>
      </c>
      <c r="N20" s="195" t="str">
        <f t="shared" si="2"/>
        <v/>
      </c>
      <c r="O20" s="196" t="str">
        <f t="shared" si="3"/>
        <v/>
      </c>
      <c r="P20" s="14"/>
      <c r="Q20" s="468" t="str">
        <f t="shared" si="9"/>
        <v/>
      </c>
      <c r="R20" s="212" t="str">
        <f t="shared" si="4"/>
        <v/>
      </c>
      <c r="S20" s="195" t="str">
        <f t="shared" si="5"/>
        <v/>
      </c>
      <c r="T20" s="196" t="str">
        <f t="shared" si="6"/>
        <v/>
      </c>
      <c r="V20" s="573">
        <f t="shared" si="7"/>
        <v>26.04</v>
      </c>
      <c r="W20" s="573">
        <f t="shared" si="8"/>
        <v>2</v>
      </c>
    </row>
    <row r="21" spans="1:23" ht="10.5" customHeight="1">
      <c r="A21" s="666" t="s">
        <v>175</v>
      </c>
      <c r="B21" s="667"/>
      <c r="C21" s="211"/>
      <c r="D21" s="194"/>
      <c r="E21" s="193"/>
      <c r="F21" s="194"/>
      <c r="G21" s="193"/>
      <c r="H21" s="212" t="str">
        <f>IF(E21="","",Conc2(E21,$V21,MolVol,E$9,E$10,H$9,H$10))</f>
        <v/>
      </c>
      <c r="I21" s="195" t="str">
        <f>IF(OR(E21="",$W21=0),"",Conc2V(E21,$V21,MolVol,E$9,E$10,H$9,H$10,ReportVOC,MWC,$W21))</f>
        <v/>
      </c>
      <c r="J21" s="195" t="str">
        <f t="shared" si="0"/>
        <v/>
      </c>
      <c r="K21" s="213" t="str">
        <f t="shared" si="1"/>
        <v/>
      </c>
      <c r="L21" s="212" t="str">
        <f>IF(G21="","",Conc2(G21,$V21,MolVol,G$9,G$10,L$9,L$10))</f>
        <v/>
      </c>
      <c r="M21" s="195" t="str">
        <f>IF(OR(G21="",$W21=0),"",Conc2V(G21,$V21,MolVol,G$9,G$10,L$9,L$10,ReportVOC,MWC,$W21))</f>
        <v/>
      </c>
      <c r="N21" s="195" t="str">
        <f t="shared" si="2"/>
        <v/>
      </c>
      <c r="O21" s="196" t="str">
        <f t="shared" si="3"/>
        <v/>
      </c>
      <c r="P21" s="14"/>
      <c r="Q21" s="468" t="str">
        <f t="shared" si="9"/>
        <v/>
      </c>
      <c r="R21" s="212" t="str">
        <f t="shared" si="4"/>
        <v/>
      </c>
      <c r="S21" s="195" t="str">
        <f t="shared" si="5"/>
        <v/>
      </c>
      <c r="T21" s="196" t="str">
        <f t="shared" si="6"/>
        <v/>
      </c>
      <c r="V21" s="573">
        <f t="shared" si="7"/>
        <v>56.1</v>
      </c>
      <c r="W21" s="573">
        <f t="shared" si="8"/>
        <v>4</v>
      </c>
    </row>
    <row r="22" spans="1:23" ht="10.5" customHeight="1">
      <c r="A22" s="666" t="s">
        <v>182</v>
      </c>
      <c r="B22" s="667"/>
      <c r="C22" s="211"/>
      <c r="D22" s="194"/>
      <c r="E22" s="193"/>
      <c r="F22" s="194"/>
      <c r="G22" s="193"/>
      <c r="H22" s="212" t="str">
        <f>IF(E22="","",Conc2(E22,$V22,MolVol,E$9,E$10,H$9,H$10))</f>
        <v/>
      </c>
      <c r="I22" s="195" t="str">
        <f>IF(OR(E22="",$W22=0),"",Conc2V(E22,$V22,MolVol,E$9,E$10,H$9,H$10,ReportVOC,MWC,$W22))</f>
        <v/>
      </c>
      <c r="J22" s="195" t="str">
        <f t="shared" si="0"/>
        <v/>
      </c>
      <c r="K22" s="213" t="str">
        <f t="shared" si="1"/>
        <v/>
      </c>
      <c r="L22" s="212" t="str">
        <f>IF(G22="","",Conc2(G22,$V22,MolVol,G$9,G$10,L$9,L$10))</f>
        <v/>
      </c>
      <c r="M22" s="195" t="str">
        <f>IF(OR(G22="",$W22=0),"",Conc2V(G22,$V22,MolVol,G$9,G$10,L$9,L$10,ReportVOC,MWC,$W22))</f>
        <v/>
      </c>
      <c r="N22" s="195" t="str">
        <f t="shared" si="2"/>
        <v/>
      </c>
      <c r="O22" s="196" t="str">
        <f t="shared" si="3"/>
        <v/>
      </c>
      <c r="P22" s="14"/>
      <c r="Q22" s="468" t="str">
        <f t="shared" si="9"/>
        <v/>
      </c>
      <c r="R22" s="212" t="str">
        <f t="shared" si="4"/>
        <v/>
      </c>
      <c r="S22" s="195" t="str">
        <f t="shared" si="5"/>
        <v/>
      </c>
      <c r="T22" s="196" t="str">
        <f t="shared" si="6"/>
        <v/>
      </c>
      <c r="V22" s="573">
        <f t="shared" si="7"/>
        <v>56.1</v>
      </c>
      <c r="W22" s="573">
        <f t="shared" si="8"/>
        <v>4</v>
      </c>
    </row>
    <row r="23" spans="1:23" ht="10.5" customHeight="1">
      <c r="A23" s="666" t="s">
        <v>176</v>
      </c>
      <c r="B23" s="667"/>
      <c r="C23" s="211"/>
      <c r="D23" s="194"/>
      <c r="E23" s="193"/>
      <c r="F23" s="194"/>
      <c r="G23" s="193"/>
      <c r="H23" s="212" t="str">
        <f>IF(E23="","",Conc2(E23,$V23,MolVol,E$9,E$10,H$9,H$10))</f>
        <v/>
      </c>
      <c r="I23" s="195" t="str">
        <f>IF(OR(E23="",$W23=0),"",Conc2V(E23,$V23,MolVol,E$9,E$10,H$9,H$10,ReportVOC,MWC,$W23))</f>
        <v/>
      </c>
      <c r="J23" s="195" t="str">
        <f t="shared" si="0"/>
        <v/>
      </c>
      <c r="K23" s="213" t="str">
        <f t="shared" si="1"/>
        <v/>
      </c>
      <c r="L23" s="212" t="str">
        <f>IF(G23="","",Conc2(G23,$V23,MolVol,G$9,G$10,L$9,L$10))</f>
        <v/>
      </c>
      <c r="M23" s="195" t="str">
        <f>IF(OR(G23="",$W23=0),"",Conc2V(G23,$V23,MolVol,G$9,G$10,L$9,L$10,ReportVOC,MWC,$W23))</f>
        <v/>
      </c>
      <c r="N23" s="195" t="str">
        <f t="shared" si="2"/>
        <v/>
      </c>
      <c r="O23" s="196" t="str">
        <f t="shared" si="3"/>
        <v/>
      </c>
      <c r="P23" s="14"/>
      <c r="Q23" s="468" t="str">
        <f t="shared" si="9"/>
        <v/>
      </c>
      <c r="R23" s="212" t="str">
        <f t="shared" si="4"/>
        <v/>
      </c>
      <c r="S23" s="195" t="str">
        <f t="shared" si="5"/>
        <v/>
      </c>
      <c r="T23" s="196" t="str">
        <f t="shared" si="6"/>
        <v/>
      </c>
      <c r="V23" s="573">
        <f t="shared" si="7"/>
        <v>56.1</v>
      </c>
      <c r="W23" s="573">
        <f t="shared" si="8"/>
        <v>4</v>
      </c>
    </row>
    <row r="24" spans="1:23" ht="10.5" customHeight="1">
      <c r="A24" s="666" t="s">
        <v>782</v>
      </c>
      <c r="B24" s="667"/>
      <c r="C24" s="211"/>
      <c r="D24" s="194"/>
      <c r="E24" s="193"/>
      <c r="F24" s="194"/>
      <c r="G24" s="193"/>
      <c r="H24" s="212" t="str">
        <f>IF(E24="","",Conc2(E24,$V24,MolVol,E$9,E$10,H$9,H$10))</f>
        <v/>
      </c>
      <c r="I24" s="195" t="str">
        <f>IF(OR(E24="",$W24=0),"",Conc2V(E24,$V24,MolVol,E$9,E$10,H$9,H$10,ReportVOC,MWC,$W24))</f>
        <v/>
      </c>
      <c r="J24" s="195" t="str">
        <f t="shared" si="0"/>
        <v/>
      </c>
      <c r="K24" s="213" t="str">
        <f t="shared" si="1"/>
        <v/>
      </c>
      <c r="L24" s="212" t="str">
        <f>IF(G24="","",Conc2(G24,$V24,MolVol,G$9,G$10,L$9,L$10))</f>
        <v/>
      </c>
      <c r="M24" s="195" t="str">
        <f>IF(OR(G24="",$W24=0),"",Conc2V(G24,$V24,MolVol,G$9,G$10,L$9,L$10,ReportVOC,MWC,$W24))</f>
        <v/>
      </c>
      <c r="N24" s="195" t="str">
        <f t="shared" si="2"/>
        <v/>
      </c>
      <c r="O24" s="196" t="str">
        <f t="shared" si="3"/>
        <v/>
      </c>
      <c r="P24" s="14"/>
      <c r="Q24" s="468" t="str">
        <f t="shared" si="9"/>
        <v/>
      </c>
      <c r="R24" s="212" t="str">
        <f t="shared" si="4"/>
        <v/>
      </c>
      <c r="S24" s="195" t="str">
        <f t="shared" si="5"/>
        <v/>
      </c>
      <c r="T24" s="196" t="str">
        <f t="shared" si="6"/>
        <v/>
      </c>
      <c r="V24" s="573">
        <f t="shared" si="7"/>
        <v>72.150000000000006</v>
      </c>
      <c r="W24" s="573">
        <f t="shared" si="8"/>
        <v>5</v>
      </c>
    </row>
    <row r="25" spans="1:23" ht="10.5" customHeight="1">
      <c r="A25" s="666" t="s">
        <v>808</v>
      </c>
      <c r="B25" s="667"/>
      <c r="C25" s="211"/>
      <c r="D25" s="194"/>
      <c r="E25" s="193"/>
      <c r="F25" s="194"/>
      <c r="G25" s="193"/>
      <c r="H25" s="212" t="str">
        <f>IF(E25="","",Conc2(E25,$V25,MolVol,E$9,E$10,H$9,H$10))</f>
        <v/>
      </c>
      <c r="I25" s="195" t="str">
        <f>IF(OR(E25="",$W25=0),"",Conc2V(E25,$V25,MolVol,E$9,E$10,H$9,H$10,ReportVOC,MWC,$W25))</f>
        <v/>
      </c>
      <c r="J25" s="195" t="str">
        <f t="shared" si="0"/>
        <v/>
      </c>
      <c r="K25" s="213" t="str">
        <f t="shared" si="1"/>
        <v/>
      </c>
      <c r="L25" s="212" t="str">
        <f>IF(G25="","",Conc2(G25,$V25,MolVol,G$9,G$10,L$9,L$10))</f>
        <v/>
      </c>
      <c r="M25" s="195" t="str">
        <f>IF(OR(G25="",$W25=0),"",Conc2V(G25,$V25,MolVol,G$9,G$10,L$9,L$10,ReportVOC,MWC,$W25))</f>
        <v/>
      </c>
      <c r="N25" s="195" t="str">
        <f t="shared" si="2"/>
        <v/>
      </c>
      <c r="O25" s="196" t="str">
        <f t="shared" si="3"/>
        <v/>
      </c>
      <c r="P25" s="14"/>
      <c r="Q25" s="468" t="str">
        <f t="shared" si="9"/>
        <v/>
      </c>
      <c r="R25" s="212" t="str">
        <f t="shared" si="4"/>
        <v/>
      </c>
      <c r="S25" s="195" t="str">
        <f t="shared" si="5"/>
        <v/>
      </c>
      <c r="T25" s="196" t="str">
        <f t="shared" si="6"/>
        <v/>
      </c>
      <c r="V25" s="573">
        <f t="shared" si="7"/>
        <v>72.150000000000006</v>
      </c>
      <c r="W25" s="573">
        <f t="shared" si="8"/>
        <v>5</v>
      </c>
    </row>
    <row r="26" spans="1:23" ht="10.5" customHeight="1">
      <c r="A26" s="666" t="s">
        <v>478</v>
      </c>
      <c r="B26" s="667"/>
      <c r="C26" s="377"/>
      <c r="D26" s="194"/>
      <c r="E26" s="193"/>
      <c r="F26" s="194"/>
      <c r="G26" s="193"/>
      <c r="H26" s="212" t="str">
        <f>IF(E26="","",Conc2(E26,$V26,MolVol,E$9,E$10,H$9,H$10))</f>
        <v/>
      </c>
      <c r="I26" s="195" t="str">
        <f>IF(OR(E26="",$W26=0),"",Conc2V(E26,$V26,MolVol,E$9,E$10,H$9,H$10,ReportVOC,MWC,$W26))</f>
        <v/>
      </c>
      <c r="J26" s="195" t="str">
        <f t="shared" si="0"/>
        <v/>
      </c>
      <c r="K26" s="213" t="str">
        <f t="shared" si="1"/>
        <v/>
      </c>
      <c r="L26" s="212" t="str">
        <f>IF(G26="","",Conc2(G26,$V26,MolVol,G$9,G$10,L$9,L$10))</f>
        <v/>
      </c>
      <c r="M26" s="195" t="str">
        <f>IF(OR(G26="",$W26=0),"",Conc2V(G26,$V26,MolVol,G$9,G$10,L$9,L$10,ReportVOC,MWC,$W26))</f>
        <v/>
      </c>
      <c r="N26" s="195" t="str">
        <f t="shared" si="2"/>
        <v/>
      </c>
      <c r="O26" s="196" t="str">
        <f t="shared" si="3"/>
        <v/>
      </c>
      <c r="P26" s="14"/>
      <c r="Q26" s="468" t="str">
        <f t="shared" si="9"/>
        <v/>
      </c>
      <c r="R26" s="212" t="str">
        <f t="shared" si="4"/>
        <v/>
      </c>
      <c r="S26" s="195" t="str">
        <f t="shared" si="5"/>
        <v/>
      </c>
      <c r="T26" s="196" t="str">
        <f t="shared" si="6"/>
        <v/>
      </c>
      <c r="V26" s="573">
        <f t="shared" si="7"/>
        <v>54.1</v>
      </c>
      <c r="W26" s="573">
        <f t="shared" si="8"/>
        <v>4</v>
      </c>
    </row>
    <row r="27" spans="1:23" ht="10.5" customHeight="1">
      <c r="A27" s="666" t="s">
        <v>477</v>
      </c>
      <c r="B27" s="667"/>
      <c r="C27" s="377"/>
      <c r="D27" s="194"/>
      <c r="E27" s="193"/>
      <c r="F27" s="194"/>
      <c r="G27" s="193"/>
      <c r="H27" s="212" t="str">
        <f>IF(E27="","",Conc2(E27,$V27,MolVol,E$9,E$10,H$9,H$10))</f>
        <v/>
      </c>
      <c r="I27" s="195" t="str">
        <f>IF(OR(E27="",$W27=0),"",Conc2V(E27,$V27,MolVol,E$9,E$10,H$9,H$10,ReportVOC,MWC,$W27))</f>
        <v/>
      </c>
      <c r="J27" s="195" t="str">
        <f t="shared" si="0"/>
        <v/>
      </c>
      <c r="K27" s="213" t="str">
        <f t="shared" si="1"/>
        <v/>
      </c>
      <c r="L27" s="212" t="str">
        <f>IF(G27="","",Conc2(G27,$V27,MolVol,G$9,G$10,L$9,L$10))</f>
        <v/>
      </c>
      <c r="M27" s="195" t="str">
        <f>IF(OR(G27="",$W27=0),"",Conc2V(G27,$V27,MolVol,G$9,G$10,L$9,L$10,ReportVOC,MWC,$W27))</f>
        <v/>
      </c>
      <c r="N27" s="195" t="str">
        <f t="shared" si="2"/>
        <v/>
      </c>
      <c r="O27" s="196" t="str">
        <f t="shared" si="3"/>
        <v/>
      </c>
      <c r="P27" s="14"/>
      <c r="Q27" s="468" t="str">
        <f t="shared" si="9"/>
        <v/>
      </c>
      <c r="R27" s="212" t="str">
        <f t="shared" si="4"/>
        <v/>
      </c>
      <c r="S27" s="195" t="str">
        <f t="shared" si="5"/>
        <v/>
      </c>
      <c r="T27" s="196" t="str">
        <f t="shared" si="6"/>
        <v/>
      </c>
      <c r="V27" s="573">
        <f t="shared" si="7"/>
        <v>40.06</v>
      </c>
      <c r="W27" s="573">
        <f t="shared" si="8"/>
        <v>3</v>
      </c>
    </row>
    <row r="28" spans="1:23" ht="10.5" customHeight="1">
      <c r="A28" s="666" t="s">
        <v>485</v>
      </c>
      <c r="B28" s="665"/>
      <c r="C28" s="377"/>
      <c r="D28" s="194"/>
      <c r="E28" s="193"/>
      <c r="F28" s="194"/>
      <c r="G28" s="193"/>
      <c r="H28" s="212" t="str">
        <f>IF(E28="","",Conc2(E28,$V28,MolVol,E$9,E$10,H$9,H$10))</f>
        <v/>
      </c>
      <c r="I28" s="195" t="str">
        <f>IF(OR(E28="",$W28=0),"",Conc2V(E28,$V28,MolVol,E$9,E$10,H$9,H$10,ReportVOC,MWC,$W28))</f>
        <v/>
      </c>
      <c r="J28" s="195" t="str">
        <f t="shared" si="0"/>
        <v/>
      </c>
      <c r="K28" s="213" t="str">
        <f t="shared" si="1"/>
        <v/>
      </c>
      <c r="L28" s="212" t="str">
        <f>IF(G28="","",Conc2(G28,$V28,MolVol,G$9,G$10,L$9,L$10))</f>
        <v/>
      </c>
      <c r="M28" s="195" t="str">
        <f>IF(OR(G28="",$W28=0),"",Conc2V(G28,$V28,MolVol,G$9,G$10,L$9,L$10,ReportVOC,MWC,$W28))</f>
        <v/>
      </c>
      <c r="N28" s="195" t="str">
        <f t="shared" si="2"/>
        <v/>
      </c>
      <c r="O28" s="196" t="str">
        <f t="shared" si="3"/>
        <v/>
      </c>
      <c r="P28" s="14"/>
      <c r="Q28" s="468" t="str">
        <f t="shared" si="9"/>
        <v/>
      </c>
      <c r="R28" s="212" t="str">
        <f t="shared" si="4"/>
        <v/>
      </c>
      <c r="S28" s="195" t="str">
        <f t="shared" si="5"/>
        <v/>
      </c>
      <c r="T28" s="196" t="str">
        <f t="shared" si="6"/>
        <v/>
      </c>
      <c r="V28" s="573">
        <f t="shared" si="7"/>
        <v>84.16</v>
      </c>
      <c r="W28" s="573">
        <f t="shared" si="8"/>
        <v>6</v>
      </c>
    </row>
    <row r="29" spans="1:23" ht="10.5" customHeight="1">
      <c r="A29" s="666" t="s">
        <v>797</v>
      </c>
      <c r="B29" s="665"/>
      <c r="C29" s="377"/>
      <c r="D29" s="653"/>
      <c r="E29" s="193"/>
      <c r="F29" s="653"/>
      <c r="G29" s="193"/>
      <c r="H29" s="212" t="str">
        <f>IF(E29="","",Conc2(E29,$V29,MolVol,E$9,E$10,H$9,H$10))</f>
        <v/>
      </c>
      <c r="I29" s="195" t="str">
        <f>IF(OR(E29="",$W29=0),"",Conc2V(E29,$V29,MolVol,E$9,E$10,H$9,H$10,ReportVOC,MWC,$W29))</f>
        <v/>
      </c>
      <c r="J29" s="195" t="str">
        <f t="shared" si="0"/>
        <v/>
      </c>
      <c r="K29" s="213" t="str">
        <f t="shared" si="1"/>
        <v/>
      </c>
      <c r="L29" s="212" t="str">
        <f>IF(G29="","",Conc2(G29,$V29,MolVol,G$9,G$10,L$9,L$10))</f>
        <v/>
      </c>
      <c r="M29" s="195" t="str">
        <f>IF(OR(G29="",$W29=0),"",Conc2V(G29,$V29,MolVol,G$9,G$10,L$9,L$10,ReportVOC,MWC,$W29))</f>
        <v/>
      </c>
      <c r="N29" s="195" t="str">
        <f t="shared" si="2"/>
        <v/>
      </c>
      <c r="O29" s="196" t="str">
        <f t="shared" si="3"/>
        <v/>
      </c>
      <c r="P29" s="14"/>
      <c r="Q29" s="468" t="str">
        <f t="shared" si="9"/>
        <v/>
      </c>
      <c r="R29" s="212" t="str">
        <f t="shared" si="4"/>
        <v/>
      </c>
      <c r="S29" s="195" t="str">
        <f t="shared" si="5"/>
        <v/>
      </c>
      <c r="T29" s="196" t="str">
        <f t="shared" si="6"/>
        <v/>
      </c>
      <c r="V29" s="573">
        <f t="shared" si="7"/>
        <v>86.175399999999996</v>
      </c>
      <c r="W29" s="573">
        <f t="shared" si="8"/>
        <v>6</v>
      </c>
    </row>
    <row r="30" spans="1:23" ht="10.5" customHeight="1">
      <c r="A30" s="666" t="s">
        <v>793</v>
      </c>
      <c r="B30" s="217"/>
      <c r="C30" s="377"/>
      <c r="D30" s="653"/>
      <c r="E30" s="193"/>
      <c r="F30" s="653"/>
      <c r="G30" s="193"/>
      <c r="H30" s="212" t="str">
        <f>IF(E30="","",Conc2(E30,$V30,MolVol,E$9,E$10,H$9,H$10))</f>
        <v/>
      </c>
      <c r="I30" s="195" t="str">
        <f>IF(OR(E30="",$W30=0),"",Conc2V(E30,$V30,MolVol,E$9,E$10,H$9,H$10,ReportVOC,MWC,$W30))</f>
        <v/>
      </c>
      <c r="J30" s="195" t="str">
        <f t="shared" si="0"/>
        <v/>
      </c>
      <c r="K30" s="213" t="str">
        <f t="shared" si="1"/>
        <v/>
      </c>
      <c r="L30" s="212" t="str">
        <f>IF(G30="","",Conc2(G30,$V30,MolVol,G$9,G$10,L$9,L$10))</f>
        <v/>
      </c>
      <c r="M30" s="195" t="str">
        <f>IF(OR(G30="",$W30=0),"",Conc2V(G30,$V30,MolVol,G$9,G$10,L$9,L$10,ReportVOC,MWC,$W30))</f>
        <v/>
      </c>
      <c r="N30" s="195" t="str">
        <f t="shared" si="2"/>
        <v/>
      </c>
      <c r="O30" s="196" t="str">
        <f t="shared" si="3"/>
        <v/>
      </c>
      <c r="P30" s="14"/>
      <c r="Q30" s="468" t="str">
        <f t="shared" si="9"/>
        <v/>
      </c>
      <c r="R30" s="212" t="str">
        <f t="shared" si="4"/>
        <v/>
      </c>
      <c r="S30" s="195" t="str">
        <f t="shared" si="5"/>
        <v/>
      </c>
      <c r="T30" s="196" t="str">
        <f t="shared" si="6"/>
        <v/>
      </c>
      <c r="V30" s="573">
        <f t="shared" si="7"/>
        <v>62.5</v>
      </c>
      <c r="W30" s="573">
        <f t="shared" si="8"/>
        <v>2</v>
      </c>
    </row>
    <row r="31" spans="1:23" ht="10.5" customHeight="1">
      <c r="A31" s="666" t="s">
        <v>174</v>
      </c>
      <c r="B31" s="217"/>
      <c r="C31" s="377"/>
      <c r="D31" s="653"/>
      <c r="E31" s="193"/>
      <c r="F31" s="653"/>
      <c r="G31" s="193"/>
      <c r="H31" s="212" t="str">
        <f>IF(E31="","",Conc2(E31,$V31,MolVol,E$9,E$10,H$9,H$10))</f>
        <v/>
      </c>
      <c r="I31" s="195" t="str">
        <f>IF(OR(E31="",$W31=0),"",Conc2V(E31,$V31,MolVol,E$9,E$10,H$9,H$10,ReportVOC,MWC,$W31))</f>
        <v/>
      </c>
      <c r="J31" s="195" t="str">
        <f t="shared" si="0"/>
        <v/>
      </c>
      <c r="K31" s="213" t="str">
        <f t="shared" si="1"/>
        <v/>
      </c>
      <c r="L31" s="212" t="str">
        <f>IF(G31="","",Conc2(G31,$V31,MolVol,G$9,G$10,L$9,L$10))</f>
        <v/>
      </c>
      <c r="M31" s="195" t="str">
        <f>IF(OR(G31="",$W31=0),"",Conc2V(G31,$V31,MolVol,G$9,G$10,L$9,L$10,ReportVOC,MWC,$W31))</f>
        <v/>
      </c>
      <c r="N31" s="195" t="str">
        <f t="shared" si="2"/>
        <v/>
      </c>
      <c r="O31" s="196" t="str">
        <f t="shared" si="3"/>
        <v/>
      </c>
      <c r="P31" s="14"/>
      <c r="Q31" s="468" t="str">
        <f t="shared" si="9"/>
        <v/>
      </c>
      <c r="R31" s="212" t="str">
        <f t="shared" si="4"/>
        <v/>
      </c>
      <c r="S31" s="195" t="str">
        <f t="shared" si="5"/>
        <v/>
      </c>
      <c r="T31" s="196" t="str">
        <f t="shared" si="6"/>
        <v/>
      </c>
      <c r="V31" s="573">
        <f t="shared" si="7"/>
        <v>46.1</v>
      </c>
      <c r="W31" s="573">
        <f t="shared" si="8"/>
        <v>2</v>
      </c>
    </row>
    <row r="32" spans="1:23" ht="10.5" customHeight="1">
      <c r="A32" s="666" t="s">
        <v>881</v>
      </c>
      <c r="B32" s="217"/>
      <c r="C32" s="377"/>
      <c r="D32" s="653"/>
      <c r="E32" s="193"/>
      <c r="F32" s="653"/>
      <c r="G32" s="193"/>
      <c r="H32" s="212" t="str">
        <f>IF(E32="","",Conc2(E32,$V32,MolVol,E$9,E$10,H$9,H$10))</f>
        <v/>
      </c>
      <c r="I32" s="195" t="str">
        <f>IF(OR(E32="",$W32=0),"",Conc2V(E32,$V32,MolVol,E$9,E$10,H$9,H$10,ReportVOC,MWC,$W32))</f>
        <v/>
      </c>
      <c r="J32" s="195" t="str">
        <f t="shared" si="0"/>
        <v/>
      </c>
      <c r="K32" s="213" t="str">
        <f t="shared" si="1"/>
        <v/>
      </c>
      <c r="L32" s="212" t="str">
        <f>IF(G32="","",Conc2(G32,$V32,MolVol,G$9,G$10,L$9,L$10))</f>
        <v/>
      </c>
      <c r="M32" s="195" t="str">
        <f>IF(OR(G32="",$W32=0),"",Conc2V(G32,$V32,MolVol,G$9,G$10,L$9,L$10,ReportVOC,MWC,$W32))</f>
        <v/>
      </c>
      <c r="N32" s="195" t="str">
        <f t="shared" si="2"/>
        <v/>
      </c>
      <c r="O32" s="196" t="str">
        <f t="shared" si="3"/>
        <v/>
      </c>
      <c r="P32" s="14"/>
      <c r="Q32" s="468" t="str">
        <f t="shared" si="9"/>
        <v/>
      </c>
      <c r="R32" s="212" t="str">
        <f t="shared" si="4"/>
        <v/>
      </c>
      <c r="S32" s="195" t="str">
        <f t="shared" si="5"/>
        <v/>
      </c>
      <c r="T32" s="196" t="str">
        <f t="shared" si="6"/>
        <v/>
      </c>
      <c r="V32" s="573">
        <f t="shared" si="7"/>
        <v>50.49</v>
      </c>
      <c r="W32" s="573">
        <f t="shared" si="8"/>
        <v>1</v>
      </c>
    </row>
    <row r="33" spans="1:23" ht="10.5" customHeight="1">
      <c r="A33" s="666" t="s">
        <v>882</v>
      </c>
      <c r="B33" s="217"/>
      <c r="C33" s="377"/>
      <c r="D33" s="653"/>
      <c r="E33" s="193"/>
      <c r="F33" s="653"/>
      <c r="G33" s="193"/>
      <c r="H33" s="212" t="str">
        <f>IF(E33="","",Conc2(E33,$V33,MolVol,E$9,E$10,H$9,H$10))</f>
        <v/>
      </c>
      <c r="I33" s="195" t="str">
        <f>IF(OR(E33="",$W33=0),"",Conc2V(E33,$V33,MolVol,E$9,E$10,H$9,H$10,ReportVOC,MWC,$W33))</f>
        <v/>
      </c>
      <c r="J33" s="195" t="str">
        <f t="shared" si="0"/>
        <v/>
      </c>
      <c r="K33" s="213" t="str">
        <f t="shared" si="1"/>
        <v/>
      </c>
      <c r="L33" s="212" t="str">
        <f>IF(G33="","",Conc2(G33,$V33,MolVol,G$9,G$10,L$9,L$10))</f>
        <v/>
      </c>
      <c r="M33" s="195" t="str">
        <f>IF(OR(G33="",$W33=0),"",Conc2V(G33,$V33,MolVol,G$9,G$10,L$9,L$10,ReportVOC,MWC,$W33))</f>
        <v/>
      </c>
      <c r="N33" s="195" t="str">
        <f t="shared" si="2"/>
        <v/>
      </c>
      <c r="O33" s="196" t="str">
        <f t="shared" si="3"/>
        <v/>
      </c>
      <c r="P33" s="14"/>
      <c r="Q33" s="468" t="str">
        <f t="shared" si="9"/>
        <v/>
      </c>
      <c r="R33" s="212" t="str">
        <f t="shared" si="4"/>
        <v/>
      </c>
      <c r="S33" s="195" t="str">
        <f t="shared" si="5"/>
        <v/>
      </c>
      <c r="T33" s="196" t="str">
        <f t="shared" si="6"/>
        <v/>
      </c>
      <c r="V33" s="573">
        <v>64.510000000000005</v>
      </c>
      <c r="W33" s="573">
        <v>2</v>
      </c>
    </row>
    <row r="34" spans="1:23" ht="10.5" customHeight="1" thickBot="1">
      <c r="A34" s="666" t="s">
        <v>642</v>
      </c>
      <c r="B34" s="217" t="s">
        <v>1596</v>
      </c>
      <c r="C34" s="377"/>
      <c r="D34" s="653"/>
      <c r="E34" s="193"/>
      <c r="F34" s="653"/>
      <c r="G34" s="193"/>
      <c r="H34" s="212" t="str">
        <f>IF(E34="","",Conc2(E34,$V34,MolVol,E$9,E$10,H$9,H$10))</f>
        <v/>
      </c>
      <c r="I34" s="195" t="str">
        <f>IF(OR(E34="",$W34=0),"",Conc2V(E34,$V34,MolVol,E$9,E$10,H$9,H$10,ReportVOC,MWC,$W34))</f>
        <v/>
      </c>
      <c r="J34" s="195" t="str">
        <f t="shared" si="0"/>
        <v/>
      </c>
      <c r="K34" s="213" t="str">
        <f t="shared" si="1"/>
        <v/>
      </c>
      <c r="L34" s="212" t="str">
        <f>IF(G34="","",Conc2(G34,$V34,MolVol,G$9,G$10,L$9,L$10))</f>
        <v/>
      </c>
      <c r="M34" s="195" t="str">
        <f>IF(OR(G34="",$W34=0),"",Conc2V(G34,$V34,MolVol,G$9,G$10,L$9,L$10,ReportVOC,MWC,$W34))</f>
        <v/>
      </c>
      <c r="N34" s="195" t="str">
        <f t="shared" si="2"/>
        <v/>
      </c>
      <c r="O34" s="196" t="str">
        <f t="shared" si="3"/>
        <v/>
      </c>
      <c r="P34" s="14"/>
      <c r="Q34" s="468" t="str">
        <f t="shared" si="9"/>
        <v/>
      </c>
      <c r="R34" s="212" t="str">
        <f t="shared" si="4"/>
        <v/>
      </c>
      <c r="S34" s="195" t="str">
        <f t="shared" si="5"/>
        <v/>
      </c>
      <c r="T34" s="196" t="str">
        <f t="shared" si="6"/>
        <v/>
      </c>
      <c r="V34" s="573">
        <f t="shared" si="7"/>
        <v>34.1</v>
      </c>
      <c r="W34" s="573">
        <f t="shared" si="8"/>
        <v>0</v>
      </c>
    </row>
    <row r="35" spans="1:23" ht="10.5" hidden="1" customHeight="1" outlineLevel="1">
      <c r="A35" s="216"/>
      <c r="B35" s="217"/>
      <c r="C35" s="377"/>
      <c r="D35" s="653"/>
      <c r="E35" s="193"/>
      <c r="F35" s="653"/>
      <c r="G35" s="193"/>
      <c r="H35" s="212" t="str">
        <f>IF(E35="","",Conc2(E35,$V35,MolVol,E$9,E$10,H$9,H$10))</f>
        <v/>
      </c>
      <c r="I35" s="195" t="str">
        <f>IF(OR(E35="",$W35=0),"",Conc2V(E35,$V35,MolVol,E$9,E$10,H$9,H$10,ReportVOC,MWC,$W35))</f>
        <v/>
      </c>
      <c r="J35" s="195" t="str">
        <f t="shared" si="0"/>
        <v/>
      </c>
      <c r="K35" s="213" t="str">
        <f t="shared" si="1"/>
        <v/>
      </c>
      <c r="L35" s="212" t="str">
        <f>IF(G35="","",Conc2(G35,$V35,MolVol,G$9,G$10,L$9,L$10))</f>
        <v/>
      </c>
      <c r="M35" s="195" t="str">
        <f>IF(OR(G35="",$W35=0),"",Conc2V(G35,$V35,MolVol,G$9,G$10,L$9,L$10,ReportVOC,MWC,$W35))</f>
        <v/>
      </c>
      <c r="N35" s="195" t="str">
        <f t="shared" si="2"/>
        <v/>
      </c>
      <c r="O35" s="196" t="str">
        <f t="shared" si="3"/>
        <v/>
      </c>
      <c r="P35" s="14"/>
      <c r="Q35" s="468" t="str">
        <f t="shared" ref="Q35:Q42" si="10">IF(OR(ISTEXT(D35),ISTEXT(F35)),"&lt;","")</f>
        <v/>
      </c>
      <c r="R35" s="212" t="str">
        <f t="shared" si="4"/>
        <v/>
      </c>
      <c r="S35" s="195" t="str">
        <f t="shared" si="5"/>
        <v/>
      </c>
      <c r="T35" s="196" t="str">
        <f t="shared" si="6"/>
        <v/>
      </c>
      <c r="V35" s="573" t="str">
        <f t="shared" si="7"/>
        <v/>
      </c>
      <c r="W35" s="573" t="str">
        <f t="shared" si="8"/>
        <v/>
      </c>
    </row>
    <row r="36" spans="1:23" ht="10.5" hidden="1" customHeight="1" outlineLevel="1">
      <c r="A36" s="216"/>
      <c r="B36" s="217"/>
      <c r="C36" s="377"/>
      <c r="D36" s="653"/>
      <c r="E36" s="193"/>
      <c r="F36" s="653"/>
      <c r="G36" s="193"/>
      <c r="H36" s="212" t="str">
        <f>IF(E36="","",Conc2(E36,$V36,MolVol,E$9,E$10,H$9,H$10))</f>
        <v/>
      </c>
      <c r="I36" s="195" t="str">
        <f>IF(OR(E36="",$W36=0),"",Conc2V(E36,$V36,MolVol,E$9,E$10,H$9,H$10,ReportVOC,MWC,$W36))</f>
        <v/>
      </c>
      <c r="J36" s="195" t="str">
        <f t="shared" si="0"/>
        <v/>
      </c>
      <c r="K36" s="213" t="str">
        <f t="shared" si="1"/>
        <v/>
      </c>
      <c r="L36" s="212" t="str">
        <f>IF(G36="","",Conc2(G36,$V36,MolVol,G$9,G$10,L$9,L$10))</f>
        <v/>
      </c>
      <c r="M36" s="195" t="str">
        <f>IF(OR(G36="",$W36=0),"",Conc2V(G36,$V36,MolVol,G$9,G$10,L$9,L$10,ReportVOC,MWC,$W36))</f>
        <v/>
      </c>
      <c r="N36" s="195" t="str">
        <f t="shared" si="2"/>
        <v/>
      </c>
      <c r="O36" s="196" t="str">
        <f t="shared" si="3"/>
        <v/>
      </c>
      <c r="P36" s="14"/>
      <c r="Q36" s="468" t="str">
        <f t="shared" si="10"/>
        <v/>
      </c>
      <c r="R36" s="212" t="str">
        <f t="shared" si="4"/>
        <v/>
      </c>
      <c r="S36" s="195" t="str">
        <f t="shared" si="5"/>
        <v/>
      </c>
      <c r="T36" s="196" t="str">
        <f t="shared" si="6"/>
        <v/>
      </c>
      <c r="V36" s="573" t="str">
        <f t="shared" si="7"/>
        <v/>
      </c>
      <c r="W36" s="573" t="str">
        <f t="shared" si="8"/>
        <v/>
      </c>
    </row>
    <row r="37" spans="1:23" ht="10.5" hidden="1" customHeight="1" outlineLevel="1">
      <c r="A37" s="216"/>
      <c r="B37" s="217"/>
      <c r="C37" s="377"/>
      <c r="D37" s="653"/>
      <c r="E37" s="193"/>
      <c r="F37" s="653"/>
      <c r="G37" s="193"/>
      <c r="H37" s="212" t="str">
        <f>IF(E37="","",Conc2(E37,$V37,MolVol,E$9,E$10,H$9,H$10))</f>
        <v/>
      </c>
      <c r="I37" s="195" t="str">
        <f>IF(OR(E37="",$W37=0),"",Conc2V(E37,$V37,MolVol,E$9,E$10,H$9,H$10,ReportVOC,MWC,$W37))</f>
        <v/>
      </c>
      <c r="J37" s="195" t="str">
        <f t="shared" si="0"/>
        <v/>
      </c>
      <c r="K37" s="213" t="str">
        <f t="shared" si="1"/>
        <v/>
      </c>
      <c r="L37" s="212" t="str">
        <f>IF(G37="","",Conc2(G37,$V37,MolVol,G$9,G$10,L$9,L$10))</f>
        <v/>
      </c>
      <c r="M37" s="195" t="str">
        <f>IF(OR(G37="",$W37=0),"",Conc2V(G37,$V37,MolVol,G$9,G$10,L$9,L$10,ReportVOC,MWC,$W37))</f>
        <v/>
      </c>
      <c r="N37" s="195" t="str">
        <f t="shared" si="2"/>
        <v/>
      </c>
      <c r="O37" s="196" t="str">
        <f t="shared" si="3"/>
        <v/>
      </c>
      <c r="P37" s="14"/>
      <c r="Q37" s="468" t="str">
        <f t="shared" si="10"/>
        <v/>
      </c>
      <c r="R37" s="212" t="str">
        <f t="shared" si="4"/>
        <v/>
      </c>
      <c r="S37" s="195" t="str">
        <f t="shared" si="5"/>
        <v/>
      </c>
      <c r="T37" s="196" t="str">
        <f t="shared" si="6"/>
        <v/>
      </c>
      <c r="V37" s="573" t="str">
        <f t="shared" si="7"/>
        <v/>
      </c>
      <c r="W37" s="573" t="str">
        <f t="shared" si="8"/>
        <v/>
      </c>
    </row>
    <row r="38" spans="1:23" ht="10.5" hidden="1" customHeight="1" outlineLevel="1">
      <c r="A38" s="216"/>
      <c r="B38" s="217"/>
      <c r="C38" s="377"/>
      <c r="D38" s="653"/>
      <c r="E38" s="193"/>
      <c r="F38" s="653"/>
      <c r="G38" s="193"/>
      <c r="H38" s="212" t="str">
        <f>IF(E38="","",Conc2(E38,$V38,MolVol,E$9,E$10,H$9,H$10))</f>
        <v/>
      </c>
      <c r="I38" s="195" t="str">
        <f>IF(OR(E38="",$W38=0),"",Conc2V(E38,$V38,MolVol,E$9,E$10,H$9,H$10,ReportVOC,MWC,$W38))</f>
        <v/>
      </c>
      <c r="J38" s="195" t="str">
        <f t="shared" si="0"/>
        <v/>
      </c>
      <c r="K38" s="213" t="str">
        <f t="shared" si="1"/>
        <v/>
      </c>
      <c r="L38" s="212" t="str">
        <f>IF(G38="","",Conc2(G38,$V38,MolVol,G$9,G$10,L$9,L$10))</f>
        <v/>
      </c>
      <c r="M38" s="195" t="str">
        <f>IF(OR(G38="",$W38=0),"",Conc2V(G38,$V38,MolVol,G$9,G$10,L$9,L$10,ReportVOC,MWC,$W38))</f>
        <v/>
      </c>
      <c r="N38" s="195" t="str">
        <f t="shared" si="2"/>
        <v/>
      </c>
      <c r="O38" s="196" t="str">
        <f t="shared" si="3"/>
        <v/>
      </c>
      <c r="P38" s="14"/>
      <c r="Q38" s="468" t="str">
        <f t="shared" si="10"/>
        <v/>
      </c>
      <c r="R38" s="212" t="str">
        <f t="shared" si="4"/>
        <v/>
      </c>
      <c r="S38" s="195" t="str">
        <f t="shared" si="5"/>
        <v/>
      </c>
      <c r="T38" s="196" t="str">
        <f t="shared" si="6"/>
        <v/>
      </c>
      <c r="V38" s="573" t="str">
        <f t="shared" si="7"/>
        <v/>
      </c>
      <c r="W38" s="573" t="str">
        <f t="shared" si="8"/>
        <v/>
      </c>
    </row>
    <row r="39" spans="1:23" ht="10.5" hidden="1" customHeight="1" outlineLevel="1">
      <c r="A39" s="216"/>
      <c r="B39" s="217"/>
      <c r="C39" s="377"/>
      <c r="D39" s="653"/>
      <c r="E39" s="193"/>
      <c r="F39" s="653"/>
      <c r="G39" s="193"/>
      <c r="H39" s="212" t="str">
        <f>IF(E39="","",Conc2(E39,$V39,MolVol,E$9,E$10,H$9,H$10))</f>
        <v/>
      </c>
      <c r="I39" s="195" t="str">
        <f>IF(OR(E39="",$W39=0),"",Conc2V(E39,$V39,MolVol,E$9,E$10,H$9,H$10,ReportVOC,MWC,$W39))</f>
        <v/>
      </c>
      <c r="J39" s="195" t="str">
        <f t="shared" si="0"/>
        <v/>
      </c>
      <c r="K39" s="213" t="str">
        <f t="shared" si="1"/>
        <v/>
      </c>
      <c r="L39" s="212" t="str">
        <f>IF(G39="","",Conc2(G39,$V39,MolVol,G$9,G$10,L$9,L$10))</f>
        <v/>
      </c>
      <c r="M39" s="195" t="str">
        <f>IF(OR(G39="",$W39=0),"",Conc2V(G39,$V39,MolVol,G$9,G$10,L$9,L$10,ReportVOC,MWC,$W39))</f>
        <v/>
      </c>
      <c r="N39" s="195" t="str">
        <f t="shared" si="2"/>
        <v/>
      </c>
      <c r="O39" s="196" t="str">
        <f t="shared" si="3"/>
        <v/>
      </c>
      <c r="P39" s="14"/>
      <c r="Q39" s="468" t="str">
        <f t="shared" si="10"/>
        <v/>
      </c>
      <c r="R39" s="212" t="str">
        <f t="shared" si="4"/>
        <v/>
      </c>
      <c r="S39" s="195" t="str">
        <f t="shared" si="5"/>
        <v/>
      </c>
      <c r="T39" s="196" t="str">
        <f t="shared" si="6"/>
        <v/>
      </c>
      <c r="V39" s="573" t="str">
        <f t="shared" si="7"/>
        <v/>
      </c>
      <c r="W39" s="573" t="str">
        <f t="shared" si="8"/>
        <v/>
      </c>
    </row>
    <row r="40" spans="1:23" ht="10.5" hidden="1" customHeight="1" outlineLevel="1">
      <c r="A40" s="216"/>
      <c r="B40" s="217"/>
      <c r="C40" s="377"/>
      <c r="D40" s="653"/>
      <c r="E40" s="193"/>
      <c r="F40" s="653"/>
      <c r="G40" s="193"/>
      <c r="H40" s="212" t="str">
        <f>IF(E40="","",Conc2(E40,$V40,MolVol,E$9,E$10,H$9,H$10))</f>
        <v/>
      </c>
      <c r="I40" s="195" t="str">
        <f>IF(OR(E40="",$W40=0),"",Conc2V(E40,$V40,MolVol,E$9,E$10,H$9,H$10,ReportVOC,MWC,$W40))</f>
        <v/>
      </c>
      <c r="J40" s="195" t="str">
        <f t="shared" si="0"/>
        <v/>
      </c>
      <c r="K40" s="213" t="str">
        <f t="shared" si="1"/>
        <v/>
      </c>
      <c r="L40" s="212" t="str">
        <f>IF(G40="","",Conc2(G40,$V40,MolVol,G$9,G$10,L$9,L$10))</f>
        <v/>
      </c>
      <c r="M40" s="195" t="str">
        <f>IF(OR(G40="",$W40=0),"",Conc2V(G40,$V40,MolVol,G$9,G$10,L$9,L$10,ReportVOC,MWC,$W40))</f>
        <v/>
      </c>
      <c r="N40" s="195" t="str">
        <f t="shared" si="2"/>
        <v/>
      </c>
      <c r="O40" s="196" t="str">
        <f t="shared" si="3"/>
        <v/>
      </c>
      <c r="P40" s="14"/>
      <c r="Q40" s="468" t="str">
        <f t="shared" si="10"/>
        <v/>
      </c>
      <c r="R40" s="212" t="str">
        <f t="shared" si="4"/>
        <v/>
      </c>
      <c r="S40" s="195" t="str">
        <f t="shared" si="5"/>
        <v/>
      </c>
      <c r="T40" s="196" t="str">
        <f t="shared" si="6"/>
        <v/>
      </c>
      <c r="V40" s="573" t="str">
        <f t="shared" si="7"/>
        <v/>
      </c>
      <c r="W40" s="573" t="str">
        <f t="shared" si="8"/>
        <v/>
      </c>
    </row>
    <row r="41" spans="1:23" ht="10.5" hidden="1" customHeight="1" outlineLevel="1">
      <c r="A41" s="216"/>
      <c r="B41" s="217"/>
      <c r="C41" s="377"/>
      <c r="D41" s="653"/>
      <c r="E41" s="193"/>
      <c r="F41" s="653"/>
      <c r="G41" s="193"/>
      <c r="H41" s="212" t="str">
        <f>IF(E41="","",Conc2(E41,$V41,MolVol,E$9,E$10,H$9,H$10))</f>
        <v/>
      </c>
      <c r="I41" s="195" t="str">
        <f>IF(OR(E41="",$W41=0),"",Conc2V(E41,$V41,MolVol,E$9,E$10,H$9,H$10,ReportVOC,MWC,$W41))</f>
        <v/>
      </c>
      <c r="J41" s="195" t="str">
        <f t="shared" si="0"/>
        <v/>
      </c>
      <c r="K41" s="213" t="str">
        <f t="shared" si="1"/>
        <v/>
      </c>
      <c r="L41" s="212" t="str">
        <f>IF(G41="","",Conc2(G41,$V41,MolVol,G$9,G$10,L$9,L$10))</f>
        <v/>
      </c>
      <c r="M41" s="195" t="str">
        <f>IF(OR(G41="",$W41=0),"",Conc2V(G41,$V41,MolVol,G$9,G$10,L$9,L$10,ReportVOC,MWC,$W41))</f>
        <v/>
      </c>
      <c r="N41" s="195" t="str">
        <f t="shared" si="2"/>
        <v/>
      </c>
      <c r="O41" s="196" t="str">
        <f t="shared" si="3"/>
        <v/>
      </c>
      <c r="P41" s="14"/>
      <c r="Q41" s="468" t="str">
        <f t="shared" si="10"/>
        <v/>
      </c>
      <c r="R41" s="212" t="str">
        <f t="shared" si="4"/>
        <v/>
      </c>
      <c r="S41" s="195"/>
      <c r="T41" s="196" t="str">
        <f t="shared" si="6"/>
        <v/>
      </c>
      <c r="V41" s="573" t="str">
        <f t="shared" si="7"/>
        <v/>
      </c>
      <c r="W41" s="573" t="str">
        <f t="shared" si="8"/>
        <v/>
      </c>
    </row>
    <row r="42" spans="1:23" ht="10.5" hidden="1" customHeight="1" outlineLevel="1">
      <c r="A42" s="216"/>
      <c r="B42" s="217"/>
      <c r="C42" s="377"/>
      <c r="D42" s="653"/>
      <c r="E42" s="193"/>
      <c r="F42" s="653"/>
      <c r="G42" s="193"/>
      <c r="H42" s="212" t="str">
        <f>IF(E42="","",Conc2(E42,$V42,MolVol,E$9,E$10,H$9,H$10))</f>
        <v/>
      </c>
      <c r="I42" s="195" t="str">
        <f>IF(OR(E42="",$W42=0),"",Conc2V(E42,$V42,MolVol,E$9,E$10,H$9,H$10,ReportVOC,MWC,$W42))</f>
        <v/>
      </c>
      <c r="J42" s="195" t="str">
        <f t="shared" si="0"/>
        <v/>
      </c>
      <c r="K42" s="213" t="str">
        <f t="shared" si="1"/>
        <v/>
      </c>
      <c r="L42" s="212" t="str">
        <f>IF(G42="","",Conc2(G42,$V42,MolVol,G$9,G$10,L$9,L$10))</f>
        <v/>
      </c>
      <c r="M42" s="195" t="str">
        <f>IF(OR(G42="",$W42=0),"",Conc2V(G42,$V42,MolVol,G$9,G$10,L$9,L$10,ReportVOC,MWC,$W42))</f>
        <v/>
      </c>
      <c r="N42" s="195" t="str">
        <f t="shared" si="2"/>
        <v/>
      </c>
      <c r="O42" s="196" t="str">
        <f t="shared" si="3"/>
        <v/>
      </c>
      <c r="P42" s="14"/>
      <c r="Q42" s="468" t="str">
        <f t="shared" si="10"/>
        <v/>
      </c>
      <c r="R42" s="212" t="str">
        <f t="shared" si="4"/>
        <v/>
      </c>
      <c r="S42" s="195"/>
      <c r="T42" s="196" t="str">
        <f t="shared" si="6"/>
        <v/>
      </c>
      <c r="V42" s="573" t="str">
        <f t="shared" si="7"/>
        <v/>
      </c>
      <c r="W42" s="573" t="str">
        <f t="shared" si="8"/>
        <v/>
      </c>
    </row>
    <row r="43" spans="1:23" ht="10.5" hidden="1" customHeight="1" outlineLevel="1">
      <c r="A43" s="216"/>
      <c r="B43" s="217"/>
      <c r="C43" s="377"/>
      <c r="D43" s="653"/>
      <c r="E43" s="193"/>
      <c r="F43" s="653"/>
      <c r="G43" s="193"/>
      <c r="H43" s="212" t="str">
        <f>IF(E43="","",Conc2(E43,$V43,MolVol,E$9,E$10,H$9,H$10))</f>
        <v/>
      </c>
      <c r="I43" s="195" t="str">
        <f>IF(OR(E43="",$W43=0),"",Conc2V(E43,$V43,MolVol,E$9,E$10,H$9,H$10,ReportVOC,MWC,$W43))</f>
        <v/>
      </c>
      <c r="J43" s="195" t="str">
        <f t="shared" ref="J43:J74" si="11">IF(H43="","",H43*O2correction*CO2correction)</f>
        <v/>
      </c>
      <c r="K43" s="213" t="str">
        <f t="shared" ref="K43:K74" si="12">IF(H43="","",MassRate(H43,$V43,MolVol,H$9,H$10,MRU,MRF,AverageFlowDry,FF))</f>
        <v/>
      </c>
      <c r="L43" s="212" t="str">
        <f>IF(G43="","",Conc2(G43,$V43,MolVol,G$9,G$10,L$9,L$10))</f>
        <v/>
      </c>
      <c r="M43" s="195" t="str">
        <f>IF(OR(G43="",$W43=0),"",Conc2V(G43,$V43,MolVol,G$9,G$10,L$9,L$10,ReportVOC,MWC,$W43))</f>
        <v/>
      </c>
      <c r="N43" s="195" t="str">
        <f t="shared" ref="N43:N74" si="13">IF(L43="","",L43*O2correction*CO2correction)</f>
        <v/>
      </c>
      <c r="O43" s="196" t="str">
        <f t="shared" ref="O43:O74" si="14">IF(L43="","",MassRate(L43,$V43,MolVol,L$9,L$10,MRU,MRF,AverageFlowDry,FF))</f>
        <v/>
      </c>
      <c r="P43" s="14"/>
      <c r="Q43" s="468" t="str">
        <f t="shared" ref="Q43:Q74" si="15">IF(OR(ISTEXT(D43),ISTEXT(F43)),"&lt;","")</f>
        <v/>
      </c>
      <c r="R43" s="212" t="str">
        <f t="shared" ref="R43:R74" si="16">IF(OR(ISNUMBER(H43),ISNUMBER(L43)),AVERAGE(H43,L43),"")</f>
        <v/>
      </c>
      <c r="S43" s="195"/>
      <c r="T43" s="196" t="str">
        <f t="shared" ref="T43:T74" si="17">IF(OR(ISNUMBER(K43),ISNUMBER(O43)),AVERAGE(K43,O43),"")</f>
        <v/>
      </c>
      <c r="V43" s="573" t="str">
        <f t="shared" ref="V43:V74" si="18">IF($A43="","",VLOOKUP($A43,VOCtable,2,FALSE))</f>
        <v/>
      </c>
      <c r="W43" s="573" t="str">
        <f t="shared" ref="W43:W74" si="19">IF($A43="","",VLOOKUP($A43,VOCtable,3,FALSE))</f>
        <v/>
      </c>
    </row>
    <row r="44" spans="1:23" ht="10.5" hidden="1" customHeight="1" outlineLevel="1">
      <c r="A44" s="216"/>
      <c r="B44" s="217"/>
      <c r="C44" s="377"/>
      <c r="D44" s="653"/>
      <c r="E44" s="193"/>
      <c r="F44" s="653"/>
      <c r="G44" s="193"/>
      <c r="H44" s="212" t="str">
        <f>IF(E44="","",Conc2(E44,$V44,MolVol,E$9,E$10,H$9,H$10))</f>
        <v/>
      </c>
      <c r="I44" s="195" t="str">
        <f>IF(OR(E44="",$W44=0),"",Conc2V(E44,$V44,MolVol,E$9,E$10,H$9,H$10,ReportVOC,MWC,$W44))</f>
        <v/>
      </c>
      <c r="J44" s="195" t="str">
        <f t="shared" si="11"/>
        <v/>
      </c>
      <c r="K44" s="213" t="str">
        <f t="shared" si="12"/>
        <v/>
      </c>
      <c r="L44" s="212" t="str">
        <f>IF(G44="","",Conc2(G44,$V44,MolVol,G$9,G$10,L$9,L$10))</f>
        <v/>
      </c>
      <c r="M44" s="195" t="str">
        <f>IF(OR(G44="",$W44=0),"",Conc2V(G44,$V44,MolVol,G$9,G$10,L$9,L$10,ReportVOC,MWC,$W44))</f>
        <v/>
      </c>
      <c r="N44" s="195" t="str">
        <f t="shared" si="13"/>
        <v/>
      </c>
      <c r="O44" s="196" t="str">
        <f t="shared" si="14"/>
        <v/>
      </c>
      <c r="P44" s="14"/>
      <c r="Q44" s="468" t="str">
        <f t="shared" si="15"/>
        <v/>
      </c>
      <c r="R44" s="212" t="str">
        <f t="shared" si="16"/>
        <v/>
      </c>
      <c r="S44" s="195"/>
      <c r="T44" s="196" t="str">
        <f t="shared" si="17"/>
        <v/>
      </c>
      <c r="V44" s="573" t="str">
        <f t="shared" si="18"/>
        <v/>
      </c>
      <c r="W44" s="573" t="str">
        <f t="shared" si="19"/>
        <v/>
      </c>
    </row>
    <row r="45" spans="1:23" ht="10.5" hidden="1" customHeight="1" outlineLevel="1">
      <c r="A45" s="216"/>
      <c r="B45" s="217"/>
      <c r="C45" s="377"/>
      <c r="D45" s="653"/>
      <c r="E45" s="193"/>
      <c r="F45" s="653"/>
      <c r="G45" s="193"/>
      <c r="H45" s="212" t="str">
        <f>IF(E45="","",Conc2(E45,$V45,MolVol,E$9,E$10,H$9,H$10))</f>
        <v/>
      </c>
      <c r="I45" s="195" t="str">
        <f>IF(OR(E45="",$W45=0),"",Conc2V(E45,$V45,MolVol,E$9,E$10,H$9,H$10,ReportVOC,MWC,$W45))</f>
        <v/>
      </c>
      <c r="J45" s="195" t="str">
        <f t="shared" si="11"/>
        <v/>
      </c>
      <c r="K45" s="213" t="str">
        <f t="shared" si="12"/>
        <v/>
      </c>
      <c r="L45" s="212" t="str">
        <f>IF(G45="","",Conc2(G45,$V45,MolVol,G$9,G$10,L$9,L$10))</f>
        <v/>
      </c>
      <c r="M45" s="195" t="str">
        <f>IF(OR(G45="",$W45=0),"",Conc2V(G45,$V45,MolVol,G$9,G$10,L$9,L$10,ReportVOC,MWC,$W45))</f>
        <v/>
      </c>
      <c r="N45" s="195" t="str">
        <f t="shared" si="13"/>
        <v/>
      </c>
      <c r="O45" s="196" t="str">
        <f t="shared" si="14"/>
        <v/>
      </c>
      <c r="P45" s="14"/>
      <c r="Q45" s="468" t="str">
        <f t="shared" si="15"/>
        <v/>
      </c>
      <c r="R45" s="212" t="str">
        <f t="shared" si="16"/>
        <v/>
      </c>
      <c r="S45" s="195"/>
      <c r="T45" s="196" t="str">
        <f t="shared" si="17"/>
        <v/>
      </c>
      <c r="V45" s="573" t="str">
        <f t="shared" si="18"/>
        <v/>
      </c>
      <c r="W45" s="573" t="str">
        <f t="shared" si="19"/>
        <v/>
      </c>
    </row>
    <row r="46" spans="1:23" ht="10.5" hidden="1" customHeight="1" outlineLevel="1">
      <c r="A46" s="216"/>
      <c r="B46" s="217"/>
      <c r="C46" s="377"/>
      <c r="D46" s="653"/>
      <c r="E46" s="193"/>
      <c r="F46" s="653"/>
      <c r="G46" s="193"/>
      <c r="H46" s="212" t="str">
        <f>IF(E46="","",Conc2(E46,$V46,MolVol,E$9,E$10,H$9,H$10))</f>
        <v/>
      </c>
      <c r="I46" s="195" t="str">
        <f>IF(OR(E46="",$W46=0),"",Conc2V(E46,$V46,MolVol,E$9,E$10,H$9,H$10,ReportVOC,MWC,$W46))</f>
        <v/>
      </c>
      <c r="J46" s="195" t="str">
        <f t="shared" si="11"/>
        <v/>
      </c>
      <c r="K46" s="213" t="str">
        <f t="shared" si="12"/>
        <v/>
      </c>
      <c r="L46" s="212" t="str">
        <f>IF(G46="","",Conc2(G46,$V46,MolVol,G$9,G$10,L$9,L$10))</f>
        <v/>
      </c>
      <c r="M46" s="195" t="str">
        <f>IF(OR(G46="",$W46=0),"",Conc2V(G46,$V46,MolVol,G$9,G$10,L$9,L$10,ReportVOC,MWC,$W46))</f>
        <v/>
      </c>
      <c r="N46" s="195" t="str">
        <f t="shared" si="13"/>
        <v/>
      </c>
      <c r="O46" s="196" t="str">
        <f t="shared" si="14"/>
        <v/>
      </c>
      <c r="P46" s="14"/>
      <c r="Q46" s="468" t="str">
        <f t="shared" si="15"/>
        <v/>
      </c>
      <c r="R46" s="212" t="str">
        <f t="shared" si="16"/>
        <v/>
      </c>
      <c r="S46" s="195"/>
      <c r="T46" s="196" t="str">
        <f t="shared" si="17"/>
        <v/>
      </c>
      <c r="V46" s="573" t="str">
        <f t="shared" si="18"/>
        <v/>
      </c>
      <c r="W46" s="573" t="str">
        <f t="shared" si="19"/>
        <v/>
      </c>
    </row>
    <row r="47" spans="1:23" ht="10.5" hidden="1" customHeight="1" outlineLevel="1">
      <c r="A47" s="216"/>
      <c r="B47" s="217"/>
      <c r="C47" s="377"/>
      <c r="D47" s="653"/>
      <c r="E47" s="193"/>
      <c r="F47" s="653"/>
      <c r="G47" s="193"/>
      <c r="H47" s="212" t="str">
        <f>IF(E47="","",Conc2(E47,$V47,MolVol,E$9,E$10,H$9,H$10))</f>
        <v/>
      </c>
      <c r="I47" s="195" t="str">
        <f>IF(OR(E47="",$W47=0),"",Conc2V(E47,$V47,MolVol,E$9,E$10,H$9,H$10,ReportVOC,MWC,$W47))</f>
        <v/>
      </c>
      <c r="J47" s="195" t="str">
        <f t="shared" si="11"/>
        <v/>
      </c>
      <c r="K47" s="213" t="str">
        <f t="shared" si="12"/>
        <v/>
      </c>
      <c r="L47" s="212" t="str">
        <f>IF(G47="","",Conc2(G47,$V47,MolVol,G$9,G$10,L$9,L$10))</f>
        <v/>
      </c>
      <c r="M47" s="195" t="str">
        <f>IF(OR(G47="",$W47=0),"",Conc2V(G47,$V47,MolVol,G$9,G$10,L$9,L$10,ReportVOC,MWC,$W47))</f>
        <v/>
      </c>
      <c r="N47" s="195" t="str">
        <f t="shared" si="13"/>
        <v/>
      </c>
      <c r="O47" s="196" t="str">
        <f t="shared" si="14"/>
        <v/>
      </c>
      <c r="P47" s="14"/>
      <c r="Q47" s="468" t="str">
        <f t="shared" si="15"/>
        <v/>
      </c>
      <c r="R47" s="212" t="str">
        <f t="shared" si="16"/>
        <v/>
      </c>
      <c r="S47" s="195"/>
      <c r="T47" s="196" t="str">
        <f t="shared" si="17"/>
        <v/>
      </c>
      <c r="V47" s="573" t="str">
        <f t="shared" si="18"/>
        <v/>
      </c>
      <c r="W47" s="573" t="str">
        <f t="shared" si="19"/>
        <v/>
      </c>
    </row>
    <row r="48" spans="1:23" ht="10.5" hidden="1" customHeight="1" outlineLevel="1">
      <c r="A48" s="216"/>
      <c r="B48" s="217"/>
      <c r="C48" s="377"/>
      <c r="D48" s="653"/>
      <c r="E48" s="193"/>
      <c r="F48" s="653"/>
      <c r="G48" s="193"/>
      <c r="H48" s="212" t="str">
        <f>IF(E48="","",Conc2(E48,$V48,MolVol,E$9,E$10,H$9,H$10))</f>
        <v/>
      </c>
      <c r="I48" s="195" t="str">
        <f>IF(OR(E48="",$W48=0),"",Conc2V(E48,$V48,MolVol,E$9,E$10,H$9,H$10,ReportVOC,MWC,$W48))</f>
        <v/>
      </c>
      <c r="J48" s="195" t="str">
        <f t="shared" si="11"/>
        <v/>
      </c>
      <c r="K48" s="213" t="str">
        <f t="shared" si="12"/>
        <v/>
      </c>
      <c r="L48" s="212" t="str">
        <f>IF(G48="","",Conc2(G48,$V48,MolVol,G$9,G$10,L$9,L$10))</f>
        <v/>
      </c>
      <c r="M48" s="195" t="str">
        <f>IF(OR(G48="",$W48=0),"",Conc2V(G48,$V48,MolVol,G$9,G$10,L$9,L$10,ReportVOC,MWC,$W48))</f>
        <v/>
      </c>
      <c r="N48" s="195" t="str">
        <f t="shared" si="13"/>
        <v/>
      </c>
      <c r="O48" s="196" t="str">
        <f t="shared" si="14"/>
        <v/>
      </c>
      <c r="P48" s="14"/>
      <c r="Q48" s="468" t="str">
        <f t="shared" si="15"/>
        <v/>
      </c>
      <c r="R48" s="212" t="str">
        <f t="shared" si="16"/>
        <v/>
      </c>
      <c r="S48" s="195"/>
      <c r="T48" s="196" t="str">
        <f t="shared" si="17"/>
        <v/>
      </c>
      <c r="V48" s="573" t="str">
        <f t="shared" si="18"/>
        <v/>
      </c>
      <c r="W48" s="573" t="str">
        <f t="shared" si="19"/>
        <v/>
      </c>
    </row>
    <row r="49" spans="1:23" ht="10.5" hidden="1" customHeight="1" outlineLevel="1">
      <c r="A49" s="216"/>
      <c r="B49" s="217"/>
      <c r="C49" s="377"/>
      <c r="D49" s="653"/>
      <c r="E49" s="193"/>
      <c r="F49" s="653"/>
      <c r="G49" s="193"/>
      <c r="H49" s="212" t="str">
        <f>IF(E49="","",Conc2(E49,$V49,MolVol,E$9,E$10,H$9,H$10))</f>
        <v/>
      </c>
      <c r="I49" s="195" t="str">
        <f>IF(OR(E49="",$W49=0),"",Conc2V(E49,$V49,MolVol,E$9,E$10,H$9,H$10,ReportVOC,MWC,$W49))</f>
        <v/>
      </c>
      <c r="J49" s="195" t="str">
        <f t="shared" si="11"/>
        <v/>
      </c>
      <c r="K49" s="213" t="str">
        <f t="shared" si="12"/>
        <v/>
      </c>
      <c r="L49" s="212" t="str">
        <f>IF(G49="","",Conc2(G49,$V49,MolVol,G$9,G$10,L$9,L$10))</f>
        <v/>
      </c>
      <c r="M49" s="195" t="str">
        <f>IF(OR(G49="",$W49=0),"",Conc2V(G49,$V49,MolVol,G$9,G$10,L$9,L$10,ReportVOC,MWC,$W49))</f>
        <v/>
      </c>
      <c r="N49" s="195" t="str">
        <f t="shared" si="13"/>
        <v/>
      </c>
      <c r="O49" s="196" t="str">
        <f t="shared" si="14"/>
        <v/>
      </c>
      <c r="P49" s="14"/>
      <c r="Q49" s="468" t="str">
        <f t="shared" si="15"/>
        <v/>
      </c>
      <c r="R49" s="212" t="str">
        <f t="shared" si="16"/>
        <v/>
      </c>
      <c r="S49" s="195"/>
      <c r="T49" s="196" t="str">
        <f t="shared" si="17"/>
        <v/>
      </c>
      <c r="V49" s="573" t="str">
        <f t="shared" si="18"/>
        <v/>
      </c>
      <c r="W49" s="573" t="str">
        <f t="shared" si="19"/>
        <v/>
      </c>
    </row>
    <row r="50" spans="1:23" ht="10.5" hidden="1" customHeight="1" outlineLevel="1">
      <c r="A50" s="216"/>
      <c r="B50" s="217"/>
      <c r="C50" s="377"/>
      <c r="D50" s="653"/>
      <c r="E50" s="193"/>
      <c r="F50" s="653"/>
      <c r="G50" s="193"/>
      <c r="H50" s="212" t="str">
        <f>IF(E50="","",Conc2(E50,$V50,MolVol,E$9,E$10,H$9,H$10))</f>
        <v/>
      </c>
      <c r="I50" s="195" t="str">
        <f>IF(OR(E50="",$W50=0),"",Conc2V(E50,$V50,MolVol,E$9,E$10,H$9,H$10,ReportVOC,MWC,$W50))</f>
        <v/>
      </c>
      <c r="J50" s="195" t="str">
        <f t="shared" si="11"/>
        <v/>
      </c>
      <c r="K50" s="213" t="str">
        <f t="shared" si="12"/>
        <v/>
      </c>
      <c r="L50" s="212" t="str">
        <f>IF(G50="","",Conc2(G50,$V50,MolVol,G$9,G$10,L$9,L$10))</f>
        <v/>
      </c>
      <c r="M50" s="195" t="str">
        <f>IF(OR(G50="",$W50=0),"",Conc2V(G50,$V50,MolVol,G$9,G$10,L$9,L$10,ReportVOC,MWC,$W50))</f>
        <v/>
      </c>
      <c r="N50" s="195" t="str">
        <f t="shared" si="13"/>
        <v/>
      </c>
      <c r="O50" s="196" t="str">
        <f t="shared" si="14"/>
        <v/>
      </c>
      <c r="P50" s="14"/>
      <c r="Q50" s="468" t="str">
        <f t="shared" si="15"/>
        <v/>
      </c>
      <c r="R50" s="212" t="str">
        <f t="shared" si="16"/>
        <v/>
      </c>
      <c r="S50" s="195"/>
      <c r="T50" s="196" t="str">
        <f t="shared" si="17"/>
        <v/>
      </c>
      <c r="V50" s="573" t="str">
        <f t="shared" si="18"/>
        <v/>
      </c>
      <c r="W50" s="573" t="str">
        <f t="shared" si="19"/>
        <v/>
      </c>
    </row>
    <row r="51" spans="1:23" ht="10.5" hidden="1" customHeight="1" outlineLevel="1">
      <c r="A51" s="216"/>
      <c r="B51" s="217"/>
      <c r="C51" s="377"/>
      <c r="D51" s="653"/>
      <c r="E51" s="193"/>
      <c r="F51" s="653"/>
      <c r="G51" s="193"/>
      <c r="H51" s="212" t="str">
        <f>IF(E51="","",Conc2(E51,$V51,MolVol,E$9,E$10,H$9,H$10))</f>
        <v/>
      </c>
      <c r="I51" s="195" t="str">
        <f>IF(OR(E51="",$W51=0),"",Conc2V(E51,$V51,MolVol,E$9,E$10,H$9,H$10,ReportVOC,MWC,$W51))</f>
        <v/>
      </c>
      <c r="J51" s="195" t="str">
        <f t="shared" si="11"/>
        <v/>
      </c>
      <c r="K51" s="213" t="str">
        <f t="shared" si="12"/>
        <v/>
      </c>
      <c r="L51" s="212" t="str">
        <f>IF(G51="","",Conc2(G51,$V51,MolVol,G$9,G$10,L$9,L$10))</f>
        <v/>
      </c>
      <c r="M51" s="195" t="str">
        <f>IF(OR(G51="",$W51=0),"",Conc2V(G51,$V51,MolVol,G$9,G$10,L$9,L$10,ReportVOC,MWC,$W51))</f>
        <v/>
      </c>
      <c r="N51" s="195" t="str">
        <f t="shared" si="13"/>
        <v/>
      </c>
      <c r="O51" s="196" t="str">
        <f t="shared" si="14"/>
        <v/>
      </c>
      <c r="P51" s="14"/>
      <c r="Q51" s="468" t="str">
        <f t="shared" si="15"/>
        <v/>
      </c>
      <c r="R51" s="212" t="str">
        <f t="shared" si="16"/>
        <v/>
      </c>
      <c r="S51" s="195"/>
      <c r="T51" s="196" t="str">
        <f t="shared" si="17"/>
        <v/>
      </c>
      <c r="V51" s="573" t="str">
        <f t="shared" si="18"/>
        <v/>
      </c>
      <c r="W51" s="573" t="str">
        <f t="shared" si="19"/>
        <v/>
      </c>
    </row>
    <row r="52" spans="1:23" ht="10.5" hidden="1" customHeight="1" outlineLevel="1">
      <c r="A52" s="216"/>
      <c r="B52" s="217"/>
      <c r="C52" s="377"/>
      <c r="D52" s="653"/>
      <c r="E52" s="193"/>
      <c r="F52" s="653"/>
      <c r="G52" s="193"/>
      <c r="H52" s="212" t="str">
        <f>IF(E52="","",Conc2(E52,$V52,MolVol,E$9,E$10,H$9,H$10))</f>
        <v/>
      </c>
      <c r="I52" s="195" t="str">
        <f>IF(OR(E52="",$W52=0),"",Conc2V(E52,$V52,MolVol,E$9,E$10,H$9,H$10,ReportVOC,MWC,$W52))</f>
        <v/>
      </c>
      <c r="J52" s="195" t="str">
        <f t="shared" si="11"/>
        <v/>
      </c>
      <c r="K52" s="213" t="str">
        <f t="shared" si="12"/>
        <v/>
      </c>
      <c r="L52" s="212" t="str">
        <f>IF(G52="","",Conc2(G52,$V52,MolVol,G$9,G$10,L$9,L$10))</f>
        <v/>
      </c>
      <c r="M52" s="195" t="str">
        <f>IF(OR(G52="",$W52=0),"",Conc2V(G52,$V52,MolVol,G$9,G$10,L$9,L$10,ReportVOC,MWC,$W52))</f>
        <v/>
      </c>
      <c r="N52" s="195" t="str">
        <f t="shared" si="13"/>
        <v/>
      </c>
      <c r="O52" s="196" t="str">
        <f t="shared" si="14"/>
        <v/>
      </c>
      <c r="P52" s="14"/>
      <c r="Q52" s="468" t="str">
        <f t="shared" si="15"/>
        <v/>
      </c>
      <c r="R52" s="212" t="str">
        <f t="shared" si="16"/>
        <v/>
      </c>
      <c r="S52" s="195"/>
      <c r="T52" s="196" t="str">
        <f t="shared" si="17"/>
        <v/>
      </c>
      <c r="V52" s="573" t="str">
        <f t="shared" si="18"/>
        <v/>
      </c>
      <c r="W52" s="573" t="str">
        <f t="shared" si="19"/>
        <v/>
      </c>
    </row>
    <row r="53" spans="1:23" ht="10.5" hidden="1" customHeight="1" outlineLevel="1">
      <c r="A53" s="216"/>
      <c r="B53" s="217"/>
      <c r="C53" s="377"/>
      <c r="D53" s="653"/>
      <c r="E53" s="193"/>
      <c r="F53" s="653"/>
      <c r="G53" s="193"/>
      <c r="H53" s="212" t="str">
        <f>IF(E53="","",Conc2(E53,$V53,MolVol,E$9,E$10,H$9,H$10))</f>
        <v/>
      </c>
      <c r="I53" s="195" t="str">
        <f>IF(OR(E53="",$W53=0),"",Conc2V(E53,$V53,MolVol,E$9,E$10,H$9,H$10,ReportVOC,MWC,$W53))</f>
        <v/>
      </c>
      <c r="J53" s="195" t="str">
        <f t="shared" si="11"/>
        <v/>
      </c>
      <c r="K53" s="213" t="str">
        <f t="shared" si="12"/>
        <v/>
      </c>
      <c r="L53" s="212" t="str">
        <f>IF(G53="","",Conc2(G53,$V53,MolVol,G$9,G$10,L$9,L$10))</f>
        <v/>
      </c>
      <c r="M53" s="195" t="str">
        <f>IF(OR(G53="",$W53=0),"",Conc2V(G53,$V53,MolVol,G$9,G$10,L$9,L$10,ReportVOC,MWC,$W53))</f>
        <v/>
      </c>
      <c r="N53" s="195" t="str">
        <f t="shared" si="13"/>
        <v/>
      </c>
      <c r="O53" s="196" t="str">
        <f t="shared" si="14"/>
        <v/>
      </c>
      <c r="P53" s="14"/>
      <c r="Q53" s="468" t="str">
        <f t="shared" si="15"/>
        <v/>
      </c>
      <c r="R53" s="212" t="str">
        <f t="shared" si="16"/>
        <v/>
      </c>
      <c r="S53" s="195"/>
      <c r="T53" s="196" t="str">
        <f t="shared" si="17"/>
        <v/>
      </c>
      <c r="V53" s="573" t="str">
        <f t="shared" si="18"/>
        <v/>
      </c>
      <c r="W53" s="573" t="str">
        <f t="shared" si="19"/>
        <v/>
      </c>
    </row>
    <row r="54" spans="1:23" ht="10.5" hidden="1" customHeight="1" outlineLevel="1">
      <c r="A54" s="216"/>
      <c r="B54" s="217"/>
      <c r="C54" s="377"/>
      <c r="D54" s="653"/>
      <c r="E54" s="193"/>
      <c r="F54" s="653"/>
      <c r="G54" s="193"/>
      <c r="H54" s="212" t="str">
        <f>IF(E54="","",Conc2(E54,$V54,MolVol,E$9,E$10,H$9,H$10))</f>
        <v/>
      </c>
      <c r="I54" s="195" t="str">
        <f>IF(OR(E54="",$W54=0),"",Conc2V(E54,$V54,MolVol,E$9,E$10,H$9,H$10,ReportVOC,MWC,$W54))</f>
        <v/>
      </c>
      <c r="J54" s="195" t="str">
        <f t="shared" si="11"/>
        <v/>
      </c>
      <c r="K54" s="213" t="str">
        <f t="shared" si="12"/>
        <v/>
      </c>
      <c r="L54" s="212" t="str">
        <f>IF(G54="","",Conc2(G54,$V54,MolVol,G$9,G$10,L$9,L$10))</f>
        <v/>
      </c>
      <c r="M54" s="195" t="str">
        <f>IF(OR(G54="",$W54=0),"",Conc2V(G54,$V54,MolVol,G$9,G$10,L$9,L$10,ReportVOC,MWC,$W54))</f>
        <v/>
      </c>
      <c r="N54" s="195" t="str">
        <f t="shared" si="13"/>
        <v/>
      </c>
      <c r="O54" s="196" t="str">
        <f t="shared" si="14"/>
        <v/>
      </c>
      <c r="P54" s="14"/>
      <c r="Q54" s="468" t="str">
        <f t="shared" si="15"/>
        <v/>
      </c>
      <c r="R54" s="212" t="str">
        <f t="shared" si="16"/>
        <v/>
      </c>
      <c r="S54" s="195"/>
      <c r="T54" s="196" t="str">
        <f t="shared" si="17"/>
        <v/>
      </c>
      <c r="V54" s="573" t="str">
        <f t="shared" si="18"/>
        <v/>
      </c>
      <c r="W54" s="573" t="str">
        <f t="shared" si="19"/>
        <v/>
      </c>
    </row>
    <row r="55" spans="1:23" ht="10.5" hidden="1" customHeight="1" outlineLevel="1">
      <c r="A55" s="216"/>
      <c r="B55" s="217"/>
      <c r="C55" s="377"/>
      <c r="D55" s="653"/>
      <c r="E55" s="193"/>
      <c r="F55" s="653"/>
      <c r="G55" s="193"/>
      <c r="H55" s="212" t="str">
        <f>IF(E55="","",Conc2(E55,$V55,MolVol,E$9,E$10,H$9,H$10))</f>
        <v/>
      </c>
      <c r="I55" s="195" t="str">
        <f>IF(OR(E55="",$W55=0),"",Conc2V(E55,$V55,MolVol,E$9,E$10,H$9,H$10,ReportVOC,MWC,$W55))</f>
        <v/>
      </c>
      <c r="J55" s="195" t="str">
        <f t="shared" si="11"/>
        <v/>
      </c>
      <c r="K55" s="213" t="str">
        <f t="shared" si="12"/>
        <v/>
      </c>
      <c r="L55" s="212" t="str">
        <f>IF(G55="","",Conc2(G55,$V55,MolVol,G$9,G$10,L$9,L$10))</f>
        <v/>
      </c>
      <c r="M55" s="195" t="str">
        <f>IF(OR(G55="",$W55=0),"",Conc2V(G55,$V55,MolVol,G$9,G$10,L$9,L$10,ReportVOC,MWC,$W55))</f>
        <v/>
      </c>
      <c r="N55" s="195" t="str">
        <f t="shared" si="13"/>
        <v/>
      </c>
      <c r="O55" s="196" t="str">
        <f t="shared" si="14"/>
        <v/>
      </c>
      <c r="P55" s="14"/>
      <c r="Q55" s="468" t="str">
        <f t="shared" si="15"/>
        <v/>
      </c>
      <c r="R55" s="212" t="str">
        <f t="shared" si="16"/>
        <v/>
      </c>
      <c r="S55" s="195"/>
      <c r="T55" s="196" t="str">
        <f t="shared" si="17"/>
        <v/>
      </c>
      <c r="V55" s="573" t="str">
        <f t="shared" si="18"/>
        <v/>
      </c>
      <c r="W55" s="573" t="str">
        <f t="shared" si="19"/>
        <v/>
      </c>
    </row>
    <row r="56" spans="1:23" ht="10.5" hidden="1" customHeight="1" outlineLevel="1">
      <c r="A56" s="216"/>
      <c r="B56" s="217"/>
      <c r="C56" s="377"/>
      <c r="D56" s="653"/>
      <c r="E56" s="193"/>
      <c r="F56" s="653"/>
      <c r="G56" s="193"/>
      <c r="H56" s="212" t="str">
        <f>IF(E56="","",Conc2(E56,$V56,MolVol,E$9,E$10,H$9,H$10))</f>
        <v/>
      </c>
      <c r="I56" s="195" t="str">
        <f>IF(OR(E56="",$W56=0),"",Conc2V(E56,$V56,MolVol,E$9,E$10,H$9,H$10,ReportVOC,MWC,$W56))</f>
        <v/>
      </c>
      <c r="J56" s="195" t="str">
        <f t="shared" si="11"/>
        <v/>
      </c>
      <c r="K56" s="213" t="str">
        <f t="shared" si="12"/>
        <v/>
      </c>
      <c r="L56" s="212" t="str">
        <f>IF(G56="","",Conc2(G56,$V56,MolVol,G$9,G$10,L$9,L$10))</f>
        <v/>
      </c>
      <c r="M56" s="195" t="str">
        <f>IF(OR(G56="",$W56=0),"",Conc2V(G56,$V56,MolVol,G$9,G$10,L$9,L$10,ReportVOC,MWC,$W56))</f>
        <v/>
      </c>
      <c r="N56" s="195" t="str">
        <f t="shared" si="13"/>
        <v/>
      </c>
      <c r="O56" s="196" t="str">
        <f t="shared" si="14"/>
        <v/>
      </c>
      <c r="P56" s="14"/>
      <c r="Q56" s="468" t="str">
        <f t="shared" si="15"/>
        <v/>
      </c>
      <c r="R56" s="212" t="str">
        <f t="shared" si="16"/>
        <v/>
      </c>
      <c r="S56" s="195"/>
      <c r="T56" s="196" t="str">
        <f t="shared" si="17"/>
        <v/>
      </c>
      <c r="V56" s="573" t="str">
        <f t="shared" si="18"/>
        <v/>
      </c>
      <c r="W56" s="573" t="str">
        <f t="shared" si="19"/>
        <v/>
      </c>
    </row>
    <row r="57" spans="1:23" ht="10.5" hidden="1" customHeight="1" outlineLevel="1">
      <c r="A57" s="216"/>
      <c r="B57" s="217"/>
      <c r="C57" s="377"/>
      <c r="D57" s="653"/>
      <c r="E57" s="193"/>
      <c r="F57" s="653"/>
      <c r="G57" s="193"/>
      <c r="H57" s="212" t="str">
        <f>IF(E57="","",Conc2(E57,$V57,MolVol,E$9,E$10,H$9,H$10))</f>
        <v/>
      </c>
      <c r="I57" s="195" t="str">
        <f>IF(OR(E57="",$W57=0),"",Conc2V(E57,$V57,MolVol,E$9,E$10,H$9,H$10,ReportVOC,MWC,$W57))</f>
        <v/>
      </c>
      <c r="J57" s="195" t="str">
        <f t="shared" si="11"/>
        <v/>
      </c>
      <c r="K57" s="213" t="str">
        <f t="shared" si="12"/>
        <v/>
      </c>
      <c r="L57" s="212" t="str">
        <f>IF(G57="","",Conc2(G57,$V57,MolVol,G$9,G$10,L$9,L$10))</f>
        <v/>
      </c>
      <c r="M57" s="195" t="str">
        <f>IF(OR(G57="",$W57=0),"",Conc2V(G57,$V57,MolVol,G$9,G$10,L$9,L$10,ReportVOC,MWC,$W57))</f>
        <v/>
      </c>
      <c r="N57" s="195" t="str">
        <f t="shared" si="13"/>
        <v/>
      </c>
      <c r="O57" s="196" t="str">
        <f t="shared" si="14"/>
        <v/>
      </c>
      <c r="P57" s="14"/>
      <c r="Q57" s="468" t="str">
        <f t="shared" si="15"/>
        <v/>
      </c>
      <c r="R57" s="212" t="str">
        <f t="shared" si="16"/>
        <v/>
      </c>
      <c r="S57" s="195"/>
      <c r="T57" s="196" t="str">
        <f t="shared" si="17"/>
        <v/>
      </c>
      <c r="V57" s="573" t="str">
        <f t="shared" si="18"/>
        <v/>
      </c>
      <c r="W57" s="573" t="str">
        <f t="shared" si="19"/>
        <v/>
      </c>
    </row>
    <row r="58" spans="1:23" ht="10.5" hidden="1" customHeight="1" outlineLevel="1">
      <c r="A58" s="216"/>
      <c r="B58" s="217"/>
      <c r="C58" s="377"/>
      <c r="D58" s="653"/>
      <c r="E58" s="193"/>
      <c r="F58" s="653"/>
      <c r="G58" s="193"/>
      <c r="H58" s="212" t="str">
        <f>IF(E58="","",Conc2(E58,$V58,MolVol,E$9,E$10,H$9,H$10))</f>
        <v/>
      </c>
      <c r="I58" s="195" t="str">
        <f>IF(OR(E58="",$W58=0),"",Conc2V(E58,$V58,MolVol,E$9,E$10,H$9,H$10,ReportVOC,MWC,$W58))</f>
        <v/>
      </c>
      <c r="J58" s="195" t="str">
        <f t="shared" si="11"/>
        <v/>
      </c>
      <c r="K58" s="213" t="str">
        <f t="shared" si="12"/>
        <v/>
      </c>
      <c r="L58" s="212" t="str">
        <f>IF(G58="","",Conc2(G58,$V58,MolVol,G$9,G$10,L$9,L$10))</f>
        <v/>
      </c>
      <c r="M58" s="195" t="str">
        <f>IF(OR(G58="",$W58=0),"",Conc2V(G58,$V58,MolVol,G$9,G$10,L$9,L$10,ReportVOC,MWC,$W58))</f>
        <v/>
      </c>
      <c r="N58" s="195" t="str">
        <f t="shared" si="13"/>
        <v/>
      </c>
      <c r="O58" s="196" t="str">
        <f t="shared" si="14"/>
        <v/>
      </c>
      <c r="P58" s="14"/>
      <c r="Q58" s="468" t="str">
        <f t="shared" si="15"/>
        <v/>
      </c>
      <c r="R58" s="212" t="str">
        <f t="shared" si="16"/>
        <v/>
      </c>
      <c r="S58" s="195"/>
      <c r="T58" s="196" t="str">
        <f t="shared" si="17"/>
        <v/>
      </c>
      <c r="V58" s="573" t="str">
        <f t="shared" si="18"/>
        <v/>
      </c>
      <c r="W58" s="573" t="str">
        <f t="shared" si="19"/>
        <v/>
      </c>
    </row>
    <row r="59" spans="1:23" ht="10.5" hidden="1" customHeight="1" outlineLevel="1">
      <c r="A59" s="216"/>
      <c r="B59" s="217"/>
      <c r="C59" s="377"/>
      <c r="D59" s="653"/>
      <c r="E59" s="193"/>
      <c r="F59" s="653"/>
      <c r="G59" s="193"/>
      <c r="H59" s="212" t="str">
        <f>IF(E59="","",Conc2(E59,$V59,MolVol,E$9,E$10,H$9,H$10))</f>
        <v/>
      </c>
      <c r="I59" s="195" t="str">
        <f>IF(OR(E59="",$W59=0),"",Conc2V(E59,$V59,MolVol,E$9,E$10,H$9,H$10,ReportVOC,MWC,$W59))</f>
        <v/>
      </c>
      <c r="J59" s="195" t="str">
        <f t="shared" si="11"/>
        <v/>
      </c>
      <c r="K59" s="213" t="str">
        <f t="shared" si="12"/>
        <v/>
      </c>
      <c r="L59" s="212" t="str">
        <f>IF(G59="","",Conc2(G59,$V59,MolVol,G$9,G$10,L$9,L$10))</f>
        <v/>
      </c>
      <c r="M59" s="195" t="str">
        <f>IF(OR(G59="",$W59=0),"",Conc2V(G59,$V59,MolVol,G$9,G$10,L$9,L$10,ReportVOC,MWC,$W59))</f>
        <v/>
      </c>
      <c r="N59" s="195" t="str">
        <f t="shared" si="13"/>
        <v/>
      </c>
      <c r="O59" s="196" t="str">
        <f t="shared" si="14"/>
        <v/>
      </c>
      <c r="P59" s="14"/>
      <c r="Q59" s="468" t="str">
        <f t="shared" si="15"/>
        <v/>
      </c>
      <c r="R59" s="212" t="str">
        <f t="shared" si="16"/>
        <v/>
      </c>
      <c r="S59" s="195"/>
      <c r="T59" s="196" t="str">
        <f t="shared" si="17"/>
        <v/>
      </c>
      <c r="V59" s="573" t="str">
        <f t="shared" si="18"/>
        <v/>
      </c>
      <c r="W59" s="573" t="str">
        <f t="shared" si="19"/>
        <v/>
      </c>
    </row>
    <row r="60" spans="1:23" ht="10.5" hidden="1" customHeight="1" outlineLevel="1">
      <c r="A60" s="216"/>
      <c r="B60" s="217"/>
      <c r="C60" s="377"/>
      <c r="D60" s="653"/>
      <c r="E60" s="193"/>
      <c r="F60" s="653"/>
      <c r="G60" s="193"/>
      <c r="H60" s="212" t="str">
        <f>IF(E60="","",Conc2(E60,$V60,MolVol,E$9,E$10,H$9,H$10))</f>
        <v/>
      </c>
      <c r="I60" s="195" t="str">
        <f>IF(OR(E60="",$W60=0),"",Conc2V(E60,$V60,MolVol,E$9,E$10,H$9,H$10,ReportVOC,MWC,$W60))</f>
        <v/>
      </c>
      <c r="J60" s="195" t="str">
        <f t="shared" si="11"/>
        <v/>
      </c>
      <c r="K60" s="213" t="str">
        <f t="shared" si="12"/>
        <v/>
      </c>
      <c r="L60" s="212" t="str">
        <f>IF(G60="","",Conc2(G60,$V60,MolVol,G$9,G$10,L$9,L$10))</f>
        <v/>
      </c>
      <c r="M60" s="195" t="str">
        <f>IF(OR(G60="",$W60=0),"",Conc2V(G60,$V60,MolVol,G$9,G$10,L$9,L$10,ReportVOC,MWC,$W60))</f>
        <v/>
      </c>
      <c r="N60" s="195" t="str">
        <f t="shared" si="13"/>
        <v/>
      </c>
      <c r="O60" s="196" t="str">
        <f t="shared" si="14"/>
        <v/>
      </c>
      <c r="P60" s="14"/>
      <c r="Q60" s="468" t="str">
        <f t="shared" si="15"/>
        <v/>
      </c>
      <c r="R60" s="212" t="str">
        <f t="shared" si="16"/>
        <v/>
      </c>
      <c r="S60" s="195"/>
      <c r="T60" s="196" t="str">
        <f t="shared" si="17"/>
        <v/>
      </c>
      <c r="V60" s="573" t="str">
        <f t="shared" si="18"/>
        <v/>
      </c>
      <c r="W60" s="573" t="str">
        <f t="shared" si="19"/>
        <v/>
      </c>
    </row>
    <row r="61" spans="1:23" ht="10.5" hidden="1" customHeight="1" outlineLevel="1">
      <c r="A61" s="216"/>
      <c r="B61" s="217"/>
      <c r="C61" s="377"/>
      <c r="D61" s="653"/>
      <c r="E61" s="193"/>
      <c r="F61" s="653"/>
      <c r="G61" s="193"/>
      <c r="H61" s="212" t="str">
        <f>IF(E61="","",Conc2(E61,$V61,MolVol,E$9,E$10,H$9,H$10))</f>
        <v/>
      </c>
      <c r="I61" s="195" t="str">
        <f>IF(OR(E61="",$W61=0),"",Conc2V(E61,$V61,MolVol,E$9,E$10,H$9,H$10,ReportVOC,MWC,$W61))</f>
        <v/>
      </c>
      <c r="J61" s="195" t="str">
        <f t="shared" si="11"/>
        <v/>
      </c>
      <c r="K61" s="213" t="str">
        <f t="shared" si="12"/>
        <v/>
      </c>
      <c r="L61" s="212" t="str">
        <f>IF(G61="","",Conc2(G61,$V61,MolVol,G$9,G$10,L$9,L$10))</f>
        <v/>
      </c>
      <c r="M61" s="195" t="str">
        <f>IF(OR(G61="",$W61=0),"",Conc2V(G61,$V61,MolVol,G$9,G$10,L$9,L$10,ReportVOC,MWC,$W61))</f>
        <v/>
      </c>
      <c r="N61" s="195" t="str">
        <f t="shared" si="13"/>
        <v/>
      </c>
      <c r="O61" s="196" t="str">
        <f t="shared" si="14"/>
        <v/>
      </c>
      <c r="P61" s="14"/>
      <c r="Q61" s="468" t="str">
        <f t="shared" si="15"/>
        <v/>
      </c>
      <c r="R61" s="212" t="str">
        <f t="shared" si="16"/>
        <v/>
      </c>
      <c r="S61" s="195"/>
      <c r="T61" s="196" t="str">
        <f t="shared" si="17"/>
        <v/>
      </c>
      <c r="V61" s="573" t="str">
        <f t="shared" si="18"/>
        <v/>
      </c>
      <c r="W61" s="573" t="str">
        <f t="shared" si="19"/>
        <v/>
      </c>
    </row>
    <row r="62" spans="1:23" ht="10.5" hidden="1" customHeight="1" outlineLevel="1">
      <c r="A62" s="216"/>
      <c r="B62" s="217"/>
      <c r="C62" s="377"/>
      <c r="D62" s="653"/>
      <c r="E62" s="193"/>
      <c r="F62" s="653"/>
      <c r="G62" s="193"/>
      <c r="H62" s="212" t="str">
        <f>IF(E62="","",Conc2(E62,$V62,MolVol,E$9,E$10,H$9,H$10))</f>
        <v/>
      </c>
      <c r="I62" s="195" t="str">
        <f>IF(OR(E62="",$W62=0),"",Conc2V(E62,$V62,MolVol,E$9,E$10,H$9,H$10,ReportVOC,MWC,$W62))</f>
        <v/>
      </c>
      <c r="J62" s="195" t="str">
        <f t="shared" si="11"/>
        <v/>
      </c>
      <c r="K62" s="213" t="str">
        <f t="shared" si="12"/>
        <v/>
      </c>
      <c r="L62" s="212" t="str">
        <f>IF(G62="","",Conc2(G62,$V62,MolVol,G$9,G$10,L$9,L$10))</f>
        <v/>
      </c>
      <c r="M62" s="195" t="str">
        <f>IF(OR(G62="",$W62=0),"",Conc2V(G62,$V62,MolVol,G$9,G$10,L$9,L$10,ReportVOC,MWC,$W62))</f>
        <v/>
      </c>
      <c r="N62" s="195" t="str">
        <f t="shared" si="13"/>
        <v/>
      </c>
      <c r="O62" s="196" t="str">
        <f t="shared" si="14"/>
        <v/>
      </c>
      <c r="P62" s="14"/>
      <c r="Q62" s="468" t="str">
        <f t="shared" si="15"/>
        <v/>
      </c>
      <c r="R62" s="212" t="str">
        <f t="shared" si="16"/>
        <v/>
      </c>
      <c r="S62" s="195"/>
      <c r="T62" s="196" t="str">
        <f t="shared" si="17"/>
        <v/>
      </c>
      <c r="V62" s="573" t="str">
        <f t="shared" si="18"/>
        <v/>
      </c>
      <c r="W62" s="573" t="str">
        <f t="shared" si="19"/>
        <v/>
      </c>
    </row>
    <row r="63" spans="1:23" ht="10.5" hidden="1" customHeight="1" outlineLevel="1">
      <c r="A63" s="216"/>
      <c r="B63" s="217"/>
      <c r="C63" s="377"/>
      <c r="D63" s="653"/>
      <c r="E63" s="193"/>
      <c r="F63" s="653"/>
      <c r="G63" s="193"/>
      <c r="H63" s="212" t="str">
        <f>IF(E63="","",Conc2(E63,$V63,MolVol,E$9,E$10,H$9,H$10))</f>
        <v/>
      </c>
      <c r="I63" s="195" t="str">
        <f>IF(OR(E63="",$W63=0),"",Conc2V(E63,$V63,MolVol,E$9,E$10,H$9,H$10,ReportVOC,MWC,$W63))</f>
        <v/>
      </c>
      <c r="J63" s="195" t="str">
        <f t="shared" si="11"/>
        <v/>
      </c>
      <c r="K63" s="213" t="str">
        <f t="shared" si="12"/>
        <v/>
      </c>
      <c r="L63" s="212" t="str">
        <f>IF(G63="","",Conc2(G63,$V63,MolVol,G$9,G$10,L$9,L$10))</f>
        <v/>
      </c>
      <c r="M63" s="195" t="str">
        <f>IF(OR(G63="",$W63=0),"",Conc2V(G63,$V63,MolVol,G$9,G$10,L$9,L$10,ReportVOC,MWC,$W63))</f>
        <v/>
      </c>
      <c r="N63" s="195" t="str">
        <f t="shared" si="13"/>
        <v/>
      </c>
      <c r="O63" s="196" t="str">
        <f t="shared" si="14"/>
        <v/>
      </c>
      <c r="P63" s="14"/>
      <c r="Q63" s="468" t="str">
        <f t="shared" si="15"/>
        <v/>
      </c>
      <c r="R63" s="212" t="str">
        <f t="shared" si="16"/>
        <v/>
      </c>
      <c r="S63" s="195"/>
      <c r="T63" s="196" t="str">
        <f t="shared" si="17"/>
        <v/>
      </c>
      <c r="V63" s="573" t="str">
        <f t="shared" si="18"/>
        <v/>
      </c>
      <c r="W63" s="573" t="str">
        <f t="shared" si="19"/>
        <v/>
      </c>
    </row>
    <row r="64" spans="1:23" ht="10.5" hidden="1" customHeight="1" outlineLevel="1">
      <c r="A64" s="216"/>
      <c r="B64" s="217"/>
      <c r="C64" s="377"/>
      <c r="D64" s="653"/>
      <c r="E64" s="193"/>
      <c r="F64" s="653"/>
      <c r="G64" s="193"/>
      <c r="H64" s="212" t="str">
        <f>IF(E64="","",Conc2(E64,$V64,MolVol,E$9,E$10,H$9,H$10))</f>
        <v/>
      </c>
      <c r="I64" s="195" t="str">
        <f>IF(OR(E64="",$W64=0),"",Conc2V(E64,$V64,MolVol,E$9,E$10,H$9,H$10,ReportVOC,MWC,$W64))</f>
        <v/>
      </c>
      <c r="J64" s="195" t="str">
        <f t="shared" si="11"/>
        <v/>
      </c>
      <c r="K64" s="213" t="str">
        <f t="shared" si="12"/>
        <v/>
      </c>
      <c r="L64" s="212" t="str">
        <f>IF(G64="","",Conc2(G64,$V64,MolVol,G$9,G$10,L$9,L$10))</f>
        <v/>
      </c>
      <c r="M64" s="195" t="str">
        <f>IF(OR(G64="",$W64=0),"",Conc2V(G64,$V64,MolVol,G$9,G$10,L$9,L$10,ReportVOC,MWC,$W64))</f>
        <v/>
      </c>
      <c r="N64" s="195" t="str">
        <f t="shared" si="13"/>
        <v/>
      </c>
      <c r="O64" s="196" t="str">
        <f t="shared" si="14"/>
        <v/>
      </c>
      <c r="P64" s="14"/>
      <c r="Q64" s="468" t="str">
        <f t="shared" si="15"/>
        <v/>
      </c>
      <c r="R64" s="212" t="str">
        <f t="shared" si="16"/>
        <v/>
      </c>
      <c r="S64" s="195"/>
      <c r="T64" s="196" t="str">
        <f t="shared" si="17"/>
        <v/>
      </c>
      <c r="V64" s="573" t="str">
        <f t="shared" si="18"/>
        <v/>
      </c>
      <c r="W64" s="573" t="str">
        <f t="shared" si="19"/>
        <v/>
      </c>
    </row>
    <row r="65" spans="1:23" ht="10.5" hidden="1" customHeight="1" outlineLevel="1">
      <c r="A65" s="216"/>
      <c r="B65" s="217"/>
      <c r="C65" s="377"/>
      <c r="D65" s="653"/>
      <c r="E65" s="193"/>
      <c r="F65" s="653"/>
      <c r="G65" s="193"/>
      <c r="H65" s="212" t="str">
        <f>IF(E65="","",Conc2(E65,$V65,MolVol,E$9,E$10,H$9,H$10))</f>
        <v/>
      </c>
      <c r="I65" s="195" t="str">
        <f>IF(OR(E65="",$W65=0),"",Conc2V(E65,$V65,MolVol,E$9,E$10,H$9,H$10,ReportVOC,MWC,$W65))</f>
        <v/>
      </c>
      <c r="J65" s="195" t="str">
        <f t="shared" si="11"/>
        <v/>
      </c>
      <c r="K65" s="213" t="str">
        <f t="shared" si="12"/>
        <v/>
      </c>
      <c r="L65" s="212" t="str">
        <f>IF(G65="","",Conc2(G65,$V65,MolVol,G$9,G$10,L$9,L$10))</f>
        <v/>
      </c>
      <c r="M65" s="195" t="str">
        <f>IF(OR(G65="",$W65=0),"",Conc2V(G65,$V65,MolVol,G$9,G$10,L$9,L$10,ReportVOC,MWC,$W65))</f>
        <v/>
      </c>
      <c r="N65" s="195" t="str">
        <f t="shared" si="13"/>
        <v/>
      </c>
      <c r="O65" s="196" t="str">
        <f t="shared" si="14"/>
        <v/>
      </c>
      <c r="P65" s="14"/>
      <c r="Q65" s="468" t="str">
        <f t="shared" si="15"/>
        <v/>
      </c>
      <c r="R65" s="212" t="str">
        <f t="shared" si="16"/>
        <v/>
      </c>
      <c r="S65" s="195"/>
      <c r="T65" s="196" t="str">
        <f t="shared" si="17"/>
        <v/>
      </c>
      <c r="V65" s="573" t="str">
        <f t="shared" si="18"/>
        <v/>
      </c>
      <c r="W65" s="573" t="str">
        <f t="shared" si="19"/>
        <v/>
      </c>
    </row>
    <row r="66" spans="1:23" ht="10.5" hidden="1" customHeight="1" outlineLevel="1">
      <c r="A66" s="216"/>
      <c r="B66" s="217"/>
      <c r="C66" s="377"/>
      <c r="D66" s="653"/>
      <c r="E66" s="193"/>
      <c r="F66" s="653"/>
      <c r="G66" s="193"/>
      <c r="H66" s="212" t="str">
        <f>IF(E66="","",Conc2(E66,$V66,MolVol,E$9,E$10,H$9,H$10))</f>
        <v/>
      </c>
      <c r="I66" s="195" t="str">
        <f>IF(OR(E66="",$W66=0),"",Conc2V(E66,$V66,MolVol,E$9,E$10,H$9,H$10,ReportVOC,MWC,$W66))</f>
        <v/>
      </c>
      <c r="J66" s="195" t="str">
        <f t="shared" si="11"/>
        <v/>
      </c>
      <c r="K66" s="213" t="str">
        <f t="shared" si="12"/>
        <v/>
      </c>
      <c r="L66" s="212" t="str">
        <f>IF(G66="","",Conc2(G66,$V66,MolVol,G$9,G$10,L$9,L$10))</f>
        <v/>
      </c>
      <c r="M66" s="195" t="str">
        <f>IF(OR(G66="",$W66=0),"",Conc2V(G66,$V66,MolVol,G$9,G$10,L$9,L$10,ReportVOC,MWC,$W66))</f>
        <v/>
      </c>
      <c r="N66" s="195" t="str">
        <f t="shared" si="13"/>
        <v/>
      </c>
      <c r="O66" s="196" t="str">
        <f t="shared" si="14"/>
        <v/>
      </c>
      <c r="P66" s="14"/>
      <c r="Q66" s="468" t="str">
        <f t="shared" si="15"/>
        <v/>
      </c>
      <c r="R66" s="212" t="str">
        <f t="shared" si="16"/>
        <v/>
      </c>
      <c r="S66" s="195"/>
      <c r="T66" s="196" t="str">
        <f t="shared" si="17"/>
        <v/>
      </c>
      <c r="V66" s="573" t="str">
        <f t="shared" si="18"/>
        <v/>
      </c>
      <c r="W66" s="573" t="str">
        <f t="shared" si="19"/>
        <v/>
      </c>
    </row>
    <row r="67" spans="1:23" ht="10.5" hidden="1" customHeight="1" outlineLevel="1">
      <c r="A67" s="216"/>
      <c r="B67" s="217"/>
      <c r="C67" s="377"/>
      <c r="D67" s="653"/>
      <c r="E67" s="193"/>
      <c r="F67" s="653"/>
      <c r="G67" s="193"/>
      <c r="H67" s="212" t="str">
        <f>IF(E67="","",Conc2(E67,$V67,MolVol,E$9,E$10,H$9,H$10))</f>
        <v/>
      </c>
      <c r="I67" s="195" t="str">
        <f>IF(OR(E67="",$W67=0),"",Conc2V(E67,$V67,MolVol,E$9,E$10,H$9,H$10,ReportVOC,MWC,$W67))</f>
        <v/>
      </c>
      <c r="J67" s="195" t="str">
        <f t="shared" si="11"/>
        <v/>
      </c>
      <c r="K67" s="213" t="str">
        <f t="shared" si="12"/>
        <v/>
      </c>
      <c r="L67" s="212" t="str">
        <f>IF(G67="","",Conc2(G67,$V67,MolVol,G$9,G$10,L$9,L$10))</f>
        <v/>
      </c>
      <c r="M67" s="195" t="str">
        <f>IF(OR(G67="",$W67=0),"",Conc2V(G67,$V67,MolVol,G$9,G$10,L$9,L$10,ReportVOC,MWC,$W67))</f>
        <v/>
      </c>
      <c r="N67" s="195" t="str">
        <f t="shared" si="13"/>
        <v/>
      </c>
      <c r="O67" s="196" t="str">
        <f t="shared" si="14"/>
        <v/>
      </c>
      <c r="P67" s="14"/>
      <c r="Q67" s="468" t="str">
        <f t="shared" si="15"/>
        <v/>
      </c>
      <c r="R67" s="212" t="str">
        <f t="shared" si="16"/>
        <v/>
      </c>
      <c r="S67" s="195"/>
      <c r="T67" s="196" t="str">
        <f t="shared" si="17"/>
        <v/>
      </c>
      <c r="V67" s="573" t="str">
        <f t="shared" si="18"/>
        <v/>
      </c>
      <c r="W67" s="573" t="str">
        <f t="shared" si="19"/>
        <v/>
      </c>
    </row>
    <row r="68" spans="1:23" ht="10.5" hidden="1" customHeight="1" outlineLevel="1">
      <c r="A68" s="216"/>
      <c r="B68" s="217"/>
      <c r="C68" s="377"/>
      <c r="D68" s="653"/>
      <c r="E68" s="193"/>
      <c r="F68" s="653"/>
      <c r="G68" s="193"/>
      <c r="H68" s="212" t="str">
        <f>IF(E68="","",Conc2(E68,$V68,MolVol,E$9,E$10,H$9,H$10))</f>
        <v/>
      </c>
      <c r="I68" s="195" t="str">
        <f>IF(OR(E68="",$W68=0),"",Conc2V(E68,$V68,MolVol,E$9,E$10,H$9,H$10,ReportVOC,MWC,$W68))</f>
        <v/>
      </c>
      <c r="J68" s="195" t="str">
        <f t="shared" si="11"/>
        <v/>
      </c>
      <c r="K68" s="213" t="str">
        <f t="shared" si="12"/>
        <v/>
      </c>
      <c r="L68" s="212" t="str">
        <f>IF(G68="","",Conc2(G68,$V68,MolVol,G$9,G$10,L$9,L$10))</f>
        <v/>
      </c>
      <c r="M68" s="195" t="str">
        <f>IF(OR(G68="",$W68=0),"",Conc2V(G68,$V68,MolVol,G$9,G$10,L$9,L$10,ReportVOC,MWC,$W68))</f>
        <v/>
      </c>
      <c r="N68" s="195" t="str">
        <f t="shared" si="13"/>
        <v/>
      </c>
      <c r="O68" s="196" t="str">
        <f t="shared" si="14"/>
        <v/>
      </c>
      <c r="P68" s="14"/>
      <c r="Q68" s="468" t="str">
        <f t="shared" si="15"/>
        <v/>
      </c>
      <c r="R68" s="212" t="str">
        <f t="shared" si="16"/>
        <v/>
      </c>
      <c r="S68" s="195"/>
      <c r="T68" s="196" t="str">
        <f t="shared" si="17"/>
        <v/>
      </c>
      <c r="V68" s="573" t="str">
        <f t="shared" si="18"/>
        <v/>
      </c>
      <c r="W68" s="573" t="str">
        <f t="shared" si="19"/>
        <v/>
      </c>
    </row>
    <row r="69" spans="1:23" ht="10.5" hidden="1" customHeight="1" outlineLevel="1">
      <c r="A69" s="216"/>
      <c r="B69" s="217"/>
      <c r="C69" s="377"/>
      <c r="D69" s="653"/>
      <c r="E69" s="193"/>
      <c r="F69" s="653"/>
      <c r="G69" s="193"/>
      <c r="H69" s="212" t="str">
        <f>IF(E69="","",Conc2(E69,$V69,MolVol,E$9,E$10,H$9,H$10))</f>
        <v/>
      </c>
      <c r="I69" s="195" t="str">
        <f>IF(OR(E69="",$W69=0),"",Conc2V(E69,$V69,MolVol,E$9,E$10,H$9,H$10,ReportVOC,MWC,$W69))</f>
        <v/>
      </c>
      <c r="J69" s="195" t="str">
        <f t="shared" si="11"/>
        <v/>
      </c>
      <c r="K69" s="213" t="str">
        <f t="shared" si="12"/>
        <v/>
      </c>
      <c r="L69" s="212" t="str">
        <f>IF(G69="","",Conc2(G69,$V69,MolVol,G$9,G$10,L$9,L$10))</f>
        <v/>
      </c>
      <c r="M69" s="195" t="str">
        <f>IF(OR(G69="",$W69=0),"",Conc2V(G69,$V69,MolVol,G$9,G$10,L$9,L$10,ReportVOC,MWC,$W69))</f>
        <v/>
      </c>
      <c r="N69" s="195" t="str">
        <f t="shared" si="13"/>
        <v/>
      </c>
      <c r="O69" s="196" t="str">
        <f t="shared" si="14"/>
        <v/>
      </c>
      <c r="P69" s="14"/>
      <c r="Q69" s="468" t="str">
        <f t="shared" si="15"/>
        <v/>
      </c>
      <c r="R69" s="212" t="str">
        <f t="shared" si="16"/>
        <v/>
      </c>
      <c r="S69" s="195"/>
      <c r="T69" s="196" t="str">
        <f t="shared" si="17"/>
        <v/>
      </c>
      <c r="V69" s="573" t="str">
        <f t="shared" si="18"/>
        <v/>
      </c>
      <c r="W69" s="573" t="str">
        <f t="shared" si="19"/>
        <v/>
      </c>
    </row>
    <row r="70" spans="1:23" ht="10.5" hidden="1" customHeight="1" outlineLevel="1">
      <c r="A70" s="216"/>
      <c r="B70" s="217"/>
      <c r="C70" s="377"/>
      <c r="D70" s="653"/>
      <c r="E70" s="193"/>
      <c r="F70" s="653"/>
      <c r="G70" s="193"/>
      <c r="H70" s="212" t="str">
        <f>IF(E70="","",Conc2(E70,$V70,MolVol,E$9,E$10,H$9,H$10))</f>
        <v/>
      </c>
      <c r="I70" s="195" t="str">
        <f>IF(OR(E70="",$W70=0),"",Conc2V(E70,$V70,MolVol,E$9,E$10,H$9,H$10,ReportVOC,MWC,$W70))</f>
        <v/>
      </c>
      <c r="J70" s="195" t="str">
        <f t="shared" si="11"/>
        <v/>
      </c>
      <c r="K70" s="213" t="str">
        <f t="shared" si="12"/>
        <v/>
      </c>
      <c r="L70" s="212" t="str">
        <f>IF(G70="","",Conc2(G70,$V70,MolVol,G$9,G$10,L$9,L$10))</f>
        <v/>
      </c>
      <c r="M70" s="195" t="str">
        <f>IF(OR(G70="",$W70=0),"",Conc2V(G70,$V70,MolVol,G$9,G$10,L$9,L$10,ReportVOC,MWC,$W70))</f>
        <v/>
      </c>
      <c r="N70" s="195" t="str">
        <f t="shared" si="13"/>
        <v/>
      </c>
      <c r="O70" s="196" t="str">
        <f t="shared" si="14"/>
        <v/>
      </c>
      <c r="P70" s="14"/>
      <c r="Q70" s="468" t="str">
        <f t="shared" si="15"/>
        <v/>
      </c>
      <c r="R70" s="212" t="str">
        <f t="shared" si="16"/>
        <v/>
      </c>
      <c r="S70" s="195"/>
      <c r="T70" s="196" t="str">
        <f t="shared" si="17"/>
        <v/>
      </c>
      <c r="V70" s="573" t="str">
        <f t="shared" si="18"/>
        <v/>
      </c>
      <c r="W70" s="573" t="str">
        <f t="shared" si="19"/>
        <v/>
      </c>
    </row>
    <row r="71" spans="1:23" ht="10.5" hidden="1" customHeight="1" outlineLevel="1">
      <c r="A71" s="216"/>
      <c r="B71" s="217"/>
      <c r="C71" s="377"/>
      <c r="D71" s="653"/>
      <c r="E71" s="193"/>
      <c r="F71" s="653"/>
      <c r="G71" s="193"/>
      <c r="H71" s="212" t="str">
        <f>IF(E71="","",Conc2(E71,$V71,MolVol,E$9,E$10,H$9,H$10))</f>
        <v/>
      </c>
      <c r="I71" s="195" t="str">
        <f>IF(OR(E71="",$W71=0),"",Conc2V(E71,$V71,MolVol,E$9,E$10,H$9,H$10,ReportVOC,MWC,$W71))</f>
        <v/>
      </c>
      <c r="J71" s="195" t="str">
        <f t="shared" si="11"/>
        <v/>
      </c>
      <c r="K71" s="213" t="str">
        <f t="shared" si="12"/>
        <v/>
      </c>
      <c r="L71" s="212" t="str">
        <f>IF(G71="","",Conc2(G71,$V71,MolVol,G$9,G$10,L$9,L$10))</f>
        <v/>
      </c>
      <c r="M71" s="195" t="str">
        <f>IF(OR(G71="",$W71=0),"",Conc2V(G71,$V71,MolVol,G$9,G$10,L$9,L$10,ReportVOC,MWC,$W71))</f>
        <v/>
      </c>
      <c r="N71" s="195" t="str">
        <f t="shared" si="13"/>
        <v/>
      </c>
      <c r="O71" s="196" t="str">
        <f t="shared" si="14"/>
        <v/>
      </c>
      <c r="P71" s="14"/>
      <c r="Q71" s="468" t="str">
        <f t="shared" si="15"/>
        <v/>
      </c>
      <c r="R71" s="212" t="str">
        <f t="shared" si="16"/>
        <v/>
      </c>
      <c r="S71" s="195"/>
      <c r="T71" s="196" t="str">
        <f t="shared" si="17"/>
        <v/>
      </c>
      <c r="V71" s="573" t="str">
        <f t="shared" si="18"/>
        <v/>
      </c>
      <c r="W71" s="573" t="str">
        <f t="shared" si="19"/>
        <v/>
      </c>
    </row>
    <row r="72" spans="1:23" ht="10.5" hidden="1" customHeight="1" outlineLevel="1">
      <c r="A72" s="216"/>
      <c r="B72" s="217"/>
      <c r="C72" s="377"/>
      <c r="D72" s="653"/>
      <c r="E72" s="193"/>
      <c r="F72" s="653"/>
      <c r="G72" s="193"/>
      <c r="H72" s="212" t="str">
        <f>IF(E72="","",Conc2(E72,$V72,MolVol,E$9,E$10,H$9,H$10))</f>
        <v/>
      </c>
      <c r="I72" s="195" t="str">
        <f>IF(OR(E72="",$W72=0),"",Conc2V(E72,$V72,MolVol,E$9,E$10,H$9,H$10,ReportVOC,MWC,$W72))</f>
        <v/>
      </c>
      <c r="J72" s="195" t="str">
        <f t="shared" si="11"/>
        <v/>
      </c>
      <c r="K72" s="213" t="str">
        <f t="shared" si="12"/>
        <v/>
      </c>
      <c r="L72" s="212" t="str">
        <f>IF(G72="","",Conc2(G72,$V72,MolVol,G$9,G$10,L$9,L$10))</f>
        <v/>
      </c>
      <c r="M72" s="195" t="str">
        <f>IF(OR(G72="",$W72=0),"",Conc2V(G72,$V72,MolVol,G$9,G$10,L$9,L$10,ReportVOC,MWC,$W72))</f>
        <v/>
      </c>
      <c r="N72" s="195" t="str">
        <f t="shared" si="13"/>
        <v/>
      </c>
      <c r="O72" s="196" t="str">
        <f t="shared" si="14"/>
        <v/>
      </c>
      <c r="P72" s="14"/>
      <c r="Q72" s="468" t="str">
        <f t="shared" si="15"/>
        <v/>
      </c>
      <c r="R72" s="212" t="str">
        <f t="shared" si="16"/>
        <v/>
      </c>
      <c r="S72" s="195"/>
      <c r="T72" s="196" t="str">
        <f t="shared" si="17"/>
        <v/>
      </c>
      <c r="V72" s="573" t="str">
        <f t="shared" si="18"/>
        <v/>
      </c>
      <c r="W72" s="573" t="str">
        <f t="shared" si="19"/>
        <v/>
      </c>
    </row>
    <row r="73" spans="1:23" ht="10.5" hidden="1" customHeight="1" outlineLevel="1">
      <c r="A73" s="216"/>
      <c r="B73" s="217"/>
      <c r="C73" s="377"/>
      <c r="D73" s="653"/>
      <c r="E73" s="193"/>
      <c r="F73" s="653"/>
      <c r="G73" s="193"/>
      <c r="H73" s="212" t="str">
        <f>IF(E73="","",Conc2(E73,$V73,MolVol,E$9,E$10,H$9,H$10))</f>
        <v/>
      </c>
      <c r="I73" s="195" t="str">
        <f>IF(OR(E73="",$W73=0),"",Conc2V(E73,$V73,MolVol,E$9,E$10,H$9,H$10,ReportVOC,MWC,$W73))</f>
        <v/>
      </c>
      <c r="J73" s="195" t="str">
        <f t="shared" si="11"/>
        <v/>
      </c>
      <c r="K73" s="213" t="str">
        <f t="shared" si="12"/>
        <v/>
      </c>
      <c r="L73" s="212" t="str">
        <f>IF(G73="","",Conc2(G73,$V73,MolVol,G$9,G$10,L$9,L$10))</f>
        <v/>
      </c>
      <c r="M73" s="195" t="str">
        <f>IF(OR(G73="",$W73=0),"",Conc2V(G73,$V73,MolVol,G$9,G$10,L$9,L$10,ReportVOC,MWC,$W73))</f>
        <v/>
      </c>
      <c r="N73" s="195" t="str">
        <f t="shared" si="13"/>
        <v/>
      </c>
      <c r="O73" s="196" t="str">
        <f t="shared" si="14"/>
        <v/>
      </c>
      <c r="P73" s="14"/>
      <c r="Q73" s="468" t="str">
        <f t="shared" si="15"/>
        <v/>
      </c>
      <c r="R73" s="212" t="str">
        <f t="shared" si="16"/>
        <v/>
      </c>
      <c r="S73" s="195"/>
      <c r="T73" s="196" t="str">
        <f t="shared" si="17"/>
        <v/>
      </c>
      <c r="V73" s="573" t="str">
        <f t="shared" si="18"/>
        <v/>
      </c>
      <c r="W73" s="573" t="str">
        <f t="shared" si="19"/>
        <v/>
      </c>
    </row>
    <row r="74" spans="1:23" ht="10.5" hidden="1" customHeight="1" outlineLevel="1">
      <c r="A74" s="216"/>
      <c r="B74" s="217"/>
      <c r="C74" s="377"/>
      <c r="D74" s="653"/>
      <c r="E74" s="193"/>
      <c r="F74" s="653"/>
      <c r="G74" s="193"/>
      <c r="H74" s="212" t="str">
        <f>IF(E74="","",Conc2(E74,$V74,MolVol,E$9,E$10,H$9,H$10))</f>
        <v/>
      </c>
      <c r="I74" s="195" t="str">
        <f>IF(OR(E74="",$W74=0),"",Conc2V(E74,$V74,MolVol,E$9,E$10,H$9,H$10,ReportVOC,MWC,$W74))</f>
        <v/>
      </c>
      <c r="J74" s="195" t="str">
        <f t="shared" si="11"/>
        <v/>
      </c>
      <c r="K74" s="213" t="str">
        <f t="shared" si="12"/>
        <v/>
      </c>
      <c r="L74" s="212" t="str">
        <f>IF(G74="","",Conc2(G74,$V74,MolVol,G$9,G$10,L$9,L$10))</f>
        <v/>
      </c>
      <c r="M74" s="195" t="str">
        <f>IF(OR(G74="",$W74=0),"",Conc2V(G74,$V74,MolVol,G$9,G$10,L$9,L$10,ReportVOC,MWC,$W74))</f>
        <v/>
      </c>
      <c r="N74" s="195" t="str">
        <f t="shared" si="13"/>
        <v/>
      </c>
      <c r="O74" s="196" t="str">
        <f t="shared" si="14"/>
        <v/>
      </c>
      <c r="P74" s="14"/>
      <c r="Q74" s="468" t="str">
        <f t="shared" si="15"/>
        <v/>
      </c>
      <c r="R74" s="212" t="str">
        <f t="shared" si="16"/>
        <v/>
      </c>
      <c r="S74" s="195"/>
      <c r="T74" s="196" t="str">
        <f t="shared" si="17"/>
        <v/>
      </c>
      <c r="V74" s="573" t="str">
        <f t="shared" si="18"/>
        <v/>
      </c>
      <c r="W74" s="573" t="str">
        <f t="shared" si="19"/>
        <v/>
      </c>
    </row>
    <row r="75" spans="1:23" ht="10.5" hidden="1" customHeight="1" outlineLevel="1">
      <c r="A75" s="216"/>
      <c r="B75" s="217"/>
      <c r="C75" s="377"/>
      <c r="D75" s="653"/>
      <c r="E75" s="193"/>
      <c r="F75" s="653"/>
      <c r="G75" s="193"/>
      <c r="H75" s="212" t="str">
        <f>IF(E75="","",Conc2(E75,$V75,MolVol,E$9,E$10,H$9,H$10))</f>
        <v/>
      </c>
      <c r="I75" s="195" t="str">
        <f>IF(OR(E75="",$W75=0),"",Conc2V(E75,$V75,MolVol,E$9,E$10,H$9,H$10,ReportVOC,MWC,$W75))</f>
        <v/>
      </c>
      <c r="J75" s="195" t="str">
        <f t="shared" ref="J75:J106" si="20">IF(H75="","",H75*O2correction*CO2correction)</f>
        <v/>
      </c>
      <c r="K75" s="213" t="str">
        <f t="shared" ref="K75:K106" si="21">IF(H75="","",MassRate(H75,$V75,MolVol,H$9,H$10,MRU,MRF,AverageFlowDry,FF))</f>
        <v/>
      </c>
      <c r="L75" s="212" t="str">
        <f>IF(G75="","",Conc2(G75,$V75,MolVol,G$9,G$10,L$9,L$10))</f>
        <v/>
      </c>
      <c r="M75" s="195" t="str">
        <f>IF(OR(G75="",$W75=0),"",Conc2V(G75,$V75,MolVol,G$9,G$10,L$9,L$10,ReportVOC,MWC,$W75))</f>
        <v/>
      </c>
      <c r="N75" s="195" t="str">
        <f t="shared" ref="N75:N106" si="22">IF(L75="","",L75*O2correction*CO2correction)</f>
        <v/>
      </c>
      <c r="O75" s="196" t="str">
        <f t="shared" ref="O75:O106" si="23">IF(L75="","",MassRate(L75,$V75,MolVol,L$9,L$10,MRU,MRF,AverageFlowDry,FF))</f>
        <v/>
      </c>
      <c r="P75" s="14"/>
      <c r="Q75" s="468" t="str">
        <f t="shared" ref="Q75:Q106" si="24">IF(OR(ISTEXT(D75),ISTEXT(F75)),"&lt;","")</f>
        <v/>
      </c>
      <c r="R75" s="212" t="str">
        <f t="shared" ref="R75:R106" si="25">IF(OR(ISNUMBER(H75),ISNUMBER(L75)),AVERAGE(H75,L75),"")</f>
        <v/>
      </c>
      <c r="S75" s="195"/>
      <c r="T75" s="196" t="str">
        <f t="shared" ref="T75:T106" si="26">IF(OR(ISNUMBER(K75),ISNUMBER(O75)),AVERAGE(K75,O75),"")</f>
        <v/>
      </c>
      <c r="V75" s="573" t="str">
        <f t="shared" ref="V75:V106" si="27">IF($A75="","",VLOOKUP($A75,VOCtable,2,FALSE))</f>
        <v/>
      </c>
      <c r="W75" s="573" t="str">
        <f t="shared" ref="W75:W106" si="28">IF($A75="","",VLOOKUP($A75,VOCtable,3,FALSE))</f>
        <v/>
      </c>
    </row>
    <row r="76" spans="1:23" ht="10.5" hidden="1" customHeight="1" outlineLevel="1">
      <c r="A76" s="216"/>
      <c r="B76" s="217"/>
      <c r="C76" s="377"/>
      <c r="D76" s="653"/>
      <c r="E76" s="193"/>
      <c r="F76" s="653"/>
      <c r="G76" s="193"/>
      <c r="H76" s="212" t="str">
        <f>IF(E76="","",Conc2(E76,$V76,MolVol,E$9,E$10,H$9,H$10))</f>
        <v/>
      </c>
      <c r="I76" s="195" t="str">
        <f>IF(OR(E76="",$W76=0),"",Conc2V(E76,$V76,MolVol,E$9,E$10,H$9,H$10,ReportVOC,MWC,$W76))</f>
        <v/>
      </c>
      <c r="J76" s="195" t="str">
        <f t="shared" si="20"/>
        <v/>
      </c>
      <c r="K76" s="213" t="str">
        <f t="shared" si="21"/>
        <v/>
      </c>
      <c r="L76" s="212" t="str">
        <f>IF(G76="","",Conc2(G76,$V76,MolVol,G$9,G$10,L$9,L$10))</f>
        <v/>
      </c>
      <c r="M76" s="195" t="str">
        <f>IF(OR(G76="",$W76=0),"",Conc2V(G76,$V76,MolVol,G$9,G$10,L$9,L$10,ReportVOC,MWC,$W76))</f>
        <v/>
      </c>
      <c r="N76" s="195" t="str">
        <f t="shared" si="22"/>
        <v/>
      </c>
      <c r="O76" s="196" t="str">
        <f t="shared" si="23"/>
        <v/>
      </c>
      <c r="P76" s="14"/>
      <c r="Q76" s="468" t="str">
        <f t="shared" si="24"/>
        <v/>
      </c>
      <c r="R76" s="212" t="str">
        <f t="shared" si="25"/>
        <v/>
      </c>
      <c r="S76" s="195"/>
      <c r="T76" s="196" t="str">
        <f t="shared" si="26"/>
        <v/>
      </c>
      <c r="V76" s="573" t="str">
        <f t="shared" si="27"/>
        <v/>
      </c>
      <c r="W76" s="573" t="str">
        <f t="shared" si="28"/>
        <v/>
      </c>
    </row>
    <row r="77" spans="1:23" ht="10.5" hidden="1" customHeight="1" outlineLevel="1">
      <c r="A77" s="216"/>
      <c r="B77" s="217"/>
      <c r="C77" s="377"/>
      <c r="D77" s="653"/>
      <c r="E77" s="193"/>
      <c r="F77" s="653"/>
      <c r="G77" s="193"/>
      <c r="H77" s="212" t="str">
        <f>IF(E77="","",Conc2(E77,$V77,MolVol,E$9,E$10,H$9,H$10))</f>
        <v/>
      </c>
      <c r="I77" s="195" t="str">
        <f>IF(OR(E77="",$W77=0),"",Conc2V(E77,$V77,MolVol,E$9,E$10,H$9,H$10,ReportVOC,MWC,$W77))</f>
        <v/>
      </c>
      <c r="J77" s="195" t="str">
        <f t="shared" si="20"/>
        <v/>
      </c>
      <c r="K77" s="213" t="str">
        <f t="shared" si="21"/>
        <v/>
      </c>
      <c r="L77" s="212" t="str">
        <f>IF(G77="","",Conc2(G77,$V77,MolVol,G$9,G$10,L$9,L$10))</f>
        <v/>
      </c>
      <c r="M77" s="195" t="str">
        <f>IF(OR(G77="",$W77=0),"",Conc2V(G77,$V77,MolVol,G$9,G$10,L$9,L$10,ReportVOC,MWC,$W77))</f>
        <v/>
      </c>
      <c r="N77" s="195" t="str">
        <f t="shared" si="22"/>
        <v/>
      </c>
      <c r="O77" s="196" t="str">
        <f t="shared" si="23"/>
        <v/>
      </c>
      <c r="P77" s="14"/>
      <c r="Q77" s="468" t="str">
        <f t="shared" si="24"/>
        <v/>
      </c>
      <c r="R77" s="212" t="str">
        <f t="shared" si="25"/>
        <v/>
      </c>
      <c r="S77" s="195"/>
      <c r="T77" s="196" t="str">
        <f t="shared" si="26"/>
        <v/>
      </c>
      <c r="V77" s="573" t="str">
        <f t="shared" si="27"/>
        <v/>
      </c>
      <c r="W77" s="573" t="str">
        <f t="shared" si="28"/>
        <v/>
      </c>
    </row>
    <row r="78" spans="1:23" ht="10.5" hidden="1" customHeight="1" outlineLevel="1">
      <c r="A78" s="216"/>
      <c r="B78" s="217"/>
      <c r="C78" s="377"/>
      <c r="D78" s="653"/>
      <c r="E78" s="193"/>
      <c r="F78" s="653"/>
      <c r="G78" s="193"/>
      <c r="H78" s="212" t="str">
        <f>IF(E78="","",Conc2(E78,$V78,MolVol,E$9,E$10,H$9,H$10))</f>
        <v/>
      </c>
      <c r="I78" s="195" t="str">
        <f>IF(OR(E78="",$W78=0),"",Conc2V(E78,$V78,MolVol,E$9,E$10,H$9,H$10,ReportVOC,MWC,$W78))</f>
        <v/>
      </c>
      <c r="J78" s="195" t="str">
        <f t="shared" si="20"/>
        <v/>
      </c>
      <c r="K78" s="213" t="str">
        <f t="shared" si="21"/>
        <v/>
      </c>
      <c r="L78" s="212" t="str">
        <f>IF(G78="","",Conc2(G78,$V78,MolVol,G$9,G$10,L$9,L$10))</f>
        <v/>
      </c>
      <c r="M78" s="195" t="str">
        <f>IF(OR(G78="",$W78=0),"",Conc2V(G78,$V78,MolVol,G$9,G$10,L$9,L$10,ReportVOC,MWC,$W78))</f>
        <v/>
      </c>
      <c r="N78" s="195" t="str">
        <f t="shared" si="22"/>
        <v/>
      </c>
      <c r="O78" s="196" t="str">
        <f t="shared" si="23"/>
        <v/>
      </c>
      <c r="P78" s="14"/>
      <c r="Q78" s="468" t="str">
        <f t="shared" si="24"/>
        <v/>
      </c>
      <c r="R78" s="212" t="str">
        <f t="shared" si="25"/>
        <v/>
      </c>
      <c r="S78" s="195"/>
      <c r="T78" s="196" t="str">
        <f t="shared" si="26"/>
        <v/>
      </c>
      <c r="V78" s="573" t="str">
        <f t="shared" si="27"/>
        <v/>
      </c>
      <c r="W78" s="573" t="str">
        <f t="shared" si="28"/>
        <v/>
      </c>
    </row>
    <row r="79" spans="1:23" ht="10.5" hidden="1" customHeight="1" outlineLevel="1">
      <c r="A79" s="216"/>
      <c r="B79" s="217"/>
      <c r="C79" s="377"/>
      <c r="D79" s="653"/>
      <c r="E79" s="193"/>
      <c r="F79" s="653"/>
      <c r="G79" s="193"/>
      <c r="H79" s="212" t="str">
        <f>IF(E79="","",Conc2(E79,$V79,MolVol,E$9,E$10,H$9,H$10))</f>
        <v/>
      </c>
      <c r="I79" s="195" t="str">
        <f>IF(OR(E79="",$W79=0),"",Conc2V(E79,$V79,MolVol,E$9,E$10,H$9,H$10,ReportVOC,MWC,$W79))</f>
        <v/>
      </c>
      <c r="J79" s="195" t="str">
        <f t="shared" si="20"/>
        <v/>
      </c>
      <c r="K79" s="213" t="str">
        <f t="shared" si="21"/>
        <v/>
      </c>
      <c r="L79" s="212" t="str">
        <f>IF(G79="","",Conc2(G79,$V79,MolVol,G$9,G$10,L$9,L$10))</f>
        <v/>
      </c>
      <c r="M79" s="195" t="str">
        <f>IF(OR(G79="",$W79=0),"",Conc2V(G79,$V79,MolVol,G$9,G$10,L$9,L$10,ReportVOC,MWC,$W79))</f>
        <v/>
      </c>
      <c r="N79" s="195" t="str">
        <f t="shared" si="22"/>
        <v/>
      </c>
      <c r="O79" s="196" t="str">
        <f t="shared" si="23"/>
        <v/>
      </c>
      <c r="P79" s="14"/>
      <c r="Q79" s="468" t="str">
        <f t="shared" si="24"/>
        <v/>
      </c>
      <c r="R79" s="212" t="str">
        <f t="shared" si="25"/>
        <v/>
      </c>
      <c r="S79" s="195"/>
      <c r="T79" s="196" t="str">
        <f t="shared" si="26"/>
        <v/>
      </c>
      <c r="V79" s="573" t="str">
        <f t="shared" si="27"/>
        <v/>
      </c>
      <c r="W79" s="573" t="str">
        <f t="shared" si="28"/>
        <v/>
      </c>
    </row>
    <row r="80" spans="1:23" ht="10.5" hidden="1" customHeight="1" outlineLevel="1">
      <c r="A80" s="216"/>
      <c r="B80" s="217"/>
      <c r="C80" s="377"/>
      <c r="D80" s="653"/>
      <c r="E80" s="193"/>
      <c r="F80" s="653"/>
      <c r="G80" s="193"/>
      <c r="H80" s="212" t="str">
        <f>IF(E80="","",Conc2(E80,$V80,MolVol,E$9,E$10,H$9,H$10))</f>
        <v/>
      </c>
      <c r="I80" s="195" t="str">
        <f>IF(OR(E80="",$W80=0),"",Conc2V(E80,$V80,MolVol,E$9,E$10,H$9,H$10,ReportVOC,MWC,$W80))</f>
        <v/>
      </c>
      <c r="J80" s="195" t="str">
        <f t="shared" si="20"/>
        <v/>
      </c>
      <c r="K80" s="213" t="str">
        <f t="shared" si="21"/>
        <v/>
      </c>
      <c r="L80" s="212" t="str">
        <f>IF(G80="","",Conc2(G80,$V80,MolVol,G$9,G$10,L$9,L$10))</f>
        <v/>
      </c>
      <c r="M80" s="195" t="str">
        <f>IF(OR(G80="",$W80=0),"",Conc2V(G80,$V80,MolVol,G$9,G$10,L$9,L$10,ReportVOC,MWC,$W80))</f>
        <v/>
      </c>
      <c r="N80" s="195" t="str">
        <f t="shared" si="22"/>
        <v/>
      </c>
      <c r="O80" s="196" t="str">
        <f t="shared" si="23"/>
        <v/>
      </c>
      <c r="P80" s="14"/>
      <c r="Q80" s="468" t="str">
        <f t="shared" si="24"/>
        <v/>
      </c>
      <c r="R80" s="212" t="str">
        <f t="shared" si="25"/>
        <v/>
      </c>
      <c r="S80" s="195"/>
      <c r="T80" s="196" t="str">
        <f t="shared" si="26"/>
        <v/>
      </c>
      <c r="V80" s="573" t="str">
        <f t="shared" si="27"/>
        <v/>
      </c>
      <c r="W80" s="573" t="str">
        <f t="shared" si="28"/>
        <v/>
      </c>
    </row>
    <row r="81" spans="1:23" ht="10.5" hidden="1" customHeight="1" outlineLevel="1">
      <c r="A81" s="216"/>
      <c r="B81" s="217"/>
      <c r="C81" s="377"/>
      <c r="D81" s="653"/>
      <c r="E81" s="193"/>
      <c r="F81" s="653"/>
      <c r="G81" s="193"/>
      <c r="H81" s="212" t="str">
        <f>IF(E81="","",Conc2(E81,$V81,MolVol,E$9,E$10,H$9,H$10))</f>
        <v/>
      </c>
      <c r="I81" s="195" t="str">
        <f>IF(OR(E81="",$W81=0),"",Conc2V(E81,$V81,MolVol,E$9,E$10,H$9,H$10,ReportVOC,MWC,$W81))</f>
        <v/>
      </c>
      <c r="J81" s="195" t="str">
        <f t="shared" si="20"/>
        <v/>
      </c>
      <c r="K81" s="213" t="str">
        <f t="shared" si="21"/>
        <v/>
      </c>
      <c r="L81" s="212" t="str">
        <f>IF(G81="","",Conc2(G81,$V81,MolVol,G$9,G$10,L$9,L$10))</f>
        <v/>
      </c>
      <c r="M81" s="195" t="str">
        <f>IF(OR(G81="",$W81=0),"",Conc2V(G81,$V81,MolVol,G$9,G$10,L$9,L$10,ReportVOC,MWC,$W81))</f>
        <v/>
      </c>
      <c r="N81" s="195" t="str">
        <f t="shared" si="22"/>
        <v/>
      </c>
      <c r="O81" s="196" t="str">
        <f t="shared" si="23"/>
        <v/>
      </c>
      <c r="P81" s="14"/>
      <c r="Q81" s="468" t="str">
        <f t="shared" si="24"/>
        <v/>
      </c>
      <c r="R81" s="212" t="str">
        <f t="shared" si="25"/>
        <v/>
      </c>
      <c r="S81" s="195"/>
      <c r="T81" s="196" t="str">
        <f t="shared" si="26"/>
        <v/>
      </c>
      <c r="V81" s="573" t="str">
        <f t="shared" si="27"/>
        <v/>
      </c>
      <c r="W81" s="573" t="str">
        <f t="shared" si="28"/>
        <v/>
      </c>
    </row>
    <row r="82" spans="1:23" ht="10.5" hidden="1" customHeight="1" outlineLevel="1">
      <c r="A82" s="216"/>
      <c r="B82" s="217"/>
      <c r="C82" s="377"/>
      <c r="D82" s="653"/>
      <c r="E82" s="193"/>
      <c r="F82" s="653"/>
      <c r="G82" s="193"/>
      <c r="H82" s="212" t="str">
        <f>IF(E82="","",Conc2(E82,$V82,MolVol,E$9,E$10,H$9,H$10))</f>
        <v/>
      </c>
      <c r="I82" s="195" t="str">
        <f>IF(OR(E82="",$W82=0),"",Conc2V(E82,$V82,MolVol,E$9,E$10,H$9,H$10,ReportVOC,MWC,$W82))</f>
        <v/>
      </c>
      <c r="J82" s="195" t="str">
        <f t="shared" si="20"/>
        <v/>
      </c>
      <c r="K82" s="213" t="str">
        <f t="shared" si="21"/>
        <v/>
      </c>
      <c r="L82" s="212" t="str">
        <f>IF(G82="","",Conc2(G82,$V82,MolVol,G$9,G$10,L$9,L$10))</f>
        <v/>
      </c>
      <c r="M82" s="195" t="str">
        <f>IF(OR(G82="",$W82=0),"",Conc2V(G82,$V82,MolVol,G$9,G$10,L$9,L$10,ReportVOC,MWC,$W82))</f>
        <v/>
      </c>
      <c r="N82" s="195" t="str">
        <f t="shared" si="22"/>
        <v/>
      </c>
      <c r="O82" s="196" t="str">
        <f t="shared" si="23"/>
        <v/>
      </c>
      <c r="P82" s="14"/>
      <c r="Q82" s="468" t="str">
        <f t="shared" si="24"/>
        <v/>
      </c>
      <c r="R82" s="212" t="str">
        <f t="shared" si="25"/>
        <v/>
      </c>
      <c r="S82" s="195"/>
      <c r="T82" s="196" t="str">
        <f t="shared" si="26"/>
        <v/>
      </c>
      <c r="V82" s="573" t="str">
        <f t="shared" si="27"/>
        <v/>
      </c>
      <c r="W82" s="573" t="str">
        <f t="shared" si="28"/>
        <v/>
      </c>
    </row>
    <row r="83" spans="1:23" ht="10.5" hidden="1" customHeight="1" outlineLevel="1">
      <c r="A83" s="216"/>
      <c r="B83" s="217"/>
      <c r="C83" s="377"/>
      <c r="D83" s="653"/>
      <c r="E83" s="193"/>
      <c r="F83" s="653"/>
      <c r="G83" s="193"/>
      <c r="H83" s="212" t="str">
        <f>IF(E83="","",Conc2(E83,$V83,MolVol,E$9,E$10,H$9,H$10))</f>
        <v/>
      </c>
      <c r="I83" s="195" t="str">
        <f>IF(OR(E83="",$W83=0),"",Conc2V(E83,$V83,MolVol,E$9,E$10,H$9,H$10,ReportVOC,MWC,$W83))</f>
        <v/>
      </c>
      <c r="J83" s="195" t="str">
        <f t="shared" si="20"/>
        <v/>
      </c>
      <c r="K83" s="213" t="str">
        <f t="shared" si="21"/>
        <v/>
      </c>
      <c r="L83" s="212" t="str">
        <f>IF(G83="","",Conc2(G83,$V83,MolVol,G$9,G$10,L$9,L$10))</f>
        <v/>
      </c>
      <c r="M83" s="195" t="str">
        <f>IF(OR(G83="",$W83=0),"",Conc2V(G83,$V83,MolVol,G$9,G$10,L$9,L$10,ReportVOC,MWC,$W83))</f>
        <v/>
      </c>
      <c r="N83" s="195" t="str">
        <f t="shared" si="22"/>
        <v/>
      </c>
      <c r="O83" s="196" t="str">
        <f t="shared" si="23"/>
        <v/>
      </c>
      <c r="P83" s="14"/>
      <c r="Q83" s="468" t="str">
        <f t="shared" si="24"/>
        <v/>
      </c>
      <c r="R83" s="212" t="str">
        <f t="shared" si="25"/>
        <v/>
      </c>
      <c r="S83" s="195"/>
      <c r="T83" s="196" t="str">
        <f t="shared" si="26"/>
        <v/>
      </c>
      <c r="V83" s="573" t="str">
        <f t="shared" si="27"/>
        <v/>
      </c>
      <c r="W83" s="573" t="str">
        <f t="shared" si="28"/>
        <v/>
      </c>
    </row>
    <row r="84" spans="1:23" ht="10.5" hidden="1" customHeight="1" outlineLevel="1">
      <c r="A84" s="216"/>
      <c r="B84" s="217"/>
      <c r="C84" s="377"/>
      <c r="D84" s="653"/>
      <c r="E84" s="193"/>
      <c r="F84" s="653"/>
      <c r="G84" s="193"/>
      <c r="H84" s="212" t="str">
        <f>IF(E84="","",Conc2(E84,$V84,MolVol,E$9,E$10,H$9,H$10))</f>
        <v/>
      </c>
      <c r="I84" s="195" t="str">
        <f>IF(OR(E84="",$W84=0),"",Conc2V(E84,$V84,MolVol,E$9,E$10,H$9,H$10,ReportVOC,MWC,$W84))</f>
        <v/>
      </c>
      <c r="J84" s="195" t="str">
        <f t="shared" si="20"/>
        <v/>
      </c>
      <c r="K84" s="213" t="str">
        <f t="shared" si="21"/>
        <v/>
      </c>
      <c r="L84" s="212" t="str">
        <f>IF(G84="","",Conc2(G84,$V84,MolVol,G$9,G$10,L$9,L$10))</f>
        <v/>
      </c>
      <c r="M84" s="195" t="str">
        <f>IF(OR(G84="",$W84=0),"",Conc2V(G84,$V84,MolVol,G$9,G$10,L$9,L$10,ReportVOC,MWC,$W84))</f>
        <v/>
      </c>
      <c r="N84" s="195" t="str">
        <f t="shared" si="22"/>
        <v/>
      </c>
      <c r="O84" s="196" t="str">
        <f t="shared" si="23"/>
        <v/>
      </c>
      <c r="P84" s="14"/>
      <c r="Q84" s="468" t="str">
        <f t="shared" si="24"/>
        <v/>
      </c>
      <c r="R84" s="212" t="str">
        <f t="shared" si="25"/>
        <v/>
      </c>
      <c r="S84" s="195"/>
      <c r="T84" s="196" t="str">
        <f t="shared" si="26"/>
        <v/>
      </c>
      <c r="V84" s="573" t="str">
        <f t="shared" si="27"/>
        <v/>
      </c>
      <c r="W84" s="573" t="str">
        <f t="shared" si="28"/>
        <v/>
      </c>
    </row>
    <row r="85" spans="1:23" ht="10.5" hidden="1" customHeight="1" outlineLevel="1">
      <c r="A85" s="216"/>
      <c r="B85" s="217"/>
      <c r="C85" s="377"/>
      <c r="D85" s="653"/>
      <c r="E85" s="193"/>
      <c r="F85" s="653"/>
      <c r="G85" s="193"/>
      <c r="H85" s="212" t="str">
        <f>IF(E85="","",Conc2(E85,$V85,MolVol,E$9,E$10,H$9,H$10))</f>
        <v/>
      </c>
      <c r="I85" s="195" t="str">
        <f>IF(OR(E85="",$W85=0),"",Conc2V(E85,$V85,MolVol,E$9,E$10,H$9,H$10,ReportVOC,MWC,$W85))</f>
        <v/>
      </c>
      <c r="J85" s="195" t="str">
        <f t="shared" si="20"/>
        <v/>
      </c>
      <c r="K85" s="213" t="str">
        <f t="shared" si="21"/>
        <v/>
      </c>
      <c r="L85" s="212" t="str">
        <f>IF(G85="","",Conc2(G85,$V85,MolVol,G$9,G$10,L$9,L$10))</f>
        <v/>
      </c>
      <c r="M85" s="195" t="str">
        <f>IF(OR(G85="",$W85=0),"",Conc2V(G85,$V85,MolVol,G$9,G$10,L$9,L$10,ReportVOC,MWC,$W85))</f>
        <v/>
      </c>
      <c r="N85" s="195" t="str">
        <f t="shared" si="22"/>
        <v/>
      </c>
      <c r="O85" s="196" t="str">
        <f t="shared" si="23"/>
        <v/>
      </c>
      <c r="P85" s="14"/>
      <c r="Q85" s="468" t="str">
        <f t="shared" si="24"/>
        <v/>
      </c>
      <c r="R85" s="212" t="str">
        <f t="shared" si="25"/>
        <v/>
      </c>
      <c r="S85" s="195"/>
      <c r="T85" s="196" t="str">
        <f t="shared" si="26"/>
        <v/>
      </c>
      <c r="V85" s="573" t="str">
        <f t="shared" si="27"/>
        <v/>
      </c>
      <c r="W85" s="573" t="str">
        <f t="shared" si="28"/>
        <v/>
      </c>
    </row>
    <row r="86" spans="1:23" ht="10.5" hidden="1" customHeight="1" outlineLevel="1">
      <c r="A86" s="216"/>
      <c r="B86" s="217"/>
      <c r="C86" s="377"/>
      <c r="D86" s="653"/>
      <c r="E86" s="193"/>
      <c r="F86" s="653"/>
      <c r="G86" s="193"/>
      <c r="H86" s="212" t="str">
        <f>IF(E86="","",Conc2(E86,$V86,MolVol,E$9,E$10,H$9,H$10))</f>
        <v/>
      </c>
      <c r="I86" s="195" t="str">
        <f>IF(OR(E86="",$W86=0),"",Conc2V(E86,$V86,MolVol,E$9,E$10,H$9,H$10,ReportVOC,MWC,$W86))</f>
        <v/>
      </c>
      <c r="J86" s="195" t="str">
        <f t="shared" si="20"/>
        <v/>
      </c>
      <c r="K86" s="213" t="str">
        <f t="shared" si="21"/>
        <v/>
      </c>
      <c r="L86" s="212" t="str">
        <f>IF(G86="","",Conc2(G86,$V86,MolVol,G$9,G$10,L$9,L$10))</f>
        <v/>
      </c>
      <c r="M86" s="195" t="str">
        <f>IF(OR(G86="",$W86=0),"",Conc2V(G86,$V86,MolVol,G$9,G$10,L$9,L$10,ReportVOC,MWC,$W86))</f>
        <v/>
      </c>
      <c r="N86" s="195" t="str">
        <f t="shared" si="22"/>
        <v/>
      </c>
      <c r="O86" s="196" t="str">
        <f t="shared" si="23"/>
        <v/>
      </c>
      <c r="P86" s="14"/>
      <c r="Q86" s="468" t="str">
        <f t="shared" si="24"/>
        <v/>
      </c>
      <c r="R86" s="212" t="str">
        <f t="shared" si="25"/>
        <v/>
      </c>
      <c r="S86" s="195"/>
      <c r="T86" s="196" t="str">
        <f t="shared" si="26"/>
        <v/>
      </c>
      <c r="V86" s="573" t="str">
        <f t="shared" si="27"/>
        <v/>
      </c>
      <c r="W86" s="573" t="str">
        <f t="shared" si="28"/>
        <v/>
      </c>
    </row>
    <row r="87" spans="1:23" ht="10.5" hidden="1" customHeight="1" outlineLevel="1">
      <c r="A87" s="216"/>
      <c r="B87" s="217"/>
      <c r="C87" s="377"/>
      <c r="D87" s="653"/>
      <c r="E87" s="193"/>
      <c r="F87" s="653"/>
      <c r="G87" s="193"/>
      <c r="H87" s="212" t="str">
        <f>IF(E87="","",Conc2(E87,$V87,MolVol,E$9,E$10,H$9,H$10))</f>
        <v/>
      </c>
      <c r="I87" s="195" t="str">
        <f>IF(OR(E87="",$W87=0),"",Conc2V(E87,$V87,MolVol,E$9,E$10,H$9,H$10,ReportVOC,MWC,$W87))</f>
        <v/>
      </c>
      <c r="J87" s="195" t="str">
        <f t="shared" si="20"/>
        <v/>
      </c>
      <c r="K87" s="213" t="str">
        <f t="shared" si="21"/>
        <v/>
      </c>
      <c r="L87" s="212" t="str">
        <f>IF(G87="","",Conc2(G87,$V87,MolVol,G$9,G$10,L$9,L$10))</f>
        <v/>
      </c>
      <c r="M87" s="195" t="str">
        <f>IF(OR(G87="",$W87=0),"",Conc2V(G87,$V87,MolVol,G$9,G$10,L$9,L$10,ReportVOC,MWC,$W87))</f>
        <v/>
      </c>
      <c r="N87" s="195" t="str">
        <f t="shared" si="22"/>
        <v/>
      </c>
      <c r="O87" s="196" t="str">
        <f t="shared" si="23"/>
        <v/>
      </c>
      <c r="P87" s="14"/>
      <c r="Q87" s="468" t="str">
        <f t="shared" si="24"/>
        <v/>
      </c>
      <c r="R87" s="212" t="str">
        <f t="shared" si="25"/>
        <v/>
      </c>
      <c r="S87" s="195"/>
      <c r="T87" s="196" t="str">
        <f t="shared" si="26"/>
        <v/>
      </c>
      <c r="V87" s="573" t="str">
        <f t="shared" si="27"/>
        <v/>
      </c>
      <c r="W87" s="573" t="str">
        <f t="shared" si="28"/>
        <v/>
      </c>
    </row>
    <row r="88" spans="1:23" ht="10.5" hidden="1" customHeight="1" outlineLevel="1">
      <c r="A88" s="216"/>
      <c r="B88" s="217"/>
      <c r="C88" s="377"/>
      <c r="D88" s="653"/>
      <c r="E88" s="193"/>
      <c r="F88" s="653"/>
      <c r="G88" s="193"/>
      <c r="H88" s="212" t="str">
        <f>IF(E88="","",Conc2(E88,$V88,MolVol,E$9,E$10,H$9,H$10))</f>
        <v/>
      </c>
      <c r="I88" s="195" t="str">
        <f>IF(OR(E88="",$W88=0),"",Conc2V(E88,$V88,MolVol,E$9,E$10,H$9,H$10,ReportVOC,MWC,$W88))</f>
        <v/>
      </c>
      <c r="J88" s="195" t="str">
        <f t="shared" si="20"/>
        <v/>
      </c>
      <c r="K88" s="213" t="str">
        <f t="shared" si="21"/>
        <v/>
      </c>
      <c r="L88" s="212" t="str">
        <f>IF(G88="","",Conc2(G88,$V88,MolVol,G$9,G$10,L$9,L$10))</f>
        <v/>
      </c>
      <c r="M88" s="195" t="str">
        <f>IF(OR(G88="",$W88=0),"",Conc2V(G88,$V88,MolVol,G$9,G$10,L$9,L$10,ReportVOC,MWC,$W88))</f>
        <v/>
      </c>
      <c r="N88" s="195" t="str">
        <f t="shared" si="22"/>
        <v/>
      </c>
      <c r="O88" s="196" t="str">
        <f t="shared" si="23"/>
        <v/>
      </c>
      <c r="P88" s="14"/>
      <c r="Q88" s="468" t="str">
        <f t="shared" si="24"/>
        <v/>
      </c>
      <c r="R88" s="212" t="str">
        <f t="shared" si="25"/>
        <v/>
      </c>
      <c r="S88" s="195"/>
      <c r="T88" s="196" t="str">
        <f t="shared" si="26"/>
        <v/>
      </c>
      <c r="V88" s="573" t="str">
        <f t="shared" si="27"/>
        <v/>
      </c>
      <c r="W88" s="573" t="str">
        <f t="shared" si="28"/>
        <v/>
      </c>
    </row>
    <row r="89" spans="1:23" ht="10.5" hidden="1" customHeight="1" outlineLevel="1">
      <c r="A89" s="216"/>
      <c r="B89" s="217"/>
      <c r="C89" s="377"/>
      <c r="D89" s="653"/>
      <c r="E89" s="193"/>
      <c r="F89" s="653"/>
      <c r="G89" s="193"/>
      <c r="H89" s="212" t="str">
        <f>IF(E89="","",Conc2(E89,$V89,MolVol,E$9,E$10,H$9,H$10))</f>
        <v/>
      </c>
      <c r="I89" s="195" t="str">
        <f>IF(OR(E89="",$W89=0),"",Conc2V(E89,$V89,MolVol,E$9,E$10,H$9,H$10,ReportVOC,MWC,$W89))</f>
        <v/>
      </c>
      <c r="J89" s="195" t="str">
        <f t="shared" si="20"/>
        <v/>
      </c>
      <c r="K89" s="213" t="str">
        <f t="shared" si="21"/>
        <v/>
      </c>
      <c r="L89" s="212" t="str">
        <f>IF(G89="","",Conc2(G89,$V89,MolVol,G$9,G$10,L$9,L$10))</f>
        <v/>
      </c>
      <c r="M89" s="195" t="str">
        <f>IF(OR(G89="",$W89=0),"",Conc2V(G89,$V89,MolVol,G$9,G$10,L$9,L$10,ReportVOC,MWC,$W89))</f>
        <v/>
      </c>
      <c r="N89" s="195" t="str">
        <f t="shared" si="22"/>
        <v/>
      </c>
      <c r="O89" s="196" t="str">
        <f t="shared" si="23"/>
        <v/>
      </c>
      <c r="P89" s="14"/>
      <c r="Q89" s="468" t="str">
        <f t="shared" si="24"/>
        <v/>
      </c>
      <c r="R89" s="212" t="str">
        <f t="shared" si="25"/>
        <v/>
      </c>
      <c r="S89" s="195"/>
      <c r="T89" s="196" t="str">
        <f t="shared" si="26"/>
        <v/>
      </c>
      <c r="V89" s="573" t="str">
        <f t="shared" si="27"/>
        <v/>
      </c>
      <c r="W89" s="573" t="str">
        <f t="shared" si="28"/>
        <v/>
      </c>
    </row>
    <row r="90" spans="1:23" ht="10.5" hidden="1" customHeight="1" outlineLevel="1">
      <c r="A90" s="216"/>
      <c r="B90" s="217"/>
      <c r="C90" s="377"/>
      <c r="D90" s="653"/>
      <c r="E90" s="193"/>
      <c r="F90" s="653"/>
      <c r="G90" s="193"/>
      <c r="H90" s="212" t="str">
        <f>IF(E90="","",Conc2(E90,$V90,MolVol,E$9,E$10,H$9,H$10))</f>
        <v/>
      </c>
      <c r="I90" s="195" t="str">
        <f>IF(OR(E90="",$W90=0),"",Conc2V(E90,$V90,MolVol,E$9,E$10,H$9,H$10,ReportVOC,MWC,$W90))</f>
        <v/>
      </c>
      <c r="J90" s="195" t="str">
        <f t="shared" si="20"/>
        <v/>
      </c>
      <c r="K90" s="213" t="str">
        <f t="shared" si="21"/>
        <v/>
      </c>
      <c r="L90" s="212" t="str">
        <f>IF(G90="","",Conc2(G90,$V90,MolVol,G$9,G$10,L$9,L$10))</f>
        <v/>
      </c>
      <c r="M90" s="195" t="str">
        <f>IF(OR(G90="",$W90=0),"",Conc2V(G90,$V90,MolVol,G$9,G$10,L$9,L$10,ReportVOC,MWC,$W90))</f>
        <v/>
      </c>
      <c r="N90" s="195" t="str">
        <f t="shared" si="22"/>
        <v/>
      </c>
      <c r="O90" s="196" t="str">
        <f t="shared" si="23"/>
        <v/>
      </c>
      <c r="P90" s="14"/>
      <c r="Q90" s="468" t="str">
        <f t="shared" si="24"/>
        <v/>
      </c>
      <c r="R90" s="212" t="str">
        <f t="shared" si="25"/>
        <v/>
      </c>
      <c r="S90" s="195"/>
      <c r="T90" s="196" t="str">
        <f t="shared" si="26"/>
        <v/>
      </c>
      <c r="V90" s="573" t="str">
        <f t="shared" si="27"/>
        <v/>
      </c>
      <c r="W90" s="573" t="str">
        <f t="shared" si="28"/>
        <v/>
      </c>
    </row>
    <row r="91" spans="1:23" ht="10.5" hidden="1" customHeight="1" outlineLevel="1">
      <c r="A91" s="216"/>
      <c r="B91" s="217"/>
      <c r="C91" s="377"/>
      <c r="D91" s="653"/>
      <c r="E91" s="193"/>
      <c r="F91" s="653"/>
      <c r="G91" s="193"/>
      <c r="H91" s="212" t="str">
        <f>IF(E91="","",Conc2(E91,$V91,MolVol,E$9,E$10,H$9,H$10))</f>
        <v/>
      </c>
      <c r="I91" s="195" t="str">
        <f>IF(OR(E91="",$W91=0),"",Conc2V(E91,$V91,MolVol,E$9,E$10,H$9,H$10,ReportVOC,MWC,$W91))</f>
        <v/>
      </c>
      <c r="J91" s="195" t="str">
        <f t="shared" si="20"/>
        <v/>
      </c>
      <c r="K91" s="213" t="str">
        <f t="shared" si="21"/>
        <v/>
      </c>
      <c r="L91" s="212" t="str">
        <f>IF(G91="","",Conc2(G91,$V91,MolVol,G$9,G$10,L$9,L$10))</f>
        <v/>
      </c>
      <c r="M91" s="195" t="str">
        <f>IF(OR(G91="",$W91=0),"",Conc2V(G91,$V91,MolVol,G$9,G$10,L$9,L$10,ReportVOC,MWC,$W91))</f>
        <v/>
      </c>
      <c r="N91" s="195" t="str">
        <f t="shared" si="22"/>
        <v/>
      </c>
      <c r="O91" s="196" t="str">
        <f t="shared" si="23"/>
        <v/>
      </c>
      <c r="P91" s="14"/>
      <c r="Q91" s="468" t="str">
        <f t="shared" si="24"/>
        <v/>
      </c>
      <c r="R91" s="212" t="str">
        <f t="shared" si="25"/>
        <v/>
      </c>
      <c r="S91" s="195"/>
      <c r="T91" s="196" t="str">
        <f t="shared" si="26"/>
        <v/>
      </c>
      <c r="V91" s="573" t="str">
        <f t="shared" si="27"/>
        <v/>
      </c>
      <c r="W91" s="573" t="str">
        <f t="shared" si="28"/>
        <v/>
      </c>
    </row>
    <row r="92" spans="1:23" ht="10.5" hidden="1" customHeight="1" outlineLevel="1">
      <c r="A92" s="216"/>
      <c r="B92" s="217"/>
      <c r="C92" s="377"/>
      <c r="D92" s="653"/>
      <c r="E92" s="193"/>
      <c r="F92" s="653"/>
      <c r="G92" s="193"/>
      <c r="H92" s="212" t="str">
        <f>IF(E92="","",Conc2(E92,$V92,MolVol,E$9,E$10,H$9,H$10))</f>
        <v/>
      </c>
      <c r="I92" s="195" t="str">
        <f>IF(OR(E92="",$W92=0),"",Conc2V(E92,$V92,MolVol,E$9,E$10,H$9,H$10,ReportVOC,MWC,$W92))</f>
        <v/>
      </c>
      <c r="J92" s="195" t="str">
        <f t="shared" si="20"/>
        <v/>
      </c>
      <c r="K92" s="213" t="str">
        <f t="shared" si="21"/>
        <v/>
      </c>
      <c r="L92" s="212" t="str">
        <f>IF(G92="","",Conc2(G92,$V92,MolVol,G$9,G$10,L$9,L$10))</f>
        <v/>
      </c>
      <c r="M92" s="195" t="str">
        <f>IF(OR(G92="",$W92=0),"",Conc2V(G92,$V92,MolVol,G$9,G$10,L$9,L$10,ReportVOC,MWC,$W92))</f>
        <v/>
      </c>
      <c r="N92" s="195" t="str">
        <f t="shared" si="22"/>
        <v/>
      </c>
      <c r="O92" s="196" t="str">
        <f t="shared" si="23"/>
        <v/>
      </c>
      <c r="P92" s="14"/>
      <c r="Q92" s="468" t="str">
        <f t="shared" si="24"/>
        <v/>
      </c>
      <c r="R92" s="212" t="str">
        <f t="shared" si="25"/>
        <v/>
      </c>
      <c r="S92" s="195"/>
      <c r="T92" s="196" t="str">
        <f t="shared" si="26"/>
        <v/>
      </c>
      <c r="V92" s="573" t="str">
        <f t="shared" si="27"/>
        <v/>
      </c>
      <c r="W92" s="573" t="str">
        <f t="shared" si="28"/>
        <v/>
      </c>
    </row>
    <row r="93" spans="1:23" ht="10.5" hidden="1" customHeight="1" outlineLevel="1">
      <c r="A93" s="216"/>
      <c r="B93" s="217"/>
      <c r="C93" s="377"/>
      <c r="D93" s="653"/>
      <c r="E93" s="193"/>
      <c r="F93" s="653"/>
      <c r="G93" s="193"/>
      <c r="H93" s="212" t="str">
        <f>IF(E93="","",Conc2(E93,$V93,MolVol,E$9,E$10,H$9,H$10))</f>
        <v/>
      </c>
      <c r="I93" s="195" t="str">
        <f>IF(OR(E93="",$W93=0),"",Conc2V(E93,$V93,MolVol,E$9,E$10,H$9,H$10,ReportVOC,MWC,$W93))</f>
        <v/>
      </c>
      <c r="J93" s="195" t="str">
        <f t="shared" si="20"/>
        <v/>
      </c>
      <c r="K93" s="213" t="str">
        <f t="shared" si="21"/>
        <v/>
      </c>
      <c r="L93" s="212" t="str">
        <f>IF(G93="","",Conc2(G93,$V93,MolVol,G$9,G$10,L$9,L$10))</f>
        <v/>
      </c>
      <c r="M93" s="195" t="str">
        <f>IF(OR(G93="",$W93=0),"",Conc2V(G93,$V93,MolVol,G$9,G$10,L$9,L$10,ReportVOC,MWC,$W93))</f>
        <v/>
      </c>
      <c r="N93" s="195" t="str">
        <f t="shared" si="22"/>
        <v/>
      </c>
      <c r="O93" s="196" t="str">
        <f t="shared" si="23"/>
        <v/>
      </c>
      <c r="P93" s="14"/>
      <c r="Q93" s="468" t="str">
        <f t="shared" si="24"/>
        <v/>
      </c>
      <c r="R93" s="212" t="str">
        <f t="shared" si="25"/>
        <v/>
      </c>
      <c r="S93" s="195"/>
      <c r="T93" s="196" t="str">
        <f t="shared" si="26"/>
        <v/>
      </c>
      <c r="V93" s="573" t="str">
        <f t="shared" si="27"/>
        <v/>
      </c>
      <c r="W93" s="573" t="str">
        <f t="shared" si="28"/>
        <v/>
      </c>
    </row>
    <row r="94" spans="1:23" ht="10.5" hidden="1" customHeight="1" outlineLevel="1">
      <c r="A94" s="216"/>
      <c r="B94" s="217"/>
      <c r="C94" s="377"/>
      <c r="D94" s="653"/>
      <c r="E94" s="193"/>
      <c r="F94" s="653"/>
      <c r="G94" s="193"/>
      <c r="H94" s="212" t="str">
        <f>IF(E94="","",Conc2(E94,$V94,MolVol,E$9,E$10,H$9,H$10))</f>
        <v/>
      </c>
      <c r="I94" s="195" t="str">
        <f>IF(OR(E94="",$W94=0),"",Conc2V(E94,$V94,MolVol,E$9,E$10,H$9,H$10,ReportVOC,MWC,$W94))</f>
        <v/>
      </c>
      <c r="J94" s="195" t="str">
        <f t="shared" si="20"/>
        <v/>
      </c>
      <c r="K94" s="213" t="str">
        <f t="shared" si="21"/>
        <v/>
      </c>
      <c r="L94" s="212" t="str">
        <f>IF(G94="","",Conc2(G94,$V94,MolVol,G$9,G$10,L$9,L$10))</f>
        <v/>
      </c>
      <c r="M94" s="195" t="str">
        <f>IF(OR(G94="",$W94=0),"",Conc2V(G94,$V94,MolVol,G$9,G$10,L$9,L$10,ReportVOC,MWC,$W94))</f>
        <v/>
      </c>
      <c r="N94" s="195" t="str">
        <f t="shared" si="22"/>
        <v/>
      </c>
      <c r="O94" s="196" t="str">
        <f t="shared" si="23"/>
        <v/>
      </c>
      <c r="P94" s="14"/>
      <c r="Q94" s="468" t="str">
        <f t="shared" si="24"/>
        <v/>
      </c>
      <c r="R94" s="212" t="str">
        <f t="shared" si="25"/>
        <v/>
      </c>
      <c r="S94" s="195"/>
      <c r="T94" s="196" t="str">
        <f t="shared" si="26"/>
        <v/>
      </c>
      <c r="V94" s="573" t="str">
        <f t="shared" si="27"/>
        <v/>
      </c>
      <c r="W94" s="573" t="str">
        <f t="shared" si="28"/>
        <v/>
      </c>
    </row>
    <row r="95" spans="1:23" ht="10.5" hidden="1" customHeight="1" outlineLevel="1">
      <c r="A95" s="216"/>
      <c r="B95" s="217"/>
      <c r="C95" s="377"/>
      <c r="D95" s="653"/>
      <c r="E95" s="193"/>
      <c r="F95" s="653"/>
      <c r="G95" s="193"/>
      <c r="H95" s="212" t="str">
        <f>IF(E95="","",Conc2(E95,$V95,MolVol,E$9,E$10,H$9,H$10))</f>
        <v/>
      </c>
      <c r="I95" s="195" t="str">
        <f>IF(OR(E95="",$W95=0),"",Conc2V(E95,$V95,MolVol,E$9,E$10,H$9,H$10,ReportVOC,MWC,$W95))</f>
        <v/>
      </c>
      <c r="J95" s="195" t="str">
        <f t="shared" si="20"/>
        <v/>
      </c>
      <c r="K95" s="213" t="str">
        <f t="shared" si="21"/>
        <v/>
      </c>
      <c r="L95" s="212" t="str">
        <f>IF(G95="","",Conc2(G95,$V95,MolVol,G$9,G$10,L$9,L$10))</f>
        <v/>
      </c>
      <c r="M95" s="195" t="str">
        <f>IF(OR(G95="",$W95=0),"",Conc2V(G95,$V95,MolVol,G$9,G$10,L$9,L$10,ReportVOC,MWC,$W95))</f>
        <v/>
      </c>
      <c r="N95" s="195" t="str">
        <f t="shared" si="22"/>
        <v/>
      </c>
      <c r="O95" s="196" t="str">
        <f t="shared" si="23"/>
        <v/>
      </c>
      <c r="P95" s="14"/>
      <c r="Q95" s="468" t="str">
        <f t="shared" si="24"/>
        <v/>
      </c>
      <c r="R95" s="212" t="str">
        <f t="shared" si="25"/>
        <v/>
      </c>
      <c r="S95" s="195"/>
      <c r="T95" s="196" t="str">
        <f t="shared" si="26"/>
        <v/>
      </c>
      <c r="V95" s="573" t="str">
        <f t="shared" si="27"/>
        <v/>
      </c>
      <c r="W95" s="573" t="str">
        <f t="shared" si="28"/>
        <v/>
      </c>
    </row>
    <row r="96" spans="1:23" ht="10.5" hidden="1" customHeight="1" outlineLevel="1">
      <c r="A96" s="216"/>
      <c r="B96" s="217"/>
      <c r="C96" s="377"/>
      <c r="D96" s="653"/>
      <c r="E96" s="193"/>
      <c r="F96" s="653"/>
      <c r="G96" s="193"/>
      <c r="H96" s="212" t="str">
        <f>IF(E96="","",Conc2(E96,$V96,MolVol,E$9,E$10,H$9,H$10))</f>
        <v/>
      </c>
      <c r="I96" s="195" t="str">
        <f>IF(OR(E96="",$W96=0),"",Conc2V(E96,$V96,MolVol,E$9,E$10,H$9,H$10,ReportVOC,MWC,$W96))</f>
        <v/>
      </c>
      <c r="J96" s="195" t="str">
        <f t="shared" si="20"/>
        <v/>
      </c>
      <c r="K96" s="213" t="str">
        <f t="shared" si="21"/>
        <v/>
      </c>
      <c r="L96" s="212" t="str">
        <f>IF(G96="","",Conc2(G96,$V96,MolVol,G$9,G$10,L$9,L$10))</f>
        <v/>
      </c>
      <c r="M96" s="195" t="str">
        <f>IF(OR(G96="",$W96=0),"",Conc2V(G96,$V96,MolVol,G$9,G$10,L$9,L$10,ReportVOC,MWC,$W96))</f>
        <v/>
      </c>
      <c r="N96" s="195" t="str">
        <f t="shared" si="22"/>
        <v/>
      </c>
      <c r="O96" s="196" t="str">
        <f t="shared" si="23"/>
        <v/>
      </c>
      <c r="P96" s="14"/>
      <c r="Q96" s="468" t="str">
        <f t="shared" si="24"/>
        <v/>
      </c>
      <c r="R96" s="212" t="str">
        <f t="shared" si="25"/>
        <v/>
      </c>
      <c r="S96" s="195"/>
      <c r="T96" s="196" t="str">
        <f t="shared" si="26"/>
        <v/>
      </c>
      <c r="V96" s="573" t="str">
        <f t="shared" si="27"/>
        <v/>
      </c>
      <c r="W96" s="573" t="str">
        <f t="shared" si="28"/>
        <v/>
      </c>
    </row>
    <row r="97" spans="1:23" ht="10.5" hidden="1" customHeight="1" outlineLevel="1">
      <c r="A97" s="216"/>
      <c r="B97" s="217"/>
      <c r="C97" s="377"/>
      <c r="D97" s="653"/>
      <c r="E97" s="193"/>
      <c r="F97" s="653"/>
      <c r="G97" s="193"/>
      <c r="H97" s="212" t="str">
        <f>IF(E97="","",Conc2(E97,$V97,MolVol,E$9,E$10,H$9,H$10))</f>
        <v/>
      </c>
      <c r="I97" s="195" t="str">
        <f>IF(OR(E97="",$W97=0),"",Conc2V(E97,$V97,MolVol,E$9,E$10,H$9,H$10,ReportVOC,MWC,$W97))</f>
        <v/>
      </c>
      <c r="J97" s="195" t="str">
        <f t="shared" si="20"/>
        <v/>
      </c>
      <c r="K97" s="213" t="str">
        <f t="shared" si="21"/>
        <v/>
      </c>
      <c r="L97" s="212" t="str">
        <f>IF(G97="","",Conc2(G97,$V97,MolVol,G$9,G$10,L$9,L$10))</f>
        <v/>
      </c>
      <c r="M97" s="195" t="str">
        <f>IF(OR(G97="",$W97=0),"",Conc2V(G97,$V97,MolVol,G$9,G$10,L$9,L$10,ReportVOC,MWC,$W97))</f>
        <v/>
      </c>
      <c r="N97" s="195" t="str">
        <f t="shared" si="22"/>
        <v/>
      </c>
      <c r="O97" s="196" t="str">
        <f t="shared" si="23"/>
        <v/>
      </c>
      <c r="P97" s="14"/>
      <c r="Q97" s="468" t="str">
        <f t="shared" si="24"/>
        <v/>
      </c>
      <c r="R97" s="212" t="str">
        <f t="shared" si="25"/>
        <v/>
      </c>
      <c r="S97" s="195"/>
      <c r="T97" s="196" t="str">
        <f t="shared" si="26"/>
        <v/>
      </c>
      <c r="V97" s="573" t="str">
        <f t="shared" si="27"/>
        <v/>
      </c>
      <c r="W97" s="573" t="str">
        <f t="shared" si="28"/>
        <v/>
      </c>
    </row>
    <row r="98" spans="1:23" ht="10.5" hidden="1" customHeight="1" outlineLevel="1">
      <c r="A98" s="216"/>
      <c r="B98" s="217"/>
      <c r="C98" s="377"/>
      <c r="D98" s="653"/>
      <c r="E98" s="193"/>
      <c r="F98" s="653"/>
      <c r="G98" s="193"/>
      <c r="H98" s="212" t="str">
        <f>IF(E98="","",Conc2(E98,$V98,MolVol,E$9,E$10,H$9,H$10))</f>
        <v/>
      </c>
      <c r="I98" s="195" t="str">
        <f>IF(OR(E98="",$W98=0),"",Conc2V(E98,$V98,MolVol,E$9,E$10,H$9,H$10,ReportVOC,MWC,$W98))</f>
        <v/>
      </c>
      <c r="J98" s="195" t="str">
        <f t="shared" si="20"/>
        <v/>
      </c>
      <c r="K98" s="213" t="str">
        <f t="shared" si="21"/>
        <v/>
      </c>
      <c r="L98" s="212" t="str">
        <f>IF(G98="","",Conc2(G98,$V98,MolVol,G$9,G$10,L$9,L$10))</f>
        <v/>
      </c>
      <c r="M98" s="195" t="str">
        <f>IF(OR(G98="",$W98=0),"",Conc2V(G98,$V98,MolVol,G$9,G$10,L$9,L$10,ReportVOC,MWC,$W98))</f>
        <v/>
      </c>
      <c r="N98" s="195" t="str">
        <f t="shared" si="22"/>
        <v/>
      </c>
      <c r="O98" s="196" t="str">
        <f t="shared" si="23"/>
        <v/>
      </c>
      <c r="P98" s="14"/>
      <c r="Q98" s="468" t="str">
        <f t="shared" si="24"/>
        <v/>
      </c>
      <c r="R98" s="212" t="str">
        <f t="shared" si="25"/>
        <v/>
      </c>
      <c r="S98" s="195"/>
      <c r="T98" s="196" t="str">
        <f t="shared" si="26"/>
        <v/>
      </c>
      <c r="V98" s="573" t="str">
        <f t="shared" si="27"/>
        <v/>
      </c>
      <c r="W98" s="573" t="str">
        <f t="shared" si="28"/>
        <v/>
      </c>
    </row>
    <row r="99" spans="1:23" ht="10.5" hidden="1" customHeight="1" outlineLevel="1">
      <c r="A99" s="216"/>
      <c r="B99" s="217"/>
      <c r="C99" s="377"/>
      <c r="D99" s="653"/>
      <c r="E99" s="193"/>
      <c r="F99" s="653"/>
      <c r="G99" s="193"/>
      <c r="H99" s="212" t="str">
        <f>IF(E99="","",Conc2(E99,$V99,MolVol,E$9,E$10,H$9,H$10))</f>
        <v/>
      </c>
      <c r="I99" s="195" t="str">
        <f>IF(OR(E99="",$W99=0),"",Conc2V(E99,$V99,MolVol,E$9,E$10,H$9,H$10,ReportVOC,MWC,$W99))</f>
        <v/>
      </c>
      <c r="J99" s="195" t="str">
        <f t="shared" si="20"/>
        <v/>
      </c>
      <c r="K99" s="213" t="str">
        <f t="shared" si="21"/>
        <v/>
      </c>
      <c r="L99" s="212" t="str">
        <f>IF(G99="","",Conc2(G99,$V99,MolVol,G$9,G$10,L$9,L$10))</f>
        <v/>
      </c>
      <c r="M99" s="195" t="str">
        <f>IF(OR(G99="",$W99=0),"",Conc2V(G99,$V99,MolVol,G$9,G$10,L$9,L$10,ReportVOC,MWC,$W99))</f>
        <v/>
      </c>
      <c r="N99" s="195" t="str">
        <f t="shared" si="22"/>
        <v/>
      </c>
      <c r="O99" s="196" t="str">
        <f t="shared" si="23"/>
        <v/>
      </c>
      <c r="P99" s="14"/>
      <c r="Q99" s="468" t="str">
        <f t="shared" si="24"/>
        <v/>
      </c>
      <c r="R99" s="212" t="str">
        <f t="shared" si="25"/>
        <v/>
      </c>
      <c r="S99" s="195"/>
      <c r="T99" s="196" t="str">
        <f t="shared" si="26"/>
        <v/>
      </c>
      <c r="V99" s="573" t="str">
        <f t="shared" si="27"/>
        <v/>
      </c>
      <c r="W99" s="573" t="str">
        <f t="shared" si="28"/>
        <v/>
      </c>
    </row>
    <row r="100" spans="1:23" ht="10.5" hidden="1" customHeight="1" outlineLevel="1">
      <c r="A100" s="216"/>
      <c r="B100" s="217"/>
      <c r="C100" s="377"/>
      <c r="D100" s="653"/>
      <c r="E100" s="193"/>
      <c r="F100" s="653"/>
      <c r="G100" s="193"/>
      <c r="H100" s="212" t="str">
        <f>IF(E100="","",Conc2(E100,$V100,MolVol,E$9,E$10,H$9,H$10))</f>
        <v/>
      </c>
      <c r="I100" s="195" t="str">
        <f>IF(OR(E100="",$W100=0),"",Conc2V(E100,$V100,MolVol,E$9,E$10,H$9,H$10,ReportVOC,MWC,$W100))</f>
        <v/>
      </c>
      <c r="J100" s="195" t="str">
        <f t="shared" si="20"/>
        <v/>
      </c>
      <c r="K100" s="213" t="str">
        <f t="shared" si="21"/>
        <v/>
      </c>
      <c r="L100" s="212" t="str">
        <f>IF(G100="","",Conc2(G100,$V100,MolVol,G$9,G$10,L$9,L$10))</f>
        <v/>
      </c>
      <c r="M100" s="195" t="str">
        <f>IF(OR(G100="",$W100=0),"",Conc2V(G100,$V100,MolVol,G$9,G$10,L$9,L$10,ReportVOC,MWC,$W100))</f>
        <v/>
      </c>
      <c r="N100" s="195" t="str">
        <f t="shared" si="22"/>
        <v/>
      </c>
      <c r="O100" s="196" t="str">
        <f t="shared" si="23"/>
        <v/>
      </c>
      <c r="P100" s="14"/>
      <c r="Q100" s="468" t="str">
        <f t="shared" si="24"/>
        <v/>
      </c>
      <c r="R100" s="212" t="str">
        <f t="shared" si="25"/>
        <v/>
      </c>
      <c r="S100" s="195"/>
      <c r="T100" s="196" t="str">
        <f t="shared" si="26"/>
        <v/>
      </c>
      <c r="V100" s="573" t="str">
        <f t="shared" si="27"/>
        <v/>
      </c>
      <c r="W100" s="573" t="str">
        <f t="shared" si="28"/>
        <v/>
      </c>
    </row>
    <row r="101" spans="1:23" ht="10.5" hidden="1" customHeight="1" outlineLevel="1">
      <c r="A101" s="216"/>
      <c r="B101" s="217"/>
      <c r="C101" s="377"/>
      <c r="D101" s="653"/>
      <c r="E101" s="193"/>
      <c r="F101" s="653"/>
      <c r="G101" s="193"/>
      <c r="H101" s="212" t="str">
        <f>IF(E101="","",Conc2(E101,$V101,MolVol,E$9,E$10,H$9,H$10))</f>
        <v/>
      </c>
      <c r="I101" s="195" t="str">
        <f>IF(OR(E101="",$W101=0),"",Conc2V(E101,$V101,MolVol,E$9,E$10,H$9,H$10,ReportVOC,MWC,$W101))</f>
        <v/>
      </c>
      <c r="J101" s="195" t="str">
        <f t="shared" si="20"/>
        <v/>
      </c>
      <c r="K101" s="213" t="str">
        <f t="shared" si="21"/>
        <v/>
      </c>
      <c r="L101" s="212" t="str">
        <f>IF(G101="","",Conc2(G101,$V101,MolVol,G$9,G$10,L$9,L$10))</f>
        <v/>
      </c>
      <c r="M101" s="195" t="str">
        <f>IF(OR(G101="",$W101=0),"",Conc2V(G101,$V101,MolVol,G$9,G$10,L$9,L$10,ReportVOC,MWC,$W101))</f>
        <v/>
      </c>
      <c r="N101" s="195" t="str">
        <f t="shared" si="22"/>
        <v/>
      </c>
      <c r="O101" s="196" t="str">
        <f t="shared" si="23"/>
        <v/>
      </c>
      <c r="P101" s="14"/>
      <c r="Q101" s="468" t="str">
        <f t="shared" si="24"/>
        <v/>
      </c>
      <c r="R101" s="212" t="str">
        <f t="shared" si="25"/>
        <v/>
      </c>
      <c r="S101" s="195"/>
      <c r="T101" s="196" t="str">
        <f t="shared" si="26"/>
        <v/>
      </c>
      <c r="V101" s="573" t="str">
        <f t="shared" si="27"/>
        <v/>
      </c>
      <c r="W101" s="573" t="str">
        <f t="shared" si="28"/>
        <v/>
      </c>
    </row>
    <row r="102" spans="1:23" ht="10.5" hidden="1" customHeight="1" outlineLevel="1">
      <c r="A102" s="216"/>
      <c r="B102" s="217"/>
      <c r="C102" s="377"/>
      <c r="D102" s="653"/>
      <c r="E102" s="193"/>
      <c r="F102" s="653"/>
      <c r="G102" s="193"/>
      <c r="H102" s="212" t="str">
        <f>IF(E102="","",Conc2(E102,$V102,MolVol,E$9,E$10,H$9,H$10))</f>
        <v/>
      </c>
      <c r="I102" s="195" t="str">
        <f>IF(OR(E102="",$W102=0),"",Conc2V(E102,$V102,MolVol,E$9,E$10,H$9,H$10,ReportVOC,MWC,$W102))</f>
        <v/>
      </c>
      <c r="J102" s="195" t="str">
        <f t="shared" si="20"/>
        <v/>
      </c>
      <c r="K102" s="213" t="str">
        <f t="shared" si="21"/>
        <v/>
      </c>
      <c r="L102" s="212" t="str">
        <f>IF(G102="","",Conc2(G102,$V102,MolVol,G$9,G$10,L$9,L$10))</f>
        <v/>
      </c>
      <c r="M102" s="195" t="str">
        <f>IF(OR(G102="",$W102=0),"",Conc2V(G102,$V102,MolVol,G$9,G$10,L$9,L$10,ReportVOC,MWC,$W102))</f>
        <v/>
      </c>
      <c r="N102" s="195" t="str">
        <f t="shared" si="22"/>
        <v/>
      </c>
      <c r="O102" s="196" t="str">
        <f t="shared" si="23"/>
        <v/>
      </c>
      <c r="P102" s="14"/>
      <c r="Q102" s="468" t="str">
        <f t="shared" si="24"/>
        <v/>
      </c>
      <c r="R102" s="212" t="str">
        <f t="shared" si="25"/>
        <v/>
      </c>
      <c r="S102" s="195"/>
      <c r="T102" s="196" t="str">
        <f t="shared" si="26"/>
        <v/>
      </c>
      <c r="V102" s="573" t="str">
        <f t="shared" si="27"/>
        <v/>
      </c>
      <c r="W102" s="573" t="str">
        <f t="shared" si="28"/>
        <v/>
      </c>
    </row>
    <row r="103" spans="1:23" ht="10.5" hidden="1" customHeight="1" outlineLevel="1">
      <c r="A103" s="216"/>
      <c r="B103" s="217"/>
      <c r="C103" s="377"/>
      <c r="D103" s="653"/>
      <c r="E103" s="193"/>
      <c r="F103" s="653"/>
      <c r="G103" s="193"/>
      <c r="H103" s="212" t="str">
        <f>IF(E103="","",Conc2(E103,$V103,MolVol,E$9,E$10,H$9,H$10))</f>
        <v/>
      </c>
      <c r="I103" s="195" t="str">
        <f>IF(OR(E103="",$W103=0),"",Conc2V(E103,$V103,MolVol,E$9,E$10,H$9,H$10,ReportVOC,MWC,$W103))</f>
        <v/>
      </c>
      <c r="J103" s="195" t="str">
        <f t="shared" si="20"/>
        <v/>
      </c>
      <c r="K103" s="213" t="str">
        <f t="shared" si="21"/>
        <v/>
      </c>
      <c r="L103" s="212" t="str">
        <f>IF(G103="","",Conc2(G103,$V103,MolVol,G$9,G$10,L$9,L$10))</f>
        <v/>
      </c>
      <c r="M103" s="195" t="str">
        <f>IF(OR(G103="",$W103=0),"",Conc2V(G103,$V103,MolVol,G$9,G$10,L$9,L$10,ReportVOC,MWC,$W103))</f>
        <v/>
      </c>
      <c r="N103" s="195" t="str">
        <f t="shared" si="22"/>
        <v/>
      </c>
      <c r="O103" s="196" t="str">
        <f t="shared" si="23"/>
        <v/>
      </c>
      <c r="P103" s="14"/>
      <c r="Q103" s="468" t="str">
        <f t="shared" si="24"/>
        <v/>
      </c>
      <c r="R103" s="212" t="str">
        <f t="shared" si="25"/>
        <v/>
      </c>
      <c r="S103" s="195"/>
      <c r="T103" s="196" t="str">
        <f t="shared" si="26"/>
        <v/>
      </c>
      <c r="V103" s="573" t="str">
        <f t="shared" si="27"/>
        <v/>
      </c>
      <c r="W103" s="573" t="str">
        <f t="shared" si="28"/>
        <v/>
      </c>
    </row>
    <row r="104" spans="1:23" ht="10.5" hidden="1" customHeight="1" outlineLevel="1">
      <c r="A104" s="666"/>
      <c r="B104" s="667"/>
      <c r="C104" s="377"/>
      <c r="D104" s="653"/>
      <c r="E104" s="193"/>
      <c r="F104" s="653"/>
      <c r="G104" s="193"/>
      <c r="H104" s="212" t="str">
        <f>IF(E104="","",Conc2(E104,$V104,MolVol,E$9,E$10,H$9,H$10))</f>
        <v/>
      </c>
      <c r="I104" s="195" t="str">
        <f>IF(OR(E104="",$W104=0),"",Conc2V(E104,$V104,MolVol,E$9,E$10,H$9,H$10,ReportVOC,MWC,$W104))</f>
        <v/>
      </c>
      <c r="J104" s="195" t="str">
        <f t="shared" si="20"/>
        <v/>
      </c>
      <c r="K104" s="213" t="str">
        <f t="shared" si="21"/>
        <v/>
      </c>
      <c r="L104" s="212" t="str">
        <f>IF(G104="","",Conc2(G104,$V104,MolVol,G$9,G$10,L$9,L$10))</f>
        <v/>
      </c>
      <c r="M104" s="195" t="str">
        <f>IF(OR(G104="",$W104=0),"",Conc2V(G104,$V104,MolVol,G$9,G$10,L$9,L$10,ReportVOC,MWC,$W104))</f>
        <v/>
      </c>
      <c r="N104" s="195" t="str">
        <f t="shared" si="22"/>
        <v/>
      </c>
      <c r="O104" s="196" t="str">
        <f t="shared" si="23"/>
        <v/>
      </c>
      <c r="P104" s="14"/>
      <c r="Q104" s="468" t="str">
        <f t="shared" si="24"/>
        <v/>
      </c>
      <c r="R104" s="212" t="str">
        <f t="shared" si="25"/>
        <v/>
      </c>
      <c r="S104" s="195"/>
      <c r="T104" s="196" t="str">
        <f t="shared" si="26"/>
        <v/>
      </c>
      <c r="V104" s="573" t="str">
        <f t="shared" si="27"/>
        <v/>
      </c>
      <c r="W104" s="573" t="str">
        <f t="shared" si="28"/>
        <v/>
      </c>
    </row>
    <row r="105" spans="1:23" ht="10.5" hidden="1" customHeight="1" outlineLevel="1">
      <c r="A105" s="216"/>
      <c r="B105" s="217"/>
      <c r="C105" s="377"/>
      <c r="D105" s="653"/>
      <c r="E105" s="193"/>
      <c r="F105" s="653"/>
      <c r="G105" s="193"/>
      <c r="H105" s="212" t="str">
        <f>IF(E105="","",Conc2(E105,$V105,MolVol,E$9,E$10,H$9,H$10))</f>
        <v/>
      </c>
      <c r="I105" s="195" t="str">
        <f>IF(OR(E105="",$W105=0),"",Conc2V(E105,$V105,MolVol,E$9,E$10,H$9,H$10,ReportVOC,MWC,$W105))</f>
        <v/>
      </c>
      <c r="J105" s="195" t="str">
        <f t="shared" si="20"/>
        <v/>
      </c>
      <c r="K105" s="213" t="str">
        <f t="shared" si="21"/>
        <v/>
      </c>
      <c r="L105" s="212" t="str">
        <f>IF(G105="","",Conc2(G105,$V105,MolVol,G$9,G$10,L$9,L$10))</f>
        <v/>
      </c>
      <c r="M105" s="195" t="str">
        <f>IF(OR(G105="",$W105=0),"",Conc2V(G105,$V105,MolVol,G$9,G$10,L$9,L$10,ReportVOC,MWC,$W105))</f>
        <v/>
      </c>
      <c r="N105" s="195" t="str">
        <f t="shared" si="22"/>
        <v/>
      </c>
      <c r="O105" s="196" t="str">
        <f t="shared" si="23"/>
        <v/>
      </c>
      <c r="P105" s="14"/>
      <c r="Q105" s="468" t="str">
        <f t="shared" si="24"/>
        <v/>
      </c>
      <c r="R105" s="212" t="str">
        <f t="shared" si="25"/>
        <v/>
      </c>
      <c r="S105" s="195" t="str">
        <f>IF(ISNUMBER(R105),R105*O2correction*CO2correction,"")</f>
        <v/>
      </c>
      <c r="T105" s="196" t="str">
        <f t="shared" si="26"/>
        <v/>
      </c>
      <c r="V105" s="573" t="str">
        <f t="shared" si="27"/>
        <v/>
      </c>
      <c r="W105" s="573" t="str">
        <f t="shared" si="28"/>
        <v/>
      </c>
    </row>
    <row r="106" spans="1:23" ht="10.5" hidden="1" customHeight="1" outlineLevel="1" thickBot="1">
      <c r="A106" s="668"/>
      <c r="B106" s="669"/>
      <c r="C106" s="214"/>
      <c r="D106" s="654"/>
      <c r="E106" s="197"/>
      <c r="F106" s="654"/>
      <c r="G106" s="197"/>
      <c r="H106" s="212" t="str">
        <f>IF(E106="","",Conc2(E106,$V106,MolVol,E$9,E$10,H$9,H$10))</f>
        <v/>
      </c>
      <c r="I106" s="195" t="str">
        <f>IF(OR(E106="",$W106=0),"",Conc2V(E106,$V106,MolVol,E$9,E$10,H$9,H$10,ReportVOC,MWC,$W106))</f>
        <v/>
      </c>
      <c r="J106" s="195" t="str">
        <f t="shared" si="20"/>
        <v/>
      </c>
      <c r="K106" s="213" t="str">
        <f t="shared" si="21"/>
        <v/>
      </c>
      <c r="L106" s="212" t="str">
        <f>IF(G106="","",Conc2(G106,$V106,MolVol,G$9,G$10,L$9,L$10))</f>
        <v/>
      </c>
      <c r="M106" s="195" t="str">
        <f>IF(OR(G106="",$W106=0),"",Conc2V(G106,$V106,MolVol,G$9,G$10,L$9,L$10,ReportVOC,MWC,$W106))</f>
        <v/>
      </c>
      <c r="N106" s="195" t="str">
        <f t="shared" si="22"/>
        <v/>
      </c>
      <c r="O106" s="196" t="str">
        <f t="shared" si="23"/>
        <v/>
      </c>
      <c r="P106" s="14"/>
      <c r="Q106" s="366" t="str">
        <f t="shared" si="24"/>
        <v/>
      </c>
      <c r="R106" s="365" t="str">
        <f t="shared" si="25"/>
        <v/>
      </c>
      <c r="S106" s="195" t="str">
        <f>IF(ISNUMBER(R106),R106*O2correction*CO2correction,"")</f>
        <v/>
      </c>
      <c r="T106" s="200" t="str">
        <f t="shared" si="26"/>
        <v/>
      </c>
      <c r="V106" s="573" t="str">
        <f t="shared" si="27"/>
        <v/>
      </c>
      <c r="W106" s="573" t="str">
        <f t="shared" si="28"/>
        <v/>
      </c>
    </row>
    <row r="107" spans="1:23" ht="9" customHeight="1" collapsed="1" thickBot="1">
      <c r="A107" s="379"/>
      <c r="B107" s="379"/>
      <c r="C107" s="379"/>
      <c r="D107" s="379"/>
      <c r="E107" s="379"/>
      <c r="F107" s="379"/>
      <c r="G107" s="379"/>
      <c r="H107" s="379"/>
      <c r="I107" s="379"/>
      <c r="J107" s="379"/>
      <c r="K107" s="379"/>
      <c r="L107" s="379"/>
      <c r="M107" s="379"/>
      <c r="N107" s="379"/>
      <c r="O107" s="379"/>
      <c r="P107" s="2"/>
      <c r="Q107" s="379"/>
      <c r="R107" s="379"/>
      <c r="S107" s="379"/>
      <c r="T107" s="379"/>
    </row>
    <row r="108" spans="1:23" ht="10.5" customHeight="1">
      <c r="A108" s="25" t="s">
        <v>403</v>
      </c>
      <c r="B108" s="20"/>
      <c r="C108" s="20"/>
      <c r="D108" s="20"/>
      <c r="E108" s="20"/>
      <c r="F108" s="181" t="s">
        <v>8</v>
      </c>
      <c r="G108" s="181" t="s">
        <v>9</v>
      </c>
      <c r="H108" s="43" t="s">
        <v>224</v>
      </c>
      <c r="I108" s="43"/>
      <c r="J108" s="560"/>
      <c r="K108" s="467" t="s">
        <v>1281</v>
      </c>
      <c r="L108" s="457" t="s">
        <v>8</v>
      </c>
      <c r="M108" s="457"/>
      <c r="N108" s="474"/>
      <c r="O108" s="458" t="s">
        <v>9</v>
      </c>
      <c r="P108" s="2"/>
      <c r="Q108" s="2"/>
      <c r="R108" s="478"/>
      <c r="S108" s="478"/>
      <c r="T108" s="478"/>
    </row>
    <row r="109" spans="1:23" ht="10.5" customHeight="1">
      <c r="A109" s="31"/>
      <c r="B109" s="375"/>
      <c r="C109" s="375"/>
      <c r="D109" s="375"/>
      <c r="E109" s="21" t="s">
        <v>263</v>
      </c>
      <c r="F109" s="662"/>
      <c r="G109" s="662"/>
      <c r="H109" s="17"/>
      <c r="I109" s="17"/>
      <c r="J109" s="9"/>
      <c r="K109" s="459" t="str">
        <f>IF($K$108="Volume","Initial volume (L)","Initial flow (ml/min)")</f>
        <v>Initial volume (L)</v>
      </c>
      <c r="L109" s="460"/>
      <c r="M109" s="460"/>
      <c r="N109" s="460"/>
      <c r="O109" s="475"/>
      <c r="P109" s="2"/>
      <c r="Q109" s="2"/>
      <c r="R109" s="54"/>
      <c r="S109" s="54"/>
      <c r="T109" s="54"/>
    </row>
    <row r="110" spans="1:23" ht="10.5" customHeight="1" thickBot="1">
      <c r="A110" s="1677" t="s">
        <v>1729</v>
      </c>
      <c r="B110" s="2793" t="s">
        <v>353</v>
      </c>
      <c r="C110" s="2794"/>
      <c r="D110" s="376"/>
      <c r="E110" s="22" t="s">
        <v>264</v>
      </c>
      <c r="F110" s="662"/>
      <c r="G110" s="662"/>
      <c r="H110" s="17"/>
      <c r="I110" s="17"/>
      <c r="J110" s="9"/>
      <c r="K110" s="459" t="str">
        <f>IF($K$108="Volume","Final volume (L)","Final flow (ml/min)")</f>
        <v>Final volume (L)</v>
      </c>
      <c r="L110" s="460"/>
      <c r="M110" s="460"/>
      <c r="N110" s="460"/>
      <c r="O110" s="475"/>
      <c r="P110" s="2"/>
      <c r="Q110" s="2781" t="s">
        <v>1242</v>
      </c>
      <c r="R110" s="2781"/>
      <c r="S110" s="2781"/>
      <c r="T110" s="2781"/>
      <c r="V110" s="2097" t="b">
        <v>0</v>
      </c>
      <c r="W110" s="16" t="str">
        <f>IF(V110=TRUE,"*","")</f>
        <v/>
      </c>
    </row>
    <row r="111" spans="1:23" ht="10.5" customHeight="1">
      <c r="A111" s="9"/>
      <c r="B111" s="9"/>
      <c r="C111" s="257">
        <f>VLOOKUP($B110,ReportVOCtable,2)</f>
        <v>86.175399999999996</v>
      </c>
      <c r="D111" s="376"/>
      <c r="E111" s="22" t="s">
        <v>1206</v>
      </c>
      <c r="F111" s="209"/>
      <c r="G111" s="209"/>
      <c r="H111" s="47"/>
      <c r="I111" s="47"/>
      <c r="J111" s="9"/>
      <c r="K111" s="459" t="str">
        <f>IF($K$108="Volume","Meter volume (L)","Total time (min)")</f>
        <v>Meter volume (L)</v>
      </c>
      <c r="L111" s="461">
        <f>Total(K108,L109,L110,F109,F110,TiF)</f>
        <v>0</v>
      </c>
      <c r="M111" s="461"/>
      <c r="N111" s="461"/>
      <c r="O111" s="476">
        <f>Total(K108,O109,O110,G109,G110,TiF)</f>
        <v>0</v>
      </c>
      <c r="P111" s="2"/>
      <c r="Q111" s="2775" t="str">
        <f>A108</f>
        <v>Sorbent tubes</v>
      </c>
      <c r="R111" s="2776"/>
      <c r="S111" s="2776"/>
      <c r="T111" s="2777"/>
    </row>
    <row r="112" spans="1:23" ht="10.5" customHeight="1">
      <c r="A112" s="1966"/>
      <c r="B112" s="376"/>
      <c r="C112" s="376"/>
      <c r="D112" s="376"/>
      <c r="E112" s="22" t="s">
        <v>1283</v>
      </c>
      <c r="F112" s="210"/>
      <c r="G112" s="210"/>
      <c r="H112" s="47"/>
      <c r="I112" s="47"/>
      <c r="J112" s="9"/>
      <c r="K112" s="462" t="str">
        <f>"Volume at "&amp;NTPSTP&amp;" (L)"</f>
        <v>Volume at STP (L)</v>
      </c>
      <c r="L112" s="463" t="e">
        <f>VolumeCorrect($K$108,NTPSTP,L109,L110,L111,BaroPress,F112,60000,TiF,VoF,BPF,TU)</f>
        <v>#VALUE!</v>
      </c>
      <c r="M112" s="463"/>
      <c r="N112" s="463"/>
      <c r="O112" s="477" t="e">
        <f>VolumeCorrect($K$108,NTPSTP,O109,O110,O111,BaroPress,G112,60000,TiF,VoF,BPF,TU)</f>
        <v>#VALUE!</v>
      </c>
      <c r="P112" s="2"/>
      <c r="Q112" s="2778"/>
      <c r="R112" s="2779"/>
      <c r="S112" s="2779"/>
      <c r="T112" s="2780"/>
    </row>
    <row r="113" spans="1:23" s="4" customFormat="1" ht="10.5" customHeight="1">
      <c r="A113" s="51"/>
      <c r="B113" s="2784" t="s">
        <v>8</v>
      </c>
      <c r="C113" s="2785"/>
      <c r="D113" s="2786"/>
      <c r="E113" s="2784" t="s">
        <v>9</v>
      </c>
      <c r="F113" s="2785"/>
      <c r="G113" s="2786"/>
      <c r="H113" s="27" t="s">
        <v>1320</v>
      </c>
      <c r="I113" s="1674" t="s">
        <v>1728</v>
      </c>
      <c r="J113" s="27" t="s">
        <v>97</v>
      </c>
      <c r="K113" s="30" t="s">
        <v>1202</v>
      </c>
      <c r="L113" s="27" t="s">
        <v>1320</v>
      </c>
      <c r="M113" s="1674" t="s">
        <v>1728</v>
      </c>
      <c r="N113" s="27" t="s">
        <v>97</v>
      </c>
      <c r="O113" s="24" t="s">
        <v>1202</v>
      </c>
      <c r="P113" s="23"/>
      <c r="Q113" s="367" t="s">
        <v>1279</v>
      </c>
      <c r="R113" s="27" t="s">
        <v>1320</v>
      </c>
      <c r="S113" s="27" t="s">
        <v>97</v>
      </c>
      <c r="T113" s="24" t="s">
        <v>1202</v>
      </c>
      <c r="V113" s="16"/>
      <c r="W113" s="16"/>
    </row>
    <row r="114" spans="1:23" ht="10.5" customHeight="1">
      <c r="A114" s="35"/>
      <c r="B114" s="563" t="s">
        <v>1333</v>
      </c>
      <c r="C114" s="470" t="s">
        <v>1427</v>
      </c>
      <c r="D114" s="562" t="str">
        <f>C114</f>
        <v>µg</v>
      </c>
      <c r="E114" s="563" t="s">
        <v>1333</v>
      </c>
      <c r="F114" s="470" t="s">
        <v>1427</v>
      </c>
      <c r="G114" s="562" t="str">
        <f>F114</f>
        <v>µg</v>
      </c>
      <c r="H114" s="714" t="str">
        <f>CU</f>
        <v>mg/m³</v>
      </c>
      <c r="I114" s="561" t="str">
        <f>H114</f>
        <v>mg/m³</v>
      </c>
      <c r="J114" s="561" t="str">
        <f>H114</f>
        <v>mg/m³</v>
      </c>
      <c r="K114" s="980" t="str">
        <f>MRU</f>
        <v>g/min</v>
      </c>
      <c r="L114" s="38" t="str">
        <f>$H114</f>
        <v>mg/m³</v>
      </c>
      <c r="M114" s="561" t="str">
        <f>L114</f>
        <v>mg/m³</v>
      </c>
      <c r="N114" s="561" t="str">
        <f>H114</f>
        <v>mg/m³</v>
      </c>
      <c r="O114" s="40" t="str">
        <f>MRU</f>
        <v>g/min</v>
      </c>
      <c r="P114" s="12"/>
      <c r="Q114" s="52" t="s">
        <v>1333</v>
      </c>
      <c r="R114" s="38" t="str">
        <f>$H114</f>
        <v>mg/m³</v>
      </c>
      <c r="S114" s="38" t="str">
        <f>CU</f>
        <v>mg/m³</v>
      </c>
      <c r="T114" s="40" t="str">
        <f>MRU</f>
        <v>g/min</v>
      </c>
      <c r="V114" s="572" t="s">
        <v>310</v>
      </c>
      <c r="W114" s="572" t="s">
        <v>311</v>
      </c>
    </row>
    <row r="115" spans="1:23" ht="10.5" hidden="1" customHeight="1">
      <c r="A115" s="35"/>
      <c r="B115" s="563"/>
      <c r="C115" s="561">
        <f>VLOOKUP(C114,MassTable,2,FALSE)</f>
        <v>1000000</v>
      </c>
      <c r="D115" s="562"/>
      <c r="E115" s="563"/>
      <c r="F115" s="561">
        <f>VLOOKUP(F114,MassTable,2,FALSE)</f>
        <v>1000000</v>
      </c>
      <c r="G115" s="562"/>
      <c r="H115" s="563">
        <f>VLOOKUP(H114,ConcTable,2,FALSE)</f>
        <v>1000000</v>
      </c>
      <c r="I115" s="561"/>
      <c r="J115" s="561"/>
      <c r="K115" s="565"/>
      <c r="L115" s="563">
        <f>VLOOKUP(L114,ConcTable,2,FALSE)</f>
        <v>1000000</v>
      </c>
      <c r="M115" s="1673"/>
      <c r="N115" s="561"/>
      <c r="O115" s="564"/>
      <c r="P115" s="12"/>
      <c r="Q115" s="52"/>
      <c r="R115" s="45"/>
      <c r="S115" s="45"/>
      <c r="T115" s="40"/>
      <c r="V115" s="572"/>
      <c r="W115" s="572"/>
    </row>
    <row r="116" spans="1:23" ht="10.5" customHeight="1">
      <c r="A116" s="360" t="s">
        <v>476</v>
      </c>
      <c r="B116" s="194" t="s">
        <v>819</v>
      </c>
      <c r="C116" s="205"/>
      <c r="D116" s="193"/>
      <c r="E116" s="194" t="s">
        <v>819</v>
      </c>
      <c r="F116" s="205"/>
      <c r="G116" s="193"/>
      <c r="H116" s="212" t="str">
        <f>IF(C116="","",Conc1(C116:D116,L$112,$V116,MolVol,C$114,C$115,H$114,H$115,VoF))</f>
        <v/>
      </c>
      <c r="I116" s="195" t="str">
        <f>IF(C116="","",Conc1V(C116:D116,L$112,$V116,MolVol,C$114,C$115,H$114,H$115,VoF,ReportVOC,MWC,$W116))</f>
        <v/>
      </c>
      <c r="J116" s="195" t="str">
        <f t="shared" ref="J116:J147" si="29">IF(H116="","",H116*O2correction*CO2correction)</f>
        <v/>
      </c>
      <c r="K116" s="213" t="str">
        <f t="shared" ref="K116:K147" si="30">IF(C116="","",MassRate(H116,$V116,MolVol,H$114,H$115,MRU,MRF,AverageFlowDry,FF))</f>
        <v/>
      </c>
      <c r="L116" s="212" t="str">
        <f>IF(F116="","",Conc1(F116:G116,O$112,$V116,MolVol,F$114,F$115,L$114,L$115,VoF))</f>
        <v/>
      </c>
      <c r="M116" s="195" t="str">
        <f>IF(F116="","",Conc1V(F116:G116,O$112,$V116,MolVol,F$114,F$115,L$114,L$115,VoF,ReportVOC,MWC,$W116))</f>
        <v/>
      </c>
      <c r="N116" s="195" t="str">
        <f t="shared" ref="N116:N147" si="31">IF(L116="","",L116*O2correction*CO2correction)</f>
        <v/>
      </c>
      <c r="O116" s="196" t="str">
        <f t="shared" ref="O116:O147" si="32">IF(F116="","",MassRate(L116,$V116,MolVol,L$114,L$115,MRU,MRF,AverageFlowDry,FF))</f>
        <v/>
      </c>
      <c r="P116" s="14"/>
      <c r="Q116" s="635" t="str">
        <f>IF(AND(ISTEXT(B116),ISTEXT(E116)),"&lt;",IF(OR(ISTEXT(B116),ISTEXT(E116)),"≤",""))</f>
        <v>&lt;</v>
      </c>
      <c r="R116" s="212" t="str">
        <f t="shared" ref="R116:R147" si="33">IF(OR(ISNUMBER(C116),ISNUMBER(F116)),AVERAGE(H116,L116),"")</f>
        <v/>
      </c>
      <c r="S116" s="195" t="str">
        <f t="shared" ref="S116:S147" si="34">IF(ISNUMBER(R116),R116*O2correction*CO2correction,"")</f>
        <v/>
      </c>
      <c r="T116" s="196" t="str">
        <f t="shared" ref="T116:T147" si="35">IF(OR(ISNUMBER(K116),ISNUMBER(O116)),AVERAGE(K116,O116),"")</f>
        <v/>
      </c>
      <c r="V116" s="573">
        <f t="shared" ref="V116:V147" si="36">IF($A116="","",VLOOKUP($A116,VOCtable,2,FALSE))</f>
        <v>86.18</v>
      </c>
      <c r="W116" s="573">
        <f t="shared" ref="W116:W147" si="37">IF($A116="","",VLOOKUP($A116,VOCtable,3,FALSE))</f>
        <v>6</v>
      </c>
    </row>
    <row r="117" spans="1:23" ht="10.5" customHeight="1">
      <c r="A117" s="360"/>
      <c r="B117" s="194"/>
      <c r="C117" s="205"/>
      <c r="D117" s="193"/>
      <c r="E117" s="194"/>
      <c r="F117" s="205"/>
      <c r="G117" s="193"/>
      <c r="H117" s="212" t="str">
        <f>IF(C117="","",Conc1(C117:D117,L$112,$V117,MolVol,C$114,C$115,H$114,H$115,VoF))</f>
        <v/>
      </c>
      <c r="I117" s="195" t="str">
        <f>IF(C117="","",Conc1V(C117:D117,L$112,$V117,MolVol,C$114,C$115,H$114,H$115,VoF,ReportVOC,MWC,$W117))</f>
        <v/>
      </c>
      <c r="J117" s="195" t="str">
        <f t="shared" si="29"/>
        <v/>
      </c>
      <c r="K117" s="213" t="str">
        <f t="shared" si="30"/>
        <v/>
      </c>
      <c r="L117" s="212" t="str">
        <f>IF(F117="","",Conc1(F117:G117,O$112,$V117,MolVol,F$114,F$115,L$114,L$115,VoF))</f>
        <v/>
      </c>
      <c r="M117" s="195" t="str">
        <f>IF(F117="","",Conc1V(F117:G117,O$112,$V117,MolVol,F$114,F$115,L$114,L$115,VoF,ReportVOC,MWC,$W117))</f>
        <v/>
      </c>
      <c r="N117" s="195" t="str">
        <f t="shared" si="31"/>
        <v/>
      </c>
      <c r="O117" s="196" t="str">
        <f t="shared" si="32"/>
        <v/>
      </c>
      <c r="P117" s="14"/>
      <c r="Q117" s="468" t="str">
        <f t="shared" ref="Q117:Q180" si="38">IF(AND(ISTEXT(B117),ISTEXT(E117)),"&lt;",IF(OR(ISTEXT(B117),ISTEXT(E117)),"≤",""))</f>
        <v/>
      </c>
      <c r="R117" s="212" t="str">
        <f t="shared" si="33"/>
        <v/>
      </c>
      <c r="S117" s="195" t="str">
        <f t="shared" si="34"/>
        <v/>
      </c>
      <c r="T117" s="196" t="str">
        <f t="shared" si="35"/>
        <v/>
      </c>
      <c r="V117" s="573" t="str">
        <f t="shared" si="36"/>
        <v/>
      </c>
      <c r="W117" s="573" t="str">
        <f t="shared" si="37"/>
        <v/>
      </c>
    </row>
    <row r="118" spans="1:23" ht="10.5" customHeight="1">
      <c r="A118" s="360"/>
      <c r="B118" s="194"/>
      <c r="C118" s="205"/>
      <c r="D118" s="193"/>
      <c r="E118" s="194"/>
      <c r="F118" s="205"/>
      <c r="G118" s="193"/>
      <c r="H118" s="212" t="str">
        <f>IF(C118="","",Conc1(C118:D118,L$112,$V118,MolVol,C$114,C$115,H$114,H$115,VoF))</f>
        <v/>
      </c>
      <c r="I118" s="195" t="str">
        <f>IF(C118="","",Conc1V(C118:D118,L$112,$V118,MolVol,C$114,C$115,H$114,H$115,VoF,ReportVOC,MWC,$W118))</f>
        <v/>
      </c>
      <c r="J118" s="195" t="str">
        <f t="shared" si="29"/>
        <v/>
      </c>
      <c r="K118" s="213" t="str">
        <f t="shared" si="30"/>
        <v/>
      </c>
      <c r="L118" s="212" t="str">
        <f>IF(F118="","",Conc1(F118:G118,O$112,$V118,MolVol,F$114,F$115,L$114,L$115,VoF))</f>
        <v/>
      </c>
      <c r="M118" s="195" t="str">
        <f>IF(F118="","",Conc1V(F118:G118,O$112,$V118,MolVol,F$114,F$115,L$114,L$115,VoF,ReportVOC,MWC,$W118))</f>
        <v/>
      </c>
      <c r="N118" s="195" t="str">
        <f t="shared" si="31"/>
        <v/>
      </c>
      <c r="O118" s="196" t="str">
        <f t="shared" si="32"/>
        <v/>
      </c>
      <c r="P118" s="14"/>
      <c r="Q118" s="468" t="str">
        <f t="shared" si="38"/>
        <v/>
      </c>
      <c r="R118" s="212" t="str">
        <f t="shared" si="33"/>
        <v/>
      </c>
      <c r="S118" s="195" t="str">
        <f t="shared" si="34"/>
        <v/>
      </c>
      <c r="T118" s="196" t="str">
        <f t="shared" si="35"/>
        <v/>
      </c>
      <c r="V118" s="573" t="str">
        <f t="shared" si="36"/>
        <v/>
      </c>
      <c r="W118" s="573" t="str">
        <f t="shared" si="37"/>
        <v/>
      </c>
    </row>
    <row r="119" spans="1:23" ht="10.5" customHeight="1">
      <c r="A119" s="360"/>
      <c r="B119" s="194"/>
      <c r="C119" s="205"/>
      <c r="D119" s="193"/>
      <c r="E119" s="194"/>
      <c r="F119" s="205"/>
      <c r="G119" s="193"/>
      <c r="H119" s="212" t="str">
        <f>IF(C119="","",Conc1(C119:D119,L$112,$V119,MolVol,C$114,C$115,H$114,H$115,VoF))</f>
        <v/>
      </c>
      <c r="I119" s="195" t="str">
        <f>IF(C119="","",Conc1V(C119:D119,L$112,$V119,MolVol,C$114,C$115,H$114,H$115,VoF,ReportVOC,MWC,$W119))</f>
        <v/>
      </c>
      <c r="J119" s="195" t="str">
        <f t="shared" si="29"/>
        <v/>
      </c>
      <c r="K119" s="213" t="str">
        <f t="shared" si="30"/>
        <v/>
      </c>
      <c r="L119" s="212" t="str">
        <f>IF(F119="","",Conc1(F119:G119,O$112,$V119,MolVol,F$114,F$115,L$114,L$115,VoF))</f>
        <v/>
      </c>
      <c r="M119" s="195" t="str">
        <f>IF(F119="","",Conc1V(F119:G119,O$112,$V119,MolVol,F$114,F$115,L$114,L$115,VoF,ReportVOC,MWC,$W119))</f>
        <v/>
      </c>
      <c r="N119" s="195" t="str">
        <f t="shared" si="31"/>
        <v/>
      </c>
      <c r="O119" s="196" t="str">
        <f t="shared" si="32"/>
        <v/>
      </c>
      <c r="P119" s="14"/>
      <c r="Q119" s="468" t="str">
        <f t="shared" si="38"/>
        <v/>
      </c>
      <c r="R119" s="212" t="str">
        <f t="shared" si="33"/>
        <v/>
      </c>
      <c r="S119" s="195" t="str">
        <f t="shared" si="34"/>
        <v/>
      </c>
      <c r="T119" s="196" t="str">
        <f t="shared" si="35"/>
        <v/>
      </c>
      <c r="V119" s="573" t="str">
        <f t="shared" si="36"/>
        <v/>
      </c>
      <c r="W119" s="573" t="str">
        <f t="shared" si="37"/>
        <v/>
      </c>
    </row>
    <row r="120" spans="1:23" ht="10.5" customHeight="1">
      <c r="A120" s="360"/>
      <c r="B120" s="194"/>
      <c r="C120" s="205"/>
      <c r="D120" s="193"/>
      <c r="E120" s="194"/>
      <c r="F120" s="205"/>
      <c r="G120" s="193"/>
      <c r="H120" s="212" t="str">
        <f>IF(C120="","",Conc1(C120:D120,L$112,$V120,MolVol,C$114,C$115,H$114,H$115,VoF))</f>
        <v/>
      </c>
      <c r="I120" s="195" t="str">
        <f>IF(C120="","",Conc1V(C120:D120,L$112,$V120,MolVol,C$114,C$115,H$114,H$115,VoF,ReportVOC,MWC,$W120))</f>
        <v/>
      </c>
      <c r="J120" s="195" t="str">
        <f t="shared" si="29"/>
        <v/>
      </c>
      <c r="K120" s="213" t="str">
        <f t="shared" si="30"/>
        <v/>
      </c>
      <c r="L120" s="212" t="str">
        <f>IF(F120="","",Conc1(F120:G120,O$112,$V120,MolVol,F$114,F$115,L$114,L$115,VoF))</f>
        <v/>
      </c>
      <c r="M120" s="195" t="str">
        <f>IF(F120="","",Conc1V(F120:G120,O$112,$V120,MolVol,F$114,F$115,L$114,L$115,VoF,ReportVOC,MWC,$W120))</f>
        <v/>
      </c>
      <c r="N120" s="195" t="str">
        <f t="shared" si="31"/>
        <v/>
      </c>
      <c r="O120" s="196" t="str">
        <f t="shared" si="32"/>
        <v/>
      </c>
      <c r="P120" s="14"/>
      <c r="Q120" s="468" t="str">
        <f t="shared" si="38"/>
        <v/>
      </c>
      <c r="R120" s="212" t="str">
        <f t="shared" si="33"/>
        <v/>
      </c>
      <c r="S120" s="195" t="str">
        <f t="shared" si="34"/>
        <v/>
      </c>
      <c r="T120" s="196" t="str">
        <f t="shared" si="35"/>
        <v/>
      </c>
      <c r="V120" s="573" t="str">
        <f t="shared" si="36"/>
        <v/>
      </c>
      <c r="W120" s="573" t="str">
        <f t="shared" si="37"/>
        <v/>
      </c>
    </row>
    <row r="121" spans="1:23" ht="10.5" customHeight="1">
      <c r="A121" s="360"/>
      <c r="B121" s="194"/>
      <c r="C121" s="205"/>
      <c r="D121" s="193"/>
      <c r="E121" s="194"/>
      <c r="F121" s="205"/>
      <c r="G121" s="193"/>
      <c r="H121" s="212" t="str">
        <f>IF(C121="","",Conc1(C121:D121,L$112,$V121,MolVol,C$114,C$115,H$114,H$115,VoF))</f>
        <v/>
      </c>
      <c r="I121" s="195" t="str">
        <f>IF(C121="","",Conc1V(C121:D121,L$112,$V121,MolVol,C$114,C$115,H$114,H$115,VoF,ReportVOC,MWC,$W121))</f>
        <v/>
      </c>
      <c r="J121" s="195" t="str">
        <f t="shared" si="29"/>
        <v/>
      </c>
      <c r="K121" s="213" t="str">
        <f t="shared" si="30"/>
        <v/>
      </c>
      <c r="L121" s="212" t="str">
        <f>IF(F121="","",Conc1(F121:G121,O$112,$V121,MolVol,F$114,F$115,L$114,L$115,VoF))</f>
        <v/>
      </c>
      <c r="M121" s="195" t="str">
        <f>IF(F121="","",Conc1V(F121:G121,O$112,$V121,MolVol,F$114,F$115,L$114,L$115,VoF,ReportVOC,MWC,$W121))</f>
        <v/>
      </c>
      <c r="N121" s="195" t="str">
        <f t="shared" si="31"/>
        <v/>
      </c>
      <c r="O121" s="196" t="str">
        <f t="shared" si="32"/>
        <v/>
      </c>
      <c r="P121" s="14"/>
      <c r="Q121" s="468" t="str">
        <f t="shared" si="38"/>
        <v/>
      </c>
      <c r="R121" s="212" t="str">
        <f t="shared" si="33"/>
        <v/>
      </c>
      <c r="S121" s="195" t="str">
        <f t="shared" si="34"/>
        <v/>
      </c>
      <c r="T121" s="196" t="str">
        <f t="shared" si="35"/>
        <v/>
      </c>
      <c r="V121" s="573" t="str">
        <f t="shared" si="36"/>
        <v/>
      </c>
      <c r="W121" s="573" t="str">
        <f t="shared" si="37"/>
        <v/>
      </c>
    </row>
    <row r="122" spans="1:23" ht="10.5" customHeight="1">
      <c r="A122" s="360"/>
      <c r="B122" s="194"/>
      <c r="C122" s="205"/>
      <c r="D122" s="193"/>
      <c r="E122" s="194"/>
      <c r="F122" s="205"/>
      <c r="G122" s="193"/>
      <c r="H122" s="212" t="str">
        <f>IF(C122="","",Conc1(C122:D122,L$112,$V122,MolVol,C$114,C$115,H$114,H$115,VoF))</f>
        <v/>
      </c>
      <c r="I122" s="195" t="str">
        <f>IF(C122="","",Conc1V(C122:D122,L$112,$V122,MolVol,C$114,C$115,H$114,H$115,VoF,ReportVOC,MWC,$W122))</f>
        <v/>
      </c>
      <c r="J122" s="195" t="str">
        <f t="shared" si="29"/>
        <v/>
      </c>
      <c r="K122" s="213" t="str">
        <f t="shared" si="30"/>
        <v/>
      </c>
      <c r="L122" s="212" t="str">
        <f>IF(F122="","",Conc1(F122:G122,O$112,$V122,MolVol,F$114,F$115,L$114,L$115,VoF))</f>
        <v/>
      </c>
      <c r="M122" s="195" t="str">
        <f>IF(F122="","",Conc1V(F122:G122,O$112,$V122,MolVol,F$114,F$115,L$114,L$115,VoF,ReportVOC,MWC,$W122))</f>
        <v/>
      </c>
      <c r="N122" s="195" t="str">
        <f t="shared" si="31"/>
        <v/>
      </c>
      <c r="O122" s="196" t="str">
        <f t="shared" si="32"/>
        <v/>
      </c>
      <c r="P122" s="14"/>
      <c r="Q122" s="468" t="str">
        <f t="shared" si="38"/>
        <v/>
      </c>
      <c r="R122" s="212" t="str">
        <f t="shared" si="33"/>
        <v/>
      </c>
      <c r="S122" s="195" t="str">
        <f t="shared" si="34"/>
        <v/>
      </c>
      <c r="T122" s="196" t="str">
        <f t="shared" si="35"/>
        <v/>
      </c>
      <c r="V122" s="573" t="str">
        <f t="shared" si="36"/>
        <v/>
      </c>
      <c r="W122" s="573" t="str">
        <f t="shared" si="37"/>
        <v/>
      </c>
    </row>
    <row r="123" spans="1:23" ht="10.5" customHeight="1">
      <c r="A123" s="360"/>
      <c r="B123" s="194"/>
      <c r="C123" s="205"/>
      <c r="D123" s="193"/>
      <c r="E123" s="194"/>
      <c r="F123" s="205"/>
      <c r="G123" s="193"/>
      <c r="H123" s="212" t="str">
        <f>IF(C123="","",Conc1(C123:D123,L$112,$V123,MolVol,C$114,C$115,H$114,H$115,VoF))</f>
        <v/>
      </c>
      <c r="I123" s="195" t="str">
        <f>IF(C123="","",Conc1V(C123:D123,L$112,$V123,MolVol,C$114,C$115,H$114,H$115,VoF,ReportVOC,MWC,$W123))</f>
        <v/>
      </c>
      <c r="J123" s="195" t="str">
        <f t="shared" si="29"/>
        <v/>
      </c>
      <c r="K123" s="213" t="str">
        <f t="shared" si="30"/>
        <v/>
      </c>
      <c r="L123" s="212" t="str">
        <f>IF(F123="","",Conc1(F123:G123,O$112,$V123,MolVol,F$114,F$115,L$114,L$115,VoF))</f>
        <v/>
      </c>
      <c r="M123" s="195" t="str">
        <f>IF(F123="","",Conc1V(F123:G123,O$112,$V123,MolVol,F$114,F$115,L$114,L$115,VoF,ReportVOC,MWC,$W123))</f>
        <v/>
      </c>
      <c r="N123" s="195" t="str">
        <f t="shared" si="31"/>
        <v/>
      </c>
      <c r="O123" s="196" t="str">
        <f t="shared" si="32"/>
        <v/>
      </c>
      <c r="P123" s="14"/>
      <c r="Q123" s="468" t="str">
        <f t="shared" si="38"/>
        <v/>
      </c>
      <c r="R123" s="212" t="str">
        <f t="shared" si="33"/>
        <v/>
      </c>
      <c r="S123" s="195" t="str">
        <f t="shared" si="34"/>
        <v/>
      </c>
      <c r="T123" s="196" t="str">
        <f t="shared" si="35"/>
        <v/>
      </c>
      <c r="V123" s="573" t="str">
        <f t="shared" si="36"/>
        <v/>
      </c>
      <c r="W123" s="573" t="str">
        <f t="shared" si="37"/>
        <v/>
      </c>
    </row>
    <row r="124" spans="1:23" ht="10.5" customHeight="1">
      <c r="A124" s="360"/>
      <c r="B124" s="194"/>
      <c r="C124" s="205"/>
      <c r="D124" s="193"/>
      <c r="E124" s="194"/>
      <c r="F124" s="205"/>
      <c r="G124" s="193"/>
      <c r="H124" s="212" t="str">
        <f>IF(C124="","",Conc1(C124:D124,L$112,$V124,MolVol,C$114,C$115,H$114,H$115,VoF))</f>
        <v/>
      </c>
      <c r="I124" s="195" t="str">
        <f>IF(C124="","",Conc1V(C124:D124,L$112,$V124,MolVol,C$114,C$115,H$114,H$115,VoF,ReportVOC,MWC,$W124))</f>
        <v/>
      </c>
      <c r="J124" s="195" t="str">
        <f t="shared" si="29"/>
        <v/>
      </c>
      <c r="K124" s="213" t="str">
        <f t="shared" si="30"/>
        <v/>
      </c>
      <c r="L124" s="212" t="str">
        <f>IF(F124="","",Conc1(F124:G124,O$112,$V124,MolVol,F$114,F$115,L$114,L$115,VoF))</f>
        <v/>
      </c>
      <c r="M124" s="195" t="str">
        <f>IF(F124="","",Conc1V(F124:G124,O$112,$V124,MolVol,F$114,F$115,L$114,L$115,VoF,ReportVOC,MWC,$W124))</f>
        <v/>
      </c>
      <c r="N124" s="195" t="str">
        <f t="shared" si="31"/>
        <v/>
      </c>
      <c r="O124" s="196" t="str">
        <f t="shared" si="32"/>
        <v/>
      </c>
      <c r="P124" s="14"/>
      <c r="Q124" s="468" t="str">
        <f t="shared" si="38"/>
        <v/>
      </c>
      <c r="R124" s="212" t="str">
        <f t="shared" si="33"/>
        <v/>
      </c>
      <c r="S124" s="195" t="str">
        <f t="shared" si="34"/>
        <v/>
      </c>
      <c r="T124" s="196" t="str">
        <f t="shared" si="35"/>
        <v/>
      </c>
      <c r="V124" s="573" t="str">
        <f t="shared" si="36"/>
        <v/>
      </c>
      <c r="W124" s="573" t="str">
        <f t="shared" si="37"/>
        <v/>
      </c>
    </row>
    <row r="125" spans="1:23" ht="10.5" customHeight="1">
      <c r="A125" s="360"/>
      <c r="B125" s="194"/>
      <c r="C125" s="205"/>
      <c r="D125" s="193"/>
      <c r="E125" s="194"/>
      <c r="F125" s="205"/>
      <c r="G125" s="193"/>
      <c r="H125" s="212" t="str">
        <f>IF(C125="","",Conc1(C125:D125,L$112,$V125,MolVol,C$114,C$115,H$114,H$115,VoF))</f>
        <v/>
      </c>
      <c r="I125" s="195" t="str">
        <f>IF(C125="","",Conc1V(C125:D125,L$112,$V125,MolVol,C$114,C$115,H$114,H$115,VoF,ReportVOC,MWC,$W125))</f>
        <v/>
      </c>
      <c r="J125" s="195" t="str">
        <f t="shared" si="29"/>
        <v/>
      </c>
      <c r="K125" s="213" t="str">
        <f t="shared" si="30"/>
        <v/>
      </c>
      <c r="L125" s="212" t="str">
        <f>IF(F125="","",Conc1(F125:G125,O$112,$V125,MolVol,F$114,F$115,L$114,L$115,VoF))</f>
        <v/>
      </c>
      <c r="M125" s="195" t="str">
        <f>IF(F125="","",Conc1V(F125:G125,O$112,$V125,MolVol,F$114,F$115,L$114,L$115,VoF,ReportVOC,MWC,$W125))</f>
        <v/>
      </c>
      <c r="N125" s="195" t="str">
        <f t="shared" si="31"/>
        <v/>
      </c>
      <c r="O125" s="196" t="str">
        <f t="shared" si="32"/>
        <v/>
      </c>
      <c r="P125" s="14"/>
      <c r="Q125" s="468" t="str">
        <f t="shared" si="38"/>
        <v/>
      </c>
      <c r="R125" s="212" t="str">
        <f t="shared" si="33"/>
        <v/>
      </c>
      <c r="S125" s="195" t="str">
        <f t="shared" si="34"/>
        <v/>
      </c>
      <c r="T125" s="196" t="str">
        <f t="shared" si="35"/>
        <v/>
      </c>
      <c r="V125" s="573" t="str">
        <f t="shared" si="36"/>
        <v/>
      </c>
      <c r="W125" s="573" t="str">
        <f t="shared" si="37"/>
        <v/>
      </c>
    </row>
    <row r="126" spans="1:23" ht="10.5" customHeight="1">
      <c r="A126" s="360"/>
      <c r="B126" s="194"/>
      <c r="C126" s="205"/>
      <c r="D126" s="193"/>
      <c r="E126" s="194"/>
      <c r="F126" s="205"/>
      <c r="G126" s="193"/>
      <c r="H126" s="212" t="str">
        <f>IF(C126="","",Conc1(C126:D126,L$112,$V126,MolVol,C$114,C$115,H$114,H$115,VoF))</f>
        <v/>
      </c>
      <c r="I126" s="195" t="str">
        <f>IF(C126="","",Conc1V(C126:D126,L$112,$V126,MolVol,C$114,C$115,H$114,H$115,VoF,ReportVOC,MWC,$W126))</f>
        <v/>
      </c>
      <c r="J126" s="195" t="str">
        <f t="shared" si="29"/>
        <v/>
      </c>
      <c r="K126" s="213" t="str">
        <f t="shared" si="30"/>
        <v/>
      </c>
      <c r="L126" s="212" t="str">
        <f>IF(F126="","",Conc1(F126:G126,O$112,$V126,MolVol,F$114,F$115,L$114,L$115,VoF))</f>
        <v/>
      </c>
      <c r="M126" s="195" t="str">
        <f>IF(F126="","",Conc1V(F126:G126,O$112,$V126,MolVol,F$114,F$115,L$114,L$115,VoF,ReportVOC,MWC,$W126))</f>
        <v/>
      </c>
      <c r="N126" s="195" t="str">
        <f t="shared" si="31"/>
        <v/>
      </c>
      <c r="O126" s="196" t="str">
        <f t="shared" si="32"/>
        <v/>
      </c>
      <c r="P126" s="14"/>
      <c r="Q126" s="468" t="str">
        <f t="shared" si="38"/>
        <v/>
      </c>
      <c r="R126" s="212" t="str">
        <f t="shared" si="33"/>
        <v/>
      </c>
      <c r="S126" s="195" t="str">
        <f t="shared" si="34"/>
        <v/>
      </c>
      <c r="T126" s="196" t="str">
        <f t="shared" si="35"/>
        <v/>
      </c>
      <c r="V126" s="573" t="str">
        <f t="shared" si="36"/>
        <v/>
      </c>
      <c r="W126" s="573" t="str">
        <f t="shared" si="37"/>
        <v/>
      </c>
    </row>
    <row r="127" spans="1:23" ht="10.5" customHeight="1">
      <c r="A127" s="360"/>
      <c r="B127" s="194"/>
      <c r="C127" s="205"/>
      <c r="D127" s="193"/>
      <c r="E127" s="194"/>
      <c r="F127" s="205"/>
      <c r="G127" s="193"/>
      <c r="H127" s="212" t="str">
        <f>IF(C127="","",Conc1(C127:D127,L$112,$V127,MolVol,C$114,C$115,H$114,H$115,VoF))</f>
        <v/>
      </c>
      <c r="I127" s="195" t="str">
        <f>IF(C127="","",Conc1V(C127:D127,L$112,$V127,MolVol,C$114,C$115,H$114,H$115,VoF,ReportVOC,MWC,$W127))</f>
        <v/>
      </c>
      <c r="J127" s="195" t="str">
        <f t="shared" si="29"/>
        <v/>
      </c>
      <c r="K127" s="213" t="str">
        <f t="shared" si="30"/>
        <v/>
      </c>
      <c r="L127" s="212" t="str">
        <f>IF(F127="","",Conc1(F127:G127,O$112,$V127,MolVol,F$114,F$115,L$114,L$115,VoF))</f>
        <v/>
      </c>
      <c r="M127" s="195" t="str">
        <f>IF(F127="","",Conc1V(F127:G127,O$112,$V127,MolVol,F$114,F$115,L$114,L$115,VoF,ReportVOC,MWC,$W127))</f>
        <v/>
      </c>
      <c r="N127" s="195" t="str">
        <f t="shared" si="31"/>
        <v/>
      </c>
      <c r="O127" s="196" t="str">
        <f t="shared" si="32"/>
        <v/>
      </c>
      <c r="P127" s="14"/>
      <c r="Q127" s="468" t="str">
        <f t="shared" si="38"/>
        <v/>
      </c>
      <c r="R127" s="212" t="str">
        <f t="shared" si="33"/>
        <v/>
      </c>
      <c r="S127" s="195" t="str">
        <f t="shared" si="34"/>
        <v/>
      </c>
      <c r="T127" s="196" t="str">
        <f t="shared" si="35"/>
        <v/>
      </c>
      <c r="V127" s="573" t="str">
        <f t="shared" si="36"/>
        <v/>
      </c>
      <c r="W127" s="573" t="str">
        <f t="shared" si="37"/>
        <v/>
      </c>
    </row>
    <row r="128" spans="1:23" ht="10.5" customHeight="1">
      <c r="A128" s="360"/>
      <c r="B128" s="194"/>
      <c r="C128" s="205"/>
      <c r="D128" s="193"/>
      <c r="E128" s="194"/>
      <c r="F128" s="205"/>
      <c r="G128" s="193"/>
      <c r="H128" s="212" t="str">
        <f>IF(C128="","",Conc1(C128:D128,L$112,$V128,MolVol,C$114,C$115,H$114,H$115,VoF))</f>
        <v/>
      </c>
      <c r="I128" s="195" t="str">
        <f>IF(C128="","",Conc1V(C128:D128,L$112,$V128,MolVol,C$114,C$115,H$114,H$115,VoF,ReportVOC,MWC,$W128))</f>
        <v/>
      </c>
      <c r="J128" s="195" t="str">
        <f t="shared" si="29"/>
        <v/>
      </c>
      <c r="K128" s="213" t="str">
        <f t="shared" si="30"/>
        <v/>
      </c>
      <c r="L128" s="212" t="str">
        <f>IF(F128="","",Conc1(F128:G128,O$112,$V128,MolVol,F$114,F$115,L$114,L$115,VoF))</f>
        <v/>
      </c>
      <c r="M128" s="195" t="str">
        <f>IF(F128="","",Conc1V(F128:G128,O$112,$V128,MolVol,F$114,F$115,L$114,L$115,VoF,ReportVOC,MWC,$W128))</f>
        <v/>
      </c>
      <c r="N128" s="195" t="str">
        <f t="shared" si="31"/>
        <v/>
      </c>
      <c r="O128" s="196" t="str">
        <f t="shared" si="32"/>
        <v/>
      </c>
      <c r="P128" s="14"/>
      <c r="Q128" s="468" t="str">
        <f t="shared" si="38"/>
        <v/>
      </c>
      <c r="R128" s="212" t="str">
        <f t="shared" si="33"/>
        <v/>
      </c>
      <c r="S128" s="195" t="str">
        <f t="shared" si="34"/>
        <v/>
      </c>
      <c r="T128" s="196" t="str">
        <f t="shared" si="35"/>
        <v/>
      </c>
      <c r="V128" s="573" t="str">
        <f t="shared" si="36"/>
        <v/>
      </c>
      <c r="W128" s="573" t="str">
        <f t="shared" si="37"/>
        <v/>
      </c>
    </row>
    <row r="129" spans="1:23" ht="10.5" customHeight="1">
      <c r="A129" s="360"/>
      <c r="B129" s="194"/>
      <c r="C129" s="205"/>
      <c r="D129" s="193"/>
      <c r="E129" s="194"/>
      <c r="F129" s="205"/>
      <c r="G129" s="193"/>
      <c r="H129" s="212" t="str">
        <f>IF(C129="","",Conc1(C129:D129,L$112,$V129,MolVol,C$114,C$115,H$114,H$115,VoF))</f>
        <v/>
      </c>
      <c r="I129" s="195" t="str">
        <f>IF(C129="","",Conc1V(C129:D129,L$112,$V129,MolVol,C$114,C$115,H$114,H$115,VoF,ReportVOC,MWC,$W129))</f>
        <v/>
      </c>
      <c r="J129" s="195" t="str">
        <f t="shared" si="29"/>
        <v/>
      </c>
      <c r="K129" s="213" t="str">
        <f t="shared" si="30"/>
        <v/>
      </c>
      <c r="L129" s="212" t="str">
        <f>IF(F129="","",Conc1(F129:G129,O$112,$V129,MolVol,F$114,F$115,L$114,L$115,VoF))</f>
        <v/>
      </c>
      <c r="M129" s="195" t="str">
        <f>IF(F129="","",Conc1V(F129:G129,O$112,$V129,MolVol,F$114,F$115,L$114,L$115,VoF,ReportVOC,MWC,$W129))</f>
        <v/>
      </c>
      <c r="N129" s="195" t="str">
        <f t="shared" si="31"/>
        <v/>
      </c>
      <c r="O129" s="196" t="str">
        <f t="shared" si="32"/>
        <v/>
      </c>
      <c r="P129" s="14"/>
      <c r="Q129" s="468" t="str">
        <f t="shared" si="38"/>
        <v/>
      </c>
      <c r="R129" s="212" t="str">
        <f t="shared" si="33"/>
        <v/>
      </c>
      <c r="S129" s="195" t="str">
        <f t="shared" si="34"/>
        <v/>
      </c>
      <c r="T129" s="196" t="str">
        <f t="shared" si="35"/>
        <v/>
      </c>
      <c r="V129" s="573" t="str">
        <f t="shared" si="36"/>
        <v/>
      </c>
      <c r="W129" s="573" t="str">
        <f t="shared" si="37"/>
        <v/>
      </c>
    </row>
    <row r="130" spans="1:23" ht="10.5" customHeight="1">
      <c r="A130" s="360"/>
      <c r="B130" s="194"/>
      <c r="C130" s="205"/>
      <c r="D130" s="193"/>
      <c r="E130" s="194"/>
      <c r="F130" s="205"/>
      <c r="G130" s="193"/>
      <c r="H130" s="212" t="str">
        <f>IF(C130="","",Conc1(C130:D130,L$112,$V130,MolVol,C$114,C$115,H$114,H$115,VoF))</f>
        <v/>
      </c>
      <c r="I130" s="195" t="str">
        <f>IF(C130="","",Conc1V(C130:D130,L$112,$V130,MolVol,C$114,C$115,H$114,H$115,VoF,ReportVOC,MWC,$W130))</f>
        <v/>
      </c>
      <c r="J130" s="195" t="str">
        <f t="shared" si="29"/>
        <v/>
      </c>
      <c r="K130" s="213" t="str">
        <f t="shared" si="30"/>
        <v/>
      </c>
      <c r="L130" s="212" t="str">
        <f>IF(F130="","",Conc1(F130:G130,O$112,$V130,MolVol,F$114,F$115,L$114,L$115,VoF))</f>
        <v/>
      </c>
      <c r="M130" s="195" t="str">
        <f>IF(F130="","",Conc1V(F130:G130,O$112,$V130,MolVol,F$114,F$115,L$114,L$115,VoF,ReportVOC,MWC,$W130))</f>
        <v/>
      </c>
      <c r="N130" s="195" t="str">
        <f t="shared" si="31"/>
        <v/>
      </c>
      <c r="O130" s="196" t="str">
        <f t="shared" si="32"/>
        <v/>
      </c>
      <c r="P130" s="14"/>
      <c r="Q130" s="468" t="str">
        <f t="shared" si="38"/>
        <v/>
      </c>
      <c r="R130" s="212" t="str">
        <f t="shared" si="33"/>
        <v/>
      </c>
      <c r="S130" s="195" t="str">
        <f t="shared" si="34"/>
        <v/>
      </c>
      <c r="T130" s="196" t="str">
        <f t="shared" si="35"/>
        <v/>
      </c>
      <c r="V130" s="573" t="str">
        <f t="shared" si="36"/>
        <v/>
      </c>
      <c r="W130" s="573" t="str">
        <f t="shared" si="37"/>
        <v/>
      </c>
    </row>
    <row r="131" spans="1:23" ht="10.5" customHeight="1">
      <c r="A131" s="361"/>
      <c r="B131" s="194"/>
      <c r="C131" s="205"/>
      <c r="D131" s="193"/>
      <c r="E131" s="194"/>
      <c r="F131" s="205"/>
      <c r="G131" s="193"/>
      <c r="H131" s="212" t="str">
        <f>IF(C131="","",Conc1(C131:D131,L$112,$V131,MolVol,C$114,C$115,H$114,H$115,VoF))</f>
        <v/>
      </c>
      <c r="I131" s="195" t="str">
        <f>IF(C131="","",Conc1V(C131:D131,L$112,$V131,MolVol,C$114,C$115,H$114,H$115,VoF,ReportVOC,MWC,$W131))</f>
        <v/>
      </c>
      <c r="J131" s="195" t="str">
        <f t="shared" si="29"/>
        <v/>
      </c>
      <c r="K131" s="213" t="str">
        <f t="shared" si="30"/>
        <v/>
      </c>
      <c r="L131" s="212" t="str">
        <f>IF(F131="","",Conc1(F131:G131,O$112,$V131,MolVol,F$114,F$115,L$114,L$115,VoF))</f>
        <v/>
      </c>
      <c r="M131" s="195" t="str">
        <f>IF(F131="","",Conc1V(F131:G131,O$112,$V131,MolVol,F$114,F$115,L$114,L$115,VoF,ReportVOC,MWC,$W131))</f>
        <v/>
      </c>
      <c r="N131" s="195" t="str">
        <f t="shared" si="31"/>
        <v/>
      </c>
      <c r="O131" s="196" t="str">
        <f t="shared" si="32"/>
        <v/>
      </c>
      <c r="P131" s="14"/>
      <c r="Q131" s="468" t="str">
        <f t="shared" si="38"/>
        <v/>
      </c>
      <c r="R131" s="212" t="str">
        <f t="shared" si="33"/>
        <v/>
      </c>
      <c r="S131" s="195" t="str">
        <f t="shared" si="34"/>
        <v/>
      </c>
      <c r="T131" s="196" t="str">
        <f t="shared" si="35"/>
        <v/>
      </c>
      <c r="V131" s="573" t="str">
        <f t="shared" si="36"/>
        <v/>
      </c>
      <c r="W131" s="573" t="str">
        <f t="shared" si="37"/>
        <v/>
      </c>
    </row>
    <row r="132" spans="1:23" ht="10.5" customHeight="1">
      <c r="A132" s="361"/>
      <c r="B132" s="194"/>
      <c r="C132" s="205"/>
      <c r="D132" s="193"/>
      <c r="E132" s="194"/>
      <c r="F132" s="205"/>
      <c r="G132" s="193"/>
      <c r="H132" s="212" t="str">
        <f>IF(C132="","",Conc1(C132:D132,L$112,$V132,MolVol,C$114,C$115,H$114,H$115,VoF))</f>
        <v/>
      </c>
      <c r="I132" s="195" t="str">
        <f>IF(C132="","",Conc1V(C132:D132,L$112,$V132,MolVol,C$114,C$115,H$114,H$115,VoF,ReportVOC,MWC,$W132))</f>
        <v/>
      </c>
      <c r="J132" s="195" t="str">
        <f t="shared" si="29"/>
        <v/>
      </c>
      <c r="K132" s="213" t="str">
        <f t="shared" si="30"/>
        <v/>
      </c>
      <c r="L132" s="212" t="str">
        <f>IF(F132="","",Conc1(F132:G132,O$112,$V132,MolVol,F$114,F$115,L$114,L$115,VoF))</f>
        <v/>
      </c>
      <c r="M132" s="195" t="str">
        <f>IF(F132="","",Conc1V(F132:G132,O$112,$V132,MolVol,F$114,F$115,L$114,L$115,VoF,ReportVOC,MWC,$W132))</f>
        <v/>
      </c>
      <c r="N132" s="195" t="str">
        <f t="shared" si="31"/>
        <v/>
      </c>
      <c r="O132" s="196" t="str">
        <f t="shared" si="32"/>
        <v/>
      </c>
      <c r="P132" s="14"/>
      <c r="Q132" s="468" t="str">
        <f t="shared" si="38"/>
        <v/>
      </c>
      <c r="R132" s="212" t="str">
        <f t="shared" si="33"/>
        <v/>
      </c>
      <c r="S132" s="195" t="str">
        <f t="shared" si="34"/>
        <v/>
      </c>
      <c r="T132" s="196" t="str">
        <f t="shared" si="35"/>
        <v/>
      </c>
      <c r="V132" s="573" t="str">
        <f t="shared" si="36"/>
        <v/>
      </c>
      <c r="W132" s="573" t="str">
        <f t="shared" si="37"/>
        <v/>
      </c>
    </row>
    <row r="133" spans="1:23" ht="10.5" customHeight="1">
      <c r="A133" s="361"/>
      <c r="B133" s="194"/>
      <c r="C133" s="205"/>
      <c r="D133" s="193"/>
      <c r="E133" s="194"/>
      <c r="F133" s="205"/>
      <c r="G133" s="193"/>
      <c r="H133" s="212" t="str">
        <f>IF(C133="","",Conc1(C133:D133,L$112,$V133,MolVol,C$114,C$115,H$114,H$115,VoF))</f>
        <v/>
      </c>
      <c r="I133" s="195" t="str">
        <f>IF(C133="","",Conc1V(C133:D133,L$112,$V133,MolVol,C$114,C$115,H$114,H$115,VoF,ReportVOC,MWC,$W133))</f>
        <v/>
      </c>
      <c r="J133" s="195" t="str">
        <f t="shared" si="29"/>
        <v/>
      </c>
      <c r="K133" s="213" t="str">
        <f t="shared" si="30"/>
        <v/>
      </c>
      <c r="L133" s="212" t="str">
        <f>IF(F133="","",Conc1(F133:G133,O$112,$V133,MolVol,F$114,F$115,L$114,L$115,VoF))</f>
        <v/>
      </c>
      <c r="M133" s="195" t="str">
        <f>IF(F133="","",Conc1V(F133:G133,O$112,$V133,MolVol,F$114,F$115,L$114,L$115,VoF,ReportVOC,MWC,$W133))</f>
        <v/>
      </c>
      <c r="N133" s="195" t="str">
        <f t="shared" si="31"/>
        <v/>
      </c>
      <c r="O133" s="196" t="str">
        <f t="shared" si="32"/>
        <v/>
      </c>
      <c r="P133" s="14"/>
      <c r="Q133" s="468" t="str">
        <f t="shared" si="38"/>
        <v/>
      </c>
      <c r="R133" s="212" t="str">
        <f t="shared" si="33"/>
        <v/>
      </c>
      <c r="S133" s="195" t="str">
        <f t="shared" si="34"/>
        <v/>
      </c>
      <c r="T133" s="196" t="str">
        <f t="shared" si="35"/>
        <v/>
      </c>
      <c r="V133" s="573" t="str">
        <f t="shared" si="36"/>
        <v/>
      </c>
      <c r="W133" s="573" t="str">
        <f t="shared" si="37"/>
        <v/>
      </c>
    </row>
    <row r="134" spans="1:23" ht="10.5" customHeight="1">
      <c r="A134" s="361"/>
      <c r="B134" s="194"/>
      <c r="C134" s="205"/>
      <c r="D134" s="193"/>
      <c r="E134" s="194"/>
      <c r="F134" s="205"/>
      <c r="G134" s="193"/>
      <c r="H134" s="212" t="str">
        <f>IF(C134="","",Conc1(C134:D134,L$112,$V134,MolVol,C$114,C$115,H$114,H$115,VoF))</f>
        <v/>
      </c>
      <c r="I134" s="195" t="str">
        <f>IF(C134="","",Conc1V(C134:D134,L$112,$V134,MolVol,C$114,C$115,H$114,H$115,VoF,ReportVOC,MWC,$W134))</f>
        <v/>
      </c>
      <c r="J134" s="195" t="str">
        <f t="shared" si="29"/>
        <v/>
      </c>
      <c r="K134" s="213" t="str">
        <f t="shared" si="30"/>
        <v/>
      </c>
      <c r="L134" s="212" t="str">
        <f>IF(F134="","",Conc1(F134:G134,O$112,$V134,MolVol,F$114,F$115,L$114,L$115,VoF))</f>
        <v/>
      </c>
      <c r="M134" s="195" t="str">
        <f>IF(F134="","",Conc1V(F134:G134,O$112,$V134,MolVol,F$114,F$115,L$114,L$115,VoF,ReportVOC,MWC,$W134))</f>
        <v/>
      </c>
      <c r="N134" s="195" t="str">
        <f t="shared" si="31"/>
        <v/>
      </c>
      <c r="O134" s="196" t="str">
        <f t="shared" si="32"/>
        <v/>
      </c>
      <c r="P134" s="14"/>
      <c r="Q134" s="468" t="str">
        <f t="shared" si="38"/>
        <v/>
      </c>
      <c r="R134" s="212" t="str">
        <f t="shared" si="33"/>
        <v/>
      </c>
      <c r="S134" s="195" t="str">
        <f t="shared" si="34"/>
        <v/>
      </c>
      <c r="T134" s="196" t="str">
        <f t="shared" si="35"/>
        <v/>
      </c>
      <c r="V134" s="573" t="str">
        <f t="shared" si="36"/>
        <v/>
      </c>
      <c r="W134" s="573" t="str">
        <f t="shared" si="37"/>
        <v/>
      </c>
    </row>
    <row r="135" spans="1:23" ht="10.5" customHeight="1">
      <c r="A135" s="361"/>
      <c r="B135" s="194"/>
      <c r="C135" s="205"/>
      <c r="D135" s="193"/>
      <c r="E135" s="194"/>
      <c r="F135" s="205"/>
      <c r="G135" s="193"/>
      <c r="H135" s="212" t="str">
        <f>IF(C135="","",Conc1(C135:D135,L$112,$V135,MolVol,C$114,C$115,H$114,H$115,VoF))</f>
        <v/>
      </c>
      <c r="I135" s="195" t="str">
        <f>IF(C135="","",Conc1V(C135:D135,L$112,$V135,MolVol,C$114,C$115,H$114,H$115,VoF,ReportVOC,MWC,$W135))</f>
        <v/>
      </c>
      <c r="J135" s="195" t="str">
        <f t="shared" si="29"/>
        <v/>
      </c>
      <c r="K135" s="213" t="str">
        <f t="shared" si="30"/>
        <v/>
      </c>
      <c r="L135" s="212" t="str">
        <f>IF(F135="","",Conc1(F135:G135,O$112,$V135,MolVol,F$114,F$115,L$114,L$115,VoF))</f>
        <v/>
      </c>
      <c r="M135" s="195" t="str">
        <f>IF(F135="","",Conc1V(F135:G135,O$112,$V135,MolVol,F$114,F$115,L$114,L$115,VoF,ReportVOC,MWC,$W135))</f>
        <v/>
      </c>
      <c r="N135" s="195" t="str">
        <f t="shared" si="31"/>
        <v/>
      </c>
      <c r="O135" s="196" t="str">
        <f t="shared" si="32"/>
        <v/>
      </c>
      <c r="P135" s="14"/>
      <c r="Q135" s="468" t="str">
        <f t="shared" si="38"/>
        <v/>
      </c>
      <c r="R135" s="212" t="str">
        <f t="shared" si="33"/>
        <v/>
      </c>
      <c r="S135" s="195" t="str">
        <f t="shared" si="34"/>
        <v/>
      </c>
      <c r="T135" s="196" t="str">
        <f t="shared" si="35"/>
        <v/>
      </c>
      <c r="V135" s="573" t="str">
        <f t="shared" si="36"/>
        <v/>
      </c>
      <c r="W135" s="573" t="str">
        <f t="shared" si="37"/>
        <v/>
      </c>
    </row>
    <row r="136" spans="1:23" ht="10.5" customHeight="1">
      <c r="A136" s="361"/>
      <c r="B136" s="194"/>
      <c r="C136" s="205"/>
      <c r="D136" s="193"/>
      <c r="E136" s="194"/>
      <c r="F136" s="205"/>
      <c r="G136" s="193"/>
      <c r="H136" s="212" t="str">
        <f>IF(C136="","",Conc1(C136:D136,L$112,$V136,MolVol,C$114,C$115,H$114,H$115,VoF))</f>
        <v/>
      </c>
      <c r="I136" s="195" t="str">
        <f>IF(C136="","",Conc1V(C136:D136,L$112,$V136,MolVol,C$114,C$115,H$114,H$115,VoF,ReportVOC,MWC,$W136))</f>
        <v/>
      </c>
      <c r="J136" s="195" t="str">
        <f t="shared" si="29"/>
        <v/>
      </c>
      <c r="K136" s="213" t="str">
        <f t="shared" si="30"/>
        <v/>
      </c>
      <c r="L136" s="212" t="str">
        <f>IF(F136="","",Conc1(F136:G136,O$112,$V136,MolVol,F$114,F$115,L$114,L$115,VoF))</f>
        <v/>
      </c>
      <c r="M136" s="195" t="str">
        <f>IF(F136="","",Conc1V(F136:G136,O$112,$V136,MolVol,F$114,F$115,L$114,L$115,VoF,ReportVOC,MWC,$W136))</f>
        <v/>
      </c>
      <c r="N136" s="195" t="str">
        <f t="shared" si="31"/>
        <v/>
      </c>
      <c r="O136" s="196" t="str">
        <f t="shared" si="32"/>
        <v/>
      </c>
      <c r="P136" s="14"/>
      <c r="Q136" s="468" t="str">
        <f t="shared" si="38"/>
        <v/>
      </c>
      <c r="R136" s="212" t="str">
        <f t="shared" si="33"/>
        <v/>
      </c>
      <c r="S136" s="195" t="str">
        <f t="shared" si="34"/>
        <v/>
      </c>
      <c r="T136" s="196" t="str">
        <f t="shared" si="35"/>
        <v/>
      </c>
      <c r="V136" s="573" t="str">
        <f t="shared" si="36"/>
        <v/>
      </c>
      <c r="W136" s="573" t="str">
        <f t="shared" si="37"/>
        <v/>
      </c>
    </row>
    <row r="137" spans="1:23" ht="10.5" customHeight="1">
      <c r="A137" s="361"/>
      <c r="B137" s="194"/>
      <c r="C137" s="205"/>
      <c r="D137" s="193"/>
      <c r="E137" s="194"/>
      <c r="F137" s="205"/>
      <c r="G137" s="193"/>
      <c r="H137" s="212" t="str">
        <f>IF(C137="","",Conc1(C137:D137,L$112,$V137,MolVol,C$114,C$115,H$114,H$115,VoF))</f>
        <v/>
      </c>
      <c r="I137" s="195" t="str">
        <f>IF(C137="","",Conc1V(C137:D137,L$112,$V137,MolVol,C$114,C$115,H$114,H$115,VoF,ReportVOC,MWC,$W137))</f>
        <v/>
      </c>
      <c r="J137" s="195" t="str">
        <f t="shared" si="29"/>
        <v/>
      </c>
      <c r="K137" s="213" t="str">
        <f t="shared" si="30"/>
        <v/>
      </c>
      <c r="L137" s="212" t="str">
        <f>IF(F137="","",Conc1(F137:G137,O$112,$V137,MolVol,F$114,F$115,L$114,L$115,VoF))</f>
        <v/>
      </c>
      <c r="M137" s="195" t="str">
        <f>IF(F137="","",Conc1V(F137:G137,O$112,$V137,MolVol,F$114,F$115,L$114,L$115,VoF,ReportVOC,MWC,$W137))</f>
        <v/>
      </c>
      <c r="N137" s="195" t="str">
        <f t="shared" si="31"/>
        <v/>
      </c>
      <c r="O137" s="196" t="str">
        <f t="shared" si="32"/>
        <v/>
      </c>
      <c r="P137" s="14"/>
      <c r="Q137" s="468" t="str">
        <f t="shared" si="38"/>
        <v/>
      </c>
      <c r="R137" s="212" t="str">
        <f t="shared" si="33"/>
        <v/>
      </c>
      <c r="S137" s="195" t="str">
        <f t="shared" si="34"/>
        <v/>
      </c>
      <c r="T137" s="196" t="str">
        <f t="shared" si="35"/>
        <v/>
      </c>
      <c r="V137" s="573" t="str">
        <f t="shared" si="36"/>
        <v/>
      </c>
      <c r="W137" s="573" t="str">
        <f t="shared" si="37"/>
        <v/>
      </c>
    </row>
    <row r="138" spans="1:23" ht="10.5" customHeight="1">
      <c r="A138" s="361"/>
      <c r="B138" s="194"/>
      <c r="C138" s="205"/>
      <c r="D138" s="193"/>
      <c r="E138" s="194"/>
      <c r="F138" s="205"/>
      <c r="G138" s="193"/>
      <c r="H138" s="212" t="str">
        <f>IF(C138="","",Conc1(C138:D138,L$112,$V138,MolVol,C$114,C$115,H$114,H$115,VoF))</f>
        <v/>
      </c>
      <c r="I138" s="195" t="str">
        <f>IF(C138="","",Conc1V(C138:D138,L$112,$V138,MolVol,C$114,C$115,H$114,H$115,VoF,ReportVOC,MWC,$W138))</f>
        <v/>
      </c>
      <c r="J138" s="195" t="str">
        <f t="shared" si="29"/>
        <v/>
      </c>
      <c r="K138" s="213" t="str">
        <f t="shared" si="30"/>
        <v/>
      </c>
      <c r="L138" s="212" t="str">
        <f>IF(F138="","",Conc1(F138:G138,O$112,$V138,MolVol,F$114,F$115,L$114,L$115,VoF))</f>
        <v/>
      </c>
      <c r="M138" s="195" t="str">
        <f>IF(F138="","",Conc1V(F138:G138,O$112,$V138,MolVol,F$114,F$115,L$114,L$115,VoF,ReportVOC,MWC,$W138))</f>
        <v/>
      </c>
      <c r="N138" s="195" t="str">
        <f t="shared" si="31"/>
        <v/>
      </c>
      <c r="O138" s="196" t="str">
        <f t="shared" si="32"/>
        <v/>
      </c>
      <c r="P138" s="14"/>
      <c r="Q138" s="468" t="str">
        <f t="shared" si="38"/>
        <v/>
      </c>
      <c r="R138" s="212" t="str">
        <f t="shared" si="33"/>
        <v/>
      </c>
      <c r="S138" s="195" t="str">
        <f t="shared" si="34"/>
        <v/>
      </c>
      <c r="T138" s="196" t="str">
        <f t="shared" si="35"/>
        <v/>
      </c>
      <c r="V138" s="573" t="str">
        <f t="shared" si="36"/>
        <v/>
      </c>
      <c r="W138" s="573" t="str">
        <f t="shared" si="37"/>
        <v/>
      </c>
    </row>
    <row r="139" spans="1:23" ht="10.5" customHeight="1">
      <c r="A139" s="361"/>
      <c r="B139" s="194"/>
      <c r="C139" s="205"/>
      <c r="D139" s="193"/>
      <c r="E139" s="194"/>
      <c r="F139" s="205"/>
      <c r="G139" s="193"/>
      <c r="H139" s="212" t="str">
        <f>IF(C139="","",Conc1(C139:D139,L$112,$V139,MolVol,C$114,C$115,H$114,H$115,VoF))</f>
        <v/>
      </c>
      <c r="I139" s="195" t="str">
        <f>IF(C139="","",Conc1V(C139:D139,L$112,$V139,MolVol,C$114,C$115,H$114,H$115,VoF,ReportVOC,MWC,$W139))</f>
        <v/>
      </c>
      <c r="J139" s="195" t="str">
        <f t="shared" si="29"/>
        <v/>
      </c>
      <c r="K139" s="213" t="str">
        <f t="shared" si="30"/>
        <v/>
      </c>
      <c r="L139" s="212" t="str">
        <f>IF(F139="","",Conc1(F139:G139,O$112,$V139,MolVol,F$114,F$115,L$114,L$115,VoF))</f>
        <v/>
      </c>
      <c r="M139" s="195" t="str">
        <f>IF(F139="","",Conc1V(F139:G139,O$112,$V139,MolVol,F$114,F$115,L$114,L$115,VoF,ReportVOC,MWC,$W139))</f>
        <v/>
      </c>
      <c r="N139" s="195" t="str">
        <f t="shared" si="31"/>
        <v/>
      </c>
      <c r="O139" s="196" t="str">
        <f t="shared" si="32"/>
        <v/>
      </c>
      <c r="P139" s="14"/>
      <c r="Q139" s="468" t="str">
        <f t="shared" si="38"/>
        <v/>
      </c>
      <c r="R139" s="212" t="str">
        <f t="shared" si="33"/>
        <v/>
      </c>
      <c r="S139" s="195" t="str">
        <f t="shared" si="34"/>
        <v/>
      </c>
      <c r="T139" s="196" t="str">
        <f t="shared" si="35"/>
        <v/>
      </c>
      <c r="V139" s="573" t="str">
        <f t="shared" si="36"/>
        <v/>
      </c>
      <c r="W139" s="573" t="str">
        <f t="shared" si="37"/>
        <v/>
      </c>
    </row>
    <row r="140" spans="1:23" ht="10.5" customHeight="1" outlineLevel="1">
      <c r="A140" s="361"/>
      <c r="B140" s="194"/>
      <c r="C140" s="205"/>
      <c r="D140" s="193"/>
      <c r="E140" s="194"/>
      <c r="F140" s="205"/>
      <c r="G140" s="193"/>
      <c r="H140" s="212" t="str">
        <f>IF(C140="","",Conc1(C140:D140,L$112,$V140,MolVol,C$114,C$115,H$114,H$115,VoF))</f>
        <v/>
      </c>
      <c r="I140" s="195" t="str">
        <f>IF(C140="","",Conc1V(C140:D140,L$112,$V140,MolVol,C$114,C$115,H$114,H$115,VoF,ReportVOC,MWC,$W140))</f>
        <v/>
      </c>
      <c r="J140" s="195" t="str">
        <f t="shared" si="29"/>
        <v/>
      </c>
      <c r="K140" s="213" t="str">
        <f t="shared" si="30"/>
        <v/>
      </c>
      <c r="L140" s="212" t="str">
        <f>IF(F140="","",Conc1(F140:G140,O$112,$V140,MolVol,F$114,F$115,L$114,L$115,VoF))</f>
        <v/>
      </c>
      <c r="M140" s="195" t="str">
        <f>IF(F140="","",Conc1V(F140:G140,O$112,$V140,MolVol,F$114,F$115,L$114,L$115,VoF,ReportVOC,MWC,$W140))</f>
        <v/>
      </c>
      <c r="N140" s="195" t="str">
        <f t="shared" si="31"/>
        <v/>
      </c>
      <c r="O140" s="196" t="str">
        <f t="shared" si="32"/>
        <v/>
      </c>
      <c r="P140" s="14"/>
      <c r="Q140" s="468" t="str">
        <f t="shared" si="38"/>
        <v/>
      </c>
      <c r="R140" s="212" t="str">
        <f t="shared" si="33"/>
        <v/>
      </c>
      <c r="S140" s="195" t="str">
        <f t="shared" si="34"/>
        <v/>
      </c>
      <c r="T140" s="196" t="str">
        <f t="shared" si="35"/>
        <v/>
      </c>
      <c r="V140" s="573" t="str">
        <f t="shared" si="36"/>
        <v/>
      </c>
      <c r="W140" s="573" t="str">
        <f t="shared" si="37"/>
        <v/>
      </c>
    </row>
    <row r="141" spans="1:23" ht="10.5" customHeight="1" outlineLevel="1">
      <c r="A141" s="361"/>
      <c r="B141" s="194"/>
      <c r="C141" s="205"/>
      <c r="D141" s="193"/>
      <c r="E141" s="194"/>
      <c r="F141" s="205"/>
      <c r="G141" s="193"/>
      <c r="H141" s="212" t="str">
        <f>IF(C141="","",Conc1(C141:D141,L$112,$V141,MolVol,C$114,C$115,H$114,H$115,VoF))</f>
        <v/>
      </c>
      <c r="I141" s="195" t="str">
        <f>IF(C141="","",Conc1V(C141:D141,L$112,$V141,MolVol,C$114,C$115,H$114,H$115,VoF,ReportVOC,MWC,$W141))</f>
        <v/>
      </c>
      <c r="J141" s="195" t="str">
        <f t="shared" si="29"/>
        <v/>
      </c>
      <c r="K141" s="213" t="str">
        <f t="shared" si="30"/>
        <v/>
      </c>
      <c r="L141" s="212" t="str">
        <f>IF(F141="","",Conc1(F141:G141,O$112,$V141,MolVol,F$114,F$115,L$114,L$115,VoF))</f>
        <v/>
      </c>
      <c r="M141" s="195" t="str">
        <f>IF(F141="","",Conc1V(F141:G141,O$112,$V141,MolVol,F$114,F$115,L$114,L$115,VoF,ReportVOC,MWC,$W141))</f>
        <v/>
      </c>
      <c r="N141" s="195" t="str">
        <f t="shared" si="31"/>
        <v/>
      </c>
      <c r="O141" s="196" t="str">
        <f t="shared" si="32"/>
        <v/>
      </c>
      <c r="P141" s="14"/>
      <c r="Q141" s="468" t="str">
        <f t="shared" si="38"/>
        <v/>
      </c>
      <c r="R141" s="212" t="str">
        <f t="shared" si="33"/>
        <v/>
      </c>
      <c r="S141" s="195" t="str">
        <f t="shared" si="34"/>
        <v/>
      </c>
      <c r="T141" s="196" t="str">
        <f t="shared" si="35"/>
        <v/>
      </c>
      <c r="V141" s="573" t="str">
        <f t="shared" si="36"/>
        <v/>
      </c>
      <c r="W141" s="573" t="str">
        <f t="shared" si="37"/>
        <v/>
      </c>
    </row>
    <row r="142" spans="1:23" ht="10.5" customHeight="1" outlineLevel="1">
      <c r="A142" s="361"/>
      <c r="B142" s="194"/>
      <c r="C142" s="205"/>
      <c r="D142" s="193"/>
      <c r="E142" s="194"/>
      <c r="F142" s="205"/>
      <c r="G142" s="193"/>
      <c r="H142" s="212" t="str">
        <f>IF(C142="","",Conc1(C142:D142,L$112,$V142,MolVol,C$114,C$115,H$114,H$115,VoF))</f>
        <v/>
      </c>
      <c r="I142" s="195" t="str">
        <f>IF(C142="","",Conc1V(C142:D142,L$112,$V142,MolVol,C$114,C$115,H$114,H$115,VoF,ReportVOC,MWC,$W142))</f>
        <v/>
      </c>
      <c r="J142" s="195" t="str">
        <f t="shared" si="29"/>
        <v/>
      </c>
      <c r="K142" s="213" t="str">
        <f t="shared" si="30"/>
        <v/>
      </c>
      <c r="L142" s="212" t="str">
        <f>IF(F142="","",Conc1(F142:G142,O$112,$V142,MolVol,F$114,F$115,L$114,L$115,VoF))</f>
        <v/>
      </c>
      <c r="M142" s="195" t="str">
        <f>IF(F142="","",Conc1V(F142:G142,O$112,$V142,MolVol,F$114,F$115,L$114,L$115,VoF,ReportVOC,MWC,$W142))</f>
        <v/>
      </c>
      <c r="N142" s="195" t="str">
        <f t="shared" si="31"/>
        <v/>
      </c>
      <c r="O142" s="196" t="str">
        <f t="shared" si="32"/>
        <v/>
      </c>
      <c r="P142" s="14"/>
      <c r="Q142" s="468" t="str">
        <f t="shared" si="38"/>
        <v/>
      </c>
      <c r="R142" s="212" t="str">
        <f t="shared" si="33"/>
        <v/>
      </c>
      <c r="S142" s="195" t="str">
        <f t="shared" si="34"/>
        <v/>
      </c>
      <c r="T142" s="196" t="str">
        <f t="shared" si="35"/>
        <v/>
      </c>
      <c r="V142" s="573" t="str">
        <f t="shared" si="36"/>
        <v/>
      </c>
      <c r="W142" s="573" t="str">
        <f t="shared" si="37"/>
        <v/>
      </c>
    </row>
    <row r="143" spans="1:23" ht="10.5" customHeight="1" outlineLevel="1">
      <c r="A143" s="361"/>
      <c r="B143" s="194"/>
      <c r="C143" s="205"/>
      <c r="D143" s="193"/>
      <c r="E143" s="194"/>
      <c r="F143" s="205"/>
      <c r="G143" s="193"/>
      <c r="H143" s="212" t="str">
        <f>IF(C143="","",Conc1(C143:D143,L$112,$V143,MolVol,C$114,C$115,H$114,H$115,VoF))</f>
        <v/>
      </c>
      <c r="I143" s="195" t="str">
        <f>IF(C143="","",Conc1V(C143:D143,L$112,$V143,MolVol,C$114,C$115,H$114,H$115,VoF,ReportVOC,MWC,$W143))</f>
        <v/>
      </c>
      <c r="J143" s="195" t="str">
        <f t="shared" si="29"/>
        <v/>
      </c>
      <c r="K143" s="213" t="str">
        <f t="shared" si="30"/>
        <v/>
      </c>
      <c r="L143" s="212" t="str">
        <f>IF(F143="","",Conc1(F143:G143,O$112,$V143,MolVol,F$114,F$115,L$114,L$115,VoF))</f>
        <v/>
      </c>
      <c r="M143" s="195" t="str">
        <f>IF(F143="","",Conc1V(F143:G143,O$112,$V143,MolVol,F$114,F$115,L$114,L$115,VoF,ReportVOC,MWC,$W143))</f>
        <v/>
      </c>
      <c r="N143" s="195" t="str">
        <f t="shared" si="31"/>
        <v/>
      </c>
      <c r="O143" s="196" t="str">
        <f t="shared" si="32"/>
        <v/>
      </c>
      <c r="P143" s="14"/>
      <c r="Q143" s="468" t="str">
        <f t="shared" si="38"/>
        <v/>
      </c>
      <c r="R143" s="212" t="str">
        <f t="shared" si="33"/>
        <v/>
      </c>
      <c r="S143" s="195" t="str">
        <f t="shared" si="34"/>
        <v/>
      </c>
      <c r="T143" s="196" t="str">
        <f t="shared" si="35"/>
        <v/>
      </c>
      <c r="V143" s="573" t="str">
        <f t="shared" si="36"/>
        <v/>
      </c>
      <c r="W143" s="573" t="str">
        <f t="shared" si="37"/>
        <v/>
      </c>
    </row>
    <row r="144" spans="1:23" ht="10.5" customHeight="1" outlineLevel="1">
      <c r="A144" s="361"/>
      <c r="B144" s="194"/>
      <c r="C144" s="205"/>
      <c r="D144" s="193"/>
      <c r="E144" s="194"/>
      <c r="F144" s="205"/>
      <c r="G144" s="193"/>
      <c r="H144" s="212" t="str">
        <f>IF(C144="","",Conc1(C144:D144,L$112,$V144,MolVol,C$114,C$115,H$114,H$115,VoF))</f>
        <v/>
      </c>
      <c r="I144" s="195" t="str">
        <f>IF(C144="","",Conc1V(C144:D144,L$112,$V144,MolVol,C$114,C$115,H$114,H$115,VoF,ReportVOC,MWC,$W144))</f>
        <v/>
      </c>
      <c r="J144" s="195" t="str">
        <f t="shared" si="29"/>
        <v/>
      </c>
      <c r="K144" s="213" t="str">
        <f t="shared" si="30"/>
        <v/>
      </c>
      <c r="L144" s="212" t="str">
        <f>IF(F144="","",Conc1(F144:G144,O$112,$V144,MolVol,F$114,F$115,L$114,L$115,VoF))</f>
        <v/>
      </c>
      <c r="M144" s="195" t="str">
        <f>IF(F144="","",Conc1V(F144:G144,O$112,$V144,MolVol,F$114,F$115,L$114,L$115,VoF,ReportVOC,MWC,$W144))</f>
        <v/>
      </c>
      <c r="N144" s="195" t="str">
        <f t="shared" si="31"/>
        <v/>
      </c>
      <c r="O144" s="196" t="str">
        <f t="shared" si="32"/>
        <v/>
      </c>
      <c r="P144" s="14"/>
      <c r="Q144" s="468" t="str">
        <f t="shared" si="38"/>
        <v/>
      </c>
      <c r="R144" s="212" t="str">
        <f t="shared" si="33"/>
        <v/>
      </c>
      <c r="S144" s="195" t="str">
        <f t="shared" si="34"/>
        <v/>
      </c>
      <c r="T144" s="196" t="str">
        <f t="shared" si="35"/>
        <v/>
      </c>
      <c r="V144" s="573" t="str">
        <f t="shared" si="36"/>
        <v/>
      </c>
      <c r="W144" s="573" t="str">
        <f t="shared" si="37"/>
        <v/>
      </c>
    </row>
    <row r="145" spans="1:23" ht="10.5" customHeight="1" outlineLevel="1">
      <c r="A145" s="361"/>
      <c r="B145" s="194"/>
      <c r="C145" s="205"/>
      <c r="D145" s="193"/>
      <c r="E145" s="194"/>
      <c r="F145" s="205"/>
      <c r="G145" s="193"/>
      <c r="H145" s="212" t="str">
        <f>IF(C145="","",Conc1(C145:D145,L$112,$V145,MolVol,C$114,C$115,H$114,H$115,VoF))</f>
        <v/>
      </c>
      <c r="I145" s="195" t="str">
        <f>IF(C145="","",Conc1V(C145:D145,L$112,$V145,MolVol,C$114,C$115,H$114,H$115,VoF,ReportVOC,MWC,$W145))</f>
        <v/>
      </c>
      <c r="J145" s="195" t="str">
        <f t="shared" si="29"/>
        <v/>
      </c>
      <c r="K145" s="213" t="str">
        <f t="shared" si="30"/>
        <v/>
      </c>
      <c r="L145" s="212" t="str">
        <f>IF(F145="","",Conc1(F145:G145,O$112,$V145,MolVol,F$114,F$115,L$114,L$115,VoF))</f>
        <v/>
      </c>
      <c r="M145" s="195" t="str">
        <f>IF(F145="","",Conc1V(F145:G145,O$112,$V145,MolVol,F$114,F$115,L$114,L$115,VoF,ReportVOC,MWC,$W145))</f>
        <v/>
      </c>
      <c r="N145" s="195" t="str">
        <f t="shared" si="31"/>
        <v/>
      </c>
      <c r="O145" s="196" t="str">
        <f t="shared" si="32"/>
        <v/>
      </c>
      <c r="P145" s="14"/>
      <c r="Q145" s="468" t="str">
        <f t="shared" si="38"/>
        <v/>
      </c>
      <c r="R145" s="212" t="str">
        <f t="shared" si="33"/>
        <v/>
      </c>
      <c r="S145" s="195" t="str">
        <f t="shared" si="34"/>
        <v/>
      </c>
      <c r="T145" s="196" t="str">
        <f t="shared" si="35"/>
        <v/>
      </c>
      <c r="V145" s="573" t="str">
        <f t="shared" si="36"/>
        <v/>
      </c>
      <c r="W145" s="573" t="str">
        <f t="shared" si="37"/>
        <v/>
      </c>
    </row>
    <row r="146" spans="1:23" ht="10.5" customHeight="1" outlineLevel="1">
      <c r="A146" s="361"/>
      <c r="B146" s="194"/>
      <c r="C146" s="205"/>
      <c r="D146" s="193"/>
      <c r="E146" s="194"/>
      <c r="F146" s="205"/>
      <c r="G146" s="193"/>
      <c r="H146" s="212" t="str">
        <f>IF(C146="","",Conc1(C146:D146,L$112,$V146,MolVol,C$114,C$115,H$114,H$115,VoF))</f>
        <v/>
      </c>
      <c r="I146" s="195" t="str">
        <f>IF(C146="","",Conc1V(C146:D146,L$112,$V146,MolVol,C$114,C$115,H$114,H$115,VoF,ReportVOC,MWC,$W146))</f>
        <v/>
      </c>
      <c r="J146" s="195" t="str">
        <f t="shared" si="29"/>
        <v/>
      </c>
      <c r="K146" s="213" t="str">
        <f t="shared" si="30"/>
        <v/>
      </c>
      <c r="L146" s="212" t="str">
        <f>IF(F146="","",Conc1(F146:G146,O$112,$V146,MolVol,F$114,F$115,L$114,L$115,VoF))</f>
        <v/>
      </c>
      <c r="M146" s="195" t="str">
        <f>IF(F146="","",Conc1V(F146:G146,O$112,$V146,MolVol,F$114,F$115,L$114,L$115,VoF,ReportVOC,MWC,$W146))</f>
        <v/>
      </c>
      <c r="N146" s="195" t="str">
        <f t="shared" si="31"/>
        <v/>
      </c>
      <c r="O146" s="196" t="str">
        <f t="shared" si="32"/>
        <v/>
      </c>
      <c r="P146" s="14"/>
      <c r="Q146" s="468" t="str">
        <f t="shared" si="38"/>
        <v/>
      </c>
      <c r="R146" s="212" t="str">
        <f t="shared" si="33"/>
        <v/>
      </c>
      <c r="S146" s="195" t="str">
        <f t="shared" si="34"/>
        <v/>
      </c>
      <c r="T146" s="196" t="str">
        <f t="shared" si="35"/>
        <v/>
      </c>
      <c r="V146" s="573" t="str">
        <f t="shared" si="36"/>
        <v/>
      </c>
      <c r="W146" s="573" t="str">
        <f t="shared" si="37"/>
        <v/>
      </c>
    </row>
    <row r="147" spans="1:23" ht="10.5" customHeight="1" outlineLevel="1">
      <c r="A147" s="361"/>
      <c r="B147" s="194"/>
      <c r="C147" s="205"/>
      <c r="D147" s="193"/>
      <c r="E147" s="194"/>
      <c r="F147" s="205"/>
      <c r="G147" s="193"/>
      <c r="H147" s="212" t="str">
        <f>IF(C147="","",Conc1(C147:D147,L$112,$V147,MolVol,C$114,C$115,H$114,H$115,VoF))</f>
        <v/>
      </c>
      <c r="I147" s="195" t="str">
        <f>IF(C147="","",Conc1V(C147:D147,L$112,$V147,MolVol,C$114,C$115,H$114,H$115,VoF,ReportVOC,MWC,$W147))</f>
        <v/>
      </c>
      <c r="J147" s="195" t="str">
        <f t="shared" si="29"/>
        <v/>
      </c>
      <c r="K147" s="213" t="str">
        <f t="shared" si="30"/>
        <v/>
      </c>
      <c r="L147" s="212" t="str">
        <f>IF(F147="","",Conc1(F147:G147,O$112,$V147,MolVol,F$114,F$115,L$114,L$115,VoF))</f>
        <v/>
      </c>
      <c r="M147" s="195" t="str">
        <f>IF(F147="","",Conc1V(F147:G147,O$112,$V147,MolVol,F$114,F$115,L$114,L$115,VoF,ReportVOC,MWC,$W147))</f>
        <v/>
      </c>
      <c r="N147" s="195" t="str">
        <f t="shared" si="31"/>
        <v/>
      </c>
      <c r="O147" s="196" t="str">
        <f t="shared" si="32"/>
        <v/>
      </c>
      <c r="P147" s="14"/>
      <c r="Q147" s="468" t="str">
        <f t="shared" si="38"/>
        <v/>
      </c>
      <c r="R147" s="212" t="str">
        <f t="shared" si="33"/>
        <v/>
      </c>
      <c r="S147" s="195" t="str">
        <f t="shared" si="34"/>
        <v/>
      </c>
      <c r="T147" s="196" t="str">
        <f t="shared" si="35"/>
        <v/>
      </c>
      <c r="V147" s="573" t="str">
        <f t="shared" si="36"/>
        <v/>
      </c>
      <c r="W147" s="573" t="str">
        <f t="shared" si="37"/>
        <v/>
      </c>
    </row>
    <row r="148" spans="1:23" ht="10.5" customHeight="1" outlineLevel="1">
      <c r="A148" s="361"/>
      <c r="B148" s="194"/>
      <c r="C148" s="205"/>
      <c r="D148" s="193"/>
      <c r="E148" s="194"/>
      <c r="F148" s="205"/>
      <c r="G148" s="193"/>
      <c r="H148" s="212" t="str">
        <f>IF(C148="","",Conc1(C148:D148,L$112,$V148,MolVol,C$114,C$115,H$114,H$115,VoF))</f>
        <v/>
      </c>
      <c r="I148" s="195" t="str">
        <f>IF(C148="","",Conc1V(C148:D148,L$112,$V148,MolVol,C$114,C$115,H$114,H$115,VoF,ReportVOC,MWC,$W148))</f>
        <v/>
      </c>
      <c r="J148" s="195" t="str">
        <f t="shared" ref="J148:J179" si="39">IF(H148="","",H148*O2correction*CO2correction)</f>
        <v/>
      </c>
      <c r="K148" s="213" t="str">
        <f t="shared" ref="K148:K179" si="40">IF(C148="","",MassRate(H148,$V148,MolVol,H$114,H$115,MRU,MRF,AverageFlowDry,FF))</f>
        <v/>
      </c>
      <c r="L148" s="212" t="str">
        <f>IF(F148="","",Conc1(F148:G148,O$112,$V148,MolVol,F$114,F$115,L$114,L$115,VoF))</f>
        <v/>
      </c>
      <c r="M148" s="195" t="str">
        <f>IF(F148="","",Conc1V(F148:G148,O$112,$V148,MolVol,F$114,F$115,L$114,L$115,VoF,ReportVOC,MWC,$W148))</f>
        <v/>
      </c>
      <c r="N148" s="195" t="str">
        <f t="shared" ref="N148:N179" si="41">IF(L148="","",L148*O2correction*CO2correction)</f>
        <v/>
      </c>
      <c r="O148" s="196" t="str">
        <f t="shared" ref="O148:O179" si="42">IF(F148="","",MassRate(L148,$V148,MolVol,L$114,L$115,MRU,MRF,AverageFlowDry,FF))</f>
        <v/>
      </c>
      <c r="P148" s="14"/>
      <c r="Q148" s="468" t="str">
        <f t="shared" si="38"/>
        <v/>
      </c>
      <c r="R148" s="212" t="str">
        <f t="shared" ref="R148:R179" si="43">IF(OR(ISNUMBER(C148),ISNUMBER(F148)),AVERAGE(H148,L148),"")</f>
        <v/>
      </c>
      <c r="S148" s="195" t="str">
        <f t="shared" ref="S148:S179" si="44">IF(ISNUMBER(R148),R148*O2correction*CO2correction,"")</f>
        <v/>
      </c>
      <c r="T148" s="196" t="str">
        <f t="shared" ref="T148:T179" si="45">IF(OR(ISNUMBER(K148),ISNUMBER(O148)),AVERAGE(K148,O148),"")</f>
        <v/>
      </c>
      <c r="V148" s="573" t="str">
        <f t="shared" ref="V148:V179" si="46">IF($A148="","",VLOOKUP($A148,VOCtable,2,FALSE))</f>
        <v/>
      </c>
      <c r="W148" s="573" t="str">
        <f t="shared" ref="W148:W179" si="47">IF($A148="","",VLOOKUP($A148,VOCtable,3,FALSE))</f>
        <v/>
      </c>
    </row>
    <row r="149" spans="1:23" ht="10.5" customHeight="1" outlineLevel="1">
      <c r="A149" s="361"/>
      <c r="B149" s="194"/>
      <c r="C149" s="205"/>
      <c r="D149" s="193"/>
      <c r="E149" s="194"/>
      <c r="F149" s="205"/>
      <c r="G149" s="193"/>
      <c r="H149" s="212" t="str">
        <f>IF(C149="","",Conc1(C149:D149,L$112,$V149,MolVol,C$114,C$115,H$114,H$115,VoF))</f>
        <v/>
      </c>
      <c r="I149" s="195" t="str">
        <f>IF(C149="","",Conc1V(C149:D149,L$112,$V149,MolVol,C$114,C$115,H$114,H$115,VoF,ReportVOC,MWC,$W149))</f>
        <v/>
      </c>
      <c r="J149" s="195" t="str">
        <f t="shared" si="39"/>
        <v/>
      </c>
      <c r="K149" s="213" t="str">
        <f t="shared" si="40"/>
        <v/>
      </c>
      <c r="L149" s="212" t="str">
        <f>IF(F149="","",Conc1(F149:G149,O$112,$V149,MolVol,F$114,F$115,L$114,L$115,VoF))</f>
        <v/>
      </c>
      <c r="M149" s="195" t="str">
        <f>IF(F149="","",Conc1V(F149:G149,O$112,$V149,MolVol,F$114,F$115,L$114,L$115,VoF,ReportVOC,MWC,$W149))</f>
        <v/>
      </c>
      <c r="N149" s="195" t="str">
        <f t="shared" si="41"/>
        <v/>
      </c>
      <c r="O149" s="196" t="str">
        <f t="shared" si="42"/>
        <v/>
      </c>
      <c r="P149" s="14"/>
      <c r="Q149" s="468" t="str">
        <f t="shared" si="38"/>
        <v/>
      </c>
      <c r="R149" s="212" t="str">
        <f t="shared" si="43"/>
        <v/>
      </c>
      <c r="S149" s="195" t="str">
        <f t="shared" si="44"/>
        <v/>
      </c>
      <c r="T149" s="196" t="str">
        <f t="shared" si="45"/>
        <v/>
      </c>
      <c r="V149" s="573" t="str">
        <f t="shared" si="46"/>
        <v/>
      </c>
      <c r="W149" s="573" t="str">
        <f t="shared" si="47"/>
        <v/>
      </c>
    </row>
    <row r="150" spans="1:23" ht="10.5" customHeight="1" outlineLevel="1">
      <c r="A150" s="361"/>
      <c r="B150" s="194"/>
      <c r="C150" s="205"/>
      <c r="D150" s="193"/>
      <c r="E150" s="194"/>
      <c r="F150" s="205"/>
      <c r="G150" s="193"/>
      <c r="H150" s="212" t="str">
        <f>IF(C150="","",Conc1(C150:D150,L$112,$V150,MolVol,C$114,C$115,H$114,H$115,VoF))</f>
        <v/>
      </c>
      <c r="I150" s="195" t="str">
        <f>IF(C150="","",Conc1V(C150:D150,L$112,$V150,MolVol,C$114,C$115,H$114,H$115,VoF,ReportVOC,MWC,$W150))</f>
        <v/>
      </c>
      <c r="J150" s="195" t="str">
        <f t="shared" si="39"/>
        <v/>
      </c>
      <c r="K150" s="213" t="str">
        <f t="shared" si="40"/>
        <v/>
      </c>
      <c r="L150" s="212" t="str">
        <f>IF(F150="","",Conc1(F150:G150,O$112,$V150,MolVol,F$114,F$115,L$114,L$115,VoF))</f>
        <v/>
      </c>
      <c r="M150" s="195" t="str">
        <f>IF(F150="","",Conc1V(F150:G150,O$112,$V150,MolVol,F$114,F$115,L$114,L$115,VoF,ReportVOC,MWC,$W150))</f>
        <v/>
      </c>
      <c r="N150" s="195" t="str">
        <f t="shared" si="41"/>
        <v/>
      </c>
      <c r="O150" s="196" t="str">
        <f t="shared" si="42"/>
        <v/>
      </c>
      <c r="P150" s="14"/>
      <c r="Q150" s="468" t="str">
        <f t="shared" si="38"/>
        <v/>
      </c>
      <c r="R150" s="212" t="str">
        <f t="shared" si="43"/>
        <v/>
      </c>
      <c r="S150" s="195" t="str">
        <f t="shared" si="44"/>
        <v/>
      </c>
      <c r="T150" s="196" t="str">
        <f t="shared" si="45"/>
        <v/>
      </c>
      <c r="V150" s="573" t="str">
        <f t="shared" si="46"/>
        <v/>
      </c>
      <c r="W150" s="573" t="str">
        <f t="shared" si="47"/>
        <v/>
      </c>
    </row>
    <row r="151" spans="1:23" ht="10.5" customHeight="1" outlineLevel="1">
      <c r="A151" s="361"/>
      <c r="B151" s="194"/>
      <c r="C151" s="205"/>
      <c r="D151" s="193"/>
      <c r="E151" s="194"/>
      <c r="F151" s="205"/>
      <c r="G151" s="193"/>
      <c r="H151" s="212" t="str">
        <f>IF(C151="","",Conc1(C151:D151,L$112,$V151,MolVol,C$114,C$115,H$114,H$115,VoF))</f>
        <v/>
      </c>
      <c r="I151" s="195" t="str">
        <f>IF(C151="","",Conc1V(C151:D151,L$112,$V151,MolVol,C$114,C$115,H$114,H$115,VoF,ReportVOC,MWC,$W151))</f>
        <v/>
      </c>
      <c r="J151" s="195" t="str">
        <f t="shared" si="39"/>
        <v/>
      </c>
      <c r="K151" s="213" t="str">
        <f t="shared" si="40"/>
        <v/>
      </c>
      <c r="L151" s="212" t="str">
        <f>IF(F151="","",Conc1(F151:G151,O$112,$V151,MolVol,F$114,F$115,L$114,L$115,VoF))</f>
        <v/>
      </c>
      <c r="M151" s="195" t="str">
        <f>IF(F151="","",Conc1V(F151:G151,O$112,$V151,MolVol,F$114,F$115,L$114,L$115,VoF,ReportVOC,MWC,$W151))</f>
        <v/>
      </c>
      <c r="N151" s="195" t="str">
        <f t="shared" si="41"/>
        <v/>
      </c>
      <c r="O151" s="196" t="str">
        <f t="shared" si="42"/>
        <v/>
      </c>
      <c r="P151" s="14"/>
      <c r="Q151" s="468" t="str">
        <f t="shared" si="38"/>
        <v/>
      </c>
      <c r="R151" s="212" t="str">
        <f t="shared" si="43"/>
        <v/>
      </c>
      <c r="S151" s="195" t="str">
        <f t="shared" si="44"/>
        <v/>
      </c>
      <c r="T151" s="196" t="str">
        <f t="shared" si="45"/>
        <v/>
      </c>
      <c r="V151" s="573" t="str">
        <f t="shared" si="46"/>
        <v/>
      </c>
      <c r="W151" s="573" t="str">
        <f t="shared" si="47"/>
        <v/>
      </c>
    </row>
    <row r="152" spans="1:23" ht="10.5" customHeight="1" outlineLevel="1">
      <c r="A152" s="361"/>
      <c r="B152" s="194"/>
      <c r="C152" s="205"/>
      <c r="D152" s="193"/>
      <c r="E152" s="194"/>
      <c r="F152" s="205"/>
      <c r="G152" s="193"/>
      <c r="H152" s="212" t="str">
        <f>IF(C152="","",Conc1(C152:D152,L$112,$V152,MolVol,C$114,C$115,H$114,H$115,VoF))</f>
        <v/>
      </c>
      <c r="I152" s="195" t="str">
        <f>IF(C152="","",Conc1V(C152:D152,L$112,$V152,MolVol,C$114,C$115,H$114,H$115,VoF,ReportVOC,MWC,$W152))</f>
        <v/>
      </c>
      <c r="J152" s="195" t="str">
        <f t="shared" si="39"/>
        <v/>
      </c>
      <c r="K152" s="213" t="str">
        <f t="shared" si="40"/>
        <v/>
      </c>
      <c r="L152" s="212" t="str">
        <f>IF(F152="","",Conc1(F152:G152,O$112,$V152,MolVol,F$114,F$115,L$114,L$115,VoF))</f>
        <v/>
      </c>
      <c r="M152" s="195" t="str">
        <f>IF(F152="","",Conc1V(F152:G152,O$112,$V152,MolVol,F$114,F$115,L$114,L$115,VoF,ReportVOC,MWC,$W152))</f>
        <v/>
      </c>
      <c r="N152" s="195" t="str">
        <f t="shared" si="41"/>
        <v/>
      </c>
      <c r="O152" s="196" t="str">
        <f t="shared" si="42"/>
        <v/>
      </c>
      <c r="P152" s="14"/>
      <c r="Q152" s="468" t="str">
        <f t="shared" si="38"/>
        <v/>
      </c>
      <c r="R152" s="212" t="str">
        <f t="shared" si="43"/>
        <v/>
      </c>
      <c r="S152" s="195" t="str">
        <f t="shared" si="44"/>
        <v/>
      </c>
      <c r="T152" s="196" t="str">
        <f t="shared" si="45"/>
        <v/>
      </c>
      <c r="V152" s="573" t="str">
        <f t="shared" si="46"/>
        <v/>
      </c>
      <c r="W152" s="573" t="str">
        <f t="shared" si="47"/>
        <v/>
      </c>
    </row>
    <row r="153" spans="1:23" ht="10.5" customHeight="1" outlineLevel="1">
      <c r="A153" s="361"/>
      <c r="B153" s="194"/>
      <c r="C153" s="205"/>
      <c r="D153" s="193"/>
      <c r="E153" s="194"/>
      <c r="F153" s="205"/>
      <c r="G153" s="193"/>
      <c r="H153" s="212" t="str">
        <f>IF(C153="","",Conc1(C153:D153,L$112,$V153,MolVol,C$114,C$115,H$114,H$115,VoF))</f>
        <v/>
      </c>
      <c r="I153" s="195" t="str">
        <f>IF(C153="","",Conc1V(C153:D153,L$112,$V153,MolVol,C$114,C$115,H$114,H$115,VoF,ReportVOC,MWC,$W153))</f>
        <v/>
      </c>
      <c r="J153" s="195" t="str">
        <f t="shared" si="39"/>
        <v/>
      </c>
      <c r="K153" s="213" t="str">
        <f t="shared" si="40"/>
        <v/>
      </c>
      <c r="L153" s="212" t="str">
        <f>IF(F153="","",Conc1(F153:G153,O$112,$V153,MolVol,F$114,F$115,L$114,L$115,VoF))</f>
        <v/>
      </c>
      <c r="M153" s="195" t="str">
        <f>IF(F153="","",Conc1V(F153:G153,O$112,$V153,MolVol,F$114,F$115,L$114,L$115,VoF,ReportVOC,MWC,$W153))</f>
        <v/>
      </c>
      <c r="N153" s="195" t="str">
        <f t="shared" si="41"/>
        <v/>
      </c>
      <c r="O153" s="196" t="str">
        <f t="shared" si="42"/>
        <v/>
      </c>
      <c r="P153" s="14"/>
      <c r="Q153" s="468" t="str">
        <f t="shared" si="38"/>
        <v/>
      </c>
      <c r="R153" s="212" t="str">
        <f t="shared" si="43"/>
        <v/>
      </c>
      <c r="S153" s="195" t="str">
        <f t="shared" si="44"/>
        <v/>
      </c>
      <c r="T153" s="196" t="str">
        <f t="shared" si="45"/>
        <v/>
      </c>
      <c r="V153" s="573" t="str">
        <f t="shared" si="46"/>
        <v/>
      </c>
      <c r="W153" s="573" t="str">
        <f t="shared" si="47"/>
        <v/>
      </c>
    </row>
    <row r="154" spans="1:23" ht="10.5" customHeight="1" outlineLevel="1">
      <c r="A154" s="361"/>
      <c r="B154" s="194"/>
      <c r="C154" s="205"/>
      <c r="D154" s="193"/>
      <c r="E154" s="194"/>
      <c r="F154" s="205"/>
      <c r="G154" s="193"/>
      <c r="H154" s="212" t="str">
        <f>IF(C154="","",Conc1(C154:D154,L$112,$V154,MolVol,C$114,C$115,H$114,H$115,VoF))</f>
        <v/>
      </c>
      <c r="I154" s="195" t="str">
        <f>IF(C154="","",Conc1V(C154:D154,L$112,$V154,MolVol,C$114,C$115,H$114,H$115,VoF,ReportVOC,MWC,$W154))</f>
        <v/>
      </c>
      <c r="J154" s="195" t="str">
        <f t="shared" si="39"/>
        <v/>
      </c>
      <c r="K154" s="213" t="str">
        <f t="shared" si="40"/>
        <v/>
      </c>
      <c r="L154" s="212" t="str">
        <f>IF(F154="","",Conc1(F154:G154,O$112,$V154,MolVol,F$114,F$115,L$114,L$115,VoF))</f>
        <v/>
      </c>
      <c r="M154" s="195" t="str">
        <f>IF(F154="","",Conc1V(F154:G154,O$112,$V154,MolVol,F$114,F$115,L$114,L$115,VoF,ReportVOC,MWC,$W154))</f>
        <v/>
      </c>
      <c r="N154" s="195" t="str">
        <f t="shared" si="41"/>
        <v/>
      </c>
      <c r="O154" s="196" t="str">
        <f t="shared" si="42"/>
        <v/>
      </c>
      <c r="P154" s="14"/>
      <c r="Q154" s="468" t="str">
        <f t="shared" si="38"/>
        <v/>
      </c>
      <c r="R154" s="212" t="str">
        <f t="shared" si="43"/>
        <v/>
      </c>
      <c r="S154" s="195" t="str">
        <f t="shared" si="44"/>
        <v/>
      </c>
      <c r="T154" s="196" t="str">
        <f t="shared" si="45"/>
        <v/>
      </c>
      <c r="V154" s="573" t="str">
        <f t="shared" si="46"/>
        <v/>
      </c>
      <c r="W154" s="573" t="str">
        <f t="shared" si="47"/>
        <v/>
      </c>
    </row>
    <row r="155" spans="1:23" ht="10.5" customHeight="1" outlineLevel="1">
      <c r="A155" s="361"/>
      <c r="B155" s="194"/>
      <c r="C155" s="205"/>
      <c r="D155" s="193"/>
      <c r="E155" s="194"/>
      <c r="F155" s="205"/>
      <c r="G155" s="193"/>
      <c r="H155" s="212" t="str">
        <f>IF(C155="","",Conc1(C155:D155,L$112,$V155,MolVol,C$114,C$115,H$114,H$115,VoF))</f>
        <v/>
      </c>
      <c r="I155" s="195" t="str">
        <f>IF(C155="","",Conc1V(C155:D155,L$112,$V155,MolVol,C$114,C$115,H$114,H$115,VoF,ReportVOC,MWC,$W155))</f>
        <v/>
      </c>
      <c r="J155" s="195" t="str">
        <f t="shared" si="39"/>
        <v/>
      </c>
      <c r="K155" s="213" t="str">
        <f t="shared" si="40"/>
        <v/>
      </c>
      <c r="L155" s="212" t="str">
        <f>IF(F155="","",Conc1(F155:G155,O$112,$V155,MolVol,F$114,F$115,L$114,L$115,VoF))</f>
        <v/>
      </c>
      <c r="M155" s="195" t="str">
        <f>IF(F155="","",Conc1V(F155:G155,O$112,$V155,MolVol,F$114,F$115,L$114,L$115,VoF,ReportVOC,MWC,$W155))</f>
        <v/>
      </c>
      <c r="N155" s="195" t="str">
        <f t="shared" si="41"/>
        <v/>
      </c>
      <c r="O155" s="196" t="str">
        <f t="shared" si="42"/>
        <v/>
      </c>
      <c r="P155" s="14"/>
      <c r="Q155" s="468" t="str">
        <f t="shared" si="38"/>
        <v/>
      </c>
      <c r="R155" s="212" t="str">
        <f t="shared" si="43"/>
        <v/>
      </c>
      <c r="S155" s="195" t="str">
        <f t="shared" si="44"/>
        <v/>
      </c>
      <c r="T155" s="196" t="str">
        <f t="shared" si="45"/>
        <v/>
      </c>
      <c r="V155" s="573" t="str">
        <f t="shared" si="46"/>
        <v/>
      </c>
      <c r="W155" s="573" t="str">
        <f t="shared" si="47"/>
        <v/>
      </c>
    </row>
    <row r="156" spans="1:23" ht="10.5" customHeight="1" outlineLevel="1">
      <c r="A156" s="361"/>
      <c r="B156" s="194"/>
      <c r="C156" s="205"/>
      <c r="D156" s="193"/>
      <c r="E156" s="194"/>
      <c r="F156" s="205"/>
      <c r="G156" s="193"/>
      <c r="H156" s="212" t="str">
        <f>IF(C156="","",Conc1(C156:D156,L$112,$V156,MolVol,C$114,C$115,H$114,H$115,VoF))</f>
        <v/>
      </c>
      <c r="I156" s="195" t="str">
        <f>IF(C156="","",Conc1V(C156:D156,L$112,$V156,MolVol,C$114,C$115,H$114,H$115,VoF,ReportVOC,MWC,$W156))</f>
        <v/>
      </c>
      <c r="J156" s="195" t="str">
        <f t="shared" si="39"/>
        <v/>
      </c>
      <c r="K156" s="213" t="str">
        <f t="shared" si="40"/>
        <v/>
      </c>
      <c r="L156" s="212" t="str">
        <f>IF(F156="","",Conc1(F156:G156,O$112,$V156,MolVol,F$114,F$115,L$114,L$115,VoF))</f>
        <v/>
      </c>
      <c r="M156" s="195" t="str">
        <f>IF(F156="","",Conc1V(F156:G156,O$112,$V156,MolVol,F$114,F$115,L$114,L$115,VoF,ReportVOC,MWC,$W156))</f>
        <v/>
      </c>
      <c r="N156" s="195" t="str">
        <f t="shared" si="41"/>
        <v/>
      </c>
      <c r="O156" s="196" t="str">
        <f t="shared" si="42"/>
        <v/>
      </c>
      <c r="P156" s="14"/>
      <c r="Q156" s="468" t="str">
        <f t="shared" si="38"/>
        <v/>
      </c>
      <c r="R156" s="212" t="str">
        <f t="shared" si="43"/>
        <v/>
      </c>
      <c r="S156" s="195" t="str">
        <f t="shared" si="44"/>
        <v/>
      </c>
      <c r="T156" s="196" t="str">
        <f t="shared" si="45"/>
        <v/>
      </c>
      <c r="V156" s="573" t="str">
        <f t="shared" si="46"/>
        <v/>
      </c>
      <c r="W156" s="573" t="str">
        <f t="shared" si="47"/>
        <v/>
      </c>
    </row>
    <row r="157" spans="1:23" ht="10.5" customHeight="1" outlineLevel="1">
      <c r="A157" s="361"/>
      <c r="B157" s="194"/>
      <c r="C157" s="205"/>
      <c r="D157" s="193"/>
      <c r="E157" s="194"/>
      <c r="F157" s="205"/>
      <c r="G157" s="193"/>
      <c r="H157" s="212" t="str">
        <f>IF(C157="","",Conc1(C157:D157,L$112,$V157,MolVol,C$114,C$115,H$114,H$115,VoF))</f>
        <v/>
      </c>
      <c r="I157" s="195" t="str">
        <f>IF(C157="","",Conc1V(C157:D157,L$112,$V157,MolVol,C$114,C$115,H$114,H$115,VoF,ReportVOC,MWC,$W157))</f>
        <v/>
      </c>
      <c r="J157" s="195" t="str">
        <f t="shared" si="39"/>
        <v/>
      </c>
      <c r="K157" s="213" t="str">
        <f t="shared" si="40"/>
        <v/>
      </c>
      <c r="L157" s="212" t="str">
        <f>IF(F157="","",Conc1(F157:G157,O$112,$V157,MolVol,F$114,F$115,L$114,L$115,VoF))</f>
        <v/>
      </c>
      <c r="M157" s="195" t="str">
        <f>IF(F157="","",Conc1V(F157:G157,O$112,$V157,MolVol,F$114,F$115,L$114,L$115,VoF,ReportVOC,MWC,$W157))</f>
        <v/>
      </c>
      <c r="N157" s="195" t="str">
        <f t="shared" si="41"/>
        <v/>
      </c>
      <c r="O157" s="196" t="str">
        <f t="shared" si="42"/>
        <v/>
      </c>
      <c r="P157" s="14"/>
      <c r="Q157" s="468" t="str">
        <f t="shared" si="38"/>
        <v/>
      </c>
      <c r="R157" s="212" t="str">
        <f t="shared" si="43"/>
        <v/>
      </c>
      <c r="S157" s="195" t="str">
        <f t="shared" si="44"/>
        <v/>
      </c>
      <c r="T157" s="196" t="str">
        <f t="shared" si="45"/>
        <v/>
      </c>
      <c r="V157" s="573" t="str">
        <f t="shared" si="46"/>
        <v/>
      </c>
      <c r="W157" s="573" t="str">
        <f t="shared" si="47"/>
        <v/>
      </c>
    </row>
    <row r="158" spans="1:23" ht="10.5" customHeight="1" outlineLevel="1">
      <c r="A158" s="361"/>
      <c r="B158" s="194"/>
      <c r="C158" s="205"/>
      <c r="D158" s="193"/>
      <c r="E158" s="194"/>
      <c r="F158" s="205"/>
      <c r="G158" s="193"/>
      <c r="H158" s="212" t="str">
        <f>IF(C158="","",Conc1(C158:D158,L$112,$V158,MolVol,C$114,C$115,H$114,H$115,VoF))</f>
        <v/>
      </c>
      <c r="I158" s="195" t="str">
        <f>IF(C158="","",Conc1V(C158:D158,L$112,$V158,MolVol,C$114,C$115,H$114,H$115,VoF,ReportVOC,MWC,$W158))</f>
        <v/>
      </c>
      <c r="J158" s="195" t="str">
        <f t="shared" si="39"/>
        <v/>
      </c>
      <c r="K158" s="213" t="str">
        <f t="shared" si="40"/>
        <v/>
      </c>
      <c r="L158" s="212" t="str">
        <f>IF(F158="","",Conc1(F158:G158,O$112,$V158,MolVol,F$114,F$115,L$114,L$115,VoF))</f>
        <v/>
      </c>
      <c r="M158" s="195" t="str">
        <f>IF(F158="","",Conc1V(F158:G158,O$112,$V158,MolVol,F$114,F$115,L$114,L$115,VoF,ReportVOC,MWC,$W158))</f>
        <v/>
      </c>
      <c r="N158" s="195" t="str">
        <f t="shared" si="41"/>
        <v/>
      </c>
      <c r="O158" s="196" t="str">
        <f t="shared" si="42"/>
        <v/>
      </c>
      <c r="P158" s="14"/>
      <c r="Q158" s="468" t="str">
        <f t="shared" si="38"/>
        <v/>
      </c>
      <c r="R158" s="212" t="str">
        <f t="shared" si="43"/>
        <v/>
      </c>
      <c r="S158" s="195" t="str">
        <f t="shared" si="44"/>
        <v/>
      </c>
      <c r="T158" s="196" t="str">
        <f t="shared" si="45"/>
        <v/>
      </c>
      <c r="V158" s="573" t="str">
        <f t="shared" si="46"/>
        <v/>
      </c>
      <c r="W158" s="573" t="str">
        <f t="shared" si="47"/>
        <v/>
      </c>
    </row>
    <row r="159" spans="1:23" ht="10.5" customHeight="1" outlineLevel="1">
      <c r="A159" s="361"/>
      <c r="B159" s="194"/>
      <c r="C159" s="205"/>
      <c r="D159" s="193"/>
      <c r="E159" s="194"/>
      <c r="F159" s="205"/>
      <c r="G159" s="193"/>
      <c r="H159" s="212" t="str">
        <f>IF(C159="","",Conc1(C159:D159,L$112,$V159,MolVol,C$114,C$115,H$114,H$115,VoF))</f>
        <v/>
      </c>
      <c r="I159" s="195" t="str">
        <f>IF(C159="","",Conc1V(C159:D159,L$112,$V159,MolVol,C$114,C$115,H$114,H$115,VoF,ReportVOC,MWC,$W159))</f>
        <v/>
      </c>
      <c r="J159" s="195" t="str">
        <f t="shared" si="39"/>
        <v/>
      </c>
      <c r="K159" s="213" t="str">
        <f t="shared" si="40"/>
        <v/>
      </c>
      <c r="L159" s="212" t="str">
        <f>IF(F159="","",Conc1(F159:G159,O$112,$V159,MolVol,F$114,F$115,L$114,L$115,VoF))</f>
        <v/>
      </c>
      <c r="M159" s="195" t="str">
        <f>IF(F159="","",Conc1V(F159:G159,O$112,$V159,MolVol,F$114,F$115,L$114,L$115,VoF,ReportVOC,MWC,$W159))</f>
        <v/>
      </c>
      <c r="N159" s="195" t="str">
        <f t="shared" si="41"/>
        <v/>
      </c>
      <c r="O159" s="196" t="str">
        <f t="shared" si="42"/>
        <v/>
      </c>
      <c r="P159" s="14"/>
      <c r="Q159" s="468" t="str">
        <f t="shared" si="38"/>
        <v/>
      </c>
      <c r="R159" s="212" t="str">
        <f t="shared" si="43"/>
        <v/>
      </c>
      <c r="S159" s="195" t="str">
        <f t="shared" si="44"/>
        <v/>
      </c>
      <c r="T159" s="196" t="str">
        <f t="shared" si="45"/>
        <v/>
      </c>
      <c r="V159" s="573" t="str">
        <f t="shared" si="46"/>
        <v/>
      </c>
      <c r="W159" s="573" t="str">
        <f t="shared" si="47"/>
        <v/>
      </c>
    </row>
    <row r="160" spans="1:23" ht="10.5" customHeight="1" outlineLevel="1">
      <c r="A160" s="361"/>
      <c r="B160" s="194"/>
      <c r="C160" s="205"/>
      <c r="D160" s="193"/>
      <c r="E160" s="194"/>
      <c r="F160" s="205"/>
      <c r="G160" s="193"/>
      <c r="H160" s="212" t="str">
        <f>IF(C160="","",Conc1(C160:D160,L$112,$V160,MolVol,C$114,C$115,H$114,H$115,VoF))</f>
        <v/>
      </c>
      <c r="I160" s="195" t="str">
        <f>IF(C160="","",Conc1V(C160:D160,L$112,$V160,MolVol,C$114,C$115,H$114,H$115,VoF,ReportVOC,MWC,$W160))</f>
        <v/>
      </c>
      <c r="J160" s="195" t="str">
        <f t="shared" si="39"/>
        <v/>
      </c>
      <c r="K160" s="213" t="str">
        <f t="shared" si="40"/>
        <v/>
      </c>
      <c r="L160" s="212" t="str">
        <f>IF(F160="","",Conc1(F160:G160,O$112,$V160,MolVol,F$114,F$115,L$114,L$115,VoF))</f>
        <v/>
      </c>
      <c r="M160" s="195" t="str">
        <f>IF(F160="","",Conc1V(F160:G160,O$112,$V160,MolVol,F$114,F$115,L$114,L$115,VoF,ReportVOC,MWC,$W160))</f>
        <v/>
      </c>
      <c r="N160" s="195" t="str">
        <f t="shared" si="41"/>
        <v/>
      </c>
      <c r="O160" s="196" t="str">
        <f t="shared" si="42"/>
        <v/>
      </c>
      <c r="P160" s="14"/>
      <c r="Q160" s="468" t="str">
        <f t="shared" si="38"/>
        <v/>
      </c>
      <c r="R160" s="212" t="str">
        <f t="shared" si="43"/>
        <v/>
      </c>
      <c r="S160" s="195" t="str">
        <f t="shared" si="44"/>
        <v/>
      </c>
      <c r="T160" s="196" t="str">
        <f t="shared" si="45"/>
        <v/>
      </c>
      <c r="V160" s="573" t="str">
        <f t="shared" si="46"/>
        <v/>
      </c>
      <c r="W160" s="573" t="str">
        <f t="shared" si="47"/>
        <v/>
      </c>
    </row>
    <row r="161" spans="1:23" ht="10.5" customHeight="1" outlineLevel="1">
      <c r="A161" s="361"/>
      <c r="B161" s="194"/>
      <c r="C161" s="205"/>
      <c r="D161" s="193"/>
      <c r="E161" s="194"/>
      <c r="F161" s="205"/>
      <c r="G161" s="193"/>
      <c r="H161" s="212" t="str">
        <f>IF(C161="","",Conc1(C161:D161,L$112,$V161,MolVol,C$114,C$115,H$114,H$115,VoF))</f>
        <v/>
      </c>
      <c r="I161" s="195" t="str">
        <f>IF(C161="","",Conc1V(C161:D161,L$112,$V161,MolVol,C$114,C$115,H$114,H$115,VoF,ReportVOC,MWC,$W161))</f>
        <v/>
      </c>
      <c r="J161" s="195" t="str">
        <f t="shared" si="39"/>
        <v/>
      </c>
      <c r="K161" s="213" t="str">
        <f t="shared" si="40"/>
        <v/>
      </c>
      <c r="L161" s="212" t="str">
        <f>IF(F161="","",Conc1(F161:G161,O$112,$V161,MolVol,F$114,F$115,L$114,L$115,VoF))</f>
        <v/>
      </c>
      <c r="M161" s="195" t="str">
        <f>IF(F161="","",Conc1V(F161:G161,O$112,$V161,MolVol,F$114,F$115,L$114,L$115,VoF,ReportVOC,MWC,$W161))</f>
        <v/>
      </c>
      <c r="N161" s="195" t="str">
        <f t="shared" si="41"/>
        <v/>
      </c>
      <c r="O161" s="196" t="str">
        <f t="shared" si="42"/>
        <v/>
      </c>
      <c r="P161" s="14"/>
      <c r="Q161" s="468" t="str">
        <f t="shared" si="38"/>
        <v/>
      </c>
      <c r="R161" s="212" t="str">
        <f t="shared" si="43"/>
        <v/>
      </c>
      <c r="S161" s="195" t="str">
        <f t="shared" si="44"/>
        <v/>
      </c>
      <c r="T161" s="196" t="str">
        <f t="shared" si="45"/>
        <v/>
      </c>
      <c r="V161" s="573" t="str">
        <f t="shared" si="46"/>
        <v/>
      </c>
      <c r="W161" s="573" t="str">
        <f t="shared" si="47"/>
        <v/>
      </c>
    </row>
    <row r="162" spans="1:23" ht="10.5" customHeight="1" outlineLevel="1">
      <c r="A162" s="361"/>
      <c r="B162" s="194"/>
      <c r="C162" s="205"/>
      <c r="D162" s="193"/>
      <c r="E162" s="194"/>
      <c r="F162" s="205"/>
      <c r="G162" s="193"/>
      <c r="H162" s="212" t="str">
        <f>IF(C162="","",Conc1(C162:D162,L$112,$V162,MolVol,C$114,C$115,H$114,H$115,VoF))</f>
        <v/>
      </c>
      <c r="I162" s="195" t="str">
        <f>IF(C162="","",Conc1V(C162:D162,L$112,$V162,MolVol,C$114,C$115,H$114,H$115,VoF,ReportVOC,MWC,$W162))</f>
        <v/>
      </c>
      <c r="J162" s="195" t="str">
        <f t="shared" si="39"/>
        <v/>
      </c>
      <c r="K162" s="213" t="str">
        <f t="shared" si="40"/>
        <v/>
      </c>
      <c r="L162" s="212" t="str">
        <f>IF(F162="","",Conc1(F162:G162,O$112,$V162,MolVol,F$114,F$115,L$114,L$115,VoF))</f>
        <v/>
      </c>
      <c r="M162" s="195" t="str">
        <f>IF(F162="","",Conc1V(F162:G162,O$112,$V162,MolVol,F$114,F$115,L$114,L$115,VoF,ReportVOC,MWC,$W162))</f>
        <v/>
      </c>
      <c r="N162" s="195" t="str">
        <f t="shared" si="41"/>
        <v/>
      </c>
      <c r="O162" s="196" t="str">
        <f t="shared" si="42"/>
        <v/>
      </c>
      <c r="P162" s="14"/>
      <c r="Q162" s="468" t="str">
        <f t="shared" si="38"/>
        <v/>
      </c>
      <c r="R162" s="212" t="str">
        <f t="shared" si="43"/>
        <v/>
      </c>
      <c r="S162" s="195" t="str">
        <f t="shared" si="44"/>
        <v/>
      </c>
      <c r="T162" s="196" t="str">
        <f t="shared" si="45"/>
        <v/>
      </c>
      <c r="V162" s="573" t="str">
        <f t="shared" si="46"/>
        <v/>
      </c>
      <c r="W162" s="573" t="str">
        <f t="shared" si="47"/>
        <v/>
      </c>
    </row>
    <row r="163" spans="1:23" ht="10.5" customHeight="1" outlineLevel="1">
      <c r="A163" s="361"/>
      <c r="B163" s="194"/>
      <c r="C163" s="205"/>
      <c r="D163" s="193"/>
      <c r="E163" s="194"/>
      <c r="F163" s="205"/>
      <c r="G163" s="193"/>
      <c r="H163" s="212" t="str">
        <f>IF(C163="","",Conc1(C163:D163,L$112,$V163,MolVol,C$114,C$115,H$114,H$115,VoF))</f>
        <v/>
      </c>
      <c r="I163" s="195" t="str">
        <f>IF(C163="","",Conc1V(C163:D163,L$112,$V163,MolVol,C$114,C$115,H$114,H$115,VoF,ReportVOC,MWC,$W163))</f>
        <v/>
      </c>
      <c r="J163" s="195" t="str">
        <f t="shared" si="39"/>
        <v/>
      </c>
      <c r="K163" s="213" t="str">
        <f t="shared" si="40"/>
        <v/>
      </c>
      <c r="L163" s="212" t="str">
        <f>IF(F163="","",Conc1(F163:G163,O$112,$V163,MolVol,F$114,F$115,L$114,L$115,VoF))</f>
        <v/>
      </c>
      <c r="M163" s="195" t="str">
        <f>IF(F163="","",Conc1V(F163:G163,O$112,$V163,MolVol,F$114,F$115,L$114,L$115,VoF,ReportVOC,MWC,$W163))</f>
        <v/>
      </c>
      <c r="N163" s="195" t="str">
        <f t="shared" si="41"/>
        <v/>
      </c>
      <c r="O163" s="196" t="str">
        <f t="shared" si="42"/>
        <v/>
      </c>
      <c r="P163" s="14"/>
      <c r="Q163" s="468" t="str">
        <f t="shared" si="38"/>
        <v/>
      </c>
      <c r="R163" s="212" t="str">
        <f t="shared" si="43"/>
        <v/>
      </c>
      <c r="S163" s="195" t="str">
        <f t="shared" si="44"/>
        <v/>
      </c>
      <c r="T163" s="196" t="str">
        <f t="shared" si="45"/>
        <v/>
      </c>
      <c r="V163" s="573" t="str">
        <f t="shared" si="46"/>
        <v/>
      </c>
      <c r="W163" s="573" t="str">
        <f t="shared" si="47"/>
        <v/>
      </c>
    </row>
    <row r="164" spans="1:23" ht="10.5" customHeight="1" outlineLevel="1">
      <c r="A164" s="361"/>
      <c r="B164" s="194"/>
      <c r="C164" s="205"/>
      <c r="D164" s="193"/>
      <c r="E164" s="194"/>
      <c r="F164" s="205"/>
      <c r="G164" s="193"/>
      <c r="H164" s="212" t="str">
        <f>IF(C164="","",Conc1(C164:D164,L$112,$V164,MolVol,C$114,C$115,H$114,H$115,VoF))</f>
        <v/>
      </c>
      <c r="I164" s="195" t="str">
        <f>IF(C164="","",Conc1V(C164:D164,L$112,$V164,MolVol,C$114,C$115,H$114,H$115,VoF,ReportVOC,MWC,$W164))</f>
        <v/>
      </c>
      <c r="J164" s="195" t="str">
        <f t="shared" si="39"/>
        <v/>
      </c>
      <c r="K164" s="213" t="str">
        <f t="shared" si="40"/>
        <v/>
      </c>
      <c r="L164" s="212" t="str">
        <f>IF(F164="","",Conc1(F164:G164,O$112,$V164,MolVol,F$114,F$115,L$114,L$115,VoF))</f>
        <v/>
      </c>
      <c r="M164" s="195" t="str">
        <f>IF(F164="","",Conc1V(F164:G164,O$112,$V164,MolVol,F$114,F$115,L$114,L$115,VoF,ReportVOC,MWC,$W164))</f>
        <v/>
      </c>
      <c r="N164" s="195" t="str">
        <f t="shared" si="41"/>
        <v/>
      </c>
      <c r="O164" s="196" t="str">
        <f t="shared" si="42"/>
        <v/>
      </c>
      <c r="P164" s="14"/>
      <c r="Q164" s="468" t="str">
        <f t="shared" si="38"/>
        <v/>
      </c>
      <c r="R164" s="212" t="str">
        <f t="shared" si="43"/>
        <v/>
      </c>
      <c r="S164" s="195" t="str">
        <f t="shared" si="44"/>
        <v/>
      </c>
      <c r="T164" s="196" t="str">
        <f t="shared" si="45"/>
        <v/>
      </c>
      <c r="V164" s="573" t="str">
        <f t="shared" si="46"/>
        <v/>
      </c>
      <c r="W164" s="573" t="str">
        <f t="shared" si="47"/>
        <v/>
      </c>
    </row>
    <row r="165" spans="1:23" ht="10.5" customHeight="1" outlineLevel="1">
      <c r="A165" s="361"/>
      <c r="B165" s="194"/>
      <c r="C165" s="205"/>
      <c r="D165" s="193"/>
      <c r="E165" s="194"/>
      <c r="F165" s="205"/>
      <c r="G165" s="193"/>
      <c r="H165" s="212" t="str">
        <f>IF(C165="","",Conc1(C165:D165,L$112,$V165,MolVol,C$114,C$115,H$114,H$115,VoF))</f>
        <v/>
      </c>
      <c r="I165" s="195" t="str">
        <f>IF(C165="","",Conc1V(C165:D165,L$112,$V165,MolVol,C$114,C$115,H$114,H$115,VoF,ReportVOC,MWC,$W165))</f>
        <v/>
      </c>
      <c r="J165" s="195" t="str">
        <f t="shared" si="39"/>
        <v/>
      </c>
      <c r="K165" s="213" t="str">
        <f t="shared" si="40"/>
        <v/>
      </c>
      <c r="L165" s="212" t="str">
        <f>IF(F165="","",Conc1(F165:G165,O$112,$V165,MolVol,F$114,F$115,L$114,L$115,VoF))</f>
        <v/>
      </c>
      <c r="M165" s="195" t="str">
        <f>IF(F165="","",Conc1V(F165:G165,O$112,$V165,MolVol,F$114,F$115,L$114,L$115,VoF,ReportVOC,MWC,$W165))</f>
        <v/>
      </c>
      <c r="N165" s="195" t="str">
        <f t="shared" si="41"/>
        <v/>
      </c>
      <c r="O165" s="196" t="str">
        <f t="shared" si="42"/>
        <v/>
      </c>
      <c r="P165" s="14"/>
      <c r="Q165" s="468" t="str">
        <f t="shared" si="38"/>
        <v/>
      </c>
      <c r="R165" s="212" t="str">
        <f t="shared" si="43"/>
        <v/>
      </c>
      <c r="S165" s="195" t="str">
        <f t="shared" si="44"/>
        <v/>
      </c>
      <c r="T165" s="196" t="str">
        <f t="shared" si="45"/>
        <v/>
      </c>
      <c r="V165" s="573" t="str">
        <f t="shared" si="46"/>
        <v/>
      </c>
      <c r="W165" s="573" t="str">
        <f t="shared" si="47"/>
        <v/>
      </c>
    </row>
    <row r="166" spans="1:23" ht="10.5" customHeight="1" outlineLevel="1">
      <c r="A166" s="361"/>
      <c r="B166" s="194"/>
      <c r="C166" s="205"/>
      <c r="D166" s="193"/>
      <c r="E166" s="194"/>
      <c r="F166" s="205"/>
      <c r="G166" s="193"/>
      <c r="H166" s="212" t="str">
        <f>IF(C166="","",Conc1(C166:D166,L$112,$V166,MolVol,C$114,C$115,H$114,H$115,VoF))</f>
        <v/>
      </c>
      <c r="I166" s="195" t="str">
        <f>IF(C166="","",Conc1V(C166:D166,L$112,$V166,MolVol,C$114,C$115,H$114,H$115,VoF,ReportVOC,MWC,$W166))</f>
        <v/>
      </c>
      <c r="J166" s="195" t="str">
        <f t="shared" si="39"/>
        <v/>
      </c>
      <c r="K166" s="213" t="str">
        <f t="shared" si="40"/>
        <v/>
      </c>
      <c r="L166" s="212" t="str">
        <f>IF(F166="","",Conc1(F166:G166,O$112,$V166,MolVol,F$114,F$115,L$114,L$115,VoF))</f>
        <v/>
      </c>
      <c r="M166" s="195" t="str">
        <f>IF(F166="","",Conc1V(F166:G166,O$112,$V166,MolVol,F$114,F$115,L$114,L$115,VoF,ReportVOC,MWC,$W166))</f>
        <v/>
      </c>
      <c r="N166" s="195" t="str">
        <f t="shared" si="41"/>
        <v/>
      </c>
      <c r="O166" s="196" t="str">
        <f t="shared" si="42"/>
        <v/>
      </c>
      <c r="P166" s="14"/>
      <c r="Q166" s="468" t="str">
        <f t="shared" si="38"/>
        <v/>
      </c>
      <c r="R166" s="212" t="str">
        <f t="shared" si="43"/>
        <v/>
      </c>
      <c r="S166" s="195" t="str">
        <f t="shared" si="44"/>
        <v/>
      </c>
      <c r="T166" s="196" t="str">
        <f t="shared" si="45"/>
        <v/>
      </c>
      <c r="V166" s="573" t="str">
        <f t="shared" si="46"/>
        <v/>
      </c>
      <c r="W166" s="573" t="str">
        <f t="shared" si="47"/>
        <v/>
      </c>
    </row>
    <row r="167" spans="1:23" ht="10.5" customHeight="1" outlineLevel="1">
      <c r="A167" s="361"/>
      <c r="B167" s="194"/>
      <c r="C167" s="205"/>
      <c r="D167" s="193"/>
      <c r="E167" s="194"/>
      <c r="F167" s="205"/>
      <c r="G167" s="193"/>
      <c r="H167" s="212" t="str">
        <f>IF(C167="","",Conc1(C167:D167,L$112,$V167,MolVol,C$114,C$115,H$114,H$115,VoF))</f>
        <v/>
      </c>
      <c r="I167" s="195" t="str">
        <f>IF(C167="","",Conc1V(C167:D167,L$112,$V167,MolVol,C$114,C$115,H$114,H$115,VoF,ReportVOC,MWC,$W167))</f>
        <v/>
      </c>
      <c r="J167" s="195" t="str">
        <f t="shared" si="39"/>
        <v/>
      </c>
      <c r="K167" s="213" t="str">
        <f t="shared" si="40"/>
        <v/>
      </c>
      <c r="L167" s="212" t="str">
        <f>IF(F167="","",Conc1(F167:G167,O$112,$V167,MolVol,F$114,F$115,L$114,L$115,VoF))</f>
        <v/>
      </c>
      <c r="M167" s="195" t="str">
        <f>IF(F167="","",Conc1V(F167:G167,O$112,$V167,MolVol,F$114,F$115,L$114,L$115,VoF,ReportVOC,MWC,$W167))</f>
        <v/>
      </c>
      <c r="N167" s="195" t="str">
        <f t="shared" si="41"/>
        <v/>
      </c>
      <c r="O167" s="196" t="str">
        <f t="shared" si="42"/>
        <v/>
      </c>
      <c r="P167" s="14"/>
      <c r="Q167" s="468" t="str">
        <f t="shared" si="38"/>
        <v/>
      </c>
      <c r="R167" s="212" t="str">
        <f t="shared" si="43"/>
        <v/>
      </c>
      <c r="S167" s="195" t="str">
        <f t="shared" si="44"/>
        <v/>
      </c>
      <c r="T167" s="196" t="str">
        <f t="shared" si="45"/>
        <v/>
      </c>
      <c r="V167" s="573" t="str">
        <f t="shared" si="46"/>
        <v/>
      </c>
      <c r="W167" s="573" t="str">
        <f t="shared" si="47"/>
        <v/>
      </c>
    </row>
    <row r="168" spans="1:23" ht="10.5" customHeight="1" outlineLevel="1">
      <c r="A168" s="361"/>
      <c r="B168" s="194"/>
      <c r="C168" s="205"/>
      <c r="D168" s="193"/>
      <c r="E168" s="194"/>
      <c r="F168" s="205"/>
      <c r="G168" s="193"/>
      <c r="H168" s="212" t="str">
        <f>IF(C168="","",Conc1(C168:D168,L$112,$V168,MolVol,C$114,C$115,H$114,H$115,VoF))</f>
        <v/>
      </c>
      <c r="I168" s="195" t="str">
        <f>IF(C168="","",Conc1V(C168:D168,L$112,$V168,MolVol,C$114,C$115,H$114,H$115,VoF,ReportVOC,MWC,$W168))</f>
        <v/>
      </c>
      <c r="J168" s="195" t="str">
        <f t="shared" si="39"/>
        <v/>
      </c>
      <c r="K168" s="213" t="str">
        <f t="shared" si="40"/>
        <v/>
      </c>
      <c r="L168" s="212" t="str">
        <f>IF(F168="","",Conc1(F168:G168,O$112,$V168,MolVol,F$114,F$115,L$114,L$115,VoF))</f>
        <v/>
      </c>
      <c r="M168" s="195" t="str">
        <f>IF(F168="","",Conc1V(F168:G168,O$112,$V168,MolVol,F$114,F$115,L$114,L$115,VoF,ReportVOC,MWC,$W168))</f>
        <v/>
      </c>
      <c r="N168" s="195" t="str">
        <f t="shared" si="41"/>
        <v/>
      </c>
      <c r="O168" s="196" t="str">
        <f t="shared" si="42"/>
        <v/>
      </c>
      <c r="P168" s="14"/>
      <c r="Q168" s="468" t="str">
        <f t="shared" si="38"/>
        <v/>
      </c>
      <c r="R168" s="212" t="str">
        <f t="shared" si="43"/>
        <v/>
      </c>
      <c r="S168" s="195" t="str">
        <f t="shared" si="44"/>
        <v/>
      </c>
      <c r="T168" s="196" t="str">
        <f t="shared" si="45"/>
        <v/>
      </c>
      <c r="V168" s="573" t="str">
        <f t="shared" si="46"/>
        <v/>
      </c>
      <c r="W168" s="573" t="str">
        <f t="shared" si="47"/>
        <v/>
      </c>
    </row>
    <row r="169" spans="1:23" ht="10.5" customHeight="1" outlineLevel="1">
      <c r="A169" s="361"/>
      <c r="B169" s="194"/>
      <c r="C169" s="205"/>
      <c r="D169" s="193"/>
      <c r="E169" s="194"/>
      <c r="F169" s="205"/>
      <c r="G169" s="193"/>
      <c r="H169" s="212" t="str">
        <f>IF(C169="","",Conc1(C169:D169,L$112,$V169,MolVol,C$114,C$115,H$114,H$115,VoF))</f>
        <v/>
      </c>
      <c r="I169" s="195" t="str">
        <f>IF(C169="","",Conc1V(C169:D169,L$112,$V169,MolVol,C$114,C$115,H$114,H$115,VoF,ReportVOC,MWC,$W169))</f>
        <v/>
      </c>
      <c r="J169" s="195" t="str">
        <f t="shared" si="39"/>
        <v/>
      </c>
      <c r="K169" s="213" t="str">
        <f t="shared" si="40"/>
        <v/>
      </c>
      <c r="L169" s="212" t="str">
        <f>IF(F169="","",Conc1(F169:G169,O$112,$V169,MolVol,F$114,F$115,L$114,L$115,VoF))</f>
        <v/>
      </c>
      <c r="M169" s="195" t="str">
        <f>IF(F169="","",Conc1V(F169:G169,O$112,$V169,MolVol,F$114,F$115,L$114,L$115,VoF,ReportVOC,MWC,$W169))</f>
        <v/>
      </c>
      <c r="N169" s="195" t="str">
        <f t="shared" si="41"/>
        <v/>
      </c>
      <c r="O169" s="196" t="str">
        <f t="shared" si="42"/>
        <v/>
      </c>
      <c r="P169" s="14"/>
      <c r="Q169" s="468" t="str">
        <f t="shared" si="38"/>
        <v/>
      </c>
      <c r="R169" s="212" t="str">
        <f t="shared" si="43"/>
        <v/>
      </c>
      <c r="S169" s="195" t="str">
        <f t="shared" si="44"/>
        <v/>
      </c>
      <c r="T169" s="196" t="str">
        <f t="shared" si="45"/>
        <v/>
      </c>
      <c r="V169" s="573" t="str">
        <f t="shared" si="46"/>
        <v/>
      </c>
      <c r="W169" s="573" t="str">
        <f t="shared" si="47"/>
        <v/>
      </c>
    </row>
    <row r="170" spans="1:23" ht="10.5" customHeight="1" outlineLevel="1">
      <c r="A170" s="361"/>
      <c r="B170" s="194"/>
      <c r="C170" s="205"/>
      <c r="D170" s="193"/>
      <c r="E170" s="194"/>
      <c r="F170" s="205"/>
      <c r="G170" s="193"/>
      <c r="H170" s="212" t="str">
        <f>IF(C170="","",Conc1(C170:D170,L$112,$V170,MolVol,C$114,C$115,H$114,H$115,VoF))</f>
        <v/>
      </c>
      <c r="I170" s="195" t="str">
        <f>IF(C170="","",Conc1V(C170:D170,L$112,$V170,MolVol,C$114,C$115,H$114,H$115,VoF,ReportVOC,MWC,$W170))</f>
        <v/>
      </c>
      <c r="J170" s="195" t="str">
        <f t="shared" si="39"/>
        <v/>
      </c>
      <c r="K170" s="213" t="str">
        <f t="shared" si="40"/>
        <v/>
      </c>
      <c r="L170" s="212" t="str">
        <f>IF(F170="","",Conc1(F170:G170,O$112,$V170,MolVol,F$114,F$115,L$114,L$115,VoF))</f>
        <v/>
      </c>
      <c r="M170" s="195" t="str">
        <f>IF(F170="","",Conc1V(F170:G170,O$112,$V170,MolVol,F$114,F$115,L$114,L$115,VoF,ReportVOC,MWC,$W170))</f>
        <v/>
      </c>
      <c r="N170" s="195" t="str">
        <f t="shared" si="41"/>
        <v/>
      </c>
      <c r="O170" s="196" t="str">
        <f t="shared" si="42"/>
        <v/>
      </c>
      <c r="P170" s="14"/>
      <c r="Q170" s="468" t="str">
        <f t="shared" si="38"/>
        <v/>
      </c>
      <c r="R170" s="212" t="str">
        <f t="shared" si="43"/>
        <v/>
      </c>
      <c r="S170" s="195" t="str">
        <f t="shared" si="44"/>
        <v/>
      </c>
      <c r="T170" s="196" t="str">
        <f t="shared" si="45"/>
        <v/>
      </c>
      <c r="V170" s="573" t="str">
        <f t="shared" si="46"/>
        <v/>
      </c>
      <c r="W170" s="573" t="str">
        <f t="shared" si="47"/>
        <v/>
      </c>
    </row>
    <row r="171" spans="1:23" ht="10.5" customHeight="1" outlineLevel="1">
      <c r="A171" s="361"/>
      <c r="B171" s="194"/>
      <c r="C171" s="205"/>
      <c r="D171" s="193"/>
      <c r="E171" s="194"/>
      <c r="F171" s="205"/>
      <c r="G171" s="193"/>
      <c r="H171" s="212" t="str">
        <f>IF(C171="","",Conc1(C171:D171,L$112,$V171,MolVol,C$114,C$115,H$114,H$115,VoF))</f>
        <v/>
      </c>
      <c r="I171" s="195" t="str">
        <f>IF(C171="","",Conc1V(C171:D171,L$112,$V171,MolVol,C$114,C$115,H$114,H$115,VoF,ReportVOC,MWC,$W171))</f>
        <v/>
      </c>
      <c r="J171" s="195" t="str">
        <f t="shared" si="39"/>
        <v/>
      </c>
      <c r="K171" s="213" t="str">
        <f t="shared" si="40"/>
        <v/>
      </c>
      <c r="L171" s="212" t="str">
        <f>IF(F171="","",Conc1(F171:G171,O$112,$V171,MolVol,F$114,F$115,L$114,L$115,VoF))</f>
        <v/>
      </c>
      <c r="M171" s="195" t="str">
        <f>IF(F171="","",Conc1V(F171:G171,O$112,$V171,MolVol,F$114,F$115,L$114,L$115,VoF,ReportVOC,MWC,$W171))</f>
        <v/>
      </c>
      <c r="N171" s="195" t="str">
        <f t="shared" si="41"/>
        <v/>
      </c>
      <c r="O171" s="196" t="str">
        <f t="shared" si="42"/>
        <v/>
      </c>
      <c r="P171" s="14"/>
      <c r="Q171" s="468" t="str">
        <f t="shared" si="38"/>
        <v/>
      </c>
      <c r="R171" s="212" t="str">
        <f t="shared" si="43"/>
        <v/>
      </c>
      <c r="S171" s="195" t="str">
        <f t="shared" si="44"/>
        <v/>
      </c>
      <c r="T171" s="196" t="str">
        <f t="shared" si="45"/>
        <v/>
      </c>
      <c r="V171" s="573" t="str">
        <f t="shared" si="46"/>
        <v/>
      </c>
      <c r="W171" s="573" t="str">
        <f t="shared" si="47"/>
        <v/>
      </c>
    </row>
    <row r="172" spans="1:23" ht="10.5" customHeight="1" outlineLevel="1">
      <c r="A172" s="361"/>
      <c r="B172" s="194"/>
      <c r="C172" s="205"/>
      <c r="D172" s="193"/>
      <c r="E172" s="194"/>
      <c r="F172" s="205"/>
      <c r="G172" s="193"/>
      <c r="H172" s="212" t="str">
        <f>IF(C172="","",Conc1(C172:D172,L$112,$V172,MolVol,C$114,C$115,H$114,H$115,VoF))</f>
        <v/>
      </c>
      <c r="I172" s="195" t="str">
        <f>IF(C172="","",Conc1V(C172:D172,L$112,$V172,MolVol,C$114,C$115,H$114,H$115,VoF,ReportVOC,MWC,$W172))</f>
        <v/>
      </c>
      <c r="J172" s="195" t="str">
        <f t="shared" si="39"/>
        <v/>
      </c>
      <c r="K172" s="213" t="str">
        <f t="shared" si="40"/>
        <v/>
      </c>
      <c r="L172" s="212" t="str">
        <f>IF(F172="","",Conc1(F172:G172,O$112,$V172,MolVol,F$114,F$115,L$114,L$115,VoF))</f>
        <v/>
      </c>
      <c r="M172" s="195" t="str">
        <f>IF(F172="","",Conc1V(F172:G172,O$112,$V172,MolVol,F$114,F$115,L$114,L$115,VoF,ReportVOC,MWC,$W172))</f>
        <v/>
      </c>
      <c r="N172" s="195" t="str">
        <f t="shared" si="41"/>
        <v/>
      </c>
      <c r="O172" s="196" t="str">
        <f t="shared" si="42"/>
        <v/>
      </c>
      <c r="P172" s="14"/>
      <c r="Q172" s="468" t="str">
        <f t="shared" si="38"/>
        <v/>
      </c>
      <c r="R172" s="212" t="str">
        <f t="shared" si="43"/>
        <v/>
      </c>
      <c r="S172" s="195" t="str">
        <f t="shared" si="44"/>
        <v/>
      </c>
      <c r="T172" s="196" t="str">
        <f t="shared" si="45"/>
        <v/>
      </c>
      <c r="V172" s="573" t="str">
        <f t="shared" si="46"/>
        <v/>
      </c>
      <c r="W172" s="573" t="str">
        <f t="shared" si="47"/>
        <v/>
      </c>
    </row>
    <row r="173" spans="1:23" ht="10.5" customHeight="1" outlineLevel="1">
      <c r="A173" s="361"/>
      <c r="B173" s="194"/>
      <c r="C173" s="205"/>
      <c r="D173" s="193"/>
      <c r="E173" s="194"/>
      <c r="F173" s="205"/>
      <c r="G173" s="193"/>
      <c r="H173" s="212" t="str">
        <f>IF(C173="","",Conc1(C173:D173,L$112,$V173,MolVol,C$114,C$115,H$114,H$115,VoF))</f>
        <v/>
      </c>
      <c r="I173" s="195" t="str">
        <f>IF(C173="","",Conc1V(C173:D173,L$112,$V173,MolVol,C$114,C$115,H$114,H$115,VoF,ReportVOC,MWC,$W173))</f>
        <v/>
      </c>
      <c r="J173" s="195" t="str">
        <f t="shared" si="39"/>
        <v/>
      </c>
      <c r="K173" s="213" t="str">
        <f t="shared" si="40"/>
        <v/>
      </c>
      <c r="L173" s="212" t="str">
        <f>IF(F173="","",Conc1(F173:G173,O$112,$V173,MolVol,F$114,F$115,L$114,L$115,VoF))</f>
        <v/>
      </c>
      <c r="M173" s="195" t="str">
        <f>IF(F173="","",Conc1V(F173:G173,O$112,$V173,MolVol,F$114,F$115,L$114,L$115,VoF,ReportVOC,MWC,$W173))</f>
        <v/>
      </c>
      <c r="N173" s="195" t="str">
        <f t="shared" si="41"/>
        <v/>
      </c>
      <c r="O173" s="196" t="str">
        <f t="shared" si="42"/>
        <v/>
      </c>
      <c r="P173" s="14"/>
      <c r="Q173" s="468" t="str">
        <f t="shared" si="38"/>
        <v/>
      </c>
      <c r="R173" s="212" t="str">
        <f t="shared" si="43"/>
        <v/>
      </c>
      <c r="S173" s="195" t="str">
        <f t="shared" si="44"/>
        <v/>
      </c>
      <c r="T173" s="196" t="str">
        <f t="shared" si="45"/>
        <v/>
      </c>
      <c r="V173" s="573" t="str">
        <f t="shared" si="46"/>
        <v/>
      </c>
      <c r="W173" s="573" t="str">
        <f t="shared" si="47"/>
        <v/>
      </c>
    </row>
    <row r="174" spans="1:23" ht="10.5" customHeight="1" outlineLevel="1">
      <c r="A174" s="361"/>
      <c r="B174" s="194"/>
      <c r="C174" s="205"/>
      <c r="D174" s="193"/>
      <c r="E174" s="194"/>
      <c r="F174" s="205"/>
      <c r="G174" s="193"/>
      <c r="H174" s="212" t="str">
        <f>IF(C174="","",Conc1(C174:D174,L$112,$V174,MolVol,C$114,C$115,H$114,H$115,VoF))</f>
        <v/>
      </c>
      <c r="I174" s="195" t="str">
        <f>IF(C174="","",Conc1V(C174:D174,L$112,$V174,MolVol,C$114,C$115,H$114,H$115,VoF,ReportVOC,MWC,$W174))</f>
        <v/>
      </c>
      <c r="J174" s="195" t="str">
        <f t="shared" si="39"/>
        <v/>
      </c>
      <c r="K174" s="213" t="str">
        <f t="shared" si="40"/>
        <v/>
      </c>
      <c r="L174" s="212" t="str">
        <f>IF(F174="","",Conc1(F174:G174,O$112,$V174,MolVol,F$114,F$115,L$114,L$115,VoF))</f>
        <v/>
      </c>
      <c r="M174" s="195" t="str">
        <f>IF(F174="","",Conc1V(F174:G174,O$112,$V174,MolVol,F$114,F$115,L$114,L$115,VoF,ReportVOC,MWC,$W174))</f>
        <v/>
      </c>
      <c r="N174" s="195" t="str">
        <f t="shared" si="41"/>
        <v/>
      </c>
      <c r="O174" s="196" t="str">
        <f t="shared" si="42"/>
        <v/>
      </c>
      <c r="P174" s="14"/>
      <c r="Q174" s="468" t="str">
        <f t="shared" si="38"/>
        <v/>
      </c>
      <c r="R174" s="212" t="str">
        <f t="shared" si="43"/>
        <v/>
      </c>
      <c r="S174" s="195" t="str">
        <f t="shared" si="44"/>
        <v/>
      </c>
      <c r="T174" s="196" t="str">
        <f t="shared" si="45"/>
        <v/>
      </c>
      <c r="V174" s="573" t="str">
        <f t="shared" si="46"/>
        <v/>
      </c>
      <c r="W174" s="573" t="str">
        <f t="shared" si="47"/>
        <v/>
      </c>
    </row>
    <row r="175" spans="1:23" ht="10.5" customHeight="1" outlineLevel="1">
      <c r="A175" s="361"/>
      <c r="B175" s="194"/>
      <c r="C175" s="205"/>
      <c r="D175" s="193"/>
      <c r="E175" s="194"/>
      <c r="F175" s="205"/>
      <c r="G175" s="193"/>
      <c r="H175" s="212" t="str">
        <f>IF(C175="","",Conc1(C175:D175,L$112,$V175,MolVol,C$114,C$115,H$114,H$115,VoF))</f>
        <v/>
      </c>
      <c r="I175" s="195" t="str">
        <f>IF(C175="","",Conc1V(C175:D175,L$112,$V175,MolVol,C$114,C$115,H$114,H$115,VoF,ReportVOC,MWC,$W175))</f>
        <v/>
      </c>
      <c r="J175" s="195" t="str">
        <f t="shared" si="39"/>
        <v/>
      </c>
      <c r="K175" s="213" t="str">
        <f t="shared" si="40"/>
        <v/>
      </c>
      <c r="L175" s="212" t="str">
        <f>IF(F175="","",Conc1(F175:G175,O$112,$V175,MolVol,F$114,F$115,L$114,L$115,VoF))</f>
        <v/>
      </c>
      <c r="M175" s="195" t="str">
        <f>IF(F175="","",Conc1V(F175:G175,O$112,$V175,MolVol,F$114,F$115,L$114,L$115,VoF,ReportVOC,MWC,$W175))</f>
        <v/>
      </c>
      <c r="N175" s="195" t="str">
        <f t="shared" si="41"/>
        <v/>
      </c>
      <c r="O175" s="196" t="str">
        <f t="shared" si="42"/>
        <v/>
      </c>
      <c r="P175" s="14"/>
      <c r="Q175" s="468" t="str">
        <f t="shared" si="38"/>
        <v/>
      </c>
      <c r="R175" s="212" t="str">
        <f t="shared" si="43"/>
        <v/>
      </c>
      <c r="S175" s="195" t="str">
        <f t="shared" si="44"/>
        <v/>
      </c>
      <c r="T175" s="196" t="str">
        <f t="shared" si="45"/>
        <v/>
      </c>
      <c r="V175" s="573" t="str">
        <f t="shared" si="46"/>
        <v/>
      </c>
      <c r="W175" s="573" t="str">
        <f t="shared" si="47"/>
        <v/>
      </c>
    </row>
    <row r="176" spans="1:23" ht="10.5" customHeight="1" outlineLevel="1">
      <c r="A176" s="361"/>
      <c r="B176" s="194"/>
      <c r="C176" s="205"/>
      <c r="D176" s="193"/>
      <c r="E176" s="194"/>
      <c r="F176" s="205"/>
      <c r="G176" s="193"/>
      <c r="H176" s="212" t="str">
        <f>IF(C176="","",Conc1(C176:D176,L$112,$V176,MolVol,C$114,C$115,H$114,H$115,VoF))</f>
        <v/>
      </c>
      <c r="I176" s="195" t="str">
        <f>IF(C176="","",Conc1V(C176:D176,L$112,$V176,MolVol,C$114,C$115,H$114,H$115,VoF,ReportVOC,MWC,$W176))</f>
        <v/>
      </c>
      <c r="J176" s="195" t="str">
        <f t="shared" si="39"/>
        <v/>
      </c>
      <c r="K176" s="213" t="str">
        <f t="shared" si="40"/>
        <v/>
      </c>
      <c r="L176" s="212" t="str">
        <f>IF(F176="","",Conc1(F176:G176,O$112,$V176,MolVol,F$114,F$115,L$114,L$115,VoF))</f>
        <v/>
      </c>
      <c r="M176" s="195" t="str">
        <f>IF(F176="","",Conc1V(F176:G176,O$112,$V176,MolVol,F$114,F$115,L$114,L$115,VoF,ReportVOC,MWC,$W176))</f>
        <v/>
      </c>
      <c r="N176" s="195" t="str">
        <f t="shared" si="41"/>
        <v/>
      </c>
      <c r="O176" s="196" t="str">
        <f t="shared" si="42"/>
        <v/>
      </c>
      <c r="P176" s="14"/>
      <c r="Q176" s="468" t="str">
        <f t="shared" si="38"/>
        <v/>
      </c>
      <c r="R176" s="212" t="str">
        <f t="shared" si="43"/>
        <v/>
      </c>
      <c r="S176" s="195" t="str">
        <f t="shared" si="44"/>
        <v/>
      </c>
      <c r="T176" s="196" t="str">
        <f t="shared" si="45"/>
        <v/>
      </c>
      <c r="V176" s="573" t="str">
        <f t="shared" si="46"/>
        <v/>
      </c>
      <c r="W176" s="573" t="str">
        <f t="shared" si="47"/>
        <v/>
      </c>
    </row>
    <row r="177" spans="1:23" ht="10.5" customHeight="1" outlineLevel="1">
      <c r="A177" s="361"/>
      <c r="B177" s="194"/>
      <c r="C177" s="205"/>
      <c r="D177" s="193"/>
      <c r="E177" s="194"/>
      <c r="F177" s="205"/>
      <c r="G177" s="193"/>
      <c r="H177" s="212" t="str">
        <f>IF(C177="","",Conc1(C177:D177,L$112,$V177,MolVol,C$114,C$115,H$114,H$115,VoF))</f>
        <v/>
      </c>
      <c r="I177" s="195" t="str">
        <f>IF(C177="","",Conc1V(C177:D177,L$112,$V177,MolVol,C$114,C$115,H$114,H$115,VoF,ReportVOC,MWC,$W177))</f>
        <v/>
      </c>
      <c r="J177" s="195" t="str">
        <f t="shared" si="39"/>
        <v/>
      </c>
      <c r="K177" s="213" t="str">
        <f t="shared" si="40"/>
        <v/>
      </c>
      <c r="L177" s="212" t="str">
        <f>IF(F177="","",Conc1(F177:G177,O$112,$V177,MolVol,F$114,F$115,L$114,L$115,VoF))</f>
        <v/>
      </c>
      <c r="M177" s="195" t="str">
        <f>IF(F177="","",Conc1V(F177:G177,O$112,$V177,MolVol,F$114,F$115,L$114,L$115,VoF,ReportVOC,MWC,$W177))</f>
        <v/>
      </c>
      <c r="N177" s="195" t="str">
        <f t="shared" si="41"/>
        <v/>
      </c>
      <c r="O177" s="196" t="str">
        <f t="shared" si="42"/>
        <v/>
      </c>
      <c r="P177" s="14"/>
      <c r="Q177" s="468" t="str">
        <f t="shared" si="38"/>
        <v/>
      </c>
      <c r="R177" s="212" t="str">
        <f t="shared" si="43"/>
        <v/>
      </c>
      <c r="S177" s="195" t="str">
        <f t="shared" si="44"/>
        <v/>
      </c>
      <c r="T177" s="196" t="str">
        <f t="shared" si="45"/>
        <v/>
      </c>
      <c r="V177" s="573" t="str">
        <f t="shared" si="46"/>
        <v/>
      </c>
      <c r="W177" s="573" t="str">
        <f t="shared" si="47"/>
        <v/>
      </c>
    </row>
    <row r="178" spans="1:23" ht="10.5" customHeight="1" outlineLevel="1">
      <c r="A178" s="361"/>
      <c r="B178" s="194"/>
      <c r="C178" s="205"/>
      <c r="D178" s="193"/>
      <c r="E178" s="194"/>
      <c r="F178" s="205"/>
      <c r="G178" s="193"/>
      <c r="H178" s="212" t="str">
        <f>IF(C178="","",Conc1(C178:D178,L$112,$V178,MolVol,C$114,C$115,H$114,H$115,VoF))</f>
        <v/>
      </c>
      <c r="I178" s="195" t="str">
        <f>IF(C178="","",Conc1V(C178:D178,L$112,$V178,MolVol,C$114,C$115,H$114,H$115,VoF,ReportVOC,MWC,$W178))</f>
        <v/>
      </c>
      <c r="J178" s="195" t="str">
        <f t="shared" si="39"/>
        <v/>
      </c>
      <c r="K178" s="213" t="str">
        <f t="shared" si="40"/>
        <v/>
      </c>
      <c r="L178" s="212" t="str">
        <f>IF(F178="","",Conc1(F178:G178,O$112,$V178,MolVol,F$114,F$115,L$114,L$115,VoF))</f>
        <v/>
      </c>
      <c r="M178" s="195" t="str">
        <f>IF(F178="","",Conc1V(F178:G178,O$112,$V178,MolVol,F$114,F$115,L$114,L$115,VoF,ReportVOC,MWC,$W178))</f>
        <v/>
      </c>
      <c r="N178" s="195" t="str">
        <f t="shared" si="41"/>
        <v/>
      </c>
      <c r="O178" s="196" t="str">
        <f t="shared" si="42"/>
        <v/>
      </c>
      <c r="P178" s="14"/>
      <c r="Q178" s="468" t="str">
        <f t="shared" si="38"/>
        <v/>
      </c>
      <c r="R178" s="212" t="str">
        <f t="shared" si="43"/>
        <v/>
      </c>
      <c r="S178" s="195" t="str">
        <f t="shared" si="44"/>
        <v/>
      </c>
      <c r="T178" s="196" t="str">
        <f t="shared" si="45"/>
        <v/>
      </c>
      <c r="V178" s="573" t="str">
        <f t="shared" si="46"/>
        <v/>
      </c>
      <c r="W178" s="573" t="str">
        <f t="shared" si="47"/>
        <v/>
      </c>
    </row>
    <row r="179" spans="1:23" ht="10.5" customHeight="1" outlineLevel="1">
      <c r="A179" s="361"/>
      <c r="B179" s="194"/>
      <c r="C179" s="205"/>
      <c r="D179" s="193"/>
      <c r="E179" s="194"/>
      <c r="F179" s="205"/>
      <c r="G179" s="193"/>
      <c r="H179" s="212" t="str">
        <f>IF(C179="","",Conc1(C179:D179,L$112,$V179,MolVol,C$114,C$115,H$114,H$115,VoF))</f>
        <v/>
      </c>
      <c r="I179" s="195" t="str">
        <f>IF(C179="","",Conc1V(C179:D179,L$112,$V179,MolVol,C$114,C$115,H$114,H$115,VoF,ReportVOC,MWC,$W179))</f>
        <v/>
      </c>
      <c r="J179" s="195" t="str">
        <f t="shared" si="39"/>
        <v/>
      </c>
      <c r="K179" s="213" t="str">
        <f t="shared" si="40"/>
        <v/>
      </c>
      <c r="L179" s="212" t="str">
        <f>IF(F179="","",Conc1(F179:G179,O$112,$V179,MolVol,F$114,F$115,L$114,L$115,VoF))</f>
        <v/>
      </c>
      <c r="M179" s="195" t="str">
        <f>IF(F179="","",Conc1V(F179:G179,O$112,$V179,MolVol,F$114,F$115,L$114,L$115,VoF,ReportVOC,MWC,$W179))</f>
        <v/>
      </c>
      <c r="N179" s="195" t="str">
        <f t="shared" si="41"/>
        <v/>
      </c>
      <c r="O179" s="196" t="str">
        <f t="shared" si="42"/>
        <v/>
      </c>
      <c r="P179" s="14"/>
      <c r="Q179" s="468" t="str">
        <f t="shared" si="38"/>
        <v/>
      </c>
      <c r="R179" s="212" t="str">
        <f t="shared" si="43"/>
        <v/>
      </c>
      <c r="S179" s="195" t="str">
        <f t="shared" si="44"/>
        <v/>
      </c>
      <c r="T179" s="196" t="str">
        <f t="shared" si="45"/>
        <v/>
      </c>
      <c r="V179" s="573" t="str">
        <f t="shared" si="46"/>
        <v/>
      </c>
      <c r="W179" s="573" t="str">
        <f t="shared" si="47"/>
        <v/>
      </c>
    </row>
    <row r="180" spans="1:23" ht="10.5" customHeight="1" outlineLevel="1">
      <c r="A180" s="361"/>
      <c r="B180" s="194"/>
      <c r="C180" s="205"/>
      <c r="D180" s="193"/>
      <c r="E180" s="194"/>
      <c r="F180" s="205"/>
      <c r="G180" s="193"/>
      <c r="H180" s="212" t="str">
        <f>IF(C180="","",Conc1(C180:D180,L$112,$V180,MolVol,C$114,C$115,H$114,H$115,VoF))</f>
        <v/>
      </c>
      <c r="I180" s="195" t="str">
        <f>IF(C180="","",Conc1V(C180:D180,L$112,$V180,MolVol,C$114,C$115,H$114,H$115,VoF,ReportVOC,MWC,$W180))</f>
        <v/>
      </c>
      <c r="J180" s="195" t="str">
        <f t="shared" ref="J180:J211" si="48">IF(H180="","",H180*O2correction*CO2correction)</f>
        <v/>
      </c>
      <c r="K180" s="213" t="str">
        <f t="shared" ref="K180:K211" si="49">IF(C180="","",MassRate(H180,$V180,MolVol,H$114,H$115,MRU,MRF,AverageFlowDry,FF))</f>
        <v/>
      </c>
      <c r="L180" s="212" t="str">
        <f>IF(F180="","",Conc1(F180:G180,O$112,$V180,MolVol,F$114,F$115,L$114,L$115,VoF))</f>
        <v/>
      </c>
      <c r="M180" s="195" t="str">
        <f>IF(F180="","",Conc1V(F180:G180,O$112,$V180,MolVol,F$114,F$115,L$114,L$115,VoF,ReportVOC,MWC,$W180))</f>
        <v/>
      </c>
      <c r="N180" s="195" t="str">
        <f t="shared" ref="N180:N211" si="50">IF(L180="","",L180*O2correction*CO2correction)</f>
        <v/>
      </c>
      <c r="O180" s="196" t="str">
        <f t="shared" ref="O180:O211" si="51">IF(F180="","",MassRate(L180,$V180,MolVol,L$114,L$115,MRU,MRF,AverageFlowDry,FF))</f>
        <v/>
      </c>
      <c r="P180" s="14"/>
      <c r="Q180" s="468" t="str">
        <f t="shared" si="38"/>
        <v/>
      </c>
      <c r="R180" s="212" t="str">
        <f t="shared" ref="R180:R211" si="52">IF(OR(ISNUMBER(C180),ISNUMBER(F180)),AVERAGE(H180,L180),"")</f>
        <v/>
      </c>
      <c r="S180" s="195" t="str">
        <f t="shared" ref="S180:S211" si="53">IF(ISNUMBER(R180),R180*O2correction*CO2correction,"")</f>
        <v/>
      </c>
      <c r="T180" s="196" t="str">
        <f t="shared" ref="T180:T211" si="54">IF(OR(ISNUMBER(K180),ISNUMBER(O180)),AVERAGE(K180,O180),"")</f>
        <v/>
      </c>
      <c r="V180" s="573" t="str">
        <f t="shared" ref="V180:V211" si="55">IF($A180="","",VLOOKUP($A180,VOCtable,2,FALSE))</f>
        <v/>
      </c>
      <c r="W180" s="573" t="str">
        <f t="shared" ref="W180:W211" si="56">IF($A180="","",VLOOKUP($A180,VOCtable,3,FALSE))</f>
        <v/>
      </c>
    </row>
    <row r="181" spans="1:23" ht="10.5" customHeight="1" outlineLevel="1">
      <c r="A181" s="361"/>
      <c r="B181" s="194"/>
      <c r="C181" s="205"/>
      <c r="D181" s="193"/>
      <c r="E181" s="194"/>
      <c r="F181" s="205"/>
      <c r="G181" s="193"/>
      <c r="H181" s="212" t="str">
        <f>IF(C181="","",Conc1(C181:D181,L$112,$V181,MolVol,C$114,C$115,H$114,H$115,VoF))</f>
        <v/>
      </c>
      <c r="I181" s="195" t="str">
        <f>IF(C181="","",Conc1V(C181:D181,L$112,$V181,MolVol,C$114,C$115,H$114,H$115,VoF,ReportVOC,MWC,$W181))</f>
        <v/>
      </c>
      <c r="J181" s="195" t="str">
        <f t="shared" si="48"/>
        <v/>
      </c>
      <c r="K181" s="213" t="str">
        <f t="shared" si="49"/>
        <v/>
      </c>
      <c r="L181" s="212" t="str">
        <f>IF(F181="","",Conc1(F181:G181,O$112,$V181,MolVol,F$114,F$115,L$114,L$115,VoF))</f>
        <v/>
      </c>
      <c r="M181" s="195" t="str">
        <f>IF(F181="","",Conc1V(F181:G181,O$112,$V181,MolVol,F$114,F$115,L$114,L$115,VoF,ReportVOC,MWC,$W181))</f>
        <v/>
      </c>
      <c r="N181" s="195" t="str">
        <f t="shared" si="50"/>
        <v/>
      </c>
      <c r="O181" s="196" t="str">
        <f t="shared" si="51"/>
        <v/>
      </c>
      <c r="P181" s="14"/>
      <c r="Q181" s="468" t="str">
        <f t="shared" ref="Q181:Q211" si="57">IF(AND(ISTEXT(B181),ISTEXT(E181)),"&lt;",IF(OR(ISTEXT(B181),ISTEXT(E181)),"≤",""))</f>
        <v/>
      </c>
      <c r="R181" s="212" t="str">
        <f t="shared" si="52"/>
        <v/>
      </c>
      <c r="S181" s="195" t="str">
        <f t="shared" si="53"/>
        <v/>
      </c>
      <c r="T181" s="196" t="str">
        <f t="shared" si="54"/>
        <v/>
      </c>
      <c r="V181" s="573" t="str">
        <f t="shared" si="55"/>
        <v/>
      </c>
      <c r="W181" s="573" t="str">
        <f t="shared" si="56"/>
        <v/>
      </c>
    </row>
    <row r="182" spans="1:23" ht="10.5" customHeight="1" outlineLevel="1">
      <c r="A182" s="361"/>
      <c r="B182" s="194"/>
      <c r="C182" s="205"/>
      <c r="D182" s="193"/>
      <c r="E182" s="194"/>
      <c r="F182" s="205"/>
      <c r="G182" s="193"/>
      <c r="H182" s="212" t="str">
        <f>IF(C182="","",Conc1(C182:D182,L$112,$V182,MolVol,C$114,C$115,H$114,H$115,VoF))</f>
        <v/>
      </c>
      <c r="I182" s="195" t="str">
        <f>IF(C182="","",Conc1V(C182:D182,L$112,$V182,MolVol,C$114,C$115,H$114,H$115,VoF,ReportVOC,MWC,$W182))</f>
        <v/>
      </c>
      <c r="J182" s="195" t="str">
        <f t="shared" si="48"/>
        <v/>
      </c>
      <c r="K182" s="213" t="str">
        <f t="shared" si="49"/>
        <v/>
      </c>
      <c r="L182" s="212" t="str">
        <f>IF(F182="","",Conc1(F182:G182,O$112,$V182,MolVol,F$114,F$115,L$114,L$115,VoF))</f>
        <v/>
      </c>
      <c r="M182" s="195" t="str">
        <f>IF(F182="","",Conc1V(F182:G182,O$112,$V182,MolVol,F$114,F$115,L$114,L$115,VoF,ReportVOC,MWC,$W182))</f>
        <v/>
      </c>
      <c r="N182" s="195" t="str">
        <f t="shared" si="50"/>
        <v/>
      </c>
      <c r="O182" s="196" t="str">
        <f t="shared" si="51"/>
        <v/>
      </c>
      <c r="P182" s="14"/>
      <c r="Q182" s="468" t="str">
        <f t="shared" si="57"/>
        <v/>
      </c>
      <c r="R182" s="212" t="str">
        <f t="shared" si="52"/>
        <v/>
      </c>
      <c r="S182" s="195" t="str">
        <f t="shared" si="53"/>
        <v/>
      </c>
      <c r="T182" s="196" t="str">
        <f t="shared" si="54"/>
        <v/>
      </c>
      <c r="V182" s="573" t="str">
        <f t="shared" si="55"/>
        <v/>
      </c>
      <c r="W182" s="573" t="str">
        <f t="shared" si="56"/>
        <v/>
      </c>
    </row>
    <row r="183" spans="1:23" ht="10.5" customHeight="1" outlineLevel="1">
      <c r="A183" s="361"/>
      <c r="B183" s="194"/>
      <c r="C183" s="205"/>
      <c r="D183" s="193"/>
      <c r="E183" s="194"/>
      <c r="F183" s="205"/>
      <c r="G183" s="193"/>
      <c r="H183" s="212" t="str">
        <f>IF(C183="","",Conc1(C183:D183,L$112,$V183,MolVol,C$114,C$115,H$114,H$115,VoF))</f>
        <v/>
      </c>
      <c r="I183" s="195" t="str">
        <f>IF(C183="","",Conc1V(C183:D183,L$112,$V183,MolVol,C$114,C$115,H$114,H$115,VoF,ReportVOC,MWC,$W183))</f>
        <v/>
      </c>
      <c r="J183" s="195" t="str">
        <f t="shared" si="48"/>
        <v/>
      </c>
      <c r="K183" s="213" t="str">
        <f t="shared" si="49"/>
        <v/>
      </c>
      <c r="L183" s="212" t="str">
        <f>IF(F183="","",Conc1(F183:G183,O$112,$V183,MolVol,F$114,F$115,L$114,L$115,VoF))</f>
        <v/>
      </c>
      <c r="M183" s="195" t="str">
        <f>IF(F183="","",Conc1V(F183:G183,O$112,$V183,MolVol,F$114,F$115,L$114,L$115,VoF,ReportVOC,MWC,$W183))</f>
        <v/>
      </c>
      <c r="N183" s="195" t="str">
        <f t="shared" si="50"/>
        <v/>
      </c>
      <c r="O183" s="196" t="str">
        <f t="shared" si="51"/>
        <v/>
      </c>
      <c r="P183" s="14"/>
      <c r="Q183" s="468" t="str">
        <f t="shared" si="57"/>
        <v/>
      </c>
      <c r="R183" s="212" t="str">
        <f t="shared" si="52"/>
        <v/>
      </c>
      <c r="S183" s="195" t="str">
        <f t="shared" si="53"/>
        <v/>
      </c>
      <c r="T183" s="196" t="str">
        <f t="shared" si="54"/>
        <v/>
      </c>
      <c r="V183" s="573" t="str">
        <f t="shared" si="55"/>
        <v/>
      </c>
      <c r="W183" s="573" t="str">
        <f t="shared" si="56"/>
        <v/>
      </c>
    </row>
    <row r="184" spans="1:23" ht="10.5" customHeight="1" outlineLevel="1">
      <c r="A184" s="361"/>
      <c r="B184" s="194"/>
      <c r="C184" s="205"/>
      <c r="D184" s="193"/>
      <c r="E184" s="194"/>
      <c r="F184" s="205"/>
      <c r="G184" s="193"/>
      <c r="H184" s="212" t="str">
        <f>IF(C184="","",Conc1(C184:D184,L$112,$V184,MolVol,C$114,C$115,H$114,H$115,VoF))</f>
        <v/>
      </c>
      <c r="I184" s="195" t="str">
        <f>IF(C184="","",Conc1V(C184:D184,L$112,$V184,MolVol,C$114,C$115,H$114,H$115,VoF,ReportVOC,MWC,$W184))</f>
        <v/>
      </c>
      <c r="J184" s="195" t="str">
        <f t="shared" si="48"/>
        <v/>
      </c>
      <c r="K184" s="213" t="str">
        <f t="shared" si="49"/>
        <v/>
      </c>
      <c r="L184" s="212" t="str">
        <f>IF(F184="","",Conc1(F184:G184,O$112,$V184,MolVol,F$114,F$115,L$114,L$115,VoF))</f>
        <v/>
      </c>
      <c r="M184" s="195" t="str">
        <f>IF(F184="","",Conc1V(F184:G184,O$112,$V184,MolVol,F$114,F$115,L$114,L$115,VoF,ReportVOC,MWC,$W184))</f>
        <v/>
      </c>
      <c r="N184" s="195" t="str">
        <f t="shared" si="50"/>
        <v/>
      </c>
      <c r="O184" s="196" t="str">
        <f t="shared" si="51"/>
        <v/>
      </c>
      <c r="P184" s="14"/>
      <c r="Q184" s="468" t="str">
        <f t="shared" si="57"/>
        <v/>
      </c>
      <c r="R184" s="212" t="str">
        <f t="shared" si="52"/>
        <v/>
      </c>
      <c r="S184" s="195" t="str">
        <f t="shared" si="53"/>
        <v/>
      </c>
      <c r="T184" s="196" t="str">
        <f t="shared" si="54"/>
        <v/>
      </c>
      <c r="V184" s="573" t="str">
        <f t="shared" si="55"/>
        <v/>
      </c>
      <c r="W184" s="573" t="str">
        <f t="shared" si="56"/>
        <v/>
      </c>
    </row>
    <row r="185" spans="1:23" ht="10.5" customHeight="1" outlineLevel="1">
      <c r="A185" s="361"/>
      <c r="B185" s="194"/>
      <c r="C185" s="205"/>
      <c r="D185" s="193"/>
      <c r="E185" s="194"/>
      <c r="F185" s="205"/>
      <c r="G185" s="193"/>
      <c r="H185" s="212" t="str">
        <f>IF(C185="","",Conc1(C185:D185,L$112,$V185,MolVol,C$114,C$115,H$114,H$115,VoF))</f>
        <v/>
      </c>
      <c r="I185" s="195" t="str">
        <f>IF(C185="","",Conc1V(C185:D185,L$112,$V185,MolVol,C$114,C$115,H$114,H$115,VoF,ReportVOC,MWC,$W185))</f>
        <v/>
      </c>
      <c r="J185" s="195" t="str">
        <f t="shared" si="48"/>
        <v/>
      </c>
      <c r="K185" s="213" t="str">
        <f t="shared" si="49"/>
        <v/>
      </c>
      <c r="L185" s="212" t="str">
        <f>IF(F185="","",Conc1(F185:G185,O$112,$V185,MolVol,F$114,F$115,L$114,L$115,VoF))</f>
        <v/>
      </c>
      <c r="M185" s="195" t="str">
        <f>IF(F185="","",Conc1V(F185:G185,O$112,$V185,MolVol,F$114,F$115,L$114,L$115,VoF,ReportVOC,MWC,$W185))</f>
        <v/>
      </c>
      <c r="N185" s="195" t="str">
        <f t="shared" si="50"/>
        <v/>
      </c>
      <c r="O185" s="196" t="str">
        <f t="shared" si="51"/>
        <v/>
      </c>
      <c r="P185" s="14"/>
      <c r="Q185" s="468" t="str">
        <f t="shared" si="57"/>
        <v/>
      </c>
      <c r="R185" s="212" t="str">
        <f t="shared" si="52"/>
        <v/>
      </c>
      <c r="S185" s="195" t="str">
        <f t="shared" si="53"/>
        <v/>
      </c>
      <c r="T185" s="196" t="str">
        <f t="shared" si="54"/>
        <v/>
      </c>
      <c r="V185" s="573" t="str">
        <f t="shared" si="55"/>
        <v/>
      </c>
      <c r="W185" s="573" t="str">
        <f t="shared" si="56"/>
        <v/>
      </c>
    </row>
    <row r="186" spans="1:23" ht="10.5" customHeight="1" outlineLevel="1">
      <c r="A186" s="361"/>
      <c r="B186" s="194"/>
      <c r="C186" s="205"/>
      <c r="D186" s="193"/>
      <c r="E186" s="194"/>
      <c r="F186" s="205"/>
      <c r="G186" s="193"/>
      <c r="H186" s="212" t="str">
        <f>IF(C186="","",Conc1(C186:D186,L$112,$V186,MolVol,C$114,C$115,H$114,H$115,VoF))</f>
        <v/>
      </c>
      <c r="I186" s="195" t="str">
        <f>IF(C186="","",Conc1V(C186:D186,L$112,$V186,MolVol,C$114,C$115,H$114,H$115,VoF,ReportVOC,MWC,$W186))</f>
        <v/>
      </c>
      <c r="J186" s="195" t="str">
        <f t="shared" si="48"/>
        <v/>
      </c>
      <c r="K186" s="213" t="str">
        <f t="shared" si="49"/>
        <v/>
      </c>
      <c r="L186" s="212" t="str">
        <f>IF(F186="","",Conc1(F186:G186,O$112,$V186,MolVol,F$114,F$115,L$114,L$115,VoF))</f>
        <v/>
      </c>
      <c r="M186" s="195" t="str">
        <f>IF(F186="","",Conc1V(F186:G186,O$112,$V186,MolVol,F$114,F$115,L$114,L$115,VoF,ReportVOC,MWC,$W186))</f>
        <v/>
      </c>
      <c r="N186" s="195" t="str">
        <f t="shared" si="50"/>
        <v/>
      </c>
      <c r="O186" s="196" t="str">
        <f t="shared" si="51"/>
        <v/>
      </c>
      <c r="P186" s="14"/>
      <c r="Q186" s="468" t="str">
        <f t="shared" si="57"/>
        <v/>
      </c>
      <c r="R186" s="212" t="str">
        <f t="shared" si="52"/>
        <v/>
      </c>
      <c r="S186" s="195" t="str">
        <f t="shared" si="53"/>
        <v/>
      </c>
      <c r="T186" s="196" t="str">
        <f t="shared" si="54"/>
        <v/>
      </c>
      <c r="V186" s="573" t="str">
        <f t="shared" si="55"/>
        <v/>
      </c>
      <c r="W186" s="573" t="str">
        <f t="shared" si="56"/>
        <v/>
      </c>
    </row>
    <row r="187" spans="1:23" ht="10.5" customHeight="1" outlineLevel="1">
      <c r="A187" s="361"/>
      <c r="B187" s="194"/>
      <c r="C187" s="205"/>
      <c r="D187" s="193"/>
      <c r="E187" s="194"/>
      <c r="F187" s="205"/>
      <c r="G187" s="193"/>
      <c r="H187" s="212" t="str">
        <f>IF(C187="","",Conc1(C187:D187,L$112,$V187,MolVol,C$114,C$115,H$114,H$115,VoF))</f>
        <v/>
      </c>
      <c r="I187" s="195" t="str">
        <f>IF(C187="","",Conc1V(C187:D187,L$112,$V187,MolVol,C$114,C$115,H$114,H$115,VoF,ReportVOC,MWC,$W187))</f>
        <v/>
      </c>
      <c r="J187" s="195" t="str">
        <f t="shared" si="48"/>
        <v/>
      </c>
      <c r="K187" s="213" t="str">
        <f t="shared" si="49"/>
        <v/>
      </c>
      <c r="L187" s="212" t="str">
        <f>IF(F187="","",Conc1(F187:G187,O$112,$V187,MolVol,F$114,F$115,L$114,L$115,VoF))</f>
        <v/>
      </c>
      <c r="M187" s="195" t="str">
        <f>IF(F187="","",Conc1V(F187:G187,O$112,$V187,MolVol,F$114,F$115,L$114,L$115,VoF,ReportVOC,MWC,$W187))</f>
        <v/>
      </c>
      <c r="N187" s="195" t="str">
        <f t="shared" si="50"/>
        <v/>
      </c>
      <c r="O187" s="196" t="str">
        <f t="shared" si="51"/>
        <v/>
      </c>
      <c r="P187" s="14"/>
      <c r="Q187" s="468" t="str">
        <f t="shared" si="57"/>
        <v/>
      </c>
      <c r="R187" s="212" t="str">
        <f t="shared" si="52"/>
        <v/>
      </c>
      <c r="S187" s="195" t="str">
        <f t="shared" si="53"/>
        <v/>
      </c>
      <c r="T187" s="196" t="str">
        <f t="shared" si="54"/>
        <v/>
      </c>
      <c r="V187" s="573" t="str">
        <f t="shared" si="55"/>
        <v/>
      </c>
      <c r="W187" s="573" t="str">
        <f t="shared" si="56"/>
        <v/>
      </c>
    </row>
    <row r="188" spans="1:23" ht="10.5" customHeight="1" outlineLevel="1">
      <c r="A188" s="361"/>
      <c r="B188" s="194"/>
      <c r="C188" s="205"/>
      <c r="D188" s="193"/>
      <c r="E188" s="194"/>
      <c r="F188" s="205"/>
      <c r="G188" s="193"/>
      <c r="H188" s="212" t="str">
        <f>IF(C188="","",Conc1(C188:D188,L$112,$V188,MolVol,C$114,C$115,H$114,H$115,VoF))</f>
        <v/>
      </c>
      <c r="I188" s="195" t="str">
        <f>IF(C188="","",Conc1V(C188:D188,L$112,$V188,MolVol,C$114,C$115,H$114,H$115,VoF,ReportVOC,MWC,$W188))</f>
        <v/>
      </c>
      <c r="J188" s="195" t="str">
        <f t="shared" si="48"/>
        <v/>
      </c>
      <c r="K188" s="213" t="str">
        <f t="shared" si="49"/>
        <v/>
      </c>
      <c r="L188" s="212" t="str">
        <f>IF(F188="","",Conc1(F188:G188,O$112,$V188,MolVol,F$114,F$115,L$114,L$115,VoF))</f>
        <v/>
      </c>
      <c r="M188" s="195" t="str">
        <f>IF(F188="","",Conc1V(F188:G188,O$112,$V188,MolVol,F$114,F$115,L$114,L$115,VoF,ReportVOC,MWC,$W188))</f>
        <v/>
      </c>
      <c r="N188" s="195" t="str">
        <f t="shared" si="50"/>
        <v/>
      </c>
      <c r="O188" s="196" t="str">
        <f t="shared" si="51"/>
        <v/>
      </c>
      <c r="P188" s="14"/>
      <c r="Q188" s="468" t="str">
        <f t="shared" si="57"/>
        <v/>
      </c>
      <c r="R188" s="212" t="str">
        <f t="shared" si="52"/>
        <v/>
      </c>
      <c r="S188" s="195" t="str">
        <f t="shared" si="53"/>
        <v/>
      </c>
      <c r="T188" s="196" t="str">
        <f t="shared" si="54"/>
        <v/>
      </c>
      <c r="V188" s="573" t="str">
        <f t="shared" si="55"/>
        <v/>
      </c>
      <c r="W188" s="573" t="str">
        <f t="shared" si="56"/>
        <v/>
      </c>
    </row>
    <row r="189" spans="1:23" ht="10.5" customHeight="1" outlineLevel="1">
      <c r="A189" s="361"/>
      <c r="B189" s="194"/>
      <c r="C189" s="205"/>
      <c r="D189" s="193"/>
      <c r="E189" s="194"/>
      <c r="F189" s="205"/>
      <c r="G189" s="193"/>
      <c r="H189" s="212" t="str">
        <f>IF(C189="","",Conc1(C189:D189,L$112,$V189,MolVol,C$114,C$115,H$114,H$115,VoF))</f>
        <v/>
      </c>
      <c r="I189" s="195" t="str">
        <f>IF(C189="","",Conc1V(C189:D189,L$112,$V189,MolVol,C$114,C$115,H$114,H$115,VoF,ReportVOC,MWC,$W189))</f>
        <v/>
      </c>
      <c r="J189" s="195" t="str">
        <f t="shared" si="48"/>
        <v/>
      </c>
      <c r="K189" s="213" t="str">
        <f t="shared" si="49"/>
        <v/>
      </c>
      <c r="L189" s="212" t="str">
        <f>IF(F189="","",Conc1(F189:G189,O$112,$V189,MolVol,F$114,F$115,L$114,L$115,VoF))</f>
        <v/>
      </c>
      <c r="M189" s="195" t="str">
        <f>IF(F189="","",Conc1V(F189:G189,O$112,$V189,MolVol,F$114,F$115,L$114,L$115,VoF,ReportVOC,MWC,$W189))</f>
        <v/>
      </c>
      <c r="N189" s="195" t="str">
        <f t="shared" si="50"/>
        <v/>
      </c>
      <c r="O189" s="196" t="str">
        <f t="shared" si="51"/>
        <v/>
      </c>
      <c r="P189" s="14"/>
      <c r="Q189" s="468" t="str">
        <f t="shared" si="57"/>
        <v/>
      </c>
      <c r="R189" s="212" t="str">
        <f t="shared" si="52"/>
        <v/>
      </c>
      <c r="S189" s="195" t="str">
        <f t="shared" si="53"/>
        <v/>
      </c>
      <c r="T189" s="196" t="str">
        <f t="shared" si="54"/>
        <v/>
      </c>
      <c r="V189" s="573" t="str">
        <f t="shared" si="55"/>
        <v/>
      </c>
      <c r="W189" s="573" t="str">
        <f t="shared" si="56"/>
        <v/>
      </c>
    </row>
    <row r="190" spans="1:23" ht="10.5" customHeight="1" outlineLevel="1">
      <c r="A190" s="361"/>
      <c r="B190" s="194"/>
      <c r="C190" s="205"/>
      <c r="D190" s="193"/>
      <c r="E190" s="194"/>
      <c r="F190" s="205"/>
      <c r="G190" s="193"/>
      <c r="H190" s="212" t="str">
        <f>IF(C190="","",Conc1(C190:D190,L$112,$V190,MolVol,C$114,C$115,H$114,H$115,VoF))</f>
        <v/>
      </c>
      <c r="I190" s="195" t="str">
        <f>IF(C190="","",Conc1V(C190:D190,L$112,$V190,MolVol,C$114,C$115,H$114,H$115,VoF,ReportVOC,MWC,$W190))</f>
        <v/>
      </c>
      <c r="J190" s="195" t="str">
        <f t="shared" si="48"/>
        <v/>
      </c>
      <c r="K190" s="213" t="str">
        <f t="shared" si="49"/>
        <v/>
      </c>
      <c r="L190" s="212" t="str">
        <f>IF(F190="","",Conc1(F190:G190,O$112,$V190,MolVol,F$114,F$115,L$114,L$115,VoF))</f>
        <v/>
      </c>
      <c r="M190" s="195" t="str">
        <f>IF(F190="","",Conc1V(F190:G190,O$112,$V190,MolVol,F$114,F$115,L$114,L$115,VoF,ReportVOC,MWC,$W190))</f>
        <v/>
      </c>
      <c r="N190" s="195" t="str">
        <f t="shared" si="50"/>
        <v/>
      </c>
      <c r="O190" s="196" t="str">
        <f t="shared" si="51"/>
        <v/>
      </c>
      <c r="P190" s="14"/>
      <c r="Q190" s="468" t="str">
        <f t="shared" si="57"/>
        <v/>
      </c>
      <c r="R190" s="212" t="str">
        <f t="shared" si="52"/>
        <v/>
      </c>
      <c r="S190" s="195" t="str">
        <f t="shared" si="53"/>
        <v/>
      </c>
      <c r="T190" s="196" t="str">
        <f t="shared" si="54"/>
        <v/>
      </c>
      <c r="V190" s="573" t="str">
        <f t="shared" si="55"/>
        <v/>
      </c>
      <c r="W190" s="573" t="str">
        <f t="shared" si="56"/>
        <v/>
      </c>
    </row>
    <row r="191" spans="1:23" ht="10.5" customHeight="1" outlineLevel="1">
      <c r="A191" s="361"/>
      <c r="B191" s="194"/>
      <c r="C191" s="205"/>
      <c r="D191" s="193"/>
      <c r="E191" s="194"/>
      <c r="F191" s="205"/>
      <c r="G191" s="193"/>
      <c r="H191" s="212" t="str">
        <f>IF(C191="","",Conc1(C191:D191,L$112,$V191,MolVol,C$114,C$115,H$114,H$115,VoF))</f>
        <v/>
      </c>
      <c r="I191" s="195" t="str">
        <f>IF(C191="","",Conc1V(C191:D191,L$112,$V191,MolVol,C$114,C$115,H$114,H$115,VoF,ReportVOC,MWC,$W191))</f>
        <v/>
      </c>
      <c r="J191" s="195" t="str">
        <f t="shared" si="48"/>
        <v/>
      </c>
      <c r="K191" s="213" t="str">
        <f t="shared" si="49"/>
        <v/>
      </c>
      <c r="L191" s="212" t="str">
        <f>IF(F191="","",Conc1(F191:G191,O$112,$V191,MolVol,F$114,F$115,L$114,L$115,VoF))</f>
        <v/>
      </c>
      <c r="M191" s="195" t="str">
        <f>IF(F191="","",Conc1V(F191:G191,O$112,$V191,MolVol,F$114,F$115,L$114,L$115,VoF,ReportVOC,MWC,$W191))</f>
        <v/>
      </c>
      <c r="N191" s="195" t="str">
        <f t="shared" si="50"/>
        <v/>
      </c>
      <c r="O191" s="196" t="str">
        <f t="shared" si="51"/>
        <v/>
      </c>
      <c r="P191" s="14"/>
      <c r="Q191" s="468" t="str">
        <f t="shared" si="57"/>
        <v/>
      </c>
      <c r="R191" s="212" t="str">
        <f t="shared" si="52"/>
        <v/>
      </c>
      <c r="S191" s="195" t="str">
        <f t="shared" si="53"/>
        <v/>
      </c>
      <c r="T191" s="196" t="str">
        <f t="shared" si="54"/>
        <v/>
      </c>
      <c r="V191" s="573" t="str">
        <f t="shared" si="55"/>
        <v/>
      </c>
      <c r="W191" s="573" t="str">
        <f t="shared" si="56"/>
        <v/>
      </c>
    </row>
    <row r="192" spans="1:23" ht="10.5" customHeight="1" outlineLevel="1">
      <c r="A192" s="361"/>
      <c r="B192" s="194"/>
      <c r="C192" s="205"/>
      <c r="D192" s="193"/>
      <c r="E192" s="194"/>
      <c r="F192" s="205"/>
      <c r="G192" s="193"/>
      <c r="H192" s="212" t="str">
        <f>IF(C192="","",Conc1(C192:D192,L$112,$V192,MolVol,C$114,C$115,H$114,H$115,VoF))</f>
        <v/>
      </c>
      <c r="I192" s="195" t="str">
        <f>IF(C192="","",Conc1V(C192:D192,L$112,$V192,MolVol,C$114,C$115,H$114,H$115,VoF,ReportVOC,MWC,$W192))</f>
        <v/>
      </c>
      <c r="J192" s="195" t="str">
        <f t="shared" si="48"/>
        <v/>
      </c>
      <c r="K192" s="213" t="str">
        <f t="shared" si="49"/>
        <v/>
      </c>
      <c r="L192" s="212" t="str">
        <f>IF(F192="","",Conc1(F192:G192,O$112,$V192,MolVol,F$114,F$115,L$114,L$115,VoF))</f>
        <v/>
      </c>
      <c r="M192" s="195" t="str">
        <f>IF(F192="","",Conc1V(F192:G192,O$112,$V192,MolVol,F$114,F$115,L$114,L$115,VoF,ReportVOC,MWC,$W192))</f>
        <v/>
      </c>
      <c r="N192" s="195" t="str">
        <f t="shared" si="50"/>
        <v/>
      </c>
      <c r="O192" s="196" t="str">
        <f t="shared" si="51"/>
        <v/>
      </c>
      <c r="P192" s="14"/>
      <c r="Q192" s="468" t="str">
        <f t="shared" si="57"/>
        <v/>
      </c>
      <c r="R192" s="212" t="str">
        <f t="shared" si="52"/>
        <v/>
      </c>
      <c r="S192" s="195" t="str">
        <f t="shared" si="53"/>
        <v/>
      </c>
      <c r="T192" s="196" t="str">
        <f t="shared" si="54"/>
        <v/>
      </c>
      <c r="V192" s="573" t="str">
        <f t="shared" si="55"/>
        <v/>
      </c>
      <c r="W192" s="573" t="str">
        <f t="shared" si="56"/>
        <v/>
      </c>
    </row>
    <row r="193" spans="1:23" ht="10.5" customHeight="1" outlineLevel="1">
      <c r="A193" s="361"/>
      <c r="B193" s="194"/>
      <c r="C193" s="205"/>
      <c r="D193" s="193"/>
      <c r="E193" s="194"/>
      <c r="F193" s="205"/>
      <c r="G193" s="193"/>
      <c r="H193" s="212" t="str">
        <f>IF(C193="","",Conc1(C193:D193,L$112,$V193,MolVol,C$114,C$115,H$114,H$115,VoF))</f>
        <v/>
      </c>
      <c r="I193" s="195" t="str">
        <f>IF(C193="","",Conc1V(C193:D193,L$112,$V193,MolVol,C$114,C$115,H$114,H$115,VoF,ReportVOC,MWC,$W193))</f>
        <v/>
      </c>
      <c r="J193" s="195" t="str">
        <f t="shared" si="48"/>
        <v/>
      </c>
      <c r="K193" s="213" t="str">
        <f t="shared" si="49"/>
        <v/>
      </c>
      <c r="L193" s="212" t="str">
        <f>IF(F193="","",Conc1(F193:G193,O$112,$V193,MolVol,F$114,F$115,L$114,L$115,VoF))</f>
        <v/>
      </c>
      <c r="M193" s="195" t="str">
        <f>IF(F193="","",Conc1V(F193:G193,O$112,$V193,MolVol,F$114,F$115,L$114,L$115,VoF,ReportVOC,MWC,$W193))</f>
        <v/>
      </c>
      <c r="N193" s="195" t="str">
        <f t="shared" si="50"/>
        <v/>
      </c>
      <c r="O193" s="196" t="str">
        <f t="shared" si="51"/>
        <v/>
      </c>
      <c r="P193" s="14"/>
      <c r="Q193" s="468" t="str">
        <f t="shared" si="57"/>
        <v/>
      </c>
      <c r="R193" s="212" t="str">
        <f t="shared" si="52"/>
        <v/>
      </c>
      <c r="S193" s="195" t="str">
        <f t="shared" si="53"/>
        <v/>
      </c>
      <c r="T193" s="196" t="str">
        <f t="shared" si="54"/>
        <v/>
      </c>
      <c r="V193" s="573" t="str">
        <f t="shared" si="55"/>
        <v/>
      </c>
      <c r="W193" s="573" t="str">
        <f t="shared" si="56"/>
        <v/>
      </c>
    </row>
    <row r="194" spans="1:23" ht="10.5" customHeight="1" outlineLevel="1">
      <c r="A194" s="361"/>
      <c r="B194" s="194"/>
      <c r="C194" s="205"/>
      <c r="D194" s="193"/>
      <c r="E194" s="194"/>
      <c r="F194" s="205"/>
      <c r="G194" s="193"/>
      <c r="H194" s="212" t="str">
        <f>IF(C194="","",Conc1(C194:D194,L$112,$V194,MolVol,C$114,C$115,H$114,H$115,VoF))</f>
        <v/>
      </c>
      <c r="I194" s="195" t="str">
        <f>IF(C194="","",Conc1V(C194:D194,L$112,$V194,MolVol,C$114,C$115,H$114,H$115,VoF,ReportVOC,MWC,$W194))</f>
        <v/>
      </c>
      <c r="J194" s="195" t="str">
        <f t="shared" si="48"/>
        <v/>
      </c>
      <c r="K194" s="213" t="str">
        <f t="shared" si="49"/>
        <v/>
      </c>
      <c r="L194" s="212" t="str">
        <f>IF(F194="","",Conc1(F194:G194,O$112,$V194,MolVol,F$114,F$115,L$114,L$115,VoF))</f>
        <v/>
      </c>
      <c r="M194" s="195" t="str">
        <f>IF(F194="","",Conc1V(F194:G194,O$112,$V194,MolVol,F$114,F$115,L$114,L$115,VoF,ReportVOC,MWC,$W194))</f>
        <v/>
      </c>
      <c r="N194" s="195" t="str">
        <f t="shared" si="50"/>
        <v/>
      </c>
      <c r="O194" s="196" t="str">
        <f t="shared" si="51"/>
        <v/>
      </c>
      <c r="P194" s="14"/>
      <c r="Q194" s="468" t="str">
        <f t="shared" si="57"/>
        <v/>
      </c>
      <c r="R194" s="212" t="str">
        <f t="shared" si="52"/>
        <v/>
      </c>
      <c r="S194" s="195" t="str">
        <f t="shared" si="53"/>
        <v/>
      </c>
      <c r="T194" s="196" t="str">
        <f t="shared" si="54"/>
        <v/>
      </c>
      <c r="V194" s="573" t="str">
        <f t="shared" si="55"/>
        <v/>
      </c>
      <c r="W194" s="573" t="str">
        <f t="shared" si="56"/>
        <v/>
      </c>
    </row>
    <row r="195" spans="1:23" ht="10.5" customHeight="1" outlineLevel="1">
      <c r="A195" s="361"/>
      <c r="B195" s="194"/>
      <c r="C195" s="205"/>
      <c r="D195" s="193"/>
      <c r="E195" s="194"/>
      <c r="F195" s="205"/>
      <c r="G195" s="193"/>
      <c r="H195" s="212" t="str">
        <f>IF(C195="","",Conc1(C195:D195,L$112,$V195,MolVol,C$114,C$115,H$114,H$115,VoF))</f>
        <v/>
      </c>
      <c r="I195" s="195" t="str">
        <f>IF(C195="","",Conc1V(C195:D195,L$112,$V195,MolVol,C$114,C$115,H$114,H$115,VoF,ReportVOC,MWC,$W195))</f>
        <v/>
      </c>
      <c r="J195" s="195" t="str">
        <f t="shared" si="48"/>
        <v/>
      </c>
      <c r="K195" s="213" t="str">
        <f t="shared" si="49"/>
        <v/>
      </c>
      <c r="L195" s="212" t="str">
        <f>IF(F195="","",Conc1(F195:G195,O$112,$V195,MolVol,F$114,F$115,L$114,L$115,VoF))</f>
        <v/>
      </c>
      <c r="M195" s="195" t="str">
        <f>IF(F195="","",Conc1V(F195:G195,O$112,$V195,MolVol,F$114,F$115,L$114,L$115,VoF,ReportVOC,MWC,$W195))</f>
        <v/>
      </c>
      <c r="N195" s="195" t="str">
        <f t="shared" si="50"/>
        <v/>
      </c>
      <c r="O195" s="196" t="str">
        <f t="shared" si="51"/>
        <v/>
      </c>
      <c r="P195" s="14"/>
      <c r="Q195" s="468" t="str">
        <f t="shared" si="57"/>
        <v/>
      </c>
      <c r="R195" s="212" t="str">
        <f t="shared" si="52"/>
        <v/>
      </c>
      <c r="S195" s="195" t="str">
        <f t="shared" si="53"/>
        <v/>
      </c>
      <c r="T195" s="196" t="str">
        <f t="shared" si="54"/>
        <v/>
      </c>
      <c r="V195" s="573" t="str">
        <f t="shared" si="55"/>
        <v/>
      </c>
      <c r="W195" s="573" t="str">
        <f t="shared" si="56"/>
        <v/>
      </c>
    </row>
    <row r="196" spans="1:23" ht="10.5" customHeight="1" outlineLevel="1">
      <c r="A196" s="361"/>
      <c r="B196" s="194"/>
      <c r="C196" s="205"/>
      <c r="D196" s="193"/>
      <c r="E196" s="194"/>
      <c r="F196" s="205"/>
      <c r="G196" s="193"/>
      <c r="H196" s="212" t="str">
        <f>IF(C196="","",Conc1(C196:D196,L$112,$V196,MolVol,C$114,C$115,H$114,H$115,VoF))</f>
        <v/>
      </c>
      <c r="I196" s="195" t="str">
        <f>IF(C196="","",Conc1V(C196:D196,L$112,$V196,MolVol,C$114,C$115,H$114,H$115,VoF,ReportVOC,MWC,$W196))</f>
        <v/>
      </c>
      <c r="J196" s="195" t="str">
        <f t="shared" si="48"/>
        <v/>
      </c>
      <c r="K196" s="213" t="str">
        <f t="shared" si="49"/>
        <v/>
      </c>
      <c r="L196" s="212" t="str">
        <f>IF(F196="","",Conc1(F196:G196,O$112,$V196,MolVol,F$114,F$115,L$114,L$115,VoF))</f>
        <v/>
      </c>
      <c r="M196" s="195" t="str">
        <f>IF(F196="","",Conc1V(F196:G196,O$112,$V196,MolVol,F$114,F$115,L$114,L$115,VoF,ReportVOC,MWC,$W196))</f>
        <v/>
      </c>
      <c r="N196" s="195" t="str">
        <f t="shared" si="50"/>
        <v/>
      </c>
      <c r="O196" s="196" t="str">
        <f t="shared" si="51"/>
        <v/>
      </c>
      <c r="P196" s="14"/>
      <c r="Q196" s="468" t="str">
        <f t="shared" si="57"/>
        <v/>
      </c>
      <c r="R196" s="212" t="str">
        <f t="shared" si="52"/>
        <v/>
      </c>
      <c r="S196" s="195" t="str">
        <f t="shared" si="53"/>
        <v/>
      </c>
      <c r="T196" s="196" t="str">
        <f t="shared" si="54"/>
        <v/>
      </c>
      <c r="V196" s="573" t="str">
        <f t="shared" si="55"/>
        <v/>
      </c>
      <c r="W196" s="573" t="str">
        <f t="shared" si="56"/>
        <v/>
      </c>
    </row>
    <row r="197" spans="1:23" ht="10.5" customHeight="1" outlineLevel="1">
      <c r="A197" s="361"/>
      <c r="B197" s="194"/>
      <c r="C197" s="205"/>
      <c r="D197" s="193"/>
      <c r="E197" s="194"/>
      <c r="F197" s="205"/>
      <c r="G197" s="193"/>
      <c r="H197" s="212" t="str">
        <f>IF(C197="","",Conc1(C197:D197,L$112,$V197,MolVol,C$114,C$115,H$114,H$115,VoF))</f>
        <v/>
      </c>
      <c r="I197" s="195" t="str">
        <f>IF(C197="","",Conc1V(C197:D197,L$112,$V197,MolVol,C$114,C$115,H$114,H$115,VoF,ReportVOC,MWC,$W197))</f>
        <v/>
      </c>
      <c r="J197" s="195" t="str">
        <f t="shared" si="48"/>
        <v/>
      </c>
      <c r="K197" s="213" t="str">
        <f t="shared" si="49"/>
        <v/>
      </c>
      <c r="L197" s="212" t="str">
        <f>IF(F197="","",Conc1(F197:G197,O$112,$V197,MolVol,F$114,F$115,L$114,L$115,VoF))</f>
        <v/>
      </c>
      <c r="M197" s="195" t="str">
        <f>IF(F197="","",Conc1V(F197:G197,O$112,$V197,MolVol,F$114,F$115,L$114,L$115,VoF,ReportVOC,MWC,$W197))</f>
        <v/>
      </c>
      <c r="N197" s="195" t="str">
        <f t="shared" si="50"/>
        <v/>
      </c>
      <c r="O197" s="196" t="str">
        <f t="shared" si="51"/>
        <v/>
      </c>
      <c r="P197" s="14"/>
      <c r="Q197" s="468" t="str">
        <f t="shared" si="57"/>
        <v/>
      </c>
      <c r="R197" s="212" t="str">
        <f t="shared" si="52"/>
        <v/>
      </c>
      <c r="S197" s="195" t="str">
        <f t="shared" si="53"/>
        <v/>
      </c>
      <c r="T197" s="196" t="str">
        <f t="shared" si="54"/>
        <v/>
      </c>
      <c r="V197" s="573" t="str">
        <f t="shared" si="55"/>
        <v/>
      </c>
      <c r="W197" s="573" t="str">
        <f t="shared" si="56"/>
        <v/>
      </c>
    </row>
    <row r="198" spans="1:23" ht="10.5" customHeight="1" outlineLevel="1">
      <c r="A198" s="361"/>
      <c r="B198" s="194"/>
      <c r="C198" s="205"/>
      <c r="D198" s="193"/>
      <c r="E198" s="194"/>
      <c r="F198" s="205"/>
      <c r="G198" s="193"/>
      <c r="H198" s="212" t="str">
        <f>IF(C198="","",Conc1(C198:D198,L$112,$V198,MolVol,C$114,C$115,H$114,H$115,VoF))</f>
        <v/>
      </c>
      <c r="I198" s="195" t="str">
        <f>IF(C198="","",Conc1V(C198:D198,L$112,$V198,MolVol,C$114,C$115,H$114,H$115,VoF,ReportVOC,MWC,$W198))</f>
        <v/>
      </c>
      <c r="J198" s="195" t="str">
        <f t="shared" si="48"/>
        <v/>
      </c>
      <c r="K198" s="213" t="str">
        <f t="shared" si="49"/>
        <v/>
      </c>
      <c r="L198" s="212" t="str">
        <f>IF(F198="","",Conc1(F198:G198,O$112,$V198,MolVol,F$114,F$115,L$114,L$115,VoF))</f>
        <v/>
      </c>
      <c r="M198" s="195" t="str">
        <f>IF(F198="","",Conc1V(F198:G198,O$112,$V198,MolVol,F$114,F$115,L$114,L$115,VoF,ReportVOC,MWC,$W198))</f>
        <v/>
      </c>
      <c r="N198" s="195" t="str">
        <f t="shared" si="50"/>
        <v/>
      </c>
      <c r="O198" s="196" t="str">
        <f t="shared" si="51"/>
        <v/>
      </c>
      <c r="P198" s="14"/>
      <c r="Q198" s="468" t="str">
        <f t="shared" si="57"/>
        <v/>
      </c>
      <c r="R198" s="212" t="str">
        <f t="shared" si="52"/>
        <v/>
      </c>
      <c r="S198" s="195" t="str">
        <f t="shared" si="53"/>
        <v/>
      </c>
      <c r="T198" s="196" t="str">
        <f t="shared" si="54"/>
        <v/>
      </c>
      <c r="V198" s="573" t="str">
        <f t="shared" si="55"/>
        <v/>
      </c>
      <c r="W198" s="573" t="str">
        <f t="shared" si="56"/>
        <v/>
      </c>
    </row>
    <row r="199" spans="1:23" ht="10.5" customHeight="1" outlineLevel="1">
      <c r="A199" s="361"/>
      <c r="B199" s="194"/>
      <c r="C199" s="205"/>
      <c r="D199" s="193"/>
      <c r="E199" s="194"/>
      <c r="F199" s="205"/>
      <c r="G199" s="193"/>
      <c r="H199" s="212" t="str">
        <f>IF(C199="","",Conc1(C199:D199,L$112,$V199,MolVol,C$114,C$115,H$114,H$115,VoF))</f>
        <v/>
      </c>
      <c r="I199" s="195" t="str">
        <f>IF(C199="","",Conc1V(C199:D199,L$112,$V199,MolVol,C$114,C$115,H$114,H$115,VoF,ReportVOC,MWC,$W199))</f>
        <v/>
      </c>
      <c r="J199" s="195" t="str">
        <f t="shared" si="48"/>
        <v/>
      </c>
      <c r="K199" s="213" t="str">
        <f t="shared" si="49"/>
        <v/>
      </c>
      <c r="L199" s="212" t="str">
        <f>IF(F199="","",Conc1(F199:G199,O$112,$V199,MolVol,F$114,F$115,L$114,L$115,VoF))</f>
        <v/>
      </c>
      <c r="M199" s="195" t="str">
        <f>IF(F199="","",Conc1V(F199:G199,O$112,$V199,MolVol,F$114,F$115,L$114,L$115,VoF,ReportVOC,MWC,$W199))</f>
        <v/>
      </c>
      <c r="N199" s="195" t="str">
        <f t="shared" si="50"/>
        <v/>
      </c>
      <c r="O199" s="196" t="str">
        <f t="shared" si="51"/>
        <v/>
      </c>
      <c r="P199" s="14"/>
      <c r="Q199" s="468" t="str">
        <f t="shared" si="57"/>
        <v/>
      </c>
      <c r="R199" s="212" t="str">
        <f t="shared" si="52"/>
        <v/>
      </c>
      <c r="S199" s="195" t="str">
        <f t="shared" si="53"/>
        <v/>
      </c>
      <c r="T199" s="196" t="str">
        <f t="shared" si="54"/>
        <v/>
      </c>
      <c r="V199" s="573" t="str">
        <f t="shared" si="55"/>
        <v/>
      </c>
      <c r="W199" s="573" t="str">
        <f t="shared" si="56"/>
        <v/>
      </c>
    </row>
    <row r="200" spans="1:23" ht="10.5" customHeight="1" outlineLevel="1">
      <c r="A200" s="361"/>
      <c r="B200" s="194"/>
      <c r="C200" s="205"/>
      <c r="D200" s="193"/>
      <c r="E200" s="194"/>
      <c r="F200" s="205"/>
      <c r="G200" s="193"/>
      <c r="H200" s="212" t="str">
        <f>IF(C200="","",Conc1(C200:D200,L$112,$V200,MolVol,C$114,C$115,H$114,H$115,VoF))</f>
        <v/>
      </c>
      <c r="I200" s="195" t="str">
        <f>IF(C200="","",Conc1V(C200:D200,L$112,$V200,MolVol,C$114,C$115,H$114,H$115,VoF,ReportVOC,MWC,$W200))</f>
        <v/>
      </c>
      <c r="J200" s="195" t="str">
        <f t="shared" si="48"/>
        <v/>
      </c>
      <c r="K200" s="213" t="str">
        <f t="shared" si="49"/>
        <v/>
      </c>
      <c r="L200" s="212" t="str">
        <f>IF(F200="","",Conc1(F200:G200,O$112,$V200,MolVol,F$114,F$115,L$114,L$115,VoF))</f>
        <v/>
      </c>
      <c r="M200" s="195" t="str">
        <f>IF(F200="","",Conc1V(F200:G200,O$112,$V200,MolVol,F$114,F$115,L$114,L$115,VoF,ReportVOC,MWC,$W200))</f>
        <v/>
      </c>
      <c r="N200" s="195" t="str">
        <f t="shared" si="50"/>
        <v/>
      </c>
      <c r="O200" s="196" t="str">
        <f t="shared" si="51"/>
        <v/>
      </c>
      <c r="P200" s="14"/>
      <c r="Q200" s="468" t="str">
        <f t="shared" si="57"/>
        <v/>
      </c>
      <c r="R200" s="212" t="str">
        <f t="shared" si="52"/>
        <v/>
      </c>
      <c r="S200" s="195" t="str">
        <f t="shared" si="53"/>
        <v/>
      </c>
      <c r="T200" s="196" t="str">
        <f t="shared" si="54"/>
        <v/>
      </c>
      <c r="V200" s="573" t="str">
        <f t="shared" si="55"/>
        <v/>
      </c>
      <c r="W200" s="573" t="str">
        <f t="shared" si="56"/>
        <v/>
      </c>
    </row>
    <row r="201" spans="1:23" ht="10.5" customHeight="1" outlineLevel="1">
      <c r="A201" s="361"/>
      <c r="B201" s="194"/>
      <c r="C201" s="205"/>
      <c r="D201" s="193"/>
      <c r="E201" s="194"/>
      <c r="F201" s="205"/>
      <c r="G201" s="193"/>
      <c r="H201" s="212" t="str">
        <f>IF(C201="","",Conc1(C201:D201,L$112,$V201,MolVol,C$114,C$115,H$114,H$115,VoF))</f>
        <v/>
      </c>
      <c r="I201" s="195" t="str">
        <f>IF(C201="","",Conc1V(C201:D201,L$112,$V201,MolVol,C$114,C$115,H$114,H$115,VoF,ReportVOC,MWC,$W201))</f>
        <v/>
      </c>
      <c r="J201" s="195" t="str">
        <f t="shared" si="48"/>
        <v/>
      </c>
      <c r="K201" s="213" t="str">
        <f t="shared" si="49"/>
        <v/>
      </c>
      <c r="L201" s="212" t="str">
        <f>IF(F201="","",Conc1(F201:G201,O$112,$V201,MolVol,F$114,F$115,L$114,L$115,VoF))</f>
        <v/>
      </c>
      <c r="M201" s="195" t="str">
        <f>IF(F201="","",Conc1V(F201:G201,O$112,$V201,MolVol,F$114,F$115,L$114,L$115,VoF,ReportVOC,MWC,$W201))</f>
        <v/>
      </c>
      <c r="N201" s="195" t="str">
        <f t="shared" si="50"/>
        <v/>
      </c>
      <c r="O201" s="196" t="str">
        <f t="shared" si="51"/>
        <v/>
      </c>
      <c r="P201" s="14"/>
      <c r="Q201" s="468" t="str">
        <f t="shared" si="57"/>
        <v/>
      </c>
      <c r="R201" s="212" t="str">
        <f t="shared" si="52"/>
        <v/>
      </c>
      <c r="S201" s="195" t="str">
        <f t="shared" si="53"/>
        <v/>
      </c>
      <c r="T201" s="196" t="str">
        <f t="shared" si="54"/>
        <v/>
      </c>
      <c r="V201" s="573" t="str">
        <f t="shared" si="55"/>
        <v/>
      </c>
      <c r="W201" s="573" t="str">
        <f t="shared" si="56"/>
        <v/>
      </c>
    </row>
    <row r="202" spans="1:23" ht="10.5" customHeight="1" outlineLevel="1">
      <c r="A202" s="361"/>
      <c r="B202" s="194"/>
      <c r="C202" s="205"/>
      <c r="D202" s="193"/>
      <c r="E202" s="194"/>
      <c r="F202" s="205"/>
      <c r="G202" s="193"/>
      <c r="H202" s="212" t="str">
        <f>IF(C202="","",Conc1(C202:D202,L$112,$V202,MolVol,C$114,C$115,H$114,H$115,VoF))</f>
        <v/>
      </c>
      <c r="I202" s="195" t="str">
        <f>IF(C202="","",Conc1V(C202:D202,L$112,$V202,MolVol,C$114,C$115,H$114,H$115,VoF,ReportVOC,MWC,$W202))</f>
        <v/>
      </c>
      <c r="J202" s="195" t="str">
        <f t="shared" si="48"/>
        <v/>
      </c>
      <c r="K202" s="213" t="str">
        <f t="shared" si="49"/>
        <v/>
      </c>
      <c r="L202" s="212" t="str">
        <f>IF(F202="","",Conc1(F202:G202,O$112,$V202,MolVol,F$114,F$115,L$114,L$115,VoF))</f>
        <v/>
      </c>
      <c r="M202" s="195" t="str">
        <f>IF(F202="","",Conc1V(F202:G202,O$112,$V202,MolVol,F$114,F$115,L$114,L$115,VoF,ReportVOC,MWC,$W202))</f>
        <v/>
      </c>
      <c r="N202" s="195" t="str">
        <f t="shared" si="50"/>
        <v/>
      </c>
      <c r="O202" s="196" t="str">
        <f t="shared" si="51"/>
        <v/>
      </c>
      <c r="P202" s="14"/>
      <c r="Q202" s="468" t="str">
        <f t="shared" si="57"/>
        <v/>
      </c>
      <c r="R202" s="212" t="str">
        <f t="shared" si="52"/>
        <v/>
      </c>
      <c r="S202" s="195" t="str">
        <f t="shared" si="53"/>
        <v/>
      </c>
      <c r="T202" s="196" t="str">
        <f t="shared" si="54"/>
        <v/>
      </c>
      <c r="V202" s="573" t="str">
        <f t="shared" si="55"/>
        <v/>
      </c>
      <c r="W202" s="573" t="str">
        <f t="shared" si="56"/>
        <v/>
      </c>
    </row>
    <row r="203" spans="1:23" ht="10.5" customHeight="1" outlineLevel="1">
      <c r="A203" s="361"/>
      <c r="B203" s="194"/>
      <c r="C203" s="205"/>
      <c r="D203" s="193"/>
      <c r="E203" s="194"/>
      <c r="F203" s="205"/>
      <c r="G203" s="193"/>
      <c r="H203" s="212" t="str">
        <f>IF(C203="","",Conc1(C203:D203,L$112,$V203,MolVol,C$114,C$115,H$114,H$115,VoF))</f>
        <v/>
      </c>
      <c r="I203" s="195" t="str">
        <f>IF(C203="","",Conc1V(C203:D203,L$112,$V203,MolVol,C$114,C$115,H$114,H$115,VoF,ReportVOC,MWC,$W203))</f>
        <v/>
      </c>
      <c r="J203" s="195" t="str">
        <f t="shared" si="48"/>
        <v/>
      </c>
      <c r="K203" s="213" t="str">
        <f t="shared" si="49"/>
        <v/>
      </c>
      <c r="L203" s="212" t="str">
        <f>IF(F203="","",Conc1(F203:G203,O$112,$V203,MolVol,F$114,F$115,L$114,L$115,VoF))</f>
        <v/>
      </c>
      <c r="M203" s="195" t="str">
        <f>IF(F203="","",Conc1V(F203:G203,O$112,$V203,MolVol,F$114,F$115,L$114,L$115,VoF,ReportVOC,MWC,$W203))</f>
        <v/>
      </c>
      <c r="N203" s="195" t="str">
        <f t="shared" si="50"/>
        <v/>
      </c>
      <c r="O203" s="196" t="str">
        <f t="shared" si="51"/>
        <v/>
      </c>
      <c r="P203" s="14"/>
      <c r="Q203" s="468" t="str">
        <f t="shared" si="57"/>
        <v/>
      </c>
      <c r="R203" s="212" t="str">
        <f t="shared" si="52"/>
        <v/>
      </c>
      <c r="S203" s="195" t="str">
        <f t="shared" si="53"/>
        <v/>
      </c>
      <c r="T203" s="196" t="str">
        <f t="shared" si="54"/>
        <v/>
      </c>
      <c r="V203" s="573" t="str">
        <f t="shared" si="55"/>
        <v/>
      </c>
      <c r="W203" s="573" t="str">
        <f t="shared" si="56"/>
        <v/>
      </c>
    </row>
    <row r="204" spans="1:23" ht="10.5" customHeight="1" outlineLevel="1">
      <c r="A204" s="361"/>
      <c r="B204" s="194"/>
      <c r="C204" s="205"/>
      <c r="D204" s="193"/>
      <c r="E204" s="194"/>
      <c r="F204" s="205"/>
      <c r="G204" s="193"/>
      <c r="H204" s="212" t="str">
        <f>IF(C204="","",Conc1(C204:D204,L$112,$V204,MolVol,C$114,C$115,H$114,H$115,VoF))</f>
        <v/>
      </c>
      <c r="I204" s="195" t="str">
        <f>IF(C204="","",Conc1V(C204:D204,L$112,$V204,MolVol,C$114,C$115,H$114,H$115,VoF,ReportVOC,MWC,$W204))</f>
        <v/>
      </c>
      <c r="J204" s="195" t="str">
        <f t="shared" si="48"/>
        <v/>
      </c>
      <c r="K204" s="213" t="str">
        <f t="shared" si="49"/>
        <v/>
      </c>
      <c r="L204" s="212" t="str">
        <f>IF(F204="","",Conc1(F204:G204,O$112,$V204,MolVol,F$114,F$115,L$114,L$115,VoF))</f>
        <v/>
      </c>
      <c r="M204" s="195" t="str">
        <f>IF(F204="","",Conc1V(F204:G204,O$112,$V204,MolVol,F$114,F$115,L$114,L$115,VoF,ReportVOC,MWC,$W204))</f>
        <v/>
      </c>
      <c r="N204" s="195" t="str">
        <f t="shared" si="50"/>
        <v/>
      </c>
      <c r="O204" s="196" t="str">
        <f t="shared" si="51"/>
        <v/>
      </c>
      <c r="P204" s="14"/>
      <c r="Q204" s="468" t="str">
        <f t="shared" si="57"/>
        <v/>
      </c>
      <c r="R204" s="212" t="str">
        <f t="shared" si="52"/>
        <v/>
      </c>
      <c r="S204" s="195" t="str">
        <f t="shared" si="53"/>
        <v/>
      </c>
      <c r="T204" s="196" t="str">
        <f t="shared" si="54"/>
        <v/>
      </c>
      <c r="V204" s="573" t="str">
        <f t="shared" si="55"/>
        <v/>
      </c>
      <c r="W204" s="573" t="str">
        <f t="shared" si="56"/>
        <v/>
      </c>
    </row>
    <row r="205" spans="1:23" ht="10.5" customHeight="1" outlineLevel="1">
      <c r="A205" s="361"/>
      <c r="B205" s="194"/>
      <c r="C205" s="205"/>
      <c r="D205" s="193"/>
      <c r="E205" s="194"/>
      <c r="F205" s="205"/>
      <c r="G205" s="193"/>
      <c r="H205" s="212" t="str">
        <f>IF(C205="","",Conc1(C205:D205,L$112,$V205,MolVol,C$114,C$115,H$114,H$115,VoF))</f>
        <v/>
      </c>
      <c r="I205" s="195" t="str">
        <f>IF(C205="","",Conc1V(C205:D205,L$112,$V205,MolVol,C$114,C$115,H$114,H$115,VoF,ReportVOC,MWC,$W205))</f>
        <v/>
      </c>
      <c r="J205" s="195" t="str">
        <f t="shared" si="48"/>
        <v/>
      </c>
      <c r="K205" s="213" t="str">
        <f t="shared" si="49"/>
        <v/>
      </c>
      <c r="L205" s="212" t="str">
        <f>IF(F205="","",Conc1(F205:G205,O$112,$V205,MolVol,F$114,F$115,L$114,L$115,VoF))</f>
        <v/>
      </c>
      <c r="M205" s="195" t="str">
        <f>IF(F205="","",Conc1V(F205:G205,O$112,$V205,MolVol,F$114,F$115,L$114,L$115,VoF,ReportVOC,MWC,$W205))</f>
        <v/>
      </c>
      <c r="N205" s="195" t="str">
        <f t="shared" si="50"/>
        <v/>
      </c>
      <c r="O205" s="196" t="str">
        <f t="shared" si="51"/>
        <v/>
      </c>
      <c r="P205" s="14"/>
      <c r="Q205" s="468" t="str">
        <f t="shared" si="57"/>
        <v/>
      </c>
      <c r="R205" s="212" t="str">
        <f t="shared" si="52"/>
        <v/>
      </c>
      <c r="S205" s="195" t="str">
        <f t="shared" si="53"/>
        <v/>
      </c>
      <c r="T205" s="196" t="str">
        <f t="shared" si="54"/>
        <v/>
      </c>
      <c r="V205" s="573" t="str">
        <f t="shared" si="55"/>
        <v/>
      </c>
      <c r="W205" s="573" t="str">
        <f t="shared" si="56"/>
        <v/>
      </c>
    </row>
    <row r="206" spans="1:23" ht="10.5" customHeight="1" outlineLevel="1">
      <c r="A206" s="361"/>
      <c r="B206" s="194"/>
      <c r="C206" s="205"/>
      <c r="D206" s="193"/>
      <c r="E206" s="194"/>
      <c r="F206" s="205"/>
      <c r="G206" s="193"/>
      <c r="H206" s="212" t="str">
        <f>IF(C206="","",Conc1(C206:D206,L$112,$V206,MolVol,C$114,C$115,H$114,H$115,VoF))</f>
        <v/>
      </c>
      <c r="I206" s="195" t="str">
        <f>IF(C206="","",Conc1V(C206:D206,L$112,$V206,MolVol,C$114,C$115,H$114,H$115,VoF,ReportVOC,MWC,$W206))</f>
        <v/>
      </c>
      <c r="J206" s="195" t="str">
        <f t="shared" si="48"/>
        <v/>
      </c>
      <c r="K206" s="213" t="str">
        <f t="shared" si="49"/>
        <v/>
      </c>
      <c r="L206" s="212" t="str">
        <f>IF(F206="","",Conc1(F206:G206,O$112,$V206,MolVol,F$114,F$115,L$114,L$115,VoF))</f>
        <v/>
      </c>
      <c r="M206" s="195" t="str">
        <f>IF(F206="","",Conc1V(F206:G206,O$112,$V206,MolVol,F$114,F$115,L$114,L$115,VoF,ReportVOC,MWC,$W206))</f>
        <v/>
      </c>
      <c r="N206" s="195" t="str">
        <f t="shared" si="50"/>
        <v/>
      </c>
      <c r="O206" s="196" t="str">
        <f t="shared" si="51"/>
        <v/>
      </c>
      <c r="P206" s="14"/>
      <c r="Q206" s="468" t="str">
        <f t="shared" si="57"/>
        <v/>
      </c>
      <c r="R206" s="212" t="str">
        <f t="shared" si="52"/>
        <v/>
      </c>
      <c r="S206" s="195" t="str">
        <f t="shared" si="53"/>
        <v/>
      </c>
      <c r="T206" s="196" t="str">
        <f t="shared" si="54"/>
        <v/>
      </c>
      <c r="V206" s="573" t="str">
        <f t="shared" si="55"/>
        <v/>
      </c>
      <c r="W206" s="573" t="str">
        <f t="shared" si="56"/>
        <v/>
      </c>
    </row>
    <row r="207" spans="1:23" ht="10.5" customHeight="1" outlineLevel="1">
      <c r="A207" s="361"/>
      <c r="B207" s="194"/>
      <c r="C207" s="205"/>
      <c r="D207" s="193"/>
      <c r="E207" s="194"/>
      <c r="F207" s="205"/>
      <c r="G207" s="193"/>
      <c r="H207" s="212" t="str">
        <f>IF(C207="","",Conc1(C207:D207,L$112,$V207,MolVol,C$114,C$115,H$114,H$115,VoF))</f>
        <v/>
      </c>
      <c r="I207" s="195" t="str">
        <f>IF(C207="","",Conc1V(C207:D207,L$112,$V207,MolVol,C$114,C$115,H$114,H$115,VoF,ReportVOC,MWC,$W207))</f>
        <v/>
      </c>
      <c r="J207" s="195" t="str">
        <f t="shared" si="48"/>
        <v/>
      </c>
      <c r="K207" s="213" t="str">
        <f t="shared" si="49"/>
        <v/>
      </c>
      <c r="L207" s="212" t="str">
        <f>IF(F207="","",Conc1(F207:G207,O$112,$V207,MolVol,F$114,F$115,L$114,L$115,VoF))</f>
        <v/>
      </c>
      <c r="M207" s="195" t="str">
        <f>IF(F207="","",Conc1V(F207:G207,O$112,$V207,MolVol,F$114,F$115,L$114,L$115,VoF,ReportVOC,MWC,$W207))</f>
        <v/>
      </c>
      <c r="N207" s="195" t="str">
        <f t="shared" si="50"/>
        <v/>
      </c>
      <c r="O207" s="196" t="str">
        <f t="shared" si="51"/>
        <v/>
      </c>
      <c r="P207" s="14"/>
      <c r="Q207" s="468" t="str">
        <f t="shared" si="57"/>
        <v/>
      </c>
      <c r="R207" s="212" t="str">
        <f t="shared" si="52"/>
        <v/>
      </c>
      <c r="S207" s="195" t="str">
        <f t="shared" si="53"/>
        <v/>
      </c>
      <c r="T207" s="196" t="str">
        <f t="shared" si="54"/>
        <v/>
      </c>
      <c r="V207" s="573" t="str">
        <f t="shared" si="55"/>
        <v/>
      </c>
      <c r="W207" s="573" t="str">
        <f t="shared" si="56"/>
        <v/>
      </c>
    </row>
    <row r="208" spans="1:23" ht="10.5" customHeight="1" outlineLevel="1">
      <c r="A208" s="361"/>
      <c r="B208" s="194"/>
      <c r="C208" s="205"/>
      <c r="D208" s="193"/>
      <c r="E208" s="194"/>
      <c r="F208" s="205"/>
      <c r="G208" s="193"/>
      <c r="H208" s="212" t="str">
        <f>IF(C208="","",Conc1(C208:D208,L$112,$V208,MolVol,C$114,C$115,H$114,H$115,VoF))</f>
        <v/>
      </c>
      <c r="I208" s="195" t="str">
        <f>IF(C208="","",Conc1V(C208:D208,L$112,$V208,MolVol,C$114,C$115,H$114,H$115,VoF,ReportVOC,MWC,$W208))</f>
        <v/>
      </c>
      <c r="J208" s="195" t="str">
        <f t="shared" si="48"/>
        <v/>
      </c>
      <c r="K208" s="213" t="str">
        <f t="shared" si="49"/>
        <v/>
      </c>
      <c r="L208" s="212" t="str">
        <f>IF(F208="","",Conc1(F208:G208,O$112,$V208,MolVol,F$114,F$115,L$114,L$115,VoF))</f>
        <v/>
      </c>
      <c r="M208" s="195" t="str">
        <f>IF(F208="","",Conc1V(F208:G208,O$112,$V208,MolVol,F$114,F$115,L$114,L$115,VoF,ReportVOC,MWC,$W208))</f>
        <v/>
      </c>
      <c r="N208" s="195" t="str">
        <f t="shared" si="50"/>
        <v/>
      </c>
      <c r="O208" s="196" t="str">
        <f t="shared" si="51"/>
        <v/>
      </c>
      <c r="P208" s="14"/>
      <c r="Q208" s="468" t="str">
        <f t="shared" si="57"/>
        <v/>
      </c>
      <c r="R208" s="212" t="str">
        <f t="shared" si="52"/>
        <v/>
      </c>
      <c r="S208" s="195" t="str">
        <f t="shared" si="53"/>
        <v/>
      </c>
      <c r="T208" s="196" t="str">
        <f t="shared" si="54"/>
        <v/>
      </c>
      <c r="V208" s="573" t="str">
        <f t="shared" si="55"/>
        <v/>
      </c>
      <c r="W208" s="573" t="str">
        <f t="shared" si="56"/>
        <v/>
      </c>
    </row>
    <row r="209" spans="1:23" ht="10.5" customHeight="1" outlineLevel="1">
      <c r="A209" s="361"/>
      <c r="B209" s="194"/>
      <c r="C209" s="205"/>
      <c r="D209" s="193"/>
      <c r="E209" s="194"/>
      <c r="F209" s="205"/>
      <c r="G209" s="193"/>
      <c r="H209" s="212" t="str">
        <f>IF(C209="","",Conc1(C209:D209,L$112,$V209,MolVol,C$114,C$115,H$114,H$115,VoF))</f>
        <v/>
      </c>
      <c r="I209" s="195" t="str">
        <f>IF(C209="","",Conc1V(C209:D209,L$112,$V209,MolVol,C$114,C$115,H$114,H$115,VoF,ReportVOC,MWC,$W209))</f>
        <v/>
      </c>
      <c r="J209" s="195" t="str">
        <f t="shared" si="48"/>
        <v/>
      </c>
      <c r="K209" s="213" t="str">
        <f t="shared" si="49"/>
        <v/>
      </c>
      <c r="L209" s="212" t="str">
        <f>IF(F209="","",Conc1(F209:G209,O$112,$V209,MolVol,F$114,F$115,L$114,L$115,VoF))</f>
        <v/>
      </c>
      <c r="M209" s="195" t="str">
        <f>IF(F209="","",Conc1V(F209:G209,O$112,$V209,MolVol,F$114,F$115,L$114,L$115,VoF,ReportVOC,MWC,$W209))</f>
        <v/>
      </c>
      <c r="N209" s="195" t="str">
        <f t="shared" si="50"/>
        <v/>
      </c>
      <c r="O209" s="196" t="str">
        <f t="shared" si="51"/>
        <v/>
      </c>
      <c r="P209" s="14"/>
      <c r="Q209" s="468" t="str">
        <f t="shared" si="57"/>
        <v/>
      </c>
      <c r="R209" s="212" t="str">
        <f t="shared" si="52"/>
        <v/>
      </c>
      <c r="S209" s="195" t="str">
        <f t="shared" si="53"/>
        <v/>
      </c>
      <c r="T209" s="196" t="str">
        <f t="shared" si="54"/>
        <v/>
      </c>
      <c r="V209" s="573" t="str">
        <f t="shared" si="55"/>
        <v/>
      </c>
      <c r="W209" s="573" t="str">
        <f t="shared" si="56"/>
        <v/>
      </c>
    </row>
    <row r="210" spans="1:23" ht="10.5" customHeight="1" outlineLevel="1">
      <c r="A210" s="361"/>
      <c r="B210" s="194"/>
      <c r="C210" s="205"/>
      <c r="D210" s="193"/>
      <c r="E210" s="194"/>
      <c r="F210" s="205"/>
      <c r="G210" s="193"/>
      <c r="H210" s="212" t="str">
        <f>IF(C210="","",Conc1(C210:D210,L$112,$V210,MolVol,C$114,C$115,H$114,H$115,VoF))</f>
        <v/>
      </c>
      <c r="I210" s="195" t="str">
        <f>IF(C210="","",Conc1V(C210:D210,L$112,$V210,MolVol,C$114,C$115,H$114,H$115,VoF,ReportVOC,MWC,$W210))</f>
        <v/>
      </c>
      <c r="J210" s="195" t="str">
        <f t="shared" si="48"/>
        <v/>
      </c>
      <c r="K210" s="213" t="str">
        <f t="shared" si="49"/>
        <v/>
      </c>
      <c r="L210" s="212" t="str">
        <f>IF(F210="","",Conc1(F210:G210,O$112,$V210,MolVol,F$114,F$115,L$114,L$115,VoF))</f>
        <v/>
      </c>
      <c r="M210" s="195" t="str">
        <f>IF(F210="","",Conc1V(F210:G210,O$112,$V210,MolVol,F$114,F$115,L$114,L$115,VoF,ReportVOC,MWC,$W210))</f>
        <v/>
      </c>
      <c r="N210" s="195" t="str">
        <f t="shared" si="50"/>
        <v/>
      </c>
      <c r="O210" s="196" t="str">
        <f t="shared" si="51"/>
        <v/>
      </c>
      <c r="P210" s="14"/>
      <c r="Q210" s="468" t="str">
        <f t="shared" si="57"/>
        <v/>
      </c>
      <c r="R210" s="212" t="str">
        <f t="shared" si="52"/>
        <v/>
      </c>
      <c r="S210" s="195" t="str">
        <f t="shared" si="53"/>
        <v/>
      </c>
      <c r="T210" s="196" t="str">
        <f t="shared" si="54"/>
        <v/>
      </c>
      <c r="V210" s="573" t="str">
        <f t="shared" si="55"/>
        <v/>
      </c>
      <c r="W210" s="573" t="str">
        <f t="shared" si="56"/>
        <v/>
      </c>
    </row>
    <row r="211" spans="1:23" ht="10.5" customHeight="1" outlineLevel="1" thickBot="1">
      <c r="A211" s="362"/>
      <c r="B211" s="198"/>
      <c r="C211" s="655"/>
      <c r="D211" s="197"/>
      <c r="E211" s="198"/>
      <c r="F211" s="655"/>
      <c r="G211" s="197"/>
      <c r="H211" s="212" t="str">
        <f>IF(C211="","",Conc1(C211:D211,L$112,$V211,MolVol,C$114,C$115,H$114,H$115,VoF))</f>
        <v/>
      </c>
      <c r="I211" s="195" t="str">
        <f>IF(C211="","",Conc1V(C211:D211,L$112,$V211,MolVol,C$114,C$115,H$114,H$115,VoF,ReportVOC,MWC,$W211))</f>
        <v/>
      </c>
      <c r="J211" s="195" t="str">
        <f t="shared" si="48"/>
        <v/>
      </c>
      <c r="K211" s="213" t="str">
        <f t="shared" si="49"/>
        <v/>
      </c>
      <c r="L211" s="212" t="str">
        <f>IF(F211="","",Conc1(F211:G211,O$112,$V211,MolVol,F$114,F$115,L$114,L$115,VoF))</f>
        <v/>
      </c>
      <c r="M211" s="195" t="str">
        <f>IF(F211="","",Conc1V(F211:G211,O$112,$V211,MolVol,F$114,F$115,L$114,L$115,VoF,ReportVOC,MWC,$W211))</f>
        <v/>
      </c>
      <c r="N211" s="195" t="str">
        <f t="shared" si="50"/>
        <v/>
      </c>
      <c r="O211" s="196" t="str">
        <f t="shared" si="51"/>
        <v/>
      </c>
      <c r="P211" s="14"/>
      <c r="Q211" s="468" t="str">
        <f t="shared" si="57"/>
        <v/>
      </c>
      <c r="R211" s="365" t="str">
        <f t="shared" si="52"/>
        <v/>
      </c>
      <c r="S211" s="195" t="str">
        <f t="shared" si="53"/>
        <v/>
      </c>
      <c r="T211" s="200" t="str">
        <f t="shared" si="54"/>
        <v/>
      </c>
      <c r="V211" s="573" t="str">
        <f t="shared" si="55"/>
        <v/>
      </c>
      <c r="W211" s="573" t="str">
        <f t="shared" si="56"/>
        <v/>
      </c>
    </row>
    <row r="212" spans="1:23" ht="9" customHeight="1" thickBot="1">
      <c r="A212" s="379"/>
      <c r="B212" s="379"/>
      <c r="C212" s="379"/>
      <c r="D212" s="379"/>
      <c r="E212" s="379"/>
      <c r="F212" s="379"/>
      <c r="G212" s="379"/>
      <c r="H212" s="379"/>
      <c r="I212" s="379"/>
      <c r="J212" s="379"/>
      <c r="K212" s="379"/>
      <c r="L212" s="379"/>
      <c r="M212" s="379"/>
      <c r="N212" s="379"/>
      <c r="O212" s="379"/>
      <c r="P212" s="2"/>
      <c r="Q212" s="379"/>
      <c r="R212" s="379"/>
      <c r="S212" s="380"/>
      <c r="T212" s="379"/>
    </row>
    <row r="213" spans="1:23" ht="10.5" customHeight="1">
      <c r="A213" s="259" t="s">
        <v>1198</v>
      </c>
      <c r="B213" s="260"/>
      <c r="C213" s="2"/>
      <c r="D213" s="2787" t="str">
        <f>ReportVOC</f>
        <v>VOC's (speciated)</v>
      </c>
      <c r="E213" s="2788"/>
      <c r="F213" s="368" t="s">
        <v>8</v>
      </c>
      <c r="G213" s="369" t="s">
        <v>9</v>
      </c>
      <c r="H213" s="41" t="s">
        <v>1319</v>
      </c>
      <c r="I213" s="1675"/>
      <c r="J213" s="46" t="s">
        <v>1332</v>
      </c>
      <c r="K213" s="49" t="s">
        <v>1202</v>
      </c>
      <c r="L213" s="41" t="s">
        <v>1319</v>
      </c>
      <c r="M213" s="1675"/>
      <c r="N213" s="132" t="s">
        <v>97</v>
      </c>
      <c r="O213" s="42" t="s">
        <v>1202</v>
      </c>
      <c r="P213" s="2"/>
      <c r="Q213" s="373" t="s">
        <v>1279</v>
      </c>
      <c r="R213" s="370" t="s">
        <v>1319</v>
      </c>
      <c r="S213" s="132" t="s">
        <v>97</v>
      </c>
      <c r="T213" s="42" t="s">
        <v>1202</v>
      </c>
    </row>
    <row r="214" spans="1:23" ht="10.5" customHeight="1">
      <c r="A214" s="2782"/>
      <c r="B214" s="261"/>
      <c r="C214" s="2"/>
      <c r="D214" s="571"/>
      <c r="E214" s="263"/>
      <c r="F214" s="37" t="s">
        <v>1333</v>
      </c>
      <c r="G214" s="36" t="s">
        <v>1333</v>
      </c>
      <c r="H214" s="37" t="str">
        <f>H114</f>
        <v>mg/m³</v>
      </c>
      <c r="I214" s="561"/>
      <c r="J214" s="38" t="str">
        <f>CU</f>
        <v>mg/m³</v>
      </c>
      <c r="K214" s="39" t="str">
        <f>MRU</f>
        <v>g/min</v>
      </c>
      <c r="L214" s="50" t="str">
        <f>CU</f>
        <v>mg/m³</v>
      </c>
      <c r="M214" s="561"/>
      <c r="N214" s="38" t="str">
        <f>CU</f>
        <v>mg/m³</v>
      </c>
      <c r="O214" s="40" t="str">
        <f>MRU</f>
        <v>g/min</v>
      </c>
      <c r="P214" s="2"/>
      <c r="Q214" s="374" t="s">
        <v>1333</v>
      </c>
      <c r="R214" s="38" t="str">
        <f>CU</f>
        <v>mg/m³</v>
      </c>
      <c r="S214" s="38" t="str">
        <f>CU</f>
        <v>mg/m³</v>
      </c>
      <c r="T214" s="40" t="str">
        <f>MRU</f>
        <v>g/min</v>
      </c>
    </row>
    <row r="215" spans="1:23" ht="10.5" customHeight="1">
      <c r="A215" s="2783"/>
      <c r="B215" s="261"/>
      <c r="C215" s="2"/>
      <c r="D215" s="264" t="str">
        <f>A5</f>
        <v>Gaseous</v>
      </c>
      <c r="E215" s="356"/>
      <c r="F215" s="194" t="str">
        <f>IF(V110=FALSE,IF(COUNTIFS($D11:$D106,"&lt;",$W11:$W106,"&gt;0")=COUNT(I11:I106),"&lt;",""),IF(COUNTIFS($D12:$D106,"&lt;",$W12:$W106,"&gt;0")=COUNT(I12:I106),"&lt;",""))</f>
        <v>&lt;</v>
      </c>
      <c r="G215" s="193" t="str">
        <f>IF(V110=FALSE,IF(COUNTIFS($F11:$F106,"&lt;",$W11:$W106,"&gt;0")=COUNT(M11:M106),"&lt;",""),IF(COUNTIFS($F12:$F106,"&lt;",$W12:$W106,"&gt;0")=COUNT(M12:M106),"&lt;",""))</f>
        <v>&lt;</v>
      </c>
      <c r="H215" s="659">
        <f>IF(V110=FALSE,IF(COUNTA($D11:$D106)=COUNT(H11:H106),MAX(I11:I106),SUMIF($D11:$D106,"",I11:I106)),IF(COUNTA($D12:$D106)=COUNT(H12:H106),MAX(I12:I106),SUMIF($D12:$D106,"",I12:I106)))</f>
        <v>0</v>
      </c>
      <c r="I215" s="561"/>
      <c r="J215" s="195">
        <f>IF(H215="","",H215*O2correction*CO2correction)</f>
        <v>0</v>
      </c>
      <c r="K215" s="195">
        <f>IF(H215=0,0,MassRate(H215,MWC,MolVol,H$9,H$10,MRU,MRF,AverageFlowDry,FF))</f>
        <v>0</v>
      </c>
      <c r="L215" s="659">
        <f>IF(V110=FALSE,IF(COUNTA($F11:$F106)=COUNT(L11:L106),MAX(M11:M106),SUMIF($F11:$F106,"",M11:M106)),IF(COUNTA($F12:$F106)=COUNT(L12:L106),MAX(M12:M106),SUMIF($F12:$F106,"",M12:M106)))</f>
        <v>0</v>
      </c>
      <c r="M215" s="561"/>
      <c r="N215" s="195">
        <f>IF(L215="","",L215*O2correction*CO2correction)</f>
        <v>0</v>
      </c>
      <c r="O215" s="1676">
        <f>IF(L215=0,0,MassRate(L215,MWC,MolVol,L$9,L$10,MRU,MRF,AverageFlowDry,FF))</f>
        <v>0</v>
      </c>
      <c r="P215" s="14"/>
      <c r="Q215" s="468" t="str">
        <f>IF(AND(F215="&lt;",G215="&lt;"),"&lt;",IF(OR(F215="&lt;",G215="&lt;"),"≤",""))</f>
        <v>&lt;</v>
      </c>
      <c r="R215" s="371">
        <f>AVERAGE(H215,L215)</f>
        <v>0</v>
      </c>
      <c r="S215" s="256">
        <f t="shared" ref="S215:T217" si="58">AVERAGE(J215,N215)</f>
        <v>0</v>
      </c>
      <c r="T215" s="218">
        <f t="shared" si="58"/>
        <v>0</v>
      </c>
    </row>
    <row r="216" spans="1:23" ht="10.5" customHeight="1">
      <c r="A216" s="186"/>
      <c r="B216" s="191"/>
      <c r="C216" s="2"/>
      <c r="D216" s="265" t="str">
        <f>A108</f>
        <v>Sorbent tubes</v>
      </c>
      <c r="E216" s="357"/>
      <c r="F216" s="194" t="str">
        <f>IF(COUNTA($B116:$B211)=COUNT(H116:H211),"&lt;","")</f>
        <v/>
      </c>
      <c r="G216" s="193" t="str">
        <f>IF(COUNTA($E116:$E211)=COUNT(L116:L211),"&lt;","")</f>
        <v/>
      </c>
      <c r="H216" s="659">
        <f>IF(COUNTA($B116:$B211)=COUNT(H116:H211),MAX(I116:I211),SUMIF($B116:$B211,"",I116:I211))</f>
        <v>0</v>
      </c>
      <c r="I216" s="561"/>
      <c r="J216" s="195">
        <f>IF(H216="","",H216*O2correction*CO2correction)</f>
        <v>0</v>
      </c>
      <c r="K216" s="195">
        <f>IF(H216=0,0,MassRate(H216,MWC,MolVol,H$114,H$115,MRU,MRF,AverageFlowDry,FF))</f>
        <v>0</v>
      </c>
      <c r="L216" s="659">
        <f>IF(COUNTA($E116:$E211)=COUNT(L116:L211),MAX(M116:M211),SUMIF($E116:$E211,"",M116:M211))</f>
        <v>0</v>
      </c>
      <c r="M216" s="561"/>
      <c r="N216" s="195">
        <f>IF(L216="","",L216*O2correction*CO2correction)</f>
        <v>0</v>
      </c>
      <c r="O216" s="1676">
        <f>IF(L216=0,0,MassRate(L216,MWC,MolVol,L$114,L$115,MRU,MRF,AverageFlowDry,FF))</f>
        <v>0</v>
      </c>
      <c r="P216" s="14"/>
      <c r="Q216" s="468" t="str">
        <f>IF(AND(F216="&lt;",G216="&lt;"),"&lt;",IF(OR(F216="&lt;",G216="&lt;"),"≤",""))</f>
        <v/>
      </c>
      <c r="R216" s="371">
        <f>AVERAGE(H216,L216)</f>
        <v>0</v>
      </c>
      <c r="S216" s="256">
        <f t="shared" si="58"/>
        <v>0</v>
      </c>
      <c r="T216" s="218">
        <f t="shared" si="58"/>
        <v>0</v>
      </c>
    </row>
    <row r="217" spans="1:23" ht="10.5" customHeight="1" thickBot="1">
      <c r="A217" s="259" t="s">
        <v>1199</v>
      </c>
      <c r="B217" s="260"/>
      <c r="C217" s="2"/>
      <c r="D217" s="266" t="s">
        <v>1452</v>
      </c>
      <c r="E217" s="358"/>
      <c r="F217" s="198" t="str">
        <f>IF(COUNTIF(F215:F216,"")=0,"&lt;","")</f>
        <v/>
      </c>
      <c r="G217" s="197" t="str">
        <f>IF(COUNTIF(G215:G216,"")=0,"&lt;","")</f>
        <v/>
      </c>
      <c r="H217" s="199">
        <f>IF(COUNTIF($F215:$F216,"")=0,MAX(H215:H216),SUMIF($F215:$F216,"",H215:H216))</f>
        <v>0</v>
      </c>
      <c r="I217" s="365"/>
      <c r="J217" s="219">
        <f>IF(COUNTIF($F215:$F216,"")=0,MAX(J215:J216),SUMIF($F215:$F216,"",J215:J216))</f>
        <v>0</v>
      </c>
      <c r="K217" s="215">
        <f>IF(COUNTIF($F215:$F216,"")=0,MAX(K215:K216),SUMIF($F215:$F216,"",K215:K216))</f>
        <v>0</v>
      </c>
      <c r="L217" s="199">
        <f>IF(COUNTIF($G215:$G216,"")=0,MAX(L215:L216),SUMIF($G215:$G216,"",L215:L216))</f>
        <v>0</v>
      </c>
      <c r="M217" s="365"/>
      <c r="N217" s="219">
        <f>IF(COUNTIF($G215:$G216,"")=0,MAX(N215:N216),SUMIF($G215:$G216,"",N215:N216))</f>
        <v>0</v>
      </c>
      <c r="O217" s="258">
        <f>IF(COUNTIF($G215:$G216,"")=0,MAX(O215:O216),SUMIF($G215:$G216,"",O215:O216))</f>
        <v>0</v>
      </c>
      <c r="P217" s="14"/>
      <c r="Q217" s="469" t="str">
        <f>IF(AND(F217="&lt;",G217="&lt;"),"&lt;",IF(OR(F217="&lt;",G217="&lt;"),"≤",""))</f>
        <v/>
      </c>
      <c r="R217" s="372">
        <f>AVERAGE(H217,L217)</f>
        <v>0</v>
      </c>
      <c r="S217" s="378">
        <f t="shared" si="58"/>
        <v>0</v>
      </c>
      <c r="T217" s="258">
        <f t="shared" si="58"/>
        <v>0</v>
      </c>
    </row>
    <row r="218" spans="1:23" ht="10.5" customHeight="1">
      <c r="A218" s="2782"/>
      <c r="B218" s="262"/>
      <c r="C218" s="2"/>
      <c r="D218" s="2"/>
      <c r="E218" s="2"/>
      <c r="F218" s="2"/>
      <c r="G218" s="2"/>
      <c r="H218" s="2"/>
      <c r="I218" s="2"/>
      <c r="J218" s="2"/>
      <c r="K218" s="2"/>
      <c r="L218" s="2"/>
      <c r="M218" s="2"/>
      <c r="N218" s="2"/>
      <c r="O218" s="2"/>
      <c r="P218" s="2"/>
      <c r="Q218" s="2"/>
      <c r="R218" s="2"/>
      <c r="S218" s="2"/>
      <c r="T218" s="2"/>
    </row>
    <row r="219" spans="1:23" ht="10.5" customHeight="1">
      <c r="A219" s="2783"/>
      <c r="B219" s="262"/>
      <c r="C219" s="2"/>
      <c r="D219" s="2"/>
      <c r="E219" s="5"/>
      <c r="F219" s="2"/>
      <c r="G219" s="5"/>
      <c r="H219" s="5"/>
      <c r="I219" s="5"/>
      <c r="J219" s="5"/>
      <c r="K219" s="5"/>
      <c r="L219" s="5"/>
      <c r="M219" s="5"/>
      <c r="N219" s="5"/>
      <c r="O219" s="7"/>
      <c r="P219" s="2"/>
      <c r="Q219" s="2"/>
      <c r="R219" s="2"/>
      <c r="S219" s="2"/>
      <c r="T219" s="2"/>
    </row>
    <row r="220" spans="1:23" ht="10.5" customHeight="1">
      <c r="A220" s="2"/>
      <c r="B220" s="2"/>
      <c r="C220" s="2"/>
      <c r="D220" s="2"/>
      <c r="E220" s="2"/>
      <c r="F220" s="2"/>
      <c r="G220" s="5"/>
      <c r="H220" s="5"/>
      <c r="I220" s="5"/>
      <c r="J220" s="5"/>
      <c r="K220" s="5"/>
      <c r="L220" s="5"/>
      <c r="M220" s="5"/>
      <c r="N220" s="5"/>
      <c r="O220" s="7"/>
      <c r="P220" s="2"/>
      <c r="Q220" s="2"/>
      <c r="R220" s="2"/>
      <c r="S220" s="2"/>
      <c r="T220" s="2"/>
    </row>
    <row r="221" spans="1:23" ht="10.5" customHeight="1">
      <c r="A221" s="2"/>
      <c r="B221" s="2"/>
      <c r="C221" s="2"/>
      <c r="D221" s="2"/>
      <c r="E221" s="2"/>
      <c r="F221" s="2"/>
      <c r="G221" s="5"/>
      <c r="H221" s="5"/>
      <c r="I221" s="5"/>
      <c r="J221" s="5"/>
      <c r="K221" s="5"/>
      <c r="L221" s="5"/>
      <c r="M221" s="5"/>
      <c r="N221" s="5"/>
      <c r="O221" s="7"/>
      <c r="P221" s="2"/>
      <c r="Q221" s="2"/>
      <c r="R221" s="2"/>
      <c r="S221" s="2"/>
      <c r="T221" s="2"/>
    </row>
    <row r="222" spans="1:23" ht="10.5" customHeight="1">
      <c r="A222" s="2"/>
      <c r="B222" s="2"/>
      <c r="C222" s="2"/>
      <c r="D222" s="2"/>
      <c r="E222" s="2"/>
      <c r="F222" s="2"/>
      <c r="G222" s="5"/>
      <c r="H222" s="5"/>
      <c r="I222" s="5"/>
      <c r="J222" s="5"/>
      <c r="K222" s="5"/>
      <c r="L222" s="5"/>
      <c r="M222" s="5"/>
      <c r="N222" s="5"/>
      <c r="O222" s="2"/>
      <c r="P222" s="2"/>
      <c r="Q222" s="2"/>
      <c r="R222" s="2"/>
      <c r="S222" s="2"/>
      <c r="T222" s="2"/>
    </row>
  </sheetData>
  <sheetProtection sheet="1" objects="1" scenarios="1"/>
  <mergeCells count="18">
    <mergeCell ref="Q111:T111"/>
    <mergeCell ref="Q5:T5"/>
    <mergeCell ref="A218:A219"/>
    <mergeCell ref="A214:A215"/>
    <mergeCell ref="Q112:T112"/>
    <mergeCell ref="B113:D113"/>
    <mergeCell ref="E113:G113"/>
    <mergeCell ref="D213:E213"/>
    <mergeCell ref="D8:E8"/>
    <mergeCell ref="F8:G8"/>
    <mergeCell ref="Q110:T110"/>
    <mergeCell ref="A11:B11"/>
    <mergeCell ref="B110:C110"/>
    <mergeCell ref="J1:O1"/>
    <mergeCell ref="J2:O2"/>
    <mergeCell ref="J3:O3"/>
    <mergeCell ref="Q6:T6"/>
    <mergeCell ref="Q7:T7"/>
  </mergeCells>
  <phoneticPr fontId="0" type="noConversion"/>
  <dataValidations count="5">
    <dataValidation type="list" allowBlank="1" showInputMessage="1" showErrorMessage="1" sqref="C114 F114">
      <formula1>MassUnits</formula1>
    </dataValidation>
    <dataValidation type="list" allowBlank="1" showInputMessage="1" showErrorMessage="1" sqref="B110 D213">
      <formula1>ReportVOClist</formula1>
    </dataValidation>
    <dataValidation type="list" allowBlank="1" showInputMessage="1" showErrorMessage="1" sqref="K108">
      <formula1>VolumeMode</formula1>
    </dataValidation>
    <dataValidation type="list" allowBlank="1" showInputMessage="1" showErrorMessage="1" sqref="E9 H114 G9:H9">
      <formula1>ConcUnits</formula1>
    </dataValidation>
    <dataValidation type="list" allowBlank="1" showInputMessage="1" showErrorMessage="1" sqref="A116:A211 A12:A106">
      <formula1>VOClist</formula1>
    </dataValidation>
  </dataValidations>
  <printOptions horizontalCentered="1"/>
  <pageMargins left="0.196850393700787" right="0.196850393700787" top="0.62992125984252001" bottom="0.39370078740157499" header="0.31496062992126" footer="0.196850393700787"/>
  <pageSetup paperSize="9" orientation="portrait" horizontalDpi="4294967293" verticalDpi="300"/>
  <headerFooter alignWithMargins="0">
    <oddHeader>&amp;C&amp;"MS Sans Serif,Bold"&amp;16&amp;A</oddHeader>
    <oddFooter>&amp;L&amp;8&amp;F&amp;R&amp;8 &amp;D  &amp;T</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6465" r:id="rId3" name="Check Box 81">
              <controlPr locked="0" defaultSize="0" autoFill="0" autoLine="0" autoPict="0">
                <anchor moveWithCells="1">
                  <from>
                    <xdr:col>0</xdr:col>
                    <xdr:colOff>0</xdr:colOff>
                    <xdr:row>109</xdr:row>
                    <xdr:rowOff>101600</xdr:rowOff>
                  </from>
                  <to>
                    <xdr:col>1</xdr:col>
                    <xdr:colOff>444500</xdr:colOff>
                    <xdr:row>111</xdr:row>
                    <xdr:rowOff>50800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FF99"/>
  </sheetPr>
  <dimension ref="A1:K111"/>
  <sheetViews>
    <sheetView workbookViewId="0">
      <selection activeCell="D19" sqref="D19"/>
    </sheetView>
  </sheetViews>
  <sheetFormatPr baseColWidth="10" defaultColWidth="8.7109375" defaultRowHeight="13" x14ac:dyDescent="0"/>
  <cols>
    <col min="1" max="1" width="24.85546875" style="2049" customWidth="1"/>
    <col min="2" max="5" width="13.140625" style="2056" bestFit="1" customWidth="1"/>
    <col min="6" max="7" width="8.7109375" style="2049"/>
    <col min="8" max="8" width="10.28515625" style="2049" customWidth="1"/>
    <col min="9" max="9" width="12" style="2049" customWidth="1"/>
    <col min="10" max="10" width="12.7109375" style="2049" customWidth="1"/>
    <col min="11" max="11" width="8.7109375" style="2049"/>
    <col min="12" max="13" width="8.7109375" style="2051"/>
    <col min="14" max="14" width="17.140625" style="2051" customWidth="1"/>
    <col min="15" max="15" width="22.28515625" style="2051" customWidth="1"/>
    <col min="16" max="16384" width="8.7109375" style="2051"/>
  </cols>
  <sheetData>
    <row r="1" spans="1:11">
      <c r="A1" s="2049" t="s">
        <v>1984</v>
      </c>
      <c r="B1" s="2050" t="s">
        <v>1970</v>
      </c>
      <c r="C1" s="2050" t="s">
        <v>1196</v>
      </c>
      <c r="D1" s="2050"/>
      <c r="E1" s="2050"/>
    </row>
    <row r="2" spans="1:11">
      <c r="A2" s="2052">
        <f>StackID</f>
        <v>0</v>
      </c>
      <c r="B2" s="2055">
        <f>Job</f>
        <v>0</v>
      </c>
      <c r="C2" s="2057">
        <f>Date</f>
        <v>0</v>
      </c>
      <c r="D2" s="2051"/>
      <c r="E2" s="2051"/>
      <c r="F2" s="2051"/>
      <c r="G2" s="2051"/>
      <c r="H2" s="2051"/>
      <c r="I2" s="2051"/>
      <c r="J2" s="2051"/>
    </row>
    <row r="3" spans="1:11">
      <c r="A3" s="2049" t="s">
        <v>1973</v>
      </c>
      <c r="B3" s="2050" t="s">
        <v>1464</v>
      </c>
      <c r="C3" s="2050" t="s">
        <v>1988</v>
      </c>
      <c r="D3" s="2050"/>
      <c r="E3" s="2050"/>
    </row>
    <row r="4" spans="1:11">
      <c r="A4" s="2052" t="s">
        <v>1985</v>
      </c>
      <c r="B4" s="2053" t="s">
        <v>117</v>
      </c>
      <c r="C4" s="2053" t="str">
        <f>SamplePlaneDim</f>
        <v/>
      </c>
      <c r="D4" s="2058"/>
      <c r="E4" s="2058"/>
      <c r="I4" s="2059"/>
    </row>
    <row r="5" spans="1:11">
      <c r="A5" s="2052" t="s">
        <v>1986</v>
      </c>
      <c r="B5" s="2055" t="str">
        <f>VU</f>
        <v>m/s</v>
      </c>
      <c r="C5" s="2052" t="e">
        <f>AverageVelocity</f>
        <v>#DIV/0!</v>
      </c>
      <c r="D5" s="2058"/>
      <c r="E5" s="2058"/>
      <c r="I5" s="2059"/>
    </row>
    <row r="6" spans="1:11">
      <c r="A6" s="2052" t="s">
        <v>1987</v>
      </c>
      <c r="B6" s="2055" t="str">
        <f>TU</f>
        <v>°C</v>
      </c>
      <c r="C6" s="2052" t="e">
        <f>AverageStackTemp</f>
        <v>#DIV/0!</v>
      </c>
      <c r="D6" s="2058"/>
      <c r="E6" s="2058"/>
      <c r="I6" s="2059"/>
    </row>
    <row r="7" spans="1:11">
      <c r="A7" s="2052" t="s">
        <v>997</v>
      </c>
      <c r="B7" s="2055" t="s">
        <v>1990</v>
      </c>
      <c r="C7" s="2053" t="str">
        <f>Report!E51</f>
        <v xml:space="preserve">1 </v>
      </c>
      <c r="D7" s="2058"/>
      <c r="E7" s="2058"/>
      <c r="I7" s="2059"/>
    </row>
    <row r="8" spans="1:11">
      <c r="A8" s="2052" t="s">
        <v>1971</v>
      </c>
      <c r="B8" s="2055" t="str">
        <f>FU</f>
        <v>m³/min</v>
      </c>
      <c r="C8" s="2052" t="e">
        <f>AverageFlowDis</f>
        <v>#DIV/0!</v>
      </c>
      <c r="D8" s="2058"/>
      <c r="E8" s="2058"/>
      <c r="I8" s="2059"/>
    </row>
    <row r="9" spans="1:11">
      <c r="A9" s="2060" t="s">
        <v>1989</v>
      </c>
      <c r="B9" s="2055" t="str">
        <f>FU</f>
        <v>m³/min</v>
      </c>
      <c r="C9" s="2054" t="e">
        <f>AverageFlowWet</f>
        <v>#DIV/0!</v>
      </c>
      <c r="D9" s="2058"/>
      <c r="E9" s="2058"/>
      <c r="I9" s="2059"/>
    </row>
    <row r="10" spans="1:11">
      <c r="A10" s="2052" t="s">
        <v>1972</v>
      </c>
      <c r="B10" s="2055" t="str">
        <f>FU</f>
        <v>m³/min</v>
      </c>
      <c r="C10" s="2052" t="e">
        <f>AverageFlowDry</f>
        <v>#DIV/0!</v>
      </c>
      <c r="D10" s="2058"/>
      <c r="E10" s="2058"/>
      <c r="I10" s="2059"/>
    </row>
    <row r="11" spans="1:11">
      <c r="A11" s="2049" t="s">
        <v>1973</v>
      </c>
      <c r="B11" s="2050" t="s">
        <v>1980</v>
      </c>
      <c r="C11" s="2050" t="s">
        <v>1981</v>
      </c>
      <c r="D11" s="2050" t="s">
        <v>1982</v>
      </c>
      <c r="E11" s="2050" t="s">
        <v>1983</v>
      </c>
      <c r="F11" s="2049" t="s">
        <v>1974</v>
      </c>
      <c r="G11" s="2049" t="s">
        <v>1975</v>
      </c>
      <c r="H11" s="2049" t="s">
        <v>1976</v>
      </c>
      <c r="I11" s="2049" t="s">
        <v>1977</v>
      </c>
      <c r="J11" s="2049" t="s">
        <v>1978</v>
      </c>
      <c r="K11" s="2049" t="s">
        <v>1979</v>
      </c>
    </row>
    <row r="12" spans="1:11">
      <c r="A12" s="2052">
        <f>'Results Entry'!B16</f>
        <v>0</v>
      </c>
      <c r="B12" s="2053" t="e">
        <f>Date+TIME(LEFT('Non-Isokinetic'!C7,2),RIGHT('Non-Isokinetic'!C7,2),0)</f>
        <v>#VALUE!</v>
      </c>
      <c r="C12" s="2053" t="e">
        <f>Date+TIME(LEFT('Non-Isokinetic'!C8,2),RIGHT('Non-Isokinetic'!C8,2),0)</f>
        <v>#VALUE!</v>
      </c>
      <c r="D12" s="2053" t="e">
        <f>Date+TIME(LEFT('Non-Isokinetic'!D7,2),RIGHT('Non-Isokinetic'!D7,2),0)</f>
        <v>#VALUE!</v>
      </c>
      <c r="E12" s="2053" t="e">
        <f>Date+TIME(LEFT('Non-Isokinetic'!D8,2),RIGHT('Non-Isokinetic'!D8,2),0)</f>
        <v>#VALUE!</v>
      </c>
      <c r="F12" s="2052" t="str">
        <f>'Results Entry'!V14</f>
        <v>mg/m³</v>
      </c>
      <c r="G12" s="2052" t="str">
        <f>'Results Entry'!U16&amp;'Results Entry'!V16</f>
        <v/>
      </c>
      <c r="H12" s="2052" t="str">
        <f>'Results Entry'!X16&amp;'Results Entry'!Y16</f>
        <v/>
      </c>
      <c r="I12" s="2054" t="str">
        <f>'Results Entry'!AE14</f>
        <v>g/min</v>
      </c>
      <c r="J12" s="2052" t="str">
        <f>'Results Entry'!AD16&amp;'Results Entry'!AE16</f>
        <v/>
      </c>
      <c r="K12" s="2052" t="str">
        <f>'Results Entry'!AF16&amp;'Results Entry'!AG16</f>
        <v/>
      </c>
    </row>
    <row r="13" spans="1:11">
      <c r="A13" s="2052">
        <f>'Results Entry'!B17</f>
        <v>0</v>
      </c>
      <c r="B13" s="2053" t="e">
        <f>B12</f>
        <v>#VALUE!</v>
      </c>
      <c r="C13" s="2053" t="e">
        <f>C12</f>
        <v>#VALUE!</v>
      </c>
      <c r="D13" s="2053" t="e">
        <f>D12</f>
        <v>#VALUE!</v>
      </c>
      <c r="E13" s="2053" t="e">
        <f>E12</f>
        <v>#VALUE!</v>
      </c>
      <c r="F13" s="2052" t="str">
        <f>F12</f>
        <v>mg/m³</v>
      </c>
      <c r="G13" s="2052" t="str">
        <f>'Results Entry'!U17&amp;'Results Entry'!V17</f>
        <v/>
      </c>
      <c r="H13" s="2052" t="str">
        <f>'Results Entry'!X17&amp;'Results Entry'!Y17</f>
        <v/>
      </c>
      <c r="I13" s="2052" t="str">
        <f>I12</f>
        <v>g/min</v>
      </c>
      <c r="J13" s="2052" t="str">
        <f>'Results Entry'!AD17&amp;'Results Entry'!AE17</f>
        <v/>
      </c>
      <c r="K13" s="2052" t="str">
        <f>'Results Entry'!AF17&amp;'Results Entry'!AG17</f>
        <v/>
      </c>
    </row>
    <row r="14" spans="1:11">
      <c r="A14" s="2052">
        <f>'Results Entry'!B18</f>
        <v>0</v>
      </c>
      <c r="B14" s="2053" t="e">
        <f>B12</f>
        <v>#VALUE!</v>
      </c>
      <c r="C14" s="2053" t="e">
        <f>C12</f>
        <v>#VALUE!</v>
      </c>
      <c r="D14" s="2053" t="e">
        <f>D12</f>
        <v>#VALUE!</v>
      </c>
      <c r="E14" s="2053" t="e">
        <f>E12</f>
        <v>#VALUE!</v>
      </c>
      <c r="F14" s="2052" t="str">
        <f>F12</f>
        <v>mg/m³</v>
      </c>
      <c r="G14" s="2052" t="str">
        <f>'Results Entry'!U18&amp;'Results Entry'!V18</f>
        <v/>
      </c>
      <c r="H14" s="2052" t="str">
        <f>'Results Entry'!X18&amp;'Results Entry'!Y18</f>
        <v/>
      </c>
      <c r="I14" s="2052" t="str">
        <f>I12</f>
        <v>g/min</v>
      </c>
      <c r="J14" s="2052" t="str">
        <f>'Results Entry'!AD18&amp;'Results Entry'!AE18</f>
        <v/>
      </c>
      <c r="K14" s="2052" t="str">
        <f>'Results Entry'!AF18&amp;'Results Entry'!AG18</f>
        <v/>
      </c>
    </row>
    <row r="15" spans="1:11">
      <c r="A15" s="2052">
        <f>'Results Entry'!B19</f>
        <v>0</v>
      </c>
      <c r="B15" s="2053" t="e">
        <f>B12</f>
        <v>#VALUE!</v>
      </c>
      <c r="C15" s="2053" t="e">
        <f>C12</f>
        <v>#VALUE!</v>
      </c>
      <c r="D15" s="2053" t="e">
        <f>D12</f>
        <v>#VALUE!</v>
      </c>
      <c r="E15" s="2053" t="e">
        <f>E12</f>
        <v>#VALUE!</v>
      </c>
      <c r="F15" s="2052" t="str">
        <f>F12</f>
        <v>mg/m³</v>
      </c>
      <c r="G15" s="2052" t="str">
        <f>'Results Entry'!U19&amp;'Results Entry'!V19</f>
        <v/>
      </c>
      <c r="H15" s="2052" t="str">
        <f>'Results Entry'!X19&amp;'Results Entry'!Y19</f>
        <v/>
      </c>
      <c r="I15" s="2052" t="str">
        <f>I12</f>
        <v>g/min</v>
      </c>
      <c r="J15" s="2052" t="str">
        <f>'Results Entry'!AD19&amp;'Results Entry'!AE19</f>
        <v/>
      </c>
      <c r="K15" s="2052" t="str">
        <f>'Results Entry'!AF19&amp;'Results Entry'!AG19</f>
        <v/>
      </c>
    </row>
    <row r="16" spans="1:11">
      <c r="A16" s="2052">
        <f>'Results Entry'!B20</f>
        <v>0</v>
      </c>
      <c r="B16" s="2053" t="e">
        <f>B12</f>
        <v>#VALUE!</v>
      </c>
      <c r="C16" s="2053" t="e">
        <f>C12</f>
        <v>#VALUE!</v>
      </c>
      <c r="D16" s="2053" t="e">
        <f>D12</f>
        <v>#VALUE!</v>
      </c>
      <c r="E16" s="2053" t="e">
        <f>E12</f>
        <v>#VALUE!</v>
      </c>
      <c r="F16" s="2052" t="str">
        <f>F12</f>
        <v>mg/m³</v>
      </c>
      <c r="G16" s="2052" t="str">
        <f>'Results Entry'!U20&amp;'Results Entry'!V20</f>
        <v/>
      </c>
      <c r="H16" s="2052" t="str">
        <f>'Results Entry'!X20&amp;'Results Entry'!Y20</f>
        <v/>
      </c>
      <c r="I16" s="2052" t="str">
        <f>I12</f>
        <v>g/min</v>
      </c>
      <c r="J16" s="2052" t="str">
        <f>'Results Entry'!AD20&amp;'Results Entry'!AE20</f>
        <v/>
      </c>
      <c r="K16" s="2052" t="str">
        <f>'Results Entry'!AF20&amp;'Results Entry'!AG20</f>
        <v/>
      </c>
    </row>
    <row r="17" spans="1:11">
      <c r="A17" s="2052">
        <f>'Results Entry'!B21</f>
        <v>0</v>
      </c>
      <c r="B17" s="2053" t="e">
        <f>B12</f>
        <v>#VALUE!</v>
      </c>
      <c r="C17" s="2053" t="e">
        <f>C12</f>
        <v>#VALUE!</v>
      </c>
      <c r="D17" s="2053" t="e">
        <f>D12</f>
        <v>#VALUE!</v>
      </c>
      <c r="E17" s="2053" t="e">
        <f>E12</f>
        <v>#VALUE!</v>
      </c>
      <c r="F17" s="2052" t="str">
        <f>F12</f>
        <v>mg/m³</v>
      </c>
      <c r="G17" s="2052" t="str">
        <f>'Results Entry'!U21&amp;'Results Entry'!V21</f>
        <v/>
      </c>
      <c r="H17" s="2052" t="str">
        <f>'Results Entry'!X21&amp;'Results Entry'!Y21</f>
        <v/>
      </c>
      <c r="I17" s="2052" t="str">
        <f>I12</f>
        <v>g/min</v>
      </c>
      <c r="J17" s="2052" t="str">
        <f>'Results Entry'!AD21&amp;'Results Entry'!AE21</f>
        <v/>
      </c>
      <c r="K17" s="2052" t="str">
        <f>'Results Entry'!AF21&amp;'Results Entry'!AG21</f>
        <v/>
      </c>
    </row>
    <row r="18" spans="1:11">
      <c r="A18" s="2052">
        <f>'Results Entry'!B22</f>
        <v>0</v>
      </c>
      <c r="B18" s="2053" t="e">
        <f>B12</f>
        <v>#VALUE!</v>
      </c>
      <c r="C18" s="2053" t="e">
        <f>C12</f>
        <v>#VALUE!</v>
      </c>
      <c r="D18" s="2053" t="e">
        <f>D12</f>
        <v>#VALUE!</v>
      </c>
      <c r="E18" s="2053" t="e">
        <f>E12</f>
        <v>#VALUE!</v>
      </c>
      <c r="F18" s="2052" t="str">
        <f>F12</f>
        <v>mg/m³</v>
      </c>
      <c r="G18" s="2052" t="str">
        <f>'Results Entry'!U22&amp;'Results Entry'!V22</f>
        <v/>
      </c>
      <c r="H18" s="2052" t="str">
        <f>'Results Entry'!X22&amp;'Results Entry'!Y22</f>
        <v/>
      </c>
      <c r="I18" s="2052" t="str">
        <f>I12</f>
        <v>g/min</v>
      </c>
      <c r="J18" s="2052" t="str">
        <f>'Results Entry'!AD22&amp;'Results Entry'!AE22</f>
        <v/>
      </c>
      <c r="K18" s="2052" t="str">
        <f>'Results Entry'!AF22&amp;'Results Entry'!AG22</f>
        <v/>
      </c>
    </row>
    <row r="19" spans="1:11">
      <c r="A19" s="2052">
        <f>'Results Entry'!B23</f>
        <v>0</v>
      </c>
      <c r="B19" s="2053" t="e">
        <f>B12</f>
        <v>#VALUE!</v>
      </c>
      <c r="C19" s="2053" t="e">
        <f>C12</f>
        <v>#VALUE!</v>
      </c>
      <c r="D19" s="2053" t="e">
        <f>D12</f>
        <v>#VALUE!</v>
      </c>
      <c r="E19" s="2053" t="e">
        <f>E12</f>
        <v>#VALUE!</v>
      </c>
      <c r="F19" s="2052" t="str">
        <f>F12</f>
        <v>mg/m³</v>
      </c>
      <c r="G19" s="2052" t="str">
        <f>'Results Entry'!U23&amp;'Results Entry'!V23</f>
        <v/>
      </c>
      <c r="H19" s="2052" t="str">
        <f>'Results Entry'!X23&amp;'Results Entry'!Y23</f>
        <v/>
      </c>
      <c r="I19" s="2052" t="str">
        <f>I12</f>
        <v>g/min</v>
      </c>
      <c r="J19" s="2052" t="str">
        <f>'Results Entry'!AD23&amp;'Results Entry'!AE23</f>
        <v/>
      </c>
      <c r="K19" s="2052" t="str">
        <f>'Results Entry'!AF23&amp;'Results Entry'!AG23</f>
        <v/>
      </c>
    </row>
    <row r="20" spans="1:11">
      <c r="A20" s="2052">
        <f>'Results Entry'!B24</f>
        <v>0</v>
      </c>
      <c r="B20" s="2053" t="e">
        <f>B12</f>
        <v>#VALUE!</v>
      </c>
      <c r="C20" s="2053" t="e">
        <f>C12</f>
        <v>#VALUE!</v>
      </c>
      <c r="D20" s="2053" t="e">
        <f>D12</f>
        <v>#VALUE!</v>
      </c>
      <c r="E20" s="2053" t="e">
        <f>E12</f>
        <v>#VALUE!</v>
      </c>
      <c r="F20" s="2052" t="str">
        <f>F12</f>
        <v>mg/m³</v>
      </c>
      <c r="G20" s="2052" t="str">
        <f>'Results Entry'!U24&amp;'Results Entry'!V24</f>
        <v/>
      </c>
      <c r="H20" s="2052" t="str">
        <f>'Results Entry'!X24&amp;'Results Entry'!Y24</f>
        <v/>
      </c>
      <c r="I20" s="2052" t="str">
        <f>I12</f>
        <v>g/min</v>
      </c>
      <c r="J20" s="2052" t="str">
        <f>'Results Entry'!AD24&amp;'Results Entry'!AE24</f>
        <v/>
      </c>
      <c r="K20" s="2052" t="str">
        <f>'Results Entry'!AF24&amp;'Results Entry'!AG24</f>
        <v/>
      </c>
    </row>
    <row r="21" spans="1:11">
      <c r="A21" s="2049" t="s">
        <v>1973</v>
      </c>
      <c r="B21" s="2050" t="s">
        <v>1980</v>
      </c>
      <c r="C21" s="2050" t="s">
        <v>1981</v>
      </c>
      <c r="D21" s="2050" t="s">
        <v>1982</v>
      </c>
      <c r="E21" s="2050" t="s">
        <v>1983</v>
      </c>
      <c r="F21" s="2049" t="s">
        <v>1974</v>
      </c>
      <c r="G21" s="2049" t="s">
        <v>1975</v>
      </c>
      <c r="H21" s="2049" t="s">
        <v>1976</v>
      </c>
      <c r="I21" s="2049" t="s">
        <v>1977</v>
      </c>
      <c r="J21" s="2049" t="s">
        <v>1978</v>
      </c>
      <c r="K21" s="2049" t="s">
        <v>1979</v>
      </c>
    </row>
    <row r="22" spans="1:11">
      <c r="A22" s="2052">
        <f>'Results Entry'!B33</f>
        <v>0</v>
      </c>
      <c r="B22" s="2053" t="e">
        <f>Date+TIME(LEFT('Non-Isokinetic'!C21,2),RIGHT('Non-Isokinetic'!C21,2),0)</f>
        <v>#VALUE!</v>
      </c>
      <c r="C22" s="2053" t="e">
        <f>Date+TIME(LEFT('Non-Isokinetic'!C22,2),RIGHT('Non-Isokinetic'!C22,2),0)</f>
        <v>#VALUE!</v>
      </c>
      <c r="D22" s="2053" t="e">
        <f>Date+TIME(LEFT('Non-Isokinetic'!D21,2),RIGHT('Non-Isokinetic'!D21,2),0)</f>
        <v>#VALUE!</v>
      </c>
      <c r="E22" s="2053" t="e">
        <f>Date+TIME(LEFT('Non-Isokinetic'!D22,2),RIGHT('Non-Isokinetic'!D22,2),0)</f>
        <v>#VALUE!</v>
      </c>
      <c r="F22" s="2052" t="str">
        <f>'Results Entry'!V31</f>
        <v>mg/m³</v>
      </c>
      <c r="G22" s="2052" t="str">
        <f>'Results Entry'!U33&amp;'Results Entry'!V33</f>
        <v/>
      </c>
      <c r="H22" s="2052" t="str">
        <f>'Results Entry'!X33&amp;'Results Entry'!Y33</f>
        <v/>
      </c>
      <c r="I22" s="2054" t="str">
        <f>'Results Entry'!AE31</f>
        <v>g/min</v>
      </c>
      <c r="J22" s="2052" t="str">
        <f>'Results Entry'!AD33&amp;'Results Entry'!AE33</f>
        <v/>
      </c>
      <c r="K22" s="2052" t="str">
        <f>'Results Entry'!AF33&amp;'Results Entry'!AG33</f>
        <v/>
      </c>
    </row>
    <row r="23" spans="1:11">
      <c r="A23" s="2052">
        <f>'Results Entry'!B34</f>
        <v>0</v>
      </c>
      <c r="B23" s="2053" t="e">
        <f>B22</f>
        <v>#VALUE!</v>
      </c>
      <c r="C23" s="2053" t="e">
        <f>C22</f>
        <v>#VALUE!</v>
      </c>
      <c r="D23" s="2053" t="e">
        <f>D22</f>
        <v>#VALUE!</v>
      </c>
      <c r="E23" s="2053" t="e">
        <f>E22</f>
        <v>#VALUE!</v>
      </c>
      <c r="F23" s="2052" t="str">
        <f>F22</f>
        <v>mg/m³</v>
      </c>
      <c r="G23" s="2052" t="str">
        <f>'Results Entry'!U34&amp;'Results Entry'!V34</f>
        <v/>
      </c>
      <c r="H23" s="2052" t="str">
        <f>'Results Entry'!X34&amp;'Results Entry'!Y34</f>
        <v/>
      </c>
      <c r="I23" s="2052" t="str">
        <f>I22</f>
        <v>g/min</v>
      </c>
      <c r="J23" s="2052" t="str">
        <f>'Results Entry'!AD34&amp;'Results Entry'!AE34</f>
        <v/>
      </c>
      <c r="K23" s="2052" t="str">
        <f>'Results Entry'!AF34&amp;'Results Entry'!AG34</f>
        <v/>
      </c>
    </row>
    <row r="24" spans="1:11">
      <c r="A24" s="2052">
        <f>'Results Entry'!B35</f>
        <v>0</v>
      </c>
      <c r="B24" s="2053" t="e">
        <f>B22</f>
        <v>#VALUE!</v>
      </c>
      <c r="C24" s="2053" t="e">
        <f>C22</f>
        <v>#VALUE!</v>
      </c>
      <c r="D24" s="2053" t="e">
        <f>D22</f>
        <v>#VALUE!</v>
      </c>
      <c r="E24" s="2053" t="e">
        <f>E22</f>
        <v>#VALUE!</v>
      </c>
      <c r="F24" s="2052" t="str">
        <f>F22</f>
        <v>mg/m³</v>
      </c>
      <c r="G24" s="2052" t="str">
        <f>'Results Entry'!U35&amp;'Results Entry'!V35</f>
        <v/>
      </c>
      <c r="H24" s="2052" t="str">
        <f>'Results Entry'!X35&amp;'Results Entry'!Y35</f>
        <v/>
      </c>
      <c r="I24" s="2052" t="str">
        <f>I22</f>
        <v>g/min</v>
      </c>
      <c r="J24" s="2052" t="str">
        <f>'Results Entry'!AD35&amp;'Results Entry'!AE35</f>
        <v/>
      </c>
      <c r="K24" s="2052" t="str">
        <f>'Results Entry'!AF35&amp;'Results Entry'!AG35</f>
        <v/>
      </c>
    </row>
    <row r="25" spans="1:11">
      <c r="A25" s="2052">
        <f>'Results Entry'!B36</f>
        <v>0</v>
      </c>
      <c r="B25" s="2053" t="e">
        <f>B22</f>
        <v>#VALUE!</v>
      </c>
      <c r="C25" s="2053" t="e">
        <f>C22</f>
        <v>#VALUE!</v>
      </c>
      <c r="D25" s="2053" t="e">
        <f>D22</f>
        <v>#VALUE!</v>
      </c>
      <c r="E25" s="2053" t="e">
        <f>E22</f>
        <v>#VALUE!</v>
      </c>
      <c r="F25" s="2052" t="str">
        <f>F22</f>
        <v>mg/m³</v>
      </c>
      <c r="G25" s="2052" t="str">
        <f>'Results Entry'!U36&amp;'Results Entry'!V36</f>
        <v/>
      </c>
      <c r="H25" s="2052" t="str">
        <f>'Results Entry'!X36&amp;'Results Entry'!Y36</f>
        <v/>
      </c>
      <c r="I25" s="2052" t="str">
        <f>I22</f>
        <v>g/min</v>
      </c>
      <c r="J25" s="2052" t="str">
        <f>'Results Entry'!AD36&amp;'Results Entry'!AE36</f>
        <v/>
      </c>
      <c r="K25" s="2052" t="str">
        <f>'Results Entry'!AF36&amp;'Results Entry'!AG36</f>
        <v/>
      </c>
    </row>
    <row r="26" spans="1:11">
      <c r="A26" s="2052">
        <f>'Results Entry'!B37</f>
        <v>0</v>
      </c>
      <c r="B26" s="2053" t="e">
        <f>B22</f>
        <v>#VALUE!</v>
      </c>
      <c r="C26" s="2053" t="e">
        <f>C22</f>
        <v>#VALUE!</v>
      </c>
      <c r="D26" s="2053" t="e">
        <f>D22</f>
        <v>#VALUE!</v>
      </c>
      <c r="E26" s="2053" t="e">
        <f>E22</f>
        <v>#VALUE!</v>
      </c>
      <c r="F26" s="2052" t="str">
        <f>F22</f>
        <v>mg/m³</v>
      </c>
      <c r="G26" s="2052" t="str">
        <f>'Results Entry'!U37&amp;'Results Entry'!V37</f>
        <v/>
      </c>
      <c r="H26" s="2052" t="str">
        <f>'Results Entry'!X37&amp;'Results Entry'!Y37</f>
        <v/>
      </c>
      <c r="I26" s="2052" t="str">
        <f>I22</f>
        <v>g/min</v>
      </c>
      <c r="J26" s="2052" t="str">
        <f>'Results Entry'!AD37&amp;'Results Entry'!AE37</f>
        <v/>
      </c>
      <c r="K26" s="2052" t="str">
        <f>'Results Entry'!AF37&amp;'Results Entry'!AG37</f>
        <v/>
      </c>
    </row>
    <row r="27" spans="1:11">
      <c r="A27" s="2052">
        <f>'Results Entry'!B38</f>
        <v>0</v>
      </c>
      <c r="B27" s="2053" t="e">
        <f>B22</f>
        <v>#VALUE!</v>
      </c>
      <c r="C27" s="2053" t="e">
        <f>C22</f>
        <v>#VALUE!</v>
      </c>
      <c r="D27" s="2053" t="e">
        <f>D22</f>
        <v>#VALUE!</v>
      </c>
      <c r="E27" s="2053" t="e">
        <f>E22</f>
        <v>#VALUE!</v>
      </c>
      <c r="F27" s="2052" t="str">
        <f>F22</f>
        <v>mg/m³</v>
      </c>
      <c r="G27" s="2052" t="str">
        <f>'Results Entry'!U38&amp;'Results Entry'!V38</f>
        <v/>
      </c>
      <c r="H27" s="2052" t="str">
        <f>'Results Entry'!X38&amp;'Results Entry'!Y38</f>
        <v/>
      </c>
      <c r="I27" s="2052" t="str">
        <f>I22</f>
        <v>g/min</v>
      </c>
      <c r="J27" s="2052" t="str">
        <f>'Results Entry'!AD38&amp;'Results Entry'!AE38</f>
        <v/>
      </c>
      <c r="K27" s="2052" t="str">
        <f>'Results Entry'!AF38&amp;'Results Entry'!AG38</f>
        <v/>
      </c>
    </row>
    <row r="28" spans="1:11">
      <c r="A28" s="2052">
        <f>'Results Entry'!B39</f>
        <v>0</v>
      </c>
      <c r="B28" s="2053" t="e">
        <f>B22</f>
        <v>#VALUE!</v>
      </c>
      <c r="C28" s="2053" t="e">
        <f>C22</f>
        <v>#VALUE!</v>
      </c>
      <c r="D28" s="2053" t="e">
        <f>D22</f>
        <v>#VALUE!</v>
      </c>
      <c r="E28" s="2053" t="e">
        <f>E22</f>
        <v>#VALUE!</v>
      </c>
      <c r="F28" s="2052" t="str">
        <f>F22</f>
        <v>mg/m³</v>
      </c>
      <c r="G28" s="2052" t="str">
        <f>'Results Entry'!U39&amp;'Results Entry'!V39</f>
        <v/>
      </c>
      <c r="H28" s="2052" t="str">
        <f>'Results Entry'!X39&amp;'Results Entry'!Y39</f>
        <v/>
      </c>
      <c r="I28" s="2052" t="str">
        <f>I22</f>
        <v>g/min</v>
      </c>
      <c r="J28" s="2052" t="str">
        <f>'Results Entry'!AD39&amp;'Results Entry'!AE39</f>
        <v/>
      </c>
      <c r="K28" s="2052" t="str">
        <f>'Results Entry'!AF39&amp;'Results Entry'!AG39</f>
        <v/>
      </c>
    </row>
    <row r="29" spans="1:11">
      <c r="A29" s="2052">
        <f>'Results Entry'!B40</f>
        <v>0</v>
      </c>
      <c r="B29" s="2053" t="e">
        <f>B22</f>
        <v>#VALUE!</v>
      </c>
      <c r="C29" s="2053" t="e">
        <f>C22</f>
        <v>#VALUE!</v>
      </c>
      <c r="D29" s="2053" t="e">
        <f>D22</f>
        <v>#VALUE!</v>
      </c>
      <c r="E29" s="2053" t="e">
        <f>E22</f>
        <v>#VALUE!</v>
      </c>
      <c r="F29" s="2052" t="str">
        <f>F22</f>
        <v>mg/m³</v>
      </c>
      <c r="G29" s="2052" t="str">
        <f>'Results Entry'!U40&amp;'Results Entry'!V40</f>
        <v/>
      </c>
      <c r="H29" s="2052" t="str">
        <f>'Results Entry'!X40&amp;'Results Entry'!Y40</f>
        <v/>
      </c>
      <c r="I29" s="2052" t="str">
        <f>I22</f>
        <v>g/min</v>
      </c>
      <c r="J29" s="2052" t="str">
        <f>'Results Entry'!AD40&amp;'Results Entry'!AE40</f>
        <v/>
      </c>
      <c r="K29" s="2052" t="str">
        <f>'Results Entry'!AF40&amp;'Results Entry'!AG40</f>
        <v/>
      </c>
    </row>
    <row r="30" spans="1:11">
      <c r="A30" s="2052">
        <f>'Results Entry'!B41</f>
        <v>0</v>
      </c>
      <c r="B30" s="2053" t="e">
        <f>B22</f>
        <v>#VALUE!</v>
      </c>
      <c r="C30" s="2053" t="e">
        <f>C22</f>
        <v>#VALUE!</v>
      </c>
      <c r="D30" s="2053" t="e">
        <f>D22</f>
        <v>#VALUE!</v>
      </c>
      <c r="E30" s="2053" t="e">
        <f>E22</f>
        <v>#VALUE!</v>
      </c>
      <c r="F30" s="2052" t="str">
        <f>F22</f>
        <v>mg/m³</v>
      </c>
      <c r="G30" s="2052" t="str">
        <f>'Results Entry'!U41&amp;'Results Entry'!V41</f>
        <v/>
      </c>
      <c r="H30" s="2052" t="str">
        <f>'Results Entry'!X41&amp;'Results Entry'!Y41</f>
        <v/>
      </c>
      <c r="I30" s="2052" t="str">
        <f>I22</f>
        <v>g/min</v>
      </c>
      <c r="J30" s="2052" t="str">
        <f>'Results Entry'!AD41&amp;'Results Entry'!AE41</f>
        <v/>
      </c>
      <c r="K30" s="2052" t="str">
        <f>'Results Entry'!AF41&amp;'Results Entry'!AG41</f>
        <v/>
      </c>
    </row>
    <row r="31" spans="1:11">
      <c r="A31" s="2049" t="s">
        <v>1973</v>
      </c>
      <c r="B31" s="2050" t="s">
        <v>1980</v>
      </c>
      <c r="C31" s="2050" t="s">
        <v>1981</v>
      </c>
      <c r="D31" s="2050" t="s">
        <v>1982</v>
      </c>
      <c r="E31" s="2050" t="s">
        <v>1983</v>
      </c>
      <c r="F31" s="2049" t="s">
        <v>1974</v>
      </c>
      <c r="G31" s="2049" t="s">
        <v>1975</v>
      </c>
      <c r="H31" s="2049" t="s">
        <v>1976</v>
      </c>
      <c r="I31" s="2049" t="s">
        <v>1977</v>
      </c>
      <c r="J31" s="2049" t="s">
        <v>1978</v>
      </c>
      <c r="K31" s="2049" t="s">
        <v>1979</v>
      </c>
    </row>
    <row r="32" spans="1:11">
      <c r="A32" s="2052">
        <f>'Results Entry'!B50</f>
        <v>0</v>
      </c>
      <c r="B32" s="2053" t="e">
        <f>Date+TIME(LEFT('Non-Isokinetic'!C35,2),RIGHT('Non-Isokinetic'!C35,2),0)</f>
        <v>#VALUE!</v>
      </c>
      <c r="C32" s="2053" t="e">
        <f>Date+TIME(LEFT('Non-Isokinetic'!C36,2),RIGHT('Non-Isokinetic'!C36,2),0)</f>
        <v>#VALUE!</v>
      </c>
      <c r="D32" s="2053" t="e">
        <f>Date+TIME(LEFT('Non-Isokinetic'!D35,2),RIGHT('Non-Isokinetic'!D35,2),0)</f>
        <v>#VALUE!</v>
      </c>
      <c r="E32" s="2053" t="e">
        <f>Date+TIME(LEFT('Non-Isokinetic'!D36,2),RIGHT('Non-Isokinetic'!D36,2),0)</f>
        <v>#VALUE!</v>
      </c>
      <c r="F32" s="2052" t="str">
        <f>'Results Entry'!V48</f>
        <v>mg/m³</v>
      </c>
      <c r="G32" s="2052" t="str">
        <f>'Results Entry'!U50&amp;'Results Entry'!V50</f>
        <v/>
      </c>
      <c r="H32" s="2052" t="str">
        <f>'Results Entry'!X50&amp;'Results Entry'!Y50</f>
        <v/>
      </c>
      <c r="I32" s="2054" t="str">
        <f>'Results Entry'!AE48</f>
        <v>g/min</v>
      </c>
      <c r="J32" s="2052" t="str">
        <f>'Results Entry'!AD50&amp;'Results Entry'!AE50</f>
        <v/>
      </c>
      <c r="K32" s="2052" t="str">
        <f>'Results Entry'!AF50&amp;'Results Entry'!AG50</f>
        <v/>
      </c>
    </row>
    <row r="33" spans="1:11">
      <c r="A33" s="2052">
        <f>'Results Entry'!B51</f>
        <v>0</v>
      </c>
      <c r="B33" s="2053" t="e">
        <f>B32</f>
        <v>#VALUE!</v>
      </c>
      <c r="C33" s="2053" t="e">
        <f>C32</f>
        <v>#VALUE!</v>
      </c>
      <c r="D33" s="2053" t="e">
        <f>D32</f>
        <v>#VALUE!</v>
      </c>
      <c r="E33" s="2053" t="e">
        <f>E32</f>
        <v>#VALUE!</v>
      </c>
      <c r="F33" s="2052" t="str">
        <f>F32</f>
        <v>mg/m³</v>
      </c>
      <c r="G33" s="2052" t="str">
        <f>'Results Entry'!U51&amp;'Results Entry'!V51</f>
        <v/>
      </c>
      <c r="H33" s="2052" t="str">
        <f>'Results Entry'!X51&amp;'Results Entry'!Y51</f>
        <v/>
      </c>
      <c r="I33" s="2052" t="str">
        <f>I32</f>
        <v>g/min</v>
      </c>
      <c r="J33" s="2052" t="str">
        <f>'Results Entry'!AD51&amp;'Results Entry'!AE51</f>
        <v/>
      </c>
      <c r="K33" s="2052" t="str">
        <f>'Results Entry'!AF51&amp;'Results Entry'!AG51</f>
        <v/>
      </c>
    </row>
    <row r="34" spans="1:11">
      <c r="A34" s="2052">
        <f>'Results Entry'!B52</f>
        <v>0</v>
      </c>
      <c r="B34" s="2053" t="e">
        <f>B32</f>
        <v>#VALUE!</v>
      </c>
      <c r="C34" s="2053" t="e">
        <f>C32</f>
        <v>#VALUE!</v>
      </c>
      <c r="D34" s="2053" t="e">
        <f>D32</f>
        <v>#VALUE!</v>
      </c>
      <c r="E34" s="2053" t="e">
        <f>E32</f>
        <v>#VALUE!</v>
      </c>
      <c r="F34" s="2052" t="str">
        <f>F32</f>
        <v>mg/m³</v>
      </c>
      <c r="G34" s="2052" t="str">
        <f>'Results Entry'!U52&amp;'Results Entry'!V52</f>
        <v/>
      </c>
      <c r="H34" s="2052" t="str">
        <f>'Results Entry'!X52&amp;'Results Entry'!Y52</f>
        <v/>
      </c>
      <c r="I34" s="2052" t="str">
        <f>I32</f>
        <v>g/min</v>
      </c>
      <c r="J34" s="2052" t="str">
        <f>'Results Entry'!AD52&amp;'Results Entry'!AE52</f>
        <v/>
      </c>
      <c r="K34" s="2052" t="str">
        <f>'Results Entry'!AF52&amp;'Results Entry'!AG52</f>
        <v/>
      </c>
    </row>
    <row r="35" spans="1:11">
      <c r="A35" s="2052">
        <f>'Results Entry'!B53</f>
        <v>0</v>
      </c>
      <c r="B35" s="2053" t="e">
        <f>B32</f>
        <v>#VALUE!</v>
      </c>
      <c r="C35" s="2053" t="e">
        <f>C32</f>
        <v>#VALUE!</v>
      </c>
      <c r="D35" s="2053" t="e">
        <f>D32</f>
        <v>#VALUE!</v>
      </c>
      <c r="E35" s="2053" t="e">
        <f>E32</f>
        <v>#VALUE!</v>
      </c>
      <c r="F35" s="2052" t="str">
        <f>F32</f>
        <v>mg/m³</v>
      </c>
      <c r="G35" s="2052" t="str">
        <f>'Results Entry'!U53&amp;'Results Entry'!V53</f>
        <v/>
      </c>
      <c r="H35" s="2052" t="str">
        <f>'Results Entry'!X53&amp;'Results Entry'!Y53</f>
        <v/>
      </c>
      <c r="I35" s="2052" t="str">
        <f>I32</f>
        <v>g/min</v>
      </c>
      <c r="J35" s="2052" t="str">
        <f>'Results Entry'!AD53&amp;'Results Entry'!AE53</f>
        <v/>
      </c>
      <c r="K35" s="2052" t="str">
        <f>'Results Entry'!AF53&amp;'Results Entry'!AG53</f>
        <v/>
      </c>
    </row>
    <row r="36" spans="1:11">
      <c r="A36" s="2052">
        <f>'Results Entry'!B54</f>
        <v>0</v>
      </c>
      <c r="B36" s="2053" t="e">
        <f>B32</f>
        <v>#VALUE!</v>
      </c>
      <c r="C36" s="2053" t="e">
        <f>C32</f>
        <v>#VALUE!</v>
      </c>
      <c r="D36" s="2053" t="e">
        <f>D32</f>
        <v>#VALUE!</v>
      </c>
      <c r="E36" s="2053" t="e">
        <f>E32</f>
        <v>#VALUE!</v>
      </c>
      <c r="F36" s="2052" t="str">
        <f>F32</f>
        <v>mg/m³</v>
      </c>
      <c r="G36" s="2052" t="str">
        <f>'Results Entry'!U54&amp;'Results Entry'!V54</f>
        <v/>
      </c>
      <c r="H36" s="2052" t="str">
        <f>'Results Entry'!X54&amp;'Results Entry'!Y54</f>
        <v/>
      </c>
      <c r="I36" s="2052" t="str">
        <f>I32</f>
        <v>g/min</v>
      </c>
      <c r="J36" s="2052" t="str">
        <f>'Results Entry'!AD54&amp;'Results Entry'!AE54</f>
        <v/>
      </c>
      <c r="K36" s="2052" t="str">
        <f>'Results Entry'!AF54&amp;'Results Entry'!AG54</f>
        <v/>
      </c>
    </row>
    <row r="37" spans="1:11">
      <c r="A37" s="2052">
        <f>'Results Entry'!B55</f>
        <v>0</v>
      </c>
      <c r="B37" s="2053" t="e">
        <f>B32</f>
        <v>#VALUE!</v>
      </c>
      <c r="C37" s="2053" t="e">
        <f>C32</f>
        <v>#VALUE!</v>
      </c>
      <c r="D37" s="2053" t="e">
        <f>D32</f>
        <v>#VALUE!</v>
      </c>
      <c r="E37" s="2053" t="e">
        <f>E32</f>
        <v>#VALUE!</v>
      </c>
      <c r="F37" s="2052" t="str">
        <f>F32</f>
        <v>mg/m³</v>
      </c>
      <c r="G37" s="2052" t="str">
        <f>'Results Entry'!U55&amp;'Results Entry'!V55</f>
        <v/>
      </c>
      <c r="H37" s="2052" t="str">
        <f>'Results Entry'!X55&amp;'Results Entry'!Y55</f>
        <v/>
      </c>
      <c r="I37" s="2052" t="str">
        <f>I32</f>
        <v>g/min</v>
      </c>
      <c r="J37" s="2052" t="str">
        <f>'Results Entry'!AD55&amp;'Results Entry'!AE55</f>
        <v/>
      </c>
      <c r="K37" s="2052" t="str">
        <f>'Results Entry'!AF55&amp;'Results Entry'!AG55</f>
        <v/>
      </c>
    </row>
    <row r="38" spans="1:11">
      <c r="A38" s="2052">
        <f>'Results Entry'!B56</f>
        <v>0</v>
      </c>
      <c r="B38" s="2053" t="e">
        <f>B32</f>
        <v>#VALUE!</v>
      </c>
      <c r="C38" s="2053" t="e">
        <f>C32</f>
        <v>#VALUE!</v>
      </c>
      <c r="D38" s="2053" t="e">
        <f>D32</f>
        <v>#VALUE!</v>
      </c>
      <c r="E38" s="2053" t="e">
        <f>E32</f>
        <v>#VALUE!</v>
      </c>
      <c r="F38" s="2052" t="str">
        <f>F32</f>
        <v>mg/m³</v>
      </c>
      <c r="G38" s="2052" t="str">
        <f>'Results Entry'!U56&amp;'Results Entry'!V56</f>
        <v/>
      </c>
      <c r="H38" s="2052" t="str">
        <f>'Results Entry'!X56&amp;'Results Entry'!Y56</f>
        <v/>
      </c>
      <c r="I38" s="2052" t="str">
        <f>I32</f>
        <v>g/min</v>
      </c>
      <c r="J38" s="2052" t="str">
        <f>'Results Entry'!AD56&amp;'Results Entry'!AE56</f>
        <v/>
      </c>
      <c r="K38" s="2052" t="str">
        <f>'Results Entry'!AF56&amp;'Results Entry'!AG56</f>
        <v/>
      </c>
    </row>
    <row r="39" spans="1:11">
      <c r="A39" s="2052">
        <f>'Results Entry'!B57</f>
        <v>0</v>
      </c>
      <c r="B39" s="2053" t="e">
        <f>B32</f>
        <v>#VALUE!</v>
      </c>
      <c r="C39" s="2053" t="e">
        <f>C32</f>
        <v>#VALUE!</v>
      </c>
      <c r="D39" s="2053" t="e">
        <f>D32</f>
        <v>#VALUE!</v>
      </c>
      <c r="E39" s="2053" t="e">
        <f>E32</f>
        <v>#VALUE!</v>
      </c>
      <c r="F39" s="2052" t="str">
        <f>F32</f>
        <v>mg/m³</v>
      </c>
      <c r="G39" s="2052" t="str">
        <f>'Results Entry'!U57&amp;'Results Entry'!V57</f>
        <v/>
      </c>
      <c r="H39" s="2052" t="str">
        <f>'Results Entry'!X57&amp;'Results Entry'!Y57</f>
        <v/>
      </c>
      <c r="I39" s="2052" t="str">
        <f>I32</f>
        <v>g/min</v>
      </c>
      <c r="J39" s="2052" t="str">
        <f>'Results Entry'!AD57&amp;'Results Entry'!AE57</f>
        <v/>
      </c>
      <c r="K39" s="2052" t="str">
        <f>'Results Entry'!AF57&amp;'Results Entry'!AG57</f>
        <v/>
      </c>
    </row>
    <row r="40" spans="1:11">
      <c r="A40" s="2052">
        <f>'Results Entry'!B58</f>
        <v>0</v>
      </c>
      <c r="B40" s="2053" t="e">
        <f>B32</f>
        <v>#VALUE!</v>
      </c>
      <c r="C40" s="2053" t="e">
        <f>C32</f>
        <v>#VALUE!</v>
      </c>
      <c r="D40" s="2053" t="e">
        <f>D32</f>
        <v>#VALUE!</v>
      </c>
      <c r="E40" s="2053" t="e">
        <f>E32</f>
        <v>#VALUE!</v>
      </c>
      <c r="F40" s="2052" t="str">
        <f>F32</f>
        <v>mg/m³</v>
      </c>
      <c r="G40" s="2052" t="str">
        <f>'Results Entry'!U58&amp;'Results Entry'!V58</f>
        <v/>
      </c>
      <c r="H40" s="2052" t="str">
        <f>'Results Entry'!X58&amp;'Results Entry'!Y58</f>
        <v/>
      </c>
      <c r="I40" s="2052" t="str">
        <f>I32</f>
        <v>g/min</v>
      </c>
      <c r="J40" s="2052" t="str">
        <f>'Results Entry'!AD58&amp;'Results Entry'!AE58</f>
        <v/>
      </c>
      <c r="K40" s="2052" t="str">
        <f>'Results Entry'!AF58&amp;'Results Entry'!AG58</f>
        <v/>
      </c>
    </row>
    <row r="41" spans="1:11">
      <c r="A41" s="2049" t="s">
        <v>1973</v>
      </c>
      <c r="B41" s="2050" t="s">
        <v>1980</v>
      </c>
      <c r="C41" s="2050" t="s">
        <v>1981</v>
      </c>
      <c r="D41" s="2050" t="s">
        <v>1982</v>
      </c>
      <c r="E41" s="2050" t="s">
        <v>1983</v>
      </c>
      <c r="F41" s="2049" t="s">
        <v>1974</v>
      </c>
      <c r="G41" s="2049" t="s">
        <v>1975</v>
      </c>
      <c r="H41" s="2049" t="s">
        <v>1976</v>
      </c>
      <c r="I41" s="2049" t="s">
        <v>1977</v>
      </c>
      <c r="J41" s="2049" t="s">
        <v>1978</v>
      </c>
      <c r="K41" s="2049" t="s">
        <v>1979</v>
      </c>
    </row>
    <row r="42" spans="1:11">
      <c r="A42" s="2052">
        <f>'Results Entry'!B67</f>
        <v>0</v>
      </c>
      <c r="B42" s="2055" t="e">
        <f>Date+TIME(LEFT('Non-Isokinetic'!C49,2),RIGHT('Non-Isokinetic'!C49,2),0)</f>
        <v>#VALUE!</v>
      </c>
      <c r="C42" s="2055" t="e">
        <f>Date+TIME(LEFT('Non-Isokinetic'!C50,2),RIGHT('Non-Isokinetic'!C50,2),0)</f>
        <v>#VALUE!</v>
      </c>
      <c r="D42" s="2055" t="e">
        <f>Date+TIME(LEFT('Non-Isokinetic'!D49,2),RIGHT('Non-Isokinetic'!D50,2),0)</f>
        <v>#VALUE!</v>
      </c>
      <c r="E42" s="2053" t="e">
        <f>Date+TIME(LEFT(Odour!#REF!,2),RIGHT(Odour!#REF!,2),0)</f>
        <v>#REF!</v>
      </c>
      <c r="F42" s="2052" t="str">
        <f>'Results Entry'!V65</f>
        <v>mg/m³</v>
      </c>
      <c r="G42" s="2052" t="str">
        <f>'Results Entry'!U67&amp;'Results Entry'!V67</f>
        <v/>
      </c>
      <c r="H42" s="2052" t="str">
        <f>'Results Entry'!X67&amp;'Results Entry'!Y67</f>
        <v/>
      </c>
      <c r="I42" s="2054" t="str">
        <f>'Results Entry'!AE65</f>
        <v>g/min</v>
      </c>
      <c r="J42" s="2052" t="str">
        <f>'Results Entry'!AD67&amp;'Results Entry'!AE67</f>
        <v/>
      </c>
      <c r="K42" s="2052" t="str">
        <f>'Results Entry'!AF67&amp;'Results Entry'!AG67</f>
        <v/>
      </c>
    </row>
    <row r="43" spans="1:11">
      <c r="A43" s="2052">
        <f>'Results Entry'!B68</f>
        <v>0</v>
      </c>
      <c r="B43" s="2053" t="e">
        <f>B42</f>
        <v>#VALUE!</v>
      </c>
      <c r="C43" s="2053" t="e">
        <f>C42</f>
        <v>#VALUE!</v>
      </c>
      <c r="D43" s="2053" t="e">
        <f>D42</f>
        <v>#VALUE!</v>
      </c>
      <c r="E43" s="2053" t="e">
        <f>E42</f>
        <v>#REF!</v>
      </c>
      <c r="F43" s="2052" t="str">
        <f>F42</f>
        <v>mg/m³</v>
      </c>
      <c r="G43" s="2052" t="str">
        <f>'Results Entry'!U68&amp;'Results Entry'!V68</f>
        <v/>
      </c>
      <c r="H43" s="2052" t="str">
        <f>'Results Entry'!X68&amp;'Results Entry'!Y68</f>
        <v/>
      </c>
      <c r="I43" s="2052" t="str">
        <f>I42</f>
        <v>g/min</v>
      </c>
      <c r="J43" s="2052" t="str">
        <f>'Results Entry'!AD68&amp;'Results Entry'!AE68</f>
        <v/>
      </c>
      <c r="K43" s="2052" t="str">
        <f>'Results Entry'!AF68&amp;'Results Entry'!AG68</f>
        <v/>
      </c>
    </row>
    <row r="44" spans="1:11">
      <c r="A44" s="2052">
        <f>'Results Entry'!B69</f>
        <v>0</v>
      </c>
      <c r="B44" s="2053" t="e">
        <f>B42</f>
        <v>#VALUE!</v>
      </c>
      <c r="C44" s="2053" t="e">
        <f>C42</f>
        <v>#VALUE!</v>
      </c>
      <c r="D44" s="2053" t="e">
        <f>D42</f>
        <v>#VALUE!</v>
      </c>
      <c r="E44" s="2053" t="e">
        <f>E42</f>
        <v>#REF!</v>
      </c>
      <c r="F44" s="2052" t="str">
        <f>F42</f>
        <v>mg/m³</v>
      </c>
      <c r="G44" s="2052" t="str">
        <f>'Results Entry'!U69&amp;'Results Entry'!V69</f>
        <v/>
      </c>
      <c r="H44" s="2052" t="str">
        <f>'Results Entry'!X69&amp;'Results Entry'!Y69</f>
        <v/>
      </c>
      <c r="I44" s="2052" t="str">
        <f>I42</f>
        <v>g/min</v>
      </c>
      <c r="J44" s="2052" t="str">
        <f>'Results Entry'!AD69&amp;'Results Entry'!AE69</f>
        <v/>
      </c>
      <c r="K44" s="2052" t="str">
        <f>'Results Entry'!AF69&amp;'Results Entry'!AG69</f>
        <v/>
      </c>
    </row>
    <row r="45" spans="1:11">
      <c r="A45" s="2052">
        <f>'Results Entry'!B70</f>
        <v>0</v>
      </c>
      <c r="B45" s="2053" t="e">
        <f>B42</f>
        <v>#VALUE!</v>
      </c>
      <c r="C45" s="2053" t="e">
        <f>C42</f>
        <v>#VALUE!</v>
      </c>
      <c r="D45" s="2053" t="e">
        <f>D42</f>
        <v>#VALUE!</v>
      </c>
      <c r="E45" s="2053" t="e">
        <f>E42</f>
        <v>#REF!</v>
      </c>
      <c r="F45" s="2052" t="str">
        <f>F42</f>
        <v>mg/m³</v>
      </c>
      <c r="G45" s="2052" t="str">
        <f>'Results Entry'!U70&amp;'Results Entry'!V70</f>
        <v/>
      </c>
      <c r="H45" s="2052" t="str">
        <f>'Results Entry'!X70&amp;'Results Entry'!Y70</f>
        <v/>
      </c>
      <c r="I45" s="2052" t="str">
        <f>I42</f>
        <v>g/min</v>
      </c>
      <c r="J45" s="2052" t="str">
        <f>'Results Entry'!AD70&amp;'Results Entry'!AE70</f>
        <v/>
      </c>
      <c r="K45" s="2052" t="str">
        <f>'Results Entry'!AF70&amp;'Results Entry'!AG70</f>
        <v/>
      </c>
    </row>
    <row r="46" spans="1:11">
      <c r="A46" s="2052">
        <f>'Results Entry'!B71</f>
        <v>0</v>
      </c>
      <c r="B46" s="2053" t="e">
        <f>B42</f>
        <v>#VALUE!</v>
      </c>
      <c r="C46" s="2053" t="e">
        <f>C42</f>
        <v>#VALUE!</v>
      </c>
      <c r="D46" s="2053" t="e">
        <f>D42</f>
        <v>#VALUE!</v>
      </c>
      <c r="E46" s="2053" t="e">
        <f>E42</f>
        <v>#REF!</v>
      </c>
      <c r="F46" s="2052" t="str">
        <f>F42</f>
        <v>mg/m³</v>
      </c>
      <c r="G46" s="2052" t="str">
        <f>'Results Entry'!U71&amp;'Results Entry'!V71</f>
        <v/>
      </c>
      <c r="H46" s="2052" t="str">
        <f>'Results Entry'!X71&amp;'Results Entry'!Y71</f>
        <v/>
      </c>
      <c r="I46" s="2052" t="str">
        <f>I42</f>
        <v>g/min</v>
      </c>
      <c r="J46" s="2052" t="str">
        <f>'Results Entry'!AD71&amp;'Results Entry'!AE71</f>
        <v/>
      </c>
      <c r="K46" s="2052" t="str">
        <f>'Results Entry'!AF71&amp;'Results Entry'!AG71</f>
        <v/>
      </c>
    </row>
    <row r="47" spans="1:11">
      <c r="A47" s="2052">
        <f>'Results Entry'!B72</f>
        <v>0</v>
      </c>
      <c r="B47" s="2053" t="e">
        <f>B42</f>
        <v>#VALUE!</v>
      </c>
      <c r="C47" s="2053" t="e">
        <f>C42</f>
        <v>#VALUE!</v>
      </c>
      <c r="D47" s="2053" t="e">
        <f>D42</f>
        <v>#VALUE!</v>
      </c>
      <c r="E47" s="2053" t="e">
        <f>E42</f>
        <v>#REF!</v>
      </c>
      <c r="F47" s="2052" t="str">
        <f>F42</f>
        <v>mg/m³</v>
      </c>
      <c r="G47" s="2052" t="str">
        <f>'Results Entry'!U72&amp;'Results Entry'!V72</f>
        <v/>
      </c>
      <c r="H47" s="2052" t="str">
        <f>'Results Entry'!X72&amp;'Results Entry'!Y72</f>
        <v/>
      </c>
      <c r="I47" s="2052" t="str">
        <f>I42</f>
        <v>g/min</v>
      </c>
      <c r="J47" s="2052" t="str">
        <f>'Results Entry'!AD72&amp;'Results Entry'!AE72</f>
        <v/>
      </c>
      <c r="K47" s="2052" t="str">
        <f>'Results Entry'!AF72&amp;'Results Entry'!AG72</f>
        <v/>
      </c>
    </row>
    <row r="48" spans="1:11">
      <c r="A48" s="2052">
        <f>'Results Entry'!B73</f>
        <v>0</v>
      </c>
      <c r="B48" s="2053" t="e">
        <f>B42</f>
        <v>#VALUE!</v>
      </c>
      <c r="C48" s="2053" t="e">
        <f>C42</f>
        <v>#VALUE!</v>
      </c>
      <c r="D48" s="2053" t="e">
        <f>D42</f>
        <v>#VALUE!</v>
      </c>
      <c r="E48" s="2053" t="e">
        <f>E42</f>
        <v>#REF!</v>
      </c>
      <c r="F48" s="2052" t="str">
        <f>F42</f>
        <v>mg/m³</v>
      </c>
      <c r="G48" s="2052" t="str">
        <f>'Results Entry'!U73&amp;'Results Entry'!V73</f>
        <v/>
      </c>
      <c r="H48" s="2052" t="str">
        <f>'Results Entry'!X73&amp;'Results Entry'!Y73</f>
        <v/>
      </c>
      <c r="I48" s="2052" t="str">
        <f>I42</f>
        <v>g/min</v>
      </c>
      <c r="J48" s="2052" t="str">
        <f>'Results Entry'!AD73&amp;'Results Entry'!AE73</f>
        <v/>
      </c>
      <c r="K48" s="2052" t="str">
        <f>'Results Entry'!AF73&amp;'Results Entry'!AG73</f>
        <v/>
      </c>
    </row>
    <row r="49" spans="1:11">
      <c r="A49" s="2052">
        <f>'Results Entry'!B74</f>
        <v>0</v>
      </c>
      <c r="B49" s="2053" t="e">
        <f>B42</f>
        <v>#VALUE!</v>
      </c>
      <c r="C49" s="2053" t="e">
        <f>C42</f>
        <v>#VALUE!</v>
      </c>
      <c r="D49" s="2053" t="e">
        <f>D42</f>
        <v>#VALUE!</v>
      </c>
      <c r="E49" s="2053" t="e">
        <f>E42</f>
        <v>#REF!</v>
      </c>
      <c r="F49" s="2052" t="str">
        <f>F42</f>
        <v>mg/m³</v>
      </c>
      <c r="G49" s="2052" t="str">
        <f>'Results Entry'!U74&amp;'Results Entry'!V74</f>
        <v/>
      </c>
      <c r="H49" s="2052" t="str">
        <f>'Results Entry'!X74&amp;'Results Entry'!Y74</f>
        <v/>
      </c>
      <c r="I49" s="2052" t="str">
        <f>I42</f>
        <v>g/min</v>
      </c>
      <c r="J49" s="2052" t="str">
        <f>'Results Entry'!AD74&amp;'Results Entry'!AE74</f>
        <v/>
      </c>
      <c r="K49" s="2052" t="str">
        <f>'Results Entry'!AF74&amp;'Results Entry'!AG74</f>
        <v/>
      </c>
    </row>
    <row r="50" spans="1:11">
      <c r="A50" s="2052">
        <f>'Results Entry'!B75</f>
        <v>0</v>
      </c>
      <c r="B50" s="2053" t="e">
        <f>B42</f>
        <v>#VALUE!</v>
      </c>
      <c r="C50" s="2053" t="e">
        <f>C42</f>
        <v>#VALUE!</v>
      </c>
      <c r="D50" s="2053" t="e">
        <f>D42</f>
        <v>#VALUE!</v>
      </c>
      <c r="E50" s="2053" t="e">
        <f>E42</f>
        <v>#REF!</v>
      </c>
      <c r="F50" s="2052" t="str">
        <f>F42</f>
        <v>mg/m³</v>
      </c>
      <c r="G50" s="2052" t="str">
        <f>'Results Entry'!U75&amp;'Results Entry'!V75</f>
        <v/>
      </c>
      <c r="H50" s="2052" t="str">
        <f>'Results Entry'!X75&amp;'Results Entry'!Y75</f>
        <v/>
      </c>
      <c r="I50" s="2052" t="str">
        <f>I42</f>
        <v>g/min</v>
      </c>
      <c r="J50" s="2052" t="str">
        <f>'Results Entry'!AD75&amp;'Results Entry'!AE75</f>
        <v/>
      </c>
      <c r="K50" s="2052" t="str">
        <f>'Results Entry'!AF75&amp;'Results Entry'!AG75</f>
        <v/>
      </c>
    </row>
    <row r="51" spans="1:11">
      <c r="A51" s="2049" t="s">
        <v>1973</v>
      </c>
      <c r="B51" s="2050" t="s">
        <v>1980</v>
      </c>
      <c r="C51" s="2050" t="s">
        <v>1981</v>
      </c>
      <c r="D51" s="2050" t="s">
        <v>1982</v>
      </c>
      <c r="E51" s="2050" t="s">
        <v>1983</v>
      </c>
      <c r="F51" s="2049" t="s">
        <v>1974</v>
      </c>
      <c r="G51" s="2049" t="s">
        <v>1975</v>
      </c>
      <c r="H51" s="2049" t="s">
        <v>1976</v>
      </c>
      <c r="I51" s="2049" t="s">
        <v>1977</v>
      </c>
      <c r="J51" s="2049" t="s">
        <v>1978</v>
      </c>
      <c r="K51" s="2049" t="s">
        <v>1979</v>
      </c>
    </row>
    <row r="52" spans="1:11">
      <c r="A52" s="2052">
        <f>'Results Entry'!B84</f>
        <v>0</v>
      </c>
      <c r="B52" s="2055" t="e">
        <f>Date+TIME(LEFT('Non-Isokinetic'!C63,2),RIGHT('Non-Isokinetic'!C63,2),0)</f>
        <v>#VALUE!</v>
      </c>
      <c r="C52" s="2055" t="e">
        <f>Date+TIME(LEFT('Non-Isokinetic'!C64,2),RIGHT('Non-Isokinetic'!C64,2),0)</f>
        <v>#VALUE!</v>
      </c>
      <c r="D52" s="2055" t="e">
        <f>Date+TIME(LEFT('Non-Isokinetic'!D63,2),RIGHT('Non-Isokinetic'!D63,2),0)</f>
        <v>#VALUE!</v>
      </c>
      <c r="E52" s="2055" t="e">
        <f>Date+TIME(LEFT('Non-Isokinetic'!D64,2),RIGHT('Non-Isokinetic'!D64,2),0)</f>
        <v>#VALUE!</v>
      </c>
      <c r="F52" s="2052" t="str">
        <f>'Results Entry'!V82</f>
        <v>mg/m³</v>
      </c>
      <c r="G52" s="2052" t="str">
        <f>'Results Entry'!U84&amp;'Results Entry'!V84</f>
        <v/>
      </c>
      <c r="H52" s="2052" t="str">
        <f>'Results Entry'!X84&amp;'Results Entry'!Y84</f>
        <v/>
      </c>
      <c r="I52" s="2054" t="str">
        <f>'Results Entry'!AE82</f>
        <v>g/min</v>
      </c>
      <c r="J52" s="2052" t="str">
        <f>'Results Entry'!AD84&amp;'Results Entry'!AE84</f>
        <v/>
      </c>
      <c r="K52" s="2052" t="str">
        <f>'Results Entry'!AF84&amp;'Results Entry'!AG84</f>
        <v/>
      </c>
    </row>
    <row r="53" spans="1:11">
      <c r="A53" s="2052">
        <f>'Results Entry'!B85</f>
        <v>0</v>
      </c>
      <c r="B53" s="2053" t="e">
        <f>B52</f>
        <v>#VALUE!</v>
      </c>
      <c r="C53" s="2053" t="e">
        <f>C52</f>
        <v>#VALUE!</v>
      </c>
      <c r="D53" s="2053" t="e">
        <f>D52</f>
        <v>#VALUE!</v>
      </c>
      <c r="E53" s="2053" t="e">
        <f>E52</f>
        <v>#VALUE!</v>
      </c>
      <c r="F53" s="2052" t="str">
        <f>F52</f>
        <v>mg/m³</v>
      </c>
      <c r="G53" s="2052" t="str">
        <f>'Results Entry'!U85&amp;'Results Entry'!V85</f>
        <v/>
      </c>
      <c r="H53" s="2052" t="str">
        <f>'Results Entry'!X85&amp;'Results Entry'!Y85</f>
        <v/>
      </c>
      <c r="I53" s="2052" t="str">
        <f>I52</f>
        <v>g/min</v>
      </c>
      <c r="J53" s="2052" t="str">
        <f>'Results Entry'!AD85&amp;'Results Entry'!AE85</f>
        <v/>
      </c>
      <c r="K53" s="2052" t="str">
        <f>'Results Entry'!AF85&amp;'Results Entry'!AG85</f>
        <v/>
      </c>
    </row>
    <row r="54" spans="1:11">
      <c r="A54" s="2052">
        <f>'Results Entry'!B86</f>
        <v>0</v>
      </c>
      <c r="B54" s="2053" t="e">
        <f>B52</f>
        <v>#VALUE!</v>
      </c>
      <c r="C54" s="2053" t="e">
        <f>C52</f>
        <v>#VALUE!</v>
      </c>
      <c r="D54" s="2053" t="e">
        <f>D52</f>
        <v>#VALUE!</v>
      </c>
      <c r="E54" s="2053" t="e">
        <f>E52</f>
        <v>#VALUE!</v>
      </c>
      <c r="F54" s="2052" t="str">
        <f>F52</f>
        <v>mg/m³</v>
      </c>
      <c r="G54" s="2052" t="str">
        <f>'Results Entry'!U86&amp;'Results Entry'!V86</f>
        <v/>
      </c>
      <c r="H54" s="2052" t="str">
        <f>'Results Entry'!X86&amp;'Results Entry'!Y86</f>
        <v/>
      </c>
      <c r="I54" s="2052" t="str">
        <f>I52</f>
        <v>g/min</v>
      </c>
      <c r="J54" s="2052" t="str">
        <f>'Results Entry'!AD86&amp;'Results Entry'!AE86</f>
        <v/>
      </c>
      <c r="K54" s="2052" t="str">
        <f>'Results Entry'!AF86&amp;'Results Entry'!AG86</f>
        <v/>
      </c>
    </row>
    <row r="55" spans="1:11">
      <c r="A55" s="2052">
        <f>'Results Entry'!B87</f>
        <v>0</v>
      </c>
      <c r="B55" s="2053" t="e">
        <f>B52</f>
        <v>#VALUE!</v>
      </c>
      <c r="C55" s="2053" t="e">
        <f>C52</f>
        <v>#VALUE!</v>
      </c>
      <c r="D55" s="2053" t="e">
        <f>D52</f>
        <v>#VALUE!</v>
      </c>
      <c r="E55" s="2053" t="e">
        <f>E52</f>
        <v>#VALUE!</v>
      </c>
      <c r="F55" s="2052" t="str">
        <f>F52</f>
        <v>mg/m³</v>
      </c>
      <c r="G55" s="2052" t="str">
        <f>'Results Entry'!U87&amp;'Results Entry'!V87</f>
        <v/>
      </c>
      <c r="H55" s="2052" t="str">
        <f>'Results Entry'!X87&amp;'Results Entry'!Y87</f>
        <v/>
      </c>
      <c r="I55" s="2052" t="str">
        <f>I52</f>
        <v>g/min</v>
      </c>
      <c r="J55" s="2052" t="str">
        <f>'Results Entry'!AD87&amp;'Results Entry'!AE87</f>
        <v/>
      </c>
      <c r="K55" s="2052" t="str">
        <f>'Results Entry'!AF87&amp;'Results Entry'!AG87</f>
        <v/>
      </c>
    </row>
    <row r="56" spans="1:11">
      <c r="A56" s="2052">
        <f>'Results Entry'!B88</f>
        <v>0</v>
      </c>
      <c r="B56" s="2053" t="e">
        <f>B52</f>
        <v>#VALUE!</v>
      </c>
      <c r="C56" s="2053" t="e">
        <f>C52</f>
        <v>#VALUE!</v>
      </c>
      <c r="D56" s="2053" t="e">
        <f>D52</f>
        <v>#VALUE!</v>
      </c>
      <c r="E56" s="2053" t="e">
        <f>E52</f>
        <v>#VALUE!</v>
      </c>
      <c r="F56" s="2052" t="str">
        <f>F52</f>
        <v>mg/m³</v>
      </c>
      <c r="G56" s="2052" t="str">
        <f>'Results Entry'!U88&amp;'Results Entry'!V88</f>
        <v/>
      </c>
      <c r="H56" s="2052" t="str">
        <f>'Results Entry'!X88&amp;'Results Entry'!Y88</f>
        <v/>
      </c>
      <c r="I56" s="2052" t="str">
        <f>I52</f>
        <v>g/min</v>
      </c>
      <c r="J56" s="2052" t="str">
        <f>'Results Entry'!AD88&amp;'Results Entry'!AE88</f>
        <v/>
      </c>
      <c r="K56" s="2052" t="str">
        <f>'Results Entry'!AF88&amp;'Results Entry'!AG88</f>
        <v/>
      </c>
    </row>
    <row r="57" spans="1:11">
      <c r="A57" s="2052">
        <f>'Results Entry'!B89</f>
        <v>0</v>
      </c>
      <c r="B57" s="2053" t="e">
        <f>B52</f>
        <v>#VALUE!</v>
      </c>
      <c r="C57" s="2053" t="e">
        <f>C52</f>
        <v>#VALUE!</v>
      </c>
      <c r="D57" s="2053" t="e">
        <f>D52</f>
        <v>#VALUE!</v>
      </c>
      <c r="E57" s="2053" t="e">
        <f>E52</f>
        <v>#VALUE!</v>
      </c>
      <c r="F57" s="2052" t="str">
        <f>F52</f>
        <v>mg/m³</v>
      </c>
      <c r="G57" s="2052" t="str">
        <f>'Results Entry'!U89&amp;'Results Entry'!V89</f>
        <v/>
      </c>
      <c r="H57" s="2052" t="str">
        <f>'Results Entry'!X89&amp;'Results Entry'!Y89</f>
        <v/>
      </c>
      <c r="I57" s="2052" t="str">
        <f>I52</f>
        <v>g/min</v>
      </c>
      <c r="J57" s="2052" t="str">
        <f>'Results Entry'!AD89&amp;'Results Entry'!AE89</f>
        <v/>
      </c>
      <c r="K57" s="2052" t="str">
        <f>'Results Entry'!AF89&amp;'Results Entry'!AG89</f>
        <v/>
      </c>
    </row>
    <row r="58" spans="1:11">
      <c r="A58" s="2052">
        <f>'Results Entry'!B90</f>
        <v>0</v>
      </c>
      <c r="B58" s="2053" t="e">
        <f>B52</f>
        <v>#VALUE!</v>
      </c>
      <c r="C58" s="2053" t="e">
        <f>C52</f>
        <v>#VALUE!</v>
      </c>
      <c r="D58" s="2053" t="e">
        <f>D52</f>
        <v>#VALUE!</v>
      </c>
      <c r="E58" s="2053" t="e">
        <f>E52</f>
        <v>#VALUE!</v>
      </c>
      <c r="F58" s="2052" t="str">
        <f>F52</f>
        <v>mg/m³</v>
      </c>
      <c r="G58" s="2052" t="str">
        <f>'Results Entry'!U90&amp;'Results Entry'!V90</f>
        <v/>
      </c>
      <c r="H58" s="2052" t="str">
        <f>'Results Entry'!X90&amp;'Results Entry'!Y90</f>
        <v/>
      </c>
      <c r="I58" s="2052" t="str">
        <f>I52</f>
        <v>g/min</v>
      </c>
      <c r="J58" s="2052" t="str">
        <f>'Results Entry'!AD90&amp;'Results Entry'!AE90</f>
        <v/>
      </c>
      <c r="K58" s="2052" t="str">
        <f>'Results Entry'!AF90&amp;'Results Entry'!AG90</f>
        <v/>
      </c>
    </row>
    <row r="59" spans="1:11">
      <c r="A59" s="2052">
        <f>'Results Entry'!B91</f>
        <v>0</v>
      </c>
      <c r="B59" s="2053" t="e">
        <f>B52</f>
        <v>#VALUE!</v>
      </c>
      <c r="C59" s="2053" t="e">
        <f>C52</f>
        <v>#VALUE!</v>
      </c>
      <c r="D59" s="2053" t="e">
        <f>D52</f>
        <v>#VALUE!</v>
      </c>
      <c r="E59" s="2053" t="e">
        <f>E52</f>
        <v>#VALUE!</v>
      </c>
      <c r="F59" s="2052" t="str">
        <f>F52</f>
        <v>mg/m³</v>
      </c>
      <c r="G59" s="2052" t="str">
        <f>'Results Entry'!U91&amp;'Results Entry'!V91</f>
        <v/>
      </c>
      <c r="H59" s="2052" t="str">
        <f>'Results Entry'!X91&amp;'Results Entry'!Y91</f>
        <v/>
      </c>
      <c r="I59" s="2052" t="str">
        <f>I52</f>
        <v>g/min</v>
      </c>
      <c r="J59" s="2052" t="str">
        <f>'Results Entry'!AD91&amp;'Results Entry'!AE91</f>
        <v/>
      </c>
      <c r="K59" s="2052" t="str">
        <f>'Results Entry'!AF91&amp;'Results Entry'!AG91</f>
        <v/>
      </c>
    </row>
    <row r="60" spans="1:11">
      <c r="A60" s="2052">
        <f>'Results Entry'!B92</f>
        <v>0</v>
      </c>
      <c r="B60" s="2053" t="e">
        <f>B52</f>
        <v>#VALUE!</v>
      </c>
      <c r="C60" s="2053" t="e">
        <f>C52</f>
        <v>#VALUE!</v>
      </c>
      <c r="D60" s="2053" t="e">
        <f>D52</f>
        <v>#VALUE!</v>
      </c>
      <c r="E60" s="2053" t="e">
        <f>E52</f>
        <v>#VALUE!</v>
      </c>
      <c r="F60" s="2052" t="str">
        <f>F52</f>
        <v>mg/m³</v>
      </c>
      <c r="G60" s="2052" t="str">
        <f>'Results Entry'!U92&amp;'Results Entry'!V92</f>
        <v/>
      </c>
      <c r="H60" s="2052" t="str">
        <f>'Results Entry'!X92&amp;'Results Entry'!Y92</f>
        <v/>
      </c>
      <c r="I60" s="2052" t="str">
        <f>I52</f>
        <v>g/min</v>
      </c>
      <c r="J60" s="2052" t="str">
        <f>'Results Entry'!AD92&amp;'Results Entry'!AE92</f>
        <v/>
      </c>
      <c r="K60" s="2052" t="str">
        <f>'Results Entry'!AF92&amp;'Results Entry'!AG92</f>
        <v/>
      </c>
    </row>
    <row r="61" spans="1:11">
      <c r="A61" s="2049" t="s">
        <v>1973</v>
      </c>
      <c r="B61" s="2050" t="s">
        <v>1980</v>
      </c>
      <c r="C61" s="2050" t="s">
        <v>1981</v>
      </c>
      <c r="D61" s="2050" t="s">
        <v>1982</v>
      </c>
      <c r="E61" s="2050" t="s">
        <v>1983</v>
      </c>
      <c r="F61" s="2049" t="s">
        <v>1974</v>
      </c>
      <c r="G61" s="2049" t="s">
        <v>1975</v>
      </c>
      <c r="H61" s="2049" t="s">
        <v>1976</v>
      </c>
      <c r="I61" s="2049" t="s">
        <v>1977</v>
      </c>
      <c r="J61" s="2049" t="s">
        <v>1978</v>
      </c>
      <c r="K61" s="2049" t="s">
        <v>1979</v>
      </c>
    </row>
    <row r="62" spans="1:11">
      <c r="A62" s="2052">
        <f>'Results Entry'!B101</f>
        <v>0</v>
      </c>
      <c r="B62" s="2053" t="e">
        <f>Date+TIME(LEFT('Non-Isokinetic'!C77,2),RIGHT('Non-Isokinetic'!C77,2),0)</f>
        <v>#VALUE!</v>
      </c>
      <c r="C62" s="2053" t="e">
        <f>Date+TIME(LEFT('Non-Isokinetic'!C78,2),RIGHT('Non-Isokinetic'!C78,2),0)</f>
        <v>#VALUE!</v>
      </c>
      <c r="D62" s="2053" t="e">
        <f>Date+TIME(LEFT('Non-Isokinetic'!D77,2),RIGHT('Non-Isokinetic'!D77,2),0)</f>
        <v>#VALUE!</v>
      </c>
      <c r="E62" s="2053" t="e">
        <f>Date+TIME(LEFT('Non-Isokinetic'!D78,2),RIGHT('Non-Isokinetic'!D78,2),0)</f>
        <v>#VALUE!</v>
      </c>
      <c r="F62" s="2052" t="str">
        <f>'Results Entry'!V99</f>
        <v>mg/m³</v>
      </c>
      <c r="G62" s="2052" t="str">
        <f>'Results Entry'!U101&amp;'Results Entry'!V101</f>
        <v/>
      </c>
      <c r="H62" s="2052" t="str">
        <f>'Results Entry'!X101&amp;'Results Entry'!Y101</f>
        <v/>
      </c>
      <c r="I62" s="2054" t="str">
        <f>'Results Entry'!AE99</f>
        <v>g/min</v>
      </c>
      <c r="J62" s="2052" t="str">
        <f>'Results Entry'!AD101&amp;'Results Entry'!AE101</f>
        <v/>
      </c>
      <c r="K62" s="2052" t="str">
        <f>'Results Entry'!AF101&amp;'Results Entry'!AG101</f>
        <v/>
      </c>
    </row>
    <row r="63" spans="1:11">
      <c r="A63" s="2052">
        <f>'Results Entry'!B102</f>
        <v>0</v>
      </c>
      <c r="B63" s="2053" t="e">
        <f>B62</f>
        <v>#VALUE!</v>
      </c>
      <c r="C63" s="2053" t="e">
        <f>C62</f>
        <v>#VALUE!</v>
      </c>
      <c r="D63" s="2053" t="e">
        <f>D62</f>
        <v>#VALUE!</v>
      </c>
      <c r="E63" s="2053" t="e">
        <f>E62</f>
        <v>#VALUE!</v>
      </c>
      <c r="F63" s="2052" t="str">
        <f>F62</f>
        <v>mg/m³</v>
      </c>
      <c r="G63" s="2052" t="str">
        <f>'Results Entry'!U102&amp;'Results Entry'!V102</f>
        <v/>
      </c>
      <c r="H63" s="2052" t="str">
        <f>'Results Entry'!X102&amp;'Results Entry'!Y102</f>
        <v/>
      </c>
      <c r="I63" s="2052" t="str">
        <f>I62</f>
        <v>g/min</v>
      </c>
      <c r="J63" s="2052" t="str">
        <f>'Results Entry'!AD102&amp;'Results Entry'!AE102</f>
        <v/>
      </c>
      <c r="K63" s="2052" t="str">
        <f>'Results Entry'!AF102&amp;'Results Entry'!AG102</f>
        <v/>
      </c>
    </row>
    <row r="64" spans="1:11">
      <c r="A64" s="2052">
        <f>'Results Entry'!B103</f>
        <v>0</v>
      </c>
      <c r="B64" s="2053" t="e">
        <f>B62</f>
        <v>#VALUE!</v>
      </c>
      <c r="C64" s="2053" t="e">
        <f>C62</f>
        <v>#VALUE!</v>
      </c>
      <c r="D64" s="2053" t="e">
        <f>D62</f>
        <v>#VALUE!</v>
      </c>
      <c r="E64" s="2053" t="e">
        <f>E62</f>
        <v>#VALUE!</v>
      </c>
      <c r="F64" s="2052" t="str">
        <f>F62</f>
        <v>mg/m³</v>
      </c>
      <c r="G64" s="2052" t="str">
        <f>'Results Entry'!U103&amp;'Results Entry'!V103</f>
        <v/>
      </c>
      <c r="H64" s="2052" t="str">
        <f>'Results Entry'!X103&amp;'Results Entry'!Y103</f>
        <v/>
      </c>
      <c r="I64" s="2052" t="str">
        <f>I62</f>
        <v>g/min</v>
      </c>
      <c r="J64" s="2052" t="str">
        <f>'Results Entry'!AD103&amp;'Results Entry'!AE103</f>
        <v/>
      </c>
      <c r="K64" s="2052" t="str">
        <f>'Results Entry'!AF103&amp;'Results Entry'!AG103</f>
        <v/>
      </c>
    </row>
    <row r="65" spans="1:11">
      <c r="A65" s="2052">
        <f>'Results Entry'!B104</f>
        <v>0</v>
      </c>
      <c r="B65" s="2053" t="e">
        <f>B62</f>
        <v>#VALUE!</v>
      </c>
      <c r="C65" s="2053" t="e">
        <f>C62</f>
        <v>#VALUE!</v>
      </c>
      <c r="D65" s="2053" t="e">
        <f>D62</f>
        <v>#VALUE!</v>
      </c>
      <c r="E65" s="2053" t="e">
        <f>E62</f>
        <v>#VALUE!</v>
      </c>
      <c r="F65" s="2052" t="str">
        <f>F62</f>
        <v>mg/m³</v>
      </c>
      <c r="G65" s="2052" t="str">
        <f>'Results Entry'!U104&amp;'Results Entry'!V104</f>
        <v/>
      </c>
      <c r="H65" s="2052" t="str">
        <f>'Results Entry'!X104&amp;'Results Entry'!Y104</f>
        <v/>
      </c>
      <c r="I65" s="2052" t="str">
        <f>I62</f>
        <v>g/min</v>
      </c>
      <c r="J65" s="2052" t="str">
        <f>'Results Entry'!AD104&amp;'Results Entry'!AE104</f>
        <v/>
      </c>
      <c r="K65" s="2052" t="str">
        <f>'Results Entry'!AF104&amp;'Results Entry'!AG104</f>
        <v/>
      </c>
    </row>
    <row r="66" spans="1:11">
      <c r="A66" s="2052">
        <f>'Results Entry'!B105</f>
        <v>0</v>
      </c>
      <c r="B66" s="2053" t="e">
        <f>B62</f>
        <v>#VALUE!</v>
      </c>
      <c r="C66" s="2053" t="e">
        <f>C62</f>
        <v>#VALUE!</v>
      </c>
      <c r="D66" s="2053" t="e">
        <f>D62</f>
        <v>#VALUE!</v>
      </c>
      <c r="E66" s="2053" t="e">
        <f>E62</f>
        <v>#VALUE!</v>
      </c>
      <c r="F66" s="2052" t="str">
        <f>F62</f>
        <v>mg/m³</v>
      </c>
      <c r="G66" s="2052" t="str">
        <f>'Results Entry'!U105&amp;'Results Entry'!V105</f>
        <v/>
      </c>
      <c r="H66" s="2052" t="str">
        <f>'Results Entry'!X105&amp;'Results Entry'!Y105</f>
        <v/>
      </c>
      <c r="I66" s="2052" t="str">
        <f>I62</f>
        <v>g/min</v>
      </c>
      <c r="J66" s="2052" t="str">
        <f>'Results Entry'!AD105&amp;'Results Entry'!AE105</f>
        <v/>
      </c>
      <c r="K66" s="2052" t="str">
        <f>'Results Entry'!AF105&amp;'Results Entry'!AG105</f>
        <v/>
      </c>
    </row>
    <row r="67" spans="1:11">
      <c r="A67" s="2052">
        <f>'Results Entry'!B106</f>
        <v>0</v>
      </c>
      <c r="B67" s="2053" t="e">
        <f>B62</f>
        <v>#VALUE!</v>
      </c>
      <c r="C67" s="2053" t="e">
        <f>C62</f>
        <v>#VALUE!</v>
      </c>
      <c r="D67" s="2053" t="e">
        <f>D62</f>
        <v>#VALUE!</v>
      </c>
      <c r="E67" s="2053" t="e">
        <f>E62</f>
        <v>#VALUE!</v>
      </c>
      <c r="F67" s="2052" t="str">
        <f>F62</f>
        <v>mg/m³</v>
      </c>
      <c r="G67" s="2052" t="str">
        <f>'Results Entry'!U106&amp;'Results Entry'!V106</f>
        <v/>
      </c>
      <c r="H67" s="2052" t="str">
        <f>'Results Entry'!X106&amp;'Results Entry'!Y106</f>
        <v/>
      </c>
      <c r="I67" s="2052" t="str">
        <f>I62</f>
        <v>g/min</v>
      </c>
      <c r="J67" s="2052" t="str">
        <f>'Results Entry'!AD106&amp;'Results Entry'!AE106</f>
        <v/>
      </c>
      <c r="K67" s="2052" t="str">
        <f>'Results Entry'!AF106&amp;'Results Entry'!AG106</f>
        <v/>
      </c>
    </row>
    <row r="68" spans="1:11">
      <c r="A68" s="2052">
        <f>'Results Entry'!B107</f>
        <v>0</v>
      </c>
      <c r="B68" s="2053" t="e">
        <f>B62</f>
        <v>#VALUE!</v>
      </c>
      <c r="C68" s="2053" t="e">
        <f>C62</f>
        <v>#VALUE!</v>
      </c>
      <c r="D68" s="2053" t="e">
        <f>D62</f>
        <v>#VALUE!</v>
      </c>
      <c r="E68" s="2053" t="e">
        <f>E62</f>
        <v>#VALUE!</v>
      </c>
      <c r="F68" s="2052" t="str">
        <f>F62</f>
        <v>mg/m³</v>
      </c>
      <c r="G68" s="2052" t="str">
        <f>'Results Entry'!U107&amp;'Results Entry'!V107</f>
        <v/>
      </c>
      <c r="H68" s="2052" t="str">
        <f>'Results Entry'!X107&amp;'Results Entry'!Y107</f>
        <v/>
      </c>
      <c r="I68" s="2052" t="str">
        <f>I62</f>
        <v>g/min</v>
      </c>
      <c r="J68" s="2052" t="str">
        <f>'Results Entry'!AD107&amp;'Results Entry'!AE107</f>
        <v/>
      </c>
      <c r="K68" s="2052" t="str">
        <f>'Results Entry'!AF107&amp;'Results Entry'!AG107</f>
        <v/>
      </c>
    </row>
    <row r="69" spans="1:11">
      <c r="A69" s="2052">
        <f>'Results Entry'!B108</f>
        <v>0</v>
      </c>
      <c r="B69" s="2053" t="e">
        <f>B62</f>
        <v>#VALUE!</v>
      </c>
      <c r="C69" s="2053" t="e">
        <f>C62</f>
        <v>#VALUE!</v>
      </c>
      <c r="D69" s="2053" t="e">
        <f>D62</f>
        <v>#VALUE!</v>
      </c>
      <c r="E69" s="2053" t="e">
        <f>E62</f>
        <v>#VALUE!</v>
      </c>
      <c r="F69" s="2052" t="str">
        <f>F62</f>
        <v>mg/m³</v>
      </c>
      <c r="G69" s="2052" t="str">
        <f>'Results Entry'!U108&amp;'Results Entry'!V108</f>
        <v/>
      </c>
      <c r="H69" s="2052" t="str">
        <f>'Results Entry'!X108&amp;'Results Entry'!Y108</f>
        <v/>
      </c>
      <c r="I69" s="2052" t="str">
        <f>I62</f>
        <v>g/min</v>
      </c>
      <c r="J69" s="2052" t="str">
        <f>'Results Entry'!AD108&amp;'Results Entry'!AE108</f>
        <v/>
      </c>
      <c r="K69" s="2052" t="str">
        <f>'Results Entry'!AF108&amp;'Results Entry'!AG108</f>
        <v/>
      </c>
    </row>
    <row r="70" spans="1:11">
      <c r="A70" s="2052">
        <f>'Results Entry'!B109</f>
        <v>0</v>
      </c>
      <c r="B70" s="2053" t="e">
        <f>B62</f>
        <v>#VALUE!</v>
      </c>
      <c r="C70" s="2053" t="e">
        <f>C62</f>
        <v>#VALUE!</v>
      </c>
      <c r="D70" s="2053" t="e">
        <f>D62</f>
        <v>#VALUE!</v>
      </c>
      <c r="E70" s="2053" t="e">
        <f>E62</f>
        <v>#VALUE!</v>
      </c>
      <c r="F70" s="2052" t="str">
        <f>F62</f>
        <v>mg/m³</v>
      </c>
      <c r="G70" s="2052" t="str">
        <f>'Results Entry'!U109&amp;'Results Entry'!V109</f>
        <v/>
      </c>
      <c r="H70" s="2052" t="str">
        <f>'Results Entry'!X109&amp;'Results Entry'!Y109</f>
        <v/>
      </c>
      <c r="I70" s="2052" t="str">
        <f>I62</f>
        <v>g/min</v>
      </c>
      <c r="J70" s="2052" t="str">
        <f>'Results Entry'!AD109&amp;'Results Entry'!AE109</f>
        <v/>
      </c>
      <c r="K70" s="2052" t="str">
        <f>'Results Entry'!AF109&amp;'Results Entry'!AG109</f>
        <v/>
      </c>
    </row>
    <row r="71" spans="1:11">
      <c r="A71" s="2049" t="s">
        <v>1973</v>
      </c>
      <c r="B71" s="2050" t="s">
        <v>1980</v>
      </c>
      <c r="C71" s="2050" t="s">
        <v>1981</v>
      </c>
      <c r="D71" s="2050" t="s">
        <v>1982</v>
      </c>
      <c r="E71" s="2050" t="s">
        <v>1983</v>
      </c>
      <c r="F71" s="2049" t="s">
        <v>1974</v>
      </c>
      <c r="G71" s="2049" t="s">
        <v>1975</v>
      </c>
      <c r="H71" s="2049" t="s">
        <v>1976</v>
      </c>
      <c r="I71" s="2049" t="s">
        <v>1977</v>
      </c>
      <c r="J71" s="2049" t="s">
        <v>1978</v>
      </c>
      <c r="K71" s="2049" t="s">
        <v>1979</v>
      </c>
    </row>
    <row r="72" spans="1:11">
      <c r="A72" s="2052">
        <f>'Results Entry'!B126</f>
        <v>0</v>
      </c>
      <c r="B72" s="2053" t="e">
        <f>Date+TIME(LEFT('Flows &amp; Isokinetics'!J9,2),RIGHT('Flows &amp; Isokinetics'!J9,2),0)</f>
        <v>#VALUE!</v>
      </c>
      <c r="C72" s="2053" t="e">
        <f>Date+TIME(LEFT('Flows &amp; Isokinetics'!J10,2),RIGHT('Flows &amp; Isokinetics'!J10,2),0)</f>
        <v>#VALUE!</v>
      </c>
      <c r="D72" s="2053" t="e">
        <f>Date+TIME(LEFT('Flows &amp; Isokinetics'!K9,2),RIGHT('Flows &amp; Isokinetics'!K9,2),0)</f>
        <v>#VALUE!</v>
      </c>
      <c r="E72" s="2053" t="e">
        <f>Date+TIME(LEFT('Flows &amp; Isokinetics'!K10,2),RIGHT('Flows &amp; Isokinetics'!K10,2),0)</f>
        <v>#VALUE!</v>
      </c>
      <c r="F72" s="2052" t="str">
        <f>'Results Entry'!U124</f>
        <v>mg/m³</v>
      </c>
      <c r="G72" s="2052" t="str">
        <f>'Results Entry'!U126&amp;'Results Entry'!V126</f>
        <v/>
      </c>
      <c r="H72" s="2052" t="str">
        <f>'Results Entry'!X126&amp;'Results Entry'!Y126</f>
        <v/>
      </c>
      <c r="I72" s="2054" t="str">
        <f>'Results Entry'!AD124</f>
        <v>g/min</v>
      </c>
      <c r="J72" s="2052" t="str">
        <f>'Results Entry'!AD126&amp;'Results Entry'!AE126</f>
        <v/>
      </c>
      <c r="K72" s="2052" t="str">
        <f>'Results Entry'!AF126&amp;'Results Entry'!AG126</f>
        <v/>
      </c>
    </row>
    <row r="73" spans="1:11">
      <c r="A73" s="2052">
        <f>'Results Entry'!B127</f>
        <v>0</v>
      </c>
      <c r="B73" s="2053" t="e">
        <f t="shared" ref="B73:F75" si="0">B72</f>
        <v>#VALUE!</v>
      </c>
      <c r="C73" s="2053" t="e">
        <f t="shared" si="0"/>
        <v>#VALUE!</v>
      </c>
      <c r="D73" s="2053" t="e">
        <f t="shared" si="0"/>
        <v>#VALUE!</v>
      </c>
      <c r="E73" s="2053" t="e">
        <f t="shared" si="0"/>
        <v>#VALUE!</v>
      </c>
      <c r="F73" s="2052" t="str">
        <f t="shared" si="0"/>
        <v>mg/m³</v>
      </c>
      <c r="G73" s="2052" t="str">
        <f>'Results Entry'!U127&amp;'Results Entry'!V127</f>
        <v/>
      </c>
      <c r="H73" s="2052" t="str">
        <f>'Results Entry'!X127&amp;'Results Entry'!Y127</f>
        <v/>
      </c>
      <c r="I73" s="2052" t="str">
        <f>I72</f>
        <v>g/min</v>
      </c>
      <c r="J73" s="2052" t="str">
        <f>'Results Entry'!AD127&amp;'Results Entry'!AE127</f>
        <v/>
      </c>
      <c r="K73" s="2052" t="str">
        <f>'Results Entry'!AF127&amp;'Results Entry'!AG127</f>
        <v/>
      </c>
    </row>
    <row r="74" spans="1:11">
      <c r="A74" s="2052">
        <f>'Results Entry'!B128</f>
        <v>0</v>
      </c>
      <c r="B74" s="2053" t="e">
        <f t="shared" si="0"/>
        <v>#VALUE!</v>
      </c>
      <c r="C74" s="2053" t="e">
        <f t="shared" si="0"/>
        <v>#VALUE!</v>
      </c>
      <c r="D74" s="2053" t="e">
        <f t="shared" si="0"/>
        <v>#VALUE!</v>
      </c>
      <c r="E74" s="2053" t="e">
        <f t="shared" si="0"/>
        <v>#VALUE!</v>
      </c>
      <c r="F74" s="2052" t="str">
        <f t="shared" si="0"/>
        <v>mg/m³</v>
      </c>
      <c r="G74" s="2052" t="str">
        <f>'Results Entry'!U128&amp;'Results Entry'!V128</f>
        <v/>
      </c>
      <c r="H74" s="2052" t="str">
        <f>'Results Entry'!X128&amp;'Results Entry'!Y128</f>
        <v/>
      </c>
      <c r="I74" s="2052" t="str">
        <f>I73</f>
        <v>g/min</v>
      </c>
      <c r="J74" s="2052" t="str">
        <f>'Results Entry'!AD128&amp;'Results Entry'!AE128</f>
        <v/>
      </c>
      <c r="K74" s="2052" t="str">
        <f>'Results Entry'!AF128&amp;'Results Entry'!AG128</f>
        <v/>
      </c>
    </row>
    <row r="75" spans="1:11">
      <c r="A75" s="2052">
        <f>'Results Entry'!B129</f>
        <v>0</v>
      </c>
      <c r="B75" s="2053" t="e">
        <f t="shared" si="0"/>
        <v>#VALUE!</v>
      </c>
      <c r="C75" s="2053" t="e">
        <f t="shared" si="0"/>
        <v>#VALUE!</v>
      </c>
      <c r="D75" s="2053" t="e">
        <f t="shared" si="0"/>
        <v>#VALUE!</v>
      </c>
      <c r="E75" s="2053" t="e">
        <f t="shared" si="0"/>
        <v>#VALUE!</v>
      </c>
      <c r="F75" s="2052" t="str">
        <f t="shared" si="0"/>
        <v>mg/m³</v>
      </c>
      <c r="G75" s="2052" t="str">
        <f>'Results Entry'!U129&amp;'Results Entry'!V129</f>
        <v/>
      </c>
      <c r="H75" s="2052" t="str">
        <f>'Results Entry'!X129&amp;'Results Entry'!Y129</f>
        <v/>
      </c>
      <c r="I75" s="2052" t="str">
        <f>I74</f>
        <v>g/min</v>
      </c>
      <c r="J75" s="2052" t="str">
        <f>'Results Entry'!AD129&amp;'Results Entry'!AE129</f>
        <v/>
      </c>
      <c r="K75" s="2052" t="str">
        <f>'Results Entry'!AF129&amp;'Results Entry'!AG129</f>
        <v/>
      </c>
    </row>
    <row r="76" spans="1:11">
      <c r="A76" s="2052">
        <f>'Results Entry'!B138</f>
        <v>0</v>
      </c>
      <c r="B76" s="2053" t="e">
        <f t="shared" ref="B76:B111" si="1">B75</f>
        <v>#VALUE!</v>
      </c>
      <c r="C76" s="2053" t="e">
        <f t="shared" ref="C76:C111" si="2">C75</f>
        <v>#VALUE!</v>
      </c>
      <c r="D76" s="2053" t="e">
        <f t="shared" ref="D76:D111" si="3">D75</f>
        <v>#VALUE!</v>
      </c>
      <c r="E76" s="2053" t="e">
        <f t="shared" ref="E76:E111" si="4">E75</f>
        <v>#VALUE!</v>
      </c>
      <c r="F76" s="2052" t="str">
        <f>'Results Entry'!V136</f>
        <v>mg/m³</v>
      </c>
      <c r="G76" s="2054" t="str">
        <f>'Results Entry'!U138&amp;'Results Entry'!V138</f>
        <v/>
      </c>
      <c r="H76" s="2052" t="str">
        <f>'Results Entry'!U185&amp;'Results Entry'!V185</f>
        <v/>
      </c>
      <c r="I76" s="2054" t="str">
        <f>'Results Entry'!Y136</f>
        <v>g/min</v>
      </c>
      <c r="J76" s="2054" t="str">
        <f>'Results Entry'!X138&amp;'Results Entry'!Y138</f>
        <v/>
      </c>
      <c r="K76" s="2052" t="str">
        <f>'Results Entry'!X185&amp;'Results Entry'!Y185</f>
        <v/>
      </c>
    </row>
    <row r="77" spans="1:11">
      <c r="A77" s="2052">
        <f>'Results Entry'!B139</f>
        <v>0</v>
      </c>
      <c r="B77" s="2053" t="e">
        <f t="shared" si="1"/>
        <v>#VALUE!</v>
      </c>
      <c r="C77" s="2053" t="e">
        <f t="shared" si="2"/>
        <v>#VALUE!</v>
      </c>
      <c r="D77" s="2053" t="e">
        <f t="shared" si="3"/>
        <v>#VALUE!</v>
      </c>
      <c r="E77" s="2053" t="e">
        <f t="shared" si="4"/>
        <v>#VALUE!</v>
      </c>
      <c r="F77" s="2052" t="str">
        <f t="shared" ref="F77:F111" si="5">F76</f>
        <v>mg/m³</v>
      </c>
      <c r="G77" s="2054" t="str">
        <f>'Results Entry'!U139&amp;'Results Entry'!V139</f>
        <v/>
      </c>
      <c r="H77" s="2052" t="str">
        <f>'Results Entry'!U186&amp;'Results Entry'!V186</f>
        <v/>
      </c>
      <c r="I77" s="2052" t="str">
        <f t="shared" ref="I77:I111" si="6">I76</f>
        <v>g/min</v>
      </c>
      <c r="J77" s="2054" t="str">
        <f>'Results Entry'!X139&amp;'Results Entry'!Y139</f>
        <v/>
      </c>
      <c r="K77" s="2052" t="str">
        <f>'Results Entry'!X186&amp;'Results Entry'!Y186</f>
        <v/>
      </c>
    </row>
    <row r="78" spans="1:11">
      <c r="A78" s="2052">
        <f>'Results Entry'!B140</f>
        <v>0</v>
      </c>
      <c r="B78" s="2053" t="e">
        <f t="shared" si="1"/>
        <v>#VALUE!</v>
      </c>
      <c r="C78" s="2053" t="e">
        <f t="shared" si="2"/>
        <v>#VALUE!</v>
      </c>
      <c r="D78" s="2053" t="e">
        <f t="shared" si="3"/>
        <v>#VALUE!</v>
      </c>
      <c r="E78" s="2053" t="e">
        <f t="shared" si="4"/>
        <v>#VALUE!</v>
      </c>
      <c r="F78" s="2052" t="str">
        <f t="shared" si="5"/>
        <v>mg/m³</v>
      </c>
      <c r="G78" s="2054" t="str">
        <f>'Results Entry'!U140&amp;'Results Entry'!V140</f>
        <v/>
      </c>
      <c r="H78" s="2052" t="str">
        <f>'Results Entry'!U187&amp;'Results Entry'!V187</f>
        <v/>
      </c>
      <c r="I78" s="2052" t="str">
        <f t="shared" si="6"/>
        <v>g/min</v>
      </c>
      <c r="J78" s="2054" t="str">
        <f>'Results Entry'!X140&amp;'Results Entry'!Y140</f>
        <v/>
      </c>
      <c r="K78" s="2052" t="str">
        <f>'Results Entry'!X187&amp;'Results Entry'!Y187</f>
        <v/>
      </c>
    </row>
    <row r="79" spans="1:11">
      <c r="A79" s="2052">
        <f>'Results Entry'!B141</f>
        <v>0</v>
      </c>
      <c r="B79" s="2053" t="e">
        <f t="shared" si="1"/>
        <v>#VALUE!</v>
      </c>
      <c r="C79" s="2053" t="e">
        <f t="shared" si="2"/>
        <v>#VALUE!</v>
      </c>
      <c r="D79" s="2053" t="e">
        <f t="shared" si="3"/>
        <v>#VALUE!</v>
      </c>
      <c r="E79" s="2053" t="e">
        <f t="shared" si="4"/>
        <v>#VALUE!</v>
      </c>
      <c r="F79" s="2052" t="str">
        <f t="shared" si="5"/>
        <v>mg/m³</v>
      </c>
      <c r="G79" s="2054" t="str">
        <f>'Results Entry'!U141&amp;'Results Entry'!V141</f>
        <v/>
      </c>
      <c r="H79" s="2052" t="str">
        <f>'Results Entry'!U188&amp;'Results Entry'!V188</f>
        <v/>
      </c>
      <c r="I79" s="2052" t="str">
        <f t="shared" si="6"/>
        <v>g/min</v>
      </c>
      <c r="J79" s="2054" t="str">
        <f>'Results Entry'!X141&amp;'Results Entry'!Y141</f>
        <v/>
      </c>
      <c r="K79" s="2052" t="str">
        <f>'Results Entry'!X188&amp;'Results Entry'!Y188</f>
        <v/>
      </c>
    </row>
    <row r="80" spans="1:11">
      <c r="A80" s="2052">
        <f>'Results Entry'!B142</f>
        <v>0</v>
      </c>
      <c r="B80" s="2053" t="e">
        <f t="shared" si="1"/>
        <v>#VALUE!</v>
      </c>
      <c r="C80" s="2053" t="e">
        <f t="shared" si="2"/>
        <v>#VALUE!</v>
      </c>
      <c r="D80" s="2053" t="e">
        <f t="shared" si="3"/>
        <v>#VALUE!</v>
      </c>
      <c r="E80" s="2053" t="e">
        <f t="shared" si="4"/>
        <v>#VALUE!</v>
      </c>
      <c r="F80" s="2052" t="str">
        <f t="shared" si="5"/>
        <v>mg/m³</v>
      </c>
      <c r="G80" s="2054" t="str">
        <f>'Results Entry'!U142&amp;'Results Entry'!V142</f>
        <v/>
      </c>
      <c r="H80" s="2052" t="str">
        <f>'Results Entry'!U189&amp;'Results Entry'!V189</f>
        <v/>
      </c>
      <c r="I80" s="2052" t="str">
        <f t="shared" si="6"/>
        <v>g/min</v>
      </c>
      <c r="J80" s="2054" t="str">
        <f>'Results Entry'!X142&amp;'Results Entry'!Y142</f>
        <v/>
      </c>
      <c r="K80" s="2052" t="str">
        <f>'Results Entry'!X189&amp;'Results Entry'!Y189</f>
        <v/>
      </c>
    </row>
    <row r="81" spans="1:11">
      <c r="A81" s="2052">
        <f>'Results Entry'!B143</f>
        <v>0</v>
      </c>
      <c r="B81" s="2053" t="e">
        <f t="shared" si="1"/>
        <v>#VALUE!</v>
      </c>
      <c r="C81" s="2053" t="e">
        <f t="shared" si="2"/>
        <v>#VALUE!</v>
      </c>
      <c r="D81" s="2053" t="e">
        <f t="shared" si="3"/>
        <v>#VALUE!</v>
      </c>
      <c r="E81" s="2053" t="e">
        <f t="shared" si="4"/>
        <v>#VALUE!</v>
      </c>
      <c r="F81" s="2052" t="str">
        <f t="shared" si="5"/>
        <v>mg/m³</v>
      </c>
      <c r="G81" s="2054" t="str">
        <f>'Results Entry'!U143&amp;'Results Entry'!V143</f>
        <v/>
      </c>
      <c r="H81" s="2052" t="str">
        <f>'Results Entry'!U190&amp;'Results Entry'!V190</f>
        <v/>
      </c>
      <c r="I81" s="2052" t="str">
        <f t="shared" si="6"/>
        <v>g/min</v>
      </c>
      <c r="J81" s="2054" t="str">
        <f>'Results Entry'!X143&amp;'Results Entry'!Y143</f>
        <v/>
      </c>
      <c r="K81" s="2052" t="str">
        <f>'Results Entry'!X190&amp;'Results Entry'!Y190</f>
        <v/>
      </c>
    </row>
    <row r="82" spans="1:11">
      <c r="A82" s="2052">
        <f>'Results Entry'!B144</f>
        <v>0</v>
      </c>
      <c r="B82" s="2053" t="e">
        <f t="shared" si="1"/>
        <v>#VALUE!</v>
      </c>
      <c r="C82" s="2053" t="e">
        <f t="shared" si="2"/>
        <v>#VALUE!</v>
      </c>
      <c r="D82" s="2053" t="e">
        <f t="shared" si="3"/>
        <v>#VALUE!</v>
      </c>
      <c r="E82" s="2053" t="e">
        <f t="shared" si="4"/>
        <v>#VALUE!</v>
      </c>
      <c r="F82" s="2052" t="str">
        <f t="shared" si="5"/>
        <v>mg/m³</v>
      </c>
      <c r="G82" s="2054" t="str">
        <f>'Results Entry'!U144&amp;'Results Entry'!V144</f>
        <v/>
      </c>
      <c r="H82" s="2052" t="str">
        <f>'Results Entry'!U191&amp;'Results Entry'!V191</f>
        <v/>
      </c>
      <c r="I82" s="2052" t="str">
        <f t="shared" si="6"/>
        <v>g/min</v>
      </c>
      <c r="J82" s="2054" t="str">
        <f>'Results Entry'!X144&amp;'Results Entry'!Y144</f>
        <v/>
      </c>
      <c r="K82" s="2052" t="str">
        <f>'Results Entry'!X191&amp;'Results Entry'!Y191</f>
        <v/>
      </c>
    </row>
    <row r="83" spans="1:11">
      <c r="A83" s="2052">
        <f>'Results Entry'!B145</f>
        <v>0</v>
      </c>
      <c r="B83" s="2053" t="e">
        <f t="shared" si="1"/>
        <v>#VALUE!</v>
      </c>
      <c r="C83" s="2053" t="e">
        <f t="shared" si="2"/>
        <v>#VALUE!</v>
      </c>
      <c r="D83" s="2053" t="e">
        <f t="shared" si="3"/>
        <v>#VALUE!</v>
      </c>
      <c r="E83" s="2053" t="e">
        <f t="shared" si="4"/>
        <v>#VALUE!</v>
      </c>
      <c r="F83" s="2052" t="str">
        <f t="shared" si="5"/>
        <v>mg/m³</v>
      </c>
      <c r="G83" s="2054" t="str">
        <f>'Results Entry'!U145&amp;'Results Entry'!V145</f>
        <v/>
      </c>
      <c r="H83" s="2052" t="str">
        <f>'Results Entry'!U192&amp;'Results Entry'!V192</f>
        <v/>
      </c>
      <c r="I83" s="2052" t="str">
        <f t="shared" si="6"/>
        <v>g/min</v>
      </c>
      <c r="J83" s="2054" t="str">
        <f>'Results Entry'!X145&amp;'Results Entry'!Y145</f>
        <v/>
      </c>
      <c r="K83" s="2052" t="str">
        <f>'Results Entry'!X192&amp;'Results Entry'!Y192</f>
        <v/>
      </c>
    </row>
    <row r="84" spans="1:11">
      <c r="A84" s="2052">
        <f>'Results Entry'!B146</f>
        <v>0</v>
      </c>
      <c r="B84" s="2053" t="e">
        <f t="shared" si="1"/>
        <v>#VALUE!</v>
      </c>
      <c r="C84" s="2053" t="e">
        <f t="shared" si="2"/>
        <v>#VALUE!</v>
      </c>
      <c r="D84" s="2053" t="e">
        <f t="shared" si="3"/>
        <v>#VALUE!</v>
      </c>
      <c r="E84" s="2053" t="e">
        <f t="shared" si="4"/>
        <v>#VALUE!</v>
      </c>
      <c r="F84" s="2052" t="str">
        <f t="shared" si="5"/>
        <v>mg/m³</v>
      </c>
      <c r="G84" s="2054" t="str">
        <f>'Results Entry'!U146&amp;'Results Entry'!V146</f>
        <v/>
      </c>
      <c r="H84" s="2052" t="str">
        <f>'Results Entry'!U193&amp;'Results Entry'!V193</f>
        <v/>
      </c>
      <c r="I84" s="2052" t="str">
        <f t="shared" si="6"/>
        <v>g/min</v>
      </c>
      <c r="J84" s="2054" t="str">
        <f>'Results Entry'!X146&amp;'Results Entry'!Y146</f>
        <v/>
      </c>
      <c r="K84" s="2052" t="str">
        <f>'Results Entry'!X193&amp;'Results Entry'!Y193</f>
        <v/>
      </c>
    </row>
    <row r="85" spans="1:11">
      <c r="A85" s="2052">
        <f>'Results Entry'!B147</f>
        <v>0</v>
      </c>
      <c r="B85" s="2053" t="e">
        <f t="shared" si="1"/>
        <v>#VALUE!</v>
      </c>
      <c r="C85" s="2053" t="e">
        <f t="shared" si="2"/>
        <v>#VALUE!</v>
      </c>
      <c r="D85" s="2053" t="e">
        <f t="shared" si="3"/>
        <v>#VALUE!</v>
      </c>
      <c r="E85" s="2053" t="e">
        <f t="shared" si="4"/>
        <v>#VALUE!</v>
      </c>
      <c r="F85" s="2052" t="str">
        <f t="shared" si="5"/>
        <v>mg/m³</v>
      </c>
      <c r="G85" s="2054" t="str">
        <f>'Results Entry'!U147&amp;'Results Entry'!V147</f>
        <v/>
      </c>
      <c r="H85" s="2052" t="str">
        <f>'Results Entry'!U194&amp;'Results Entry'!V194</f>
        <v/>
      </c>
      <c r="I85" s="2052" t="str">
        <f t="shared" si="6"/>
        <v>g/min</v>
      </c>
      <c r="J85" s="2054" t="str">
        <f>'Results Entry'!X147&amp;'Results Entry'!Y147</f>
        <v/>
      </c>
      <c r="K85" s="2052" t="str">
        <f>'Results Entry'!X194&amp;'Results Entry'!Y194</f>
        <v/>
      </c>
    </row>
    <row r="86" spans="1:11">
      <c r="A86" s="2052">
        <f>'Results Entry'!B148</f>
        <v>0</v>
      </c>
      <c r="B86" s="2053" t="e">
        <f t="shared" si="1"/>
        <v>#VALUE!</v>
      </c>
      <c r="C86" s="2053" t="e">
        <f t="shared" si="2"/>
        <v>#VALUE!</v>
      </c>
      <c r="D86" s="2053" t="e">
        <f t="shared" si="3"/>
        <v>#VALUE!</v>
      </c>
      <c r="E86" s="2053" t="e">
        <f t="shared" si="4"/>
        <v>#VALUE!</v>
      </c>
      <c r="F86" s="2052" t="str">
        <f t="shared" si="5"/>
        <v>mg/m³</v>
      </c>
      <c r="G86" s="2054" t="str">
        <f>'Results Entry'!U148&amp;'Results Entry'!V148</f>
        <v/>
      </c>
      <c r="H86" s="2052" t="str">
        <f>'Results Entry'!U195&amp;'Results Entry'!V195</f>
        <v/>
      </c>
      <c r="I86" s="2052" t="str">
        <f t="shared" si="6"/>
        <v>g/min</v>
      </c>
      <c r="J86" s="2054" t="str">
        <f>'Results Entry'!X148&amp;'Results Entry'!Y148</f>
        <v/>
      </c>
      <c r="K86" s="2052" t="str">
        <f>'Results Entry'!X195&amp;'Results Entry'!Y195</f>
        <v/>
      </c>
    </row>
    <row r="87" spans="1:11">
      <c r="A87" s="2052">
        <f>'Results Entry'!B149</f>
        <v>0</v>
      </c>
      <c r="B87" s="2053" t="e">
        <f t="shared" si="1"/>
        <v>#VALUE!</v>
      </c>
      <c r="C87" s="2053" t="e">
        <f t="shared" si="2"/>
        <v>#VALUE!</v>
      </c>
      <c r="D87" s="2053" t="e">
        <f t="shared" si="3"/>
        <v>#VALUE!</v>
      </c>
      <c r="E87" s="2053" t="e">
        <f t="shared" si="4"/>
        <v>#VALUE!</v>
      </c>
      <c r="F87" s="2052" t="str">
        <f t="shared" si="5"/>
        <v>mg/m³</v>
      </c>
      <c r="G87" s="2054" t="str">
        <f>'Results Entry'!U149&amp;'Results Entry'!V149</f>
        <v/>
      </c>
      <c r="H87" s="2052" t="str">
        <f>'Results Entry'!U196&amp;'Results Entry'!V196</f>
        <v/>
      </c>
      <c r="I87" s="2052" t="str">
        <f t="shared" si="6"/>
        <v>g/min</v>
      </c>
      <c r="J87" s="2054" t="str">
        <f>'Results Entry'!X149&amp;'Results Entry'!Y149</f>
        <v/>
      </c>
      <c r="K87" s="2052" t="str">
        <f>'Results Entry'!X196&amp;'Results Entry'!Y196</f>
        <v/>
      </c>
    </row>
    <row r="88" spans="1:11">
      <c r="A88" s="2052">
        <f>'Results Entry'!B150</f>
        <v>0</v>
      </c>
      <c r="B88" s="2053" t="e">
        <f t="shared" si="1"/>
        <v>#VALUE!</v>
      </c>
      <c r="C88" s="2053" t="e">
        <f t="shared" si="2"/>
        <v>#VALUE!</v>
      </c>
      <c r="D88" s="2053" t="e">
        <f t="shared" si="3"/>
        <v>#VALUE!</v>
      </c>
      <c r="E88" s="2053" t="e">
        <f t="shared" si="4"/>
        <v>#VALUE!</v>
      </c>
      <c r="F88" s="2052" t="str">
        <f t="shared" si="5"/>
        <v>mg/m³</v>
      </c>
      <c r="G88" s="2054" t="str">
        <f>'Results Entry'!U150&amp;'Results Entry'!V150</f>
        <v/>
      </c>
      <c r="H88" s="2052" t="str">
        <f>'Results Entry'!U197&amp;'Results Entry'!V197</f>
        <v/>
      </c>
      <c r="I88" s="2052" t="str">
        <f t="shared" si="6"/>
        <v>g/min</v>
      </c>
      <c r="J88" s="2054" t="str">
        <f>'Results Entry'!X150&amp;'Results Entry'!Y150</f>
        <v/>
      </c>
      <c r="K88" s="2052" t="str">
        <f>'Results Entry'!X197&amp;'Results Entry'!Y197</f>
        <v/>
      </c>
    </row>
    <row r="89" spans="1:11">
      <c r="A89" s="2052">
        <f>'Results Entry'!B151</f>
        <v>0</v>
      </c>
      <c r="B89" s="2053" t="e">
        <f t="shared" si="1"/>
        <v>#VALUE!</v>
      </c>
      <c r="C89" s="2053" t="e">
        <f t="shared" si="2"/>
        <v>#VALUE!</v>
      </c>
      <c r="D89" s="2053" t="e">
        <f t="shared" si="3"/>
        <v>#VALUE!</v>
      </c>
      <c r="E89" s="2053" t="e">
        <f t="shared" si="4"/>
        <v>#VALUE!</v>
      </c>
      <c r="F89" s="2052" t="str">
        <f t="shared" si="5"/>
        <v>mg/m³</v>
      </c>
      <c r="G89" s="2054" t="str">
        <f>'Results Entry'!U151&amp;'Results Entry'!V151</f>
        <v/>
      </c>
      <c r="H89" s="2052" t="str">
        <f>'Results Entry'!U198&amp;'Results Entry'!V198</f>
        <v/>
      </c>
      <c r="I89" s="2052" t="str">
        <f t="shared" si="6"/>
        <v>g/min</v>
      </c>
      <c r="J89" s="2054" t="str">
        <f>'Results Entry'!X151&amp;'Results Entry'!Y151</f>
        <v/>
      </c>
      <c r="K89" s="2052" t="str">
        <f>'Results Entry'!X198&amp;'Results Entry'!Y198</f>
        <v/>
      </c>
    </row>
    <row r="90" spans="1:11">
      <c r="A90" s="2052">
        <f>'Results Entry'!B152</f>
        <v>0</v>
      </c>
      <c r="B90" s="2053" t="e">
        <f t="shared" si="1"/>
        <v>#VALUE!</v>
      </c>
      <c r="C90" s="2053" t="e">
        <f t="shared" si="2"/>
        <v>#VALUE!</v>
      </c>
      <c r="D90" s="2053" t="e">
        <f t="shared" si="3"/>
        <v>#VALUE!</v>
      </c>
      <c r="E90" s="2053" t="e">
        <f t="shared" si="4"/>
        <v>#VALUE!</v>
      </c>
      <c r="F90" s="2052" t="str">
        <f t="shared" si="5"/>
        <v>mg/m³</v>
      </c>
      <c r="G90" s="2054" t="str">
        <f>'Results Entry'!U152&amp;'Results Entry'!V152</f>
        <v/>
      </c>
      <c r="H90" s="2052" t="str">
        <f>'Results Entry'!U199&amp;'Results Entry'!V199</f>
        <v/>
      </c>
      <c r="I90" s="2052" t="str">
        <f t="shared" si="6"/>
        <v>g/min</v>
      </c>
      <c r="J90" s="2054" t="str">
        <f>'Results Entry'!X152&amp;'Results Entry'!Y152</f>
        <v/>
      </c>
      <c r="K90" s="2052" t="str">
        <f>'Results Entry'!X199&amp;'Results Entry'!Y199</f>
        <v/>
      </c>
    </row>
    <row r="91" spans="1:11">
      <c r="A91" s="2052">
        <f>'Results Entry'!B153</f>
        <v>0</v>
      </c>
      <c r="B91" s="2053" t="e">
        <f t="shared" si="1"/>
        <v>#VALUE!</v>
      </c>
      <c r="C91" s="2053" t="e">
        <f t="shared" si="2"/>
        <v>#VALUE!</v>
      </c>
      <c r="D91" s="2053" t="e">
        <f t="shared" si="3"/>
        <v>#VALUE!</v>
      </c>
      <c r="E91" s="2053" t="e">
        <f t="shared" si="4"/>
        <v>#VALUE!</v>
      </c>
      <c r="F91" s="2052" t="str">
        <f t="shared" si="5"/>
        <v>mg/m³</v>
      </c>
      <c r="G91" s="2054" t="str">
        <f>'Results Entry'!U153&amp;'Results Entry'!V153</f>
        <v/>
      </c>
      <c r="H91" s="2052" t="str">
        <f>'Results Entry'!U200&amp;'Results Entry'!V200</f>
        <v/>
      </c>
      <c r="I91" s="2052" t="str">
        <f t="shared" si="6"/>
        <v>g/min</v>
      </c>
      <c r="J91" s="2054" t="str">
        <f>'Results Entry'!X153&amp;'Results Entry'!Y153</f>
        <v/>
      </c>
      <c r="K91" s="2052" t="str">
        <f>'Results Entry'!X200&amp;'Results Entry'!Y200</f>
        <v/>
      </c>
    </row>
    <row r="92" spans="1:11">
      <c r="A92" s="2052">
        <f>'Results Entry'!B154</f>
        <v>0</v>
      </c>
      <c r="B92" s="2053" t="e">
        <f t="shared" si="1"/>
        <v>#VALUE!</v>
      </c>
      <c r="C92" s="2053" t="e">
        <f t="shared" si="2"/>
        <v>#VALUE!</v>
      </c>
      <c r="D92" s="2053" t="e">
        <f t="shared" si="3"/>
        <v>#VALUE!</v>
      </c>
      <c r="E92" s="2053" t="e">
        <f t="shared" si="4"/>
        <v>#VALUE!</v>
      </c>
      <c r="F92" s="2052" t="str">
        <f t="shared" si="5"/>
        <v>mg/m³</v>
      </c>
      <c r="G92" s="2054" t="str">
        <f>'Results Entry'!U154&amp;'Results Entry'!V154</f>
        <v/>
      </c>
      <c r="H92" s="2052" t="str">
        <f>'Results Entry'!U201&amp;'Results Entry'!V201</f>
        <v/>
      </c>
      <c r="I92" s="2052" t="str">
        <f t="shared" si="6"/>
        <v>g/min</v>
      </c>
      <c r="J92" s="2054" t="str">
        <f>'Results Entry'!X154&amp;'Results Entry'!Y154</f>
        <v/>
      </c>
      <c r="K92" s="2052" t="str">
        <f>'Results Entry'!X201&amp;'Results Entry'!Y201</f>
        <v/>
      </c>
    </row>
    <row r="93" spans="1:11">
      <c r="A93" s="2052">
        <f>'Results Entry'!B155</f>
        <v>0</v>
      </c>
      <c r="B93" s="2053" t="e">
        <f t="shared" si="1"/>
        <v>#VALUE!</v>
      </c>
      <c r="C93" s="2053" t="e">
        <f t="shared" si="2"/>
        <v>#VALUE!</v>
      </c>
      <c r="D93" s="2053" t="e">
        <f t="shared" si="3"/>
        <v>#VALUE!</v>
      </c>
      <c r="E93" s="2053" t="e">
        <f t="shared" si="4"/>
        <v>#VALUE!</v>
      </c>
      <c r="F93" s="2052" t="str">
        <f t="shared" si="5"/>
        <v>mg/m³</v>
      </c>
      <c r="G93" s="2054" t="str">
        <f>'Results Entry'!U155&amp;'Results Entry'!V155</f>
        <v/>
      </c>
      <c r="H93" s="2052" t="str">
        <f>'Results Entry'!U202&amp;'Results Entry'!V202</f>
        <v/>
      </c>
      <c r="I93" s="2052" t="str">
        <f t="shared" si="6"/>
        <v>g/min</v>
      </c>
      <c r="J93" s="2054" t="str">
        <f>'Results Entry'!X155&amp;'Results Entry'!Y155</f>
        <v/>
      </c>
      <c r="K93" s="2052" t="str">
        <f>'Results Entry'!X202&amp;'Results Entry'!Y202</f>
        <v/>
      </c>
    </row>
    <row r="94" spans="1:11">
      <c r="A94" s="2052">
        <f>'Results Entry'!B156</f>
        <v>0</v>
      </c>
      <c r="B94" s="2053" t="e">
        <f t="shared" si="1"/>
        <v>#VALUE!</v>
      </c>
      <c r="C94" s="2053" t="e">
        <f t="shared" si="2"/>
        <v>#VALUE!</v>
      </c>
      <c r="D94" s="2053" t="e">
        <f t="shared" si="3"/>
        <v>#VALUE!</v>
      </c>
      <c r="E94" s="2053" t="e">
        <f t="shared" si="4"/>
        <v>#VALUE!</v>
      </c>
      <c r="F94" s="2052" t="str">
        <f t="shared" si="5"/>
        <v>mg/m³</v>
      </c>
      <c r="G94" s="2054" t="str">
        <f>'Results Entry'!U156&amp;'Results Entry'!V156</f>
        <v/>
      </c>
      <c r="H94" s="2052" t="str">
        <f>'Results Entry'!U203&amp;'Results Entry'!V203</f>
        <v/>
      </c>
      <c r="I94" s="2052" t="str">
        <f t="shared" si="6"/>
        <v>g/min</v>
      </c>
      <c r="J94" s="2054" t="str">
        <f>'Results Entry'!X156&amp;'Results Entry'!Y156</f>
        <v/>
      </c>
      <c r="K94" s="2052" t="str">
        <f>'Results Entry'!X203&amp;'Results Entry'!Y203</f>
        <v/>
      </c>
    </row>
    <row r="95" spans="1:11">
      <c r="A95" s="2052">
        <f>'Results Entry'!B157</f>
        <v>0</v>
      </c>
      <c r="B95" s="2053" t="e">
        <f t="shared" si="1"/>
        <v>#VALUE!</v>
      </c>
      <c r="C95" s="2053" t="e">
        <f t="shared" si="2"/>
        <v>#VALUE!</v>
      </c>
      <c r="D95" s="2053" t="e">
        <f t="shared" si="3"/>
        <v>#VALUE!</v>
      </c>
      <c r="E95" s="2053" t="e">
        <f t="shared" si="4"/>
        <v>#VALUE!</v>
      </c>
      <c r="F95" s="2052" t="str">
        <f t="shared" si="5"/>
        <v>mg/m³</v>
      </c>
      <c r="G95" s="2054" t="str">
        <f>'Results Entry'!U157&amp;'Results Entry'!V157</f>
        <v/>
      </c>
      <c r="H95" s="2052" t="str">
        <f>'Results Entry'!U204&amp;'Results Entry'!V204</f>
        <v/>
      </c>
      <c r="I95" s="2052" t="str">
        <f t="shared" si="6"/>
        <v>g/min</v>
      </c>
      <c r="J95" s="2054" t="str">
        <f>'Results Entry'!X157&amp;'Results Entry'!Y157</f>
        <v/>
      </c>
      <c r="K95" s="2052" t="str">
        <f>'Results Entry'!X204&amp;'Results Entry'!Y204</f>
        <v/>
      </c>
    </row>
    <row r="96" spans="1:11">
      <c r="A96" s="2052">
        <f>'Results Entry'!B158</f>
        <v>0</v>
      </c>
      <c r="B96" s="2053" t="e">
        <f t="shared" si="1"/>
        <v>#VALUE!</v>
      </c>
      <c r="C96" s="2053" t="e">
        <f t="shared" si="2"/>
        <v>#VALUE!</v>
      </c>
      <c r="D96" s="2053" t="e">
        <f t="shared" si="3"/>
        <v>#VALUE!</v>
      </c>
      <c r="E96" s="2053" t="e">
        <f t="shared" si="4"/>
        <v>#VALUE!</v>
      </c>
      <c r="F96" s="2052" t="str">
        <f t="shared" si="5"/>
        <v>mg/m³</v>
      </c>
      <c r="G96" s="2054" t="str">
        <f>'Results Entry'!U158&amp;'Results Entry'!V158</f>
        <v/>
      </c>
      <c r="H96" s="2052" t="str">
        <f>'Results Entry'!U205&amp;'Results Entry'!V205</f>
        <v/>
      </c>
      <c r="I96" s="2052" t="str">
        <f t="shared" si="6"/>
        <v>g/min</v>
      </c>
      <c r="J96" s="2054" t="str">
        <f>'Results Entry'!X158&amp;'Results Entry'!Y158</f>
        <v/>
      </c>
      <c r="K96" s="2052" t="str">
        <f>'Results Entry'!X205&amp;'Results Entry'!Y205</f>
        <v/>
      </c>
    </row>
    <row r="97" spans="1:11">
      <c r="A97" s="2052">
        <f>'Results Entry'!B159</f>
        <v>0</v>
      </c>
      <c r="B97" s="2053" t="e">
        <f t="shared" si="1"/>
        <v>#VALUE!</v>
      </c>
      <c r="C97" s="2053" t="e">
        <f t="shared" si="2"/>
        <v>#VALUE!</v>
      </c>
      <c r="D97" s="2053" t="e">
        <f t="shared" si="3"/>
        <v>#VALUE!</v>
      </c>
      <c r="E97" s="2053" t="e">
        <f t="shared" si="4"/>
        <v>#VALUE!</v>
      </c>
      <c r="F97" s="2052" t="str">
        <f t="shared" si="5"/>
        <v>mg/m³</v>
      </c>
      <c r="G97" s="2054" t="str">
        <f>'Results Entry'!U159&amp;'Results Entry'!V159</f>
        <v/>
      </c>
      <c r="H97" s="2052" t="str">
        <f>'Results Entry'!U206&amp;'Results Entry'!V206</f>
        <v/>
      </c>
      <c r="I97" s="2052" t="str">
        <f t="shared" si="6"/>
        <v>g/min</v>
      </c>
      <c r="J97" s="2054" t="str">
        <f>'Results Entry'!X159&amp;'Results Entry'!Y159</f>
        <v/>
      </c>
      <c r="K97" s="2052" t="str">
        <f>'Results Entry'!X206&amp;'Results Entry'!Y206</f>
        <v/>
      </c>
    </row>
    <row r="98" spans="1:11">
      <c r="A98" s="2052">
        <f>'Results Entry'!B160</f>
        <v>0</v>
      </c>
      <c r="B98" s="2053" t="e">
        <f t="shared" si="1"/>
        <v>#VALUE!</v>
      </c>
      <c r="C98" s="2053" t="e">
        <f t="shared" si="2"/>
        <v>#VALUE!</v>
      </c>
      <c r="D98" s="2053" t="e">
        <f t="shared" si="3"/>
        <v>#VALUE!</v>
      </c>
      <c r="E98" s="2053" t="e">
        <f t="shared" si="4"/>
        <v>#VALUE!</v>
      </c>
      <c r="F98" s="2052" t="str">
        <f t="shared" si="5"/>
        <v>mg/m³</v>
      </c>
      <c r="G98" s="2054" t="str">
        <f>'Results Entry'!U160&amp;'Results Entry'!V160</f>
        <v/>
      </c>
      <c r="H98" s="2052" t="str">
        <f>'Results Entry'!U207&amp;'Results Entry'!V207</f>
        <v/>
      </c>
      <c r="I98" s="2052" t="str">
        <f t="shared" si="6"/>
        <v>g/min</v>
      </c>
      <c r="J98" s="2054" t="str">
        <f>'Results Entry'!X160&amp;'Results Entry'!Y160</f>
        <v/>
      </c>
      <c r="K98" s="2052" t="str">
        <f>'Results Entry'!X207&amp;'Results Entry'!Y207</f>
        <v/>
      </c>
    </row>
    <row r="99" spans="1:11">
      <c r="A99" s="2052">
        <f>'Results Entry'!B161</f>
        <v>0</v>
      </c>
      <c r="B99" s="2053" t="e">
        <f t="shared" si="1"/>
        <v>#VALUE!</v>
      </c>
      <c r="C99" s="2053" t="e">
        <f t="shared" si="2"/>
        <v>#VALUE!</v>
      </c>
      <c r="D99" s="2053" t="e">
        <f t="shared" si="3"/>
        <v>#VALUE!</v>
      </c>
      <c r="E99" s="2053" t="e">
        <f t="shared" si="4"/>
        <v>#VALUE!</v>
      </c>
      <c r="F99" s="2052" t="str">
        <f t="shared" si="5"/>
        <v>mg/m³</v>
      </c>
      <c r="G99" s="2054" t="str">
        <f>'Results Entry'!U161&amp;'Results Entry'!V161</f>
        <v/>
      </c>
      <c r="H99" s="2052" t="str">
        <f>'Results Entry'!U208&amp;'Results Entry'!V208</f>
        <v/>
      </c>
      <c r="I99" s="2052" t="str">
        <f t="shared" si="6"/>
        <v>g/min</v>
      </c>
      <c r="J99" s="2054" t="str">
        <f>'Results Entry'!X161&amp;'Results Entry'!Y161</f>
        <v/>
      </c>
      <c r="K99" s="2052" t="str">
        <f>'Results Entry'!X208&amp;'Results Entry'!Y208</f>
        <v/>
      </c>
    </row>
    <row r="100" spans="1:11">
      <c r="A100" s="2052">
        <f>'Results Entry'!B162</f>
        <v>0</v>
      </c>
      <c r="B100" s="2053" t="e">
        <f t="shared" si="1"/>
        <v>#VALUE!</v>
      </c>
      <c r="C100" s="2053" t="e">
        <f t="shared" si="2"/>
        <v>#VALUE!</v>
      </c>
      <c r="D100" s="2053" t="e">
        <f t="shared" si="3"/>
        <v>#VALUE!</v>
      </c>
      <c r="E100" s="2053" t="e">
        <f t="shared" si="4"/>
        <v>#VALUE!</v>
      </c>
      <c r="F100" s="2052" t="str">
        <f t="shared" si="5"/>
        <v>mg/m³</v>
      </c>
      <c r="G100" s="2054" t="str">
        <f>'Results Entry'!U162&amp;'Results Entry'!V162</f>
        <v/>
      </c>
      <c r="H100" s="2052" t="str">
        <f>'Results Entry'!U209&amp;'Results Entry'!V209</f>
        <v/>
      </c>
      <c r="I100" s="2052" t="str">
        <f t="shared" si="6"/>
        <v>g/min</v>
      </c>
      <c r="J100" s="2054" t="str">
        <f>'Results Entry'!X162&amp;'Results Entry'!Y162</f>
        <v/>
      </c>
      <c r="K100" s="2052" t="str">
        <f>'Results Entry'!X209&amp;'Results Entry'!Y209</f>
        <v/>
      </c>
    </row>
    <row r="101" spans="1:11">
      <c r="A101" s="2052">
        <f>'Results Entry'!B163</f>
        <v>0</v>
      </c>
      <c r="B101" s="2053" t="e">
        <f t="shared" si="1"/>
        <v>#VALUE!</v>
      </c>
      <c r="C101" s="2053" t="e">
        <f t="shared" si="2"/>
        <v>#VALUE!</v>
      </c>
      <c r="D101" s="2053" t="e">
        <f t="shared" si="3"/>
        <v>#VALUE!</v>
      </c>
      <c r="E101" s="2053" t="e">
        <f t="shared" si="4"/>
        <v>#VALUE!</v>
      </c>
      <c r="F101" s="2052" t="str">
        <f t="shared" si="5"/>
        <v>mg/m³</v>
      </c>
      <c r="G101" s="2054" t="str">
        <f>'Results Entry'!U163&amp;'Results Entry'!V163</f>
        <v/>
      </c>
      <c r="H101" s="2052" t="str">
        <f>'Results Entry'!U210&amp;'Results Entry'!V210</f>
        <v/>
      </c>
      <c r="I101" s="2052" t="str">
        <f t="shared" si="6"/>
        <v>g/min</v>
      </c>
      <c r="J101" s="2054" t="str">
        <f>'Results Entry'!X163&amp;'Results Entry'!Y163</f>
        <v/>
      </c>
      <c r="K101" s="2052" t="str">
        <f>'Results Entry'!X210&amp;'Results Entry'!Y210</f>
        <v/>
      </c>
    </row>
    <row r="102" spans="1:11">
      <c r="A102" s="2052">
        <f>'Results Entry'!B164</f>
        <v>0</v>
      </c>
      <c r="B102" s="2053" t="e">
        <f t="shared" si="1"/>
        <v>#VALUE!</v>
      </c>
      <c r="C102" s="2053" t="e">
        <f t="shared" si="2"/>
        <v>#VALUE!</v>
      </c>
      <c r="D102" s="2053" t="e">
        <f t="shared" si="3"/>
        <v>#VALUE!</v>
      </c>
      <c r="E102" s="2053" t="e">
        <f t="shared" si="4"/>
        <v>#VALUE!</v>
      </c>
      <c r="F102" s="2052" t="str">
        <f t="shared" si="5"/>
        <v>mg/m³</v>
      </c>
      <c r="G102" s="2054" t="str">
        <f>'Results Entry'!U164&amp;'Results Entry'!V164</f>
        <v/>
      </c>
      <c r="H102" s="2052" t="str">
        <f>'Results Entry'!U211&amp;'Results Entry'!V211</f>
        <v/>
      </c>
      <c r="I102" s="2052" t="str">
        <f t="shared" si="6"/>
        <v>g/min</v>
      </c>
      <c r="J102" s="2054" t="str">
        <f>'Results Entry'!X164&amp;'Results Entry'!Y164</f>
        <v/>
      </c>
      <c r="K102" s="2052" t="str">
        <f>'Results Entry'!X211&amp;'Results Entry'!Y211</f>
        <v/>
      </c>
    </row>
    <row r="103" spans="1:11">
      <c r="A103" s="2052">
        <f>'Results Entry'!B165</f>
        <v>0</v>
      </c>
      <c r="B103" s="2053" t="e">
        <f t="shared" si="1"/>
        <v>#VALUE!</v>
      </c>
      <c r="C103" s="2053" t="e">
        <f t="shared" si="2"/>
        <v>#VALUE!</v>
      </c>
      <c r="D103" s="2053" t="e">
        <f t="shared" si="3"/>
        <v>#VALUE!</v>
      </c>
      <c r="E103" s="2053" t="e">
        <f t="shared" si="4"/>
        <v>#VALUE!</v>
      </c>
      <c r="F103" s="2052" t="str">
        <f t="shared" si="5"/>
        <v>mg/m³</v>
      </c>
      <c r="G103" s="2054" t="str">
        <f>'Results Entry'!U165&amp;'Results Entry'!V165</f>
        <v/>
      </c>
      <c r="H103" s="2052" t="str">
        <f>'Results Entry'!U212&amp;'Results Entry'!V212</f>
        <v/>
      </c>
      <c r="I103" s="2052" t="str">
        <f t="shared" si="6"/>
        <v>g/min</v>
      </c>
      <c r="J103" s="2054" t="str">
        <f>'Results Entry'!X165&amp;'Results Entry'!Y165</f>
        <v/>
      </c>
      <c r="K103" s="2052" t="str">
        <f>'Results Entry'!X212&amp;'Results Entry'!Y212</f>
        <v/>
      </c>
    </row>
    <row r="104" spans="1:11">
      <c r="A104" s="2052">
        <f>'Results Entry'!B166</f>
        <v>0</v>
      </c>
      <c r="B104" s="2053" t="e">
        <f t="shared" si="1"/>
        <v>#VALUE!</v>
      </c>
      <c r="C104" s="2053" t="e">
        <f t="shared" si="2"/>
        <v>#VALUE!</v>
      </c>
      <c r="D104" s="2053" t="e">
        <f t="shared" si="3"/>
        <v>#VALUE!</v>
      </c>
      <c r="E104" s="2053" t="e">
        <f t="shared" si="4"/>
        <v>#VALUE!</v>
      </c>
      <c r="F104" s="2052" t="str">
        <f t="shared" si="5"/>
        <v>mg/m³</v>
      </c>
      <c r="G104" s="2054" t="str">
        <f>'Results Entry'!U166&amp;'Results Entry'!V166</f>
        <v/>
      </c>
      <c r="H104" s="2052" t="str">
        <f>'Results Entry'!U213&amp;'Results Entry'!V213</f>
        <v/>
      </c>
      <c r="I104" s="2052" t="str">
        <f t="shared" si="6"/>
        <v>g/min</v>
      </c>
      <c r="J104" s="2054" t="str">
        <f>'Results Entry'!X166&amp;'Results Entry'!Y166</f>
        <v/>
      </c>
      <c r="K104" s="2052" t="str">
        <f>'Results Entry'!X213&amp;'Results Entry'!Y213</f>
        <v/>
      </c>
    </row>
    <row r="105" spans="1:11">
      <c r="A105" s="2052">
        <f>'Results Entry'!B167</f>
        <v>0</v>
      </c>
      <c r="B105" s="2053" t="e">
        <f t="shared" si="1"/>
        <v>#VALUE!</v>
      </c>
      <c r="C105" s="2053" t="e">
        <f t="shared" si="2"/>
        <v>#VALUE!</v>
      </c>
      <c r="D105" s="2053" t="e">
        <f t="shared" si="3"/>
        <v>#VALUE!</v>
      </c>
      <c r="E105" s="2053" t="e">
        <f t="shared" si="4"/>
        <v>#VALUE!</v>
      </c>
      <c r="F105" s="2052" t="str">
        <f t="shared" si="5"/>
        <v>mg/m³</v>
      </c>
      <c r="G105" s="2054" t="str">
        <f>'Results Entry'!U167&amp;'Results Entry'!V167</f>
        <v/>
      </c>
      <c r="H105" s="2052" t="str">
        <f>'Results Entry'!U214&amp;'Results Entry'!V214</f>
        <v/>
      </c>
      <c r="I105" s="2052" t="str">
        <f t="shared" si="6"/>
        <v>g/min</v>
      </c>
      <c r="J105" s="2054" t="str">
        <f>'Results Entry'!X167&amp;'Results Entry'!Y167</f>
        <v/>
      </c>
      <c r="K105" s="2052" t="str">
        <f>'Results Entry'!X214&amp;'Results Entry'!Y214</f>
        <v/>
      </c>
    </row>
    <row r="106" spans="1:11">
      <c r="A106" s="2052">
        <f>'Results Entry'!B168</f>
        <v>0</v>
      </c>
      <c r="B106" s="2053" t="e">
        <f t="shared" si="1"/>
        <v>#VALUE!</v>
      </c>
      <c r="C106" s="2053" t="e">
        <f t="shared" si="2"/>
        <v>#VALUE!</v>
      </c>
      <c r="D106" s="2053" t="e">
        <f t="shared" si="3"/>
        <v>#VALUE!</v>
      </c>
      <c r="E106" s="2053" t="e">
        <f t="shared" si="4"/>
        <v>#VALUE!</v>
      </c>
      <c r="F106" s="2052" t="str">
        <f t="shared" si="5"/>
        <v>mg/m³</v>
      </c>
      <c r="G106" s="2054" t="str">
        <f>'Results Entry'!U168&amp;'Results Entry'!V168</f>
        <v/>
      </c>
      <c r="H106" s="2052" t="str">
        <f>'Results Entry'!U215&amp;'Results Entry'!V215</f>
        <v/>
      </c>
      <c r="I106" s="2052" t="str">
        <f t="shared" si="6"/>
        <v>g/min</v>
      </c>
      <c r="J106" s="2054" t="str">
        <f>'Results Entry'!X168&amp;'Results Entry'!Y168</f>
        <v/>
      </c>
      <c r="K106" s="2052" t="str">
        <f>'Results Entry'!X215&amp;'Results Entry'!Y215</f>
        <v/>
      </c>
    </row>
    <row r="107" spans="1:11">
      <c r="A107" s="2052">
        <f>'Results Entry'!B169</f>
        <v>0</v>
      </c>
      <c r="B107" s="2053" t="e">
        <f t="shared" si="1"/>
        <v>#VALUE!</v>
      </c>
      <c r="C107" s="2053" t="e">
        <f t="shared" si="2"/>
        <v>#VALUE!</v>
      </c>
      <c r="D107" s="2053" t="e">
        <f t="shared" si="3"/>
        <v>#VALUE!</v>
      </c>
      <c r="E107" s="2053" t="e">
        <f t="shared" si="4"/>
        <v>#VALUE!</v>
      </c>
      <c r="F107" s="2052" t="str">
        <f t="shared" si="5"/>
        <v>mg/m³</v>
      </c>
      <c r="G107" s="2054" t="str">
        <f>'Results Entry'!U169&amp;'Results Entry'!V169</f>
        <v/>
      </c>
      <c r="H107" s="2052" t="str">
        <f>'Results Entry'!U216&amp;'Results Entry'!V216</f>
        <v/>
      </c>
      <c r="I107" s="2052" t="str">
        <f t="shared" si="6"/>
        <v>g/min</v>
      </c>
      <c r="J107" s="2054" t="str">
        <f>'Results Entry'!X169&amp;'Results Entry'!Y169</f>
        <v/>
      </c>
      <c r="K107" s="2052" t="str">
        <f>'Results Entry'!X216&amp;'Results Entry'!Y216</f>
        <v/>
      </c>
    </row>
    <row r="108" spans="1:11">
      <c r="A108" s="2052">
        <f>'Results Entry'!B170</f>
        <v>0</v>
      </c>
      <c r="B108" s="2053" t="e">
        <f t="shared" si="1"/>
        <v>#VALUE!</v>
      </c>
      <c r="C108" s="2053" t="e">
        <f t="shared" si="2"/>
        <v>#VALUE!</v>
      </c>
      <c r="D108" s="2053" t="e">
        <f t="shared" si="3"/>
        <v>#VALUE!</v>
      </c>
      <c r="E108" s="2053" t="e">
        <f t="shared" si="4"/>
        <v>#VALUE!</v>
      </c>
      <c r="F108" s="2052" t="str">
        <f t="shared" si="5"/>
        <v>mg/m³</v>
      </c>
      <c r="G108" s="2054" t="str">
        <f>'Results Entry'!U170&amp;'Results Entry'!V170</f>
        <v/>
      </c>
      <c r="H108" s="2052" t="str">
        <f>'Results Entry'!U217&amp;'Results Entry'!V217</f>
        <v/>
      </c>
      <c r="I108" s="2052" t="str">
        <f t="shared" si="6"/>
        <v>g/min</v>
      </c>
      <c r="J108" s="2054" t="str">
        <f>'Results Entry'!X170&amp;'Results Entry'!Y170</f>
        <v/>
      </c>
      <c r="K108" s="2052" t="str">
        <f>'Results Entry'!X217&amp;'Results Entry'!Y217</f>
        <v/>
      </c>
    </row>
    <row r="109" spans="1:11">
      <c r="A109" s="2052">
        <f>'Results Entry'!B171</f>
        <v>0</v>
      </c>
      <c r="B109" s="2053" t="e">
        <f t="shared" si="1"/>
        <v>#VALUE!</v>
      </c>
      <c r="C109" s="2053" t="e">
        <f t="shared" si="2"/>
        <v>#VALUE!</v>
      </c>
      <c r="D109" s="2053" t="e">
        <f t="shared" si="3"/>
        <v>#VALUE!</v>
      </c>
      <c r="E109" s="2053" t="e">
        <f t="shared" si="4"/>
        <v>#VALUE!</v>
      </c>
      <c r="F109" s="2052" t="str">
        <f t="shared" si="5"/>
        <v>mg/m³</v>
      </c>
      <c r="G109" s="2054" t="str">
        <f>'Results Entry'!U171&amp;'Results Entry'!V171</f>
        <v/>
      </c>
      <c r="H109" s="2052" t="str">
        <f>'Results Entry'!U218&amp;'Results Entry'!V218</f>
        <v/>
      </c>
      <c r="I109" s="2052" t="str">
        <f t="shared" si="6"/>
        <v>g/min</v>
      </c>
      <c r="J109" s="2054" t="str">
        <f>'Results Entry'!X171&amp;'Results Entry'!Y171</f>
        <v/>
      </c>
      <c r="K109" s="2052" t="str">
        <f>'Results Entry'!X218&amp;'Results Entry'!Y218</f>
        <v/>
      </c>
    </row>
    <row r="110" spans="1:11" ht="13.5" customHeight="1">
      <c r="A110" s="2052">
        <f>'Results Entry'!B172</f>
        <v>0</v>
      </c>
      <c r="B110" s="2053" t="e">
        <f t="shared" si="1"/>
        <v>#VALUE!</v>
      </c>
      <c r="C110" s="2053" t="e">
        <f t="shared" si="2"/>
        <v>#VALUE!</v>
      </c>
      <c r="D110" s="2053" t="e">
        <f t="shared" si="3"/>
        <v>#VALUE!</v>
      </c>
      <c r="E110" s="2053" t="e">
        <f t="shared" si="4"/>
        <v>#VALUE!</v>
      </c>
      <c r="F110" s="2052" t="str">
        <f t="shared" si="5"/>
        <v>mg/m³</v>
      </c>
      <c r="G110" s="2054" t="str">
        <f>'Results Entry'!U172&amp;'Results Entry'!V172</f>
        <v/>
      </c>
      <c r="H110" s="2052" t="str">
        <f>'Results Entry'!U219&amp;'Results Entry'!V219</f>
        <v/>
      </c>
      <c r="I110" s="2052" t="str">
        <f t="shared" si="6"/>
        <v>g/min</v>
      </c>
      <c r="J110" s="2054" t="str">
        <f>'Results Entry'!X172&amp;'Results Entry'!Y172</f>
        <v/>
      </c>
      <c r="K110" s="2052" t="str">
        <f>'Results Entry'!X219&amp;'Results Entry'!Y219</f>
        <v/>
      </c>
    </row>
    <row r="111" spans="1:11">
      <c r="A111" s="2052">
        <f>'Results Entry'!B173</f>
        <v>0</v>
      </c>
      <c r="B111" s="2053" t="e">
        <f t="shared" si="1"/>
        <v>#VALUE!</v>
      </c>
      <c r="C111" s="2053" t="e">
        <f t="shared" si="2"/>
        <v>#VALUE!</v>
      </c>
      <c r="D111" s="2053" t="e">
        <f t="shared" si="3"/>
        <v>#VALUE!</v>
      </c>
      <c r="E111" s="2053" t="e">
        <f t="shared" si="4"/>
        <v>#VALUE!</v>
      </c>
      <c r="F111" s="2052" t="str">
        <f t="shared" si="5"/>
        <v>mg/m³</v>
      </c>
      <c r="G111" s="2054" t="str">
        <f>'Results Entry'!U173&amp;'Results Entry'!V173</f>
        <v/>
      </c>
      <c r="H111" s="2052" t="str">
        <f>'Results Entry'!U220&amp;'Results Entry'!V220</f>
        <v/>
      </c>
      <c r="I111" s="2052" t="str">
        <f t="shared" si="6"/>
        <v>g/min</v>
      </c>
      <c r="J111" s="2054" t="str">
        <f>'Results Entry'!X173&amp;'Results Entry'!Y173</f>
        <v/>
      </c>
      <c r="K111" s="2052" t="str">
        <f>'Results Entry'!X220&amp;'Results Entry'!Y220</f>
        <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tabColor indexed="43"/>
  </sheetPr>
  <dimension ref="A1:AD93"/>
  <sheetViews>
    <sheetView workbookViewId="0">
      <selection activeCell="B12" sqref="B12"/>
    </sheetView>
  </sheetViews>
  <sheetFormatPr baseColWidth="10" defaultColWidth="8.7109375" defaultRowHeight="10.5" customHeight="1" x14ac:dyDescent="0"/>
  <cols>
    <col min="1" max="1" width="15.28515625" style="48" customWidth="1"/>
    <col min="2" max="5" width="8.28515625" style="48" customWidth="1"/>
    <col min="6" max="6" width="8.28515625" style="48" hidden="1" customWidth="1"/>
    <col min="7" max="11" width="8.28515625" style="48" customWidth="1"/>
    <col min="12" max="12" width="8.28515625" style="48" hidden="1" customWidth="1"/>
    <col min="13" max="21" width="8.28515625" style="48" customWidth="1"/>
    <col min="22" max="22" width="14.7109375" style="48" customWidth="1"/>
    <col min="23" max="24" width="8.7109375" style="385"/>
    <col min="25" max="25" width="8.7109375" style="48"/>
    <col min="26" max="26" width="14.7109375" style="48" customWidth="1"/>
    <col min="27" max="16384" width="8.7109375" style="48"/>
  </cols>
  <sheetData>
    <row r="1" spans="1:25" ht="10.5" customHeight="1">
      <c r="A1" s="843"/>
      <c r="B1" s="2798" t="s">
        <v>4</v>
      </c>
      <c r="C1" s="2798"/>
      <c r="D1" s="2799" t="str">
        <f>'PM10 &amp; 2.5'!L8</f>
        <v>PM10&amp;2.5</v>
      </c>
      <c r="E1" s="2799"/>
      <c r="F1" s="844"/>
      <c r="G1" s="844"/>
      <c r="H1" s="845" t="s">
        <v>1343</v>
      </c>
      <c r="I1" s="122">
        <f>Client</f>
        <v>0</v>
      </c>
      <c r="J1" s="846"/>
      <c r="K1" s="846"/>
      <c r="L1" s="847"/>
      <c r="M1" s="848"/>
    </row>
    <row r="2" spans="1:25" ht="10.5" customHeight="1">
      <c r="A2" s="849"/>
      <c r="B2" s="850" t="s">
        <v>8</v>
      </c>
      <c r="C2" s="850" t="s">
        <v>9</v>
      </c>
      <c r="D2" s="850" t="s">
        <v>8</v>
      </c>
      <c r="E2" s="850" t="s">
        <v>9</v>
      </c>
      <c r="F2" s="847"/>
      <c r="G2" s="847"/>
      <c r="H2" s="155" t="s">
        <v>1204</v>
      </c>
      <c r="I2" s="124">
        <f>StackID</f>
        <v>0</v>
      </c>
      <c r="J2" s="847"/>
      <c r="K2" s="847"/>
      <c r="L2" s="847"/>
      <c r="M2" s="851"/>
    </row>
    <row r="3" spans="1:25" ht="10.5" customHeight="1">
      <c r="A3" s="852" t="s">
        <v>5</v>
      </c>
      <c r="B3" s="125">
        <f>'Flows &amp; Isokinetics'!J7</f>
        <v>0</v>
      </c>
      <c r="C3" s="125">
        <f>'Flows &amp; Isokinetics'!K7</f>
        <v>0</v>
      </c>
      <c r="D3" s="126">
        <f>'PM10 &amp; 2.5'!G5</f>
        <v>0</v>
      </c>
      <c r="E3" s="126">
        <f>'PM10 &amp; 2.5'!H5</f>
        <v>0</v>
      </c>
      <c r="F3" s="853"/>
      <c r="G3" s="853" t="s">
        <v>1266</v>
      </c>
      <c r="H3" s="606" t="s">
        <v>1196</v>
      </c>
      <c r="I3" s="127">
        <f>Date</f>
        <v>0</v>
      </c>
      <c r="J3" s="847"/>
      <c r="K3" s="847"/>
      <c r="L3" s="847"/>
      <c r="M3" s="851"/>
      <c r="O3" s="385" t="s">
        <v>983</v>
      </c>
      <c r="W3" s="386" t="s">
        <v>987</v>
      </c>
    </row>
    <row r="4" spans="1:25" ht="10.5" customHeight="1">
      <c r="A4" s="852" t="s">
        <v>6</v>
      </c>
      <c r="B4" s="125">
        <f>'Flows &amp; Isokinetics'!J8</f>
        <v>0</v>
      </c>
      <c r="C4" s="125">
        <f>'Flows &amp; Isokinetics'!K8</f>
        <v>0</v>
      </c>
      <c r="D4" s="126">
        <f>'PM10 &amp; 2.5'!G6</f>
        <v>0</v>
      </c>
      <c r="E4" s="126">
        <f>'PM10 &amp; 2.5'!H6</f>
        <v>0</v>
      </c>
      <c r="F4" s="853"/>
      <c r="G4" s="853" t="s">
        <v>1266</v>
      </c>
      <c r="H4" s="847"/>
      <c r="I4" s="847"/>
      <c r="J4" s="854" t="s">
        <v>8</v>
      </c>
      <c r="K4" s="850" t="s">
        <v>9</v>
      </c>
      <c r="L4" s="847"/>
      <c r="M4" s="851"/>
      <c r="O4" s="385" t="s">
        <v>984</v>
      </c>
      <c r="W4" s="386" t="s">
        <v>914</v>
      </c>
    </row>
    <row r="5" spans="1:25" ht="10.5" customHeight="1">
      <c r="A5" s="852" t="s">
        <v>1283</v>
      </c>
      <c r="B5" s="129">
        <f>IF(ISNUMBER(MeterTempAvg1),MeterTempAvg1,MeterTemp1)</f>
        <v>0</v>
      </c>
      <c r="C5" s="129">
        <f>IF(ISNUMBER(MeterTempAvg2),MeterTempAvg2,MeterTemp2)</f>
        <v>0</v>
      </c>
      <c r="D5" s="129" t="e">
        <f>IF(ISNUMBER(MeterTempAvg3),MeterTempAvg3,MeterTempAvg3)</f>
        <v>#DIV/0!</v>
      </c>
      <c r="E5" s="129" t="e">
        <f>IF(ISNUMBER(MeterTempAvg4),MeterTempAvg4,MeterTempAvg4)</f>
        <v>#DIV/0!</v>
      </c>
      <c r="F5" s="853"/>
      <c r="G5" s="853" t="str">
        <f>TU</f>
        <v>°C</v>
      </c>
      <c r="H5" s="847"/>
      <c r="I5" s="606" t="s">
        <v>1292</v>
      </c>
      <c r="J5" s="128" t="e">
        <f>AverageStackTemp1</f>
        <v>#DIV/0!</v>
      </c>
      <c r="K5" s="128" t="e">
        <f>AverageStackTemp2</f>
        <v>#DIV/0!</v>
      </c>
      <c r="L5" s="847"/>
      <c r="M5" s="855" t="str">
        <f>TU</f>
        <v>°C</v>
      </c>
      <c r="O5" s="385" t="s">
        <v>982</v>
      </c>
      <c r="W5" s="386" t="s">
        <v>988</v>
      </c>
    </row>
    <row r="6" spans="1:25" ht="10.5" customHeight="1">
      <c r="A6" s="852" t="s">
        <v>7</v>
      </c>
      <c r="B6" s="129">
        <f>IF(ISNUMBER(B3),B4-B3,"")</f>
        <v>0</v>
      </c>
      <c r="C6" s="129">
        <f>IF(ISNUMBER(C3),C4-C3,"")</f>
        <v>0</v>
      </c>
      <c r="D6" s="129">
        <f>IF(ISNUMBER(D3),D4-D3,"")</f>
        <v>0</v>
      </c>
      <c r="E6" s="129">
        <f>IF(ISNUMBER(E3),E4-E3,"")</f>
        <v>0</v>
      </c>
      <c r="F6" s="847"/>
      <c r="G6" s="847" t="s">
        <v>1266</v>
      </c>
      <c r="H6" s="847"/>
      <c r="I6" s="606" t="s">
        <v>1276</v>
      </c>
      <c r="J6" s="672" t="e">
        <f>AverageFlowDry1</f>
        <v>#DIV/0!</v>
      </c>
      <c r="K6" s="672" t="e">
        <f>AverageFlowDry2</f>
        <v>#DIV/0!</v>
      </c>
      <c r="L6" s="847"/>
      <c r="M6" s="856" t="str">
        <f>FU</f>
        <v>m³/min</v>
      </c>
      <c r="W6" s="386" t="s">
        <v>1049</v>
      </c>
    </row>
    <row r="7" spans="1:25" ht="10.5" customHeight="1" thickBot="1">
      <c r="A7" s="857" t="str">
        <f>NTPSTP&amp;" volume"</f>
        <v>STP volume</v>
      </c>
      <c r="B7" s="130" t="e">
        <f>IF(ISNUMBER(B3),B6*(TVC+273.15)/(B5+273.15)*(BaroPress1+MeterPressAvg1*10)/1013.25,"")</f>
        <v>#DIV/0!</v>
      </c>
      <c r="C7" s="130" t="e">
        <f>IF(ISNUMBER(C3),C6*(TVC+273.15)/(C5+273.15)*(BaroPress2+MeterPressAvg2*10)/1013.25,"")</f>
        <v>#VALUE!</v>
      </c>
      <c r="D7" s="130" t="e">
        <f>IF(ISNUMBER(D3),D6*(TVC+273.15)/(D5+273.15)*(BaroPress3+MeterPressAvg3*10)/1013.25,"")</f>
        <v>#DIV/0!</v>
      </c>
      <c r="E7" s="130" t="e">
        <f>IF(ISNUMBER(E3),E6*(TVC+273.15)/(E5+273.15)*(BaroPress4+MeterPressAvg4*10)/1013.25,"")</f>
        <v>#DIV/0!</v>
      </c>
      <c r="F7" s="858"/>
      <c r="G7" s="858" t="s">
        <v>1266</v>
      </c>
      <c r="H7" s="858"/>
      <c r="I7" s="859" t="s">
        <v>493</v>
      </c>
      <c r="J7" s="671" t="e">
        <f>IF(VolumeNTP1="",VolumeNTP3,VolumeNTP1)</f>
        <v>#N/A</v>
      </c>
      <c r="K7" s="671" t="e">
        <f>IF(VolumeNTP2="",VolumeNTP4,VolumeNTP2)</f>
        <v>#N/A</v>
      </c>
      <c r="L7" s="847"/>
      <c r="M7" s="860" t="s">
        <v>1266</v>
      </c>
      <c r="W7" s="386" t="s">
        <v>1050</v>
      </c>
    </row>
    <row r="8" spans="1:25" ht="12.75" customHeight="1" thickBot="1">
      <c r="A8" s="861"/>
      <c r="B8" s="2795" t="s">
        <v>8</v>
      </c>
      <c r="C8" s="2795"/>
      <c r="D8" s="2795"/>
      <c r="E8" s="2795"/>
      <c r="F8" s="2795"/>
      <c r="G8" s="862"/>
      <c r="H8" s="2795" t="s">
        <v>9</v>
      </c>
      <c r="I8" s="2795"/>
      <c r="J8" s="2795"/>
      <c r="K8" s="2795"/>
      <c r="L8" s="2795"/>
      <c r="M8" s="863"/>
      <c r="N8" s="864"/>
      <c r="O8" s="2797" t="s">
        <v>1242</v>
      </c>
      <c r="P8" s="2797"/>
      <c r="Q8" s="2797"/>
      <c r="R8" s="2797"/>
      <c r="S8" s="2797"/>
      <c r="T8" s="2797"/>
      <c r="U8" s="864"/>
    </row>
    <row r="9" spans="1:25" ht="10.5" customHeight="1">
      <c r="A9" s="865" t="s">
        <v>951</v>
      </c>
      <c r="B9" s="866"/>
      <c r="C9" s="867" t="s">
        <v>323</v>
      </c>
      <c r="D9" s="963" t="s">
        <v>988</v>
      </c>
      <c r="E9" s="867" t="s">
        <v>1371</v>
      </c>
      <c r="F9" s="868" t="s">
        <v>97</v>
      </c>
      <c r="G9" s="867" t="s">
        <v>1329</v>
      </c>
      <c r="H9" s="866"/>
      <c r="I9" s="867" t="s">
        <v>323</v>
      </c>
      <c r="J9" s="964" t="str">
        <f>$D9</f>
        <v>I-TEQ</v>
      </c>
      <c r="K9" s="867" t="s">
        <v>1371</v>
      </c>
      <c r="L9" s="868" t="s">
        <v>97</v>
      </c>
      <c r="M9" s="869" t="s">
        <v>1329</v>
      </c>
      <c r="O9" s="870"/>
      <c r="P9" s="867" t="s">
        <v>323</v>
      </c>
      <c r="Q9" s="964" t="str">
        <f>$D9</f>
        <v>I-TEQ</v>
      </c>
      <c r="R9" s="867" t="s">
        <v>1371</v>
      </c>
      <c r="S9" s="868" t="s">
        <v>97</v>
      </c>
      <c r="T9" s="869" t="s">
        <v>1329</v>
      </c>
      <c r="W9" s="965" t="s">
        <v>985</v>
      </c>
      <c r="X9" s="965" t="s">
        <v>1051</v>
      </c>
      <c r="Y9" s="965" t="s">
        <v>1052</v>
      </c>
    </row>
    <row r="10" spans="1:25" ht="10.5" customHeight="1">
      <c r="A10" s="890"/>
      <c r="B10" s="779" t="s">
        <v>1333</v>
      </c>
      <c r="C10" s="872" t="s">
        <v>944</v>
      </c>
      <c r="D10" s="873" t="str">
        <f>$C10</f>
        <v>pg</v>
      </c>
      <c r="E10" s="872" t="s">
        <v>46</v>
      </c>
      <c r="F10" s="874" t="str">
        <f>$E10</f>
        <v>ng/m³</v>
      </c>
      <c r="G10" s="872" t="s">
        <v>950</v>
      </c>
      <c r="H10" s="779" t="s">
        <v>1333</v>
      </c>
      <c r="I10" s="873" t="str">
        <f>$C10</f>
        <v>pg</v>
      </c>
      <c r="J10" s="873" t="str">
        <f>$C10</f>
        <v>pg</v>
      </c>
      <c r="K10" s="874" t="str">
        <f>$E10</f>
        <v>ng/m³</v>
      </c>
      <c r="L10" s="874" t="str">
        <f>$E10</f>
        <v>ng/m³</v>
      </c>
      <c r="M10" s="875" t="str">
        <f>$G10</f>
        <v>ng/min</v>
      </c>
      <c r="O10" s="778" t="s">
        <v>1333</v>
      </c>
      <c r="P10" s="873" t="str">
        <f>$C10</f>
        <v>pg</v>
      </c>
      <c r="Q10" s="873" t="str">
        <f>$C10</f>
        <v>pg</v>
      </c>
      <c r="R10" s="874" t="str">
        <f>$E10</f>
        <v>ng/m³</v>
      </c>
      <c r="S10" s="874" t="str">
        <f>$E10</f>
        <v>ng/m³</v>
      </c>
      <c r="T10" s="875" t="str">
        <f>$G10</f>
        <v>ng/min</v>
      </c>
      <c r="Y10" s="385"/>
    </row>
    <row r="11" spans="1:25" ht="10.5" hidden="1" customHeight="1">
      <c r="A11" s="890"/>
      <c r="B11" s="876"/>
      <c r="C11" s="823">
        <f>VLOOKUP(C10,MassTable,2,FALSE)</f>
        <v>1000000000000</v>
      </c>
      <c r="D11" s="873"/>
      <c r="E11" s="823">
        <f>VLOOKUP(E10,ConcTable,2,FALSE)</f>
        <v>1000000000000</v>
      </c>
      <c r="F11" s="873"/>
      <c r="G11" s="823">
        <f>VLOOKUP(G10,MassRateTable,2,FALSE)</f>
        <v>60000000000</v>
      </c>
      <c r="H11" s="876"/>
      <c r="I11" s="877"/>
      <c r="J11" s="877"/>
      <c r="K11" s="877"/>
      <c r="L11" s="873"/>
      <c r="M11" s="875"/>
      <c r="O11" s="871"/>
      <c r="P11" s="877"/>
      <c r="Q11" s="877"/>
      <c r="R11" s="877"/>
      <c r="S11" s="873"/>
      <c r="T11" s="875"/>
      <c r="V11" s="891"/>
      <c r="W11" s="879"/>
      <c r="X11" s="883"/>
      <c r="Y11" s="883"/>
    </row>
    <row r="12" spans="1:25" ht="10.5" customHeight="1">
      <c r="A12" s="880" t="s">
        <v>952</v>
      </c>
      <c r="B12" s="881"/>
      <c r="C12" s="881"/>
      <c r="D12" s="142" t="str">
        <f>IF(C12="","",IF($D$9="I-TEQ",C12*$W12,IF($D$9="WHO98-TEQ",C12*$X12,C12*$Y12)))</f>
        <v/>
      </c>
      <c r="E12" s="142" t="str">
        <f t="shared" ref="E12:E28" si="0">IF(D12="","",D12/VolumeD1/$C$11/VoF*$E$11)</f>
        <v/>
      </c>
      <c r="F12" s="142" t="str">
        <f t="shared" ref="F12:F40" si="1">IF(E12="","",E12*O2correction*CO2correction)</f>
        <v/>
      </c>
      <c r="G12" s="142" t="str">
        <f t="shared" ref="G12:G37" si="2">IF(E12="","",E12*AverageFlowDry1/$E$11/FF*$G$11*1000)</f>
        <v/>
      </c>
      <c r="H12" s="881"/>
      <c r="I12" s="881"/>
      <c r="J12" s="142" t="str">
        <f>IF(I12="","",IF($D$9="I-TEQ",I12*$W12,IF($D$9="WHO98-TEQ",I12*$X12,I12*$Y12)))</f>
        <v/>
      </c>
      <c r="K12" s="142" t="str">
        <f t="shared" ref="K12:K28" si="3">IF(J12="","",J12/VolumeD2/$C$11/VoF*$E$11)</f>
        <v/>
      </c>
      <c r="L12" s="142" t="str">
        <f t="shared" ref="L12:L37" si="4">IF(K12="","",K12*O2correction*CO2correction)</f>
        <v/>
      </c>
      <c r="M12" s="143" t="str">
        <f t="shared" ref="M12:M37" si="5">IF(K12="","",K12*AverageFlowDry2/$E$11/FF*$G$11*1000)</f>
        <v/>
      </c>
      <c r="O12" s="889" t="str">
        <f>IF(AND(ISTEXT(B12),ISTEXT(H12)),"&lt;",IF(OR(ISTEXT(B12),ISTEXT(H12)),"≤",""))</f>
        <v/>
      </c>
      <c r="P12" s="138">
        <f>IF(AND(ISNUMBER(C12),ISNUMBER(I12)),AVERAGE(C12,I12),C12)</f>
        <v>0</v>
      </c>
      <c r="Q12" s="138" t="str">
        <f>IF(AND(ISNUMBER(D12),ISNUMBER(J12)),AVERAGE(D12,J12),D12)</f>
        <v/>
      </c>
      <c r="R12" s="138" t="str">
        <f>IF(AND(ISNUMBER(E12),ISNUMBER(K12)),AVERAGE(E12,K12),E12)</f>
        <v/>
      </c>
      <c r="S12" s="138" t="str">
        <f>IF(AND(ISNUMBER(F12),ISNUMBER(L12)),AVERAGE(F12,L12),F12)</f>
        <v/>
      </c>
      <c r="T12" s="139" t="str">
        <f>IF(AND(ISNUMBER(G12),ISNUMBER(M12)),AVERAGE(G12,M12),G12)</f>
        <v/>
      </c>
      <c r="U12" s="1045">
        <v>1</v>
      </c>
      <c r="V12" s="882" t="str">
        <f>A12</f>
        <v>2,3,7,8-TCDF</v>
      </c>
      <c r="W12" s="883">
        <v>0.1</v>
      </c>
      <c r="X12" s="883">
        <v>0.1</v>
      </c>
      <c r="Y12" s="883">
        <v>0.1</v>
      </c>
    </row>
    <row r="13" spans="1:25" ht="10.5" customHeight="1">
      <c r="A13" s="880" t="s">
        <v>953</v>
      </c>
      <c r="B13" s="881"/>
      <c r="C13" s="881"/>
      <c r="D13" s="142" t="str">
        <f t="shared" ref="D13:D28" si="6">IF(C13="","",IF($D$9="I-TEQ",C13*$W13,IF($D$9="WHO98-TEQ",C13*$X13,C13*$Y13)))</f>
        <v/>
      </c>
      <c r="E13" s="142" t="str">
        <f t="shared" si="0"/>
        <v/>
      </c>
      <c r="F13" s="142" t="str">
        <f t="shared" si="1"/>
        <v/>
      </c>
      <c r="G13" s="142" t="str">
        <f t="shared" si="2"/>
        <v/>
      </c>
      <c r="H13" s="881"/>
      <c r="I13" s="881"/>
      <c r="J13" s="142" t="str">
        <f t="shared" ref="J13:J28" si="7">IF(I13="","",IF($D$9="I-TEQ",I13*$W13,IF($D$9="WHO98-TEQ",I13*$X13,I13*$Y13)))</f>
        <v/>
      </c>
      <c r="K13" s="142" t="str">
        <f t="shared" si="3"/>
        <v/>
      </c>
      <c r="L13" s="142" t="str">
        <f t="shared" si="4"/>
        <v/>
      </c>
      <c r="M13" s="143" t="str">
        <f t="shared" si="5"/>
        <v/>
      </c>
      <c r="O13" s="889" t="str">
        <f t="shared" ref="O13:O40" si="8">IF(AND(ISTEXT(B13),ISTEXT(H13)),"&lt;",IF(OR(ISTEXT(B13),ISTEXT(H13)),"≤",""))</f>
        <v/>
      </c>
      <c r="P13" s="138">
        <f t="shared" ref="P13:P40" si="9">IF(AND(ISNUMBER(C13),ISNUMBER(I13)),AVERAGE(C13,I13),C13)</f>
        <v>0</v>
      </c>
      <c r="Q13" s="138" t="str">
        <f t="shared" ref="Q13:Q28" si="10">IF(AND(ISNUMBER(D13),ISNUMBER(J13)),AVERAGE(D13,J13),D13)</f>
        <v/>
      </c>
      <c r="R13" s="138" t="str">
        <f t="shared" ref="R13:R37" si="11">IF(AND(ISNUMBER(E13),ISNUMBER(K13)),AVERAGE(E13,K13),E13)</f>
        <v/>
      </c>
      <c r="S13" s="138" t="str">
        <f t="shared" ref="S13:S37" si="12">IF(AND(ISNUMBER(F13),ISNUMBER(L13)),AVERAGE(F13,L13),F13)</f>
        <v/>
      </c>
      <c r="T13" s="139" t="str">
        <f t="shared" ref="T13:T37" si="13">IF(AND(ISNUMBER(G13),ISNUMBER(M13)),AVERAGE(G13,M13),G13)</f>
        <v/>
      </c>
      <c r="U13" s="1045">
        <v>2</v>
      </c>
      <c r="V13" s="882" t="str">
        <f t="shared" ref="V13:V37" si="14">A13</f>
        <v>2,3,7,8-TCDD</v>
      </c>
      <c r="W13" s="883">
        <v>1</v>
      </c>
      <c r="X13" s="883">
        <v>1</v>
      </c>
      <c r="Y13" s="883">
        <v>1</v>
      </c>
    </row>
    <row r="14" spans="1:25" ht="10.5" customHeight="1">
      <c r="A14" s="880" t="s">
        <v>954</v>
      </c>
      <c r="B14" s="881"/>
      <c r="C14" s="881"/>
      <c r="D14" s="142" t="str">
        <f t="shared" si="6"/>
        <v/>
      </c>
      <c r="E14" s="142" t="str">
        <f t="shared" si="0"/>
        <v/>
      </c>
      <c r="F14" s="142" t="str">
        <f t="shared" si="1"/>
        <v/>
      </c>
      <c r="G14" s="142" t="str">
        <f t="shared" si="2"/>
        <v/>
      </c>
      <c r="H14" s="881"/>
      <c r="I14" s="881"/>
      <c r="J14" s="142" t="str">
        <f t="shared" si="7"/>
        <v/>
      </c>
      <c r="K14" s="142" t="str">
        <f t="shared" si="3"/>
        <v/>
      </c>
      <c r="L14" s="142" t="str">
        <f t="shared" si="4"/>
        <v/>
      </c>
      <c r="M14" s="143" t="str">
        <f t="shared" si="5"/>
        <v/>
      </c>
      <c r="O14" s="889" t="str">
        <f t="shared" si="8"/>
        <v/>
      </c>
      <c r="P14" s="138">
        <f t="shared" si="9"/>
        <v>0</v>
      </c>
      <c r="Q14" s="138" t="str">
        <f t="shared" si="10"/>
        <v/>
      </c>
      <c r="R14" s="138" t="str">
        <f t="shared" si="11"/>
        <v/>
      </c>
      <c r="S14" s="138" t="str">
        <f t="shared" si="12"/>
        <v/>
      </c>
      <c r="T14" s="139" t="str">
        <f t="shared" si="13"/>
        <v/>
      </c>
      <c r="U14" s="1045">
        <v>3</v>
      </c>
      <c r="V14" s="882" t="str">
        <f t="shared" si="14"/>
        <v>1,2,3,7,8-PeCDF</v>
      </c>
      <c r="W14" s="883">
        <v>0.05</v>
      </c>
      <c r="X14" s="883">
        <v>0.05</v>
      </c>
      <c r="Y14" s="883">
        <v>0.03</v>
      </c>
    </row>
    <row r="15" spans="1:25" ht="10.5" customHeight="1">
      <c r="A15" s="880" t="s">
        <v>956</v>
      </c>
      <c r="B15" s="881"/>
      <c r="C15" s="881"/>
      <c r="D15" s="142" t="str">
        <f t="shared" si="6"/>
        <v/>
      </c>
      <c r="E15" s="142" t="str">
        <f t="shared" si="0"/>
        <v/>
      </c>
      <c r="F15" s="142" t="str">
        <f t="shared" si="1"/>
        <v/>
      </c>
      <c r="G15" s="142" t="str">
        <f t="shared" si="2"/>
        <v/>
      </c>
      <c r="H15" s="881"/>
      <c r="I15" s="881"/>
      <c r="J15" s="142" t="str">
        <f t="shared" si="7"/>
        <v/>
      </c>
      <c r="K15" s="142" t="str">
        <f t="shared" si="3"/>
        <v/>
      </c>
      <c r="L15" s="142" t="str">
        <f t="shared" si="4"/>
        <v/>
      </c>
      <c r="M15" s="143" t="str">
        <f t="shared" si="5"/>
        <v/>
      </c>
      <c r="O15" s="889" t="str">
        <f t="shared" si="8"/>
        <v/>
      </c>
      <c r="P15" s="138">
        <f t="shared" si="9"/>
        <v>0</v>
      </c>
      <c r="Q15" s="138" t="str">
        <f t="shared" si="10"/>
        <v/>
      </c>
      <c r="R15" s="138" t="str">
        <f t="shared" si="11"/>
        <v/>
      </c>
      <c r="S15" s="138" t="str">
        <f t="shared" si="12"/>
        <v/>
      </c>
      <c r="T15" s="139" t="str">
        <f t="shared" si="13"/>
        <v/>
      </c>
      <c r="U15" s="1045">
        <v>4</v>
      </c>
      <c r="V15" s="882" t="str">
        <f t="shared" si="14"/>
        <v>2,3,4,7,8-PeCDF</v>
      </c>
      <c r="W15" s="883">
        <v>0.5</v>
      </c>
      <c r="X15" s="883">
        <v>0.5</v>
      </c>
      <c r="Y15" s="883">
        <v>0.3</v>
      </c>
    </row>
    <row r="16" spans="1:25" ht="10.5" customHeight="1">
      <c r="A16" s="880" t="s">
        <v>955</v>
      </c>
      <c r="B16" s="881"/>
      <c r="C16" s="881"/>
      <c r="D16" s="142" t="str">
        <f t="shared" si="6"/>
        <v/>
      </c>
      <c r="E16" s="142" t="str">
        <f t="shared" si="0"/>
        <v/>
      </c>
      <c r="F16" s="142" t="str">
        <f t="shared" si="1"/>
        <v/>
      </c>
      <c r="G16" s="142" t="str">
        <f t="shared" si="2"/>
        <v/>
      </c>
      <c r="H16" s="881"/>
      <c r="I16" s="881"/>
      <c r="J16" s="142" t="str">
        <f t="shared" si="7"/>
        <v/>
      </c>
      <c r="K16" s="142" t="str">
        <f t="shared" si="3"/>
        <v/>
      </c>
      <c r="L16" s="142" t="str">
        <f t="shared" si="4"/>
        <v/>
      </c>
      <c r="M16" s="143" t="str">
        <f t="shared" si="5"/>
        <v/>
      </c>
      <c r="O16" s="889" t="str">
        <f t="shared" si="8"/>
        <v/>
      </c>
      <c r="P16" s="138">
        <f t="shared" si="9"/>
        <v>0</v>
      </c>
      <c r="Q16" s="138" t="str">
        <f t="shared" si="10"/>
        <v/>
      </c>
      <c r="R16" s="138" t="str">
        <f t="shared" si="11"/>
        <v/>
      </c>
      <c r="S16" s="138" t="str">
        <f t="shared" si="12"/>
        <v/>
      </c>
      <c r="T16" s="139" t="str">
        <f t="shared" si="13"/>
        <v/>
      </c>
      <c r="U16" s="1045">
        <v>5</v>
      </c>
      <c r="V16" s="882" t="str">
        <f t="shared" si="14"/>
        <v>1,2,3,7,8-PeCDD</v>
      </c>
      <c r="W16" s="883">
        <v>0.5</v>
      </c>
      <c r="X16" s="883">
        <v>1</v>
      </c>
      <c r="Y16" s="883">
        <v>1</v>
      </c>
    </row>
    <row r="17" spans="1:25" ht="10.5" customHeight="1">
      <c r="A17" s="880" t="s">
        <v>957</v>
      </c>
      <c r="B17" s="881"/>
      <c r="C17" s="881"/>
      <c r="D17" s="142" t="str">
        <f t="shared" si="6"/>
        <v/>
      </c>
      <c r="E17" s="142" t="str">
        <f t="shared" si="0"/>
        <v/>
      </c>
      <c r="F17" s="142" t="str">
        <f t="shared" si="1"/>
        <v/>
      </c>
      <c r="G17" s="142" t="str">
        <f t="shared" si="2"/>
        <v/>
      </c>
      <c r="H17" s="881"/>
      <c r="I17" s="881"/>
      <c r="J17" s="142" t="str">
        <f t="shared" si="7"/>
        <v/>
      </c>
      <c r="K17" s="142" t="str">
        <f t="shared" si="3"/>
        <v/>
      </c>
      <c r="L17" s="142" t="str">
        <f t="shared" si="4"/>
        <v/>
      </c>
      <c r="M17" s="143" t="str">
        <f t="shared" si="5"/>
        <v/>
      </c>
      <c r="O17" s="889" t="str">
        <f t="shared" si="8"/>
        <v/>
      </c>
      <c r="P17" s="138">
        <f t="shared" si="9"/>
        <v>0</v>
      </c>
      <c r="Q17" s="138" t="str">
        <f t="shared" si="10"/>
        <v/>
      </c>
      <c r="R17" s="138" t="str">
        <f t="shared" si="11"/>
        <v/>
      </c>
      <c r="S17" s="138" t="str">
        <f t="shared" si="12"/>
        <v/>
      </c>
      <c r="T17" s="139" t="str">
        <f t="shared" si="13"/>
        <v/>
      </c>
      <c r="U17" s="1045">
        <v>6</v>
      </c>
      <c r="V17" s="882" t="str">
        <f t="shared" si="14"/>
        <v>1,2,3,4,7,8-HxCDF</v>
      </c>
      <c r="W17" s="883">
        <v>0.1</v>
      </c>
      <c r="X17" s="883">
        <v>0.1</v>
      </c>
      <c r="Y17" s="883">
        <v>0.1</v>
      </c>
    </row>
    <row r="18" spans="1:25" ht="10.5" customHeight="1">
      <c r="A18" s="880" t="s">
        <v>958</v>
      </c>
      <c r="B18" s="881"/>
      <c r="C18" s="881"/>
      <c r="D18" s="142" t="str">
        <f t="shared" si="6"/>
        <v/>
      </c>
      <c r="E18" s="142" t="str">
        <f t="shared" si="0"/>
        <v/>
      </c>
      <c r="F18" s="142" t="str">
        <f t="shared" si="1"/>
        <v/>
      </c>
      <c r="G18" s="142" t="str">
        <f t="shared" si="2"/>
        <v/>
      </c>
      <c r="H18" s="881"/>
      <c r="I18" s="881"/>
      <c r="J18" s="142" t="str">
        <f t="shared" si="7"/>
        <v/>
      </c>
      <c r="K18" s="142" t="str">
        <f t="shared" si="3"/>
        <v/>
      </c>
      <c r="L18" s="142" t="str">
        <f t="shared" si="4"/>
        <v/>
      </c>
      <c r="M18" s="143" t="str">
        <f t="shared" si="5"/>
        <v/>
      </c>
      <c r="O18" s="889" t="str">
        <f t="shared" si="8"/>
        <v/>
      </c>
      <c r="P18" s="138">
        <f t="shared" si="9"/>
        <v>0</v>
      </c>
      <c r="Q18" s="138" t="str">
        <f t="shared" si="10"/>
        <v/>
      </c>
      <c r="R18" s="138" t="str">
        <f t="shared" si="11"/>
        <v/>
      </c>
      <c r="S18" s="138" t="str">
        <f t="shared" si="12"/>
        <v/>
      </c>
      <c r="T18" s="139" t="str">
        <f t="shared" si="13"/>
        <v/>
      </c>
      <c r="U18" s="1045">
        <v>7</v>
      </c>
      <c r="V18" s="882" t="str">
        <f t="shared" si="14"/>
        <v>1,2,3,6,7,8-HxCDF</v>
      </c>
      <c r="W18" s="883">
        <v>0.1</v>
      </c>
      <c r="X18" s="883">
        <v>0.1</v>
      </c>
      <c r="Y18" s="883">
        <v>0.1</v>
      </c>
    </row>
    <row r="19" spans="1:25" ht="10.5" customHeight="1">
      <c r="A19" s="880" t="s">
        <v>959</v>
      </c>
      <c r="B19" s="881"/>
      <c r="C19" s="881"/>
      <c r="D19" s="142" t="str">
        <f t="shared" si="6"/>
        <v/>
      </c>
      <c r="E19" s="142" t="str">
        <f t="shared" si="0"/>
        <v/>
      </c>
      <c r="F19" s="142" t="str">
        <f t="shared" si="1"/>
        <v/>
      </c>
      <c r="G19" s="142" t="str">
        <f t="shared" si="2"/>
        <v/>
      </c>
      <c r="H19" s="881"/>
      <c r="I19" s="881"/>
      <c r="J19" s="142" t="str">
        <f t="shared" si="7"/>
        <v/>
      </c>
      <c r="K19" s="142" t="str">
        <f t="shared" si="3"/>
        <v/>
      </c>
      <c r="L19" s="142" t="str">
        <f t="shared" si="4"/>
        <v/>
      </c>
      <c r="M19" s="143" t="str">
        <f t="shared" si="5"/>
        <v/>
      </c>
      <c r="O19" s="889" t="str">
        <f t="shared" si="8"/>
        <v/>
      </c>
      <c r="P19" s="138">
        <f t="shared" si="9"/>
        <v>0</v>
      </c>
      <c r="Q19" s="138" t="str">
        <f t="shared" si="10"/>
        <v/>
      </c>
      <c r="R19" s="138" t="str">
        <f t="shared" si="11"/>
        <v/>
      </c>
      <c r="S19" s="138" t="str">
        <f t="shared" si="12"/>
        <v/>
      </c>
      <c r="T19" s="139" t="str">
        <f t="shared" si="13"/>
        <v/>
      </c>
      <c r="U19" s="1045">
        <v>8</v>
      </c>
      <c r="V19" s="882" t="str">
        <f t="shared" si="14"/>
        <v>2,3,4,6,7,8-HxCDF</v>
      </c>
      <c r="W19" s="883">
        <v>0.1</v>
      </c>
      <c r="X19" s="883">
        <v>0.1</v>
      </c>
      <c r="Y19" s="883">
        <v>0.1</v>
      </c>
    </row>
    <row r="20" spans="1:25" ht="10.5" customHeight="1">
      <c r="A20" s="880" t="s">
        <v>960</v>
      </c>
      <c r="B20" s="881"/>
      <c r="C20" s="881"/>
      <c r="D20" s="142" t="str">
        <f t="shared" si="6"/>
        <v/>
      </c>
      <c r="E20" s="142" t="str">
        <f t="shared" si="0"/>
        <v/>
      </c>
      <c r="F20" s="142" t="str">
        <f t="shared" si="1"/>
        <v/>
      </c>
      <c r="G20" s="142" t="str">
        <f t="shared" si="2"/>
        <v/>
      </c>
      <c r="H20" s="881"/>
      <c r="I20" s="881"/>
      <c r="J20" s="142" t="str">
        <f t="shared" si="7"/>
        <v/>
      </c>
      <c r="K20" s="142" t="str">
        <f t="shared" si="3"/>
        <v/>
      </c>
      <c r="L20" s="142" t="str">
        <f t="shared" si="4"/>
        <v/>
      </c>
      <c r="M20" s="143" t="str">
        <f t="shared" si="5"/>
        <v/>
      </c>
      <c r="O20" s="889" t="str">
        <f t="shared" si="8"/>
        <v/>
      </c>
      <c r="P20" s="138">
        <f t="shared" si="9"/>
        <v>0</v>
      </c>
      <c r="Q20" s="138" t="str">
        <f t="shared" si="10"/>
        <v/>
      </c>
      <c r="R20" s="138" t="str">
        <f t="shared" si="11"/>
        <v/>
      </c>
      <c r="S20" s="138" t="str">
        <f t="shared" si="12"/>
        <v/>
      </c>
      <c r="T20" s="139" t="str">
        <f t="shared" si="13"/>
        <v/>
      </c>
      <c r="U20" s="1045">
        <v>9</v>
      </c>
      <c r="V20" s="882" t="str">
        <f t="shared" si="14"/>
        <v>1,2,3,7,8,9-HxCDF</v>
      </c>
      <c r="W20" s="883">
        <v>0.1</v>
      </c>
      <c r="X20" s="883">
        <v>0.1</v>
      </c>
      <c r="Y20" s="883">
        <v>0.1</v>
      </c>
    </row>
    <row r="21" spans="1:25" ht="10.5" customHeight="1">
      <c r="A21" s="880" t="s">
        <v>961</v>
      </c>
      <c r="B21" s="881"/>
      <c r="C21" s="881"/>
      <c r="D21" s="142" t="str">
        <f t="shared" si="6"/>
        <v/>
      </c>
      <c r="E21" s="142" t="str">
        <f t="shared" si="0"/>
        <v/>
      </c>
      <c r="F21" s="142" t="str">
        <f t="shared" si="1"/>
        <v/>
      </c>
      <c r="G21" s="142" t="str">
        <f t="shared" si="2"/>
        <v/>
      </c>
      <c r="H21" s="881"/>
      <c r="I21" s="881"/>
      <c r="J21" s="142" t="str">
        <f t="shared" si="7"/>
        <v/>
      </c>
      <c r="K21" s="142" t="str">
        <f t="shared" si="3"/>
        <v/>
      </c>
      <c r="L21" s="142" t="str">
        <f t="shared" si="4"/>
        <v/>
      </c>
      <c r="M21" s="143" t="str">
        <f t="shared" si="5"/>
        <v/>
      </c>
      <c r="O21" s="889" t="str">
        <f t="shared" si="8"/>
        <v/>
      </c>
      <c r="P21" s="138">
        <f t="shared" si="9"/>
        <v>0</v>
      </c>
      <c r="Q21" s="138" t="str">
        <f t="shared" si="10"/>
        <v/>
      </c>
      <c r="R21" s="138" t="str">
        <f t="shared" si="11"/>
        <v/>
      </c>
      <c r="S21" s="138" t="str">
        <f t="shared" si="12"/>
        <v/>
      </c>
      <c r="T21" s="139" t="str">
        <f t="shared" si="13"/>
        <v/>
      </c>
      <c r="U21" s="1045">
        <v>10</v>
      </c>
      <c r="V21" s="882" t="str">
        <f t="shared" si="14"/>
        <v>1,2,3,4,7,8-HxCDD</v>
      </c>
      <c r="W21" s="883">
        <v>0.1</v>
      </c>
      <c r="X21" s="883">
        <v>0.1</v>
      </c>
      <c r="Y21" s="883">
        <v>0.1</v>
      </c>
    </row>
    <row r="22" spans="1:25" ht="10.5" customHeight="1">
      <c r="A22" s="880" t="s">
        <v>962</v>
      </c>
      <c r="B22" s="881"/>
      <c r="C22" s="881"/>
      <c r="D22" s="142" t="str">
        <f t="shared" si="6"/>
        <v/>
      </c>
      <c r="E22" s="142" t="str">
        <f t="shared" si="0"/>
        <v/>
      </c>
      <c r="F22" s="142" t="str">
        <f t="shared" si="1"/>
        <v/>
      </c>
      <c r="G22" s="142" t="str">
        <f t="shared" si="2"/>
        <v/>
      </c>
      <c r="H22" s="881"/>
      <c r="I22" s="881"/>
      <c r="J22" s="142" t="str">
        <f t="shared" si="7"/>
        <v/>
      </c>
      <c r="K22" s="142" t="str">
        <f t="shared" si="3"/>
        <v/>
      </c>
      <c r="L22" s="142" t="str">
        <f t="shared" si="4"/>
        <v/>
      </c>
      <c r="M22" s="143" t="str">
        <f t="shared" si="5"/>
        <v/>
      </c>
      <c r="O22" s="889" t="str">
        <f t="shared" si="8"/>
        <v/>
      </c>
      <c r="P22" s="138">
        <f t="shared" si="9"/>
        <v>0</v>
      </c>
      <c r="Q22" s="138" t="str">
        <f t="shared" si="10"/>
        <v/>
      </c>
      <c r="R22" s="138" t="str">
        <f t="shared" si="11"/>
        <v/>
      </c>
      <c r="S22" s="138" t="str">
        <f t="shared" si="12"/>
        <v/>
      </c>
      <c r="T22" s="139" t="str">
        <f t="shared" si="13"/>
        <v/>
      </c>
      <c r="U22" s="1045">
        <v>11</v>
      </c>
      <c r="V22" s="882" t="str">
        <f t="shared" si="14"/>
        <v>1,2,3,6,7,8-HxCDD</v>
      </c>
      <c r="W22" s="883">
        <v>0.1</v>
      </c>
      <c r="X22" s="883">
        <v>0.1</v>
      </c>
      <c r="Y22" s="883">
        <v>0.1</v>
      </c>
    </row>
    <row r="23" spans="1:25" ht="10.5" customHeight="1">
      <c r="A23" s="880" t="s">
        <v>963</v>
      </c>
      <c r="B23" s="881"/>
      <c r="C23" s="881"/>
      <c r="D23" s="142" t="str">
        <f t="shared" si="6"/>
        <v/>
      </c>
      <c r="E23" s="142" t="str">
        <f t="shared" si="0"/>
        <v/>
      </c>
      <c r="F23" s="142" t="str">
        <f t="shared" si="1"/>
        <v/>
      </c>
      <c r="G23" s="142" t="str">
        <f t="shared" si="2"/>
        <v/>
      </c>
      <c r="H23" s="881"/>
      <c r="I23" s="881"/>
      <c r="J23" s="142" t="str">
        <f t="shared" si="7"/>
        <v/>
      </c>
      <c r="K23" s="142" t="str">
        <f t="shared" si="3"/>
        <v/>
      </c>
      <c r="L23" s="142" t="str">
        <f t="shared" si="4"/>
        <v/>
      </c>
      <c r="M23" s="143" t="str">
        <f t="shared" si="5"/>
        <v/>
      </c>
      <c r="O23" s="889" t="str">
        <f t="shared" si="8"/>
        <v/>
      </c>
      <c r="P23" s="138">
        <f t="shared" si="9"/>
        <v>0</v>
      </c>
      <c r="Q23" s="138" t="str">
        <f t="shared" si="10"/>
        <v/>
      </c>
      <c r="R23" s="138" t="str">
        <f t="shared" si="11"/>
        <v/>
      </c>
      <c r="S23" s="138" t="str">
        <f t="shared" si="12"/>
        <v/>
      </c>
      <c r="T23" s="139" t="str">
        <f t="shared" si="13"/>
        <v/>
      </c>
      <c r="U23" s="1045">
        <v>12</v>
      </c>
      <c r="V23" s="882" t="str">
        <f t="shared" si="14"/>
        <v>1,2,3,7,8,9-HxCDD</v>
      </c>
      <c r="W23" s="883">
        <v>0.1</v>
      </c>
      <c r="X23" s="883">
        <v>0.1</v>
      </c>
      <c r="Y23" s="883">
        <v>0.1</v>
      </c>
    </row>
    <row r="24" spans="1:25" ht="10.5" customHeight="1">
      <c r="A24" s="880" t="s">
        <v>964</v>
      </c>
      <c r="B24" s="881"/>
      <c r="C24" s="881"/>
      <c r="D24" s="142" t="str">
        <f t="shared" si="6"/>
        <v/>
      </c>
      <c r="E24" s="142" t="str">
        <f t="shared" si="0"/>
        <v/>
      </c>
      <c r="F24" s="142" t="str">
        <f t="shared" si="1"/>
        <v/>
      </c>
      <c r="G24" s="142" t="str">
        <f t="shared" si="2"/>
        <v/>
      </c>
      <c r="H24" s="881"/>
      <c r="I24" s="881"/>
      <c r="J24" s="142" t="str">
        <f t="shared" si="7"/>
        <v/>
      </c>
      <c r="K24" s="142" t="str">
        <f t="shared" si="3"/>
        <v/>
      </c>
      <c r="L24" s="142" t="str">
        <f t="shared" si="4"/>
        <v/>
      </c>
      <c r="M24" s="143" t="str">
        <f t="shared" si="5"/>
        <v/>
      </c>
      <c r="O24" s="889" t="str">
        <f t="shared" si="8"/>
        <v/>
      </c>
      <c r="P24" s="138">
        <f t="shared" si="9"/>
        <v>0</v>
      </c>
      <c r="Q24" s="138" t="str">
        <f t="shared" si="10"/>
        <v/>
      </c>
      <c r="R24" s="138" t="str">
        <f t="shared" si="11"/>
        <v/>
      </c>
      <c r="S24" s="138" t="str">
        <f t="shared" si="12"/>
        <v/>
      </c>
      <c r="T24" s="139" t="str">
        <f t="shared" si="13"/>
        <v/>
      </c>
      <c r="U24" s="1045">
        <v>13</v>
      </c>
      <c r="V24" s="882" t="str">
        <f t="shared" si="14"/>
        <v>1,2,3,4,6,7,8-HpCDF</v>
      </c>
      <c r="W24" s="883">
        <v>0.01</v>
      </c>
      <c r="X24" s="883">
        <v>0.01</v>
      </c>
      <c r="Y24" s="883">
        <v>0.01</v>
      </c>
    </row>
    <row r="25" spans="1:25" ht="10.5" customHeight="1">
      <c r="A25" s="880" t="s">
        <v>965</v>
      </c>
      <c r="B25" s="881"/>
      <c r="C25" s="881"/>
      <c r="D25" s="142" t="str">
        <f t="shared" si="6"/>
        <v/>
      </c>
      <c r="E25" s="142" t="str">
        <f t="shared" si="0"/>
        <v/>
      </c>
      <c r="F25" s="142" t="str">
        <f t="shared" si="1"/>
        <v/>
      </c>
      <c r="G25" s="142" t="str">
        <f t="shared" si="2"/>
        <v/>
      </c>
      <c r="H25" s="881"/>
      <c r="I25" s="881"/>
      <c r="J25" s="142" t="str">
        <f t="shared" si="7"/>
        <v/>
      </c>
      <c r="K25" s="142" t="str">
        <f t="shared" si="3"/>
        <v/>
      </c>
      <c r="L25" s="142" t="str">
        <f t="shared" si="4"/>
        <v/>
      </c>
      <c r="M25" s="143" t="str">
        <f t="shared" si="5"/>
        <v/>
      </c>
      <c r="O25" s="889" t="str">
        <f t="shared" si="8"/>
        <v/>
      </c>
      <c r="P25" s="138">
        <f t="shared" si="9"/>
        <v>0</v>
      </c>
      <c r="Q25" s="138" t="str">
        <f t="shared" si="10"/>
        <v/>
      </c>
      <c r="R25" s="138" t="str">
        <f t="shared" si="11"/>
        <v/>
      </c>
      <c r="S25" s="138" t="str">
        <f t="shared" si="12"/>
        <v/>
      </c>
      <c r="T25" s="139" t="str">
        <f t="shared" si="13"/>
        <v/>
      </c>
      <c r="U25" s="1045">
        <v>14</v>
      </c>
      <c r="V25" s="882" t="str">
        <f t="shared" si="14"/>
        <v>1,2,3,4,7,8,9-HpCDF</v>
      </c>
      <c r="W25" s="883">
        <v>0.01</v>
      </c>
      <c r="X25" s="883">
        <v>0.01</v>
      </c>
      <c r="Y25" s="883">
        <v>0.01</v>
      </c>
    </row>
    <row r="26" spans="1:25" ht="10.5" customHeight="1">
      <c r="A26" s="880" t="s">
        <v>966</v>
      </c>
      <c r="B26" s="881"/>
      <c r="C26" s="881"/>
      <c r="D26" s="142" t="str">
        <f t="shared" si="6"/>
        <v/>
      </c>
      <c r="E26" s="142" t="str">
        <f t="shared" si="0"/>
        <v/>
      </c>
      <c r="F26" s="142" t="str">
        <f t="shared" si="1"/>
        <v/>
      </c>
      <c r="G26" s="142" t="str">
        <f t="shared" si="2"/>
        <v/>
      </c>
      <c r="H26" s="881"/>
      <c r="I26" s="881"/>
      <c r="J26" s="142" t="str">
        <f t="shared" si="7"/>
        <v/>
      </c>
      <c r="K26" s="142" t="str">
        <f t="shared" si="3"/>
        <v/>
      </c>
      <c r="L26" s="142" t="str">
        <f t="shared" si="4"/>
        <v/>
      </c>
      <c r="M26" s="143" t="str">
        <f t="shared" si="5"/>
        <v/>
      </c>
      <c r="O26" s="889" t="str">
        <f t="shared" si="8"/>
        <v/>
      </c>
      <c r="P26" s="138">
        <f t="shared" si="9"/>
        <v>0</v>
      </c>
      <c r="Q26" s="138" t="str">
        <f t="shared" si="10"/>
        <v/>
      </c>
      <c r="R26" s="138" t="str">
        <f t="shared" si="11"/>
        <v/>
      </c>
      <c r="S26" s="138" t="str">
        <f t="shared" si="12"/>
        <v/>
      </c>
      <c r="T26" s="139" t="str">
        <f t="shared" si="13"/>
        <v/>
      </c>
      <c r="U26" s="1045">
        <v>15</v>
      </c>
      <c r="V26" s="882" t="str">
        <f t="shared" si="14"/>
        <v>1,2,3,4,6,7,8-HpCDD</v>
      </c>
      <c r="W26" s="883">
        <v>0.01</v>
      </c>
      <c r="X26" s="883">
        <v>0.01</v>
      </c>
      <c r="Y26" s="883">
        <v>0.01</v>
      </c>
    </row>
    <row r="27" spans="1:25" ht="10.5" customHeight="1">
      <c r="A27" s="880" t="s">
        <v>967</v>
      </c>
      <c r="B27" s="881"/>
      <c r="C27" s="881"/>
      <c r="D27" s="142" t="str">
        <f t="shared" si="6"/>
        <v/>
      </c>
      <c r="E27" s="142" t="str">
        <f t="shared" si="0"/>
        <v/>
      </c>
      <c r="F27" s="142" t="str">
        <f t="shared" si="1"/>
        <v/>
      </c>
      <c r="G27" s="142" t="str">
        <f t="shared" si="2"/>
        <v/>
      </c>
      <c r="H27" s="881"/>
      <c r="I27" s="881"/>
      <c r="J27" s="142" t="str">
        <f t="shared" si="7"/>
        <v/>
      </c>
      <c r="K27" s="142" t="str">
        <f t="shared" si="3"/>
        <v/>
      </c>
      <c r="L27" s="142" t="str">
        <f t="shared" si="4"/>
        <v/>
      </c>
      <c r="M27" s="143" t="str">
        <f t="shared" si="5"/>
        <v/>
      </c>
      <c r="O27" s="889" t="str">
        <f t="shared" si="8"/>
        <v/>
      </c>
      <c r="P27" s="138">
        <f t="shared" si="9"/>
        <v>0</v>
      </c>
      <c r="Q27" s="138" t="str">
        <f t="shared" si="10"/>
        <v/>
      </c>
      <c r="R27" s="138" t="str">
        <f t="shared" si="11"/>
        <v/>
      </c>
      <c r="S27" s="138" t="str">
        <f t="shared" si="12"/>
        <v/>
      </c>
      <c r="T27" s="139" t="str">
        <f t="shared" si="13"/>
        <v/>
      </c>
      <c r="U27" s="1045">
        <v>16</v>
      </c>
      <c r="V27" s="882" t="str">
        <f t="shared" si="14"/>
        <v>OCDF</v>
      </c>
      <c r="W27" s="883">
        <v>1E-3</v>
      </c>
      <c r="X27" s="883">
        <v>1E-4</v>
      </c>
      <c r="Y27" s="883">
        <v>2.9999999999999997E-4</v>
      </c>
    </row>
    <row r="28" spans="1:25" ht="10.5" customHeight="1">
      <c r="A28" s="880" t="s">
        <v>968</v>
      </c>
      <c r="B28" s="881"/>
      <c r="C28" s="881"/>
      <c r="D28" s="142" t="str">
        <f t="shared" si="6"/>
        <v/>
      </c>
      <c r="E28" s="142" t="str">
        <f t="shared" si="0"/>
        <v/>
      </c>
      <c r="F28" s="142" t="str">
        <f t="shared" si="1"/>
        <v/>
      </c>
      <c r="G28" s="142" t="str">
        <f t="shared" si="2"/>
        <v/>
      </c>
      <c r="H28" s="881"/>
      <c r="I28" s="881"/>
      <c r="J28" s="142" t="str">
        <f t="shared" si="7"/>
        <v/>
      </c>
      <c r="K28" s="142" t="str">
        <f t="shared" si="3"/>
        <v/>
      </c>
      <c r="L28" s="142" t="str">
        <f t="shared" si="4"/>
        <v/>
      </c>
      <c r="M28" s="143" t="str">
        <f t="shared" si="5"/>
        <v/>
      </c>
      <c r="O28" s="889" t="str">
        <f t="shared" si="8"/>
        <v/>
      </c>
      <c r="P28" s="138">
        <f t="shared" si="9"/>
        <v>0</v>
      </c>
      <c r="Q28" s="138" t="str">
        <f t="shared" si="10"/>
        <v/>
      </c>
      <c r="R28" s="138" t="str">
        <f t="shared" si="11"/>
        <v/>
      </c>
      <c r="S28" s="138" t="str">
        <f t="shared" si="12"/>
        <v/>
      </c>
      <c r="T28" s="139" t="str">
        <f t="shared" si="13"/>
        <v/>
      </c>
      <c r="U28" s="1045">
        <v>17</v>
      </c>
      <c r="V28" s="882" t="str">
        <f t="shared" si="14"/>
        <v>OCDD</v>
      </c>
      <c r="W28" s="883">
        <v>1E-3</v>
      </c>
      <c r="X28" s="883">
        <v>1E-4</v>
      </c>
      <c r="Y28" s="883">
        <v>2.9999999999999997E-4</v>
      </c>
    </row>
    <row r="29" spans="1:25" ht="10.5" customHeight="1">
      <c r="A29" s="880" t="s">
        <v>969</v>
      </c>
      <c r="B29" s="881"/>
      <c r="C29" s="881"/>
      <c r="D29" s="142"/>
      <c r="E29" s="142" t="str">
        <f t="shared" ref="E29:E37" si="15">IF(C29="","",C29/VolumeD1/$C$11/VoF*$E$11)</f>
        <v/>
      </c>
      <c r="F29" s="142" t="str">
        <f t="shared" si="1"/>
        <v/>
      </c>
      <c r="G29" s="142" t="str">
        <f t="shared" si="2"/>
        <v/>
      </c>
      <c r="H29" s="881"/>
      <c r="I29" s="881"/>
      <c r="J29" s="142"/>
      <c r="K29" s="142" t="str">
        <f t="shared" ref="K29:K37" si="16">IF(I29="","",I29/VolumeD2/$C$11/VoF*$E$11)</f>
        <v/>
      </c>
      <c r="L29" s="142" t="str">
        <f t="shared" si="4"/>
        <v/>
      </c>
      <c r="M29" s="143" t="str">
        <f t="shared" si="5"/>
        <v/>
      </c>
      <c r="O29" s="889" t="str">
        <f t="shared" si="8"/>
        <v/>
      </c>
      <c r="P29" s="138">
        <f t="shared" si="9"/>
        <v>0</v>
      </c>
      <c r="Q29" s="138"/>
      <c r="R29" s="138" t="str">
        <f t="shared" si="11"/>
        <v/>
      </c>
      <c r="S29" s="138" t="str">
        <f t="shared" si="12"/>
        <v/>
      </c>
      <c r="T29" s="139" t="str">
        <f t="shared" si="13"/>
        <v/>
      </c>
      <c r="U29" s="1045">
        <v>18</v>
      </c>
      <c r="V29" s="882" t="str">
        <f t="shared" si="14"/>
        <v>Total TCDF isomers</v>
      </c>
      <c r="W29" s="883"/>
      <c r="X29" s="883"/>
      <c r="Y29" s="883"/>
    </row>
    <row r="30" spans="1:25" ht="10.5" customHeight="1">
      <c r="A30" s="880" t="s">
        <v>970</v>
      </c>
      <c r="B30" s="881"/>
      <c r="C30" s="881"/>
      <c r="D30" s="142"/>
      <c r="E30" s="142" t="str">
        <f t="shared" si="15"/>
        <v/>
      </c>
      <c r="F30" s="142" t="str">
        <f t="shared" si="1"/>
        <v/>
      </c>
      <c r="G30" s="142" t="str">
        <f t="shared" si="2"/>
        <v/>
      </c>
      <c r="H30" s="881"/>
      <c r="I30" s="881"/>
      <c r="J30" s="142"/>
      <c r="K30" s="142" t="str">
        <f t="shared" si="16"/>
        <v/>
      </c>
      <c r="L30" s="142" t="str">
        <f t="shared" si="4"/>
        <v/>
      </c>
      <c r="M30" s="143" t="str">
        <f t="shared" si="5"/>
        <v/>
      </c>
      <c r="O30" s="889" t="str">
        <f t="shared" si="8"/>
        <v/>
      </c>
      <c r="P30" s="138">
        <f t="shared" si="9"/>
        <v>0</v>
      </c>
      <c r="Q30" s="138"/>
      <c r="R30" s="138" t="str">
        <f t="shared" si="11"/>
        <v/>
      </c>
      <c r="S30" s="138" t="str">
        <f t="shared" si="12"/>
        <v/>
      </c>
      <c r="T30" s="139" t="str">
        <f t="shared" si="13"/>
        <v/>
      </c>
      <c r="U30" s="1045">
        <v>19</v>
      </c>
      <c r="V30" s="882" t="str">
        <f t="shared" si="14"/>
        <v>Total TCDD isomers</v>
      </c>
      <c r="W30" s="883"/>
      <c r="X30" s="883"/>
      <c r="Y30" s="883"/>
    </row>
    <row r="31" spans="1:25" ht="10.5" customHeight="1">
      <c r="A31" s="880" t="s">
        <v>971</v>
      </c>
      <c r="B31" s="881"/>
      <c r="C31" s="881"/>
      <c r="D31" s="142"/>
      <c r="E31" s="142" t="str">
        <f t="shared" si="15"/>
        <v/>
      </c>
      <c r="F31" s="142" t="str">
        <f t="shared" si="1"/>
        <v/>
      </c>
      <c r="G31" s="142" t="str">
        <f t="shared" si="2"/>
        <v/>
      </c>
      <c r="H31" s="881"/>
      <c r="I31" s="881"/>
      <c r="J31" s="142"/>
      <c r="K31" s="142" t="str">
        <f t="shared" si="16"/>
        <v/>
      </c>
      <c r="L31" s="142" t="str">
        <f t="shared" si="4"/>
        <v/>
      </c>
      <c r="M31" s="143" t="str">
        <f t="shared" si="5"/>
        <v/>
      </c>
      <c r="O31" s="889" t="str">
        <f t="shared" si="8"/>
        <v/>
      </c>
      <c r="P31" s="138">
        <f t="shared" si="9"/>
        <v>0</v>
      </c>
      <c r="Q31" s="138"/>
      <c r="R31" s="138" t="str">
        <f t="shared" si="11"/>
        <v/>
      </c>
      <c r="S31" s="138" t="str">
        <f t="shared" si="12"/>
        <v/>
      </c>
      <c r="T31" s="139" t="str">
        <f t="shared" si="13"/>
        <v/>
      </c>
      <c r="U31" s="1045">
        <v>20</v>
      </c>
      <c r="V31" s="882" t="str">
        <f t="shared" si="14"/>
        <v>Total PeCDF isomers</v>
      </c>
      <c r="W31" s="883"/>
      <c r="X31" s="883"/>
      <c r="Y31" s="883"/>
    </row>
    <row r="32" spans="1:25" ht="10.5" customHeight="1">
      <c r="A32" s="880" t="s">
        <v>972</v>
      </c>
      <c r="B32" s="881"/>
      <c r="C32" s="881"/>
      <c r="D32" s="142"/>
      <c r="E32" s="142" t="str">
        <f t="shared" si="15"/>
        <v/>
      </c>
      <c r="F32" s="142" t="str">
        <f t="shared" si="1"/>
        <v/>
      </c>
      <c r="G32" s="142" t="str">
        <f t="shared" si="2"/>
        <v/>
      </c>
      <c r="H32" s="881"/>
      <c r="I32" s="881"/>
      <c r="J32" s="142"/>
      <c r="K32" s="142" t="str">
        <f t="shared" si="16"/>
        <v/>
      </c>
      <c r="L32" s="142" t="str">
        <f t="shared" si="4"/>
        <v/>
      </c>
      <c r="M32" s="143" t="str">
        <f t="shared" si="5"/>
        <v/>
      </c>
      <c r="O32" s="889" t="str">
        <f t="shared" si="8"/>
        <v/>
      </c>
      <c r="P32" s="138">
        <f t="shared" si="9"/>
        <v>0</v>
      </c>
      <c r="Q32" s="138"/>
      <c r="R32" s="138" t="str">
        <f t="shared" si="11"/>
        <v/>
      </c>
      <c r="S32" s="138" t="str">
        <f t="shared" si="12"/>
        <v/>
      </c>
      <c r="T32" s="139" t="str">
        <f t="shared" si="13"/>
        <v/>
      </c>
      <c r="U32" s="1045">
        <v>21</v>
      </c>
      <c r="V32" s="882" t="str">
        <f t="shared" si="14"/>
        <v>Total PeCDD isomers</v>
      </c>
      <c r="W32" s="883"/>
      <c r="X32" s="883"/>
      <c r="Y32" s="883"/>
    </row>
    <row r="33" spans="1:25" ht="10.5" customHeight="1">
      <c r="A33" s="880" t="s">
        <v>973</v>
      </c>
      <c r="B33" s="881"/>
      <c r="C33" s="881"/>
      <c r="D33" s="142"/>
      <c r="E33" s="142" t="str">
        <f t="shared" si="15"/>
        <v/>
      </c>
      <c r="F33" s="142" t="str">
        <f t="shared" si="1"/>
        <v/>
      </c>
      <c r="G33" s="142" t="str">
        <f t="shared" si="2"/>
        <v/>
      </c>
      <c r="H33" s="881"/>
      <c r="I33" s="881"/>
      <c r="J33" s="142"/>
      <c r="K33" s="142" t="str">
        <f t="shared" si="16"/>
        <v/>
      </c>
      <c r="L33" s="142" t="str">
        <f t="shared" si="4"/>
        <v/>
      </c>
      <c r="M33" s="143" t="str">
        <f t="shared" si="5"/>
        <v/>
      </c>
      <c r="O33" s="889" t="str">
        <f t="shared" si="8"/>
        <v/>
      </c>
      <c r="P33" s="138">
        <f t="shared" si="9"/>
        <v>0</v>
      </c>
      <c r="Q33" s="138"/>
      <c r="R33" s="138" t="str">
        <f t="shared" si="11"/>
        <v/>
      </c>
      <c r="S33" s="138" t="str">
        <f t="shared" si="12"/>
        <v/>
      </c>
      <c r="T33" s="139" t="str">
        <f t="shared" si="13"/>
        <v/>
      </c>
      <c r="U33" s="1045">
        <v>22</v>
      </c>
      <c r="V33" s="882" t="str">
        <f t="shared" si="14"/>
        <v>Total HxCDF isomers</v>
      </c>
      <c r="W33" s="883"/>
      <c r="X33" s="883"/>
      <c r="Y33" s="883"/>
    </row>
    <row r="34" spans="1:25" ht="10.5" customHeight="1">
      <c r="A34" s="880" t="s">
        <v>976</v>
      </c>
      <c r="B34" s="881"/>
      <c r="C34" s="881"/>
      <c r="D34" s="142"/>
      <c r="E34" s="142" t="str">
        <f t="shared" si="15"/>
        <v/>
      </c>
      <c r="F34" s="142" t="str">
        <f t="shared" si="1"/>
        <v/>
      </c>
      <c r="G34" s="142" t="str">
        <f t="shared" si="2"/>
        <v/>
      </c>
      <c r="H34" s="881"/>
      <c r="I34" s="881"/>
      <c r="J34" s="142"/>
      <c r="K34" s="142" t="str">
        <f t="shared" si="16"/>
        <v/>
      </c>
      <c r="L34" s="142" t="str">
        <f t="shared" si="4"/>
        <v/>
      </c>
      <c r="M34" s="143" t="str">
        <f t="shared" si="5"/>
        <v/>
      </c>
      <c r="O34" s="889" t="str">
        <f t="shared" si="8"/>
        <v/>
      </c>
      <c r="P34" s="138">
        <f t="shared" si="9"/>
        <v>0</v>
      </c>
      <c r="Q34" s="138"/>
      <c r="R34" s="138" t="str">
        <f t="shared" si="11"/>
        <v/>
      </c>
      <c r="S34" s="138" t="str">
        <f t="shared" si="12"/>
        <v/>
      </c>
      <c r="T34" s="139" t="str">
        <f t="shared" si="13"/>
        <v/>
      </c>
      <c r="U34" s="1045">
        <v>23</v>
      </c>
      <c r="V34" s="882" t="str">
        <f t="shared" si="14"/>
        <v>Total HxCDD isomers</v>
      </c>
      <c r="W34" s="883"/>
      <c r="X34" s="883"/>
      <c r="Y34" s="883"/>
    </row>
    <row r="35" spans="1:25" ht="10.5" customHeight="1">
      <c r="A35" s="880" t="s">
        <v>978</v>
      </c>
      <c r="B35" s="881"/>
      <c r="C35" s="881"/>
      <c r="D35" s="142"/>
      <c r="E35" s="142" t="str">
        <f t="shared" si="15"/>
        <v/>
      </c>
      <c r="F35" s="142" t="str">
        <f t="shared" si="1"/>
        <v/>
      </c>
      <c r="G35" s="142" t="str">
        <f t="shared" si="2"/>
        <v/>
      </c>
      <c r="H35" s="881"/>
      <c r="I35" s="881"/>
      <c r="J35" s="142"/>
      <c r="K35" s="142" t="str">
        <f t="shared" si="16"/>
        <v/>
      </c>
      <c r="L35" s="142" t="str">
        <f t="shared" si="4"/>
        <v/>
      </c>
      <c r="M35" s="143" t="str">
        <f t="shared" si="5"/>
        <v/>
      </c>
      <c r="O35" s="889" t="str">
        <f t="shared" si="8"/>
        <v/>
      </c>
      <c r="P35" s="138">
        <f t="shared" si="9"/>
        <v>0</v>
      </c>
      <c r="Q35" s="138"/>
      <c r="R35" s="138" t="str">
        <f t="shared" si="11"/>
        <v/>
      </c>
      <c r="S35" s="138" t="str">
        <f t="shared" si="12"/>
        <v/>
      </c>
      <c r="T35" s="139" t="str">
        <f t="shared" si="13"/>
        <v/>
      </c>
      <c r="U35" s="1045">
        <v>24</v>
      </c>
      <c r="V35" s="882" t="str">
        <f t="shared" si="14"/>
        <v>Total HpCDF isomers</v>
      </c>
      <c r="W35" s="883"/>
      <c r="X35" s="883"/>
      <c r="Y35" s="883"/>
    </row>
    <row r="36" spans="1:25" ht="10.5" customHeight="1">
      <c r="A36" s="880" t="s">
        <v>979</v>
      </c>
      <c r="B36" s="881"/>
      <c r="C36" s="881"/>
      <c r="D36" s="142"/>
      <c r="E36" s="142" t="str">
        <f t="shared" si="15"/>
        <v/>
      </c>
      <c r="F36" s="142" t="str">
        <f t="shared" si="1"/>
        <v/>
      </c>
      <c r="G36" s="142" t="str">
        <f t="shared" si="2"/>
        <v/>
      </c>
      <c r="H36" s="881"/>
      <c r="I36" s="881"/>
      <c r="J36" s="142"/>
      <c r="K36" s="142" t="str">
        <f t="shared" si="16"/>
        <v/>
      </c>
      <c r="L36" s="142" t="str">
        <f t="shared" si="4"/>
        <v/>
      </c>
      <c r="M36" s="143" t="str">
        <f t="shared" si="5"/>
        <v/>
      </c>
      <c r="O36" s="889" t="str">
        <f t="shared" si="8"/>
        <v/>
      </c>
      <c r="P36" s="138">
        <f t="shared" si="9"/>
        <v>0</v>
      </c>
      <c r="Q36" s="138"/>
      <c r="R36" s="138" t="str">
        <f t="shared" si="11"/>
        <v/>
      </c>
      <c r="S36" s="138" t="str">
        <f t="shared" si="12"/>
        <v/>
      </c>
      <c r="T36" s="139" t="str">
        <f t="shared" si="13"/>
        <v/>
      </c>
      <c r="U36" s="1045">
        <v>25</v>
      </c>
      <c r="V36" s="882" t="str">
        <f t="shared" si="14"/>
        <v>Total HpCDD isomers</v>
      </c>
      <c r="W36" s="883"/>
      <c r="X36" s="883"/>
      <c r="Y36" s="883"/>
    </row>
    <row r="37" spans="1:25" ht="10.5" customHeight="1">
      <c r="A37" s="884" t="s">
        <v>981</v>
      </c>
      <c r="B37" s="824"/>
      <c r="C37" s="824">
        <f>SUMIF($B27:$B36,"",C27:C36)</f>
        <v>0</v>
      </c>
      <c r="D37" s="142"/>
      <c r="E37" s="142" t="e">
        <f t="shared" si="15"/>
        <v>#N/A</v>
      </c>
      <c r="F37" s="142" t="e">
        <f t="shared" si="1"/>
        <v>#N/A</v>
      </c>
      <c r="G37" s="142" t="e">
        <f t="shared" si="2"/>
        <v>#N/A</v>
      </c>
      <c r="H37" s="824"/>
      <c r="I37" s="672">
        <f>SUMIF($H27:$H36,"",I27:I36)</f>
        <v>0</v>
      </c>
      <c r="J37" s="835"/>
      <c r="K37" s="142" t="e">
        <f t="shared" si="16"/>
        <v>#N/A</v>
      </c>
      <c r="L37" s="142" t="e">
        <f t="shared" si="4"/>
        <v>#N/A</v>
      </c>
      <c r="M37" s="143" t="e">
        <f t="shared" si="5"/>
        <v>#N/A</v>
      </c>
      <c r="O37" s="832" t="str">
        <f t="shared" si="8"/>
        <v/>
      </c>
      <c r="P37" s="138">
        <f t="shared" si="9"/>
        <v>0</v>
      </c>
      <c r="Q37" s="138"/>
      <c r="R37" s="138" t="e">
        <f t="shared" si="11"/>
        <v>#N/A</v>
      </c>
      <c r="S37" s="138" t="e">
        <f t="shared" si="12"/>
        <v>#N/A</v>
      </c>
      <c r="T37" s="139" t="e">
        <f t="shared" si="13"/>
        <v>#N/A</v>
      </c>
      <c r="U37" s="1045">
        <v>26</v>
      </c>
      <c r="V37" s="882" t="str">
        <f t="shared" si="14"/>
        <v>Total PCDD + PCDF's</v>
      </c>
      <c r="W37" s="883"/>
      <c r="X37" s="883"/>
      <c r="Y37" s="883"/>
    </row>
    <row r="38" spans="1:25" ht="10.5" customHeight="1">
      <c r="A38" s="884" t="s">
        <v>935</v>
      </c>
      <c r="B38" s="824"/>
      <c r="C38" s="824">
        <f>SUMIF($B12:$B28,"",C12:C28)</f>
        <v>0</v>
      </c>
      <c r="D38" s="142">
        <f>SUMIF($B12:$B28,"",D12:D28)</f>
        <v>0</v>
      </c>
      <c r="E38" s="142" t="e">
        <f>IF(D38="","",D38/VolumeD1/$C$11/VoF*$E$11)</f>
        <v>#N/A</v>
      </c>
      <c r="F38" s="142" t="e">
        <f t="shared" si="1"/>
        <v>#N/A</v>
      </c>
      <c r="G38" s="142" t="e">
        <f>IF(E38="","",E38*AverageFlowDry1/$E$11/FF*$G$11*1000)</f>
        <v>#N/A</v>
      </c>
      <c r="H38" s="672"/>
      <c r="I38" s="672">
        <f>SUMIF($H12:$H28,"",I12:I28)</f>
        <v>0</v>
      </c>
      <c r="J38" s="835">
        <f>SUMIF($H12:$H28,"",J12:J28)</f>
        <v>0</v>
      </c>
      <c r="K38" s="835" t="e">
        <f>IF(J38="","",J38/VolumeD2/$C$11/VoF*$E$11)</f>
        <v>#N/A</v>
      </c>
      <c r="L38" s="142" t="e">
        <f>IF(K38="","",K38*O2correction*CO2correction)</f>
        <v>#N/A</v>
      </c>
      <c r="M38" s="836" t="e">
        <f>IF(K38="","",K38*AverageFlowDry2/$E$11/FF*$G$11*1000)</f>
        <v>#N/A</v>
      </c>
      <c r="O38" s="832" t="str">
        <f t="shared" si="8"/>
        <v/>
      </c>
      <c r="P38" s="138">
        <f t="shared" si="9"/>
        <v>0</v>
      </c>
      <c r="Q38" s="138">
        <f t="shared" ref="Q38:T40" si="17">IF(AND(ISNUMBER(D38),ISNUMBER(J38)),AVERAGE(D38,J38),D38)</f>
        <v>0</v>
      </c>
      <c r="R38" s="138" t="e">
        <f t="shared" si="17"/>
        <v>#N/A</v>
      </c>
      <c r="S38" s="841" t="e">
        <f t="shared" si="17"/>
        <v>#N/A</v>
      </c>
      <c r="T38" s="139" t="e">
        <f t="shared" si="17"/>
        <v>#N/A</v>
      </c>
    </row>
    <row r="39" spans="1:25" ht="10.5" customHeight="1">
      <c r="A39" s="885" t="s">
        <v>936</v>
      </c>
      <c r="B39" s="834"/>
      <c r="C39" s="824">
        <f>C38+(C40-C38)/2</f>
        <v>0</v>
      </c>
      <c r="D39" s="142">
        <f>D38+(D40-D38)/2</f>
        <v>0</v>
      </c>
      <c r="E39" s="142" t="e">
        <f>IF(D39="","",D39/VolumeD1/$C$11/VoF*$E$11)</f>
        <v>#N/A</v>
      </c>
      <c r="F39" s="142" t="e">
        <f t="shared" si="1"/>
        <v>#N/A</v>
      </c>
      <c r="G39" s="142" t="e">
        <f>IF(E39="","",E39*AverageFlowDry1/$E$11/FF*$G$11*1000)</f>
        <v>#N/A</v>
      </c>
      <c r="H39" s="837"/>
      <c r="I39" s="672">
        <f>I38+(I40-I38)/2</f>
        <v>0</v>
      </c>
      <c r="J39" s="835">
        <f>J38+(J40-J38)/2</f>
        <v>0</v>
      </c>
      <c r="K39" s="835" t="e">
        <f>IF(J39="","",J39/VolumeD2/$C$11/VoF*$E$11)</f>
        <v>#N/A</v>
      </c>
      <c r="L39" s="142" t="e">
        <f>IF(K39="","",K39*O2correction*CO2correction)</f>
        <v>#N/A</v>
      </c>
      <c r="M39" s="836" t="e">
        <f>IF(K39="","",K39*AverageFlowDry2/$E$11/FF*$G$11*1000)</f>
        <v>#N/A</v>
      </c>
      <c r="O39" s="832" t="str">
        <f t="shared" si="8"/>
        <v/>
      </c>
      <c r="P39" s="138">
        <f t="shared" si="9"/>
        <v>0</v>
      </c>
      <c r="Q39" s="138">
        <f t="shared" si="17"/>
        <v>0</v>
      </c>
      <c r="R39" s="138" t="e">
        <f t="shared" si="17"/>
        <v>#N/A</v>
      </c>
      <c r="S39" s="841" t="e">
        <f t="shared" si="17"/>
        <v>#N/A</v>
      </c>
      <c r="T39" s="139" t="e">
        <f t="shared" si="17"/>
        <v>#N/A</v>
      </c>
    </row>
    <row r="40" spans="1:25" ht="10.5" customHeight="1" thickBot="1">
      <c r="A40" s="886" t="s">
        <v>980</v>
      </c>
      <c r="B40" s="650"/>
      <c r="C40" s="650">
        <f>SUM(C12:C28)</f>
        <v>0</v>
      </c>
      <c r="D40" s="148">
        <f>SUM(D12:D28)</f>
        <v>0</v>
      </c>
      <c r="E40" s="148" t="e">
        <f>IF(D40="","",D40/VolumeD1/$C$11/VoF*$E$11)</f>
        <v>#N/A</v>
      </c>
      <c r="F40" s="148" t="e">
        <f t="shared" si="1"/>
        <v>#N/A</v>
      </c>
      <c r="G40" s="148" t="e">
        <f>IF(E40="","",E40*AverageFlowDry1/$E$11/FF*$G$11*1000)</f>
        <v>#N/A</v>
      </c>
      <c r="H40" s="838"/>
      <c r="I40" s="838">
        <f>SUM(I12:I28)</f>
        <v>0</v>
      </c>
      <c r="J40" s="839">
        <f>SUM(J12:J28)</f>
        <v>0</v>
      </c>
      <c r="K40" s="839" t="e">
        <f>IF(J40="","",J40/VolumeD2/$C$11/VoF*$E$11)</f>
        <v>#N/A</v>
      </c>
      <c r="L40" s="148" t="e">
        <f>IF(K40="","",K40*O2correction*CO2correction)</f>
        <v>#N/A</v>
      </c>
      <c r="M40" s="840" t="e">
        <f>IF(K40="","",K40*AverageFlowDry2/$E$11/FF*$G$11*1000)</f>
        <v>#N/A</v>
      </c>
      <c r="O40" s="833" t="str">
        <f t="shared" si="8"/>
        <v/>
      </c>
      <c r="P40" s="178">
        <f t="shared" si="9"/>
        <v>0</v>
      </c>
      <c r="Q40" s="178">
        <f t="shared" si="17"/>
        <v>0</v>
      </c>
      <c r="R40" s="178" t="e">
        <f t="shared" si="17"/>
        <v>#N/A</v>
      </c>
      <c r="S40" s="842" t="e">
        <f t="shared" si="17"/>
        <v>#N/A</v>
      </c>
      <c r="T40" s="179" t="e">
        <f t="shared" si="17"/>
        <v>#N/A</v>
      </c>
    </row>
    <row r="41" spans="1:25" ht="12.75" customHeight="1" thickBot="1">
      <c r="A41" s="861"/>
      <c r="B41" s="2795" t="s">
        <v>8</v>
      </c>
      <c r="C41" s="2795"/>
      <c r="D41" s="2795"/>
      <c r="E41" s="2795"/>
      <c r="F41" s="2795"/>
      <c r="G41" s="862"/>
      <c r="H41" s="2795" t="s">
        <v>9</v>
      </c>
      <c r="I41" s="2795"/>
      <c r="J41" s="2795"/>
      <c r="K41" s="2795"/>
      <c r="L41" s="2795"/>
      <c r="M41" s="863"/>
      <c r="N41" s="864"/>
      <c r="O41" s="2797" t="s">
        <v>1242</v>
      </c>
      <c r="P41" s="2797"/>
      <c r="Q41" s="2797"/>
      <c r="R41" s="2797"/>
      <c r="S41" s="2797"/>
      <c r="T41" s="2797"/>
      <c r="U41" s="864"/>
    </row>
    <row r="42" spans="1:25" ht="10.5" customHeight="1">
      <c r="A42" s="865" t="s">
        <v>1053</v>
      </c>
      <c r="B42" s="866"/>
      <c r="C42" s="867" t="s">
        <v>323</v>
      </c>
      <c r="D42" s="963" t="s">
        <v>1050</v>
      </c>
      <c r="E42" s="867" t="s">
        <v>1371</v>
      </c>
      <c r="F42" s="868" t="s">
        <v>97</v>
      </c>
      <c r="G42" s="867" t="s">
        <v>1329</v>
      </c>
      <c r="H42" s="866"/>
      <c r="I42" s="867" t="s">
        <v>323</v>
      </c>
      <c r="J42" s="964" t="str">
        <f>$D42</f>
        <v>WHO05-TEQ</v>
      </c>
      <c r="K42" s="867" t="s">
        <v>1371</v>
      </c>
      <c r="L42" s="868" t="s">
        <v>97</v>
      </c>
      <c r="M42" s="869" t="s">
        <v>1329</v>
      </c>
      <c r="O42" s="870"/>
      <c r="P42" s="867" t="s">
        <v>323</v>
      </c>
      <c r="Q42" s="964" t="str">
        <f>$D42</f>
        <v>WHO05-TEQ</v>
      </c>
      <c r="R42" s="867" t="s">
        <v>1371</v>
      </c>
      <c r="S42" s="868" t="s">
        <v>97</v>
      </c>
      <c r="T42" s="869" t="s">
        <v>1329</v>
      </c>
      <c r="W42" s="965" t="s">
        <v>985</v>
      </c>
      <c r="X42" s="965" t="s">
        <v>1051</v>
      </c>
      <c r="Y42" s="965" t="s">
        <v>1052</v>
      </c>
    </row>
    <row r="43" spans="1:25" ht="10.5" customHeight="1">
      <c r="A43" s="890"/>
      <c r="B43" s="779" t="s">
        <v>1333</v>
      </c>
      <c r="C43" s="872" t="s">
        <v>944</v>
      </c>
      <c r="D43" s="873" t="str">
        <f>$C43</f>
        <v>pg</v>
      </c>
      <c r="E43" s="872" t="s">
        <v>46</v>
      </c>
      <c r="F43" s="874" t="str">
        <f>$E43</f>
        <v>ng/m³</v>
      </c>
      <c r="G43" s="872" t="s">
        <v>950</v>
      </c>
      <c r="H43" s="779" t="s">
        <v>1333</v>
      </c>
      <c r="I43" s="873" t="str">
        <f>$C43</f>
        <v>pg</v>
      </c>
      <c r="J43" s="873" t="str">
        <f>$C43</f>
        <v>pg</v>
      </c>
      <c r="K43" s="874" t="str">
        <f>$E43</f>
        <v>ng/m³</v>
      </c>
      <c r="L43" s="874" t="str">
        <f>$E43</f>
        <v>ng/m³</v>
      </c>
      <c r="M43" s="875" t="str">
        <f>$G43</f>
        <v>ng/min</v>
      </c>
      <c r="O43" s="778" t="s">
        <v>1333</v>
      </c>
      <c r="P43" s="873" t="str">
        <f>$C43</f>
        <v>pg</v>
      </c>
      <c r="Q43" s="873" t="str">
        <f>$C43</f>
        <v>pg</v>
      </c>
      <c r="R43" s="874" t="str">
        <f>$E43</f>
        <v>ng/m³</v>
      </c>
      <c r="S43" s="874" t="str">
        <f>$E43</f>
        <v>ng/m³</v>
      </c>
      <c r="T43" s="875" t="str">
        <f>$G43</f>
        <v>ng/min</v>
      </c>
      <c r="Y43" s="385"/>
    </row>
    <row r="44" spans="1:25" ht="10.5" hidden="1" customHeight="1">
      <c r="A44" s="890"/>
      <c r="B44" s="876"/>
      <c r="C44" s="823">
        <f>VLOOKUP(C43,MassTable,2,FALSE)</f>
        <v>1000000000000</v>
      </c>
      <c r="D44" s="873"/>
      <c r="E44" s="823">
        <f>VLOOKUP(E43,ConcTable,2,FALSE)</f>
        <v>1000000000000</v>
      </c>
      <c r="F44" s="873"/>
      <c r="G44" s="823">
        <f>VLOOKUP(G43,MassRateTable,2,FALSE)</f>
        <v>60000000000</v>
      </c>
      <c r="H44" s="876"/>
      <c r="I44" s="877"/>
      <c r="J44" s="877"/>
      <c r="K44" s="877"/>
      <c r="L44" s="873"/>
      <c r="M44" s="875"/>
      <c r="O44" s="871"/>
      <c r="P44" s="877"/>
      <c r="Q44" s="877"/>
      <c r="R44" s="877"/>
      <c r="S44" s="873"/>
      <c r="T44" s="875"/>
      <c r="V44" s="891"/>
      <c r="W44" s="879"/>
      <c r="X44" s="883"/>
      <c r="Y44" s="883"/>
    </row>
    <row r="45" spans="1:25" ht="10.5" customHeight="1">
      <c r="A45" s="880" t="s">
        <v>1054</v>
      </c>
      <c r="B45" s="881"/>
      <c r="C45" s="881"/>
      <c r="D45" s="142" t="str">
        <f>IF(C45="","",IF($D$42="I-TEQ",C45*$W45,IF($D$42="WHO98-TEQ",C45*$X45,C45*$Y45)))</f>
        <v/>
      </c>
      <c r="E45" s="142" t="str">
        <f t="shared" ref="E45:E56" si="18">IF(D45="","",D45/VolumeD1/$C$44/VoF*$E$44)</f>
        <v/>
      </c>
      <c r="F45" s="142" t="str">
        <f t="shared" ref="F45:F60" si="19">IF(E45="","",E45*O2correction*CO2correction)</f>
        <v/>
      </c>
      <c r="G45" s="142" t="str">
        <f t="shared" ref="G45:G56" si="20">IF(E45="","",E45*AverageFlowDry1/$E$44/FF*$G$44*1000)</f>
        <v/>
      </c>
      <c r="H45" s="881"/>
      <c r="I45" s="881"/>
      <c r="J45" s="142" t="str">
        <f>IF(I45="","",IF($D$42="I-TEQ",I45*$W45,IF($D$42="WHO98-TEQ",I45*$X45,I45*$Y45)))</f>
        <v/>
      </c>
      <c r="K45" s="142" t="str">
        <f t="shared" ref="K45:K56" si="21">IF(J45="","",J45/VolumeD2/$C$44/VoF*$E$44)</f>
        <v/>
      </c>
      <c r="L45" s="142" t="str">
        <f t="shared" ref="L45:L57" si="22">IF(K45="","",K45*O2correction*CO2correction)</f>
        <v/>
      </c>
      <c r="M45" s="143" t="str">
        <f t="shared" ref="M45:M56" si="23">IF(K45="","",K45*AverageFlowDry2/$E$44/FF*$G$44*1000)</f>
        <v/>
      </c>
      <c r="O45" s="889" t="str">
        <f t="shared" ref="O45:O60" si="24">IF(AND(ISTEXT(B45),ISTEXT(H45)),"&lt;",IF(OR(ISTEXT(B45),ISTEXT(H45)),"≤",""))</f>
        <v/>
      </c>
      <c r="P45" s="138">
        <f>IF(AND(ISNUMBER(C45),ISNUMBER(I45)),AVERAGE(C45,I45),C45)</f>
        <v>0</v>
      </c>
      <c r="Q45" s="138" t="str">
        <f>IF(AND(ISNUMBER(D45),ISNUMBER(J45)),AVERAGE(D45,J45),D45)</f>
        <v/>
      </c>
      <c r="R45" s="138" t="str">
        <f>IF(AND(ISNUMBER(E45),ISNUMBER(K45)),AVERAGE(E45,K45),E45)</f>
        <v/>
      </c>
      <c r="S45" s="138" t="str">
        <f>IF(AND(ISNUMBER(F45),ISNUMBER(L45)),AVERAGE(F45,L45),F45)</f>
        <v/>
      </c>
      <c r="T45" s="139" t="str">
        <f>IF(AND(ISNUMBER(G45),ISNUMBER(M45)),AVERAGE(G45,M45),G45)</f>
        <v/>
      </c>
      <c r="U45" s="1045">
        <v>1</v>
      </c>
      <c r="V45" s="882" t="str">
        <f>A45</f>
        <v>PCB 77</v>
      </c>
      <c r="W45" s="883" t="s">
        <v>1066</v>
      </c>
      <c r="X45" s="883">
        <v>1E-4</v>
      </c>
      <c r="Y45" s="883">
        <v>1E-4</v>
      </c>
    </row>
    <row r="46" spans="1:25" ht="10.5" customHeight="1">
      <c r="A46" s="880" t="s">
        <v>1055</v>
      </c>
      <c r="B46" s="881"/>
      <c r="C46" s="881"/>
      <c r="D46" s="142" t="str">
        <f t="shared" ref="D46:D56" si="25">IF(C46="","",IF($D$42="I-TEQ",C46*$W46,IF($D$42="WHO98-TEQ",C46*$X46,C46*$Y46)))</f>
        <v/>
      </c>
      <c r="E46" s="142" t="str">
        <f t="shared" si="18"/>
        <v/>
      </c>
      <c r="F46" s="142" t="str">
        <f t="shared" si="19"/>
        <v/>
      </c>
      <c r="G46" s="142" t="str">
        <f t="shared" si="20"/>
        <v/>
      </c>
      <c r="H46" s="881"/>
      <c r="I46" s="881"/>
      <c r="J46" s="142" t="str">
        <f t="shared" ref="J46:J56" si="26">IF(I46="","",IF($D$42="I-TEQ",I46*$W46,IF($D$42="WHO98-TEQ",I46*$X46,I46*$Y46)))</f>
        <v/>
      </c>
      <c r="K46" s="142" t="str">
        <f t="shared" si="21"/>
        <v/>
      </c>
      <c r="L46" s="142" t="str">
        <f t="shared" si="22"/>
        <v/>
      </c>
      <c r="M46" s="143" t="str">
        <f t="shared" si="23"/>
        <v/>
      </c>
      <c r="O46" s="889" t="str">
        <f t="shared" si="24"/>
        <v/>
      </c>
      <c r="P46" s="138">
        <f t="shared" ref="P46:P60" si="27">IF(AND(ISNUMBER(C46),ISNUMBER(I46)),AVERAGE(C46,I46),C46)</f>
        <v>0</v>
      </c>
      <c r="Q46" s="138" t="str">
        <f t="shared" ref="Q46:Q56" si="28">IF(AND(ISNUMBER(D46),ISNUMBER(J46)),AVERAGE(D46,J46),D46)</f>
        <v/>
      </c>
      <c r="R46" s="138" t="str">
        <f t="shared" ref="R46:R60" si="29">IF(AND(ISNUMBER(E46),ISNUMBER(K46)),AVERAGE(E46,K46),E46)</f>
        <v/>
      </c>
      <c r="S46" s="138" t="str">
        <f t="shared" ref="S46:S60" si="30">IF(AND(ISNUMBER(F46),ISNUMBER(L46)),AVERAGE(F46,L46),F46)</f>
        <v/>
      </c>
      <c r="T46" s="139" t="str">
        <f t="shared" ref="T46:T60" si="31">IF(AND(ISNUMBER(G46),ISNUMBER(M46)),AVERAGE(G46,M46),G46)</f>
        <v/>
      </c>
      <c r="U46" s="1045">
        <v>2</v>
      </c>
      <c r="V46" s="882" t="str">
        <f t="shared" ref="V46:V56" si="32">A46</f>
        <v>PCB 81</v>
      </c>
      <c r="W46" s="883" t="s">
        <v>1066</v>
      </c>
      <c r="X46" s="883">
        <v>1E-4</v>
      </c>
      <c r="Y46" s="883">
        <v>2.9999999999999997E-4</v>
      </c>
    </row>
    <row r="47" spans="1:25" ht="10.5" customHeight="1">
      <c r="A47" s="880" t="s">
        <v>1056</v>
      </c>
      <c r="B47" s="881"/>
      <c r="C47" s="881"/>
      <c r="D47" s="142" t="str">
        <f t="shared" si="25"/>
        <v/>
      </c>
      <c r="E47" s="142" t="str">
        <f t="shared" si="18"/>
        <v/>
      </c>
      <c r="F47" s="142" t="str">
        <f t="shared" si="19"/>
        <v/>
      </c>
      <c r="G47" s="142" t="str">
        <f t="shared" si="20"/>
        <v/>
      </c>
      <c r="H47" s="881"/>
      <c r="I47" s="881"/>
      <c r="J47" s="142" t="str">
        <f t="shared" si="26"/>
        <v/>
      </c>
      <c r="K47" s="142" t="str">
        <f t="shared" si="21"/>
        <v/>
      </c>
      <c r="L47" s="142" t="str">
        <f t="shared" si="22"/>
        <v/>
      </c>
      <c r="M47" s="143" t="str">
        <f t="shared" si="23"/>
        <v/>
      </c>
      <c r="O47" s="889" t="str">
        <f t="shared" si="24"/>
        <v/>
      </c>
      <c r="P47" s="138">
        <f t="shared" si="27"/>
        <v>0</v>
      </c>
      <c r="Q47" s="138" t="str">
        <f t="shared" si="28"/>
        <v/>
      </c>
      <c r="R47" s="138" t="str">
        <f t="shared" si="29"/>
        <v/>
      </c>
      <c r="S47" s="138" t="str">
        <f t="shared" si="30"/>
        <v/>
      </c>
      <c r="T47" s="139" t="str">
        <f t="shared" si="31"/>
        <v/>
      </c>
      <c r="U47" s="1045">
        <v>3</v>
      </c>
      <c r="V47" s="882" t="str">
        <f t="shared" si="32"/>
        <v>PCB 126</v>
      </c>
      <c r="W47" s="883" t="s">
        <v>1066</v>
      </c>
      <c r="X47" s="883">
        <v>0.1</v>
      </c>
      <c r="Y47" s="883">
        <v>0.1</v>
      </c>
    </row>
    <row r="48" spans="1:25" ht="10.5" customHeight="1">
      <c r="A48" s="880" t="s">
        <v>1057</v>
      </c>
      <c r="B48" s="881"/>
      <c r="C48" s="881"/>
      <c r="D48" s="142" t="str">
        <f t="shared" si="25"/>
        <v/>
      </c>
      <c r="E48" s="142" t="str">
        <f t="shared" si="18"/>
        <v/>
      </c>
      <c r="F48" s="142" t="str">
        <f t="shared" si="19"/>
        <v/>
      </c>
      <c r="G48" s="142" t="str">
        <f t="shared" si="20"/>
        <v/>
      </c>
      <c r="H48" s="881"/>
      <c r="I48" s="881"/>
      <c r="J48" s="142" t="str">
        <f t="shared" si="26"/>
        <v/>
      </c>
      <c r="K48" s="142" t="str">
        <f t="shared" si="21"/>
        <v/>
      </c>
      <c r="L48" s="142" t="str">
        <f t="shared" si="22"/>
        <v/>
      </c>
      <c r="M48" s="143" t="str">
        <f t="shared" si="23"/>
        <v/>
      </c>
      <c r="O48" s="889" t="str">
        <f t="shared" si="24"/>
        <v/>
      </c>
      <c r="P48" s="138">
        <f t="shared" si="27"/>
        <v>0</v>
      </c>
      <c r="Q48" s="138" t="str">
        <f t="shared" si="28"/>
        <v/>
      </c>
      <c r="R48" s="138" t="str">
        <f t="shared" si="29"/>
        <v/>
      </c>
      <c r="S48" s="138" t="str">
        <f t="shared" si="30"/>
        <v/>
      </c>
      <c r="T48" s="139" t="str">
        <f t="shared" si="31"/>
        <v/>
      </c>
      <c r="U48" s="1045">
        <v>4</v>
      </c>
      <c r="V48" s="882" t="str">
        <f t="shared" si="32"/>
        <v>PCB 169</v>
      </c>
      <c r="W48" s="883" t="s">
        <v>1066</v>
      </c>
      <c r="X48" s="883">
        <v>0.01</v>
      </c>
      <c r="Y48" s="883">
        <v>0.03</v>
      </c>
    </row>
    <row r="49" spans="1:30" ht="10.5" customHeight="1">
      <c r="A49" s="880" t="s">
        <v>1058</v>
      </c>
      <c r="B49" s="881"/>
      <c r="C49" s="881"/>
      <c r="D49" s="142" t="str">
        <f t="shared" si="25"/>
        <v/>
      </c>
      <c r="E49" s="142" t="str">
        <f t="shared" si="18"/>
        <v/>
      </c>
      <c r="F49" s="142" t="str">
        <f t="shared" si="19"/>
        <v/>
      </c>
      <c r="G49" s="142" t="str">
        <f t="shared" si="20"/>
        <v/>
      </c>
      <c r="H49" s="881"/>
      <c r="I49" s="881"/>
      <c r="J49" s="142" t="str">
        <f t="shared" si="26"/>
        <v/>
      </c>
      <c r="K49" s="142" t="str">
        <f t="shared" si="21"/>
        <v/>
      </c>
      <c r="L49" s="142" t="str">
        <f t="shared" si="22"/>
        <v/>
      </c>
      <c r="M49" s="143" t="str">
        <f t="shared" si="23"/>
        <v/>
      </c>
      <c r="O49" s="889" t="str">
        <f t="shared" si="24"/>
        <v/>
      </c>
      <c r="P49" s="138">
        <f t="shared" si="27"/>
        <v>0</v>
      </c>
      <c r="Q49" s="138" t="str">
        <f t="shared" si="28"/>
        <v/>
      </c>
      <c r="R49" s="138" t="str">
        <f t="shared" si="29"/>
        <v/>
      </c>
      <c r="S49" s="138" t="str">
        <f t="shared" si="30"/>
        <v/>
      </c>
      <c r="T49" s="139" t="str">
        <f t="shared" si="31"/>
        <v/>
      </c>
      <c r="U49" s="1045">
        <v>5</v>
      </c>
      <c r="V49" s="882" t="str">
        <f t="shared" si="32"/>
        <v>PCB 105</v>
      </c>
      <c r="W49" s="883" t="s">
        <v>1066</v>
      </c>
      <c r="X49" s="883">
        <v>1E-4</v>
      </c>
      <c r="Y49" s="883">
        <v>3.0000000000000001E-5</v>
      </c>
    </row>
    <row r="50" spans="1:30" ht="10.5" customHeight="1">
      <c r="A50" s="880" t="s">
        <v>1059</v>
      </c>
      <c r="B50" s="881"/>
      <c r="C50" s="881"/>
      <c r="D50" s="142" t="str">
        <f t="shared" si="25"/>
        <v/>
      </c>
      <c r="E50" s="142" t="str">
        <f t="shared" si="18"/>
        <v/>
      </c>
      <c r="F50" s="142" t="str">
        <f t="shared" si="19"/>
        <v/>
      </c>
      <c r="G50" s="142" t="str">
        <f t="shared" si="20"/>
        <v/>
      </c>
      <c r="H50" s="881"/>
      <c r="I50" s="881"/>
      <c r="J50" s="142" t="str">
        <f t="shared" si="26"/>
        <v/>
      </c>
      <c r="K50" s="142" t="str">
        <f t="shared" si="21"/>
        <v/>
      </c>
      <c r="L50" s="142" t="str">
        <f t="shared" si="22"/>
        <v/>
      </c>
      <c r="M50" s="143" t="str">
        <f t="shared" si="23"/>
        <v/>
      </c>
      <c r="O50" s="889" t="str">
        <f t="shared" si="24"/>
        <v/>
      </c>
      <c r="P50" s="138">
        <f t="shared" si="27"/>
        <v>0</v>
      </c>
      <c r="Q50" s="138" t="str">
        <f t="shared" si="28"/>
        <v/>
      </c>
      <c r="R50" s="138" t="str">
        <f t="shared" si="29"/>
        <v/>
      </c>
      <c r="S50" s="138" t="str">
        <f t="shared" si="30"/>
        <v/>
      </c>
      <c r="T50" s="139" t="str">
        <f t="shared" si="31"/>
        <v/>
      </c>
      <c r="U50" s="1045">
        <v>6</v>
      </c>
      <c r="V50" s="882" t="str">
        <f t="shared" si="32"/>
        <v>PCB 114</v>
      </c>
      <c r="W50" s="883" t="s">
        <v>1066</v>
      </c>
      <c r="X50" s="883">
        <v>5.0000000000000001E-4</v>
      </c>
      <c r="Y50" s="883">
        <v>3.0000000000000001E-5</v>
      </c>
    </row>
    <row r="51" spans="1:30" ht="10.5" customHeight="1">
      <c r="A51" s="880" t="s">
        <v>1060</v>
      </c>
      <c r="B51" s="881"/>
      <c r="C51" s="881"/>
      <c r="D51" s="142" t="str">
        <f t="shared" si="25"/>
        <v/>
      </c>
      <c r="E51" s="142" t="str">
        <f t="shared" si="18"/>
        <v/>
      </c>
      <c r="F51" s="142" t="str">
        <f t="shared" si="19"/>
        <v/>
      </c>
      <c r="G51" s="142" t="str">
        <f t="shared" si="20"/>
        <v/>
      </c>
      <c r="H51" s="881"/>
      <c r="I51" s="881"/>
      <c r="J51" s="142" t="str">
        <f t="shared" si="26"/>
        <v/>
      </c>
      <c r="K51" s="142" t="str">
        <f t="shared" si="21"/>
        <v/>
      </c>
      <c r="L51" s="142" t="str">
        <f t="shared" si="22"/>
        <v/>
      </c>
      <c r="M51" s="143" t="str">
        <f t="shared" si="23"/>
        <v/>
      </c>
      <c r="O51" s="889" t="str">
        <f t="shared" si="24"/>
        <v/>
      </c>
      <c r="P51" s="138">
        <f t="shared" si="27"/>
        <v>0</v>
      </c>
      <c r="Q51" s="138" t="str">
        <f t="shared" si="28"/>
        <v/>
      </c>
      <c r="R51" s="138" t="str">
        <f t="shared" si="29"/>
        <v/>
      </c>
      <c r="S51" s="138" t="str">
        <f t="shared" si="30"/>
        <v/>
      </c>
      <c r="T51" s="139" t="str">
        <f t="shared" si="31"/>
        <v/>
      </c>
      <c r="U51" s="1045">
        <v>7</v>
      </c>
      <c r="V51" s="882" t="str">
        <f t="shared" si="32"/>
        <v>PCB 118</v>
      </c>
      <c r="W51" s="883" t="s">
        <v>1066</v>
      </c>
      <c r="X51" s="883">
        <v>1E-4</v>
      </c>
      <c r="Y51" s="883">
        <v>3.0000000000000001E-5</v>
      </c>
    </row>
    <row r="52" spans="1:30" ht="10.5" customHeight="1">
      <c r="A52" s="880" t="s">
        <v>1061</v>
      </c>
      <c r="B52" s="881"/>
      <c r="C52" s="881"/>
      <c r="D52" s="142" t="str">
        <f t="shared" si="25"/>
        <v/>
      </c>
      <c r="E52" s="142" t="str">
        <f t="shared" si="18"/>
        <v/>
      </c>
      <c r="F52" s="142" t="str">
        <f t="shared" si="19"/>
        <v/>
      </c>
      <c r="G52" s="142" t="str">
        <f t="shared" si="20"/>
        <v/>
      </c>
      <c r="H52" s="881"/>
      <c r="I52" s="881"/>
      <c r="J52" s="142" t="str">
        <f t="shared" si="26"/>
        <v/>
      </c>
      <c r="K52" s="142" t="str">
        <f t="shared" si="21"/>
        <v/>
      </c>
      <c r="L52" s="142" t="str">
        <f t="shared" si="22"/>
        <v/>
      </c>
      <c r="M52" s="143" t="str">
        <f t="shared" si="23"/>
        <v/>
      </c>
      <c r="O52" s="889" t="str">
        <f t="shared" si="24"/>
        <v/>
      </c>
      <c r="P52" s="138">
        <f t="shared" si="27"/>
        <v>0</v>
      </c>
      <c r="Q52" s="138" t="str">
        <f t="shared" si="28"/>
        <v/>
      </c>
      <c r="R52" s="138" t="str">
        <f t="shared" si="29"/>
        <v/>
      </c>
      <c r="S52" s="138" t="str">
        <f t="shared" si="30"/>
        <v/>
      </c>
      <c r="T52" s="139" t="str">
        <f t="shared" si="31"/>
        <v/>
      </c>
      <c r="U52" s="1045">
        <v>8</v>
      </c>
      <c r="V52" s="882" t="str">
        <f t="shared" si="32"/>
        <v>PCB 123</v>
      </c>
      <c r="W52" s="883" t="s">
        <v>1066</v>
      </c>
      <c r="X52" s="883">
        <v>1E-4</v>
      </c>
      <c r="Y52" s="883">
        <v>3.0000000000000001E-5</v>
      </c>
    </row>
    <row r="53" spans="1:30" ht="10.5" customHeight="1">
      <c r="A53" s="880" t="s">
        <v>1062</v>
      </c>
      <c r="B53" s="881"/>
      <c r="C53" s="881"/>
      <c r="D53" s="142" t="str">
        <f t="shared" si="25"/>
        <v/>
      </c>
      <c r="E53" s="142" t="str">
        <f t="shared" si="18"/>
        <v/>
      </c>
      <c r="F53" s="142" t="str">
        <f t="shared" si="19"/>
        <v/>
      </c>
      <c r="G53" s="142" t="str">
        <f t="shared" si="20"/>
        <v/>
      </c>
      <c r="H53" s="881"/>
      <c r="I53" s="881"/>
      <c r="J53" s="142" t="str">
        <f t="shared" si="26"/>
        <v/>
      </c>
      <c r="K53" s="142" t="str">
        <f t="shared" si="21"/>
        <v/>
      </c>
      <c r="L53" s="142" t="str">
        <f t="shared" si="22"/>
        <v/>
      </c>
      <c r="M53" s="143" t="str">
        <f t="shared" si="23"/>
        <v/>
      </c>
      <c r="O53" s="889" t="str">
        <f t="shared" si="24"/>
        <v/>
      </c>
      <c r="P53" s="138">
        <f t="shared" si="27"/>
        <v>0</v>
      </c>
      <c r="Q53" s="138" t="str">
        <f t="shared" si="28"/>
        <v/>
      </c>
      <c r="R53" s="138" t="str">
        <f t="shared" si="29"/>
        <v/>
      </c>
      <c r="S53" s="138" t="str">
        <f t="shared" si="30"/>
        <v/>
      </c>
      <c r="T53" s="139" t="str">
        <f t="shared" si="31"/>
        <v/>
      </c>
      <c r="U53" s="1045">
        <v>9</v>
      </c>
      <c r="V53" s="882" t="str">
        <f t="shared" si="32"/>
        <v>PCB 156</v>
      </c>
      <c r="W53" s="883" t="s">
        <v>1066</v>
      </c>
      <c r="X53" s="883">
        <v>5.0000000000000001E-4</v>
      </c>
      <c r="Y53" s="883">
        <v>3.0000000000000001E-5</v>
      </c>
    </row>
    <row r="54" spans="1:30" ht="10.5" customHeight="1">
      <c r="A54" s="880" t="s">
        <v>1063</v>
      </c>
      <c r="B54" s="881"/>
      <c r="C54" s="881"/>
      <c r="D54" s="142" t="str">
        <f t="shared" si="25"/>
        <v/>
      </c>
      <c r="E54" s="142" t="str">
        <f t="shared" si="18"/>
        <v/>
      </c>
      <c r="F54" s="142" t="str">
        <f t="shared" si="19"/>
        <v/>
      </c>
      <c r="G54" s="142" t="str">
        <f t="shared" si="20"/>
        <v/>
      </c>
      <c r="H54" s="881"/>
      <c r="I54" s="881"/>
      <c r="J54" s="142" t="str">
        <f t="shared" si="26"/>
        <v/>
      </c>
      <c r="K54" s="142" t="str">
        <f t="shared" si="21"/>
        <v/>
      </c>
      <c r="L54" s="142" t="str">
        <f t="shared" si="22"/>
        <v/>
      </c>
      <c r="M54" s="143" t="str">
        <f t="shared" si="23"/>
        <v/>
      </c>
      <c r="O54" s="889" t="str">
        <f t="shared" si="24"/>
        <v/>
      </c>
      <c r="P54" s="138">
        <f t="shared" si="27"/>
        <v>0</v>
      </c>
      <c r="Q54" s="138" t="str">
        <f t="shared" si="28"/>
        <v/>
      </c>
      <c r="R54" s="138" t="str">
        <f t="shared" si="29"/>
        <v/>
      </c>
      <c r="S54" s="138" t="str">
        <f t="shared" si="30"/>
        <v/>
      </c>
      <c r="T54" s="139" t="str">
        <f t="shared" si="31"/>
        <v/>
      </c>
      <c r="U54" s="1045">
        <v>10</v>
      </c>
      <c r="V54" s="882" t="str">
        <f t="shared" si="32"/>
        <v>PCB 157</v>
      </c>
      <c r="W54" s="883" t="s">
        <v>1066</v>
      </c>
      <c r="X54" s="883">
        <v>5.0000000000000001E-4</v>
      </c>
      <c r="Y54" s="883">
        <v>3.0000000000000001E-5</v>
      </c>
    </row>
    <row r="55" spans="1:30" ht="10.5" customHeight="1">
      <c r="A55" s="880" t="s">
        <v>1064</v>
      </c>
      <c r="B55" s="881"/>
      <c r="C55" s="881"/>
      <c r="D55" s="142" t="str">
        <f t="shared" si="25"/>
        <v/>
      </c>
      <c r="E55" s="142" t="str">
        <f t="shared" si="18"/>
        <v/>
      </c>
      <c r="F55" s="142" t="str">
        <f t="shared" si="19"/>
        <v/>
      </c>
      <c r="G55" s="142" t="str">
        <f t="shared" si="20"/>
        <v/>
      </c>
      <c r="H55" s="881"/>
      <c r="I55" s="881"/>
      <c r="J55" s="142" t="str">
        <f t="shared" si="26"/>
        <v/>
      </c>
      <c r="K55" s="142" t="str">
        <f t="shared" si="21"/>
        <v/>
      </c>
      <c r="L55" s="142" t="str">
        <f t="shared" si="22"/>
        <v/>
      </c>
      <c r="M55" s="143" t="str">
        <f t="shared" si="23"/>
        <v/>
      </c>
      <c r="O55" s="889" t="str">
        <f t="shared" si="24"/>
        <v/>
      </c>
      <c r="P55" s="138">
        <f t="shared" si="27"/>
        <v>0</v>
      </c>
      <c r="Q55" s="138" t="str">
        <f t="shared" si="28"/>
        <v/>
      </c>
      <c r="R55" s="138" t="str">
        <f t="shared" si="29"/>
        <v/>
      </c>
      <c r="S55" s="138" t="str">
        <f t="shared" si="30"/>
        <v/>
      </c>
      <c r="T55" s="139" t="str">
        <f t="shared" si="31"/>
        <v/>
      </c>
      <c r="U55" s="1045">
        <v>11</v>
      </c>
      <c r="V55" s="882" t="str">
        <f t="shared" si="32"/>
        <v>PCB 167</v>
      </c>
      <c r="W55" s="883" t="s">
        <v>1066</v>
      </c>
      <c r="X55" s="883">
        <v>1.0000000000000001E-5</v>
      </c>
      <c r="Y55" s="883">
        <v>3.0000000000000001E-5</v>
      </c>
    </row>
    <row r="56" spans="1:30" ht="10.5" customHeight="1">
      <c r="A56" s="880" t="s">
        <v>1065</v>
      </c>
      <c r="B56" s="881"/>
      <c r="C56" s="881"/>
      <c r="D56" s="142" t="str">
        <f t="shared" si="25"/>
        <v/>
      </c>
      <c r="E56" s="142" t="str">
        <f t="shared" si="18"/>
        <v/>
      </c>
      <c r="F56" s="142" t="str">
        <f t="shared" si="19"/>
        <v/>
      </c>
      <c r="G56" s="142" t="str">
        <f t="shared" si="20"/>
        <v/>
      </c>
      <c r="H56" s="881"/>
      <c r="I56" s="881"/>
      <c r="J56" s="142" t="str">
        <f t="shared" si="26"/>
        <v/>
      </c>
      <c r="K56" s="142" t="str">
        <f t="shared" si="21"/>
        <v/>
      </c>
      <c r="L56" s="142" t="str">
        <f t="shared" si="22"/>
        <v/>
      </c>
      <c r="M56" s="143" t="str">
        <f t="shared" si="23"/>
        <v/>
      </c>
      <c r="O56" s="889" t="str">
        <f t="shared" si="24"/>
        <v/>
      </c>
      <c r="P56" s="138">
        <f t="shared" si="27"/>
        <v>0</v>
      </c>
      <c r="Q56" s="138" t="str">
        <f t="shared" si="28"/>
        <v/>
      </c>
      <c r="R56" s="138" t="str">
        <f t="shared" si="29"/>
        <v/>
      </c>
      <c r="S56" s="138" t="str">
        <f t="shared" si="30"/>
        <v/>
      </c>
      <c r="T56" s="139" t="str">
        <f t="shared" si="31"/>
        <v/>
      </c>
      <c r="U56" s="1045">
        <v>12</v>
      </c>
      <c r="V56" s="882" t="str">
        <f t="shared" si="32"/>
        <v>PCB 189</v>
      </c>
      <c r="W56" s="883" t="s">
        <v>1066</v>
      </c>
      <c r="X56" s="883">
        <v>1E-4</v>
      </c>
      <c r="Y56" s="883">
        <v>3.0000000000000001E-5</v>
      </c>
    </row>
    <row r="57" spans="1:30" ht="10.5" customHeight="1">
      <c r="A57" s="884" t="s">
        <v>1067</v>
      </c>
      <c r="B57" s="824"/>
      <c r="C57" s="824">
        <f>SUMIF($B45:$B56,"",C45:C56)</f>
        <v>0</v>
      </c>
      <c r="D57" s="142"/>
      <c r="E57" s="142" t="e">
        <f>IF(C57="","",C57/VolumeD1/$C$11/VoF*$E$11)</f>
        <v>#N/A</v>
      </c>
      <c r="F57" s="142" t="e">
        <f t="shared" si="19"/>
        <v>#N/A</v>
      </c>
      <c r="G57" s="142" t="e">
        <f>IF(E57="","",E57*AverageFlowDry1/$E$11/FF*$G$11*1000)</f>
        <v>#N/A</v>
      </c>
      <c r="H57" s="824"/>
      <c r="I57" s="672">
        <f>SUMIF($H45:$H56,"",I45:I56)</f>
        <v>0</v>
      </c>
      <c r="J57" s="835"/>
      <c r="K57" s="142" t="e">
        <f>IF(I57="","",I57/VolumeD2/$C$11/VoF*$E$11)</f>
        <v>#N/A</v>
      </c>
      <c r="L57" s="142" t="e">
        <f t="shared" si="22"/>
        <v>#N/A</v>
      </c>
      <c r="M57" s="143" t="e">
        <f>IF(K57="","",K57*AverageFlowDry2/$E$11/FF*$G$11*1000)</f>
        <v>#N/A</v>
      </c>
      <c r="O57" s="832" t="str">
        <f t="shared" si="24"/>
        <v/>
      </c>
      <c r="P57" s="138">
        <f t="shared" si="27"/>
        <v>0</v>
      </c>
      <c r="Q57" s="138"/>
      <c r="R57" s="138" t="e">
        <f t="shared" si="29"/>
        <v>#N/A</v>
      </c>
      <c r="S57" s="138" t="e">
        <f t="shared" si="30"/>
        <v>#N/A</v>
      </c>
      <c r="T57" s="139" t="e">
        <f t="shared" si="31"/>
        <v>#N/A</v>
      </c>
      <c r="V57" s="882"/>
      <c r="W57" s="883"/>
      <c r="X57" s="883"/>
      <c r="Y57" s="883"/>
    </row>
    <row r="58" spans="1:30" ht="10.5" customHeight="1">
      <c r="A58" s="884" t="s">
        <v>935</v>
      </c>
      <c r="B58" s="824"/>
      <c r="C58" s="824">
        <f>SUMIF($B45:$B56,"",C45:C56)</f>
        <v>0</v>
      </c>
      <c r="D58" s="142">
        <f>SUMIF($B45:$B56,"",D45:D56)</f>
        <v>0</v>
      </c>
      <c r="E58" s="142" t="e">
        <f>IF(D58="","",D58/VolumeD1/$C$11/VoF*$E$11)</f>
        <v>#N/A</v>
      </c>
      <c r="F58" s="142" t="e">
        <f t="shared" si="19"/>
        <v>#N/A</v>
      </c>
      <c r="G58" s="142" t="e">
        <f>IF(E58="","",E58*AverageFlowDry1/$E$11/FF*$G$11*1000)</f>
        <v>#N/A</v>
      </c>
      <c r="H58" s="672"/>
      <c r="I58" s="672">
        <f>SUMIF($H45:$H56,"",I45:I56)</f>
        <v>0</v>
      </c>
      <c r="J58" s="835">
        <f>SUMIF($H45:$H56,"",J45:J56)</f>
        <v>0</v>
      </c>
      <c r="K58" s="835" t="e">
        <f>IF(J58="","",J58/VolumeD2/$C$11/VoF*$E$11)</f>
        <v>#N/A</v>
      </c>
      <c r="L58" s="142" t="e">
        <f>IF(K58="","",K58*O2correction*CO2correction)</f>
        <v>#N/A</v>
      </c>
      <c r="M58" s="836" t="e">
        <f>IF(K58="","",K58*AverageFlowDry2/$E$11/FF*$G$11*1000)</f>
        <v>#N/A</v>
      </c>
      <c r="O58" s="832" t="str">
        <f t="shared" si="24"/>
        <v/>
      </c>
      <c r="P58" s="138">
        <f t="shared" si="27"/>
        <v>0</v>
      </c>
      <c r="Q58" s="138">
        <f>IF(AND(ISNUMBER(D58),ISNUMBER(J58)),AVERAGE(D58,J58),D58)</f>
        <v>0</v>
      </c>
      <c r="R58" s="138" t="e">
        <f t="shared" si="29"/>
        <v>#N/A</v>
      </c>
      <c r="S58" s="841" t="e">
        <f t="shared" si="30"/>
        <v>#N/A</v>
      </c>
      <c r="T58" s="139" t="e">
        <f t="shared" si="31"/>
        <v>#N/A</v>
      </c>
    </row>
    <row r="59" spans="1:30" ht="10.5" customHeight="1">
      <c r="A59" s="885" t="s">
        <v>936</v>
      </c>
      <c r="B59" s="834"/>
      <c r="C59" s="824">
        <f>C58+(C60-C58)/2</f>
        <v>0</v>
      </c>
      <c r="D59" s="142">
        <f>D58+(D60-D58)/2</f>
        <v>0</v>
      </c>
      <c r="E59" s="142" t="e">
        <f>IF(D59="","",D59/VolumeD1/$C$11/VoF*$E$11)</f>
        <v>#N/A</v>
      </c>
      <c r="F59" s="142" t="e">
        <f t="shared" si="19"/>
        <v>#N/A</v>
      </c>
      <c r="G59" s="142" t="e">
        <f>IF(E59="","",E59*AverageFlowDry1/$E$11/FF*$G$11*1000)</f>
        <v>#N/A</v>
      </c>
      <c r="H59" s="837"/>
      <c r="I59" s="672">
        <f>I58+(I60-I58)/2</f>
        <v>0</v>
      </c>
      <c r="J59" s="835">
        <f>J58+(J60-J58)/2</f>
        <v>0</v>
      </c>
      <c r="K59" s="835" t="e">
        <f>IF(J59="","",J59/VolumeD2/$C$11/VoF*$E$11)</f>
        <v>#N/A</v>
      </c>
      <c r="L59" s="142" t="e">
        <f>IF(K59="","",K59*O2correction*CO2correction)</f>
        <v>#N/A</v>
      </c>
      <c r="M59" s="836" t="e">
        <f>IF(K59="","",K59*AverageFlowDry2/$E$11/FF*$G$11*1000)</f>
        <v>#N/A</v>
      </c>
      <c r="O59" s="832" t="str">
        <f t="shared" si="24"/>
        <v/>
      </c>
      <c r="P59" s="138">
        <f t="shared" si="27"/>
        <v>0</v>
      </c>
      <c r="Q59" s="138">
        <f>IF(AND(ISNUMBER(D59),ISNUMBER(J59)),AVERAGE(D59,J59),D59)</f>
        <v>0</v>
      </c>
      <c r="R59" s="138" t="e">
        <f t="shared" si="29"/>
        <v>#N/A</v>
      </c>
      <c r="S59" s="841" t="e">
        <f t="shared" si="30"/>
        <v>#N/A</v>
      </c>
      <c r="T59" s="139" t="e">
        <f t="shared" si="31"/>
        <v>#N/A</v>
      </c>
    </row>
    <row r="60" spans="1:30" ht="10.5" customHeight="1" thickBot="1">
      <c r="A60" s="886" t="s">
        <v>980</v>
      </c>
      <c r="B60" s="650"/>
      <c r="C60" s="650">
        <f>SUM(C45:C56)</f>
        <v>0</v>
      </c>
      <c r="D60" s="148">
        <f>SUM(D45:D56)</f>
        <v>0</v>
      </c>
      <c r="E60" s="148" t="e">
        <f>IF(D60="","",D60/VolumeD1/$C$11/VoF*$E$11)</f>
        <v>#N/A</v>
      </c>
      <c r="F60" s="148" t="e">
        <f t="shared" si="19"/>
        <v>#N/A</v>
      </c>
      <c r="G60" s="148" t="e">
        <f>IF(E60="","",E60*AverageFlowDry1/$E$11/FF*$G$11*1000)</f>
        <v>#N/A</v>
      </c>
      <c r="H60" s="838"/>
      <c r="I60" s="838">
        <f>SUM(I45:I56)</f>
        <v>0</v>
      </c>
      <c r="J60" s="839">
        <f>SUM(J45:J56)</f>
        <v>0</v>
      </c>
      <c r="K60" s="839" t="e">
        <f>IF(J60="","",J60/VolumeD2/$C$11/VoF*$E$11)</f>
        <v>#N/A</v>
      </c>
      <c r="L60" s="148" t="e">
        <f>IF(K60="","",K60*O2correction*CO2correction)</f>
        <v>#N/A</v>
      </c>
      <c r="M60" s="840" t="e">
        <f>IF(K60="","",K60*AverageFlowDry2/$E$11/FF*$G$11*1000)</f>
        <v>#N/A</v>
      </c>
      <c r="O60" s="833" t="str">
        <f t="shared" si="24"/>
        <v/>
      </c>
      <c r="P60" s="178">
        <f t="shared" si="27"/>
        <v>0</v>
      </c>
      <c r="Q60" s="178">
        <f>IF(AND(ISNUMBER(D60),ISNUMBER(J60)),AVERAGE(D60,J60),D60)</f>
        <v>0</v>
      </c>
      <c r="R60" s="178" t="e">
        <f t="shared" si="29"/>
        <v>#N/A</v>
      </c>
      <c r="S60" s="842" t="e">
        <f t="shared" si="30"/>
        <v>#N/A</v>
      </c>
      <c r="T60" s="179" t="e">
        <f t="shared" si="31"/>
        <v>#N/A</v>
      </c>
    </row>
    <row r="61" spans="1:30" ht="12.75" customHeight="1" thickBot="1">
      <c r="A61" s="861"/>
      <c r="B61" s="2795" t="s">
        <v>8</v>
      </c>
      <c r="C61" s="2795"/>
      <c r="D61" s="2795"/>
      <c r="E61" s="2795"/>
      <c r="F61" s="2795"/>
      <c r="G61" s="862"/>
      <c r="H61" s="2795" t="s">
        <v>9</v>
      </c>
      <c r="I61" s="2795"/>
      <c r="J61" s="2795"/>
      <c r="K61" s="2795"/>
      <c r="L61" s="2795"/>
      <c r="M61" s="863"/>
      <c r="N61" s="864"/>
      <c r="O61" s="2797" t="s">
        <v>1242</v>
      </c>
      <c r="P61" s="2797"/>
      <c r="Q61" s="2797"/>
      <c r="R61" s="2797"/>
      <c r="S61" s="2797"/>
      <c r="T61" s="2797"/>
      <c r="U61" s="864"/>
    </row>
    <row r="62" spans="1:30" ht="10.5" customHeight="1">
      <c r="A62" s="865" t="s">
        <v>949</v>
      </c>
      <c r="B62" s="866"/>
      <c r="C62" s="867" t="s">
        <v>323</v>
      </c>
      <c r="D62" s="963" t="s">
        <v>914</v>
      </c>
      <c r="E62" s="867" t="s">
        <v>1371</v>
      </c>
      <c r="F62" s="868" t="s">
        <v>97</v>
      </c>
      <c r="G62" s="867" t="s">
        <v>1329</v>
      </c>
      <c r="H62" s="866"/>
      <c r="I62" s="867" t="s">
        <v>323</v>
      </c>
      <c r="J62" s="964" t="str">
        <f>$D62</f>
        <v>BaP-TEQ</v>
      </c>
      <c r="K62" s="867" t="s">
        <v>1371</v>
      </c>
      <c r="L62" s="868" t="s">
        <v>97</v>
      </c>
      <c r="M62" s="869" t="s">
        <v>1329</v>
      </c>
      <c r="O62" s="870"/>
      <c r="P62" s="867" t="s">
        <v>323</v>
      </c>
      <c r="Q62" s="867" t="str">
        <f>$D62</f>
        <v>BaP-TEQ</v>
      </c>
      <c r="R62" s="867" t="s">
        <v>1371</v>
      </c>
      <c r="S62" s="868" t="s">
        <v>97</v>
      </c>
      <c r="T62" s="869" t="s">
        <v>1329</v>
      </c>
      <c r="W62" s="386" t="s">
        <v>913</v>
      </c>
      <c r="Z62" s="385" t="s">
        <v>1006</v>
      </c>
      <c r="AA62" s="2796" t="s">
        <v>8</v>
      </c>
      <c r="AB62" s="2796"/>
      <c r="AC62" s="2796" t="s">
        <v>9</v>
      </c>
      <c r="AD62" s="2796"/>
    </row>
    <row r="63" spans="1:30" ht="10.5" customHeight="1">
      <c r="A63" s="871"/>
      <c r="B63" s="779" t="s">
        <v>1333</v>
      </c>
      <c r="C63" s="872" t="s">
        <v>325</v>
      </c>
      <c r="D63" s="873" t="str">
        <f>$C63</f>
        <v>ng</v>
      </c>
      <c r="E63" s="872" t="s">
        <v>46</v>
      </c>
      <c r="F63" s="874" t="str">
        <f>$E63</f>
        <v>ng/m³</v>
      </c>
      <c r="G63" s="872" t="s">
        <v>950</v>
      </c>
      <c r="H63" s="779" t="s">
        <v>1333</v>
      </c>
      <c r="I63" s="873" t="str">
        <f>$C63</f>
        <v>ng</v>
      </c>
      <c r="J63" s="873" t="str">
        <f>$C63</f>
        <v>ng</v>
      </c>
      <c r="K63" s="877" t="str">
        <f>$E63</f>
        <v>ng/m³</v>
      </c>
      <c r="L63" s="874" t="str">
        <f>$E63</f>
        <v>ng/m³</v>
      </c>
      <c r="M63" s="875" t="str">
        <f>G63</f>
        <v>ng/min</v>
      </c>
      <c r="O63" s="778" t="s">
        <v>1333</v>
      </c>
      <c r="P63" s="873" t="str">
        <f>$C63</f>
        <v>ng</v>
      </c>
      <c r="Q63" s="873" t="str">
        <f>$C63</f>
        <v>ng</v>
      </c>
      <c r="R63" s="877" t="str">
        <f>$E63</f>
        <v>ng/m³</v>
      </c>
      <c r="S63" s="874" t="str">
        <f>$E63</f>
        <v>ng/m³</v>
      </c>
      <c r="T63" s="875" t="str">
        <f>$G63</f>
        <v>ng/min</v>
      </c>
      <c r="Z63" s="385"/>
      <c r="AA63" s="386" t="s">
        <v>819</v>
      </c>
      <c r="AB63" s="385"/>
      <c r="AC63" s="386" t="s">
        <v>819</v>
      </c>
      <c r="AD63" s="385"/>
    </row>
    <row r="64" spans="1:30" ht="10.5" hidden="1" customHeight="1">
      <c r="A64" s="871"/>
      <c r="B64" s="876"/>
      <c r="C64" s="823">
        <f>VLOOKUP(C63,MassTable,2,FALSE)</f>
        <v>1000000000</v>
      </c>
      <c r="D64" s="873"/>
      <c r="E64" s="823">
        <f>VLOOKUP(E63,ConcTable,2,FALSE)</f>
        <v>1000000000000</v>
      </c>
      <c r="F64" s="873"/>
      <c r="G64" s="823">
        <f>VLOOKUP(G63,MassRateTable,2,FALSE)</f>
        <v>60000000000</v>
      </c>
      <c r="H64" s="876"/>
      <c r="I64" s="877"/>
      <c r="J64" s="877"/>
      <c r="K64" s="877"/>
      <c r="L64" s="873"/>
      <c r="M64" s="875"/>
      <c r="O64" s="871"/>
      <c r="P64" s="877"/>
      <c r="Q64" s="877"/>
      <c r="R64" s="877"/>
      <c r="S64" s="887"/>
      <c r="T64" s="875"/>
      <c r="V64" s="878"/>
      <c r="W64" s="879"/>
      <c r="AA64" s="949"/>
      <c r="AC64" s="949"/>
    </row>
    <row r="65" spans="1:30" ht="10.5" customHeight="1">
      <c r="A65" s="1046" t="s">
        <v>915</v>
      </c>
      <c r="B65" s="881"/>
      <c r="C65" s="881"/>
      <c r="D65" s="142" t="str">
        <f>IF(C65="","",C65*$W65)</f>
        <v/>
      </c>
      <c r="E65" s="142" t="str">
        <f t="shared" ref="E65:E85" si="33">IF(C65="","",C65/VolumeD1/$C$64/VoF*$E$64)</f>
        <v/>
      </c>
      <c r="F65" s="142" t="str">
        <f t="shared" ref="F65:F88" si="34">IF(E65="","",E65*O2correction*CO2correction)</f>
        <v/>
      </c>
      <c r="G65" s="142" t="str">
        <f t="shared" ref="G65:G88" si="35">IF(E65="","",E65*AverageFlowDry1/$E$64/FF*$G$64*1000)</f>
        <v/>
      </c>
      <c r="H65" s="881"/>
      <c r="I65" s="881"/>
      <c r="J65" s="142" t="str">
        <f>IF(I65="","",I65*$W65)</f>
        <v/>
      </c>
      <c r="K65" s="142" t="str">
        <f t="shared" ref="K65:K85" si="36">IF(I65="","",I65/VolumeD2/$C$64/VoF*$E$64)</f>
        <v/>
      </c>
      <c r="L65" s="142" t="str">
        <f t="shared" ref="L65:L88" si="37">IF(K65="","",K65*O2correction*CO2correction)</f>
        <v/>
      </c>
      <c r="M65" s="143" t="str">
        <f t="shared" ref="M65:M88" si="38">IF(K65="","",K65*AverageFlowDry2/$E$64/FF*$G$64*1000)</f>
        <v/>
      </c>
      <c r="O65" s="889" t="str">
        <f t="shared" ref="O65:O88" si="39">IF(AND(ISTEXT(B65),ISTEXT(H65)),"&lt;",IF(OR(ISTEXT(B65),ISTEXT(H65)),"≤",""))</f>
        <v/>
      </c>
      <c r="P65" s="138">
        <f>IF(AND(ISNUMBER(C65),ISNUMBER(I65)),AVERAGE(C65,I65),C65)</f>
        <v>0</v>
      </c>
      <c r="Q65" s="138" t="str">
        <f>IF(AND(ISNUMBER(D65),ISNUMBER(J65)),AVERAGE(D65,J65),D65)</f>
        <v/>
      </c>
      <c r="R65" s="138" t="str">
        <f>IF(AND(ISNUMBER(E65),ISNUMBER(K65)),AVERAGE(E65,K65),E65)</f>
        <v/>
      </c>
      <c r="S65" s="138" t="str">
        <f>IF(AND(ISNUMBER(F65),ISNUMBER(L65)),AVERAGE(F65,L65),F65)</f>
        <v/>
      </c>
      <c r="T65" s="139" t="str">
        <f t="shared" ref="T65:T88" si="40">IF(AND(ISNUMBER(G65),ISNUMBER(M65)),AVERAGE(G65,M65),G65)</f>
        <v/>
      </c>
      <c r="U65" s="1045">
        <v>1</v>
      </c>
      <c r="V65" s="882" t="s">
        <v>915</v>
      </c>
      <c r="W65" s="883">
        <v>0</v>
      </c>
      <c r="Z65" s="946" t="s">
        <v>915</v>
      </c>
      <c r="AA65" s="950"/>
      <c r="AB65" s="947"/>
      <c r="AC65" s="950"/>
      <c r="AD65" s="947"/>
    </row>
    <row r="66" spans="1:30" ht="10.5" customHeight="1">
      <c r="A66" s="1047" t="s">
        <v>917</v>
      </c>
      <c r="B66" s="881"/>
      <c r="C66" s="881"/>
      <c r="D66" s="142" t="str">
        <f t="shared" ref="D66:D83" si="41">IF(C66="","",C66*$W66)</f>
        <v/>
      </c>
      <c r="E66" s="142" t="str">
        <f t="shared" si="33"/>
        <v/>
      </c>
      <c r="F66" s="142" t="str">
        <f t="shared" si="34"/>
        <v/>
      </c>
      <c r="G66" s="142" t="str">
        <f t="shared" si="35"/>
        <v/>
      </c>
      <c r="H66" s="881"/>
      <c r="I66" s="881"/>
      <c r="J66" s="142" t="str">
        <f t="shared" ref="J66:J83" si="42">IF(I66="","",I66*$W66)</f>
        <v/>
      </c>
      <c r="K66" s="142" t="str">
        <f t="shared" si="36"/>
        <v/>
      </c>
      <c r="L66" s="142" t="str">
        <f t="shared" si="37"/>
        <v/>
      </c>
      <c r="M66" s="143" t="str">
        <f t="shared" si="38"/>
        <v/>
      </c>
      <c r="O66" s="889" t="str">
        <f t="shared" si="39"/>
        <v/>
      </c>
      <c r="P66" s="138">
        <f t="shared" ref="P66:P85" si="43">IF(AND(ISNUMBER(C66),ISNUMBER(I66)),AVERAGE(C66,I66),C66)</f>
        <v>0</v>
      </c>
      <c r="Q66" s="138" t="str">
        <f t="shared" ref="Q66:Q88" si="44">IF(AND(ISNUMBER(D66),ISNUMBER(J66)),AVERAGE(D66,J66),D66)</f>
        <v/>
      </c>
      <c r="R66" s="138" t="str">
        <f t="shared" ref="R66:R88" si="45">IF(AND(ISNUMBER(E66),ISNUMBER(K66)),AVERAGE(E66,K66),E66)</f>
        <v/>
      </c>
      <c r="S66" s="138" t="str">
        <f t="shared" ref="S66:S88" si="46">IF(AND(ISNUMBER(F66),ISNUMBER(L66)),AVERAGE(F66,L66),F66)</f>
        <v/>
      </c>
      <c r="T66" s="139" t="str">
        <f t="shared" si="40"/>
        <v/>
      </c>
      <c r="U66" s="1045">
        <v>2</v>
      </c>
      <c r="V66" s="888" t="s">
        <v>917</v>
      </c>
      <c r="W66" s="883">
        <v>0</v>
      </c>
      <c r="Z66" s="946" t="s">
        <v>917</v>
      </c>
      <c r="AA66" s="950"/>
      <c r="AB66" s="947"/>
      <c r="AC66" s="950"/>
      <c r="AD66" s="947"/>
    </row>
    <row r="67" spans="1:30" ht="10.5" customHeight="1">
      <c r="A67" s="1046" t="s">
        <v>918</v>
      </c>
      <c r="B67" s="881"/>
      <c r="C67" s="881"/>
      <c r="D67" s="142" t="str">
        <f t="shared" si="41"/>
        <v/>
      </c>
      <c r="E67" s="142" t="str">
        <f t="shared" si="33"/>
        <v/>
      </c>
      <c r="F67" s="142" t="str">
        <f t="shared" si="34"/>
        <v/>
      </c>
      <c r="G67" s="142" t="str">
        <f t="shared" si="35"/>
        <v/>
      </c>
      <c r="H67" s="881"/>
      <c r="I67" s="881"/>
      <c r="J67" s="142" t="str">
        <f t="shared" si="42"/>
        <v/>
      </c>
      <c r="K67" s="142" t="str">
        <f t="shared" si="36"/>
        <v/>
      </c>
      <c r="L67" s="142" t="str">
        <f t="shared" si="37"/>
        <v/>
      </c>
      <c r="M67" s="143" t="str">
        <f t="shared" si="38"/>
        <v/>
      </c>
      <c r="O67" s="889" t="str">
        <f t="shared" si="39"/>
        <v/>
      </c>
      <c r="P67" s="138">
        <f t="shared" si="43"/>
        <v>0</v>
      </c>
      <c r="Q67" s="138" t="str">
        <f t="shared" si="44"/>
        <v/>
      </c>
      <c r="R67" s="138" t="str">
        <f t="shared" si="45"/>
        <v/>
      </c>
      <c r="S67" s="138" t="str">
        <f t="shared" si="46"/>
        <v/>
      </c>
      <c r="T67" s="139" t="str">
        <f t="shared" si="40"/>
        <v/>
      </c>
      <c r="U67" s="1045">
        <v>3</v>
      </c>
      <c r="V67" s="882" t="s">
        <v>918</v>
      </c>
      <c r="W67" s="883">
        <v>0</v>
      </c>
      <c r="Z67" s="946" t="s">
        <v>918</v>
      </c>
      <c r="AA67" s="950"/>
      <c r="AB67" s="947"/>
      <c r="AC67" s="950"/>
      <c r="AD67" s="947"/>
    </row>
    <row r="68" spans="1:30" ht="10.5" customHeight="1">
      <c r="A68" s="1046" t="s">
        <v>919</v>
      </c>
      <c r="B68" s="881"/>
      <c r="C68" s="881"/>
      <c r="D68" s="142" t="str">
        <f t="shared" si="41"/>
        <v/>
      </c>
      <c r="E68" s="142" t="str">
        <f t="shared" si="33"/>
        <v/>
      </c>
      <c r="F68" s="142" t="str">
        <f t="shared" si="34"/>
        <v/>
      </c>
      <c r="G68" s="142" t="str">
        <f t="shared" si="35"/>
        <v/>
      </c>
      <c r="H68" s="881"/>
      <c r="I68" s="881"/>
      <c r="J68" s="142" t="str">
        <f t="shared" si="42"/>
        <v/>
      </c>
      <c r="K68" s="142" t="str">
        <f t="shared" si="36"/>
        <v/>
      </c>
      <c r="L68" s="142" t="str">
        <f t="shared" si="37"/>
        <v/>
      </c>
      <c r="M68" s="143" t="str">
        <f t="shared" si="38"/>
        <v/>
      </c>
      <c r="O68" s="889" t="str">
        <f t="shared" si="39"/>
        <v/>
      </c>
      <c r="P68" s="138">
        <f t="shared" si="43"/>
        <v>0</v>
      </c>
      <c r="Q68" s="138" t="str">
        <f t="shared" si="44"/>
        <v/>
      </c>
      <c r="R68" s="138" t="str">
        <f t="shared" si="45"/>
        <v/>
      </c>
      <c r="S68" s="138" t="str">
        <f t="shared" si="46"/>
        <v/>
      </c>
      <c r="T68" s="139" t="str">
        <f t="shared" si="40"/>
        <v/>
      </c>
      <c r="U68" s="1045">
        <v>4</v>
      </c>
      <c r="V68" s="882" t="s">
        <v>919</v>
      </c>
      <c r="W68" s="883">
        <v>0</v>
      </c>
      <c r="Z68" s="946" t="s">
        <v>919</v>
      </c>
      <c r="AA68" s="950"/>
      <c r="AB68" s="947"/>
      <c r="AC68" s="950"/>
      <c r="AD68" s="947"/>
    </row>
    <row r="69" spans="1:30" ht="10.5" customHeight="1">
      <c r="A69" s="1046" t="s">
        <v>920</v>
      </c>
      <c r="B69" s="881"/>
      <c r="C69" s="881"/>
      <c r="D69" s="142" t="str">
        <f t="shared" si="41"/>
        <v/>
      </c>
      <c r="E69" s="142" t="str">
        <f t="shared" si="33"/>
        <v/>
      </c>
      <c r="F69" s="142" t="str">
        <f t="shared" si="34"/>
        <v/>
      </c>
      <c r="G69" s="142" t="str">
        <f t="shared" si="35"/>
        <v/>
      </c>
      <c r="H69" s="881"/>
      <c r="I69" s="881"/>
      <c r="J69" s="142" t="str">
        <f t="shared" si="42"/>
        <v/>
      </c>
      <c r="K69" s="142" t="str">
        <f t="shared" si="36"/>
        <v/>
      </c>
      <c r="L69" s="142" t="str">
        <f t="shared" si="37"/>
        <v/>
      </c>
      <c r="M69" s="143" t="str">
        <f t="shared" si="38"/>
        <v/>
      </c>
      <c r="O69" s="889" t="str">
        <f t="shared" si="39"/>
        <v/>
      </c>
      <c r="P69" s="138">
        <f t="shared" si="43"/>
        <v>0</v>
      </c>
      <c r="Q69" s="138" t="str">
        <f t="shared" si="44"/>
        <v/>
      </c>
      <c r="R69" s="138" t="str">
        <f t="shared" si="45"/>
        <v/>
      </c>
      <c r="S69" s="138" t="str">
        <f t="shared" si="46"/>
        <v/>
      </c>
      <c r="T69" s="139" t="str">
        <f t="shared" si="40"/>
        <v/>
      </c>
      <c r="U69" s="1045">
        <v>5</v>
      </c>
      <c r="V69" s="882" t="s">
        <v>920</v>
      </c>
      <c r="W69" s="883">
        <v>0</v>
      </c>
      <c r="Z69" s="946" t="s">
        <v>920</v>
      </c>
      <c r="AA69" s="950"/>
      <c r="AB69" s="947"/>
      <c r="AC69" s="950"/>
      <c r="AD69" s="947"/>
    </row>
    <row r="70" spans="1:30" ht="10.5" customHeight="1">
      <c r="A70" s="1046" t="s">
        <v>921</v>
      </c>
      <c r="B70" s="881"/>
      <c r="C70" s="881"/>
      <c r="D70" s="142" t="str">
        <f t="shared" si="41"/>
        <v/>
      </c>
      <c r="E70" s="142" t="str">
        <f t="shared" si="33"/>
        <v/>
      </c>
      <c r="F70" s="142" t="str">
        <f t="shared" si="34"/>
        <v/>
      </c>
      <c r="G70" s="142" t="str">
        <f t="shared" si="35"/>
        <v/>
      </c>
      <c r="H70" s="881"/>
      <c r="I70" s="881"/>
      <c r="J70" s="142" t="str">
        <f t="shared" si="42"/>
        <v/>
      </c>
      <c r="K70" s="142" t="str">
        <f t="shared" si="36"/>
        <v/>
      </c>
      <c r="L70" s="142" t="str">
        <f t="shared" si="37"/>
        <v/>
      </c>
      <c r="M70" s="143" t="str">
        <f t="shared" si="38"/>
        <v/>
      </c>
      <c r="O70" s="889" t="str">
        <f t="shared" si="39"/>
        <v/>
      </c>
      <c r="P70" s="138">
        <f t="shared" si="43"/>
        <v>0</v>
      </c>
      <c r="Q70" s="138" t="str">
        <f t="shared" si="44"/>
        <v/>
      </c>
      <c r="R70" s="138" t="str">
        <f t="shared" si="45"/>
        <v/>
      </c>
      <c r="S70" s="138" t="str">
        <f t="shared" si="46"/>
        <v/>
      </c>
      <c r="T70" s="139" t="str">
        <f t="shared" si="40"/>
        <v/>
      </c>
      <c r="U70" s="1045">
        <v>6</v>
      </c>
      <c r="V70" s="882" t="s">
        <v>921</v>
      </c>
      <c r="W70" s="883">
        <v>0</v>
      </c>
      <c r="Z70" s="946" t="s">
        <v>921</v>
      </c>
      <c r="AA70" s="950"/>
      <c r="AB70" s="947"/>
      <c r="AC70" s="950"/>
      <c r="AD70" s="947"/>
    </row>
    <row r="71" spans="1:30" ht="10.5" customHeight="1">
      <c r="A71" s="1046" t="s">
        <v>922</v>
      </c>
      <c r="B71" s="881"/>
      <c r="C71" s="881"/>
      <c r="D71" s="142" t="str">
        <f t="shared" si="41"/>
        <v/>
      </c>
      <c r="E71" s="142" t="str">
        <f t="shared" si="33"/>
        <v/>
      </c>
      <c r="F71" s="142" t="str">
        <f t="shared" si="34"/>
        <v/>
      </c>
      <c r="G71" s="142" t="str">
        <f t="shared" si="35"/>
        <v/>
      </c>
      <c r="H71" s="881"/>
      <c r="I71" s="881"/>
      <c r="J71" s="142" t="str">
        <f t="shared" si="42"/>
        <v/>
      </c>
      <c r="K71" s="142" t="str">
        <f t="shared" si="36"/>
        <v/>
      </c>
      <c r="L71" s="142" t="str">
        <f t="shared" si="37"/>
        <v/>
      </c>
      <c r="M71" s="143" t="str">
        <f t="shared" si="38"/>
        <v/>
      </c>
      <c r="O71" s="889" t="str">
        <f t="shared" si="39"/>
        <v/>
      </c>
      <c r="P71" s="138">
        <f t="shared" si="43"/>
        <v>0</v>
      </c>
      <c r="Q71" s="138" t="str">
        <f t="shared" si="44"/>
        <v/>
      </c>
      <c r="R71" s="138" t="str">
        <f t="shared" si="45"/>
        <v/>
      </c>
      <c r="S71" s="138" t="str">
        <f t="shared" si="46"/>
        <v/>
      </c>
      <c r="T71" s="139" t="str">
        <f t="shared" si="40"/>
        <v/>
      </c>
      <c r="U71" s="1045">
        <v>7</v>
      </c>
      <c r="V71" s="882" t="s">
        <v>922</v>
      </c>
      <c r="W71" s="883">
        <v>0</v>
      </c>
      <c r="Z71" s="946" t="s">
        <v>922</v>
      </c>
      <c r="AA71" s="950"/>
      <c r="AB71" s="947"/>
      <c r="AC71" s="950"/>
      <c r="AD71" s="947"/>
    </row>
    <row r="72" spans="1:30" ht="10.5" customHeight="1">
      <c r="A72" s="1046" t="s">
        <v>923</v>
      </c>
      <c r="B72" s="881"/>
      <c r="C72" s="881"/>
      <c r="D72" s="142" t="str">
        <f t="shared" si="41"/>
        <v/>
      </c>
      <c r="E72" s="142" t="str">
        <f t="shared" si="33"/>
        <v/>
      </c>
      <c r="F72" s="142" t="str">
        <f t="shared" si="34"/>
        <v/>
      </c>
      <c r="G72" s="142" t="str">
        <f t="shared" si="35"/>
        <v/>
      </c>
      <c r="H72" s="881"/>
      <c r="I72" s="881"/>
      <c r="J72" s="142" t="str">
        <f t="shared" si="42"/>
        <v/>
      </c>
      <c r="K72" s="142" t="str">
        <f t="shared" si="36"/>
        <v/>
      </c>
      <c r="L72" s="142" t="str">
        <f t="shared" si="37"/>
        <v/>
      </c>
      <c r="M72" s="143" t="str">
        <f t="shared" si="38"/>
        <v/>
      </c>
      <c r="O72" s="889" t="str">
        <f t="shared" si="39"/>
        <v/>
      </c>
      <c r="P72" s="138">
        <f t="shared" si="43"/>
        <v>0</v>
      </c>
      <c r="Q72" s="138" t="str">
        <f t="shared" si="44"/>
        <v/>
      </c>
      <c r="R72" s="138" t="str">
        <f t="shared" si="45"/>
        <v/>
      </c>
      <c r="S72" s="138" t="str">
        <f t="shared" si="46"/>
        <v/>
      </c>
      <c r="T72" s="139" t="str">
        <f t="shared" si="40"/>
        <v/>
      </c>
      <c r="U72" s="1045">
        <v>8</v>
      </c>
      <c r="V72" s="882" t="s">
        <v>923</v>
      </c>
      <c r="W72" s="883">
        <v>0</v>
      </c>
      <c r="Z72" s="946" t="s">
        <v>923</v>
      </c>
      <c r="AA72" s="950"/>
      <c r="AB72" s="947"/>
      <c r="AC72" s="950"/>
      <c r="AD72" s="947"/>
    </row>
    <row r="73" spans="1:30" ht="10.5" customHeight="1">
      <c r="A73" s="1046" t="s">
        <v>924</v>
      </c>
      <c r="B73" s="881"/>
      <c r="C73" s="881"/>
      <c r="D73" s="142" t="str">
        <f t="shared" si="41"/>
        <v/>
      </c>
      <c r="E73" s="142" t="str">
        <f t="shared" si="33"/>
        <v/>
      </c>
      <c r="F73" s="142" t="str">
        <f t="shared" si="34"/>
        <v/>
      </c>
      <c r="G73" s="142" t="str">
        <f t="shared" si="35"/>
        <v/>
      </c>
      <c r="H73" s="881"/>
      <c r="I73" s="881"/>
      <c r="J73" s="142" t="str">
        <f t="shared" si="42"/>
        <v/>
      </c>
      <c r="K73" s="142" t="str">
        <f t="shared" si="36"/>
        <v/>
      </c>
      <c r="L73" s="142" t="str">
        <f t="shared" si="37"/>
        <v/>
      </c>
      <c r="M73" s="143" t="str">
        <f t="shared" si="38"/>
        <v/>
      </c>
      <c r="O73" s="889" t="str">
        <f t="shared" si="39"/>
        <v/>
      </c>
      <c r="P73" s="138">
        <f t="shared" si="43"/>
        <v>0</v>
      </c>
      <c r="Q73" s="138" t="str">
        <f t="shared" si="44"/>
        <v/>
      </c>
      <c r="R73" s="138" t="str">
        <f t="shared" si="45"/>
        <v/>
      </c>
      <c r="S73" s="138" t="str">
        <f t="shared" si="46"/>
        <v/>
      </c>
      <c r="T73" s="139" t="str">
        <f t="shared" si="40"/>
        <v/>
      </c>
      <c r="U73" s="1045">
        <v>9</v>
      </c>
      <c r="V73" s="882" t="s">
        <v>924</v>
      </c>
      <c r="W73" s="883">
        <v>0</v>
      </c>
      <c r="Z73" s="946" t="s">
        <v>924</v>
      </c>
      <c r="AA73" s="950"/>
      <c r="AB73" s="947"/>
      <c r="AC73" s="950"/>
      <c r="AD73" s="947"/>
    </row>
    <row r="74" spans="1:30" ht="10.5" customHeight="1">
      <c r="A74" s="1046" t="s">
        <v>925</v>
      </c>
      <c r="B74" s="881"/>
      <c r="C74" s="881"/>
      <c r="D74" s="142" t="str">
        <f t="shared" si="41"/>
        <v/>
      </c>
      <c r="E74" s="142" t="str">
        <f t="shared" si="33"/>
        <v/>
      </c>
      <c r="F74" s="142" t="str">
        <f t="shared" si="34"/>
        <v/>
      </c>
      <c r="G74" s="142" t="str">
        <f t="shared" si="35"/>
        <v/>
      </c>
      <c r="H74" s="881"/>
      <c r="I74" s="881"/>
      <c r="J74" s="142" t="str">
        <f t="shared" si="42"/>
        <v/>
      </c>
      <c r="K74" s="142" t="str">
        <f t="shared" si="36"/>
        <v/>
      </c>
      <c r="L74" s="142" t="str">
        <f t="shared" si="37"/>
        <v/>
      </c>
      <c r="M74" s="143" t="str">
        <f t="shared" si="38"/>
        <v/>
      </c>
      <c r="O74" s="889" t="str">
        <f t="shared" si="39"/>
        <v/>
      </c>
      <c r="P74" s="138">
        <f t="shared" si="43"/>
        <v>0</v>
      </c>
      <c r="Q74" s="138" t="str">
        <f t="shared" si="44"/>
        <v/>
      </c>
      <c r="R74" s="138" t="str">
        <f t="shared" si="45"/>
        <v/>
      </c>
      <c r="S74" s="138" t="str">
        <f t="shared" si="46"/>
        <v/>
      </c>
      <c r="T74" s="139" t="str">
        <f t="shared" si="40"/>
        <v/>
      </c>
      <c r="U74" s="1045">
        <v>10</v>
      </c>
      <c r="V74" s="882" t="s">
        <v>925</v>
      </c>
      <c r="W74" s="883">
        <v>0.1</v>
      </c>
      <c r="Z74" s="946" t="s">
        <v>925</v>
      </c>
      <c r="AA74" s="950"/>
      <c r="AB74" s="947"/>
      <c r="AC74" s="950"/>
      <c r="AD74" s="947"/>
    </row>
    <row r="75" spans="1:30" ht="10.5" customHeight="1">
      <c r="A75" s="1046" t="s">
        <v>926</v>
      </c>
      <c r="B75" s="881"/>
      <c r="C75" s="881"/>
      <c r="D75" s="142" t="str">
        <f t="shared" si="41"/>
        <v/>
      </c>
      <c r="E75" s="142" t="str">
        <f t="shared" si="33"/>
        <v/>
      </c>
      <c r="F75" s="142" t="str">
        <f t="shared" si="34"/>
        <v/>
      </c>
      <c r="G75" s="142" t="str">
        <f t="shared" si="35"/>
        <v/>
      </c>
      <c r="H75" s="881"/>
      <c r="I75" s="881"/>
      <c r="J75" s="142" t="str">
        <f t="shared" si="42"/>
        <v/>
      </c>
      <c r="K75" s="142" t="str">
        <f t="shared" si="36"/>
        <v/>
      </c>
      <c r="L75" s="142" t="str">
        <f t="shared" si="37"/>
        <v/>
      </c>
      <c r="M75" s="143" t="str">
        <f t="shared" si="38"/>
        <v/>
      </c>
      <c r="O75" s="889" t="str">
        <f t="shared" si="39"/>
        <v/>
      </c>
      <c r="P75" s="138">
        <f t="shared" si="43"/>
        <v>0</v>
      </c>
      <c r="Q75" s="138" t="str">
        <f t="shared" si="44"/>
        <v/>
      </c>
      <c r="R75" s="138" t="str">
        <f t="shared" si="45"/>
        <v/>
      </c>
      <c r="S75" s="138" t="str">
        <f t="shared" si="46"/>
        <v/>
      </c>
      <c r="T75" s="139" t="str">
        <f t="shared" si="40"/>
        <v/>
      </c>
      <c r="U75" s="1045">
        <v>11</v>
      </c>
      <c r="V75" s="882" t="s">
        <v>926</v>
      </c>
      <c r="W75" s="883">
        <v>0.01</v>
      </c>
      <c r="Z75" s="946" t="s">
        <v>926</v>
      </c>
      <c r="AA75" s="950"/>
      <c r="AB75" s="947"/>
      <c r="AC75" s="950"/>
      <c r="AD75" s="947"/>
    </row>
    <row r="76" spans="1:30" ht="10.5" customHeight="1">
      <c r="A76" s="1046" t="s">
        <v>927</v>
      </c>
      <c r="B76" s="881"/>
      <c r="C76" s="881"/>
      <c r="D76" s="142" t="str">
        <f t="shared" si="41"/>
        <v/>
      </c>
      <c r="E76" s="142" t="str">
        <f t="shared" si="33"/>
        <v/>
      </c>
      <c r="F76" s="142" t="str">
        <f t="shared" si="34"/>
        <v/>
      </c>
      <c r="G76" s="142" t="str">
        <f t="shared" si="35"/>
        <v/>
      </c>
      <c r="H76" s="881"/>
      <c r="I76" s="881"/>
      <c r="J76" s="142" t="str">
        <f t="shared" si="42"/>
        <v/>
      </c>
      <c r="K76" s="142" t="str">
        <f t="shared" si="36"/>
        <v/>
      </c>
      <c r="L76" s="142" t="str">
        <f t="shared" si="37"/>
        <v/>
      </c>
      <c r="M76" s="143" t="str">
        <f t="shared" si="38"/>
        <v/>
      </c>
      <c r="O76" s="889" t="str">
        <f t="shared" si="39"/>
        <v/>
      </c>
      <c r="P76" s="138">
        <f t="shared" si="43"/>
        <v>0</v>
      </c>
      <c r="Q76" s="138" t="str">
        <f t="shared" si="44"/>
        <v/>
      </c>
      <c r="R76" s="138" t="str">
        <f t="shared" si="45"/>
        <v/>
      </c>
      <c r="S76" s="138" t="str">
        <f t="shared" si="46"/>
        <v/>
      </c>
      <c r="T76" s="139" t="str">
        <f t="shared" si="40"/>
        <v/>
      </c>
      <c r="U76" s="1045">
        <v>12</v>
      </c>
      <c r="V76" s="882" t="s">
        <v>927</v>
      </c>
      <c r="W76" s="883">
        <v>0.1</v>
      </c>
      <c r="Z76" s="946" t="s">
        <v>927</v>
      </c>
      <c r="AA76" s="950"/>
      <c r="AB76" s="947"/>
      <c r="AC76" s="950"/>
      <c r="AD76" s="947"/>
    </row>
    <row r="77" spans="1:30" ht="10.5" customHeight="1">
      <c r="A77" s="1046" t="s">
        <v>928</v>
      </c>
      <c r="B77" s="881"/>
      <c r="C77" s="881"/>
      <c r="D77" s="142" t="str">
        <f t="shared" si="41"/>
        <v/>
      </c>
      <c r="E77" s="142" t="str">
        <f t="shared" si="33"/>
        <v/>
      </c>
      <c r="F77" s="142" t="str">
        <f t="shared" si="34"/>
        <v/>
      </c>
      <c r="G77" s="142" t="str">
        <f t="shared" si="35"/>
        <v/>
      </c>
      <c r="H77" s="881"/>
      <c r="I77" s="881"/>
      <c r="J77" s="142" t="str">
        <f t="shared" si="42"/>
        <v/>
      </c>
      <c r="K77" s="142" t="str">
        <f t="shared" si="36"/>
        <v/>
      </c>
      <c r="L77" s="142" t="str">
        <f t="shared" si="37"/>
        <v/>
      </c>
      <c r="M77" s="143" t="str">
        <f t="shared" si="38"/>
        <v/>
      </c>
      <c r="O77" s="889" t="str">
        <f t="shared" si="39"/>
        <v/>
      </c>
      <c r="P77" s="138">
        <f t="shared" si="43"/>
        <v>0</v>
      </c>
      <c r="Q77" s="138" t="str">
        <f t="shared" si="44"/>
        <v/>
      </c>
      <c r="R77" s="138" t="str">
        <f t="shared" si="45"/>
        <v/>
      </c>
      <c r="S77" s="138" t="str">
        <f t="shared" si="46"/>
        <v/>
      </c>
      <c r="T77" s="139" t="str">
        <f t="shared" si="40"/>
        <v/>
      </c>
      <c r="U77" s="1045">
        <v>13</v>
      </c>
      <c r="V77" s="882" t="s">
        <v>928</v>
      </c>
      <c r="W77" s="883">
        <v>0.1</v>
      </c>
      <c r="Z77" s="946" t="s">
        <v>928</v>
      </c>
      <c r="AA77" s="950"/>
      <c r="AB77" s="947"/>
      <c r="AC77" s="950"/>
      <c r="AD77" s="947"/>
    </row>
    <row r="78" spans="1:30" ht="10.5" customHeight="1">
      <c r="A78" s="1047" t="s">
        <v>930</v>
      </c>
      <c r="B78" s="881"/>
      <c r="C78" s="881"/>
      <c r="D78" s="142" t="str">
        <f t="shared" si="41"/>
        <v/>
      </c>
      <c r="E78" s="142" t="str">
        <f t="shared" si="33"/>
        <v/>
      </c>
      <c r="F78" s="142" t="str">
        <f t="shared" si="34"/>
        <v/>
      </c>
      <c r="G78" s="142" t="str">
        <f t="shared" si="35"/>
        <v/>
      </c>
      <c r="H78" s="881"/>
      <c r="I78" s="881"/>
      <c r="J78" s="142" t="str">
        <f t="shared" si="42"/>
        <v/>
      </c>
      <c r="K78" s="142" t="str">
        <f t="shared" si="36"/>
        <v/>
      </c>
      <c r="L78" s="142" t="str">
        <f t="shared" si="37"/>
        <v/>
      </c>
      <c r="M78" s="143" t="str">
        <f t="shared" si="38"/>
        <v/>
      </c>
      <c r="O78" s="889" t="str">
        <f t="shared" si="39"/>
        <v/>
      </c>
      <c r="P78" s="138">
        <f t="shared" si="43"/>
        <v>0</v>
      </c>
      <c r="Q78" s="138" t="str">
        <f t="shared" si="44"/>
        <v/>
      </c>
      <c r="R78" s="138" t="str">
        <f t="shared" si="45"/>
        <v/>
      </c>
      <c r="S78" s="138" t="str">
        <f t="shared" si="46"/>
        <v/>
      </c>
      <c r="T78" s="139" t="str">
        <f t="shared" si="40"/>
        <v/>
      </c>
      <c r="U78" s="1045">
        <v>14</v>
      </c>
      <c r="V78" s="888" t="s">
        <v>930</v>
      </c>
      <c r="W78" s="883">
        <v>0</v>
      </c>
      <c r="Z78" s="946" t="s">
        <v>930</v>
      </c>
      <c r="AA78" s="950"/>
      <c r="AB78" s="947"/>
      <c r="AC78" s="950"/>
      <c r="AD78" s="947"/>
    </row>
    <row r="79" spans="1:30" ht="10.5" customHeight="1">
      <c r="A79" s="1046" t="s">
        <v>931</v>
      </c>
      <c r="B79" s="881"/>
      <c r="C79" s="881"/>
      <c r="D79" s="142" t="str">
        <f t="shared" si="41"/>
        <v/>
      </c>
      <c r="E79" s="142" t="str">
        <f t="shared" si="33"/>
        <v/>
      </c>
      <c r="F79" s="142" t="str">
        <f t="shared" si="34"/>
        <v/>
      </c>
      <c r="G79" s="142" t="str">
        <f t="shared" si="35"/>
        <v/>
      </c>
      <c r="H79" s="881"/>
      <c r="I79" s="881"/>
      <c r="J79" s="142" t="str">
        <f t="shared" si="42"/>
        <v/>
      </c>
      <c r="K79" s="142" t="str">
        <f t="shared" si="36"/>
        <v/>
      </c>
      <c r="L79" s="142" t="str">
        <f t="shared" si="37"/>
        <v/>
      </c>
      <c r="M79" s="143" t="str">
        <f t="shared" si="38"/>
        <v/>
      </c>
      <c r="O79" s="889" t="str">
        <f t="shared" si="39"/>
        <v/>
      </c>
      <c r="P79" s="138">
        <f t="shared" si="43"/>
        <v>0</v>
      </c>
      <c r="Q79" s="138" t="str">
        <f t="shared" si="44"/>
        <v/>
      </c>
      <c r="R79" s="138" t="str">
        <f t="shared" si="45"/>
        <v/>
      </c>
      <c r="S79" s="138" t="str">
        <f t="shared" si="46"/>
        <v/>
      </c>
      <c r="T79" s="139" t="str">
        <f t="shared" si="40"/>
        <v/>
      </c>
      <c r="U79" s="1045">
        <v>15</v>
      </c>
      <c r="V79" s="882" t="s">
        <v>931</v>
      </c>
      <c r="W79" s="883">
        <v>1</v>
      </c>
      <c r="Z79" s="946" t="s">
        <v>931</v>
      </c>
      <c r="AA79" s="950"/>
      <c r="AB79" s="947"/>
      <c r="AC79" s="950"/>
      <c r="AD79" s="947"/>
    </row>
    <row r="80" spans="1:30" ht="10.5" customHeight="1">
      <c r="A80" s="1047" t="s">
        <v>933</v>
      </c>
      <c r="B80" s="881"/>
      <c r="C80" s="881"/>
      <c r="D80" s="142" t="str">
        <f t="shared" si="41"/>
        <v/>
      </c>
      <c r="E80" s="142" t="str">
        <f t="shared" si="33"/>
        <v/>
      </c>
      <c r="F80" s="142" t="str">
        <f t="shared" si="34"/>
        <v/>
      </c>
      <c r="G80" s="142" t="str">
        <f t="shared" si="35"/>
        <v/>
      </c>
      <c r="H80" s="881"/>
      <c r="I80" s="881"/>
      <c r="J80" s="142" t="str">
        <f t="shared" si="42"/>
        <v/>
      </c>
      <c r="K80" s="142" t="str">
        <f t="shared" si="36"/>
        <v/>
      </c>
      <c r="L80" s="142" t="str">
        <f t="shared" si="37"/>
        <v/>
      </c>
      <c r="M80" s="143" t="str">
        <f t="shared" si="38"/>
        <v/>
      </c>
      <c r="O80" s="889" t="str">
        <f t="shared" si="39"/>
        <v/>
      </c>
      <c r="P80" s="138">
        <f t="shared" si="43"/>
        <v>0</v>
      </c>
      <c r="Q80" s="138" t="str">
        <f t="shared" si="44"/>
        <v/>
      </c>
      <c r="R80" s="138" t="str">
        <f t="shared" si="45"/>
        <v/>
      </c>
      <c r="S80" s="138" t="str">
        <f t="shared" si="46"/>
        <v/>
      </c>
      <c r="T80" s="139" t="str">
        <f t="shared" si="40"/>
        <v/>
      </c>
      <c r="U80" s="1045">
        <v>16</v>
      </c>
      <c r="V80" s="888" t="s">
        <v>933</v>
      </c>
      <c r="W80" s="883">
        <v>0</v>
      </c>
      <c r="Z80" s="946" t="s">
        <v>933</v>
      </c>
      <c r="AA80" s="950"/>
      <c r="AB80" s="947"/>
      <c r="AC80" s="950"/>
      <c r="AD80" s="947"/>
    </row>
    <row r="81" spans="1:30" ht="10.5" customHeight="1">
      <c r="A81" s="1046" t="s">
        <v>916</v>
      </c>
      <c r="B81" s="881"/>
      <c r="C81" s="881"/>
      <c r="D81" s="142" t="str">
        <f t="shared" si="41"/>
        <v/>
      </c>
      <c r="E81" s="142" t="str">
        <f t="shared" si="33"/>
        <v/>
      </c>
      <c r="F81" s="142" t="str">
        <f t="shared" si="34"/>
        <v/>
      </c>
      <c r="G81" s="142" t="str">
        <f t="shared" si="35"/>
        <v/>
      </c>
      <c r="H81" s="881"/>
      <c r="I81" s="881"/>
      <c r="J81" s="142" t="str">
        <f t="shared" si="42"/>
        <v/>
      </c>
      <c r="K81" s="142" t="str">
        <f t="shared" si="36"/>
        <v/>
      </c>
      <c r="L81" s="142" t="str">
        <f t="shared" si="37"/>
        <v/>
      </c>
      <c r="M81" s="143" t="str">
        <f t="shared" si="38"/>
        <v/>
      </c>
      <c r="O81" s="889" t="str">
        <f t="shared" si="39"/>
        <v/>
      </c>
      <c r="P81" s="138">
        <f t="shared" si="43"/>
        <v>0</v>
      </c>
      <c r="Q81" s="138" t="str">
        <f t="shared" si="44"/>
        <v/>
      </c>
      <c r="R81" s="138" t="str">
        <f t="shared" si="45"/>
        <v/>
      </c>
      <c r="S81" s="138" t="str">
        <f t="shared" si="46"/>
        <v/>
      </c>
      <c r="T81" s="139" t="str">
        <f t="shared" si="40"/>
        <v/>
      </c>
      <c r="U81" s="1045">
        <v>17</v>
      </c>
      <c r="V81" s="882" t="s">
        <v>916</v>
      </c>
      <c r="W81" s="883">
        <v>0.1</v>
      </c>
      <c r="Z81" s="946" t="s">
        <v>916</v>
      </c>
      <c r="AA81" s="950"/>
      <c r="AB81" s="947"/>
      <c r="AC81" s="950"/>
      <c r="AD81" s="947"/>
    </row>
    <row r="82" spans="1:30" ht="10.5" customHeight="1">
      <c r="A82" s="1046" t="s">
        <v>929</v>
      </c>
      <c r="B82" s="881"/>
      <c r="C82" s="881"/>
      <c r="D82" s="142" t="str">
        <f t="shared" si="41"/>
        <v/>
      </c>
      <c r="E82" s="142" t="str">
        <f t="shared" si="33"/>
        <v/>
      </c>
      <c r="F82" s="142" t="str">
        <f t="shared" si="34"/>
        <v/>
      </c>
      <c r="G82" s="142" t="str">
        <f t="shared" si="35"/>
        <v/>
      </c>
      <c r="H82" s="881"/>
      <c r="I82" s="881"/>
      <c r="J82" s="142" t="str">
        <f t="shared" si="42"/>
        <v/>
      </c>
      <c r="K82" s="142" t="str">
        <f t="shared" si="36"/>
        <v/>
      </c>
      <c r="L82" s="142" t="str">
        <f t="shared" si="37"/>
        <v/>
      </c>
      <c r="M82" s="143" t="str">
        <f t="shared" si="38"/>
        <v/>
      </c>
      <c r="O82" s="889" t="str">
        <f t="shared" si="39"/>
        <v/>
      </c>
      <c r="P82" s="138">
        <f t="shared" si="43"/>
        <v>0</v>
      </c>
      <c r="Q82" s="138" t="str">
        <f t="shared" si="44"/>
        <v/>
      </c>
      <c r="R82" s="138" t="str">
        <f t="shared" si="45"/>
        <v/>
      </c>
      <c r="S82" s="138" t="str">
        <f t="shared" si="46"/>
        <v/>
      </c>
      <c r="T82" s="139" t="str">
        <f t="shared" si="40"/>
        <v/>
      </c>
      <c r="U82" s="1045">
        <v>18</v>
      </c>
      <c r="V82" s="882" t="s">
        <v>929</v>
      </c>
      <c r="W82" s="883">
        <v>0.4</v>
      </c>
      <c r="Z82" s="946" t="s">
        <v>929</v>
      </c>
      <c r="AA82" s="950"/>
      <c r="AB82" s="947"/>
      <c r="AC82" s="950"/>
      <c r="AD82" s="947"/>
    </row>
    <row r="83" spans="1:30" ht="10.5" customHeight="1">
      <c r="A83" s="1046" t="s">
        <v>932</v>
      </c>
      <c r="B83" s="881"/>
      <c r="C83" s="881"/>
      <c r="D83" s="142" t="str">
        <f t="shared" si="41"/>
        <v/>
      </c>
      <c r="E83" s="142" t="str">
        <f t="shared" si="33"/>
        <v/>
      </c>
      <c r="F83" s="142" t="str">
        <f t="shared" si="34"/>
        <v/>
      </c>
      <c r="G83" s="142" t="str">
        <f t="shared" si="35"/>
        <v/>
      </c>
      <c r="H83" s="881"/>
      <c r="I83" s="881"/>
      <c r="J83" s="142" t="str">
        <f t="shared" si="42"/>
        <v/>
      </c>
      <c r="K83" s="142" t="str">
        <f t="shared" si="36"/>
        <v/>
      </c>
      <c r="L83" s="142" t="str">
        <f t="shared" si="37"/>
        <v/>
      </c>
      <c r="M83" s="143" t="str">
        <f t="shared" si="38"/>
        <v/>
      </c>
      <c r="O83" s="889" t="str">
        <f t="shared" si="39"/>
        <v/>
      </c>
      <c r="P83" s="138">
        <f t="shared" si="43"/>
        <v>0</v>
      </c>
      <c r="Q83" s="138" t="str">
        <f t="shared" si="44"/>
        <v/>
      </c>
      <c r="R83" s="138" t="str">
        <f t="shared" si="45"/>
        <v/>
      </c>
      <c r="S83" s="138" t="str">
        <f t="shared" si="46"/>
        <v/>
      </c>
      <c r="T83" s="139" t="str">
        <f t="shared" si="40"/>
        <v/>
      </c>
      <c r="U83" s="1045">
        <v>19</v>
      </c>
      <c r="V83" s="882" t="s">
        <v>932</v>
      </c>
      <c r="W83" s="883">
        <v>0</v>
      </c>
      <c r="Z83" s="946" t="s">
        <v>932</v>
      </c>
      <c r="AA83" s="950"/>
      <c r="AB83" s="947"/>
      <c r="AC83" s="950"/>
      <c r="AD83" s="947"/>
    </row>
    <row r="84" spans="1:30" ht="10.5" customHeight="1">
      <c r="A84" s="884" t="s">
        <v>1008</v>
      </c>
      <c r="B84" s="824"/>
      <c r="C84" s="824">
        <f>SUMIF($B66:$B81,"",C66:C81)</f>
        <v>0</v>
      </c>
      <c r="D84" s="142"/>
      <c r="E84" s="142" t="e">
        <f t="shared" si="33"/>
        <v>#N/A</v>
      </c>
      <c r="F84" s="142" t="e">
        <f t="shared" si="34"/>
        <v>#N/A</v>
      </c>
      <c r="G84" s="142" t="e">
        <f t="shared" si="35"/>
        <v>#N/A</v>
      </c>
      <c r="H84" s="824"/>
      <c r="I84" s="824">
        <f>SUMIF($H66:$H81,"",I66:I81)</f>
        <v>0</v>
      </c>
      <c r="J84" s="142"/>
      <c r="K84" s="142" t="e">
        <f t="shared" si="36"/>
        <v>#N/A</v>
      </c>
      <c r="L84" s="142" t="e">
        <f t="shared" si="37"/>
        <v>#N/A</v>
      </c>
      <c r="M84" s="143" t="e">
        <f t="shared" si="38"/>
        <v>#N/A</v>
      </c>
      <c r="O84" s="832" t="str">
        <f t="shared" si="39"/>
        <v/>
      </c>
      <c r="P84" s="138">
        <f t="shared" si="43"/>
        <v>0</v>
      </c>
      <c r="Q84" s="138"/>
      <c r="R84" s="138" t="e">
        <f t="shared" si="45"/>
        <v>#N/A</v>
      </c>
      <c r="S84" s="138" t="e">
        <f t="shared" si="46"/>
        <v>#N/A</v>
      </c>
      <c r="T84" s="139" t="e">
        <f t="shared" si="40"/>
        <v>#N/A</v>
      </c>
    </row>
    <row r="85" spans="1:30" ht="10.5" customHeight="1">
      <c r="A85" s="884" t="s">
        <v>1009</v>
      </c>
      <c r="B85" s="824"/>
      <c r="C85" s="824">
        <f>SUMIF($B65:$B83,"",C65:C83)</f>
        <v>0</v>
      </c>
      <c r="D85" s="142"/>
      <c r="E85" s="142" t="e">
        <f t="shared" si="33"/>
        <v>#N/A</v>
      </c>
      <c r="F85" s="142" t="e">
        <f t="shared" si="34"/>
        <v>#N/A</v>
      </c>
      <c r="G85" s="142" t="e">
        <f t="shared" si="35"/>
        <v>#N/A</v>
      </c>
      <c r="H85" s="824"/>
      <c r="I85" s="824">
        <f>SUMIF($H65:$H83,"",I65:I83)</f>
        <v>0</v>
      </c>
      <c r="J85" s="142"/>
      <c r="K85" s="142" t="e">
        <f t="shared" si="36"/>
        <v>#N/A</v>
      </c>
      <c r="L85" s="142" t="e">
        <f t="shared" si="37"/>
        <v>#N/A</v>
      </c>
      <c r="M85" s="143" t="e">
        <f t="shared" si="38"/>
        <v>#N/A</v>
      </c>
      <c r="O85" s="832" t="str">
        <f t="shared" si="39"/>
        <v/>
      </c>
      <c r="P85" s="138">
        <f t="shared" si="43"/>
        <v>0</v>
      </c>
      <c r="Q85" s="138"/>
      <c r="R85" s="138" t="e">
        <f t="shared" si="45"/>
        <v>#N/A</v>
      </c>
      <c r="S85" s="138" t="e">
        <f t="shared" si="46"/>
        <v>#N/A</v>
      </c>
      <c r="T85" s="139" t="e">
        <f t="shared" si="40"/>
        <v>#N/A</v>
      </c>
    </row>
    <row r="86" spans="1:30" ht="10.5" customHeight="1">
      <c r="A86" s="884" t="s">
        <v>935</v>
      </c>
      <c r="B86" s="824"/>
      <c r="C86" s="824"/>
      <c r="D86" s="142">
        <f>SUMIF($B65:$B83,"",D65:D83)</f>
        <v>0</v>
      </c>
      <c r="E86" s="142" t="e">
        <f>IF(D86="","",D86/VolumeD1/$C$64/VoF*$E$64)</f>
        <v>#N/A</v>
      </c>
      <c r="F86" s="142" t="e">
        <f t="shared" si="34"/>
        <v>#N/A</v>
      </c>
      <c r="G86" s="142" t="e">
        <f t="shared" si="35"/>
        <v>#N/A</v>
      </c>
      <c r="H86" s="824"/>
      <c r="I86" s="824"/>
      <c r="J86" s="142">
        <f>SUMIF($H65:$H83,"",J65:J83)</f>
        <v>0</v>
      </c>
      <c r="K86" s="142" t="e">
        <f>IF(J86="","",J86/VolumeD2/$C$64/VoF*$E$64)</f>
        <v>#N/A</v>
      </c>
      <c r="L86" s="142" t="e">
        <f t="shared" si="37"/>
        <v>#N/A</v>
      </c>
      <c r="M86" s="143" t="e">
        <f t="shared" si="38"/>
        <v>#N/A</v>
      </c>
      <c r="O86" s="832" t="str">
        <f t="shared" si="39"/>
        <v/>
      </c>
      <c r="P86" s="138"/>
      <c r="Q86" s="138">
        <f t="shared" si="44"/>
        <v>0</v>
      </c>
      <c r="R86" s="138" t="e">
        <f t="shared" si="45"/>
        <v>#N/A</v>
      </c>
      <c r="S86" s="138" t="e">
        <f t="shared" si="46"/>
        <v>#N/A</v>
      </c>
      <c r="T86" s="139" t="e">
        <f t="shared" si="40"/>
        <v>#N/A</v>
      </c>
    </row>
    <row r="87" spans="1:30" ht="10.5" customHeight="1">
      <c r="A87" s="885" t="s">
        <v>936</v>
      </c>
      <c r="B87" s="824"/>
      <c r="C87" s="834"/>
      <c r="D87" s="142">
        <f>D86+(D88-D86)/2</f>
        <v>0</v>
      </c>
      <c r="E87" s="142" t="e">
        <f>IF(D87="","",D87/VolumeD1/$C$64/VoF*$E$64)</f>
        <v>#N/A</v>
      </c>
      <c r="F87" s="142" t="e">
        <f t="shared" si="34"/>
        <v>#N/A</v>
      </c>
      <c r="G87" s="142" t="e">
        <f t="shared" si="35"/>
        <v>#N/A</v>
      </c>
      <c r="H87" s="824"/>
      <c r="I87" s="834"/>
      <c r="J87" s="835">
        <f>J86+(J88-J86)/2</f>
        <v>0</v>
      </c>
      <c r="K87" s="142" t="e">
        <f>IF(J87="","",J87/VolumeD2/$C$64/VoF*$E$64)</f>
        <v>#N/A</v>
      </c>
      <c r="L87" s="142" t="e">
        <f t="shared" si="37"/>
        <v>#N/A</v>
      </c>
      <c r="M87" s="143" t="e">
        <f t="shared" si="38"/>
        <v>#N/A</v>
      </c>
      <c r="O87" s="832" t="str">
        <f t="shared" si="39"/>
        <v/>
      </c>
      <c r="P87" s="948"/>
      <c r="Q87" s="138">
        <f>IF(AND(ISNUMBER(D87),ISNUMBER(J87)),AVERAGE(D87,J87),D87)</f>
        <v>0</v>
      </c>
      <c r="R87" s="138" t="e">
        <f>IF(AND(ISNUMBER(E87),ISNUMBER(K87)),AVERAGE(E87,K87),E87)</f>
        <v>#N/A</v>
      </c>
      <c r="S87" s="138" t="e">
        <f>IF(AND(ISNUMBER(F87),ISNUMBER(L87)),AVERAGE(F87,L87),F87)</f>
        <v>#N/A</v>
      </c>
      <c r="T87" s="139" t="e">
        <f>IF(AND(ISNUMBER(G87),ISNUMBER(M87)),AVERAGE(G87,M87),G87)</f>
        <v>#N/A</v>
      </c>
    </row>
    <row r="88" spans="1:30" ht="10.5" customHeight="1" thickBot="1">
      <c r="A88" s="886" t="s">
        <v>980</v>
      </c>
      <c r="B88" s="650"/>
      <c r="C88" s="650"/>
      <c r="D88" s="148">
        <f>SUM(D65:D83)</f>
        <v>0</v>
      </c>
      <c r="E88" s="148" t="e">
        <f>IF(D88="","",D88/VolumeD1/$C$64/VoF*$E$64)</f>
        <v>#N/A</v>
      </c>
      <c r="F88" s="148" t="e">
        <f t="shared" si="34"/>
        <v>#N/A</v>
      </c>
      <c r="G88" s="148" t="e">
        <f t="shared" si="35"/>
        <v>#N/A</v>
      </c>
      <c r="H88" s="650"/>
      <c r="I88" s="650"/>
      <c r="J88" s="148">
        <f>SUM(J65:J83)</f>
        <v>0</v>
      </c>
      <c r="K88" s="148" t="e">
        <f>IF(J88="","",J88/VolumeD2/$C$64/VoF*$E$64)</f>
        <v>#N/A</v>
      </c>
      <c r="L88" s="148" t="e">
        <f t="shared" si="37"/>
        <v>#N/A</v>
      </c>
      <c r="M88" s="149" t="e">
        <f t="shared" si="38"/>
        <v>#N/A</v>
      </c>
      <c r="O88" s="833" t="str">
        <f t="shared" si="39"/>
        <v/>
      </c>
      <c r="P88" s="178"/>
      <c r="Q88" s="178">
        <f t="shared" si="44"/>
        <v>0</v>
      </c>
      <c r="R88" s="178" t="e">
        <f t="shared" si="45"/>
        <v>#N/A</v>
      </c>
      <c r="S88" s="842" t="e">
        <f t="shared" si="46"/>
        <v>#N/A</v>
      </c>
      <c r="T88" s="179" t="e">
        <f t="shared" si="40"/>
        <v>#N/A</v>
      </c>
    </row>
    <row r="89" spans="1:30" ht="10.5" customHeight="1">
      <c r="A89" s="153"/>
      <c r="B89" s="153"/>
      <c r="C89" s="153"/>
      <c r="D89" s="153"/>
      <c r="E89" s="153"/>
      <c r="F89" s="153"/>
      <c r="G89" s="153"/>
      <c r="H89" s="153"/>
      <c r="I89" s="153"/>
      <c r="J89" s="153"/>
    </row>
    <row r="90" spans="1:30" ht="10.5" customHeight="1">
      <c r="B90" s="153"/>
      <c r="C90" s="150" t="s">
        <v>1198</v>
      </c>
      <c r="D90" s="151"/>
      <c r="E90" s="153"/>
      <c r="F90" s="153"/>
      <c r="G90" s="153"/>
      <c r="H90" s="150" t="s">
        <v>1199</v>
      </c>
      <c r="I90" s="151"/>
      <c r="J90" s="153"/>
    </row>
    <row r="91" spans="1:30" ht="10.5" customHeight="1">
      <c r="B91" s="153"/>
      <c r="C91" s="2597"/>
      <c r="D91" s="2598"/>
      <c r="E91" s="153"/>
      <c r="F91" s="153"/>
      <c r="G91" s="153"/>
      <c r="H91" s="2597"/>
      <c r="I91" s="2598"/>
      <c r="J91" s="153"/>
    </row>
    <row r="92" spans="1:30" ht="10.5" customHeight="1">
      <c r="B92" s="153"/>
      <c r="C92" s="2599"/>
      <c r="D92" s="2600"/>
      <c r="E92" s="153"/>
      <c r="F92" s="153"/>
      <c r="G92" s="153"/>
      <c r="H92" s="2599"/>
      <c r="I92" s="2600"/>
      <c r="J92" s="153"/>
    </row>
    <row r="93" spans="1:30" ht="10.5" customHeight="1">
      <c r="B93" s="153"/>
      <c r="C93" s="153"/>
      <c r="D93" s="153"/>
      <c r="E93" s="153"/>
      <c r="F93" s="153"/>
      <c r="G93" s="153"/>
      <c r="H93" s="153"/>
      <c r="I93" s="153"/>
      <c r="J93" s="153"/>
    </row>
  </sheetData>
  <sheetProtection sheet="1" objects="1" scenarios="1"/>
  <mergeCells count="15">
    <mergeCell ref="AC62:AD62"/>
    <mergeCell ref="O8:T8"/>
    <mergeCell ref="O41:T41"/>
    <mergeCell ref="O61:T61"/>
    <mergeCell ref="B1:C1"/>
    <mergeCell ref="D1:E1"/>
    <mergeCell ref="B41:F41"/>
    <mergeCell ref="H41:L41"/>
    <mergeCell ref="B8:F8"/>
    <mergeCell ref="H8:L8"/>
    <mergeCell ref="C91:D92"/>
    <mergeCell ref="H91:I92"/>
    <mergeCell ref="B61:F61"/>
    <mergeCell ref="H61:L61"/>
    <mergeCell ref="AA62:AB62"/>
  </mergeCells>
  <phoneticPr fontId="25" type="noConversion"/>
  <dataValidations count="4">
    <dataValidation type="list" allowBlank="1" showInputMessage="1" showErrorMessage="1" sqref="G63 G43 G10">
      <formula1>MassRateUnits</formula1>
    </dataValidation>
    <dataValidation type="list" allowBlank="1" showInputMessage="1" showErrorMessage="1" sqref="C63 C43 C10">
      <formula1>MassUnits</formula1>
    </dataValidation>
    <dataValidation type="list" allowBlank="1" showInputMessage="1" showErrorMessage="1" sqref="E63 E43 E10">
      <formula1>ConcUnits</formula1>
    </dataValidation>
    <dataValidation type="list" allowBlank="1" showInputMessage="1" showErrorMessage="1" sqref="D62 D42 D9">
      <formula1>TEQconvention</formula1>
    </dataValidation>
  </dataValidations>
  <printOptions horizontalCentered="1"/>
  <pageMargins left="0.19685039370078741" right="0.19685039370078741" top="0.62992125984251968" bottom="0.39370078740157483" header="0.31496062992125984" footer="0.19685039370078741"/>
  <pageSetup paperSize="9" orientation="portrait" horizontalDpi="4294967293" verticalDpi="96"/>
  <headerFooter alignWithMargins="0">
    <oddHeader>&amp;C&amp;"MS Sans Serif,Bold"&amp;16&amp;A</oddHeader>
    <oddFooter>&amp;L&amp;8&amp;F&amp;R&amp;8&amp;D &amp;T</oddFooter>
  </headerFooter>
  <legacy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enableFormatConditionsCalculation="0">
    <tabColor rgb="FFFFFF99"/>
    <pageSetUpPr fitToPage="1"/>
  </sheetPr>
  <dimension ref="A1:XEN226"/>
  <sheetViews>
    <sheetView topLeftCell="B8" workbookViewId="0">
      <selection activeCell="G12" sqref="G12"/>
    </sheetView>
  </sheetViews>
  <sheetFormatPr baseColWidth="10" defaultColWidth="8.7109375" defaultRowHeight="13" x14ac:dyDescent="0"/>
  <cols>
    <col min="1" max="1" width="9.140625" style="1690" hidden="1" customWidth="1"/>
    <col min="2" max="2" width="23.140625" style="1690" customWidth="1"/>
    <col min="3" max="4" width="8" style="1690" customWidth="1"/>
    <col min="5" max="5" width="8.5703125" style="1690" customWidth="1"/>
    <col min="6" max="15" width="9.140625" style="1690" customWidth="1"/>
    <col min="16" max="16" width="10" style="1690" customWidth="1"/>
    <col min="17" max="17" width="9.28515625" style="1690" customWidth="1"/>
    <col min="18" max="18" width="9.85546875" style="1690" customWidth="1"/>
    <col min="19" max="19" width="9.42578125" style="1696" customWidth="1"/>
    <col min="20" max="20" width="11.5703125" style="1690" customWidth="1"/>
    <col min="21" max="21" width="3.42578125" style="1690" customWidth="1"/>
    <col min="22" max="22" width="10.5703125" style="1690" customWidth="1"/>
    <col min="23" max="23" width="10.85546875" style="1690" customWidth="1"/>
    <col min="24" max="24" width="4.42578125" style="1690" customWidth="1"/>
    <col min="25" max="26" width="10.85546875" style="1690" customWidth="1"/>
    <col min="27" max="27" width="9.42578125" style="1690" customWidth="1"/>
    <col min="28" max="28" width="8.140625" style="1690" customWidth="1"/>
    <col min="29" max="29" width="8" style="1690" customWidth="1"/>
    <col min="30" max="30" width="9.42578125" style="1690" customWidth="1"/>
    <col min="31" max="31" width="8.42578125" style="1690" customWidth="1"/>
    <col min="32" max="32" width="9.42578125" style="1690" customWidth="1"/>
    <col min="33" max="33" width="10.42578125" style="1690" customWidth="1"/>
    <col min="34" max="34" width="9.140625" style="1697" customWidth="1"/>
    <col min="35" max="35" width="8.85546875" style="1698" customWidth="1"/>
    <col min="36" max="36" width="8.85546875" style="1700" customWidth="1"/>
    <col min="37" max="64" width="9.140625" style="1690" customWidth="1"/>
    <col min="65" max="72" width="9.140625" style="1698" customWidth="1"/>
    <col min="73" max="76" width="9.140625" style="1690" customWidth="1"/>
    <col min="77" max="77" width="3.85546875" style="1690" customWidth="1"/>
    <col min="78" max="78" width="9.140625" style="1690" customWidth="1"/>
    <col min="79" max="79" width="4.28515625" style="1690" customWidth="1"/>
    <col min="80" max="80" width="9.140625" style="1690" customWidth="1"/>
    <col min="81" max="16384" width="8.7109375" style="1690"/>
  </cols>
  <sheetData>
    <row r="1" spans="1:83" hidden="1">
      <c r="C1" s="1697" t="s">
        <v>1427</v>
      </c>
      <c r="D1" s="1697">
        <v>1000000</v>
      </c>
    </row>
    <row r="2" spans="1:83" hidden="1">
      <c r="C2" s="1697" t="s">
        <v>947</v>
      </c>
      <c r="D2" s="1697">
        <v>1000000</v>
      </c>
    </row>
    <row r="3" spans="1:83" hidden="1">
      <c r="C3" s="1697" t="s">
        <v>1383</v>
      </c>
      <c r="D3" s="1697">
        <v>1</v>
      </c>
    </row>
    <row r="4" spans="1:83" hidden="1">
      <c r="C4" s="1697" t="s">
        <v>1353</v>
      </c>
      <c r="D4" s="1697">
        <v>1000</v>
      </c>
    </row>
    <row r="5" spans="1:83" hidden="1">
      <c r="C5" s="1697" t="s">
        <v>1709</v>
      </c>
      <c r="D5" s="1697">
        <v>1000000000</v>
      </c>
    </row>
    <row r="6" spans="1:83" hidden="1"/>
    <row r="7" spans="1:83" hidden="1"/>
    <row r="8" spans="1:83" ht="36.75" customHeight="1" thickBot="1">
      <c r="A8" s="1690" t="b">
        <v>1</v>
      </c>
      <c r="B8" s="2505" t="s">
        <v>2165</v>
      </c>
      <c r="C8" s="2505"/>
      <c r="D8" s="2505"/>
      <c r="E8" s="2505"/>
      <c r="F8" s="2502" t="s">
        <v>2164</v>
      </c>
      <c r="G8" s="2503"/>
      <c r="H8" s="2503"/>
      <c r="I8" s="2503"/>
      <c r="J8" s="2503"/>
      <c r="K8" s="2503"/>
      <c r="L8" s="2503"/>
      <c r="M8" s="2503"/>
      <c r="N8" s="2504"/>
      <c r="U8" s="1696"/>
      <c r="AH8" s="1690"/>
      <c r="AI8" s="1690"/>
      <c r="AJ8" s="1697"/>
      <c r="AK8" s="1698"/>
      <c r="AL8" s="1700"/>
      <c r="BM8" s="1690"/>
      <c r="BN8" s="1690"/>
      <c r="BU8" s="1698"/>
      <c r="BV8" s="1698"/>
    </row>
    <row r="9" spans="1:83" ht="12.75" customHeight="1">
      <c r="A9" s="1690" t="b">
        <f>IF(COUNTIF(A16:A24,TRUE)&gt;0,TRUE,FALSE)</f>
        <v>0</v>
      </c>
      <c r="B9" s="1707"/>
      <c r="C9" s="1691"/>
      <c r="D9" s="1691"/>
      <c r="E9" s="1691"/>
      <c r="F9" s="2818" t="s">
        <v>1705</v>
      </c>
      <c r="G9" s="2818"/>
      <c r="H9" s="2818"/>
      <c r="I9" s="2818"/>
      <c r="J9" s="2818" t="s">
        <v>1703</v>
      </c>
      <c r="K9" s="2818"/>
      <c r="L9" s="2818"/>
      <c r="M9" s="2818"/>
      <c r="N9" s="1689" t="s">
        <v>1704</v>
      </c>
      <c r="O9" s="1697"/>
      <c r="P9" s="1697"/>
      <c r="Q9" s="1697"/>
      <c r="U9" s="2810" t="s">
        <v>1718</v>
      </c>
      <c r="V9" s="2805"/>
      <c r="W9" s="2805"/>
      <c r="X9" s="2805"/>
      <c r="Y9" s="2805"/>
      <c r="Z9" s="2805"/>
      <c r="AA9" s="2805"/>
      <c r="AB9" s="2805"/>
      <c r="AC9" s="2806"/>
      <c r="AD9" s="2805" t="s">
        <v>1836</v>
      </c>
      <c r="AE9" s="2805"/>
      <c r="AF9" s="2805"/>
      <c r="AG9" s="2805"/>
      <c r="AH9" s="2805"/>
      <c r="AI9" s="2806"/>
      <c r="AJ9" s="1692"/>
      <c r="AK9" s="1692"/>
      <c r="BM9" s="1690"/>
      <c r="BN9" s="1690"/>
      <c r="BO9" s="1690"/>
      <c r="BP9" s="1690"/>
      <c r="BQ9" s="1690"/>
      <c r="BR9" s="1690"/>
      <c r="BS9" s="1690"/>
      <c r="BT9" s="1690"/>
    </row>
    <row r="10" spans="1:83" ht="15">
      <c r="A10" s="1690" t="b">
        <f>IF(COUNTIF(A16:A24,TRUE)&gt;0,TRUE,FALSE)</f>
        <v>0</v>
      </c>
      <c r="B10" s="1726" t="s">
        <v>1758</v>
      </c>
      <c r="C10" s="1693"/>
      <c r="D10" s="1688"/>
      <c r="E10" s="1688"/>
      <c r="F10" s="1697" t="s">
        <v>1768</v>
      </c>
      <c r="G10" s="1697" t="s">
        <v>1769</v>
      </c>
      <c r="H10" s="1697" t="s">
        <v>1770</v>
      </c>
      <c r="I10" s="1697" t="s">
        <v>1771</v>
      </c>
      <c r="J10" s="1697" t="s">
        <v>1768</v>
      </c>
      <c r="K10" s="1697" t="s">
        <v>1769</v>
      </c>
      <c r="L10" s="1697" t="s">
        <v>1770</v>
      </c>
      <c r="M10" s="1697" t="s">
        <v>1771</v>
      </c>
      <c r="N10" s="1697" t="s">
        <v>1704</v>
      </c>
      <c r="O10" s="2821" t="s">
        <v>1779</v>
      </c>
      <c r="P10" s="2820" t="s">
        <v>1780</v>
      </c>
      <c r="Q10" s="2820" t="s">
        <v>1781</v>
      </c>
      <c r="U10" s="2810" t="s">
        <v>1719</v>
      </c>
      <c r="V10" s="2805"/>
      <c r="W10" s="2806"/>
      <c r="X10" s="2810" t="s">
        <v>1720</v>
      </c>
      <c r="Y10" s="2805"/>
      <c r="Z10" s="2806"/>
      <c r="AA10" s="2811" t="s">
        <v>1242</v>
      </c>
      <c r="AB10" s="2812"/>
      <c r="AC10" s="2813"/>
      <c r="AD10" s="2809" t="s">
        <v>1719</v>
      </c>
      <c r="AE10" s="2809"/>
      <c r="AF10" s="2809" t="s">
        <v>1720</v>
      </c>
      <c r="AG10" s="2809"/>
      <c r="AH10" s="2807" t="s">
        <v>1242</v>
      </c>
      <c r="AI10" s="2808"/>
      <c r="AJ10" s="1697"/>
      <c r="AK10" s="1697"/>
      <c r="BM10" s="1690"/>
      <c r="BN10" s="1690"/>
      <c r="BO10" s="1690"/>
      <c r="BP10" s="1690"/>
      <c r="BQ10" s="1690"/>
      <c r="BR10" s="1690"/>
      <c r="BS10" s="1690"/>
      <c r="BT10" s="1690"/>
    </row>
    <row r="11" spans="1:83" ht="13.5" customHeight="1">
      <c r="A11" s="1690" t="b">
        <f>IF(COUNTIF(A16:A24,TRUE)&gt;0,TRUE,FALSE)</f>
        <v>0</v>
      </c>
      <c r="B11" s="1691"/>
      <c r="C11" s="1748"/>
      <c r="D11" s="1748"/>
      <c r="E11" s="1749" t="s">
        <v>1766</v>
      </c>
      <c r="F11" s="1756"/>
      <c r="G11" s="1757"/>
      <c r="H11" s="1757"/>
      <c r="I11" s="1764"/>
      <c r="J11" s="1756"/>
      <c r="K11" s="1757"/>
      <c r="L11" s="1757"/>
      <c r="M11" s="1758"/>
      <c r="N11" s="1768"/>
      <c r="O11" s="2821"/>
      <c r="P11" s="2820"/>
      <c r="Q11" s="2820"/>
      <c r="U11" s="2816" t="s">
        <v>1717</v>
      </c>
      <c r="V11" s="2816"/>
      <c r="W11" s="1839"/>
      <c r="X11" s="2816" t="s">
        <v>1717</v>
      </c>
      <c r="Y11" s="2816"/>
      <c r="Z11" s="2218"/>
      <c r="AA11" s="2278"/>
      <c r="AB11" s="1915"/>
      <c r="AC11" s="1916"/>
      <c r="AD11" s="2274"/>
      <c r="AE11" s="2274"/>
      <c r="AF11" s="2274"/>
      <c r="AG11" s="2274"/>
      <c r="AH11" s="2278"/>
      <c r="AI11" s="1916"/>
      <c r="AJ11" s="1697"/>
      <c r="AK11" s="1697"/>
      <c r="BM11" s="1690"/>
      <c r="BN11" s="1690"/>
      <c r="BO11" s="1690"/>
      <c r="BP11" s="1690"/>
      <c r="BQ11" s="1690"/>
      <c r="BR11" s="1690"/>
      <c r="BS11" s="1690"/>
      <c r="BT11" s="1690"/>
    </row>
    <row r="12" spans="1:83" ht="13.5" customHeight="1">
      <c r="A12" s="1690" t="b">
        <f>IF(COUNTIF(A16:A24,TRUE)&gt;0,TRUE,FALSE)</f>
        <v>0</v>
      </c>
      <c r="B12" s="1802">
        <f>'Non-Isokinetic'!A5</f>
        <v>0</v>
      </c>
      <c r="C12" s="1748"/>
      <c r="D12" s="1748"/>
      <c r="E12" s="1749" t="s">
        <v>1765</v>
      </c>
      <c r="F12" s="1759">
        <f>IF(F14="µg",1000,"")</f>
        <v>1000</v>
      </c>
      <c r="G12" s="1755">
        <f>IF(F14="µg",1000,"")</f>
        <v>1000</v>
      </c>
      <c r="H12" s="1755">
        <f>IF(F14="µg",1000,"")</f>
        <v>1000</v>
      </c>
      <c r="I12" s="1765">
        <f>IF(F14="µg",1000,"")</f>
        <v>1000</v>
      </c>
      <c r="J12" s="1759">
        <f>IF(F14="µg",1000,"")</f>
        <v>1000</v>
      </c>
      <c r="K12" s="1755">
        <f>IF(F14="µg",1000,"")</f>
        <v>1000</v>
      </c>
      <c r="L12" s="1755">
        <f>IF(F14="µg",1000,"")</f>
        <v>1000</v>
      </c>
      <c r="M12" s="1760">
        <f>IF(F14="µg",1000,"")</f>
        <v>1000</v>
      </c>
      <c r="N12" s="1769">
        <f>IF(F14="µg",1000,"")</f>
        <v>1000</v>
      </c>
      <c r="O12" s="1695"/>
      <c r="P12" s="1695"/>
      <c r="Q12" s="1695"/>
      <c r="U12" s="2819" t="e">
        <f>'Non-Isokinetic'!C14</f>
        <v>#VALUE!</v>
      </c>
      <c r="V12" s="2819"/>
      <c r="W12" s="1719"/>
      <c r="X12" s="2819" t="e">
        <f>'Non-Isokinetic'!D14</f>
        <v>#VALUE!</v>
      </c>
      <c r="Y12" s="2819"/>
      <c r="Z12" s="1719"/>
      <c r="AA12" s="2260"/>
      <c r="AB12" s="1894"/>
      <c r="AC12" s="2273"/>
      <c r="AE12" s="1783"/>
      <c r="AF12" s="1894"/>
      <c r="AG12" s="1894"/>
      <c r="AH12" s="2260"/>
      <c r="AI12" s="2273"/>
      <c r="AJ12" s="1697"/>
      <c r="AK12" s="1697"/>
      <c r="AM12" s="2816" t="s">
        <v>1743</v>
      </c>
      <c r="AN12" s="2816"/>
      <c r="AO12" s="2816"/>
      <c r="AP12" s="2816"/>
      <c r="AQ12" s="2816"/>
      <c r="AR12" s="2816"/>
      <c r="AS12" s="2816"/>
      <c r="AT12" s="2816"/>
      <c r="AU12" s="2816"/>
      <c r="AV12" s="1734"/>
      <c r="AW12" s="2816" t="str">
        <f>"Lab result (concentration - analysed compound) "&amp;F14</f>
        <v>Lab result (concentration - analysed compound) µg</v>
      </c>
      <c r="AX12" s="2816"/>
      <c r="AY12" s="2816"/>
      <c r="AZ12" s="2816"/>
      <c r="BA12" s="2816"/>
      <c r="BB12" s="2816"/>
      <c r="BC12" s="2816"/>
      <c r="BD12" s="2816"/>
      <c r="BE12" s="2816"/>
      <c r="BF12" s="1734"/>
      <c r="BG12" s="2816" t="s">
        <v>1772</v>
      </c>
      <c r="BH12" s="2816"/>
      <c r="BI12" s="2816"/>
      <c r="BJ12" s="2816"/>
      <c r="BK12" s="2816"/>
      <c r="BL12" s="2816"/>
      <c r="BM12" s="2816"/>
      <c r="BN12" s="2816"/>
      <c r="BO12" s="2816" t="s">
        <v>1774</v>
      </c>
      <c r="BP12" s="2816"/>
      <c r="BQ12" s="2816"/>
      <c r="BR12" s="2816"/>
      <c r="BS12" s="2816"/>
      <c r="BT12" s="2816"/>
      <c r="BU12" s="2816"/>
      <c r="BV12" s="2816"/>
      <c r="BW12" s="2816" t="s">
        <v>1705</v>
      </c>
      <c r="BX12" s="2816"/>
      <c r="BY12" s="2814" t="s">
        <v>1703</v>
      </c>
      <c r="BZ12" s="2814"/>
      <c r="CA12" s="2814" t="s">
        <v>1742</v>
      </c>
      <c r="CB12" s="2814"/>
      <c r="CC12" s="2814"/>
      <c r="CD12" s="2814"/>
      <c r="CE12" s="1690" t="s">
        <v>1778</v>
      </c>
    </row>
    <row r="13" spans="1:83" ht="13.5" customHeight="1">
      <c r="A13" s="1690" t="b">
        <f>IF(COUNTIF(A16:A24,TRUE)&gt;0,TRUE,FALSE)</f>
        <v>0</v>
      </c>
      <c r="B13" s="1691"/>
      <c r="C13" s="1748"/>
      <c r="D13" s="1748"/>
      <c r="E13" s="1749" t="s">
        <v>1764</v>
      </c>
      <c r="F13" s="1761">
        <v>1</v>
      </c>
      <c r="G13" s="1762">
        <v>1</v>
      </c>
      <c r="H13" s="1762">
        <v>1</v>
      </c>
      <c r="I13" s="1766">
        <v>1</v>
      </c>
      <c r="J13" s="1761">
        <v>1</v>
      </c>
      <c r="K13" s="1762">
        <v>1</v>
      </c>
      <c r="L13" s="1762">
        <v>1</v>
      </c>
      <c r="M13" s="1763">
        <v>1</v>
      </c>
      <c r="N13" s="1770">
        <v>1</v>
      </c>
      <c r="O13" s="1695"/>
      <c r="P13" s="1695"/>
      <c r="Q13" s="1695"/>
      <c r="U13" s="1900"/>
      <c r="V13" s="1905"/>
      <c r="W13" s="1838" t="s">
        <v>97</v>
      </c>
      <c r="X13" s="1907"/>
      <c r="Y13" s="1905"/>
      <c r="Z13" s="1838" t="s">
        <v>97</v>
      </c>
      <c r="AA13" s="1917"/>
      <c r="AB13" s="2275"/>
      <c r="AC13" s="2279" t="s">
        <v>97</v>
      </c>
      <c r="AD13" s="2275"/>
      <c r="AE13" s="1918"/>
      <c r="AF13" s="1918"/>
      <c r="AG13" s="2275"/>
      <c r="AH13" s="1917"/>
      <c r="AI13" s="1919"/>
      <c r="AJ13" s="2192"/>
      <c r="AK13" s="2815" t="s">
        <v>1707</v>
      </c>
      <c r="AL13" s="2815" t="s">
        <v>1767</v>
      </c>
      <c r="AM13" s="2816" t="s">
        <v>1705</v>
      </c>
      <c r="AN13" s="2816"/>
      <c r="AO13" s="2816"/>
      <c r="AP13" s="2816"/>
      <c r="AQ13" s="2816" t="s">
        <v>1703</v>
      </c>
      <c r="AR13" s="2816"/>
      <c r="AS13" s="2816"/>
      <c r="AT13" s="2816"/>
      <c r="AU13" s="1733" t="s">
        <v>1704</v>
      </c>
      <c r="AV13" s="1733"/>
      <c r="AW13" s="2816" t="s">
        <v>1705</v>
      </c>
      <c r="AX13" s="2816"/>
      <c r="AY13" s="2816"/>
      <c r="AZ13" s="2816"/>
      <c r="BA13" s="2816" t="s">
        <v>1703</v>
      </c>
      <c r="BB13" s="2816"/>
      <c r="BC13" s="2816"/>
      <c r="BD13" s="2816"/>
      <c r="BE13" s="1733" t="s">
        <v>1704</v>
      </c>
      <c r="BF13" s="1733"/>
      <c r="BG13" s="2816" t="s">
        <v>1705</v>
      </c>
      <c r="BH13" s="2816"/>
      <c r="BI13" s="2816"/>
      <c r="BJ13" s="2816"/>
      <c r="BK13" s="2816" t="s">
        <v>1703</v>
      </c>
      <c r="BL13" s="2816"/>
      <c r="BM13" s="2816"/>
      <c r="BN13" s="2816"/>
      <c r="BO13" s="2816" t="s">
        <v>1705</v>
      </c>
      <c r="BP13" s="2816"/>
      <c r="BQ13" s="2816"/>
      <c r="BR13" s="2816"/>
      <c r="BS13" s="2816" t="s">
        <v>1703</v>
      </c>
      <c r="BT13" s="2816"/>
      <c r="BU13" s="2816"/>
      <c r="BV13" s="2816"/>
      <c r="BW13" s="1732" t="s">
        <v>1741</v>
      </c>
      <c r="BX13" s="1736" t="s">
        <v>1740</v>
      </c>
      <c r="BY13" s="1737" t="s">
        <v>1741</v>
      </c>
      <c r="BZ13" s="1736" t="s">
        <v>1740</v>
      </c>
      <c r="CA13" s="2817" t="s">
        <v>1738</v>
      </c>
      <c r="CB13" s="2817"/>
      <c r="CC13" s="2810" t="s">
        <v>1739</v>
      </c>
      <c r="CD13" s="2806"/>
    </row>
    <row r="14" spans="1:83">
      <c r="A14" s="1690" t="b">
        <f>IF(COUNTIF(A16:A24,TRUE)&gt;0,TRUE,FALSE)</f>
        <v>0</v>
      </c>
      <c r="B14" s="1691"/>
      <c r="C14" s="1748"/>
      <c r="D14" s="1750"/>
      <c r="E14" s="1749" t="s">
        <v>1775</v>
      </c>
      <c r="F14" s="1771" t="s">
        <v>1427</v>
      </c>
      <c r="G14" s="1775">
        <f>VLOOKUP(F14,$C$1:$D$5,2,FALSE)</f>
        <v>1000000</v>
      </c>
      <c r="H14" s="1776"/>
      <c r="I14" s="1776"/>
      <c r="J14" s="1776"/>
      <c r="K14" s="1776"/>
      <c r="L14" s="1776"/>
      <c r="M14" s="1776"/>
      <c r="N14" s="1777"/>
      <c r="O14" s="1692"/>
      <c r="P14" s="1697" t="s">
        <v>1708</v>
      </c>
      <c r="Q14" s="1697"/>
      <c r="U14" s="2041"/>
      <c r="V14" s="2042" t="str">
        <f>CU</f>
        <v>mg/m³</v>
      </c>
      <c r="W14" s="1839" t="str">
        <f>V14</f>
        <v>mg/m³</v>
      </c>
      <c r="X14" s="2041"/>
      <c r="Y14" s="2042" t="str">
        <f>CU</f>
        <v>mg/m³</v>
      </c>
      <c r="Z14" s="1839" t="str">
        <f>Y14</f>
        <v>mg/m³</v>
      </c>
      <c r="AA14" s="1723"/>
      <c r="AB14" s="1725" t="str">
        <f>Z14</f>
        <v>mg/m³</v>
      </c>
      <c r="AC14" s="1725" t="str">
        <f>V14</f>
        <v>mg/m³</v>
      </c>
      <c r="AD14" s="2043"/>
      <c r="AE14" s="2044" t="str">
        <f>MRU</f>
        <v>g/min</v>
      </c>
      <c r="AF14" s="2043"/>
      <c r="AG14" s="2044" t="str">
        <f>MRU</f>
        <v>g/min</v>
      </c>
      <c r="AH14" s="2267"/>
      <c r="AI14" s="2268" t="str">
        <f>MRU</f>
        <v>g/min</v>
      </c>
      <c r="AJ14" s="1835" t="s">
        <v>1706</v>
      </c>
      <c r="AK14" s="2815"/>
      <c r="AL14" s="2815"/>
      <c r="AM14" s="1734" t="s">
        <v>1768</v>
      </c>
      <c r="AN14" s="1734" t="s">
        <v>1769</v>
      </c>
      <c r="AO14" s="1734" t="s">
        <v>1770</v>
      </c>
      <c r="AP14" s="1734" t="s">
        <v>1771</v>
      </c>
      <c r="AQ14" s="1734" t="s">
        <v>1768</v>
      </c>
      <c r="AR14" s="1734" t="s">
        <v>1769</v>
      </c>
      <c r="AS14" s="1734" t="s">
        <v>1770</v>
      </c>
      <c r="AT14" s="1734" t="s">
        <v>1771</v>
      </c>
      <c r="AU14" s="1734" t="s">
        <v>1704</v>
      </c>
      <c r="AV14" s="1734"/>
      <c r="AW14" s="1734" t="s">
        <v>1768</v>
      </c>
      <c r="AX14" s="1734" t="s">
        <v>1769</v>
      </c>
      <c r="AY14" s="1734" t="s">
        <v>1770</v>
      </c>
      <c r="AZ14" s="1734" t="s">
        <v>1771</v>
      </c>
      <c r="BA14" s="1734" t="s">
        <v>1768</v>
      </c>
      <c r="BB14" s="1734" t="s">
        <v>1769</v>
      </c>
      <c r="BC14" s="1734" t="s">
        <v>1770</v>
      </c>
      <c r="BD14" s="1734" t="s">
        <v>1771</v>
      </c>
      <c r="BE14" s="1734" t="str">
        <f>F14</f>
        <v>µg</v>
      </c>
      <c r="BF14" s="1734"/>
      <c r="BG14" s="1734" t="s">
        <v>1768</v>
      </c>
      <c r="BH14" s="1734" t="s">
        <v>1769</v>
      </c>
      <c r="BI14" s="1734" t="s">
        <v>1770</v>
      </c>
      <c r="BJ14" s="1734" t="s">
        <v>1771</v>
      </c>
      <c r="BK14" s="1734" t="s">
        <v>1768</v>
      </c>
      <c r="BL14" s="1734" t="s">
        <v>1769</v>
      </c>
      <c r="BM14" s="1734" t="s">
        <v>1770</v>
      </c>
      <c r="BN14" s="1734" t="s">
        <v>1771</v>
      </c>
      <c r="BO14" s="1734" t="s">
        <v>1768</v>
      </c>
      <c r="BP14" s="1734" t="s">
        <v>1769</v>
      </c>
      <c r="BQ14" s="1734" t="s">
        <v>1770</v>
      </c>
      <c r="BR14" s="1734" t="s">
        <v>1771</v>
      </c>
      <c r="BS14" s="1734" t="s">
        <v>1768</v>
      </c>
      <c r="BT14" s="1734" t="s">
        <v>1769</v>
      </c>
      <c r="BU14" s="1734" t="s">
        <v>1770</v>
      </c>
      <c r="BV14" s="1734" t="s">
        <v>1771</v>
      </c>
      <c r="BW14" s="1734" t="s">
        <v>1427</v>
      </c>
      <c r="BX14" s="1734" t="s">
        <v>1427</v>
      </c>
      <c r="BY14" s="1734"/>
      <c r="BZ14" s="1734" t="s">
        <v>1427</v>
      </c>
      <c r="CA14" s="1734" t="s">
        <v>819</v>
      </c>
      <c r="CB14" s="1734" t="s">
        <v>1427</v>
      </c>
      <c r="CC14" s="1734" t="s">
        <v>819</v>
      </c>
      <c r="CD14" s="1734" t="s">
        <v>1427</v>
      </c>
    </row>
    <row r="15" spans="1:83" ht="10.5" customHeight="1">
      <c r="A15" s="1690" t="b">
        <f>IF(COUNTIF(A16:A24,TRUE)&gt;0,TRUE,FALSE)</f>
        <v>0</v>
      </c>
      <c r="B15" s="1691" t="s">
        <v>1284</v>
      </c>
      <c r="C15" s="1750" t="s">
        <v>1776</v>
      </c>
      <c r="D15" s="1750" t="s">
        <v>1437</v>
      </c>
      <c r="E15" s="1750" t="s">
        <v>1777</v>
      </c>
      <c r="F15" s="1723" t="s">
        <v>1768</v>
      </c>
      <c r="G15" s="1746" t="s">
        <v>1769</v>
      </c>
      <c r="H15" s="1746" t="s">
        <v>1770</v>
      </c>
      <c r="I15" s="1746" t="s">
        <v>1771</v>
      </c>
      <c r="J15" s="1746" t="s">
        <v>1768</v>
      </c>
      <c r="K15" s="1746" t="s">
        <v>1769</v>
      </c>
      <c r="L15" s="1746" t="s">
        <v>1770</v>
      </c>
      <c r="M15" s="1746" t="s">
        <v>1771</v>
      </c>
      <c r="N15" s="1747" t="s">
        <v>1704</v>
      </c>
      <c r="O15" s="1692"/>
      <c r="P15" s="1697"/>
      <c r="Q15" s="1697"/>
      <c r="U15" s="1895"/>
      <c r="V15" s="1906">
        <f>VLOOKUP(V14,ConcTable,2,FALSE)</f>
        <v>1000000</v>
      </c>
      <c r="W15" s="1896"/>
      <c r="X15" s="1908"/>
      <c r="Y15" s="1906">
        <f>VLOOKUP(Y14,ConcTable,2,FALSE)</f>
        <v>1000000</v>
      </c>
      <c r="Z15" s="1896"/>
      <c r="AA15" s="1908"/>
      <c r="AB15" s="1906"/>
      <c r="AC15" s="1896"/>
      <c r="AD15" s="1910"/>
      <c r="AE15" s="1897">
        <f>VLOOKUP(AE14,MassRateTable,2,FALSE)</f>
        <v>60</v>
      </c>
      <c r="AF15" s="1910"/>
      <c r="AG15" s="1897">
        <f>VLOOKUP(AG14,MassRateTable,2,FALSE)</f>
        <v>60</v>
      </c>
      <c r="AH15" s="2269"/>
      <c r="AI15" s="2270"/>
      <c r="AJ15" s="1836"/>
      <c r="AK15" s="1836"/>
      <c r="AM15" s="1697"/>
      <c r="AN15" s="1697"/>
      <c r="AO15" s="1697"/>
      <c r="AP15" s="1697"/>
      <c r="AQ15" s="1697"/>
      <c r="AR15" s="1697"/>
      <c r="AS15" s="1697"/>
      <c r="AT15" s="1697"/>
      <c r="AU15" s="1697"/>
      <c r="AV15" s="1697"/>
      <c r="AW15" s="1697"/>
      <c r="AX15" s="1697"/>
      <c r="AY15" s="1697"/>
      <c r="AZ15" s="1697"/>
      <c r="BA15" s="1697"/>
      <c r="BB15" s="1697"/>
      <c r="BC15" s="1697"/>
      <c r="BD15" s="1697"/>
      <c r="BE15" s="1697"/>
      <c r="BF15" s="1697"/>
      <c r="BM15" s="1690"/>
      <c r="BN15" s="1690"/>
      <c r="BO15" s="1690"/>
      <c r="BP15" s="1690"/>
      <c r="BQ15" s="1690"/>
      <c r="BR15" s="1690"/>
      <c r="BS15" s="1690"/>
      <c r="BT15" s="1690"/>
    </row>
    <row r="16" spans="1:83">
      <c r="A16" s="1690" t="b">
        <f t="shared" ref="A16:A24" si="0">IF(B16=0,FALSE,TRUE)</f>
        <v>0</v>
      </c>
      <c r="B16" s="1701">
        <f>'Non-Isokinetic'!A7</f>
        <v>0</v>
      </c>
      <c r="C16" s="1752" t="e">
        <f t="shared" ref="C16:C24" si="1">VLOOKUP(B16,AnalyteTable,5,FALSE)</f>
        <v>#N/A</v>
      </c>
      <c r="D16" s="1704" t="e">
        <f t="shared" ref="D16:D24" si="2">VLOOKUP(B16,AnalyteTable,7,FALSE)</f>
        <v>#N/A</v>
      </c>
      <c r="E16" s="1796" t="e">
        <f t="shared" ref="E16:E24" si="3">VLOOKUP(D16,PQLTable,8,FALSE)</f>
        <v>#N/A</v>
      </c>
      <c r="F16" s="1756"/>
      <c r="G16" s="1757"/>
      <c r="H16" s="1757"/>
      <c r="I16" s="1764"/>
      <c r="J16" s="1756"/>
      <c r="K16" s="1757"/>
      <c r="L16" s="1757"/>
      <c r="M16" s="1764"/>
      <c r="N16" s="1772"/>
      <c r="O16" s="1692" t="str">
        <f t="shared" ref="O16:O24" si="4">IF(B16=0,"",IF(SUM(V16,Y16)=0,"no result",IF(COUNT(V16:Y16)=1,"Single Result","")))</f>
        <v/>
      </c>
      <c r="P16" s="1692">
        <f t="shared" ref="P16:P24" si="5">IF(OR(V16="",Y16=""),0,ABS((MAX(V16:Y16)-MIN(V16:Y16))/AVERAGE(V16:Y16)))</f>
        <v>0</v>
      </c>
      <c r="Q16" s="1692" t="str">
        <f>IF(OR(BH16&gt;(0.2*BG16),BI16&gt;(0.2*BH16),BJ16&gt;(0.2*BI16),BL16&gt;(0.2*BK16),BM16&gt;(0.2*BL16),BN16&gt;(0.2*BM16)),"Breakthrough?","")</f>
        <v/>
      </c>
      <c r="U16" s="1898" t="str">
        <f t="shared" ref="U16:U24" si="6">CA16</f>
        <v/>
      </c>
      <c r="V16" s="1720" t="str">
        <f>IF(COUNT(F16:I16)=0,"",Conc1(CB16,U$12,$AJ16,MolVol,Pitots!$E$49,Pitots!$F$49,V$14,V$15,VoF))</f>
        <v/>
      </c>
      <c r="W16" s="2333" t="str">
        <f>IF($B16=0,"",V16*CorrFactor)</f>
        <v/>
      </c>
      <c r="X16" s="1718" t="str">
        <f t="shared" ref="X16:X24" si="7">CC16</f>
        <v/>
      </c>
      <c r="Y16" s="1720" t="str">
        <f>IF(COUNT(J16:M16)=0,"",Conc1(CD16,X$12,$AJ16,MolVol,Pitots!$E$49,Pitots!$F$49,Y$14,Y$15,VoF))</f>
        <v/>
      </c>
      <c r="Z16" s="1719" t="str">
        <f t="shared" ref="Z16:Z24" si="8">IF($B16=0,"",Y16*CorrFactor)</f>
        <v/>
      </c>
      <c r="AA16" s="2264" t="str">
        <f>IF(AND(U16="",X16=""),"",IF(OR(U16="",X16=""),"≤",""))</f>
        <v/>
      </c>
      <c r="AB16" s="1720" t="str">
        <f>IF(OR(V16="",Y16=""),"",AVERAGE(V16,Y16))</f>
        <v/>
      </c>
      <c r="AC16" s="1719" t="str">
        <f t="shared" ref="AC16:AC24" si="9">IF($B16=0,"",AB16*CorrFactor)</f>
        <v/>
      </c>
      <c r="AD16" s="1911" t="str">
        <f t="shared" ref="AD16:AD24" si="10">IF(OR(U16="&lt;",VND="&lt;"),"&lt;","")</f>
        <v/>
      </c>
      <c r="AE16" s="1899" t="str">
        <f>IF(V16="","",MassRate(V16,$AJ16,MolVol,V$14,V$15,MRU,MRF,AverageFlowDry,FF))</f>
        <v/>
      </c>
      <c r="AF16" s="1911" t="str">
        <f t="shared" ref="AF16:AF24" si="11">IF(OR(X16="&lt;",VND="&lt;"),"&lt;","")</f>
        <v/>
      </c>
      <c r="AG16" s="2262" t="str">
        <f>IF(Y16="","",MassRate(Y16,$AJ16,MolVol,Y$14,Y$15,MRU,MRF,AverageFlowDry,FF))</f>
        <v/>
      </c>
      <c r="AH16" s="2264" t="str">
        <f>IF(AND(AD16="",AF16=""),"",IF(OR(AD16="",AF16=""),"≤",""))</f>
        <v/>
      </c>
      <c r="AI16" s="1899" t="str">
        <f>IF(AB16="","",AVERAGE(AE16,AG16))</f>
        <v/>
      </c>
      <c r="AJ16" s="1704" t="e">
        <f t="shared" ref="AJ16:AJ24" si="12">VLOOKUP(C16,PQLTable,4,FALSE)</f>
        <v>#N/A</v>
      </c>
      <c r="AK16" s="1796" t="e">
        <f t="shared" ref="AK16:AK24" si="13">VLOOKUP(D16,PQLTable,6,FALSE)</f>
        <v>#N/A</v>
      </c>
      <c r="AL16" s="1871" t="e">
        <f t="shared" ref="AL16:AL24" si="14">AJ16/AK16</f>
        <v>#N/A</v>
      </c>
      <c r="AM16" s="1718" t="str">
        <f t="shared" ref="AM16:AM24" si="15">LEFT(F16,(LEFT(F16)="&lt;"))</f>
        <v/>
      </c>
      <c r="AN16" s="1718" t="str">
        <f t="shared" ref="AN16:AN24" si="16">LEFT(G16,(LEFT(G16)="&lt;"))</f>
        <v/>
      </c>
      <c r="AO16" s="1718" t="str">
        <f t="shared" ref="AO16:AO24" si="17">LEFT(H16,(LEFT(H16)="&lt;"))</f>
        <v/>
      </c>
      <c r="AP16" s="1718" t="str">
        <f t="shared" ref="AP16:AP24" si="18">LEFT(I16,(LEFT(I16)="&lt;"))</f>
        <v/>
      </c>
      <c r="AQ16" s="1718" t="str">
        <f t="shared" ref="AQ16:AQ24" si="19">LEFT(J16,(LEFT(J16)="&lt;"))</f>
        <v/>
      </c>
      <c r="AR16" s="1718" t="str">
        <f t="shared" ref="AR16:AR24" si="20">LEFT(K16,(LEFT(K16)="&lt;"))</f>
        <v/>
      </c>
      <c r="AS16" s="1718" t="str">
        <f t="shared" ref="AS16:AS24" si="21">LEFT(L16,(LEFT(L16)="&lt;"))</f>
        <v/>
      </c>
      <c r="AT16" s="1718" t="str">
        <f t="shared" ref="AT16:AT24" si="22">LEFT(M16,(LEFT(M16)="&lt;"))</f>
        <v/>
      </c>
      <c r="AU16" s="1718" t="str">
        <f t="shared" ref="AU16:AU24" si="23">LEFT(N16,(LEFT(N16)="&lt;"))</f>
        <v/>
      </c>
      <c r="AV16" s="1718"/>
      <c r="AW16" s="1718" t="str">
        <f t="shared" ref="AW16:AW24" si="24">IF(F16="","",VALUE(RIGHT(F16,LEN(F16)-(LEFT(F16)="&lt;"))))</f>
        <v/>
      </c>
      <c r="AX16" s="1718" t="str">
        <f t="shared" ref="AX16:AX24" si="25">IF(G16="","",VALUE(RIGHT(G16,LEN(G16)-(LEFT(G16)="&lt;"))))</f>
        <v/>
      </c>
      <c r="AY16" s="1718" t="str">
        <f t="shared" ref="AY16:AY24" si="26">IF(H16="","",VALUE(RIGHT(H16,LEN(H16)-(LEFT(H16)="&lt;"))))</f>
        <v/>
      </c>
      <c r="AZ16" s="1718" t="str">
        <f t="shared" ref="AZ16:AZ24" si="27">IF(I16="","",VALUE(RIGHT(I16,LEN(I16)-(LEFT(I16)="&lt;"))))</f>
        <v/>
      </c>
      <c r="BA16" s="1718" t="str">
        <f t="shared" ref="BA16:BA24" si="28">IF(J16="","",VALUE(RIGHT(J16,LEN(J16)-(LEFT(J16)="&lt;"))))</f>
        <v/>
      </c>
      <c r="BB16" s="1718" t="str">
        <f t="shared" ref="BB16:BB24" si="29">IF(K16="","",VALUE(RIGHT(K16,LEN(K16)-(LEFT(K16)="&lt;"))))</f>
        <v/>
      </c>
      <c r="BC16" s="1718" t="str">
        <f t="shared" ref="BC16:BC24" si="30">IF(L16="","",VALUE(RIGHT(L16,LEN(L16)-(LEFT(L16)="&lt;"))))</f>
        <v/>
      </c>
      <c r="BD16" s="1718" t="str">
        <f t="shared" ref="BD16:BD24" si="31">IF(M16="","",VALUE(RIGHT(M16,LEN(M16)-(LEFT(M16)="&lt;"))))</f>
        <v/>
      </c>
      <c r="BE16" s="1738">
        <f t="shared" ref="BE16:BE24" si="32">IF(OR(AU16="&lt;",N16=""),0,VALUE(RIGHT(N16,LEN(N16)-(LEFT(N16)="&lt;"))))</f>
        <v>0</v>
      </c>
      <c r="BF16" s="1718"/>
      <c r="BG16" s="1718">
        <f t="shared" ref="BG16:BN16" si="33">IF(F16="",0,IF(OR((AW16-$BE16)&lt;BO16,AM16="&lt;"),0,AW16-$BE16)*$AL16*1000/F12/$G14*1000000)</f>
        <v>0</v>
      </c>
      <c r="BH16" s="1718">
        <f t="shared" si="33"/>
        <v>0</v>
      </c>
      <c r="BI16" s="1718">
        <f t="shared" si="33"/>
        <v>0</v>
      </c>
      <c r="BJ16" s="1718">
        <f t="shared" si="33"/>
        <v>0</v>
      </c>
      <c r="BK16" s="1718">
        <f t="shared" si="33"/>
        <v>0</v>
      </c>
      <c r="BL16" s="1718">
        <f t="shared" si="33"/>
        <v>0</v>
      </c>
      <c r="BM16" s="1718">
        <f t="shared" si="33"/>
        <v>0</v>
      </c>
      <c r="BN16" s="1718">
        <f t="shared" si="33"/>
        <v>0</v>
      </c>
      <c r="BO16" s="1712">
        <f t="shared" ref="BO16:BV16" si="34">IF(F16="",0,$E16*$AL16*1000/$F12/$G14*1000000)</f>
        <v>0</v>
      </c>
      <c r="BP16" s="1712">
        <f t="shared" si="34"/>
        <v>0</v>
      </c>
      <c r="BQ16" s="1712">
        <f t="shared" si="34"/>
        <v>0</v>
      </c>
      <c r="BR16" s="1712">
        <f t="shared" si="34"/>
        <v>0</v>
      </c>
      <c r="BS16" s="1712">
        <f t="shared" si="34"/>
        <v>0</v>
      </c>
      <c r="BT16" s="1712">
        <f t="shared" si="34"/>
        <v>0</v>
      </c>
      <c r="BU16" s="1712">
        <f t="shared" si="34"/>
        <v>0</v>
      </c>
      <c r="BV16" s="1712">
        <f t="shared" si="34"/>
        <v>0</v>
      </c>
      <c r="BW16" s="1741">
        <f t="shared" ref="BW16:BW24" si="35">SUM(BO16:BR16)</f>
        <v>0</v>
      </c>
      <c r="BX16" s="1713">
        <f t="shared" ref="BX16:BX24" si="36">SUM(BG16:BJ16)</f>
        <v>0</v>
      </c>
      <c r="BY16" s="1741">
        <f t="shared" ref="BY16:BY24" si="37">SUM(BS16:BV16)</f>
        <v>0</v>
      </c>
      <c r="BZ16" s="1713">
        <f t="shared" ref="BZ16:BZ24" si="38">SUM(BK16:BN16)</f>
        <v>0</v>
      </c>
      <c r="CA16" s="1712" t="str">
        <f t="shared" ref="CA16:CA24" si="39">IF(BX16&gt;=$BW16,"","&lt;")</f>
        <v/>
      </c>
      <c r="CB16" s="1720">
        <f t="shared" ref="CB16:CB24" si="40">IF(CA16="",BX16,(IF(BG16=0,BO16,0)+IF(BH16=0,BP16,0)+IF(BI16=0,BQ16,0)+IF(BJ16=0,BR16,0)+BX16))</f>
        <v>0</v>
      </c>
      <c r="CC16" s="1712" t="str">
        <f t="shared" ref="CC16:CC24" si="41">IF(BZ16&gt;=BY16,"","&lt;")</f>
        <v/>
      </c>
      <c r="CD16" s="1720">
        <f t="shared" ref="CD16:CD24" si="42">IF(CC16="",BZ16,(IF(BK16=0,BS16,0)+IF(BL16=0,BT16,0)+IF(BM16=0,BU16,0)+IF(BN16=0,BV16,0)+BZ16))</f>
        <v>0</v>
      </c>
      <c r="CE16" s="1690" t="str">
        <f>IF(OR(BH16&gt;(0.2*BG16),BI16&gt;(0.2*BH16),BJ16&gt;(0.2*BI16),BL16&gt;(0.2*BK16),BM16&gt;(0.2*BL16),BN16&gt;(0.2*BM16)),"Breakthrough","")</f>
        <v/>
      </c>
    </row>
    <row r="17" spans="1:83">
      <c r="A17" s="1690" t="b">
        <f t="shared" si="0"/>
        <v>0</v>
      </c>
      <c r="B17" s="1702">
        <f>'Non-Isokinetic'!A8</f>
        <v>0</v>
      </c>
      <c r="C17" s="1753" t="e">
        <f t="shared" si="1"/>
        <v>#N/A</v>
      </c>
      <c r="D17" s="1705" t="e">
        <f t="shared" si="2"/>
        <v>#N/A</v>
      </c>
      <c r="E17" s="1744" t="e">
        <f t="shared" si="3"/>
        <v>#N/A</v>
      </c>
      <c r="F17" s="1759"/>
      <c r="G17" s="1755"/>
      <c r="H17" s="1755"/>
      <c r="I17" s="1765"/>
      <c r="J17" s="1759"/>
      <c r="K17" s="1755"/>
      <c r="L17" s="1755"/>
      <c r="M17" s="1765"/>
      <c r="N17" s="1773"/>
      <c r="O17" s="1692" t="str">
        <f t="shared" si="4"/>
        <v/>
      </c>
      <c r="P17" s="1692">
        <f t="shared" si="5"/>
        <v>0</v>
      </c>
      <c r="Q17" s="1692" t="str">
        <f t="shared" ref="Q17:Q24" si="43">IF(OR(BH17&gt;(0.2*BG17),BI17&gt;(0.2*BH17),BJ17&gt;(0.2*BI17)),"Breakthrough?","")</f>
        <v/>
      </c>
      <c r="U17" s="1900" t="str">
        <f t="shared" si="6"/>
        <v/>
      </c>
      <c r="V17" s="1904" t="str">
        <f>IF(COUNT(F17:I17)=0,"",Conc1(CB17,U$12,$AJ17,MolVol,Pitots!$E$49,Pitots!$F$49,V$14,V$15,VoF))</f>
        <v/>
      </c>
      <c r="W17" s="1841" t="str">
        <f t="shared" ref="W17:W24" si="44">IF(B17=0,"",V17*CorrFactor)</f>
        <v/>
      </c>
      <c r="X17" s="1909" t="str">
        <f t="shared" si="7"/>
        <v/>
      </c>
      <c r="Y17" s="1904" t="str">
        <f>IF(COUNT(J17:M17)=0,"",Conc1(CD17,X$12,$AJ17,MolVol,Pitots!$E$49,Pitots!$F$49,Y$14,Y$15,VoF))</f>
        <v/>
      </c>
      <c r="Z17" s="1841" t="str">
        <f t="shared" si="8"/>
        <v/>
      </c>
      <c r="AA17" s="1909" t="str">
        <f t="shared" ref="AA17:AA24" si="45">IF(AND(U17="",X17=""),"",IF(OR(U17="",X17=""),"≤",""))</f>
        <v/>
      </c>
      <c r="AB17" s="1904" t="str">
        <f t="shared" ref="AB17:AB24" si="46">IF(OR(V17="",Y17=""),"",AVERAGE(V17,Y17))</f>
        <v/>
      </c>
      <c r="AC17" s="1841" t="str">
        <f t="shared" si="9"/>
        <v/>
      </c>
      <c r="AD17" s="1912" t="str">
        <f t="shared" si="10"/>
        <v/>
      </c>
      <c r="AE17" s="1901" t="str">
        <f>IF(V17="","",MassRate(V17,$AJ17,MolVol,V$14,V$15,MRU,MRF,AverageFlowDry,FF))</f>
        <v/>
      </c>
      <c r="AF17" s="1912" t="str">
        <f t="shared" si="11"/>
        <v/>
      </c>
      <c r="AG17" s="1842" t="str">
        <f>IF(Y17="","",MassRate(Y17,$AJ17,MolVol,Y$14,Y$15,MRU,MRF,AverageFlowDry,FF))</f>
        <v/>
      </c>
      <c r="AH17" s="2265" t="str">
        <f t="shared" ref="AH17:AH24" si="47">IF(AND(AD17="",AF17=""),"",IF(OR(AD17="",AF17=""),"≤",""))</f>
        <v/>
      </c>
      <c r="AI17" s="1901" t="str">
        <f t="shared" ref="AI17:AI24" si="48">IF(AB17="","",AVERAGE(AE17,AG17))</f>
        <v/>
      </c>
      <c r="AJ17" s="1870" t="e">
        <f t="shared" si="12"/>
        <v>#N/A</v>
      </c>
      <c r="AK17" s="1744" t="e">
        <f t="shared" si="13"/>
        <v>#N/A</v>
      </c>
      <c r="AL17" s="1872" t="e">
        <f t="shared" si="14"/>
        <v>#N/A</v>
      </c>
      <c r="AM17" s="1721" t="str">
        <f t="shared" si="15"/>
        <v/>
      </c>
      <c r="AN17" s="1721" t="str">
        <f t="shared" si="16"/>
        <v/>
      </c>
      <c r="AO17" s="1721" t="str">
        <f t="shared" si="17"/>
        <v/>
      </c>
      <c r="AP17" s="1721" t="str">
        <f t="shared" si="18"/>
        <v/>
      </c>
      <c r="AQ17" s="1721" t="str">
        <f t="shared" si="19"/>
        <v/>
      </c>
      <c r="AR17" s="1721" t="str">
        <f t="shared" si="20"/>
        <v/>
      </c>
      <c r="AS17" s="1721" t="str">
        <f t="shared" si="21"/>
        <v/>
      </c>
      <c r="AT17" s="1721" t="str">
        <f t="shared" si="22"/>
        <v/>
      </c>
      <c r="AU17" s="1721" t="str">
        <f t="shared" si="23"/>
        <v/>
      </c>
      <c r="AV17" s="1721"/>
      <c r="AW17" s="1721" t="str">
        <f t="shared" si="24"/>
        <v/>
      </c>
      <c r="AX17" s="1721" t="str">
        <f t="shared" si="25"/>
        <v/>
      </c>
      <c r="AY17" s="1721" t="str">
        <f t="shared" si="26"/>
        <v/>
      </c>
      <c r="AZ17" s="1721" t="str">
        <f t="shared" si="27"/>
        <v/>
      </c>
      <c r="BA17" s="1721" t="str">
        <f t="shared" si="28"/>
        <v/>
      </c>
      <c r="BB17" s="1721" t="str">
        <f t="shared" si="29"/>
        <v/>
      </c>
      <c r="BC17" s="1721" t="str">
        <f t="shared" si="30"/>
        <v/>
      </c>
      <c r="BD17" s="1721" t="str">
        <f t="shared" si="31"/>
        <v/>
      </c>
      <c r="BE17" s="1739">
        <f t="shared" si="32"/>
        <v>0</v>
      </c>
      <c r="BF17" s="1721"/>
      <c r="BG17" s="1721">
        <f t="shared" ref="BG17:BN17" si="49">IF(F17="",0,IF(OR((AW17-$BE17)&lt;BO17,AM17="&lt;"),0,AW17-$BE17)*$AL17*1000/F12/$G14*1000000)</f>
        <v>0</v>
      </c>
      <c r="BH17" s="1721">
        <f t="shared" si="49"/>
        <v>0</v>
      </c>
      <c r="BI17" s="1721">
        <f t="shared" si="49"/>
        <v>0</v>
      </c>
      <c r="BJ17" s="1721">
        <f t="shared" si="49"/>
        <v>0</v>
      </c>
      <c r="BK17" s="1721">
        <f t="shared" si="49"/>
        <v>0</v>
      </c>
      <c r="BL17" s="1721">
        <f t="shared" si="49"/>
        <v>0</v>
      </c>
      <c r="BM17" s="1721">
        <f t="shared" si="49"/>
        <v>0</v>
      </c>
      <c r="BN17" s="1721">
        <f t="shared" si="49"/>
        <v>0</v>
      </c>
      <c r="BO17" s="1715">
        <f t="shared" ref="BO17:BV17" si="50">IF(F17="",0,$E17*$AL17*1000/$F12/$G14*1000000)</f>
        <v>0</v>
      </c>
      <c r="BP17" s="1715">
        <f t="shared" si="50"/>
        <v>0</v>
      </c>
      <c r="BQ17" s="1715">
        <f t="shared" si="50"/>
        <v>0</v>
      </c>
      <c r="BR17" s="1715">
        <f t="shared" si="50"/>
        <v>0</v>
      </c>
      <c r="BS17" s="1715">
        <f t="shared" si="50"/>
        <v>0</v>
      </c>
      <c r="BT17" s="1715">
        <f t="shared" si="50"/>
        <v>0</v>
      </c>
      <c r="BU17" s="1715">
        <f t="shared" si="50"/>
        <v>0</v>
      </c>
      <c r="BV17" s="1715">
        <f t="shared" si="50"/>
        <v>0</v>
      </c>
      <c r="BW17" s="1742">
        <f t="shared" si="35"/>
        <v>0</v>
      </c>
      <c r="BX17" s="1690">
        <f t="shared" si="36"/>
        <v>0</v>
      </c>
      <c r="BY17" s="1742">
        <f t="shared" si="37"/>
        <v>0</v>
      </c>
      <c r="BZ17" s="1690">
        <f t="shared" si="38"/>
        <v>0</v>
      </c>
      <c r="CA17" s="1715" t="str">
        <f t="shared" si="39"/>
        <v/>
      </c>
      <c r="CB17" s="1722">
        <f t="shared" si="40"/>
        <v>0</v>
      </c>
      <c r="CC17" s="1715" t="str">
        <f t="shared" si="41"/>
        <v/>
      </c>
      <c r="CD17" s="1722">
        <f t="shared" si="42"/>
        <v>0</v>
      </c>
      <c r="CE17" s="1690" t="str">
        <f t="shared" ref="CE17:CE24" si="51">IF(OR(BH17&gt;(0.2*BG17),BI17&gt;(0.2*BH17),BJ17&gt;(0.2*BI17)),"Breakthrough","")</f>
        <v/>
      </c>
    </row>
    <row r="18" spans="1:83">
      <c r="A18" s="1690" t="b">
        <f t="shared" si="0"/>
        <v>0</v>
      </c>
      <c r="B18" s="1702">
        <f>'Non-Isokinetic'!A9</f>
        <v>0</v>
      </c>
      <c r="C18" s="1753" t="e">
        <f t="shared" si="1"/>
        <v>#N/A</v>
      </c>
      <c r="D18" s="1705" t="e">
        <f t="shared" si="2"/>
        <v>#N/A</v>
      </c>
      <c r="E18" s="1744" t="e">
        <f t="shared" si="3"/>
        <v>#N/A</v>
      </c>
      <c r="F18" s="1759"/>
      <c r="G18" s="1755"/>
      <c r="H18" s="1755"/>
      <c r="I18" s="1765"/>
      <c r="J18" s="1759"/>
      <c r="K18" s="1755"/>
      <c r="L18" s="1755"/>
      <c r="M18" s="1765"/>
      <c r="N18" s="1773"/>
      <c r="O18" s="1692" t="str">
        <f t="shared" si="4"/>
        <v/>
      </c>
      <c r="P18" s="1692">
        <f t="shared" si="5"/>
        <v>0</v>
      </c>
      <c r="Q18" s="1692" t="str">
        <f t="shared" si="43"/>
        <v/>
      </c>
      <c r="U18" s="1900" t="str">
        <f t="shared" si="6"/>
        <v/>
      </c>
      <c r="V18" s="1904" t="str">
        <f>IF(COUNT(F18:I18)=0,"",Conc1(CB18,U$12,$AJ18,MolVol,Pitots!$E$49,Pitots!$F$49,V$14,V$15,VoF))</f>
        <v/>
      </c>
      <c r="W18" s="1841" t="str">
        <f t="shared" si="44"/>
        <v/>
      </c>
      <c r="X18" s="1909" t="str">
        <f t="shared" si="7"/>
        <v/>
      </c>
      <c r="Y18" s="1904" t="str">
        <f>IF(COUNT(J18:M18)=0,"",Conc1(CD18,X$12,$AJ18,MolVol,Pitots!$E$49,Pitots!$F$49,Y$14,Y$15,VoF))</f>
        <v/>
      </c>
      <c r="Z18" s="1841" t="str">
        <f t="shared" si="8"/>
        <v/>
      </c>
      <c r="AA18" s="1909" t="str">
        <f t="shared" si="45"/>
        <v/>
      </c>
      <c r="AB18" s="1904" t="str">
        <f t="shared" si="46"/>
        <v/>
      </c>
      <c r="AC18" s="1841" t="str">
        <f t="shared" si="9"/>
        <v/>
      </c>
      <c r="AD18" s="1912" t="str">
        <f t="shared" si="10"/>
        <v/>
      </c>
      <c r="AE18" s="1901" t="str">
        <f>IF(V18="","",MassRate(V18,$AJ18,MolVol,V$14,V$15,MRU,MRF,AverageFlowDry,FF))</f>
        <v/>
      </c>
      <c r="AF18" s="1912" t="str">
        <f t="shared" si="11"/>
        <v/>
      </c>
      <c r="AG18" s="1842" t="str">
        <f>IF(Y18="","",MassRate(Y18,$AJ18,MolVol,Y$14,Y$15,MRU,MRF,AverageFlowDry,FF))</f>
        <v/>
      </c>
      <c r="AH18" s="2265" t="str">
        <f t="shared" si="47"/>
        <v/>
      </c>
      <c r="AI18" s="1901" t="str">
        <f t="shared" si="48"/>
        <v/>
      </c>
      <c r="AJ18" s="1870" t="e">
        <f t="shared" si="12"/>
        <v>#N/A</v>
      </c>
      <c r="AK18" s="1744" t="e">
        <f t="shared" si="13"/>
        <v>#N/A</v>
      </c>
      <c r="AL18" s="1872" t="e">
        <f t="shared" si="14"/>
        <v>#N/A</v>
      </c>
      <c r="AM18" s="1721" t="str">
        <f t="shared" si="15"/>
        <v/>
      </c>
      <c r="AN18" s="1721" t="str">
        <f t="shared" si="16"/>
        <v/>
      </c>
      <c r="AO18" s="1721" t="str">
        <f t="shared" si="17"/>
        <v/>
      </c>
      <c r="AP18" s="1721" t="str">
        <f t="shared" si="18"/>
        <v/>
      </c>
      <c r="AQ18" s="1721" t="str">
        <f t="shared" si="19"/>
        <v/>
      </c>
      <c r="AR18" s="1721" t="str">
        <f t="shared" si="20"/>
        <v/>
      </c>
      <c r="AS18" s="1721" t="str">
        <f t="shared" si="21"/>
        <v/>
      </c>
      <c r="AT18" s="1721" t="str">
        <f t="shared" si="22"/>
        <v/>
      </c>
      <c r="AU18" s="1721" t="str">
        <f t="shared" si="23"/>
        <v/>
      </c>
      <c r="AV18" s="1721"/>
      <c r="AW18" s="1721" t="str">
        <f t="shared" si="24"/>
        <v/>
      </c>
      <c r="AX18" s="1721" t="str">
        <f t="shared" si="25"/>
        <v/>
      </c>
      <c r="AY18" s="1721" t="str">
        <f t="shared" si="26"/>
        <v/>
      </c>
      <c r="AZ18" s="1721" t="str">
        <f t="shared" si="27"/>
        <v/>
      </c>
      <c r="BA18" s="1721" t="str">
        <f t="shared" si="28"/>
        <v/>
      </c>
      <c r="BB18" s="1721" t="str">
        <f t="shared" si="29"/>
        <v/>
      </c>
      <c r="BC18" s="1721" t="str">
        <f t="shared" si="30"/>
        <v/>
      </c>
      <c r="BD18" s="1721" t="str">
        <f t="shared" si="31"/>
        <v/>
      </c>
      <c r="BE18" s="1739">
        <f t="shared" si="32"/>
        <v>0</v>
      </c>
      <c r="BF18" s="1721"/>
      <c r="BG18" s="1721">
        <f t="shared" ref="BG18:BN18" si="52">IF(F18="",0,IF(OR((AW18-$BE18)&lt;BO18,AM18="&lt;"),0,AW18-$BE18)*$AL18*1000/F12/$G14*1000000)</f>
        <v>0</v>
      </c>
      <c r="BH18" s="1721">
        <f t="shared" si="52"/>
        <v>0</v>
      </c>
      <c r="BI18" s="1721">
        <f t="shared" si="52"/>
        <v>0</v>
      </c>
      <c r="BJ18" s="1721">
        <f t="shared" si="52"/>
        <v>0</v>
      </c>
      <c r="BK18" s="1721">
        <f t="shared" si="52"/>
        <v>0</v>
      </c>
      <c r="BL18" s="1721">
        <f t="shared" si="52"/>
        <v>0</v>
      </c>
      <c r="BM18" s="1721">
        <f t="shared" si="52"/>
        <v>0</v>
      </c>
      <c r="BN18" s="1721">
        <f t="shared" si="52"/>
        <v>0</v>
      </c>
      <c r="BO18" s="1715">
        <f t="shared" ref="BO18:BV18" si="53">IF(F18="",0,$E18*$AL18*1000/$F12/$G14*1000000)</f>
        <v>0</v>
      </c>
      <c r="BP18" s="1715">
        <f t="shared" si="53"/>
        <v>0</v>
      </c>
      <c r="BQ18" s="1715">
        <f t="shared" si="53"/>
        <v>0</v>
      </c>
      <c r="BR18" s="1715">
        <f t="shared" si="53"/>
        <v>0</v>
      </c>
      <c r="BS18" s="1715">
        <f t="shared" si="53"/>
        <v>0</v>
      </c>
      <c r="BT18" s="1715">
        <f t="shared" si="53"/>
        <v>0</v>
      </c>
      <c r="BU18" s="1715">
        <f t="shared" si="53"/>
        <v>0</v>
      </c>
      <c r="BV18" s="1715">
        <f t="shared" si="53"/>
        <v>0</v>
      </c>
      <c r="BW18" s="1742">
        <f t="shared" si="35"/>
        <v>0</v>
      </c>
      <c r="BX18" s="1690">
        <f t="shared" si="36"/>
        <v>0</v>
      </c>
      <c r="BY18" s="1742">
        <f t="shared" si="37"/>
        <v>0</v>
      </c>
      <c r="BZ18" s="1690">
        <f t="shared" si="38"/>
        <v>0</v>
      </c>
      <c r="CA18" s="1715" t="str">
        <f t="shared" si="39"/>
        <v/>
      </c>
      <c r="CB18" s="1722">
        <f t="shared" si="40"/>
        <v>0</v>
      </c>
      <c r="CC18" s="1715" t="str">
        <f t="shared" si="41"/>
        <v/>
      </c>
      <c r="CD18" s="1722">
        <f t="shared" si="42"/>
        <v>0</v>
      </c>
      <c r="CE18" s="1690" t="str">
        <f t="shared" si="51"/>
        <v/>
      </c>
    </row>
    <row r="19" spans="1:83">
      <c r="A19" s="1690" t="b">
        <f t="shared" si="0"/>
        <v>0</v>
      </c>
      <c r="B19" s="1702">
        <f>'Non-Isokinetic'!A10</f>
        <v>0</v>
      </c>
      <c r="C19" s="1753" t="e">
        <f t="shared" si="1"/>
        <v>#N/A</v>
      </c>
      <c r="D19" s="1705" t="e">
        <f t="shared" si="2"/>
        <v>#N/A</v>
      </c>
      <c r="E19" s="1744" t="e">
        <f t="shared" si="3"/>
        <v>#N/A</v>
      </c>
      <c r="F19" s="1759"/>
      <c r="G19" s="1755"/>
      <c r="H19" s="1755"/>
      <c r="I19" s="1765"/>
      <c r="J19" s="1759"/>
      <c r="K19" s="1755"/>
      <c r="L19" s="1755"/>
      <c r="M19" s="1765"/>
      <c r="N19" s="1773"/>
      <c r="O19" s="1692" t="str">
        <f t="shared" si="4"/>
        <v/>
      </c>
      <c r="P19" s="1692">
        <f t="shared" si="5"/>
        <v>0</v>
      </c>
      <c r="Q19" s="1692" t="str">
        <f t="shared" si="43"/>
        <v/>
      </c>
      <c r="U19" s="1900" t="str">
        <f t="shared" si="6"/>
        <v/>
      </c>
      <c r="V19" s="1904" t="str">
        <f>IF(COUNT(F19:I19)=0,"",Conc1(CB19,U$12,$AJ19,MolVol,Pitots!$E$49,Pitots!$F$49,V$14,V$15,VoF))</f>
        <v/>
      </c>
      <c r="W19" s="1841" t="str">
        <f t="shared" si="44"/>
        <v/>
      </c>
      <c r="X19" s="1909" t="str">
        <f t="shared" si="7"/>
        <v/>
      </c>
      <c r="Y19" s="1904" t="str">
        <f>IF(COUNT(J19:M19)=0,"",Conc1(CD19,X$12,$AJ19,MolVol,Pitots!$E$49,Pitots!$F$49,Y$14,Y$15,VoF))</f>
        <v/>
      </c>
      <c r="Z19" s="1841" t="str">
        <f t="shared" si="8"/>
        <v/>
      </c>
      <c r="AA19" s="1909" t="str">
        <f t="shared" si="45"/>
        <v/>
      </c>
      <c r="AB19" s="1904" t="str">
        <f t="shared" si="46"/>
        <v/>
      </c>
      <c r="AC19" s="1841" t="str">
        <f t="shared" si="9"/>
        <v/>
      </c>
      <c r="AD19" s="1912" t="str">
        <f t="shared" si="10"/>
        <v/>
      </c>
      <c r="AE19" s="1901" t="str">
        <f>IF(V19="","",MassRate(V19,$AJ19,MolVol,V$14,V$15,MRU,MRF,AverageFlowDry,FF))</f>
        <v/>
      </c>
      <c r="AF19" s="1912" t="str">
        <f t="shared" si="11"/>
        <v/>
      </c>
      <c r="AG19" s="1842" t="str">
        <f>IF(Y19="","",MassRate(Y19,$AJ19,MolVol,Y$14,Y$15,MRU,MRF,AverageFlowDry,FF))</f>
        <v/>
      </c>
      <c r="AH19" s="2265" t="str">
        <f t="shared" si="47"/>
        <v/>
      </c>
      <c r="AI19" s="1901" t="str">
        <f t="shared" si="48"/>
        <v/>
      </c>
      <c r="AJ19" s="1870" t="e">
        <f t="shared" si="12"/>
        <v>#N/A</v>
      </c>
      <c r="AK19" s="1744" t="e">
        <f t="shared" si="13"/>
        <v>#N/A</v>
      </c>
      <c r="AL19" s="1872" t="e">
        <f t="shared" si="14"/>
        <v>#N/A</v>
      </c>
      <c r="AM19" s="1721" t="str">
        <f t="shared" si="15"/>
        <v/>
      </c>
      <c r="AN19" s="1721" t="str">
        <f t="shared" si="16"/>
        <v/>
      </c>
      <c r="AO19" s="1721" t="str">
        <f t="shared" si="17"/>
        <v/>
      </c>
      <c r="AP19" s="1721" t="str">
        <f t="shared" si="18"/>
        <v/>
      </c>
      <c r="AQ19" s="1721" t="str">
        <f t="shared" si="19"/>
        <v/>
      </c>
      <c r="AR19" s="1721" t="str">
        <f t="shared" si="20"/>
        <v/>
      </c>
      <c r="AS19" s="1721" t="str">
        <f t="shared" si="21"/>
        <v/>
      </c>
      <c r="AT19" s="1721" t="str">
        <f t="shared" si="22"/>
        <v/>
      </c>
      <c r="AU19" s="1721" t="str">
        <f t="shared" si="23"/>
        <v/>
      </c>
      <c r="AV19" s="1721"/>
      <c r="AW19" s="1721" t="str">
        <f t="shared" si="24"/>
        <v/>
      </c>
      <c r="AX19" s="1721" t="str">
        <f t="shared" si="25"/>
        <v/>
      </c>
      <c r="AY19" s="1721" t="str">
        <f t="shared" si="26"/>
        <v/>
      </c>
      <c r="AZ19" s="1721" t="str">
        <f t="shared" si="27"/>
        <v/>
      </c>
      <c r="BA19" s="1721" t="str">
        <f t="shared" si="28"/>
        <v/>
      </c>
      <c r="BB19" s="1721" t="str">
        <f t="shared" si="29"/>
        <v/>
      </c>
      <c r="BC19" s="1721" t="str">
        <f t="shared" si="30"/>
        <v/>
      </c>
      <c r="BD19" s="1721" t="str">
        <f t="shared" si="31"/>
        <v/>
      </c>
      <c r="BE19" s="1739">
        <f t="shared" si="32"/>
        <v>0</v>
      </c>
      <c r="BF19" s="1721"/>
      <c r="BG19" s="1721">
        <f t="shared" ref="BG19:BN19" si="54">IF(F19="",0,IF(OR((AW19-$BE19)&lt;BO19,AM19="&lt;"),0,AW19-$BE19)*$AL19*1000/F12/$G14*1000000)</f>
        <v>0</v>
      </c>
      <c r="BH19" s="1721">
        <f t="shared" si="54"/>
        <v>0</v>
      </c>
      <c r="BI19" s="1721">
        <f t="shared" si="54"/>
        <v>0</v>
      </c>
      <c r="BJ19" s="1721">
        <f t="shared" si="54"/>
        <v>0</v>
      </c>
      <c r="BK19" s="1721">
        <f t="shared" si="54"/>
        <v>0</v>
      </c>
      <c r="BL19" s="1721">
        <f t="shared" si="54"/>
        <v>0</v>
      </c>
      <c r="BM19" s="1721">
        <f t="shared" si="54"/>
        <v>0</v>
      </c>
      <c r="BN19" s="1721">
        <f t="shared" si="54"/>
        <v>0</v>
      </c>
      <c r="BO19" s="1715">
        <f t="shared" ref="BO19:BV19" si="55">IF(F19="",0,$E19*$AL19*1000/$F12/$G14*1000000)</f>
        <v>0</v>
      </c>
      <c r="BP19" s="1715">
        <f t="shared" si="55"/>
        <v>0</v>
      </c>
      <c r="BQ19" s="1715">
        <f t="shared" si="55"/>
        <v>0</v>
      </c>
      <c r="BR19" s="1715">
        <f t="shared" si="55"/>
        <v>0</v>
      </c>
      <c r="BS19" s="1715">
        <f t="shared" si="55"/>
        <v>0</v>
      </c>
      <c r="BT19" s="1715">
        <f t="shared" si="55"/>
        <v>0</v>
      </c>
      <c r="BU19" s="1715">
        <f t="shared" si="55"/>
        <v>0</v>
      </c>
      <c r="BV19" s="1715">
        <f t="shared" si="55"/>
        <v>0</v>
      </c>
      <c r="BW19" s="1742">
        <f t="shared" si="35"/>
        <v>0</v>
      </c>
      <c r="BX19" s="1690">
        <f t="shared" si="36"/>
        <v>0</v>
      </c>
      <c r="BY19" s="1742">
        <f t="shared" si="37"/>
        <v>0</v>
      </c>
      <c r="BZ19" s="1690">
        <f t="shared" si="38"/>
        <v>0</v>
      </c>
      <c r="CA19" s="1715" t="str">
        <f t="shared" si="39"/>
        <v/>
      </c>
      <c r="CB19" s="1722">
        <f t="shared" si="40"/>
        <v>0</v>
      </c>
      <c r="CC19" s="1715" t="str">
        <f t="shared" si="41"/>
        <v/>
      </c>
      <c r="CD19" s="1722">
        <f t="shared" si="42"/>
        <v>0</v>
      </c>
      <c r="CE19" s="1690" t="str">
        <f t="shared" si="51"/>
        <v/>
      </c>
    </row>
    <row r="20" spans="1:83">
      <c r="A20" s="1690" t="b">
        <f t="shared" si="0"/>
        <v>0</v>
      </c>
      <c r="B20" s="1702">
        <f>'Non-Isokinetic'!A11</f>
        <v>0</v>
      </c>
      <c r="C20" s="1753" t="e">
        <f t="shared" si="1"/>
        <v>#N/A</v>
      </c>
      <c r="D20" s="1705" t="e">
        <f t="shared" si="2"/>
        <v>#N/A</v>
      </c>
      <c r="E20" s="1744" t="e">
        <f t="shared" si="3"/>
        <v>#N/A</v>
      </c>
      <c r="F20" s="1759"/>
      <c r="G20" s="1755"/>
      <c r="H20" s="1755"/>
      <c r="I20" s="1765"/>
      <c r="J20" s="1759"/>
      <c r="K20" s="1755"/>
      <c r="L20" s="1755"/>
      <c r="M20" s="1765"/>
      <c r="N20" s="1773"/>
      <c r="O20" s="1692" t="str">
        <f t="shared" si="4"/>
        <v/>
      </c>
      <c r="P20" s="1692">
        <f t="shared" si="5"/>
        <v>0</v>
      </c>
      <c r="Q20" s="1692" t="str">
        <f t="shared" si="43"/>
        <v/>
      </c>
      <c r="U20" s="1900" t="str">
        <f t="shared" si="6"/>
        <v/>
      </c>
      <c r="V20" s="1904" t="str">
        <f>IF(COUNT(F20:I20)=0,"",Conc1(CB20,U$12,$AJ20,MolVol,Pitots!$E$49,Pitots!$F$49,V$14,V$15,VoF))</f>
        <v/>
      </c>
      <c r="W20" s="1841" t="str">
        <f t="shared" si="44"/>
        <v/>
      </c>
      <c r="X20" s="1909" t="str">
        <f t="shared" si="7"/>
        <v/>
      </c>
      <c r="Y20" s="1904" t="str">
        <f>IF(COUNT(J20:M20)=0,"",Conc1(CD20,X$12,$AJ20,MolVol,Pitots!$E$49,Pitots!$F$49,Y$14,Y$15,VoF))</f>
        <v/>
      </c>
      <c r="Z20" s="1841" t="str">
        <f t="shared" si="8"/>
        <v/>
      </c>
      <c r="AA20" s="1909" t="str">
        <f t="shared" si="45"/>
        <v/>
      </c>
      <c r="AB20" s="1904" t="str">
        <f t="shared" si="46"/>
        <v/>
      </c>
      <c r="AC20" s="1841" t="str">
        <f t="shared" si="9"/>
        <v/>
      </c>
      <c r="AD20" s="1912" t="str">
        <f t="shared" si="10"/>
        <v/>
      </c>
      <c r="AE20" s="1901" t="str">
        <f>IF(V20="","",MassRate(V20,$AJ20,MolVol,V$14,V$15,MRU,MRF,AverageFlowDry,FF))</f>
        <v/>
      </c>
      <c r="AF20" s="1912" t="str">
        <f t="shared" si="11"/>
        <v/>
      </c>
      <c r="AG20" s="1842" t="str">
        <f>IF(Y20="","",MassRate(Y20,$AJ20,MolVol,Y$14,Y$15,MRU,MRF,AverageFlowDry,FF))</f>
        <v/>
      </c>
      <c r="AH20" s="2265" t="str">
        <f t="shared" si="47"/>
        <v/>
      </c>
      <c r="AI20" s="1901" t="str">
        <f t="shared" si="48"/>
        <v/>
      </c>
      <c r="AJ20" s="1870" t="e">
        <f t="shared" si="12"/>
        <v>#N/A</v>
      </c>
      <c r="AK20" s="1744" t="e">
        <f t="shared" si="13"/>
        <v>#N/A</v>
      </c>
      <c r="AL20" s="1872" t="e">
        <f t="shared" si="14"/>
        <v>#N/A</v>
      </c>
      <c r="AM20" s="1721" t="str">
        <f t="shared" si="15"/>
        <v/>
      </c>
      <c r="AN20" s="1721" t="str">
        <f t="shared" si="16"/>
        <v/>
      </c>
      <c r="AO20" s="1721" t="str">
        <f t="shared" si="17"/>
        <v/>
      </c>
      <c r="AP20" s="1721" t="str">
        <f t="shared" si="18"/>
        <v/>
      </c>
      <c r="AQ20" s="1721" t="str">
        <f t="shared" si="19"/>
        <v/>
      </c>
      <c r="AR20" s="1721" t="str">
        <f t="shared" si="20"/>
        <v/>
      </c>
      <c r="AS20" s="1721" t="str">
        <f t="shared" si="21"/>
        <v/>
      </c>
      <c r="AT20" s="1721" t="str">
        <f t="shared" si="22"/>
        <v/>
      </c>
      <c r="AU20" s="1721" t="str">
        <f t="shared" si="23"/>
        <v/>
      </c>
      <c r="AV20" s="1721"/>
      <c r="AW20" s="1721" t="str">
        <f t="shared" si="24"/>
        <v/>
      </c>
      <c r="AX20" s="1721" t="str">
        <f t="shared" si="25"/>
        <v/>
      </c>
      <c r="AY20" s="1721" t="str">
        <f t="shared" si="26"/>
        <v/>
      </c>
      <c r="AZ20" s="1721" t="str">
        <f t="shared" si="27"/>
        <v/>
      </c>
      <c r="BA20" s="1721" t="str">
        <f t="shared" si="28"/>
        <v/>
      </c>
      <c r="BB20" s="1721" t="str">
        <f t="shared" si="29"/>
        <v/>
      </c>
      <c r="BC20" s="1721" t="str">
        <f t="shared" si="30"/>
        <v/>
      </c>
      <c r="BD20" s="1721" t="str">
        <f t="shared" si="31"/>
        <v/>
      </c>
      <c r="BE20" s="1739">
        <f t="shared" si="32"/>
        <v>0</v>
      </c>
      <c r="BF20" s="1721"/>
      <c r="BG20" s="1721">
        <f t="shared" ref="BG20:BN20" si="56">IF(F20="",0,IF(OR((AW20-$BE20)&lt;BO20,AM20="&lt;"),0,AW20-$BE20)*$AL20*1000/F12/$G14*1000000)</f>
        <v>0</v>
      </c>
      <c r="BH20" s="1721">
        <f t="shared" si="56"/>
        <v>0</v>
      </c>
      <c r="BI20" s="1721">
        <f t="shared" si="56"/>
        <v>0</v>
      </c>
      <c r="BJ20" s="1721">
        <f t="shared" si="56"/>
        <v>0</v>
      </c>
      <c r="BK20" s="1721">
        <f t="shared" si="56"/>
        <v>0</v>
      </c>
      <c r="BL20" s="1721">
        <f t="shared" si="56"/>
        <v>0</v>
      </c>
      <c r="BM20" s="1721">
        <f t="shared" si="56"/>
        <v>0</v>
      </c>
      <c r="BN20" s="1721">
        <f t="shared" si="56"/>
        <v>0</v>
      </c>
      <c r="BO20" s="1715">
        <f t="shared" ref="BO20:BV20" si="57">IF(F20="",0,$E20*$AL20*1000/$F12/$G14*1000000)</f>
        <v>0</v>
      </c>
      <c r="BP20" s="1715">
        <f t="shared" si="57"/>
        <v>0</v>
      </c>
      <c r="BQ20" s="1715">
        <f t="shared" si="57"/>
        <v>0</v>
      </c>
      <c r="BR20" s="1715">
        <f t="shared" si="57"/>
        <v>0</v>
      </c>
      <c r="BS20" s="1715">
        <f t="shared" si="57"/>
        <v>0</v>
      </c>
      <c r="BT20" s="1715">
        <f t="shared" si="57"/>
        <v>0</v>
      </c>
      <c r="BU20" s="1715">
        <f t="shared" si="57"/>
        <v>0</v>
      </c>
      <c r="BV20" s="1715">
        <f t="shared" si="57"/>
        <v>0</v>
      </c>
      <c r="BW20" s="1742">
        <f t="shared" si="35"/>
        <v>0</v>
      </c>
      <c r="BX20" s="1690">
        <f t="shared" si="36"/>
        <v>0</v>
      </c>
      <c r="BY20" s="1742">
        <f t="shared" si="37"/>
        <v>0</v>
      </c>
      <c r="BZ20" s="1690">
        <f t="shared" si="38"/>
        <v>0</v>
      </c>
      <c r="CA20" s="1715" t="str">
        <f t="shared" si="39"/>
        <v/>
      </c>
      <c r="CB20" s="1722">
        <f t="shared" si="40"/>
        <v>0</v>
      </c>
      <c r="CC20" s="1715" t="str">
        <f t="shared" si="41"/>
        <v/>
      </c>
      <c r="CD20" s="1722">
        <f t="shared" si="42"/>
        <v>0</v>
      </c>
      <c r="CE20" s="1690" t="str">
        <f t="shared" si="51"/>
        <v/>
      </c>
    </row>
    <row r="21" spans="1:83">
      <c r="A21" s="1690" t="b">
        <f t="shared" si="0"/>
        <v>0</v>
      </c>
      <c r="B21" s="1702">
        <f>'Non-Isokinetic'!A12</f>
        <v>0</v>
      </c>
      <c r="C21" s="1753" t="e">
        <f t="shared" si="1"/>
        <v>#N/A</v>
      </c>
      <c r="D21" s="1705" t="e">
        <f t="shared" si="2"/>
        <v>#N/A</v>
      </c>
      <c r="E21" s="1744" t="e">
        <f t="shared" si="3"/>
        <v>#N/A</v>
      </c>
      <c r="F21" s="1759"/>
      <c r="G21" s="1755"/>
      <c r="H21" s="1755"/>
      <c r="I21" s="1765"/>
      <c r="J21" s="1759"/>
      <c r="K21" s="1755"/>
      <c r="L21" s="1755"/>
      <c r="M21" s="1765"/>
      <c r="N21" s="1773"/>
      <c r="O21" s="1692" t="str">
        <f t="shared" si="4"/>
        <v/>
      </c>
      <c r="P21" s="1692">
        <f t="shared" si="5"/>
        <v>0</v>
      </c>
      <c r="Q21" s="1692" t="str">
        <f t="shared" si="43"/>
        <v/>
      </c>
      <c r="U21" s="1900" t="str">
        <f t="shared" si="6"/>
        <v/>
      </c>
      <c r="V21" s="1904" t="str">
        <f>IF(COUNT(F21:I21)=0,"",Conc1(CB21,U$12,$AJ21,MolVol,Pitots!$E$49,Pitots!$F$49,V$14,V$15,VoF))</f>
        <v/>
      </c>
      <c r="W21" s="1841" t="str">
        <f t="shared" si="44"/>
        <v/>
      </c>
      <c r="X21" s="1909" t="str">
        <f t="shared" si="7"/>
        <v/>
      </c>
      <c r="Y21" s="1904" t="str">
        <f>IF(COUNT(J21:M21)=0,"",Conc1(CD21,X$12,$AJ21,MolVol,Pitots!$E$49,Pitots!$F$49,Y$14,Y$15,VoF))</f>
        <v/>
      </c>
      <c r="Z21" s="1841" t="str">
        <f t="shared" si="8"/>
        <v/>
      </c>
      <c r="AA21" s="1909" t="str">
        <f t="shared" si="45"/>
        <v/>
      </c>
      <c r="AB21" s="1904" t="str">
        <f t="shared" si="46"/>
        <v/>
      </c>
      <c r="AC21" s="1841" t="str">
        <f t="shared" si="9"/>
        <v/>
      </c>
      <c r="AD21" s="1912" t="str">
        <f t="shared" si="10"/>
        <v/>
      </c>
      <c r="AE21" s="1901" t="str">
        <f>IF(V21="","",MassRate(V21,$AJ21,MolVol,V$14,V$15,MRU,MRF,AverageFlowDry,FF))</f>
        <v/>
      </c>
      <c r="AF21" s="1912" t="str">
        <f t="shared" si="11"/>
        <v/>
      </c>
      <c r="AG21" s="1842" t="str">
        <f>IF(Y21="","",MassRate(Y21,$AJ21,MolVol,Y$14,Y$15,MRU,MRF,AverageFlowDry,FF))</f>
        <v/>
      </c>
      <c r="AH21" s="2265" t="str">
        <f t="shared" si="47"/>
        <v/>
      </c>
      <c r="AI21" s="1901" t="str">
        <f t="shared" si="48"/>
        <v/>
      </c>
      <c r="AJ21" s="1870" t="e">
        <f t="shared" si="12"/>
        <v>#N/A</v>
      </c>
      <c r="AK21" s="1744" t="e">
        <f t="shared" si="13"/>
        <v>#N/A</v>
      </c>
      <c r="AL21" s="1872" t="e">
        <f t="shared" si="14"/>
        <v>#N/A</v>
      </c>
      <c r="AM21" s="1721" t="str">
        <f t="shared" si="15"/>
        <v/>
      </c>
      <c r="AN21" s="1721" t="str">
        <f t="shared" si="16"/>
        <v/>
      </c>
      <c r="AO21" s="1721" t="str">
        <f t="shared" si="17"/>
        <v/>
      </c>
      <c r="AP21" s="1721" t="str">
        <f t="shared" si="18"/>
        <v/>
      </c>
      <c r="AQ21" s="1721" t="str">
        <f t="shared" si="19"/>
        <v/>
      </c>
      <c r="AR21" s="1721" t="str">
        <f t="shared" si="20"/>
        <v/>
      </c>
      <c r="AS21" s="1721" t="str">
        <f t="shared" si="21"/>
        <v/>
      </c>
      <c r="AT21" s="1721" t="str">
        <f t="shared" si="22"/>
        <v/>
      </c>
      <c r="AU21" s="1721" t="str">
        <f t="shared" si="23"/>
        <v/>
      </c>
      <c r="AV21" s="1721"/>
      <c r="AW21" s="1721" t="str">
        <f t="shared" si="24"/>
        <v/>
      </c>
      <c r="AX21" s="1721" t="str">
        <f t="shared" si="25"/>
        <v/>
      </c>
      <c r="AY21" s="1721" t="str">
        <f t="shared" si="26"/>
        <v/>
      </c>
      <c r="AZ21" s="1721" t="str">
        <f t="shared" si="27"/>
        <v/>
      </c>
      <c r="BA21" s="1721" t="str">
        <f t="shared" si="28"/>
        <v/>
      </c>
      <c r="BB21" s="1721" t="str">
        <f t="shared" si="29"/>
        <v/>
      </c>
      <c r="BC21" s="1721" t="str">
        <f t="shared" si="30"/>
        <v/>
      </c>
      <c r="BD21" s="1721" t="str">
        <f t="shared" si="31"/>
        <v/>
      </c>
      <c r="BE21" s="1739">
        <f t="shared" si="32"/>
        <v>0</v>
      </c>
      <c r="BF21" s="1721"/>
      <c r="BG21" s="1721">
        <f t="shared" ref="BG21:BN21" si="58">IF(F21="",0,IF(OR((AW21-$BE21)&lt;BO21,AM21="&lt;"),0,AW21-$BE21)*$AL21*1000/F12/$G14*1000000)</f>
        <v>0</v>
      </c>
      <c r="BH21" s="1721">
        <f t="shared" si="58"/>
        <v>0</v>
      </c>
      <c r="BI21" s="1721">
        <f t="shared" si="58"/>
        <v>0</v>
      </c>
      <c r="BJ21" s="1721">
        <f t="shared" si="58"/>
        <v>0</v>
      </c>
      <c r="BK21" s="1721">
        <f t="shared" si="58"/>
        <v>0</v>
      </c>
      <c r="BL21" s="1721">
        <f t="shared" si="58"/>
        <v>0</v>
      </c>
      <c r="BM21" s="1721">
        <f t="shared" si="58"/>
        <v>0</v>
      </c>
      <c r="BN21" s="1721">
        <f t="shared" si="58"/>
        <v>0</v>
      </c>
      <c r="BO21" s="1715">
        <f t="shared" ref="BO21:BV21" si="59">IF(F21="",0,$E21*$AL21*1000/$F12/$G14*1000000)</f>
        <v>0</v>
      </c>
      <c r="BP21" s="1715">
        <f t="shared" si="59"/>
        <v>0</v>
      </c>
      <c r="BQ21" s="1715">
        <f t="shared" si="59"/>
        <v>0</v>
      </c>
      <c r="BR21" s="1715">
        <f t="shared" si="59"/>
        <v>0</v>
      </c>
      <c r="BS21" s="1715">
        <f t="shared" si="59"/>
        <v>0</v>
      </c>
      <c r="BT21" s="1715">
        <f t="shared" si="59"/>
        <v>0</v>
      </c>
      <c r="BU21" s="1715">
        <f t="shared" si="59"/>
        <v>0</v>
      </c>
      <c r="BV21" s="1715">
        <f t="shared" si="59"/>
        <v>0</v>
      </c>
      <c r="BW21" s="1742">
        <f t="shared" si="35"/>
        <v>0</v>
      </c>
      <c r="BX21" s="1690">
        <f t="shared" si="36"/>
        <v>0</v>
      </c>
      <c r="BY21" s="1742">
        <f t="shared" si="37"/>
        <v>0</v>
      </c>
      <c r="BZ21" s="1690">
        <f t="shared" si="38"/>
        <v>0</v>
      </c>
      <c r="CA21" s="1715" t="str">
        <f t="shared" si="39"/>
        <v/>
      </c>
      <c r="CB21" s="1722">
        <f t="shared" si="40"/>
        <v>0</v>
      </c>
      <c r="CC21" s="1715" t="str">
        <f t="shared" si="41"/>
        <v/>
      </c>
      <c r="CD21" s="1722">
        <f t="shared" si="42"/>
        <v>0</v>
      </c>
      <c r="CE21" s="1690" t="str">
        <f t="shared" si="51"/>
        <v/>
      </c>
    </row>
    <row r="22" spans="1:83">
      <c r="A22" s="1690" t="b">
        <f t="shared" si="0"/>
        <v>0</v>
      </c>
      <c r="B22" s="1702">
        <f>'Non-Isokinetic'!A13</f>
        <v>0</v>
      </c>
      <c r="C22" s="1753" t="e">
        <f t="shared" si="1"/>
        <v>#N/A</v>
      </c>
      <c r="D22" s="1705" t="e">
        <f t="shared" si="2"/>
        <v>#N/A</v>
      </c>
      <c r="E22" s="1744" t="e">
        <f t="shared" si="3"/>
        <v>#N/A</v>
      </c>
      <c r="F22" s="1759"/>
      <c r="G22" s="1755"/>
      <c r="H22" s="1755"/>
      <c r="I22" s="1765"/>
      <c r="J22" s="1759"/>
      <c r="K22" s="1755"/>
      <c r="L22" s="1755"/>
      <c r="M22" s="1765"/>
      <c r="N22" s="1773"/>
      <c r="O22" s="1692" t="str">
        <f t="shared" si="4"/>
        <v/>
      </c>
      <c r="P22" s="1692">
        <f t="shared" si="5"/>
        <v>0</v>
      </c>
      <c r="Q22" s="1692" t="str">
        <f t="shared" si="43"/>
        <v/>
      </c>
      <c r="U22" s="1900" t="str">
        <f t="shared" si="6"/>
        <v/>
      </c>
      <c r="V22" s="1904" t="str">
        <f>IF(COUNT(F22:I22)=0,"",Conc1(CB22,U$12,$AJ22,MolVol,Pitots!$E$49,Pitots!$F$49,V$14,V$15,VoF))</f>
        <v/>
      </c>
      <c r="W22" s="1841" t="str">
        <f t="shared" si="44"/>
        <v/>
      </c>
      <c r="X22" s="1909" t="str">
        <f t="shared" si="7"/>
        <v/>
      </c>
      <c r="Y22" s="1904" t="str">
        <f>IF(COUNT(J22:M22)=0,"",Conc1(CD22,X$12,$AJ22,MolVol,Pitots!$E$49,Pitots!$F$49,Y$14,Y$15,VoF))</f>
        <v/>
      </c>
      <c r="Z22" s="1841" t="str">
        <f t="shared" si="8"/>
        <v/>
      </c>
      <c r="AA22" s="1909" t="str">
        <f t="shared" si="45"/>
        <v/>
      </c>
      <c r="AB22" s="1904" t="str">
        <f t="shared" si="46"/>
        <v/>
      </c>
      <c r="AC22" s="1841" t="str">
        <f t="shared" si="9"/>
        <v/>
      </c>
      <c r="AD22" s="1912" t="str">
        <f t="shared" si="10"/>
        <v/>
      </c>
      <c r="AE22" s="1901" t="str">
        <f>IF(V22="","",MassRate(V22,$AJ22,MolVol,V$14,V$15,MRU,MRF,AverageFlowDry,FF))</f>
        <v/>
      </c>
      <c r="AF22" s="1912" t="str">
        <f t="shared" si="11"/>
        <v/>
      </c>
      <c r="AG22" s="1842" t="str">
        <f>IF(Y22="","",MassRate(Y22,$AJ22,MolVol,Y$14,Y$15,MRU,MRF,AverageFlowDry,FF))</f>
        <v/>
      </c>
      <c r="AH22" s="2265" t="str">
        <f t="shared" si="47"/>
        <v/>
      </c>
      <c r="AI22" s="1901" t="str">
        <f t="shared" si="48"/>
        <v/>
      </c>
      <c r="AJ22" s="1870" t="e">
        <f t="shared" si="12"/>
        <v>#N/A</v>
      </c>
      <c r="AK22" s="1744" t="e">
        <f t="shared" si="13"/>
        <v>#N/A</v>
      </c>
      <c r="AL22" s="1872" t="e">
        <f t="shared" si="14"/>
        <v>#N/A</v>
      </c>
      <c r="AM22" s="1721" t="str">
        <f t="shared" si="15"/>
        <v/>
      </c>
      <c r="AN22" s="1721" t="str">
        <f t="shared" si="16"/>
        <v/>
      </c>
      <c r="AO22" s="1721" t="str">
        <f t="shared" si="17"/>
        <v/>
      </c>
      <c r="AP22" s="1721" t="str">
        <f t="shared" si="18"/>
        <v/>
      </c>
      <c r="AQ22" s="1721" t="str">
        <f t="shared" si="19"/>
        <v/>
      </c>
      <c r="AR22" s="1721" t="str">
        <f t="shared" si="20"/>
        <v/>
      </c>
      <c r="AS22" s="1721" t="str">
        <f t="shared" si="21"/>
        <v/>
      </c>
      <c r="AT22" s="1721" t="str">
        <f t="shared" si="22"/>
        <v/>
      </c>
      <c r="AU22" s="1721" t="str">
        <f t="shared" si="23"/>
        <v/>
      </c>
      <c r="AV22" s="1721"/>
      <c r="AW22" s="1721" t="str">
        <f t="shared" si="24"/>
        <v/>
      </c>
      <c r="AX22" s="1721" t="str">
        <f t="shared" si="25"/>
        <v/>
      </c>
      <c r="AY22" s="1721" t="str">
        <f t="shared" si="26"/>
        <v/>
      </c>
      <c r="AZ22" s="1721" t="str">
        <f t="shared" si="27"/>
        <v/>
      </c>
      <c r="BA22" s="1721" t="str">
        <f t="shared" si="28"/>
        <v/>
      </c>
      <c r="BB22" s="1721" t="str">
        <f t="shared" si="29"/>
        <v/>
      </c>
      <c r="BC22" s="1721" t="str">
        <f t="shared" si="30"/>
        <v/>
      </c>
      <c r="BD22" s="1721" t="str">
        <f t="shared" si="31"/>
        <v/>
      </c>
      <c r="BE22" s="1739">
        <f t="shared" si="32"/>
        <v>0</v>
      </c>
      <c r="BF22" s="1721"/>
      <c r="BG22" s="1721">
        <f t="shared" ref="BG22:BN22" si="60">IF(F22="",0,IF(OR((AW22-$BE22)&lt;BO22,AM22="&lt;"),0,AW22-$BE22)*$AL22*1000/F12/$G14*1000000)</f>
        <v>0</v>
      </c>
      <c r="BH22" s="1721">
        <f t="shared" si="60"/>
        <v>0</v>
      </c>
      <c r="BI22" s="1721">
        <f t="shared" si="60"/>
        <v>0</v>
      </c>
      <c r="BJ22" s="1721">
        <f t="shared" si="60"/>
        <v>0</v>
      </c>
      <c r="BK22" s="1721">
        <f t="shared" si="60"/>
        <v>0</v>
      </c>
      <c r="BL22" s="1721">
        <f t="shared" si="60"/>
        <v>0</v>
      </c>
      <c r="BM22" s="1721">
        <f t="shared" si="60"/>
        <v>0</v>
      </c>
      <c r="BN22" s="1721">
        <f t="shared" si="60"/>
        <v>0</v>
      </c>
      <c r="BO22" s="1715">
        <f t="shared" ref="BO22:BV22" si="61">IF(F22="",0,$E22*$AL22*1000/$F12/$G14*1000000)</f>
        <v>0</v>
      </c>
      <c r="BP22" s="1715">
        <f t="shared" si="61"/>
        <v>0</v>
      </c>
      <c r="BQ22" s="1715">
        <f t="shared" si="61"/>
        <v>0</v>
      </c>
      <c r="BR22" s="1715">
        <f t="shared" si="61"/>
        <v>0</v>
      </c>
      <c r="BS22" s="1715">
        <f t="shared" si="61"/>
        <v>0</v>
      </c>
      <c r="BT22" s="1715">
        <f t="shared" si="61"/>
        <v>0</v>
      </c>
      <c r="BU22" s="1715">
        <f t="shared" si="61"/>
        <v>0</v>
      </c>
      <c r="BV22" s="1715">
        <f t="shared" si="61"/>
        <v>0</v>
      </c>
      <c r="BW22" s="1742">
        <f t="shared" si="35"/>
        <v>0</v>
      </c>
      <c r="BX22" s="1690">
        <f t="shared" si="36"/>
        <v>0</v>
      </c>
      <c r="BY22" s="1742">
        <f t="shared" si="37"/>
        <v>0</v>
      </c>
      <c r="BZ22" s="1690">
        <f t="shared" si="38"/>
        <v>0</v>
      </c>
      <c r="CA22" s="1715" t="str">
        <f t="shared" si="39"/>
        <v/>
      </c>
      <c r="CB22" s="1722">
        <f t="shared" si="40"/>
        <v>0</v>
      </c>
      <c r="CC22" s="1715" t="str">
        <f t="shared" si="41"/>
        <v/>
      </c>
      <c r="CD22" s="1722">
        <f t="shared" si="42"/>
        <v>0</v>
      </c>
      <c r="CE22" s="1690" t="str">
        <f t="shared" si="51"/>
        <v/>
      </c>
    </row>
    <row r="23" spans="1:83">
      <c r="A23" s="1690" t="b">
        <f t="shared" si="0"/>
        <v>0</v>
      </c>
      <c r="B23" s="1702">
        <f>'Non-Isokinetic'!A14</f>
        <v>0</v>
      </c>
      <c r="C23" s="1753" t="e">
        <f t="shared" si="1"/>
        <v>#N/A</v>
      </c>
      <c r="D23" s="1705" t="e">
        <f t="shared" si="2"/>
        <v>#N/A</v>
      </c>
      <c r="E23" s="1744" t="e">
        <f t="shared" si="3"/>
        <v>#N/A</v>
      </c>
      <c r="F23" s="1759"/>
      <c r="G23" s="1755"/>
      <c r="H23" s="1755"/>
      <c r="I23" s="1765"/>
      <c r="J23" s="1759"/>
      <c r="K23" s="1755"/>
      <c r="L23" s="1755"/>
      <c r="M23" s="1765"/>
      <c r="N23" s="1773"/>
      <c r="O23" s="1692" t="str">
        <f t="shared" si="4"/>
        <v/>
      </c>
      <c r="P23" s="1692">
        <f t="shared" si="5"/>
        <v>0</v>
      </c>
      <c r="Q23" s="1692" t="str">
        <f t="shared" si="43"/>
        <v/>
      </c>
      <c r="U23" s="1900" t="str">
        <f t="shared" si="6"/>
        <v/>
      </c>
      <c r="V23" s="1904" t="str">
        <f>IF(COUNT(F23:I23)=0,"",Conc1(CB23,U$12,$AJ23,MolVol,Pitots!$E$49,Pitots!$F$49,V$14,V$15,VoF))</f>
        <v/>
      </c>
      <c r="W23" s="1841" t="str">
        <f t="shared" si="44"/>
        <v/>
      </c>
      <c r="X23" s="1909" t="str">
        <f t="shared" si="7"/>
        <v/>
      </c>
      <c r="Y23" s="1904" t="str">
        <f>IF(COUNT(J23:M23)=0,"",Conc1(CD23,X$12,$AJ23,MolVol,Pitots!$E$49,Pitots!$F$49,Y$14,Y$15,VoF))</f>
        <v/>
      </c>
      <c r="Z23" s="1841" t="str">
        <f t="shared" si="8"/>
        <v/>
      </c>
      <c r="AA23" s="1909" t="str">
        <f t="shared" si="45"/>
        <v/>
      </c>
      <c r="AB23" s="1904" t="str">
        <f t="shared" si="46"/>
        <v/>
      </c>
      <c r="AC23" s="1841" t="str">
        <f t="shared" si="9"/>
        <v/>
      </c>
      <c r="AD23" s="1912" t="str">
        <f t="shared" si="10"/>
        <v/>
      </c>
      <c r="AE23" s="1901" t="str">
        <f>IF(V23="","",MassRate(V23,$AJ23,MolVol,V$14,V$15,MRU,MRF,AverageFlowDry,FF))</f>
        <v/>
      </c>
      <c r="AF23" s="1912" t="str">
        <f t="shared" si="11"/>
        <v/>
      </c>
      <c r="AG23" s="1842" t="str">
        <f>IF(Y23="","",MassRate(Y23,$AJ23,MolVol,Y$14,Y$15,MRU,MRF,AverageFlowDry,FF))</f>
        <v/>
      </c>
      <c r="AH23" s="2265" t="str">
        <f t="shared" si="47"/>
        <v/>
      </c>
      <c r="AI23" s="1901" t="str">
        <f t="shared" si="48"/>
        <v/>
      </c>
      <c r="AJ23" s="1870" t="e">
        <f t="shared" si="12"/>
        <v>#N/A</v>
      </c>
      <c r="AK23" s="1744" t="e">
        <f t="shared" si="13"/>
        <v>#N/A</v>
      </c>
      <c r="AL23" s="1872" t="e">
        <f t="shared" si="14"/>
        <v>#N/A</v>
      </c>
      <c r="AM23" s="1721" t="str">
        <f t="shared" si="15"/>
        <v/>
      </c>
      <c r="AN23" s="1721" t="str">
        <f t="shared" si="16"/>
        <v/>
      </c>
      <c r="AO23" s="1721" t="str">
        <f t="shared" si="17"/>
        <v/>
      </c>
      <c r="AP23" s="1721" t="str">
        <f t="shared" si="18"/>
        <v/>
      </c>
      <c r="AQ23" s="1721" t="str">
        <f t="shared" si="19"/>
        <v/>
      </c>
      <c r="AR23" s="1721" t="str">
        <f t="shared" si="20"/>
        <v/>
      </c>
      <c r="AS23" s="1721" t="str">
        <f t="shared" si="21"/>
        <v/>
      </c>
      <c r="AT23" s="1721" t="str">
        <f t="shared" si="22"/>
        <v/>
      </c>
      <c r="AU23" s="1721" t="str">
        <f t="shared" si="23"/>
        <v/>
      </c>
      <c r="AV23" s="1721"/>
      <c r="AW23" s="1721" t="str">
        <f t="shared" si="24"/>
        <v/>
      </c>
      <c r="AX23" s="1721" t="str">
        <f t="shared" si="25"/>
        <v/>
      </c>
      <c r="AY23" s="1721" t="str">
        <f t="shared" si="26"/>
        <v/>
      </c>
      <c r="AZ23" s="1721" t="str">
        <f t="shared" si="27"/>
        <v/>
      </c>
      <c r="BA23" s="1721" t="str">
        <f t="shared" si="28"/>
        <v/>
      </c>
      <c r="BB23" s="1721" t="str">
        <f t="shared" si="29"/>
        <v/>
      </c>
      <c r="BC23" s="1721" t="str">
        <f t="shared" si="30"/>
        <v/>
      </c>
      <c r="BD23" s="1721" t="str">
        <f t="shared" si="31"/>
        <v/>
      </c>
      <c r="BE23" s="1739">
        <f t="shared" si="32"/>
        <v>0</v>
      </c>
      <c r="BF23" s="1721"/>
      <c r="BG23" s="1721">
        <f t="shared" ref="BG23:BN23" si="62">IF(F23="",0,IF(OR((AW23-$BE23)&lt;BO23,AM23="&lt;"),0,AW23-$BE23)*$AL23*1000/F12/$G14*1000000)</f>
        <v>0</v>
      </c>
      <c r="BH23" s="1721">
        <f t="shared" si="62"/>
        <v>0</v>
      </c>
      <c r="BI23" s="1721">
        <f t="shared" si="62"/>
        <v>0</v>
      </c>
      <c r="BJ23" s="1721">
        <f t="shared" si="62"/>
        <v>0</v>
      </c>
      <c r="BK23" s="1721">
        <f t="shared" si="62"/>
        <v>0</v>
      </c>
      <c r="BL23" s="1721">
        <f t="shared" si="62"/>
        <v>0</v>
      </c>
      <c r="BM23" s="1721">
        <f t="shared" si="62"/>
        <v>0</v>
      </c>
      <c r="BN23" s="1721">
        <f t="shared" si="62"/>
        <v>0</v>
      </c>
      <c r="BO23" s="1715">
        <f t="shared" ref="BO23:BV23" si="63">IF(F23="",0,$E23*$AL23*1000/$F12/$G14*1000000)</f>
        <v>0</v>
      </c>
      <c r="BP23" s="1715">
        <f t="shared" si="63"/>
        <v>0</v>
      </c>
      <c r="BQ23" s="1715">
        <f t="shared" si="63"/>
        <v>0</v>
      </c>
      <c r="BR23" s="1715">
        <f t="shared" si="63"/>
        <v>0</v>
      </c>
      <c r="BS23" s="1715">
        <f t="shared" si="63"/>
        <v>0</v>
      </c>
      <c r="BT23" s="1715">
        <f t="shared" si="63"/>
        <v>0</v>
      </c>
      <c r="BU23" s="1715">
        <f t="shared" si="63"/>
        <v>0</v>
      </c>
      <c r="BV23" s="1715">
        <f t="shared" si="63"/>
        <v>0</v>
      </c>
      <c r="BW23" s="1742">
        <f t="shared" si="35"/>
        <v>0</v>
      </c>
      <c r="BX23" s="1690">
        <f t="shared" si="36"/>
        <v>0</v>
      </c>
      <c r="BY23" s="1742">
        <f t="shared" si="37"/>
        <v>0</v>
      </c>
      <c r="BZ23" s="1690">
        <f t="shared" si="38"/>
        <v>0</v>
      </c>
      <c r="CA23" s="1715" t="str">
        <f t="shared" si="39"/>
        <v/>
      </c>
      <c r="CB23" s="1722">
        <f t="shared" si="40"/>
        <v>0</v>
      </c>
      <c r="CC23" s="1715" t="str">
        <f t="shared" si="41"/>
        <v/>
      </c>
      <c r="CD23" s="1722">
        <f t="shared" si="42"/>
        <v>0</v>
      </c>
      <c r="CE23" s="1690" t="str">
        <f t="shared" si="51"/>
        <v/>
      </c>
    </row>
    <row r="24" spans="1:83">
      <c r="A24" s="1690" t="b">
        <f t="shared" si="0"/>
        <v>0</v>
      </c>
      <c r="B24" s="1703">
        <v>0</v>
      </c>
      <c r="C24" s="1754" t="e">
        <f t="shared" si="1"/>
        <v>#N/A</v>
      </c>
      <c r="D24" s="1706" t="e">
        <f t="shared" si="2"/>
        <v>#N/A</v>
      </c>
      <c r="E24" s="1745" t="e">
        <f t="shared" si="3"/>
        <v>#N/A</v>
      </c>
      <c r="F24" s="1761"/>
      <c r="G24" s="1762"/>
      <c r="H24" s="1762"/>
      <c r="I24" s="1766"/>
      <c r="J24" s="1761"/>
      <c r="K24" s="1762"/>
      <c r="L24" s="1762"/>
      <c r="M24" s="1766"/>
      <c r="N24" s="1774"/>
      <c r="O24" s="1692" t="str">
        <f t="shared" si="4"/>
        <v/>
      </c>
      <c r="P24" s="1692">
        <f t="shared" si="5"/>
        <v>0</v>
      </c>
      <c r="Q24" s="1692" t="str">
        <f t="shared" si="43"/>
        <v/>
      </c>
      <c r="U24" s="1902" t="str">
        <f t="shared" si="6"/>
        <v/>
      </c>
      <c r="V24" s="1725" t="str">
        <f>IF(COUNT(F24:I24)=0,"",Conc1(CB24,U$12,$AJ24,MolVol,Pitots!$E$49,Pitots!$F$49,V$14,V$15,VoF))</f>
        <v/>
      </c>
      <c r="W24" s="1724" t="str">
        <f t="shared" si="44"/>
        <v/>
      </c>
      <c r="X24" s="1723" t="str">
        <f t="shared" si="7"/>
        <v/>
      </c>
      <c r="Y24" s="1725" t="str">
        <f>IF(COUNT(J24:M24)=0,"",Conc1(CD24,X$12,$AJ24,MolVol,Pitots!$E$49,Pitots!$F$49,Y$14,Y$15,VoF))</f>
        <v/>
      </c>
      <c r="Z24" s="1724" t="str">
        <f t="shared" si="8"/>
        <v/>
      </c>
      <c r="AA24" s="1723" t="str">
        <f t="shared" si="45"/>
        <v/>
      </c>
      <c r="AB24" s="1725" t="str">
        <f t="shared" si="46"/>
        <v/>
      </c>
      <c r="AC24" s="1724" t="str">
        <f t="shared" si="9"/>
        <v/>
      </c>
      <c r="AD24" s="1913" t="str">
        <f t="shared" si="10"/>
        <v/>
      </c>
      <c r="AE24" s="1903" t="str">
        <f>IF(V24="","",MassRate(V24,$AJ24,MolVol,V$14,V$15,MRU,MRF,AverageFlowDry,FF))</f>
        <v/>
      </c>
      <c r="AF24" s="1913" t="str">
        <f t="shared" si="11"/>
        <v/>
      </c>
      <c r="AG24" s="2263" t="str">
        <f>IF(Y24="","",MassRate(Y24,$AJ24,MolVol,Y$14,Y$15,MRU,MRF,AverageFlowDry,FF))</f>
        <v/>
      </c>
      <c r="AH24" s="2266" t="str">
        <f t="shared" si="47"/>
        <v/>
      </c>
      <c r="AI24" s="1903" t="str">
        <f t="shared" si="48"/>
        <v/>
      </c>
      <c r="AJ24" s="1706" t="e">
        <f t="shared" si="12"/>
        <v>#N/A</v>
      </c>
      <c r="AK24" s="1745" t="e">
        <f t="shared" si="13"/>
        <v>#N/A</v>
      </c>
      <c r="AL24" s="1873" t="e">
        <f t="shared" si="14"/>
        <v>#N/A</v>
      </c>
      <c r="AM24" s="1723" t="str">
        <f t="shared" si="15"/>
        <v/>
      </c>
      <c r="AN24" s="1723" t="str">
        <f t="shared" si="16"/>
        <v/>
      </c>
      <c r="AO24" s="1723" t="str">
        <f t="shared" si="17"/>
        <v/>
      </c>
      <c r="AP24" s="1723" t="str">
        <f t="shared" si="18"/>
        <v/>
      </c>
      <c r="AQ24" s="1723" t="str">
        <f t="shared" si="19"/>
        <v/>
      </c>
      <c r="AR24" s="1723" t="str">
        <f t="shared" si="20"/>
        <v/>
      </c>
      <c r="AS24" s="1723" t="str">
        <f t="shared" si="21"/>
        <v/>
      </c>
      <c r="AT24" s="1723" t="str">
        <f t="shared" si="22"/>
        <v/>
      </c>
      <c r="AU24" s="1723" t="str">
        <f t="shared" si="23"/>
        <v/>
      </c>
      <c r="AV24" s="1723"/>
      <c r="AW24" s="1723" t="str">
        <f t="shared" si="24"/>
        <v/>
      </c>
      <c r="AX24" s="1723" t="str">
        <f t="shared" si="25"/>
        <v/>
      </c>
      <c r="AY24" s="1723" t="str">
        <f t="shared" si="26"/>
        <v/>
      </c>
      <c r="AZ24" s="1723" t="str">
        <f t="shared" si="27"/>
        <v/>
      </c>
      <c r="BA24" s="1723" t="str">
        <f t="shared" si="28"/>
        <v/>
      </c>
      <c r="BB24" s="1723" t="str">
        <f t="shared" si="29"/>
        <v/>
      </c>
      <c r="BC24" s="1723" t="str">
        <f t="shared" si="30"/>
        <v/>
      </c>
      <c r="BD24" s="1723" t="str">
        <f t="shared" si="31"/>
        <v/>
      </c>
      <c r="BE24" s="1740">
        <f t="shared" si="32"/>
        <v>0</v>
      </c>
      <c r="BF24" s="1723"/>
      <c r="BG24" s="1723">
        <f t="shared" ref="BG24:BN24" si="64">IF(F24="",0,IF(OR((AW24-$BE24)&lt;BO24,AM24="&lt;"),0,AW24-$BE24)*$AL24*1000/F12/$G14*1000000)</f>
        <v>0</v>
      </c>
      <c r="BH24" s="1723">
        <f t="shared" si="64"/>
        <v>0</v>
      </c>
      <c r="BI24" s="1723">
        <f t="shared" si="64"/>
        <v>0</v>
      </c>
      <c r="BJ24" s="1723">
        <f t="shared" si="64"/>
        <v>0</v>
      </c>
      <c r="BK24" s="1723">
        <f t="shared" si="64"/>
        <v>0</v>
      </c>
      <c r="BL24" s="1723">
        <f t="shared" si="64"/>
        <v>0</v>
      </c>
      <c r="BM24" s="1723">
        <f t="shared" si="64"/>
        <v>0</v>
      </c>
      <c r="BN24" s="1723">
        <f t="shared" si="64"/>
        <v>0</v>
      </c>
      <c r="BO24" s="1716">
        <f t="shared" ref="BO24:BV24" si="65">IF(F24="",0,$E24*$AL24*1000/$F12/$G14*1000000)</f>
        <v>0</v>
      </c>
      <c r="BP24" s="1716">
        <f t="shared" si="65"/>
        <v>0</v>
      </c>
      <c r="BQ24" s="1716">
        <f t="shared" si="65"/>
        <v>0</v>
      </c>
      <c r="BR24" s="1716">
        <f t="shared" si="65"/>
        <v>0</v>
      </c>
      <c r="BS24" s="1716">
        <f t="shared" si="65"/>
        <v>0</v>
      </c>
      <c r="BT24" s="1716">
        <f t="shared" si="65"/>
        <v>0</v>
      </c>
      <c r="BU24" s="1716">
        <f t="shared" si="65"/>
        <v>0</v>
      </c>
      <c r="BV24" s="1716">
        <f t="shared" si="65"/>
        <v>0</v>
      </c>
      <c r="BW24" s="1743">
        <f t="shared" si="35"/>
        <v>0</v>
      </c>
      <c r="BX24" s="1717">
        <f t="shared" si="36"/>
        <v>0</v>
      </c>
      <c r="BY24" s="1743">
        <f t="shared" si="37"/>
        <v>0</v>
      </c>
      <c r="BZ24" s="1717">
        <f t="shared" si="38"/>
        <v>0</v>
      </c>
      <c r="CA24" s="1716" t="str">
        <f t="shared" si="39"/>
        <v/>
      </c>
      <c r="CB24" s="1725">
        <f t="shared" si="40"/>
        <v>0</v>
      </c>
      <c r="CC24" s="1716" t="str">
        <f t="shared" si="41"/>
        <v/>
      </c>
      <c r="CD24" s="1725">
        <f t="shared" si="42"/>
        <v>0</v>
      </c>
      <c r="CE24" s="1690" t="str">
        <f t="shared" si="51"/>
        <v/>
      </c>
    </row>
    <row r="25" spans="1:83">
      <c r="A25" s="1690" t="b">
        <f>A26</f>
        <v>0</v>
      </c>
      <c r="B25" s="1713"/>
      <c r="C25" s="1713"/>
      <c r="D25" s="1713"/>
      <c r="E25" s="1713"/>
      <c r="F25" s="1713"/>
      <c r="G25" s="1713"/>
      <c r="H25" s="1713"/>
      <c r="I25" s="1713"/>
      <c r="J25" s="1713"/>
      <c r="K25" s="1713"/>
      <c r="L25" s="1713"/>
      <c r="M25" s="1713"/>
      <c r="N25" s="1713"/>
      <c r="U25" s="1696"/>
      <c r="AH25" s="1690"/>
      <c r="AI25" s="1690"/>
      <c r="AJ25" s="1697"/>
      <c r="AK25" s="1698"/>
      <c r="AL25" s="1700"/>
      <c r="BM25" s="1690"/>
      <c r="BN25" s="1690"/>
      <c r="BU25" s="1698"/>
      <c r="BV25" s="1698"/>
    </row>
    <row r="26" spans="1:83">
      <c r="A26" s="1690" t="b">
        <f>IF(COUNTIF(A33:A41,TRUE)&gt;0,TRUE,FALSE)</f>
        <v>0</v>
      </c>
      <c r="B26" s="1707"/>
      <c r="C26" s="1691"/>
      <c r="D26" s="1691"/>
      <c r="E26" s="1691"/>
      <c r="F26" s="2818" t="s">
        <v>1705</v>
      </c>
      <c r="G26" s="2818"/>
      <c r="H26" s="2818"/>
      <c r="I26" s="2818"/>
      <c r="J26" s="2818" t="s">
        <v>1703</v>
      </c>
      <c r="K26" s="2818"/>
      <c r="L26" s="2818"/>
      <c r="M26" s="2818"/>
      <c r="N26" s="1689" t="s">
        <v>1704</v>
      </c>
      <c r="O26" s="1697"/>
      <c r="P26" s="1697"/>
      <c r="Q26" s="1697"/>
      <c r="U26" s="2810" t="s">
        <v>1718</v>
      </c>
      <c r="V26" s="2805"/>
      <c r="W26" s="2805"/>
      <c r="X26" s="2805"/>
      <c r="Y26" s="2805"/>
      <c r="Z26" s="2805"/>
      <c r="AA26" s="2805"/>
      <c r="AB26" s="2805"/>
      <c r="AC26" s="2806"/>
      <c r="AD26" s="2805" t="s">
        <v>1836</v>
      </c>
      <c r="AE26" s="2805"/>
      <c r="AF26" s="2805"/>
      <c r="AG26" s="2805"/>
      <c r="AH26" s="2805"/>
      <c r="AI26" s="2806"/>
      <c r="AJ26" s="1692"/>
      <c r="AK26" s="1692"/>
      <c r="BM26" s="1690"/>
      <c r="BN26" s="1690"/>
      <c r="BO26" s="1690"/>
      <c r="BP26" s="1690"/>
      <c r="BQ26" s="1690"/>
      <c r="BR26" s="1690"/>
      <c r="BS26" s="1690"/>
      <c r="BT26" s="1690"/>
    </row>
    <row r="27" spans="1:83" ht="15">
      <c r="A27" s="1690" t="b">
        <f>IF(COUNTIF(A33:A41,TRUE)&gt;0,TRUE,FALSE)</f>
        <v>0</v>
      </c>
      <c r="B27" s="1726" t="s">
        <v>1759</v>
      </c>
      <c r="C27" s="1693"/>
      <c r="D27" s="1688"/>
      <c r="E27" s="1688"/>
      <c r="F27" s="1697" t="s">
        <v>1768</v>
      </c>
      <c r="G27" s="1697" t="s">
        <v>1769</v>
      </c>
      <c r="H27" s="1697" t="s">
        <v>1770</v>
      </c>
      <c r="I27" s="1697" t="s">
        <v>1771</v>
      </c>
      <c r="J27" s="1697" t="s">
        <v>1768</v>
      </c>
      <c r="K27" s="1697" t="s">
        <v>1769</v>
      </c>
      <c r="L27" s="1697" t="s">
        <v>1770</v>
      </c>
      <c r="M27" s="1697" t="s">
        <v>1771</v>
      </c>
      <c r="N27" s="1697" t="s">
        <v>1704</v>
      </c>
      <c r="O27" s="2821" t="s">
        <v>1779</v>
      </c>
      <c r="P27" s="2820" t="s">
        <v>1780</v>
      </c>
      <c r="Q27" s="2820" t="s">
        <v>1781</v>
      </c>
      <c r="U27" s="2810" t="s">
        <v>1719</v>
      </c>
      <c r="V27" s="2805"/>
      <c r="W27" s="2806"/>
      <c r="X27" s="2810" t="s">
        <v>1720</v>
      </c>
      <c r="Y27" s="2805"/>
      <c r="Z27" s="2806"/>
      <c r="AA27" s="2811" t="s">
        <v>1242</v>
      </c>
      <c r="AB27" s="2812"/>
      <c r="AC27" s="2813"/>
      <c r="AD27" s="2809" t="s">
        <v>1719</v>
      </c>
      <c r="AE27" s="2809"/>
      <c r="AF27" s="2809" t="s">
        <v>1720</v>
      </c>
      <c r="AG27" s="2809"/>
      <c r="AH27" s="2807" t="s">
        <v>1242</v>
      </c>
      <c r="AI27" s="2808"/>
      <c r="AJ27" s="1697"/>
      <c r="AK27" s="1697"/>
      <c r="BM27" s="1690"/>
      <c r="BN27" s="1690"/>
      <c r="BO27" s="1690"/>
      <c r="BP27" s="1690"/>
      <c r="BQ27" s="1690"/>
      <c r="BR27" s="1690"/>
      <c r="BS27" s="1690"/>
      <c r="BT27" s="1690"/>
    </row>
    <row r="28" spans="1:83" ht="13.5" customHeight="1">
      <c r="A28" s="1690" t="b">
        <f>IF(COUNTIF(A33:A41,TRUE)&gt;0,TRUE,FALSE)</f>
        <v>0</v>
      </c>
      <c r="B28" s="1691"/>
      <c r="C28" s="1748"/>
      <c r="D28" s="1748"/>
      <c r="E28" s="1749" t="s">
        <v>1766</v>
      </c>
      <c r="F28" s="1756"/>
      <c r="G28" s="1757"/>
      <c r="H28" s="1757"/>
      <c r="I28" s="1764"/>
      <c r="J28" s="1756"/>
      <c r="K28" s="1757"/>
      <c r="L28" s="1757"/>
      <c r="M28" s="1758"/>
      <c r="N28" s="1768"/>
      <c r="O28" s="2821"/>
      <c r="P28" s="2820"/>
      <c r="Q28" s="2820"/>
      <c r="U28" s="2816" t="s">
        <v>1717</v>
      </c>
      <c r="V28" s="2816"/>
      <c r="W28" s="2218"/>
      <c r="X28" s="2816" t="s">
        <v>1717</v>
      </c>
      <c r="Y28" s="2816"/>
      <c r="Z28" s="2218"/>
      <c r="AA28" s="2278"/>
      <c r="AB28" s="1915"/>
      <c r="AC28" s="1916"/>
      <c r="AD28" s="2274"/>
      <c r="AE28" s="2274"/>
      <c r="AF28" s="2274"/>
      <c r="AG28" s="2274"/>
      <c r="AH28" s="2278"/>
      <c r="AI28" s="1916"/>
      <c r="AJ28" s="1697"/>
      <c r="AK28" s="1697"/>
      <c r="BM28" s="1690"/>
      <c r="BN28" s="1690"/>
      <c r="BO28" s="1690"/>
      <c r="BP28" s="1690"/>
      <c r="BQ28" s="1690"/>
      <c r="BR28" s="1690"/>
      <c r="BS28" s="1690"/>
      <c r="BT28" s="1690"/>
    </row>
    <row r="29" spans="1:83" ht="13.5" customHeight="1">
      <c r="A29" s="1690" t="b">
        <f>IF(COUNTIF(A33:A41,TRUE)&gt;0,TRUE,FALSE)</f>
        <v>0</v>
      </c>
      <c r="B29" s="1802">
        <f>'Non-Isokinetic'!A19</f>
        <v>0</v>
      </c>
      <c r="C29" s="1748"/>
      <c r="D29" s="1748"/>
      <c r="E29" s="1749" t="s">
        <v>1765</v>
      </c>
      <c r="F29" s="1759" t="str">
        <f>IF(F31="µg",1000,"")</f>
        <v/>
      </c>
      <c r="G29" s="1755" t="str">
        <f>IF(F31="µg",1000,"")</f>
        <v/>
      </c>
      <c r="H29" s="1755" t="str">
        <f>IF(F31="µg",1000,"")</f>
        <v/>
      </c>
      <c r="I29" s="1765" t="str">
        <f>IF(F31="µg",1000,"")</f>
        <v/>
      </c>
      <c r="J29" s="1759" t="str">
        <f>IF(F31="µg",1000,"")</f>
        <v/>
      </c>
      <c r="K29" s="1755" t="str">
        <f>IF(F31="µg",1000,"")</f>
        <v/>
      </c>
      <c r="L29" s="1755" t="str">
        <f>IF(F31="µg",1000,"")</f>
        <v/>
      </c>
      <c r="M29" s="1760" t="str">
        <f>IF(F31="µg",1000,"")</f>
        <v/>
      </c>
      <c r="N29" s="1769" t="str">
        <f>IF(F31="µg",1000,"")</f>
        <v/>
      </c>
      <c r="O29" s="1695"/>
      <c r="P29" s="1695"/>
      <c r="Q29" s="1695"/>
      <c r="U29" s="2819" t="e">
        <f>'Non-Isokinetic'!C28</f>
        <v>#VALUE!</v>
      </c>
      <c r="V29" s="2819"/>
      <c r="W29" s="1719"/>
      <c r="X29" s="2819" t="e">
        <f>'Non-Isokinetic'!D28</f>
        <v>#VALUE!</v>
      </c>
      <c r="Y29" s="2819"/>
      <c r="Z29" s="1719"/>
      <c r="AA29" s="2260"/>
      <c r="AB29" s="1894"/>
      <c r="AC29" s="2273"/>
      <c r="AD29" s="2272"/>
      <c r="AE29" s="1783"/>
      <c r="AF29" s="1894"/>
      <c r="AG29" s="1894"/>
      <c r="AH29" s="2260"/>
      <c r="AI29" s="2273"/>
      <c r="AJ29" s="1697"/>
      <c r="AK29" s="1697"/>
      <c r="AM29" s="2816" t="s">
        <v>1743</v>
      </c>
      <c r="AN29" s="2816"/>
      <c r="AO29" s="2816"/>
      <c r="AP29" s="2816"/>
      <c r="AQ29" s="2816"/>
      <c r="AR29" s="2816"/>
      <c r="AS29" s="2816"/>
      <c r="AT29" s="2816"/>
      <c r="AU29" s="2816"/>
      <c r="AV29" s="1734"/>
      <c r="AW29" s="2816" t="str">
        <f>"Lab result (concentration - analysed compound) "&amp;F31</f>
        <v xml:space="preserve">Lab result (concentration - analysed compound) </v>
      </c>
      <c r="AX29" s="2816"/>
      <c r="AY29" s="2816"/>
      <c r="AZ29" s="2816"/>
      <c r="BA29" s="2816"/>
      <c r="BB29" s="2816"/>
      <c r="BC29" s="2816"/>
      <c r="BD29" s="2816"/>
      <c r="BE29" s="2816"/>
      <c r="BF29" s="1734"/>
      <c r="BG29" s="2816" t="s">
        <v>1772</v>
      </c>
      <c r="BH29" s="2816"/>
      <c r="BI29" s="2816"/>
      <c r="BJ29" s="2816"/>
      <c r="BK29" s="2816"/>
      <c r="BL29" s="2816"/>
      <c r="BM29" s="2816"/>
      <c r="BN29" s="2816"/>
      <c r="BO29" s="2816" t="s">
        <v>1774</v>
      </c>
      <c r="BP29" s="2816"/>
      <c r="BQ29" s="2816"/>
      <c r="BR29" s="2816"/>
      <c r="BS29" s="2816"/>
      <c r="BT29" s="2816"/>
      <c r="BU29" s="2816"/>
      <c r="BV29" s="2816"/>
      <c r="BW29" s="2816" t="s">
        <v>1705</v>
      </c>
      <c r="BX29" s="2816"/>
      <c r="BY29" s="2814" t="s">
        <v>1703</v>
      </c>
      <c r="BZ29" s="2814"/>
      <c r="CA29" s="2814" t="s">
        <v>1742</v>
      </c>
      <c r="CB29" s="2814"/>
      <c r="CC29" s="2814"/>
      <c r="CD29" s="2814"/>
      <c r="CE29" s="1690" t="s">
        <v>1778</v>
      </c>
    </row>
    <row r="30" spans="1:83" ht="13.5" customHeight="1">
      <c r="A30" s="1690" t="b">
        <f>IF(COUNTIF(A33:A41,TRUE)&gt;0,TRUE,FALSE)</f>
        <v>0</v>
      </c>
      <c r="B30" s="1691"/>
      <c r="C30" s="1748"/>
      <c r="D30" s="1748"/>
      <c r="E30" s="1749" t="s">
        <v>1764</v>
      </c>
      <c r="F30" s="1761">
        <v>1</v>
      </c>
      <c r="G30" s="1762">
        <v>1</v>
      </c>
      <c r="H30" s="1762">
        <v>1</v>
      </c>
      <c r="I30" s="1766">
        <v>1</v>
      </c>
      <c r="J30" s="1761">
        <v>1</v>
      </c>
      <c r="K30" s="1762">
        <v>1</v>
      </c>
      <c r="L30" s="1762">
        <v>1</v>
      </c>
      <c r="M30" s="1763">
        <v>1</v>
      </c>
      <c r="N30" s="1770">
        <v>1</v>
      </c>
      <c r="O30" s="1695"/>
      <c r="P30" s="1695"/>
      <c r="Q30" s="1695"/>
      <c r="U30" s="1900"/>
      <c r="V30" s="1905"/>
      <c r="W30" s="1838" t="s">
        <v>97</v>
      </c>
      <c r="X30" s="1907"/>
      <c r="Y30" s="1905"/>
      <c r="Z30" s="1838" t="s">
        <v>97</v>
      </c>
      <c r="AA30" s="1917"/>
      <c r="AB30" s="2275"/>
      <c r="AC30" s="2279" t="s">
        <v>97</v>
      </c>
      <c r="AD30" s="1917"/>
      <c r="AE30" s="1918"/>
      <c r="AF30" s="1918"/>
      <c r="AG30" s="2275"/>
      <c r="AH30" s="1917"/>
      <c r="AI30" s="1919"/>
      <c r="AJ30" s="1835"/>
      <c r="AK30" s="2815" t="s">
        <v>1707</v>
      </c>
      <c r="AL30" s="2815" t="s">
        <v>1767</v>
      </c>
      <c r="AM30" s="2816" t="s">
        <v>1705</v>
      </c>
      <c r="AN30" s="2816"/>
      <c r="AO30" s="2816"/>
      <c r="AP30" s="2816"/>
      <c r="AQ30" s="2816" t="s">
        <v>1703</v>
      </c>
      <c r="AR30" s="2816"/>
      <c r="AS30" s="2816"/>
      <c r="AT30" s="2816"/>
      <c r="AU30" s="1733" t="s">
        <v>1704</v>
      </c>
      <c r="AV30" s="1733"/>
      <c r="AW30" s="2816" t="s">
        <v>1705</v>
      </c>
      <c r="AX30" s="2816"/>
      <c r="AY30" s="2816"/>
      <c r="AZ30" s="2816"/>
      <c r="BA30" s="2816" t="s">
        <v>1703</v>
      </c>
      <c r="BB30" s="2816"/>
      <c r="BC30" s="2816"/>
      <c r="BD30" s="2816"/>
      <c r="BE30" s="1733" t="s">
        <v>1704</v>
      </c>
      <c r="BF30" s="1733"/>
      <c r="BG30" s="2816" t="s">
        <v>1705</v>
      </c>
      <c r="BH30" s="2816"/>
      <c r="BI30" s="2816"/>
      <c r="BJ30" s="2816"/>
      <c r="BK30" s="2816" t="s">
        <v>1703</v>
      </c>
      <c r="BL30" s="2816"/>
      <c r="BM30" s="2816"/>
      <c r="BN30" s="2816"/>
      <c r="BO30" s="2816" t="s">
        <v>1705</v>
      </c>
      <c r="BP30" s="2816"/>
      <c r="BQ30" s="2816"/>
      <c r="BR30" s="2816"/>
      <c r="BS30" s="2816" t="s">
        <v>1703</v>
      </c>
      <c r="BT30" s="2816"/>
      <c r="BU30" s="2816"/>
      <c r="BV30" s="2816"/>
      <c r="BW30" s="1732" t="s">
        <v>1741</v>
      </c>
      <c r="BX30" s="1736" t="s">
        <v>1740</v>
      </c>
      <c r="BY30" s="1737" t="s">
        <v>1741</v>
      </c>
      <c r="BZ30" s="1736" t="s">
        <v>1740</v>
      </c>
      <c r="CA30" s="2817" t="s">
        <v>1738</v>
      </c>
      <c r="CB30" s="2817"/>
      <c r="CC30" s="2810" t="s">
        <v>1739</v>
      </c>
      <c r="CD30" s="2806"/>
    </row>
    <row r="31" spans="1:83">
      <c r="A31" s="1690" t="b">
        <f>IF(COUNTIF(A33:A41,TRUE)&gt;0,TRUE,FALSE)</f>
        <v>0</v>
      </c>
      <c r="B31" s="1691"/>
      <c r="C31" s="1748"/>
      <c r="D31" s="1750"/>
      <c r="E31" s="1749" t="s">
        <v>1775</v>
      </c>
      <c r="F31" s="1771"/>
      <c r="G31" s="1775" t="e">
        <f>VLOOKUP(F31,$C$1:$D$5,2,FALSE)</f>
        <v>#N/A</v>
      </c>
      <c r="H31" s="1776"/>
      <c r="I31" s="1776"/>
      <c r="J31" s="1776"/>
      <c r="K31" s="1776"/>
      <c r="L31" s="1776"/>
      <c r="M31" s="1776"/>
      <c r="N31" s="1777"/>
      <c r="O31" s="1692"/>
      <c r="P31" s="1697" t="s">
        <v>1708</v>
      </c>
      <c r="Q31" s="1697"/>
      <c r="U31" s="2041"/>
      <c r="V31" s="2042" t="str">
        <f>CU</f>
        <v>mg/m³</v>
      </c>
      <c r="W31" s="2337" t="str">
        <f>V31</f>
        <v>mg/m³</v>
      </c>
      <c r="X31" s="2041"/>
      <c r="Y31" s="2042" t="str">
        <f>CU</f>
        <v>mg/m³</v>
      </c>
      <c r="Z31" s="2337" t="str">
        <f>Y31</f>
        <v>mg/m³</v>
      </c>
      <c r="AA31" s="2339"/>
      <c r="AB31" s="2340" t="str">
        <f>Z31</f>
        <v>mg/m³</v>
      </c>
      <c r="AC31" s="2340" t="str">
        <f>V31</f>
        <v>mg/m³</v>
      </c>
      <c r="AD31" s="2043"/>
      <c r="AE31" s="2044" t="str">
        <f>MRU</f>
        <v>g/min</v>
      </c>
      <c r="AF31" s="2043"/>
      <c r="AG31" s="2276" t="str">
        <f>MRU</f>
        <v>g/min</v>
      </c>
      <c r="AH31" s="2267"/>
      <c r="AI31" s="2268" t="str">
        <f>MRU</f>
        <v>g/min</v>
      </c>
      <c r="AJ31" s="1835" t="s">
        <v>1706</v>
      </c>
      <c r="AK31" s="2815"/>
      <c r="AL31" s="2815"/>
      <c r="AM31" s="1734" t="s">
        <v>1768</v>
      </c>
      <c r="AN31" s="1734" t="s">
        <v>1769</v>
      </c>
      <c r="AO31" s="1734" t="s">
        <v>1770</v>
      </c>
      <c r="AP31" s="1734" t="s">
        <v>1771</v>
      </c>
      <c r="AQ31" s="1734" t="s">
        <v>1768</v>
      </c>
      <c r="AR31" s="1734" t="s">
        <v>1769</v>
      </c>
      <c r="AS31" s="1734" t="s">
        <v>1770</v>
      </c>
      <c r="AT31" s="1734" t="s">
        <v>1771</v>
      </c>
      <c r="AU31" s="1734" t="s">
        <v>1704</v>
      </c>
      <c r="AV31" s="1734"/>
      <c r="AW31" s="1734" t="s">
        <v>1768</v>
      </c>
      <c r="AX31" s="1734" t="s">
        <v>1769</v>
      </c>
      <c r="AY31" s="1734" t="s">
        <v>1770</v>
      </c>
      <c r="AZ31" s="1734" t="s">
        <v>1771</v>
      </c>
      <c r="BA31" s="1734" t="s">
        <v>1768</v>
      </c>
      <c r="BB31" s="1734" t="s">
        <v>1769</v>
      </c>
      <c r="BC31" s="1734" t="s">
        <v>1770</v>
      </c>
      <c r="BD31" s="1734" t="s">
        <v>1771</v>
      </c>
      <c r="BE31" s="1734">
        <f>F31</f>
        <v>0</v>
      </c>
      <c r="BF31" s="1734"/>
      <c r="BG31" s="1734" t="s">
        <v>1768</v>
      </c>
      <c r="BH31" s="1734" t="s">
        <v>1769</v>
      </c>
      <c r="BI31" s="1734" t="s">
        <v>1770</v>
      </c>
      <c r="BJ31" s="1734" t="s">
        <v>1771</v>
      </c>
      <c r="BK31" s="1734" t="s">
        <v>1768</v>
      </c>
      <c r="BL31" s="1734" t="s">
        <v>1769</v>
      </c>
      <c r="BM31" s="1734" t="s">
        <v>1770</v>
      </c>
      <c r="BN31" s="1734" t="s">
        <v>1771</v>
      </c>
      <c r="BO31" s="1734" t="s">
        <v>1768</v>
      </c>
      <c r="BP31" s="1734" t="s">
        <v>1769</v>
      </c>
      <c r="BQ31" s="1734" t="s">
        <v>1770</v>
      </c>
      <c r="BR31" s="1734" t="s">
        <v>1771</v>
      </c>
      <c r="BS31" s="1734" t="s">
        <v>1768</v>
      </c>
      <c r="BT31" s="1734" t="s">
        <v>1769</v>
      </c>
      <c r="BU31" s="1734" t="s">
        <v>1770</v>
      </c>
      <c r="BV31" s="1734" t="s">
        <v>1771</v>
      </c>
      <c r="BW31" s="1734" t="s">
        <v>1427</v>
      </c>
      <c r="BX31" s="1734" t="s">
        <v>1427</v>
      </c>
      <c r="BY31" s="1734"/>
      <c r="BZ31" s="1734" t="s">
        <v>1427</v>
      </c>
      <c r="CA31" s="1734" t="s">
        <v>819</v>
      </c>
      <c r="CB31" s="1734" t="s">
        <v>1427</v>
      </c>
      <c r="CC31" s="1734" t="s">
        <v>819</v>
      </c>
      <c r="CD31" s="1734" t="s">
        <v>1427</v>
      </c>
    </row>
    <row r="32" spans="1:83" ht="10.5" customHeight="1">
      <c r="A32" s="1690" t="b">
        <f>IF(COUNTIF(A33:A41,TRUE)&gt;0,TRUE,FALSE)</f>
        <v>0</v>
      </c>
      <c r="B32" s="1691" t="s">
        <v>1284</v>
      </c>
      <c r="C32" s="1750" t="s">
        <v>1776</v>
      </c>
      <c r="D32" s="1750" t="s">
        <v>1437</v>
      </c>
      <c r="E32" s="1750" t="s">
        <v>1777</v>
      </c>
      <c r="F32" s="1723" t="s">
        <v>1768</v>
      </c>
      <c r="G32" s="1746" t="s">
        <v>1769</v>
      </c>
      <c r="H32" s="1746" t="s">
        <v>1770</v>
      </c>
      <c r="I32" s="1746" t="s">
        <v>1771</v>
      </c>
      <c r="J32" s="1746" t="s">
        <v>1768</v>
      </c>
      <c r="K32" s="1746" t="s">
        <v>1769</v>
      </c>
      <c r="L32" s="1746" t="s">
        <v>1770</v>
      </c>
      <c r="M32" s="1746" t="s">
        <v>1771</v>
      </c>
      <c r="N32" s="1747" t="s">
        <v>1704</v>
      </c>
      <c r="O32" s="1692"/>
      <c r="P32" s="1697"/>
      <c r="Q32" s="1697"/>
      <c r="U32" s="1895"/>
      <c r="V32" s="1906">
        <f>VLOOKUP(V31,ConcTable,2,FALSE)</f>
        <v>1000000</v>
      </c>
      <c r="W32" s="1896"/>
      <c r="X32" s="1908"/>
      <c r="Y32" s="1906">
        <f>VLOOKUP(Y31,ConcTable,2,FALSE)</f>
        <v>1000000</v>
      </c>
      <c r="Z32" s="1896"/>
      <c r="AA32" s="1908"/>
      <c r="AB32" s="1906"/>
      <c r="AC32" s="1896"/>
      <c r="AD32" s="1910"/>
      <c r="AE32" s="1897">
        <f>VLOOKUP(AE31,MassRateTable,2,FALSE)</f>
        <v>60</v>
      </c>
      <c r="AF32" s="1910"/>
      <c r="AG32" s="2277">
        <f>VLOOKUP(AG31,MassRateTable,2,FALSE)</f>
        <v>60</v>
      </c>
      <c r="AH32" s="2269"/>
      <c r="AI32" s="2270"/>
      <c r="AJ32" s="1836"/>
      <c r="AK32" s="1836"/>
      <c r="AM32" s="1697"/>
      <c r="AN32" s="1697"/>
      <c r="AO32" s="1697"/>
      <c r="AP32" s="1697"/>
      <c r="AQ32" s="1697"/>
      <c r="AR32" s="1697"/>
      <c r="AS32" s="1697"/>
      <c r="AT32" s="1697"/>
      <c r="AU32" s="1697"/>
      <c r="AV32" s="1697"/>
      <c r="AW32" s="1697"/>
      <c r="AX32" s="1697"/>
      <c r="AY32" s="1697"/>
      <c r="AZ32" s="1697"/>
      <c r="BA32" s="1697"/>
      <c r="BB32" s="1697"/>
      <c r="BC32" s="1697"/>
      <c r="BD32" s="1697"/>
      <c r="BE32" s="1697"/>
      <c r="BF32" s="1697"/>
      <c r="BM32" s="1690"/>
      <c r="BN32" s="1690"/>
      <c r="BO32" s="1690"/>
      <c r="BP32" s="1690"/>
      <c r="BQ32" s="1690"/>
      <c r="BR32" s="1690"/>
      <c r="BS32" s="1690"/>
      <c r="BT32" s="1690"/>
    </row>
    <row r="33" spans="1:83">
      <c r="A33" s="1690" t="b">
        <f t="shared" ref="A33:A41" si="66">IF(B33=0,FALSE,TRUE)</f>
        <v>0</v>
      </c>
      <c r="B33" s="1701">
        <f>'Non-Isokinetic'!A21</f>
        <v>0</v>
      </c>
      <c r="C33" s="1752" t="e">
        <f t="shared" ref="C33:C41" si="67">VLOOKUP(B33,AnalyteTable,5,FALSE)</f>
        <v>#N/A</v>
      </c>
      <c r="D33" s="1704" t="e">
        <f t="shared" ref="D33:D41" si="68">VLOOKUP(B33,AnalyteTable,7,FALSE)</f>
        <v>#N/A</v>
      </c>
      <c r="E33" s="1796" t="e">
        <f t="shared" ref="E33:E41" si="69">VLOOKUP(D33,PQLTable,8,FALSE)</f>
        <v>#N/A</v>
      </c>
      <c r="F33" s="1756"/>
      <c r="G33" s="1757"/>
      <c r="H33" s="1757"/>
      <c r="I33" s="1764"/>
      <c r="J33" s="1756"/>
      <c r="K33" s="1757"/>
      <c r="L33" s="1757"/>
      <c r="M33" s="1764"/>
      <c r="N33" s="1772"/>
      <c r="O33" s="1692" t="str">
        <f t="shared" ref="O33:O41" si="70">IF(B33=0,"",IF(SUM(V33,Y33)=0,"no result",IF(COUNT(V33:Y33)=1,"Single Result","")))</f>
        <v/>
      </c>
      <c r="P33" s="1692">
        <f t="shared" ref="P33:P41" si="71">IF(OR(V33="",Y33=""),0,ABS((MAX(V33:Y33)-MIN(V33:Y33))/AVERAGE(V33:Y33)))</f>
        <v>0</v>
      </c>
      <c r="Q33" s="1692" t="str">
        <f>IF(OR(BH33&gt;(0.2*BG33),BI33&gt;(0.2*BH33),BJ33&gt;(0.2*BI33),BL33&gt;(0.2*BK33),BM33&gt;(0.2*BL33),BN33&gt;(0.2*BM33)),"Breakthrough?","")</f>
        <v/>
      </c>
      <c r="U33" s="1898" t="str">
        <f t="shared" ref="U33:U41" si="72">CA33</f>
        <v/>
      </c>
      <c r="V33" s="1720" t="str">
        <f>IF(COUNT(F33:I33)=0,"",Conc1(CB33,U$29,$AJ33,MolVol,Pitots!$E$49,Pitots!$F$49,V$31,V$32,VoF))</f>
        <v/>
      </c>
      <c r="W33" s="2333" t="str">
        <f t="shared" ref="W33:W41" si="73">IF($B33=0,"",V33*CorrFactor)</f>
        <v/>
      </c>
      <c r="X33" s="1718" t="str">
        <f t="shared" ref="X33:X41" si="74">CC33</f>
        <v/>
      </c>
      <c r="Y33" s="1720" t="str">
        <f>IF(COUNT(J33:M33)=0,"",Conc1(CD33,X$29,$AJ33,MolVol,Pitots!$E$49,Pitots!$F$49,Y$31,Y$32,VoF))</f>
        <v/>
      </c>
      <c r="Z33" s="2333" t="str">
        <f t="shared" ref="Z33:Z41" si="75">IF($B33=0,"",Y33*CorrFactor)</f>
        <v/>
      </c>
      <c r="AA33" s="2264" t="str">
        <f>IF(AND(U33="",X33=""),"",IF(OR(U33="",X33=""),"≤",""))</f>
        <v/>
      </c>
      <c r="AB33" s="1720" t="str">
        <f t="shared" ref="AB33:AB41" si="76">IF(OR(V33="",Y33=""),"",AVERAGE(V33,Y33))</f>
        <v/>
      </c>
      <c r="AC33" s="1719" t="str">
        <f t="shared" ref="AC33:AC41" si="77">IF($B33=0,"",AB33*CorrFactor)</f>
        <v/>
      </c>
      <c r="AD33" s="1911" t="str">
        <f t="shared" ref="AD33:AD41" si="78">IF(OR(U33="&lt;",VND="&lt;"),"&lt;","")</f>
        <v/>
      </c>
      <c r="AE33" s="1899" t="str">
        <f>IF(V33="","",MassRate(V33,$AJ33,MolVol,V$31,V$32,MRU,MRF,AverageFlowDry,FF))</f>
        <v/>
      </c>
      <c r="AF33" s="1911" t="str">
        <f t="shared" ref="AF33:AF41" si="79">IF(OR(X33="&lt;",VND="&lt;"),"&lt;","")</f>
        <v/>
      </c>
      <c r="AG33" s="2262" t="str">
        <f>IF(Y33="","",MassRate(Y33,$AJ33,MolVol,Y$31,Y$32,MRU,MRF,AverageFlowDry,FF))</f>
        <v/>
      </c>
      <c r="AH33" s="2264" t="str">
        <f>IF(AND(AD33="",AF33=""),"",IF(OR(AD33="",AF33=""),"≤",""))</f>
        <v/>
      </c>
      <c r="AI33" s="1899" t="str">
        <f>IF(AB33="","",AVERAGE(AE33,AG33))</f>
        <v/>
      </c>
      <c r="AJ33" s="1704" t="e">
        <f t="shared" ref="AJ33:AJ41" si="80">VLOOKUP(C33,PQLTable,4,FALSE)</f>
        <v>#N/A</v>
      </c>
      <c r="AK33" s="1796" t="e">
        <f t="shared" ref="AK33:AK41" si="81">VLOOKUP(D33,PQLTable,6,FALSE)</f>
        <v>#N/A</v>
      </c>
      <c r="AL33" s="1871" t="e">
        <f t="shared" ref="AL33:AL41" si="82">AJ33/AK33</f>
        <v>#N/A</v>
      </c>
      <c r="AM33" s="1718" t="str">
        <f t="shared" ref="AM33:AM41" si="83">LEFT(F33,(LEFT(F33)="&lt;"))</f>
        <v/>
      </c>
      <c r="AN33" s="1718" t="str">
        <f t="shared" ref="AN33:AN41" si="84">LEFT(G33,(LEFT(G33)="&lt;"))</f>
        <v/>
      </c>
      <c r="AO33" s="1718" t="str">
        <f t="shared" ref="AO33:AO41" si="85">LEFT(H33,(LEFT(H33)="&lt;"))</f>
        <v/>
      </c>
      <c r="AP33" s="1718" t="str">
        <f t="shared" ref="AP33:AP41" si="86">LEFT(I33,(LEFT(I33)="&lt;"))</f>
        <v/>
      </c>
      <c r="AQ33" s="1718" t="str">
        <f t="shared" ref="AQ33:AQ41" si="87">LEFT(J33,(LEFT(J33)="&lt;"))</f>
        <v/>
      </c>
      <c r="AR33" s="1718" t="str">
        <f t="shared" ref="AR33:AR41" si="88">LEFT(K33,(LEFT(K33)="&lt;"))</f>
        <v/>
      </c>
      <c r="AS33" s="1718" t="str">
        <f t="shared" ref="AS33:AS41" si="89">LEFT(L33,(LEFT(L33)="&lt;"))</f>
        <v/>
      </c>
      <c r="AT33" s="1718" t="str">
        <f t="shared" ref="AT33:AT41" si="90">LEFT(M33,(LEFT(M33)="&lt;"))</f>
        <v/>
      </c>
      <c r="AU33" s="1718" t="str">
        <f t="shared" ref="AU33:AU41" si="91">LEFT(N33,(LEFT(N33)="&lt;"))</f>
        <v/>
      </c>
      <c r="AV33" s="1718"/>
      <c r="AW33" s="1718" t="str">
        <f t="shared" ref="AW33:AW41" si="92">IF(F33="","",VALUE(RIGHT(F33,LEN(F33)-(LEFT(F33)="&lt;"))))</f>
        <v/>
      </c>
      <c r="AX33" s="1718" t="str">
        <f t="shared" ref="AX33:AX41" si="93">IF(G33="","",VALUE(RIGHT(G33,LEN(G33)-(LEFT(G33)="&lt;"))))</f>
        <v/>
      </c>
      <c r="AY33" s="1718" t="str">
        <f t="shared" ref="AY33:AY41" si="94">IF(H33="","",VALUE(RIGHT(H33,LEN(H33)-(LEFT(H33)="&lt;"))))</f>
        <v/>
      </c>
      <c r="AZ33" s="1718" t="str">
        <f t="shared" ref="AZ33:AZ41" si="95">IF(I33="","",VALUE(RIGHT(I33,LEN(I33)-(LEFT(I33)="&lt;"))))</f>
        <v/>
      </c>
      <c r="BA33" s="1718" t="str">
        <f t="shared" ref="BA33:BA41" si="96">IF(J33="","",VALUE(RIGHT(J33,LEN(J33)-(LEFT(J33)="&lt;"))))</f>
        <v/>
      </c>
      <c r="BB33" s="1718" t="str">
        <f t="shared" ref="BB33:BB41" si="97">IF(K33="","",VALUE(RIGHT(K33,LEN(K33)-(LEFT(K33)="&lt;"))))</f>
        <v/>
      </c>
      <c r="BC33" s="1718" t="str">
        <f t="shared" ref="BC33:BC41" si="98">IF(L33="","",VALUE(RIGHT(L33,LEN(L33)-(LEFT(L33)="&lt;"))))</f>
        <v/>
      </c>
      <c r="BD33" s="1718" t="str">
        <f t="shared" ref="BD33:BD41" si="99">IF(M33="","",VALUE(RIGHT(M33,LEN(M33)-(LEFT(M33)="&lt;"))))</f>
        <v/>
      </c>
      <c r="BE33" s="1738">
        <f t="shared" ref="BE33:BE41" si="100">IF(OR(AU33="&lt;",N33=""),0,VALUE(RIGHT(N33,LEN(N33)-(LEFT(N33)="&lt;"))))</f>
        <v>0</v>
      </c>
      <c r="BF33" s="1718"/>
      <c r="BG33" s="1718">
        <f t="shared" ref="BG33:BN33" si="101">IF(F33="",0,IF(OR((AW33-$BE33)&lt;BO33,AM33="&lt;"),0,AW33-$BE33)*$AL33*1000/F29/$G31*1000000)</f>
        <v>0</v>
      </c>
      <c r="BH33" s="1718">
        <f t="shared" si="101"/>
        <v>0</v>
      </c>
      <c r="BI33" s="1718">
        <f t="shared" si="101"/>
        <v>0</v>
      </c>
      <c r="BJ33" s="1718">
        <f t="shared" si="101"/>
        <v>0</v>
      </c>
      <c r="BK33" s="1718">
        <f t="shared" si="101"/>
        <v>0</v>
      </c>
      <c r="BL33" s="1718">
        <f t="shared" si="101"/>
        <v>0</v>
      </c>
      <c r="BM33" s="1718">
        <f t="shared" si="101"/>
        <v>0</v>
      </c>
      <c r="BN33" s="1718">
        <f t="shared" si="101"/>
        <v>0</v>
      </c>
      <c r="BO33" s="1712">
        <f t="shared" ref="BO33:BV33" si="102">IF(F33="",0,$E33*$AL33*1000/$F29/$G31*1000000)</f>
        <v>0</v>
      </c>
      <c r="BP33" s="1712">
        <f t="shared" si="102"/>
        <v>0</v>
      </c>
      <c r="BQ33" s="1712">
        <f t="shared" si="102"/>
        <v>0</v>
      </c>
      <c r="BR33" s="1712">
        <f t="shared" si="102"/>
        <v>0</v>
      </c>
      <c r="BS33" s="1712">
        <f t="shared" si="102"/>
        <v>0</v>
      </c>
      <c r="BT33" s="1712">
        <f t="shared" si="102"/>
        <v>0</v>
      </c>
      <c r="BU33" s="1712">
        <f t="shared" si="102"/>
        <v>0</v>
      </c>
      <c r="BV33" s="1712">
        <f t="shared" si="102"/>
        <v>0</v>
      </c>
      <c r="BW33" s="1741">
        <f t="shared" ref="BW33:BW41" si="103">SUM(BO33:BR33)</f>
        <v>0</v>
      </c>
      <c r="BX33" s="1713">
        <f t="shared" ref="BX33:BX41" si="104">SUM(BG33:BJ33)</f>
        <v>0</v>
      </c>
      <c r="BY33" s="1741">
        <f t="shared" ref="BY33:BY41" si="105">SUM(BS33:BV33)</f>
        <v>0</v>
      </c>
      <c r="BZ33" s="1713">
        <f t="shared" ref="BZ33:BZ41" si="106">SUM(BK33:BN33)</f>
        <v>0</v>
      </c>
      <c r="CA33" s="1712" t="str">
        <f t="shared" ref="CA33:CA41" si="107">IF(BX33&gt;=$BW33,"","&lt;")</f>
        <v/>
      </c>
      <c r="CB33" s="1720">
        <f t="shared" ref="CB33:CB41" si="108">IF(CA33="",BX33,(IF(BG33=0,BO33,0)+IF(BH33=0,BP33,0)+IF(BI33=0,BQ33,0)+IF(BJ33=0,BR33,0)+BX33))</f>
        <v>0</v>
      </c>
      <c r="CC33" s="1712" t="str">
        <f t="shared" ref="CC33:CC41" si="109">IF(BZ33&gt;=BY33,"","&lt;")</f>
        <v/>
      </c>
      <c r="CD33" s="1720">
        <f t="shared" ref="CD33:CD41" si="110">IF(CC33="",BZ33,(IF(BK33=0,BS33,0)+IF(BL33=0,BT33,0)+IF(BM33=0,BU33,0)+IF(BN33=0,BV33,0)+BZ33))</f>
        <v>0</v>
      </c>
      <c r="CE33" s="1690" t="str">
        <f>IF(OR(BH33&gt;(0.2*BG33),BI33&gt;(0.2*BH33),BJ33&gt;(0.2*BI33),BL33&gt;(0.2*BK33),BM33&gt;(0.2*BL33),BN33&gt;(0.2*BM33)),"Breakthrough","")</f>
        <v/>
      </c>
    </row>
    <row r="34" spans="1:83">
      <c r="A34" s="1690" t="b">
        <f t="shared" si="66"/>
        <v>0</v>
      </c>
      <c r="B34" s="1702">
        <f>'Non-Isokinetic'!A22</f>
        <v>0</v>
      </c>
      <c r="C34" s="1753" t="e">
        <f t="shared" si="67"/>
        <v>#N/A</v>
      </c>
      <c r="D34" s="1705" t="e">
        <f t="shared" si="68"/>
        <v>#N/A</v>
      </c>
      <c r="E34" s="1744" t="e">
        <f t="shared" si="69"/>
        <v>#N/A</v>
      </c>
      <c r="F34" s="1759"/>
      <c r="G34" s="1755"/>
      <c r="H34" s="1755"/>
      <c r="I34" s="1765"/>
      <c r="J34" s="1759"/>
      <c r="K34" s="1755"/>
      <c r="L34" s="1755"/>
      <c r="M34" s="1765"/>
      <c r="N34" s="1773"/>
      <c r="O34" s="1692" t="str">
        <f t="shared" si="70"/>
        <v/>
      </c>
      <c r="P34" s="1692">
        <f t="shared" si="71"/>
        <v>0</v>
      </c>
      <c r="Q34" s="1692" t="str">
        <f t="shared" ref="Q34:Q41" si="111">IF(OR(BH34&gt;(0.2*BG34),BI34&gt;(0.2*BH34),BJ34&gt;(0.2*BI34)),"Breakthrough?","")</f>
        <v/>
      </c>
      <c r="U34" s="1900" t="str">
        <f t="shared" si="72"/>
        <v/>
      </c>
      <c r="V34" s="1904" t="str">
        <f>IF(COUNT(F34:I34)=0,"",Conc1(CB34,U$29,$AJ34,MolVol,Pitots!$E$49,Pitots!$F$49,V$31,V$32,VoF))</f>
        <v/>
      </c>
      <c r="W34" s="1841" t="str">
        <f t="shared" si="73"/>
        <v/>
      </c>
      <c r="X34" s="1909" t="str">
        <f t="shared" si="74"/>
        <v/>
      </c>
      <c r="Y34" s="1904" t="str">
        <f>IF(COUNT(J34:M34)=0,"",Conc1(CD34,X$29,$AJ34,MolVol,Pitots!$E$49,Pitots!$F$49,Y$31,Y$32,VoF))</f>
        <v/>
      </c>
      <c r="Z34" s="1841" t="str">
        <f t="shared" si="75"/>
        <v/>
      </c>
      <c r="AA34" s="1909" t="str">
        <f t="shared" ref="AA34:AA41" si="112">IF(AND(U34="",X34=""),"",IF(OR(U34="",X34=""),"≤",""))</f>
        <v/>
      </c>
      <c r="AB34" s="2358" t="str">
        <f t="shared" si="76"/>
        <v/>
      </c>
      <c r="AC34" s="1841" t="str">
        <f t="shared" si="77"/>
        <v/>
      </c>
      <c r="AD34" s="1912" t="str">
        <f t="shared" si="78"/>
        <v/>
      </c>
      <c r="AE34" s="1901" t="str">
        <f>IF(V34="","",MassRate(V34,$AJ34,MolVol,V$31,V$32,MRU,MRF,AverageFlowDry,FF))</f>
        <v/>
      </c>
      <c r="AF34" s="1912" t="str">
        <f t="shared" si="79"/>
        <v/>
      </c>
      <c r="AG34" s="1842" t="str">
        <f>IF(Y34="","",MassRate(Y34,$AJ34,MolVol,Y$31,Y$32,MRU,MRF,AverageFlowDry,FF))</f>
        <v/>
      </c>
      <c r="AH34" s="2265" t="str">
        <f t="shared" ref="AH34:AH41" si="113">IF(AND(AD34="",AF34=""),"",IF(OR(AD34="",AF34=""),"≤",""))</f>
        <v/>
      </c>
      <c r="AI34" s="1901" t="str">
        <f t="shared" ref="AI34:AI41" si="114">IF(AB34="","",AVERAGE(AE34,AG34))</f>
        <v/>
      </c>
      <c r="AJ34" s="1870" t="e">
        <f t="shared" si="80"/>
        <v>#N/A</v>
      </c>
      <c r="AK34" s="1744" t="e">
        <f t="shared" si="81"/>
        <v>#N/A</v>
      </c>
      <c r="AL34" s="1872" t="e">
        <f t="shared" si="82"/>
        <v>#N/A</v>
      </c>
      <c r="AM34" s="1721" t="str">
        <f t="shared" si="83"/>
        <v/>
      </c>
      <c r="AN34" s="1721" t="str">
        <f t="shared" si="84"/>
        <v/>
      </c>
      <c r="AO34" s="1721" t="str">
        <f t="shared" si="85"/>
        <v/>
      </c>
      <c r="AP34" s="1721" t="str">
        <f t="shared" si="86"/>
        <v/>
      </c>
      <c r="AQ34" s="1721" t="str">
        <f t="shared" si="87"/>
        <v/>
      </c>
      <c r="AR34" s="1721" t="str">
        <f t="shared" si="88"/>
        <v/>
      </c>
      <c r="AS34" s="1721" t="str">
        <f t="shared" si="89"/>
        <v/>
      </c>
      <c r="AT34" s="1721" t="str">
        <f t="shared" si="90"/>
        <v/>
      </c>
      <c r="AU34" s="1721" t="str">
        <f t="shared" si="91"/>
        <v/>
      </c>
      <c r="AV34" s="1721"/>
      <c r="AW34" s="1721" t="str">
        <f t="shared" si="92"/>
        <v/>
      </c>
      <c r="AX34" s="1721" t="str">
        <f t="shared" si="93"/>
        <v/>
      </c>
      <c r="AY34" s="1721" t="str">
        <f t="shared" si="94"/>
        <v/>
      </c>
      <c r="AZ34" s="1721" t="str">
        <f t="shared" si="95"/>
        <v/>
      </c>
      <c r="BA34" s="1721" t="str">
        <f t="shared" si="96"/>
        <v/>
      </c>
      <c r="BB34" s="1721" t="str">
        <f t="shared" si="97"/>
        <v/>
      </c>
      <c r="BC34" s="1721" t="str">
        <f t="shared" si="98"/>
        <v/>
      </c>
      <c r="BD34" s="1721" t="str">
        <f t="shared" si="99"/>
        <v/>
      </c>
      <c r="BE34" s="1739">
        <f t="shared" si="100"/>
        <v>0</v>
      </c>
      <c r="BF34" s="1721"/>
      <c r="BG34" s="1721">
        <f t="shared" ref="BG34:BN34" si="115">IF(F34="",0,IF(OR((AW34-$BE34)&lt;BO34,AM34="&lt;"),0,AW34-$BE34)*$AL34*1000/F29/$G31*1000000)</f>
        <v>0</v>
      </c>
      <c r="BH34" s="1721">
        <f t="shared" si="115"/>
        <v>0</v>
      </c>
      <c r="BI34" s="1721">
        <f t="shared" si="115"/>
        <v>0</v>
      </c>
      <c r="BJ34" s="1721">
        <f t="shared" si="115"/>
        <v>0</v>
      </c>
      <c r="BK34" s="1721">
        <f t="shared" si="115"/>
        <v>0</v>
      </c>
      <c r="BL34" s="1721">
        <f t="shared" si="115"/>
        <v>0</v>
      </c>
      <c r="BM34" s="1721">
        <f t="shared" si="115"/>
        <v>0</v>
      </c>
      <c r="BN34" s="1721">
        <f t="shared" si="115"/>
        <v>0</v>
      </c>
      <c r="BO34" s="1715">
        <f t="shared" ref="BO34:BV34" si="116">IF(F34="",0,$E34*$AL34*1000/$F29/$G31*1000000)</f>
        <v>0</v>
      </c>
      <c r="BP34" s="1715">
        <f t="shared" si="116"/>
        <v>0</v>
      </c>
      <c r="BQ34" s="1715">
        <f t="shared" si="116"/>
        <v>0</v>
      </c>
      <c r="BR34" s="1715">
        <f t="shared" si="116"/>
        <v>0</v>
      </c>
      <c r="BS34" s="1715">
        <f t="shared" si="116"/>
        <v>0</v>
      </c>
      <c r="BT34" s="1715">
        <f t="shared" si="116"/>
        <v>0</v>
      </c>
      <c r="BU34" s="1715">
        <f t="shared" si="116"/>
        <v>0</v>
      </c>
      <c r="BV34" s="1715">
        <f t="shared" si="116"/>
        <v>0</v>
      </c>
      <c r="BW34" s="1742">
        <f t="shared" si="103"/>
        <v>0</v>
      </c>
      <c r="BX34" s="1690">
        <f t="shared" si="104"/>
        <v>0</v>
      </c>
      <c r="BY34" s="1742">
        <f t="shared" si="105"/>
        <v>0</v>
      </c>
      <c r="BZ34" s="1690">
        <f t="shared" si="106"/>
        <v>0</v>
      </c>
      <c r="CA34" s="1715" t="str">
        <f t="shared" si="107"/>
        <v/>
      </c>
      <c r="CB34" s="1722">
        <f t="shared" si="108"/>
        <v>0</v>
      </c>
      <c r="CC34" s="1715" t="str">
        <f t="shared" si="109"/>
        <v/>
      </c>
      <c r="CD34" s="1722">
        <f t="shared" si="110"/>
        <v>0</v>
      </c>
      <c r="CE34" s="1690" t="str">
        <f t="shared" ref="CE34:CE41" si="117">IF(OR(BH34&gt;(0.2*BG34),BI34&gt;(0.2*BH34),BJ34&gt;(0.2*BI34)),"Breakthrough","")</f>
        <v/>
      </c>
    </row>
    <row r="35" spans="1:83">
      <c r="A35" s="1690" t="b">
        <f t="shared" si="66"/>
        <v>0</v>
      </c>
      <c r="B35" s="1702">
        <f>'Non-Isokinetic'!A23</f>
        <v>0</v>
      </c>
      <c r="C35" s="1753" t="e">
        <f t="shared" si="67"/>
        <v>#N/A</v>
      </c>
      <c r="D35" s="1705" t="e">
        <f t="shared" si="68"/>
        <v>#N/A</v>
      </c>
      <c r="E35" s="1744" t="e">
        <f t="shared" si="69"/>
        <v>#N/A</v>
      </c>
      <c r="F35" s="1759"/>
      <c r="G35" s="1755"/>
      <c r="H35" s="1755"/>
      <c r="I35" s="1765"/>
      <c r="J35" s="1759"/>
      <c r="K35" s="1755"/>
      <c r="L35" s="1755"/>
      <c r="M35" s="1765"/>
      <c r="N35" s="1773"/>
      <c r="O35" s="1692" t="str">
        <f t="shared" si="70"/>
        <v/>
      </c>
      <c r="P35" s="1692">
        <f t="shared" si="71"/>
        <v>0</v>
      </c>
      <c r="Q35" s="1692" t="str">
        <f t="shared" si="111"/>
        <v/>
      </c>
      <c r="U35" s="1900" t="str">
        <f t="shared" si="72"/>
        <v/>
      </c>
      <c r="V35" s="1904" t="str">
        <f>IF(COUNT(F35:I35)=0,"",Conc1(CB35,U$29,$AJ35,MolVol,Pitots!$E$49,Pitots!$F$49,V$31,V$32,VoF))</f>
        <v/>
      </c>
      <c r="W35" s="1841" t="str">
        <f t="shared" si="73"/>
        <v/>
      </c>
      <c r="X35" s="1909" t="str">
        <f t="shared" si="74"/>
        <v/>
      </c>
      <c r="Y35" s="1904" t="str">
        <f>IF(COUNT(J35:M35)=0,"",Conc1(CD35,X$29,$AJ35,MolVol,Pitots!$E$49,Pitots!$F$49,Y$31,Y$32,VoF))</f>
        <v/>
      </c>
      <c r="Z35" s="1841" t="str">
        <f t="shared" si="75"/>
        <v/>
      </c>
      <c r="AA35" s="1909" t="str">
        <f t="shared" si="112"/>
        <v/>
      </c>
      <c r="AB35" s="2358" t="str">
        <f t="shared" si="76"/>
        <v/>
      </c>
      <c r="AC35" s="1841" t="str">
        <f t="shared" si="77"/>
        <v/>
      </c>
      <c r="AD35" s="1912" t="str">
        <f t="shared" si="78"/>
        <v/>
      </c>
      <c r="AE35" s="1901" t="str">
        <f>IF(V35="","",MassRate(V35,$AJ35,MolVol,V$31,V$32,MRU,MRF,AverageFlowDry,FF))</f>
        <v/>
      </c>
      <c r="AF35" s="1912" t="str">
        <f t="shared" si="79"/>
        <v/>
      </c>
      <c r="AG35" s="1842" t="str">
        <f>IF(Y35="","",MassRate(Y35,$AJ35,MolVol,Y$31,Y$32,MRU,MRF,AverageFlowDry,FF))</f>
        <v/>
      </c>
      <c r="AH35" s="2265" t="str">
        <f t="shared" si="113"/>
        <v/>
      </c>
      <c r="AI35" s="1901" t="str">
        <f t="shared" si="114"/>
        <v/>
      </c>
      <c r="AJ35" s="1870" t="e">
        <f t="shared" si="80"/>
        <v>#N/A</v>
      </c>
      <c r="AK35" s="1744" t="e">
        <f t="shared" si="81"/>
        <v>#N/A</v>
      </c>
      <c r="AL35" s="1872" t="e">
        <f t="shared" si="82"/>
        <v>#N/A</v>
      </c>
      <c r="AM35" s="1721" t="str">
        <f t="shared" si="83"/>
        <v/>
      </c>
      <c r="AN35" s="1721" t="str">
        <f t="shared" si="84"/>
        <v/>
      </c>
      <c r="AO35" s="1721" t="str">
        <f t="shared" si="85"/>
        <v/>
      </c>
      <c r="AP35" s="1721" t="str">
        <f t="shared" si="86"/>
        <v/>
      </c>
      <c r="AQ35" s="1721" t="str">
        <f t="shared" si="87"/>
        <v/>
      </c>
      <c r="AR35" s="1721" t="str">
        <f t="shared" si="88"/>
        <v/>
      </c>
      <c r="AS35" s="1721" t="str">
        <f t="shared" si="89"/>
        <v/>
      </c>
      <c r="AT35" s="1721" t="str">
        <f t="shared" si="90"/>
        <v/>
      </c>
      <c r="AU35" s="1721" t="str">
        <f t="shared" si="91"/>
        <v/>
      </c>
      <c r="AV35" s="1721"/>
      <c r="AW35" s="1721" t="str">
        <f t="shared" si="92"/>
        <v/>
      </c>
      <c r="AX35" s="1721" t="str">
        <f t="shared" si="93"/>
        <v/>
      </c>
      <c r="AY35" s="1721" t="str">
        <f t="shared" si="94"/>
        <v/>
      </c>
      <c r="AZ35" s="1721" t="str">
        <f t="shared" si="95"/>
        <v/>
      </c>
      <c r="BA35" s="1721" t="str">
        <f t="shared" si="96"/>
        <v/>
      </c>
      <c r="BB35" s="1721" t="str">
        <f t="shared" si="97"/>
        <v/>
      </c>
      <c r="BC35" s="1721" t="str">
        <f t="shared" si="98"/>
        <v/>
      </c>
      <c r="BD35" s="1721" t="str">
        <f t="shared" si="99"/>
        <v/>
      </c>
      <c r="BE35" s="1739">
        <f t="shared" si="100"/>
        <v>0</v>
      </c>
      <c r="BF35" s="1721"/>
      <c r="BG35" s="1721">
        <f t="shared" ref="BG35:BN35" si="118">IF(F35="",0,IF(OR((AW35-$BE35)&lt;BO35,AM35="&lt;"),0,AW35-$BE35)*$AL35*1000/F29/$G31*1000000)</f>
        <v>0</v>
      </c>
      <c r="BH35" s="1721">
        <f t="shared" si="118"/>
        <v>0</v>
      </c>
      <c r="BI35" s="1721">
        <f t="shared" si="118"/>
        <v>0</v>
      </c>
      <c r="BJ35" s="1721">
        <f t="shared" si="118"/>
        <v>0</v>
      </c>
      <c r="BK35" s="1721">
        <f t="shared" si="118"/>
        <v>0</v>
      </c>
      <c r="BL35" s="1721">
        <f t="shared" si="118"/>
        <v>0</v>
      </c>
      <c r="BM35" s="1721">
        <f t="shared" si="118"/>
        <v>0</v>
      </c>
      <c r="BN35" s="1721">
        <f t="shared" si="118"/>
        <v>0</v>
      </c>
      <c r="BO35" s="1715">
        <f t="shared" ref="BO35:BV35" si="119">IF(F35="",0,$E35*$AL35*1000/$F29/$G31*1000000)</f>
        <v>0</v>
      </c>
      <c r="BP35" s="1715">
        <f t="shared" si="119"/>
        <v>0</v>
      </c>
      <c r="BQ35" s="1715">
        <f t="shared" si="119"/>
        <v>0</v>
      </c>
      <c r="BR35" s="1715">
        <f t="shared" si="119"/>
        <v>0</v>
      </c>
      <c r="BS35" s="1715">
        <f t="shared" si="119"/>
        <v>0</v>
      </c>
      <c r="BT35" s="1715">
        <f t="shared" si="119"/>
        <v>0</v>
      </c>
      <c r="BU35" s="1715">
        <f t="shared" si="119"/>
        <v>0</v>
      </c>
      <c r="BV35" s="1715">
        <f t="shared" si="119"/>
        <v>0</v>
      </c>
      <c r="BW35" s="1742">
        <f t="shared" si="103"/>
        <v>0</v>
      </c>
      <c r="BX35" s="1690">
        <f t="shared" si="104"/>
        <v>0</v>
      </c>
      <c r="BY35" s="1742">
        <f t="shared" si="105"/>
        <v>0</v>
      </c>
      <c r="BZ35" s="1690">
        <f t="shared" si="106"/>
        <v>0</v>
      </c>
      <c r="CA35" s="1715" t="str">
        <f t="shared" si="107"/>
        <v/>
      </c>
      <c r="CB35" s="1722">
        <f t="shared" si="108"/>
        <v>0</v>
      </c>
      <c r="CC35" s="1715" t="str">
        <f t="shared" si="109"/>
        <v/>
      </c>
      <c r="CD35" s="1722">
        <f t="shared" si="110"/>
        <v>0</v>
      </c>
      <c r="CE35" s="1690" t="str">
        <f t="shared" si="117"/>
        <v/>
      </c>
    </row>
    <row r="36" spans="1:83">
      <c r="A36" s="1690" t="b">
        <f t="shared" si="66"/>
        <v>0</v>
      </c>
      <c r="B36" s="1702">
        <f>'Non-Isokinetic'!A24</f>
        <v>0</v>
      </c>
      <c r="C36" s="1753" t="e">
        <f t="shared" si="67"/>
        <v>#N/A</v>
      </c>
      <c r="D36" s="1705" t="e">
        <f t="shared" si="68"/>
        <v>#N/A</v>
      </c>
      <c r="E36" s="1744" t="e">
        <f t="shared" si="69"/>
        <v>#N/A</v>
      </c>
      <c r="F36" s="1759"/>
      <c r="G36" s="1755"/>
      <c r="H36" s="1755"/>
      <c r="I36" s="1765"/>
      <c r="J36" s="1759"/>
      <c r="K36" s="1755"/>
      <c r="L36" s="1755"/>
      <c r="M36" s="1765"/>
      <c r="N36" s="1773"/>
      <c r="O36" s="1692" t="str">
        <f t="shared" si="70"/>
        <v/>
      </c>
      <c r="P36" s="1692">
        <f t="shared" si="71"/>
        <v>0</v>
      </c>
      <c r="Q36" s="1692" t="str">
        <f t="shared" si="111"/>
        <v/>
      </c>
      <c r="U36" s="1900" t="str">
        <f t="shared" si="72"/>
        <v/>
      </c>
      <c r="V36" s="1904" t="str">
        <f>IF(COUNT(F36:I36)=0,"",Conc1(CB36,U$29,$AJ36,MolVol,Pitots!$E$49,Pitots!$F$49,V$31,V$32,VoF))</f>
        <v/>
      </c>
      <c r="W36" s="1841" t="str">
        <f t="shared" si="73"/>
        <v/>
      </c>
      <c r="X36" s="1909" t="str">
        <f t="shared" si="74"/>
        <v/>
      </c>
      <c r="Y36" s="1904" t="str">
        <f>IF(COUNT(J36:M36)=0,"",Conc1(CD36,X$29,$AJ36,MolVol,Pitots!$E$49,Pitots!$F$49,Y$31,Y$32,VoF))</f>
        <v/>
      </c>
      <c r="Z36" s="1841" t="str">
        <f t="shared" si="75"/>
        <v/>
      </c>
      <c r="AA36" s="1909" t="str">
        <f t="shared" si="112"/>
        <v/>
      </c>
      <c r="AB36" s="2358" t="str">
        <f t="shared" si="76"/>
        <v/>
      </c>
      <c r="AC36" s="1841" t="str">
        <f t="shared" si="77"/>
        <v/>
      </c>
      <c r="AD36" s="1912" t="str">
        <f t="shared" si="78"/>
        <v/>
      </c>
      <c r="AE36" s="1901" t="str">
        <f>IF(V36="","",MassRate(V36,$AJ36,MolVol,V$31,V$32,MRU,MRF,AverageFlowDry,FF))</f>
        <v/>
      </c>
      <c r="AF36" s="1912" t="str">
        <f t="shared" si="79"/>
        <v/>
      </c>
      <c r="AG36" s="1842" t="str">
        <f>IF(Y36="","",MassRate(Y36,$AJ36,MolVol,Y$31,Y$32,MRU,MRF,AverageFlowDry,FF))</f>
        <v/>
      </c>
      <c r="AH36" s="2265" t="str">
        <f t="shared" si="113"/>
        <v/>
      </c>
      <c r="AI36" s="1901" t="str">
        <f t="shared" si="114"/>
        <v/>
      </c>
      <c r="AJ36" s="1870" t="e">
        <f t="shared" si="80"/>
        <v>#N/A</v>
      </c>
      <c r="AK36" s="1744" t="e">
        <f t="shared" si="81"/>
        <v>#N/A</v>
      </c>
      <c r="AL36" s="1872" t="e">
        <f t="shared" si="82"/>
        <v>#N/A</v>
      </c>
      <c r="AM36" s="1721" t="str">
        <f t="shared" si="83"/>
        <v/>
      </c>
      <c r="AN36" s="1721" t="str">
        <f t="shared" si="84"/>
        <v/>
      </c>
      <c r="AO36" s="1721" t="str">
        <f t="shared" si="85"/>
        <v/>
      </c>
      <c r="AP36" s="1721" t="str">
        <f t="shared" si="86"/>
        <v/>
      </c>
      <c r="AQ36" s="1721" t="str">
        <f t="shared" si="87"/>
        <v/>
      </c>
      <c r="AR36" s="1721" t="str">
        <f t="shared" si="88"/>
        <v/>
      </c>
      <c r="AS36" s="1721" t="str">
        <f t="shared" si="89"/>
        <v/>
      </c>
      <c r="AT36" s="1721" t="str">
        <f t="shared" si="90"/>
        <v/>
      </c>
      <c r="AU36" s="1721" t="str">
        <f t="shared" si="91"/>
        <v/>
      </c>
      <c r="AV36" s="1721"/>
      <c r="AW36" s="1721" t="str">
        <f t="shared" si="92"/>
        <v/>
      </c>
      <c r="AX36" s="1721" t="str">
        <f t="shared" si="93"/>
        <v/>
      </c>
      <c r="AY36" s="1721" t="str">
        <f t="shared" si="94"/>
        <v/>
      </c>
      <c r="AZ36" s="1721" t="str">
        <f t="shared" si="95"/>
        <v/>
      </c>
      <c r="BA36" s="1721" t="str">
        <f t="shared" si="96"/>
        <v/>
      </c>
      <c r="BB36" s="1721" t="str">
        <f t="shared" si="97"/>
        <v/>
      </c>
      <c r="BC36" s="1721" t="str">
        <f t="shared" si="98"/>
        <v/>
      </c>
      <c r="BD36" s="1721" t="str">
        <f t="shared" si="99"/>
        <v/>
      </c>
      <c r="BE36" s="1739">
        <f t="shared" si="100"/>
        <v>0</v>
      </c>
      <c r="BF36" s="1721"/>
      <c r="BG36" s="1721">
        <f t="shared" ref="BG36:BN36" si="120">IF(F36="",0,IF(OR((AW36-$BE36)&lt;BO36,AM36="&lt;"),0,AW36-$BE36)*$AL36*1000/F29/$G31*1000000)</f>
        <v>0</v>
      </c>
      <c r="BH36" s="1721">
        <f t="shared" si="120"/>
        <v>0</v>
      </c>
      <c r="BI36" s="1721">
        <f t="shared" si="120"/>
        <v>0</v>
      </c>
      <c r="BJ36" s="1721">
        <f t="shared" si="120"/>
        <v>0</v>
      </c>
      <c r="BK36" s="1721">
        <f t="shared" si="120"/>
        <v>0</v>
      </c>
      <c r="BL36" s="1721">
        <f t="shared" si="120"/>
        <v>0</v>
      </c>
      <c r="BM36" s="1721">
        <f t="shared" si="120"/>
        <v>0</v>
      </c>
      <c r="BN36" s="1721">
        <f t="shared" si="120"/>
        <v>0</v>
      </c>
      <c r="BO36" s="1715">
        <f t="shared" ref="BO36:BV36" si="121">IF(F36="",0,$E36*$AL36*1000/$F29/$G31*1000000)</f>
        <v>0</v>
      </c>
      <c r="BP36" s="1715">
        <f t="shared" si="121"/>
        <v>0</v>
      </c>
      <c r="BQ36" s="1715">
        <f t="shared" si="121"/>
        <v>0</v>
      </c>
      <c r="BR36" s="1715">
        <f t="shared" si="121"/>
        <v>0</v>
      </c>
      <c r="BS36" s="1715">
        <f t="shared" si="121"/>
        <v>0</v>
      </c>
      <c r="BT36" s="1715">
        <f t="shared" si="121"/>
        <v>0</v>
      </c>
      <c r="BU36" s="1715">
        <f t="shared" si="121"/>
        <v>0</v>
      </c>
      <c r="BV36" s="1715">
        <f t="shared" si="121"/>
        <v>0</v>
      </c>
      <c r="BW36" s="1742">
        <f t="shared" si="103"/>
        <v>0</v>
      </c>
      <c r="BX36" s="1690">
        <f t="shared" si="104"/>
        <v>0</v>
      </c>
      <c r="BY36" s="1742">
        <f t="shared" si="105"/>
        <v>0</v>
      </c>
      <c r="BZ36" s="1690">
        <f t="shared" si="106"/>
        <v>0</v>
      </c>
      <c r="CA36" s="1715" t="str">
        <f t="shared" si="107"/>
        <v/>
      </c>
      <c r="CB36" s="1722">
        <f t="shared" si="108"/>
        <v>0</v>
      </c>
      <c r="CC36" s="1715" t="str">
        <f t="shared" si="109"/>
        <v/>
      </c>
      <c r="CD36" s="1722">
        <f t="shared" si="110"/>
        <v>0</v>
      </c>
      <c r="CE36" s="1690" t="str">
        <f t="shared" si="117"/>
        <v/>
      </c>
    </row>
    <row r="37" spans="1:83">
      <c r="A37" s="1690" t="b">
        <f t="shared" si="66"/>
        <v>0</v>
      </c>
      <c r="B37" s="1702">
        <f>'Non-Isokinetic'!A25</f>
        <v>0</v>
      </c>
      <c r="C37" s="1753" t="e">
        <f t="shared" si="67"/>
        <v>#N/A</v>
      </c>
      <c r="D37" s="1705" t="e">
        <f t="shared" si="68"/>
        <v>#N/A</v>
      </c>
      <c r="E37" s="1744" t="e">
        <f t="shared" si="69"/>
        <v>#N/A</v>
      </c>
      <c r="F37" s="1759"/>
      <c r="G37" s="1755"/>
      <c r="H37" s="1755"/>
      <c r="I37" s="1765"/>
      <c r="J37" s="1759"/>
      <c r="K37" s="1755"/>
      <c r="L37" s="1755"/>
      <c r="M37" s="1765"/>
      <c r="N37" s="1773"/>
      <c r="O37" s="1692" t="str">
        <f t="shared" si="70"/>
        <v/>
      </c>
      <c r="P37" s="1692">
        <f t="shared" si="71"/>
        <v>0</v>
      </c>
      <c r="Q37" s="1692" t="str">
        <f t="shared" si="111"/>
        <v/>
      </c>
      <c r="U37" s="1900" t="str">
        <f t="shared" si="72"/>
        <v/>
      </c>
      <c r="V37" s="1904" t="str">
        <f>IF(COUNT(F37:I37)=0,"",Conc1(CB37,U$29,$AJ37,MolVol,Pitots!$E$49,Pitots!$F$49,V$31,V$32,VoF))</f>
        <v/>
      </c>
      <c r="W37" s="1841" t="str">
        <f t="shared" si="73"/>
        <v/>
      </c>
      <c r="X37" s="1909" t="str">
        <f t="shared" si="74"/>
        <v/>
      </c>
      <c r="Y37" s="1904" t="str">
        <f>IF(COUNT(J37:M37)=0,"",Conc1(CD37,X$29,$AJ37,MolVol,Pitots!$E$49,Pitots!$F$49,Y$31,Y$32,VoF))</f>
        <v/>
      </c>
      <c r="Z37" s="1841" t="str">
        <f t="shared" si="75"/>
        <v/>
      </c>
      <c r="AA37" s="1909" t="str">
        <f t="shared" si="112"/>
        <v/>
      </c>
      <c r="AB37" s="2358" t="str">
        <f t="shared" si="76"/>
        <v/>
      </c>
      <c r="AC37" s="1841" t="str">
        <f t="shared" si="77"/>
        <v/>
      </c>
      <c r="AD37" s="1912" t="str">
        <f t="shared" si="78"/>
        <v/>
      </c>
      <c r="AE37" s="1901" t="str">
        <f>IF(V37="","",MassRate(V37,$AJ37,MolVol,V$31,V$32,MRU,MRF,AverageFlowDry,FF))</f>
        <v/>
      </c>
      <c r="AF37" s="1912" t="str">
        <f t="shared" si="79"/>
        <v/>
      </c>
      <c r="AG37" s="1842" t="str">
        <f>IF(Y37="","",MassRate(Y37,$AJ37,MolVol,Y$31,Y$32,MRU,MRF,AverageFlowDry,FF))</f>
        <v/>
      </c>
      <c r="AH37" s="2265" t="str">
        <f t="shared" si="113"/>
        <v/>
      </c>
      <c r="AI37" s="1901" t="str">
        <f t="shared" si="114"/>
        <v/>
      </c>
      <c r="AJ37" s="1870" t="e">
        <f t="shared" si="80"/>
        <v>#N/A</v>
      </c>
      <c r="AK37" s="1744" t="e">
        <f t="shared" si="81"/>
        <v>#N/A</v>
      </c>
      <c r="AL37" s="1872" t="e">
        <f t="shared" si="82"/>
        <v>#N/A</v>
      </c>
      <c r="AM37" s="1721" t="str">
        <f t="shared" si="83"/>
        <v/>
      </c>
      <c r="AN37" s="1721" t="str">
        <f t="shared" si="84"/>
        <v/>
      </c>
      <c r="AO37" s="1721" t="str">
        <f t="shared" si="85"/>
        <v/>
      </c>
      <c r="AP37" s="1721" t="str">
        <f t="shared" si="86"/>
        <v/>
      </c>
      <c r="AQ37" s="1721" t="str">
        <f t="shared" si="87"/>
        <v/>
      </c>
      <c r="AR37" s="1721" t="str">
        <f t="shared" si="88"/>
        <v/>
      </c>
      <c r="AS37" s="1721" t="str">
        <f t="shared" si="89"/>
        <v/>
      </c>
      <c r="AT37" s="1721" t="str">
        <f t="shared" si="90"/>
        <v/>
      </c>
      <c r="AU37" s="1721" t="str">
        <f t="shared" si="91"/>
        <v/>
      </c>
      <c r="AV37" s="1721"/>
      <c r="AW37" s="1721" t="str">
        <f t="shared" si="92"/>
        <v/>
      </c>
      <c r="AX37" s="1721" t="str">
        <f t="shared" si="93"/>
        <v/>
      </c>
      <c r="AY37" s="1721" t="str">
        <f t="shared" si="94"/>
        <v/>
      </c>
      <c r="AZ37" s="1721" t="str">
        <f t="shared" si="95"/>
        <v/>
      </c>
      <c r="BA37" s="1721" t="str">
        <f t="shared" si="96"/>
        <v/>
      </c>
      <c r="BB37" s="1721" t="str">
        <f t="shared" si="97"/>
        <v/>
      </c>
      <c r="BC37" s="1721" t="str">
        <f t="shared" si="98"/>
        <v/>
      </c>
      <c r="BD37" s="1721" t="str">
        <f t="shared" si="99"/>
        <v/>
      </c>
      <c r="BE37" s="1739">
        <f t="shared" si="100"/>
        <v>0</v>
      </c>
      <c r="BF37" s="1721"/>
      <c r="BG37" s="1721">
        <f t="shared" ref="BG37:BN37" si="122">IF(F37="",0,IF(OR((AW37-$BE37)&lt;BO37,AM37="&lt;"),0,AW37-$BE37)*$AL37*1000/F29/$G31*1000000)</f>
        <v>0</v>
      </c>
      <c r="BH37" s="1721">
        <f t="shared" si="122"/>
        <v>0</v>
      </c>
      <c r="BI37" s="1721">
        <f t="shared" si="122"/>
        <v>0</v>
      </c>
      <c r="BJ37" s="1721">
        <f t="shared" si="122"/>
        <v>0</v>
      </c>
      <c r="BK37" s="1721">
        <f t="shared" si="122"/>
        <v>0</v>
      </c>
      <c r="BL37" s="1721">
        <f t="shared" si="122"/>
        <v>0</v>
      </c>
      <c r="BM37" s="1721">
        <f t="shared" si="122"/>
        <v>0</v>
      </c>
      <c r="BN37" s="1721">
        <f t="shared" si="122"/>
        <v>0</v>
      </c>
      <c r="BO37" s="1715">
        <f t="shared" ref="BO37:BV37" si="123">IF(F37="",0,$E37*$AL37*1000/$F29/$G31*1000000)</f>
        <v>0</v>
      </c>
      <c r="BP37" s="1715">
        <f t="shared" si="123"/>
        <v>0</v>
      </c>
      <c r="BQ37" s="1715">
        <f t="shared" si="123"/>
        <v>0</v>
      </c>
      <c r="BR37" s="1715">
        <f t="shared" si="123"/>
        <v>0</v>
      </c>
      <c r="BS37" s="1715">
        <f t="shared" si="123"/>
        <v>0</v>
      </c>
      <c r="BT37" s="1715">
        <f t="shared" si="123"/>
        <v>0</v>
      </c>
      <c r="BU37" s="1715">
        <f t="shared" si="123"/>
        <v>0</v>
      </c>
      <c r="BV37" s="1715">
        <f t="shared" si="123"/>
        <v>0</v>
      </c>
      <c r="BW37" s="1742">
        <f t="shared" si="103"/>
        <v>0</v>
      </c>
      <c r="BX37" s="1690">
        <f t="shared" si="104"/>
        <v>0</v>
      </c>
      <c r="BY37" s="1742">
        <f t="shared" si="105"/>
        <v>0</v>
      </c>
      <c r="BZ37" s="1690">
        <f t="shared" si="106"/>
        <v>0</v>
      </c>
      <c r="CA37" s="1715" t="str">
        <f t="shared" si="107"/>
        <v/>
      </c>
      <c r="CB37" s="1722">
        <f t="shared" si="108"/>
        <v>0</v>
      </c>
      <c r="CC37" s="1715" t="str">
        <f t="shared" si="109"/>
        <v/>
      </c>
      <c r="CD37" s="1722">
        <f t="shared" si="110"/>
        <v>0</v>
      </c>
      <c r="CE37" s="1690" t="str">
        <f t="shared" si="117"/>
        <v/>
      </c>
    </row>
    <row r="38" spans="1:83">
      <c r="A38" s="1690" t="b">
        <f t="shared" si="66"/>
        <v>0</v>
      </c>
      <c r="B38" s="1702">
        <f>'Non-Isokinetic'!A26</f>
        <v>0</v>
      </c>
      <c r="C38" s="1753" t="e">
        <f t="shared" si="67"/>
        <v>#N/A</v>
      </c>
      <c r="D38" s="1705" t="e">
        <f t="shared" si="68"/>
        <v>#N/A</v>
      </c>
      <c r="E38" s="1744" t="e">
        <f t="shared" si="69"/>
        <v>#N/A</v>
      </c>
      <c r="F38" s="1759"/>
      <c r="G38" s="1755"/>
      <c r="H38" s="1755"/>
      <c r="I38" s="1765"/>
      <c r="J38" s="1759"/>
      <c r="K38" s="1755"/>
      <c r="L38" s="1755"/>
      <c r="M38" s="1765"/>
      <c r="N38" s="1773"/>
      <c r="O38" s="1692" t="str">
        <f t="shared" si="70"/>
        <v/>
      </c>
      <c r="P38" s="1692">
        <f t="shared" si="71"/>
        <v>0</v>
      </c>
      <c r="Q38" s="1692" t="str">
        <f t="shared" si="111"/>
        <v/>
      </c>
      <c r="U38" s="1900" t="str">
        <f t="shared" si="72"/>
        <v/>
      </c>
      <c r="V38" s="1904" t="str">
        <f>IF(COUNT(F38:I38)=0,"",Conc1(CB38,U$29,$AJ38,MolVol,Pitots!$E$49,Pitots!$F$49,V$31,V$32,VoF))</f>
        <v/>
      </c>
      <c r="W38" s="1841" t="str">
        <f t="shared" si="73"/>
        <v/>
      </c>
      <c r="X38" s="1909" t="str">
        <f t="shared" si="74"/>
        <v/>
      </c>
      <c r="Y38" s="1904" t="str">
        <f>IF(COUNT(J38:M38)=0,"",Conc1(CD38,X$29,$AJ38,MolVol,Pitots!$E$49,Pitots!$F$49,Y$31,Y$32,VoF))</f>
        <v/>
      </c>
      <c r="Z38" s="1841" t="str">
        <f t="shared" si="75"/>
        <v/>
      </c>
      <c r="AA38" s="1909" t="str">
        <f t="shared" si="112"/>
        <v/>
      </c>
      <c r="AB38" s="2358" t="str">
        <f t="shared" si="76"/>
        <v/>
      </c>
      <c r="AC38" s="1841" t="str">
        <f t="shared" si="77"/>
        <v/>
      </c>
      <c r="AD38" s="1912" t="str">
        <f t="shared" si="78"/>
        <v/>
      </c>
      <c r="AE38" s="1901" t="str">
        <f>IF(V38="","",MassRate(V38,$AJ38,MolVol,V$31,V$32,MRU,MRF,AverageFlowDry,FF))</f>
        <v/>
      </c>
      <c r="AF38" s="1912" t="str">
        <f t="shared" si="79"/>
        <v/>
      </c>
      <c r="AG38" s="1842" t="str">
        <f>IF(Y38="","",MassRate(Y38,$AJ38,MolVol,Y$31,Y$32,MRU,MRF,AverageFlowDry,FF))</f>
        <v/>
      </c>
      <c r="AH38" s="2265" t="str">
        <f t="shared" si="113"/>
        <v/>
      </c>
      <c r="AI38" s="1901" t="str">
        <f t="shared" si="114"/>
        <v/>
      </c>
      <c r="AJ38" s="1870" t="e">
        <f t="shared" si="80"/>
        <v>#N/A</v>
      </c>
      <c r="AK38" s="1744" t="e">
        <f t="shared" si="81"/>
        <v>#N/A</v>
      </c>
      <c r="AL38" s="1872" t="e">
        <f t="shared" si="82"/>
        <v>#N/A</v>
      </c>
      <c r="AM38" s="1721" t="str">
        <f t="shared" si="83"/>
        <v/>
      </c>
      <c r="AN38" s="1721" t="str">
        <f t="shared" si="84"/>
        <v/>
      </c>
      <c r="AO38" s="1721" t="str">
        <f t="shared" si="85"/>
        <v/>
      </c>
      <c r="AP38" s="1721" t="str">
        <f t="shared" si="86"/>
        <v/>
      </c>
      <c r="AQ38" s="1721" t="str">
        <f t="shared" si="87"/>
        <v/>
      </c>
      <c r="AR38" s="1721" t="str">
        <f t="shared" si="88"/>
        <v/>
      </c>
      <c r="AS38" s="1721" t="str">
        <f t="shared" si="89"/>
        <v/>
      </c>
      <c r="AT38" s="1721" t="str">
        <f t="shared" si="90"/>
        <v/>
      </c>
      <c r="AU38" s="1721" t="str">
        <f t="shared" si="91"/>
        <v/>
      </c>
      <c r="AV38" s="1721"/>
      <c r="AW38" s="1721" t="str">
        <f t="shared" si="92"/>
        <v/>
      </c>
      <c r="AX38" s="1721" t="str">
        <f t="shared" si="93"/>
        <v/>
      </c>
      <c r="AY38" s="1721" t="str">
        <f t="shared" si="94"/>
        <v/>
      </c>
      <c r="AZ38" s="1721" t="str">
        <f t="shared" si="95"/>
        <v/>
      </c>
      <c r="BA38" s="1721" t="str">
        <f t="shared" si="96"/>
        <v/>
      </c>
      <c r="BB38" s="1721" t="str">
        <f t="shared" si="97"/>
        <v/>
      </c>
      <c r="BC38" s="1721" t="str">
        <f t="shared" si="98"/>
        <v/>
      </c>
      <c r="BD38" s="1721" t="str">
        <f t="shared" si="99"/>
        <v/>
      </c>
      <c r="BE38" s="1739">
        <f t="shared" si="100"/>
        <v>0</v>
      </c>
      <c r="BF38" s="1721"/>
      <c r="BG38" s="1721">
        <f t="shared" ref="BG38:BN38" si="124">IF(F38="",0,IF(OR((AW38-$BE38)&lt;BO38,AM38="&lt;"),0,AW38-$BE38)*$AL38*1000/F29/$G31*1000000)</f>
        <v>0</v>
      </c>
      <c r="BH38" s="1721">
        <f t="shared" si="124"/>
        <v>0</v>
      </c>
      <c r="BI38" s="1721">
        <f t="shared" si="124"/>
        <v>0</v>
      </c>
      <c r="BJ38" s="1721">
        <f t="shared" si="124"/>
        <v>0</v>
      </c>
      <c r="BK38" s="1721">
        <f t="shared" si="124"/>
        <v>0</v>
      </c>
      <c r="BL38" s="1721">
        <f t="shared" si="124"/>
        <v>0</v>
      </c>
      <c r="BM38" s="1721">
        <f t="shared" si="124"/>
        <v>0</v>
      </c>
      <c r="BN38" s="1721">
        <f t="shared" si="124"/>
        <v>0</v>
      </c>
      <c r="BO38" s="1715">
        <f t="shared" ref="BO38:BV38" si="125">IF(F38="",0,$E38*$AL38*1000/$F29/$G31*1000000)</f>
        <v>0</v>
      </c>
      <c r="BP38" s="1715">
        <f t="shared" si="125"/>
        <v>0</v>
      </c>
      <c r="BQ38" s="1715">
        <f t="shared" si="125"/>
        <v>0</v>
      </c>
      <c r="BR38" s="1715">
        <f t="shared" si="125"/>
        <v>0</v>
      </c>
      <c r="BS38" s="1715">
        <f t="shared" si="125"/>
        <v>0</v>
      </c>
      <c r="BT38" s="1715">
        <f t="shared" si="125"/>
        <v>0</v>
      </c>
      <c r="BU38" s="1715">
        <f t="shared" si="125"/>
        <v>0</v>
      </c>
      <c r="BV38" s="1715">
        <f t="shared" si="125"/>
        <v>0</v>
      </c>
      <c r="BW38" s="1742">
        <f t="shared" si="103"/>
        <v>0</v>
      </c>
      <c r="BX38" s="1690">
        <f t="shared" si="104"/>
        <v>0</v>
      </c>
      <c r="BY38" s="1742">
        <f t="shared" si="105"/>
        <v>0</v>
      </c>
      <c r="BZ38" s="1690">
        <f t="shared" si="106"/>
        <v>0</v>
      </c>
      <c r="CA38" s="1715" t="str">
        <f t="shared" si="107"/>
        <v/>
      </c>
      <c r="CB38" s="1722">
        <f t="shared" si="108"/>
        <v>0</v>
      </c>
      <c r="CC38" s="1715" t="str">
        <f t="shared" si="109"/>
        <v/>
      </c>
      <c r="CD38" s="1722">
        <f t="shared" si="110"/>
        <v>0</v>
      </c>
      <c r="CE38" s="1690" t="str">
        <f t="shared" si="117"/>
        <v/>
      </c>
    </row>
    <row r="39" spans="1:83">
      <c r="A39" s="1690" t="b">
        <f t="shared" si="66"/>
        <v>0</v>
      </c>
      <c r="B39" s="1702">
        <f>'Non-Isokinetic'!A27</f>
        <v>0</v>
      </c>
      <c r="C39" s="1753" t="e">
        <f t="shared" si="67"/>
        <v>#N/A</v>
      </c>
      <c r="D39" s="1705" t="e">
        <f t="shared" si="68"/>
        <v>#N/A</v>
      </c>
      <c r="E39" s="1744" t="e">
        <f t="shared" si="69"/>
        <v>#N/A</v>
      </c>
      <c r="F39" s="1759"/>
      <c r="G39" s="1755"/>
      <c r="H39" s="1755"/>
      <c r="I39" s="1765"/>
      <c r="J39" s="1759"/>
      <c r="K39" s="1755"/>
      <c r="L39" s="1755"/>
      <c r="M39" s="1765"/>
      <c r="N39" s="1773"/>
      <c r="O39" s="1692" t="str">
        <f t="shared" si="70"/>
        <v/>
      </c>
      <c r="P39" s="1692">
        <f t="shared" si="71"/>
        <v>0</v>
      </c>
      <c r="Q39" s="1692" t="str">
        <f t="shared" si="111"/>
        <v/>
      </c>
      <c r="U39" s="1900" t="str">
        <f t="shared" si="72"/>
        <v/>
      </c>
      <c r="V39" s="1904" t="str">
        <f>IF(COUNT(F39:I39)=0,"",Conc1(CB39,U$29,$AJ39,MolVol,Pitots!$E$49,Pitots!$F$49,V$31,V$32,VoF))</f>
        <v/>
      </c>
      <c r="W39" s="1841" t="str">
        <f t="shared" si="73"/>
        <v/>
      </c>
      <c r="X39" s="1909" t="str">
        <f t="shared" si="74"/>
        <v/>
      </c>
      <c r="Y39" s="1904" t="str">
        <f>IF(COUNT(J39:M39)=0,"",Conc1(CD39,X$29,$AJ39,MolVol,Pitots!$E$49,Pitots!$F$49,Y$31,Y$32,VoF))</f>
        <v/>
      </c>
      <c r="Z39" s="1841" t="str">
        <f t="shared" si="75"/>
        <v/>
      </c>
      <c r="AA39" s="1909" t="str">
        <f t="shared" si="112"/>
        <v/>
      </c>
      <c r="AB39" s="2358" t="str">
        <f t="shared" si="76"/>
        <v/>
      </c>
      <c r="AC39" s="1841" t="str">
        <f t="shared" si="77"/>
        <v/>
      </c>
      <c r="AD39" s="1912" t="str">
        <f t="shared" si="78"/>
        <v/>
      </c>
      <c r="AE39" s="1901" t="str">
        <f>IF(V39="","",MassRate(V39,$AJ39,MolVol,V$31,V$32,MRU,MRF,AverageFlowDry,FF))</f>
        <v/>
      </c>
      <c r="AF39" s="1912" t="str">
        <f t="shared" si="79"/>
        <v/>
      </c>
      <c r="AG39" s="1842" t="str">
        <f>IF(Y39="","",MassRate(Y39,$AJ39,MolVol,Y$31,Y$32,MRU,MRF,AverageFlowDry,FF))</f>
        <v/>
      </c>
      <c r="AH39" s="2265" t="str">
        <f t="shared" si="113"/>
        <v/>
      </c>
      <c r="AI39" s="1901" t="str">
        <f t="shared" si="114"/>
        <v/>
      </c>
      <c r="AJ39" s="1870" t="e">
        <f t="shared" si="80"/>
        <v>#N/A</v>
      </c>
      <c r="AK39" s="1744" t="e">
        <f t="shared" si="81"/>
        <v>#N/A</v>
      </c>
      <c r="AL39" s="1872" t="e">
        <f t="shared" si="82"/>
        <v>#N/A</v>
      </c>
      <c r="AM39" s="1721" t="str">
        <f t="shared" si="83"/>
        <v/>
      </c>
      <c r="AN39" s="1721" t="str">
        <f t="shared" si="84"/>
        <v/>
      </c>
      <c r="AO39" s="1721" t="str">
        <f t="shared" si="85"/>
        <v/>
      </c>
      <c r="AP39" s="1721" t="str">
        <f t="shared" si="86"/>
        <v/>
      </c>
      <c r="AQ39" s="1721" t="str">
        <f t="shared" si="87"/>
        <v/>
      </c>
      <c r="AR39" s="1721" t="str">
        <f t="shared" si="88"/>
        <v/>
      </c>
      <c r="AS39" s="1721" t="str">
        <f t="shared" si="89"/>
        <v/>
      </c>
      <c r="AT39" s="1721" t="str">
        <f t="shared" si="90"/>
        <v/>
      </c>
      <c r="AU39" s="1721" t="str">
        <f t="shared" si="91"/>
        <v/>
      </c>
      <c r="AV39" s="1721"/>
      <c r="AW39" s="1721" t="str">
        <f t="shared" si="92"/>
        <v/>
      </c>
      <c r="AX39" s="1721" t="str">
        <f t="shared" si="93"/>
        <v/>
      </c>
      <c r="AY39" s="1721" t="str">
        <f t="shared" si="94"/>
        <v/>
      </c>
      <c r="AZ39" s="1721" t="str">
        <f t="shared" si="95"/>
        <v/>
      </c>
      <c r="BA39" s="1721" t="str">
        <f t="shared" si="96"/>
        <v/>
      </c>
      <c r="BB39" s="1721" t="str">
        <f t="shared" si="97"/>
        <v/>
      </c>
      <c r="BC39" s="1721" t="str">
        <f t="shared" si="98"/>
        <v/>
      </c>
      <c r="BD39" s="1721" t="str">
        <f t="shared" si="99"/>
        <v/>
      </c>
      <c r="BE39" s="1739">
        <f t="shared" si="100"/>
        <v>0</v>
      </c>
      <c r="BF39" s="1721"/>
      <c r="BG39" s="1721">
        <f t="shared" ref="BG39:BN39" si="126">IF(F39="",0,IF(OR((AW39-$BE39)&lt;BO39,AM39="&lt;"),0,AW39-$BE39)*$AL39*1000/F29/$G31*1000000)</f>
        <v>0</v>
      </c>
      <c r="BH39" s="1721">
        <f t="shared" si="126"/>
        <v>0</v>
      </c>
      <c r="BI39" s="1721">
        <f t="shared" si="126"/>
        <v>0</v>
      </c>
      <c r="BJ39" s="1721">
        <f t="shared" si="126"/>
        <v>0</v>
      </c>
      <c r="BK39" s="1721">
        <f t="shared" si="126"/>
        <v>0</v>
      </c>
      <c r="BL39" s="1721">
        <f t="shared" si="126"/>
        <v>0</v>
      </c>
      <c r="BM39" s="1721">
        <f t="shared" si="126"/>
        <v>0</v>
      </c>
      <c r="BN39" s="1721">
        <f t="shared" si="126"/>
        <v>0</v>
      </c>
      <c r="BO39" s="1715">
        <f t="shared" ref="BO39:BV39" si="127">IF(F39="",0,$E39*$AL39*1000/$F29/$G31*1000000)</f>
        <v>0</v>
      </c>
      <c r="BP39" s="1715">
        <f t="shared" si="127"/>
        <v>0</v>
      </c>
      <c r="BQ39" s="1715">
        <f t="shared" si="127"/>
        <v>0</v>
      </c>
      <c r="BR39" s="1715">
        <f t="shared" si="127"/>
        <v>0</v>
      </c>
      <c r="BS39" s="1715">
        <f t="shared" si="127"/>
        <v>0</v>
      </c>
      <c r="BT39" s="1715">
        <f t="shared" si="127"/>
        <v>0</v>
      </c>
      <c r="BU39" s="1715">
        <f t="shared" si="127"/>
        <v>0</v>
      </c>
      <c r="BV39" s="1715">
        <f t="shared" si="127"/>
        <v>0</v>
      </c>
      <c r="BW39" s="1742">
        <f t="shared" si="103"/>
        <v>0</v>
      </c>
      <c r="BX39" s="1690">
        <f t="shared" si="104"/>
        <v>0</v>
      </c>
      <c r="BY39" s="1742">
        <f t="shared" si="105"/>
        <v>0</v>
      </c>
      <c r="BZ39" s="1690">
        <f t="shared" si="106"/>
        <v>0</v>
      </c>
      <c r="CA39" s="1715" t="str">
        <f t="shared" si="107"/>
        <v/>
      </c>
      <c r="CB39" s="1722">
        <f t="shared" si="108"/>
        <v>0</v>
      </c>
      <c r="CC39" s="1715" t="str">
        <f t="shared" si="109"/>
        <v/>
      </c>
      <c r="CD39" s="1722">
        <f t="shared" si="110"/>
        <v>0</v>
      </c>
      <c r="CE39" s="1690" t="str">
        <f t="shared" si="117"/>
        <v/>
      </c>
    </row>
    <row r="40" spans="1:83">
      <c r="A40" s="1690" t="b">
        <f t="shared" si="66"/>
        <v>0</v>
      </c>
      <c r="B40" s="1702">
        <f>'Non-Isokinetic'!A28</f>
        <v>0</v>
      </c>
      <c r="C40" s="1753" t="e">
        <f t="shared" si="67"/>
        <v>#N/A</v>
      </c>
      <c r="D40" s="1705" t="e">
        <f t="shared" si="68"/>
        <v>#N/A</v>
      </c>
      <c r="E40" s="1744" t="e">
        <f t="shared" si="69"/>
        <v>#N/A</v>
      </c>
      <c r="F40" s="1759"/>
      <c r="G40" s="1755"/>
      <c r="H40" s="1755"/>
      <c r="I40" s="1765"/>
      <c r="J40" s="1759"/>
      <c r="K40" s="1755"/>
      <c r="L40" s="1755"/>
      <c r="M40" s="1765"/>
      <c r="N40" s="1773"/>
      <c r="O40" s="1692" t="str">
        <f t="shared" si="70"/>
        <v/>
      </c>
      <c r="P40" s="1692">
        <f t="shared" si="71"/>
        <v>0</v>
      </c>
      <c r="Q40" s="1692" t="str">
        <f t="shared" si="111"/>
        <v/>
      </c>
      <c r="U40" s="1900" t="str">
        <f t="shared" si="72"/>
        <v/>
      </c>
      <c r="V40" s="1904" t="str">
        <f>IF(COUNT(F40:I40)=0,"",Conc1(CB40,U$29,$AJ40,MolVol,Pitots!$E$49,Pitots!$F$49,V$31,V$32,VoF))</f>
        <v/>
      </c>
      <c r="W40" s="1841" t="str">
        <f t="shared" si="73"/>
        <v/>
      </c>
      <c r="X40" s="1909" t="str">
        <f t="shared" si="74"/>
        <v/>
      </c>
      <c r="Y40" s="1904" t="str">
        <f>IF(COUNT(J40:M40)=0,"",Conc1(CD40,X$29,$AJ40,MolVol,Pitots!$E$49,Pitots!$F$49,Y$31,Y$32,VoF))</f>
        <v/>
      </c>
      <c r="Z40" s="1841" t="str">
        <f t="shared" si="75"/>
        <v/>
      </c>
      <c r="AA40" s="1909" t="str">
        <f t="shared" si="112"/>
        <v/>
      </c>
      <c r="AB40" s="2358" t="str">
        <f t="shared" si="76"/>
        <v/>
      </c>
      <c r="AC40" s="1841" t="str">
        <f t="shared" si="77"/>
        <v/>
      </c>
      <c r="AD40" s="1912" t="str">
        <f t="shared" si="78"/>
        <v/>
      </c>
      <c r="AE40" s="1901" t="str">
        <f>IF(V40="","",MassRate(V40,$AJ40,MolVol,V$31,V$32,MRU,MRF,AverageFlowDry,FF))</f>
        <v/>
      </c>
      <c r="AF40" s="1912" t="str">
        <f t="shared" si="79"/>
        <v/>
      </c>
      <c r="AG40" s="1842" t="str">
        <f>IF(Y40="","",MassRate(Y40,$AJ40,MolVol,Y$31,Y$32,MRU,MRF,AverageFlowDry,FF))</f>
        <v/>
      </c>
      <c r="AH40" s="2265" t="str">
        <f t="shared" si="113"/>
        <v/>
      </c>
      <c r="AI40" s="1901" t="str">
        <f t="shared" si="114"/>
        <v/>
      </c>
      <c r="AJ40" s="1870" t="e">
        <f t="shared" si="80"/>
        <v>#N/A</v>
      </c>
      <c r="AK40" s="1744" t="e">
        <f t="shared" si="81"/>
        <v>#N/A</v>
      </c>
      <c r="AL40" s="1872" t="e">
        <f t="shared" si="82"/>
        <v>#N/A</v>
      </c>
      <c r="AM40" s="1721" t="str">
        <f t="shared" si="83"/>
        <v/>
      </c>
      <c r="AN40" s="1721" t="str">
        <f t="shared" si="84"/>
        <v/>
      </c>
      <c r="AO40" s="1721" t="str">
        <f t="shared" si="85"/>
        <v/>
      </c>
      <c r="AP40" s="1721" t="str">
        <f t="shared" si="86"/>
        <v/>
      </c>
      <c r="AQ40" s="1721" t="str">
        <f t="shared" si="87"/>
        <v/>
      </c>
      <c r="AR40" s="1721" t="str">
        <f t="shared" si="88"/>
        <v/>
      </c>
      <c r="AS40" s="1721" t="str">
        <f t="shared" si="89"/>
        <v/>
      </c>
      <c r="AT40" s="1721" t="str">
        <f t="shared" si="90"/>
        <v/>
      </c>
      <c r="AU40" s="1721" t="str">
        <f t="shared" si="91"/>
        <v/>
      </c>
      <c r="AV40" s="1721"/>
      <c r="AW40" s="1721" t="str">
        <f t="shared" si="92"/>
        <v/>
      </c>
      <c r="AX40" s="1721" t="str">
        <f t="shared" si="93"/>
        <v/>
      </c>
      <c r="AY40" s="1721" t="str">
        <f t="shared" si="94"/>
        <v/>
      </c>
      <c r="AZ40" s="1721" t="str">
        <f t="shared" si="95"/>
        <v/>
      </c>
      <c r="BA40" s="1721" t="str">
        <f t="shared" si="96"/>
        <v/>
      </c>
      <c r="BB40" s="1721" t="str">
        <f t="shared" si="97"/>
        <v/>
      </c>
      <c r="BC40" s="1721" t="str">
        <f t="shared" si="98"/>
        <v/>
      </c>
      <c r="BD40" s="1721" t="str">
        <f t="shared" si="99"/>
        <v/>
      </c>
      <c r="BE40" s="1739">
        <f t="shared" si="100"/>
        <v>0</v>
      </c>
      <c r="BF40" s="1721"/>
      <c r="BG40" s="1721">
        <f t="shared" ref="BG40:BN40" si="128">IF(F40="",0,IF(OR((AW40-$BE40)&lt;BO40,AM40="&lt;"),0,AW40-$BE40)*$AL40*1000/F29/$G31*1000000)</f>
        <v>0</v>
      </c>
      <c r="BH40" s="1721">
        <f t="shared" si="128"/>
        <v>0</v>
      </c>
      <c r="BI40" s="1721">
        <f t="shared" si="128"/>
        <v>0</v>
      </c>
      <c r="BJ40" s="1721">
        <f t="shared" si="128"/>
        <v>0</v>
      </c>
      <c r="BK40" s="1721">
        <f t="shared" si="128"/>
        <v>0</v>
      </c>
      <c r="BL40" s="1721">
        <f t="shared" si="128"/>
        <v>0</v>
      </c>
      <c r="BM40" s="1721">
        <f t="shared" si="128"/>
        <v>0</v>
      </c>
      <c r="BN40" s="1721">
        <f t="shared" si="128"/>
        <v>0</v>
      </c>
      <c r="BO40" s="1715">
        <f t="shared" ref="BO40:BV40" si="129">IF(F40="",0,$E40*$AL40*1000/$F29/$G31*1000000)</f>
        <v>0</v>
      </c>
      <c r="BP40" s="1715">
        <f t="shared" si="129"/>
        <v>0</v>
      </c>
      <c r="BQ40" s="1715">
        <f t="shared" si="129"/>
        <v>0</v>
      </c>
      <c r="BR40" s="1715">
        <f t="shared" si="129"/>
        <v>0</v>
      </c>
      <c r="BS40" s="1715">
        <f t="shared" si="129"/>
        <v>0</v>
      </c>
      <c r="BT40" s="1715">
        <f t="shared" si="129"/>
        <v>0</v>
      </c>
      <c r="BU40" s="1715">
        <f t="shared" si="129"/>
        <v>0</v>
      </c>
      <c r="BV40" s="1715">
        <f t="shared" si="129"/>
        <v>0</v>
      </c>
      <c r="BW40" s="1742">
        <f t="shared" si="103"/>
        <v>0</v>
      </c>
      <c r="BX40" s="1690">
        <f t="shared" si="104"/>
        <v>0</v>
      </c>
      <c r="BY40" s="1742">
        <f t="shared" si="105"/>
        <v>0</v>
      </c>
      <c r="BZ40" s="1690">
        <f t="shared" si="106"/>
        <v>0</v>
      </c>
      <c r="CA40" s="1715" t="str">
        <f t="shared" si="107"/>
        <v/>
      </c>
      <c r="CB40" s="1722">
        <f t="shared" si="108"/>
        <v>0</v>
      </c>
      <c r="CC40" s="1715" t="str">
        <f t="shared" si="109"/>
        <v/>
      </c>
      <c r="CD40" s="1722">
        <f t="shared" si="110"/>
        <v>0</v>
      </c>
      <c r="CE40" s="1690" t="str">
        <f t="shared" si="117"/>
        <v/>
      </c>
    </row>
    <row r="41" spans="1:83">
      <c r="A41" s="1690" t="b">
        <f t="shared" si="66"/>
        <v>0</v>
      </c>
      <c r="B41" s="1703">
        <f>'Non-Isokinetic'!A29</f>
        <v>0</v>
      </c>
      <c r="C41" s="1754" t="e">
        <f t="shared" si="67"/>
        <v>#N/A</v>
      </c>
      <c r="D41" s="1706" t="e">
        <f t="shared" si="68"/>
        <v>#N/A</v>
      </c>
      <c r="E41" s="1745" t="e">
        <f t="shared" si="69"/>
        <v>#N/A</v>
      </c>
      <c r="F41" s="1761"/>
      <c r="G41" s="1762"/>
      <c r="H41" s="1762"/>
      <c r="I41" s="1766"/>
      <c r="J41" s="1761"/>
      <c r="K41" s="1762"/>
      <c r="L41" s="1762"/>
      <c r="M41" s="1766"/>
      <c r="N41" s="1774"/>
      <c r="O41" s="1692" t="str">
        <f t="shared" si="70"/>
        <v/>
      </c>
      <c r="P41" s="1692">
        <f t="shared" si="71"/>
        <v>0</v>
      </c>
      <c r="Q41" s="1692" t="str">
        <f t="shared" si="111"/>
        <v/>
      </c>
      <c r="U41" s="1902" t="str">
        <f t="shared" si="72"/>
        <v/>
      </c>
      <c r="V41" s="1725" t="str">
        <f>IF(COUNT(F41:I41)=0,"",Conc1(CB41,U$29,$AJ41,MolVol,Pitots!$E$49,Pitots!$F$49,V$31,V$32,VoF))</f>
        <v/>
      </c>
      <c r="W41" s="1724" t="str">
        <f t="shared" si="73"/>
        <v/>
      </c>
      <c r="X41" s="1723" t="str">
        <f t="shared" si="74"/>
        <v/>
      </c>
      <c r="Y41" s="1725" t="str">
        <f>IF(COUNT(J41:M41)=0,"",Conc1(CD41,X$29,$AJ41,MolVol,Pitots!$E$49,Pitots!$F$49,Y$31,Y$32,VoF))</f>
        <v/>
      </c>
      <c r="Z41" s="2271" t="str">
        <f t="shared" si="75"/>
        <v/>
      </c>
      <c r="AA41" s="1723" t="str">
        <f t="shared" si="112"/>
        <v/>
      </c>
      <c r="AB41" s="2357" t="str">
        <f t="shared" si="76"/>
        <v/>
      </c>
      <c r="AC41" s="1724" t="str">
        <f t="shared" si="77"/>
        <v/>
      </c>
      <c r="AD41" s="1913" t="str">
        <f t="shared" si="78"/>
        <v/>
      </c>
      <c r="AE41" s="1903" t="str">
        <f>IF(V41="","",MassRate(V41,$AJ41,MolVol,V$31,V$32,MRU,MRF,AverageFlowDry,FF))</f>
        <v/>
      </c>
      <c r="AF41" s="1913" t="str">
        <f t="shared" si="79"/>
        <v/>
      </c>
      <c r="AG41" s="2263" t="str">
        <f>IF(Y41="","",MassRate(Y41,$AJ41,MolVol,Y$31,Y$32,MRU,MRF,AverageFlowDry,FF))</f>
        <v/>
      </c>
      <c r="AH41" s="2266" t="str">
        <f t="shared" si="113"/>
        <v/>
      </c>
      <c r="AI41" s="2332" t="str">
        <f t="shared" si="114"/>
        <v/>
      </c>
      <c r="AJ41" s="1706" t="e">
        <f t="shared" si="80"/>
        <v>#N/A</v>
      </c>
      <c r="AK41" s="1745" t="e">
        <f t="shared" si="81"/>
        <v>#N/A</v>
      </c>
      <c r="AL41" s="1873" t="e">
        <f t="shared" si="82"/>
        <v>#N/A</v>
      </c>
      <c r="AM41" s="1723" t="str">
        <f t="shared" si="83"/>
        <v/>
      </c>
      <c r="AN41" s="1723" t="str">
        <f t="shared" si="84"/>
        <v/>
      </c>
      <c r="AO41" s="1723" t="str">
        <f t="shared" si="85"/>
        <v/>
      </c>
      <c r="AP41" s="1723" t="str">
        <f t="shared" si="86"/>
        <v/>
      </c>
      <c r="AQ41" s="1723" t="str">
        <f t="shared" si="87"/>
        <v/>
      </c>
      <c r="AR41" s="1723" t="str">
        <f t="shared" si="88"/>
        <v/>
      </c>
      <c r="AS41" s="1723" t="str">
        <f t="shared" si="89"/>
        <v/>
      </c>
      <c r="AT41" s="1723" t="str">
        <f t="shared" si="90"/>
        <v/>
      </c>
      <c r="AU41" s="1723" t="str">
        <f t="shared" si="91"/>
        <v/>
      </c>
      <c r="AV41" s="1723"/>
      <c r="AW41" s="1723" t="str">
        <f t="shared" si="92"/>
        <v/>
      </c>
      <c r="AX41" s="1723" t="str">
        <f t="shared" si="93"/>
        <v/>
      </c>
      <c r="AY41" s="1723" t="str">
        <f t="shared" si="94"/>
        <v/>
      </c>
      <c r="AZ41" s="1723" t="str">
        <f t="shared" si="95"/>
        <v/>
      </c>
      <c r="BA41" s="1723" t="str">
        <f t="shared" si="96"/>
        <v/>
      </c>
      <c r="BB41" s="1723" t="str">
        <f t="shared" si="97"/>
        <v/>
      </c>
      <c r="BC41" s="1723" t="str">
        <f t="shared" si="98"/>
        <v/>
      </c>
      <c r="BD41" s="1723" t="str">
        <f t="shared" si="99"/>
        <v/>
      </c>
      <c r="BE41" s="1740">
        <f t="shared" si="100"/>
        <v>0</v>
      </c>
      <c r="BF41" s="1723"/>
      <c r="BG41" s="1723">
        <f t="shared" ref="BG41:BN41" si="130">IF(F41="",0,IF(OR((AW41-$BE41)&lt;BO41,AM41="&lt;"),0,AW41-$BE41)*$AL41*1000/F29/$G31*1000000)</f>
        <v>0</v>
      </c>
      <c r="BH41" s="1723">
        <f t="shared" si="130"/>
        <v>0</v>
      </c>
      <c r="BI41" s="1723">
        <f t="shared" si="130"/>
        <v>0</v>
      </c>
      <c r="BJ41" s="1723">
        <f t="shared" si="130"/>
        <v>0</v>
      </c>
      <c r="BK41" s="1723">
        <f t="shared" si="130"/>
        <v>0</v>
      </c>
      <c r="BL41" s="1723">
        <f t="shared" si="130"/>
        <v>0</v>
      </c>
      <c r="BM41" s="1723">
        <f t="shared" si="130"/>
        <v>0</v>
      </c>
      <c r="BN41" s="1723">
        <f t="shared" si="130"/>
        <v>0</v>
      </c>
      <c r="BO41" s="1716">
        <f t="shared" ref="BO41:BV41" si="131">IF(F41="",0,$E41*$AL41*1000/$F29/$G31*1000000)</f>
        <v>0</v>
      </c>
      <c r="BP41" s="1716">
        <f t="shared" si="131"/>
        <v>0</v>
      </c>
      <c r="BQ41" s="1716">
        <f t="shared" si="131"/>
        <v>0</v>
      </c>
      <c r="BR41" s="1716">
        <f t="shared" si="131"/>
        <v>0</v>
      </c>
      <c r="BS41" s="1716">
        <f t="shared" si="131"/>
        <v>0</v>
      </c>
      <c r="BT41" s="1716">
        <f t="shared" si="131"/>
        <v>0</v>
      </c>
      <c r="BU41" s="1716">
        <f t="shared" si="131"/>
        <v>0</v>
      </c>
      <c r="BV41" s="1716">
        <f t="shared" si="131"/>
        <v>0</v>
      </c>
      <c r="BW41" s="1743">
        <f t="shared" si="103"/>
        <v>0</v>
      </c>
      <c r="BX41" s="1717">
        <f t="shared" si="104"/>
        <v>0</v>
      </c>
      <c r="BY41" s="1743">
        <f t="shared" si="105"/>
        <v>0</v>
      </c>
      <c r="BZ41" s="1717">
        <f t="shared" si="106"/>
        <v>0</v>
      </c>
      <c r="CA41" s="1716" t="str">
        <f t="shared" si="107"/>
        <v/>
      </c>
      <c r="CB41" s="1725">
        <f t="shared" si="108"/>
        <v>0</v>
      </c>
      <c r="CC41" s="1716" t="str">
        <f t="shared" si="109"/>
        <v/>
      </c>
      <c r="CD41" s="1725">
        <f t="shared" si="110"/>
        <v>0</v>
      </c>
      <c r="CE41" s="1690" t="str">
        <f t="shared" si="117"/>
        <v/>
      </c>
    </row>
    <row r="42" spans="1:83">
      <c r="A42" s="1690" t="b">
        <f>A43</f>
        <v>0</v>
      </c>
      <c r="B42" s="1713"/>
      <c r="C42" s="1713"/>
      <c r="D42" s="1713"/>
      <c r="E42" s="1713"/>
      <c r="F42" s="1713"/>
      <c r="G42" s="1713"/>
      <c r="H42" s="1713"/>
      <c r="I42" s="1713"/>
      <c r="J42" s="1713"/>
      <c r="K42" s="1713"/>
      <c r="L42" s="1713"/>
      <c r="M42" s="1713"/>
      <c r="N42" s="1713"/>
      <c r="U42" s="1696"/>
      <c r="AH42" s="1690"/>
      <c r="AI42" s="1690"/>
      <c r="AJ42" s="1697"/>
      <c r="AK42" s="1698"/>
      <c r="AL42" s="1700"/>
      <c r="BM42" s="1690"/>
      <c r="BN42" s="1690"/>
      <c r="BU42" s="1698"/>
      <c r="BV42" s="1698"/>
    </row>
    <row r="43" spans="1:83">
      <c r="A43" s="1690" t="b">
        <f>IF(COUNTIF(A50:A58,TRUE)&gt;0,TRUE,FALSE)</f>
        <v>0</v>
      </c>
      <c r="B43" s="1707"/>
      <c r="C43" s="1691"/>
      <c r="D43" s="1691"/>
      <c r="E43" s="1691"/>
      <c r="F43" s="2818" t="s">
        <v>1705</v>
      </c>
      <c r="G43" s="2818"/>
      <c r="H43" s="2818"/>
      <c r="I43" s="2818"/>
      <c r="J43" s="2818" t="s">
        <v>1703</v>
      </c>
      <c r="K43" s="2818"/>
      <c r="L43" s="2818"/>
      <c r="M43" s="2818"/>
      <c r="N43" s="1689" t="s">
        <v>1704</v>
      </c>
      <c r="O43" s="1697"/>
      <c r="P43" s="1697"/>
      <c r="Q43" s="1697"/>
      <c r="U43" s="2810" t="s">
        <v>1718</v>
      </c>
      <c r="V43" s="2805"/>
      <c r="W43" s="2805"/>
      <c r="X43" s="2805"/>
      <c r="Y43" s="2805"/>
      <c r="Z43" s="2805"/>
      <c r="AA43" s="2805"/>
      <c r="AB43" s="2805"/>
      <c r="AC43" s="2806"/>
      <c r="AD43" s="2805" t="s">
        <v>1836</v>
      </c>
      <c r="AE43" s="2805"/>
      <c r="AF43" s="2805"/>
      <c r="AG43" s="2805"/>
      <c r="AH43" s="2805"/>
      <c r="AI43" s="2806"/>
      <c r="AJ43" s="1692"/>
      <c r="AK43" s="1692"/>
      <c r="BM43" s="1690"/>
      <c r="BN43" s="1690"/>
      <c r="BO43" s="1690"/>
      <c r="BP43" s="1690"/>
      <c r="BQ43" s="1690"/>
      <c r="BR43" s="1690"/>
      <c r="BS43" s="1690"/>
      <c r="BT43" s="1690"/>
    </row>
    <row r="44" spans="1:83" ht="15">
      <c r="A44" s="1690" t="b">
        <f>IF(COUNTIF(A50:A58,TRUE)&gt;0,TRUE,FALSE)</f>
        <v>0</v>
      </c>
      <c r="B44" s="1726" t="s">
        <v>1760</v>
      </c>
      <c r="C44" s="1693"/>
      <c r="D44" s="1688"/>
      <c r="E44" s="1688"/>
      <c r="F44" s="1697" t="s">
        <v>1768</v>
      </c>
      <c r="G44" s="1697" t="s">
        <v>1769</v>
      </c>
      <c r="H44" s="1697" t="s">
        <v>1770</v>
      </c>
      <c r="I44" s="1697" t="s">
        <v>1771</v>
      </c>
      <c r="J44" s="1697" t="s">
        <v>1768</v>
      </c>
      <c r="K44" s="1697" t="s">
        <v>1769</v>
      </c>
      <c r="L44" s="1697" t="s">
        <v>1770</v>
      </c>
      <c r="M44" s="1697" t="s">
        <v>1771</v>
      </c>
      <c r="N44" s="1697" t="s">
        <v>1704</v>
      </c>
      <c r="O44" s="2821" t="s">
        <v>1779</v>
      </c>
      <c r="P44" s="2820" t="s">
        <v>1780</v>
      </c>
      <c r="Q44" s="2820" t="s">
        <v>1781</v>
      </c>
      <c r="U44" s="2810" t="s">
        <v>1719</v>
      </c>
      <c r="V44" s="2805"/>
      <c r="W44" s="2806"/>
      <c r="X44" s="2810" t="s">
        <v>1720</v>
      </c>
      <c r="Y44" s="2805"/>
      <c r="Z44" s="2806"/>
      <c r="AA44" s="2811" t="s">
        <v>1242</v>
      </c>
      <c r="AB44" s="2812"/>
      <c r="AC44" s="2813"/>
      <c r="AD44" s="2809" t="s">
        <v>1719</v>
      </c>
      <c r="AE44" s="2809"/>
      <c r="AF44" s="2809" t="s">
        <v>1720</v>
      </c>
      <c r="AG44" s="2809"/>
      <c r="AH44" s="2807" t="s">
        <v>1242</v>
      </c>
      <c r="AI44" s="2808"/>
      <c r="AJ44" s="1697"/>
      <c r="AK44" s="1697"/>
      <c r="BM44" s="1690"/>
      <c r="BN44" s="1690"/>
      <c r="BO44" s="1690"/>
      <c r="BP44" s="1690"/>
      <c r="BQ44" s="1690"/>
      <c r="BR44" s="1690"/>
      <c r="BS44" s="1690"/>
      <c r="BT44" s="1690"/>
    </row>
    <row r="45" spans="1:83" ht="13.5" customHeight="1">
      <c r="A45" s="1690" t="b">
        <f>IF(COUNTIF(A50:A58,TRUE)&gt;0,TRUE,FALSE)</f>
        <v>0</v>
      </c>
      <c r="B45" s="1691"/>
      <c r="C45" s="1748"/>
      <c r="D45" s="1748"/>
      <c r="E45" s="1749" t="s">
        <v>1766</v>
      </c>
      <c r="F45" s="1756"/>
      <c r="G45" s="1757"/>
      <c r="H45" s="1757"/>
      <c r="I45" s="1764"/>
      <c r="J45" s="1756"/>
      <c r="K45" s="1757"/>
      <c r="L45" s="1757"/>
      <c r="M45" s="1758"/>
      <c r="N45" s="1768"/>
      <c r="O45" s="2821"/>
      <c r="P45" s="2820"/>
      <c r="Q45" s="2820"/>
      <c r="U45" s="2816" t="s">
        <v>1717</v>
      </c>
      <c r="V45" s="2816"/>
      <c r="W45" s="2218"/>
      <c r="X45" s="2816" t="s">
        <v>1717</v>
      </c>
      <c r="Y45" s="2816"/>
      <c r="Z45" s="2218"/>
      <c r="AA45" s="2278"/>
      <c r="AB45" s="1915"/>
      <c r="AC45" s="1916"/>
      <c r="AD45" s="2274"/>
      <c r="AE45" s="2274"/>
      <c r="AF45" s="2274"/>
      <c r="AG45" s="2274"/>
      <c r="AH45" s="2278"/>
      <c r="AI45" s="1916"/>
      <c r="AJ45" s="1697"/>
      <c r="AK45" s="1697"/>
      <c r="BM45" s="1690"/>
      <c r="BN45" s="1690"/>
      <c r="BO45" s="1690"/>
      <c r="BP45" s="1690"/>
      <c r="BQ45" s="1690"/>
      <c r="BR45" s="1690"/>
      <c r="BS45" s="1690"/>
      <c r="BT45" s="1690"/>
    </row>
    <row r="46" spans="1:83" ht="13.5" customHeight="1">
      <c r="A46" s="1690" t="b">
        <f>IF(COUNTIF(A50:A58,TRUE)&gt;0,TRUE,FALSE)</f>
        <v>0</v>
      </c>
      <c r="B46" s="1802">
        <f>'Non-Isokinetic'!A33</f>
        <v>0</v>
      </c>
      <c r="C46" s="1748"/>
      <c r="D46" s="1748"/>
      <c r="E46" s="1749" t="s">
        <v>1765</v>
      </c>
      <c r="F46" s="1759" t="str">
        <f>IF(F48="µg",1000,"")</f>
        <v/>
      </c>
      <c r="G46" s="1755" t="str">
        <f>IF(F48="µg",1000,"")</f>
        <v/>
      </c>
      <c r="H46" s="1755" t="str">
        <f>IF(F48="µg",1000,"")</f>
        <v/>
      </c>
      <c r="I46" s="1765" t="str">
        <f>IF(F48="µg",1000,"")</f>
        <v/>
      </c>
      <c r="J46" s="1759" t="str">
        <f>IF(F48="µg",1000,"")</f>
        <v/>
      </c>
      <c r="K46" s="1755" t="str">
        <f>IF(F48="µg",1000,"")</f>
        <v/>
      </c>
      <c r="L46" s="1755" t="str">
        <f>IF(F48="µg",1000,"")</f>
        <v/>
      </c>
      <c r="M46" s="1760" t="str">
        <f>IF(F48="µg",1000,"")</f>
        <v/>
      </c>
      <c r="N46" s="1769" t="str">
        <f>IF(F48="µg",1000,"")</f>
        <v/>
      </c>
      <c r="O46" s="1695"/>
      <c r="P46" s="1695"/>
      <c r="Q46" s="1695"/>
      <c r="U46" s="2819" t="e">
        <f>'Non-Isokinetic'!C42</f>
        <v>#VALUE!</v>
      </c>
      <c r="V46" s="2819"/>
      <c r="W46" s="1719"/>
      <c r="X46" s="2819" t="e">
        <f>'Non-Isokinetic'!D42</f>
        <v>#VALUE!</v>
      </c>
      <c r="Y46" s="2819"/>
      <c r="Z46" s="1719"/>
      <c r="AA46" s="2260"/>
      <c r="AB46" s="1894"/>
      <c r="AC46" s="2273"/>
      <c r="AD46" s="1712"/>
      <c r="AE46" s="1914" t="str">
        <f>VND</f>
        <v/>
      </c>
      <c r="AF46" s="1915"/>
      <c r="AG46" s="1916"/>
      <c r="AH46" s="2260"/>
      <c r="AI46" s="2273"/>
      <c r="AJ46" s="1697"/>
      <c r="AK46" s="1697"/>
      <c r="AM46" s="2816" t="s">
        <v>1743</v>
      </c>
      <c r="AN46" s="2816"/>
      <c r="AO46" s="2816"/>
      <c r="AP46" s="2816"/>
      <c r="AQ46" s="2816"/>
      <c r="AR46" s="2816"/>
      <c r="AS46" s="2816"/>
      <c r="AT46" s="2816"/>
      <c r="AU46" s="2816"/>
      <c r="AV46" s="1734"/>
      <c r="AW46" s="2816" t="str">
        <f>"Lab result (concentration - analysed compound) "&amp;F48</f>
        <v xml:space="preserve">Lab result (concentration - analysed compound) </v>
      </c>
      <c r="AX46" s="2816"/>
      <c r="AY46" s="2816"/>
      <c r="AZ46" s="2816"/>
      <c r="BA46" s="2816"/>
      <c r="BB46" s="2816"/>
      <c r="BC46" s="2816"/>
      <c r="BD46" s="2816"/>
      <c r="BE46" s="2816"/>
      <c r="BF46" s="1734"/>
      <c r="BG46" s="2816" t="s">
        <v>1772</v>
      </c>
      <c r="BH46" s="2816"/>
      <c r="BI46" s="2816"/>
      <c r="BJ46" s="2816"/>
      <c r="BK46" s="2816"/>
      <c r="BL46" s="2816"/>
      <c r="BM46" s="2816"/>
      <c r="BN46" s="2816"/>
      <c r="BO46" s="2816" t="s">
        <v>1774</v>
      </c>
      <c r="BP46" s="2816"/>
      <c r="BQ46" s="2816"/>
      <c r="BR46" s="2816"/>
      <c r="BS46" s="2816"/>
      <c r="BT46" s="2816"/>
      <c r="BU46" s="2816"/>
      <c r="BV46" s="2816"/>
      <c r="BW46" s="2816" t="s">
        <v>1705</v>
      </c>
      <c r="BX46" s="2816"/>
      <c r="BY46" s="2814" t="s">
        <v>1703</v>
      </c>
      <c r="BZ46" s="2814"/>
      <c r="CA46" s="2814" t="s">
        <v>1742</v>
      </c>
      <c r="CB46" s="2814"/>
      <c r="CC46" s="2814"/>
      <c r="CD46" s="2814"/>
      <c r="CE46" s="1690" t="s">
        <v>1778</v>
      </c>
    </row>
    <row r="47" spans="1:83" ht="13.5" customHeight="1">
      <c r="A47" s="1690" t="b">
        <f>IF(COUNTIF(A50:A58,TRUE)&gt;0,TRUE,FALSE)</f>
        <v>0</v>
      </c>
      <c r="B47" s="1691"/>
      <c r="C47" s="1748"/>
      <c r="D47" s="1748"/>
      <c r="E47" s="1749" t="s">
        <v>1764</v>
      </c>
      <c r="F47" s="1761">
        <v>1</v>
      </c>
      <c r="G47" s="1762">
        <v>1</v>
      </c>
      <c r="H47" s="1762">
        <v>1</v>
      </c>
      <c r="I47" s="1766">
        <v>1</v>
      </c>
      <c r="J47" s="1761">
        <v>1</v>
      </c>
      <c r="K47" s="1762">
        <v>1</v>
      </c>
      <c r="L47" s="1762">
        <v>1</v>
      </c>
      <c r="M47" s="1763">
        <v>1</v>
      </c>
      <c r="N47" s="1770">
        <v>1</v>
      </c>
      <c r="O47" s="1695"/>
      <c r="P47" s="1695"/>
      <c r="Q47" s="1695"/>
      <c r="U47" s="1900"/>
      <c r="V47" s="1905"/>
      <c r="W47" s="1838" t="s">
        <v>97</v>
      </c>
      <c r="X47" s="1907"/>
      <c r="Y47" s="1905"/>
      <c r="Z47" s="1838" t="s">
        <v>97</v>
      </c>
      <c r="AA47" s="1917"/>
      <c r="AB47" s="2275"/>
      <c r="AC47" s="2279" t="s">
        <v>97</v>
      </c>
      <c r="AD47" s="1917"/>
      <c r="AE47" s="1918"/>
      <c r="AF47" s="1918"/>
      <c r="AG47" s="1919"/>
      <c r="AH47" s="1917"/>
      <c r="AI47" s="1919"/>
      <c r="AJ47" s="1835"/>
      <c r="AK47" s="2815" t="s">
        <v>1707</v>
      </c>
      <c r="AL47" s="2815" t="s">
        <v>1767</v>
      </c>
      <c r="AM47" s="2816" t="s">
        <v>1705</v>
      </c>
      <c r="AN47" s="2816"/>
      <c r="AO47" s="2816"/>
      <c r="AP47" s="2816"/>
      <c r="AQ47" s="2816" t="s">
        <v>1703</v>
      </c>
      <c r="AR47" s="2816"/>
      <c r="AS47" s="2816"/>
      <c r="AT47" s="2816"/>
      <c r="AU47" s="1733" t="s">
        <v>1704</v>
      </c>
      <c r="AV47" s="1733"/>
      <c r="AW47" s="2816" t="s">
        <v>1705</v>
      </c>
      <c r="AX47" s="2816"/>
      <c r="AY47" s="2816"/>
      <c r="AZ47" s="2816"/>
      <c r="BA47" s="2816" t="s">
        <v>1703</v>
      </c>
      <c r="BB47" s="2816"/>
      <c r="BC47" s="2816"/>
      <c r="BD47" s="2816"/>
      <c r="BE47" s="1733" t="s">
        <v>1704</v>
      </c>
      <c r="BF47" s="1733"/>
      <c r="BG47" s="2816" t="s">
        <v>1705</v>
      </c>
      <c r="BH47" s="2816"/>
      <c r="BI47" s="2816"/>
      <c r="BJ47" s="2816"/>
      <c r="BK47" s="2816" t="s">
        <v>1703</v>
      </c>
      <c r="BL47" s="2816"/>
      <c r="BM47" s="2816"/>
      <c r="BN47" s="2816"/>
      <c r="BO47" s="2816" t="s">
        <v>1705</v>
      </c>
      <c r="BP47" s="2816"/>
      <c r="BQ47" s="2816"/>
      <c r="BR47" s="2816"/>
      <c r="BS47" s="2816" t="s">
        <v>1703</v>
      </c>
      <c r="BT47" s="2816"/>
      <c r="BU47" s="2816"/>
      <c r="BV47" s="2816"/>
      <c r="BW47" s="1732" t="s">
        <v>1741</v>
      </c>
      <c r="BX47" s="1736" t="s">
        <v>1740</v>
      </c>
      <c r="BY47" s="1737" t="s">
        <v>1741</v>
      </c>
      <c r="BZ47" s="1736" t="s">
        <v>1740</v>
      </c>
      <c r="CA47" s="2817" t="s">
        <v>1738</v>
      </c>
      <c r="CB47" s="2817"/>
      <c r="CC47" s="2810" t="s">
        <v>1739</v>
      </c>
      <c r="CD47" s="2806"/>
    </row>
    <row r="48" spans="1:83">
      <c r="A48" s="1690" t="b">
        <f>IF(COUNTIF(A50:A58,TRUE)&gt;0,TRUE,FALSE)</f>
        <v>0</v>
      </c>
      <c r="B48" s="1691" t="s">
        <v>1284</v>
      </c>
      <c r="C48" s="1748"/>
      <c r="D48" s="1750"/>
      <c r="E48" s="1749" t="s">
        <v>1775</v>
      </c>
      <c r="F48" s="1771"/>
      <c r="G48" s="1775" t="e">
        <f>VLOOKUP(F48,$C$1:$D$5,2,FALSE)</f>
        <v>#N/A</v>
      </c>
      <c r="H48" s="1776"/>
      <c r="I48" s="1776"/>
      <c r="J48" s="1776"/>
      <c r="K48" s="1776"/>
      <c r="L48" s="1776"/>
      <c r="M48" s="1776"/>
      <c r="N48" s="1777"/>
      <c r="O48" s="1692"/>
      <c r="P48" s="1697" t="s">
        <v>1708</v>
      </c>
      <c r="Q48" s="1697"/>
      <c r="U48" s="2041"/>
      <c r="V48" s="2042" t="str">
        <f>CU</f>
        <v>mg/m³</v>
      </c>
      <c r="W48" s="2337" t="str">
        <f>V48</f>
        <v>mg/m³</v>
      </c>
      <c r="X48" s="2041"/>
      <c r="Y48" s="2042" t="str">
        <f>CU</f>
        <v>mg/m³</v>
      </c>
      <c r="Z48" s="2337" t="str">
        <f>Y48</f>
        <v>mg/m³</v>
      </c>
      <c r="AA48" s="2339"/>
      <c r="AB48" s="2340" t="str">
        <f>Z48</f>
        <v>mg/m³</v>
      </c>
      <c r="AC48" s="2340" t="str">
        <f>V48</f>
        <v>mg/m³</v>
      </c>
      <c r="AD48" s="2043"/>
      <c r="AE48" s="2044" t="str">
        <f>MRU</f>
        <v>g/min</v>
      </c>
      <c r="AF48" s="2043"/>
      <c r="AG48" s="2044" t="str">
        <f>MRU</f>
        <v>g/min</v>
      </c>
      <c r="AH48" s="2267"/>
      <c r="AI48" s="2268" t="str">
        <f>MRU</f>
        <v>g/min</v>
      </c>
      <c r="AJ48" s="1835" t="s">
        <v>1706</v>
      </c>
      <c r="AK48" s="2815"/>
      <c r="AL48" s="2815"/>
      <c r="AM48" s="1734" t="s">
        <v>1768</v>
      </c>
      <c r="AN48" s="1734" t="s">
        <v>1769</v>
      </c>
      <c r="AO48" s="1734" t="s">
        <v>1770</v>
      </c>
      <c r="AP48" s="1734" t="s">
        <v>1771</v>
      </c>
      <c r="AQ48" s="1734" t="s">
        <v>1768</v>
      </c>
      <c r="AR48" s="1734" t="s">
        <v>1769</v>
      </c>
      <c r="AS48" s="1734" t="s">
        <v>1770</v>
      </c>
      <c r="AT48" s="1734" t="s">
        <v>1771</v>
      </c>
      <c r="AU48" s="1734" t="s">
        <v>1704</v>
      </c>
      <c r="AV48" s="1734"/>
      <c r="AW48" s="1734" t="s">
        <v>1768</v>
      </c>
      <c r="AX48" s="1734" t="s">
        <v>1769</v>
      </c>
      <c r="AY48" s="1734" t="s">
        <v>1770</v>
      </c>
      <c r="AZ48" s="1734" t="s">
        <v>1771</v>
      </c>
      <c r="BA48" s="1734" t="s">
        <v>1768</v>
      </c>
      <c r="BB48" s="1734" t="s">
        <v>1769</v>
      </c>
      <c r="BC48" s="1734" t="s">
        <v>1770</v>
      </c>
      <c r="BD48" s="1734" t="s">
        <v>1771</v>
      </c>
      <c r="BE48" s="1734">
        <f>F48</f>
        <v>0</v>
      </c>
      <c r="BF48" s="1734"/>
      <c r="BG48" s="1734" t="s">
        <v>1768</v>
      </c>
      <c r="BH48" s="1734" t="s">
        <v>1769</v>
      </c>
      <c r="BI48" s="1734" t="s">
        <v>1770</v>
      </c>
      <c r="BJ48" s="1734" t="s">
        <v>1771</v>
      </c>
      <c r="BK48" s="1734" t="s">
        <v>1768</v>
      </c>
      <c r="BL48" s="1734" t="s">
        <v>1769</v>
      </c>
      <c r="BM48" s="1734" t="s">
        <v>1770</v>
      </c>
      <c r="BN48" s="1734" t="s">
        <v>1771</v>
      </c>
      <c r="BO48" s="1734" t="s">
        <v>1768</v>
      </c>
      <c r="BP48" s="1734" t="s">
        <v>1769</v>
      </c>
      <c r="BQ48" s="1734" t="s">
        <v>1770</v>
      </c>
      <c r="BR48" s="1734" t="s">
        <v>1771</v>
      </c>
      <c r="BS48" s="1734" t="s">
        <v>1768</v>
      </c>
      <c r="BT48" s="1734" t="s">
        <v>1769</v>
      </c>
      <c r="BU48" s="1734" t="s">
        <v>1770</v>
      </c>
      <c r="BV48" s="1734" t="s">
        <v>1771</v>
      </c>
      <c r="BW48" s="1734" t="s">
        <v>1427</v>
      </c>
      <c r="BX48" s="1734" t="s">
        <v>1427</v>
      </c>
      <c r="BY48" s="1734"/>
      <c r="BZ48" s="1734" t="s">
        <v>1427</v>
      </c>
      <c r="CA48" s="1734" t="s">
        <v>819</v>
      </c>
      <c r="CB48" s="1734" t="s">
        <v>1427</v>
      </c>
      <c r="CC48" s="1734" t="s">
        <v>819</v>
      </c>
      <c r="CD48" s="1734" t="s">
        <v>1427</v>
      </c>
    </row>
    <row r="49" spans="1:83 16368:16368" ht="10.5" customHeight="1">
      <c r="A49" s="1690" t="b">
        <f>IF(COUNTIF(A50:A58,TRUE)&gt;0,TRUE,FALSE)</f>
        <v>0</v>
      </c>
      <c r="B49" s="1691"/>
      <c r="C49" s="1750" t="s">
        <v>1776</v>
      </c>
      <c r="D49" s="1750" t="s">
        <v>1437</v>
      </c>
      <c r="E49" s="1750" t="s">
        <v>1777</v>
      </c>
      <c r="F49" s="1723"/>
      <c r="G49" s="1746"/>
      <c r="H49" s="1746"/>
      <c r="I49" s="1746"/>
      <c r="J49" s="1746"/>
      <c r="K49" s="1746"/>
      <c r="L49" s="1746"/>
      <c r="M49" s="1746"/>
      <c r="N49" s="1747"/>
      <c r="O49" s="1692"/>
      <c r="P49" s="1697"/>
      <c r="Q49" s="1697"/>
      <c r="U49" s="1895"/>
      <c r="V49" s="1906">
        <f>VLOOKUP(V48,ConcTable,2,FALSE)</f>
        <v>1000000</v>
      </c>
      <c r="W49" s="1896"/>
      <c r="X49" s="1908"/>
      <c r="Y49" s="1906">
        <f>VLOOKUP(Y48,ConcTable,2,FALSE)</f>
        <v>1000000</v>
      </c>
      <c r="Z49" s="1896"/>
      <c r="AA49" s="1908"/>
      <c r="AB49" s="1906"/>
      <c r="AC49" s="1896"/>
      <c r="AD49" s="1910"/>
      <c r="AE49" s="1897">
        <f>VLOOKUP(AE48,MassRateTable,2,FALSE)</f>
        <v>60</v>
      </c>
      <c r="AF49" s="1910"/>
      <c r="AG49" s="1897">
        <f>VLOOKUP(AG48,MassRateTable,2,FALSE)</f>
        <v>60</v>
      </c>
      <c r="AH49" s="2269"/>
      <c r="AI49" s="2270"/>
      <c r="AJ49" s="1836"/>
      <c r="AK49" s="1836"/>
      <c r="AM49" s="1697"/>
      <c r="AN49" s="1697"/>
      <c r="AO49" s="1697"/>
      <c r="AP49" s="1697"/>
      <c r="AQ49" s="1697"/>
      <c r="AR49" s="1697"/>
      <c r="AS49" s="1697"/>
      <c r="AT49" s="1697"/>
      <c r="AU49" s="1697"/>
      <c r="AV49" s="1697"/>
      <c r="AW49" s="1697"/>
      <c r="AX49" s="1697"/>
      <c r="AY49" s="1697"/>
      <c r="AZ49" s="1697"/>
      <c r="BA49" s="1697"/>
      <c r="BB49" s="1697"/>
      <c r="BC49" s="1697"/>
      <c r="BD49" s="1697"/>
      <c r="BE49" s="1697"/>
      <c r="BF49" s="1697"/>
      <c r="BM49" s="1690"/>
      <c r="BN49" s="1690"/>
      <c r="BO49" s="1690"/>
      <c r="BP49" s="1690"/>
      <c r="BQ49" s="1690"/>
      <c r="BR49" s="1690"/>
      <c r="BS49" s="1690"/>
      <c r="BT49" s="1690"/>
    </row>
    <row r="50" spans="1:83 16368:16368">
      <c r="A50" s="1690" t="b">
        <f t="shared" ref="A50:A58" si="132">IF(B50=0,FALSE,TRUE)</f>
        <v>0</v>
      </c>
      <c r="B50" s="1701">
        <f>'Non-Isokinetic'!A35</f>
        <v>0</v>
      </c>
      <c r="C50" s="1752" t="e">
        <f t="shared" ref="C50:C58" si="133">VLOOKUP(B50,AnalyteTable,5,FALSE)</f>
        <v>#N/A</v>
      </c>
      <c r="D50" s="1704" t="e">
        <f t="shared" ref="D50:D58" si="134">VLOOKUP(B50,AnalyteTable,7,FALSE)</f>
        <v>#N/A</v>
      </c>
      <c r="E50" s="1796" t="e">
        <f t="shared" ref="E50:E58" si="135">VLOOKUP(D50,PQLTable,8,FALSE)</f>
        <v>#N/A</v>
      </c>
      <c r="F50" s="1756"/>
      <c r="G50" s="1757"/>
      <c r="H50" s="1757"/>
      <c r="I50" s="1764"/>
      <c r="J50" s="1756"/>
      <c r="K50" s="1757"/>
      <c r="L50" s="1757"/>
      <c r="M50" s="1764"/>
      <c r="N50" s="1772"/>
      <c r="O50" s="1692" t="str">
        <f t="shared" ref="O50:O58" si="136">IF(B50=0,"",IF(SUM(V50,Y50)=0,"no result",IF(COUNT(V50:Y50)=1,"Single Result","")))</f>
        <v/>
      </c>
      <c r="P50" s="1692">
        <f t="shared" ref="P50:P58" si="137">IF(OR(V50="",Y50=""),0,ABS((MAX(V50:Y50)-MIN(V50:Y50))/AVERAGE(V50:Y50)))</f>
        <v>0</v>
      </c>
      <c r="Q50" s="1692" t="str">
        <f>IF(OR(BH50&gt;(0.2*BG50),BI50&gt;(0.2*BH50),BJ50&gt;(0.2*BI50),BL50&gt;(0.2*BK50),BM50&gt;(0.2*BL50),BN50&gt;(0.2*BM50)),"Breakthrough?","")</f>
        <v/>
      </c>
      <c r="U50" s="1898" t="str">
        <f t="shared" ref="U50:U58" si="138">CA50</f>
        <v/>
      </c>
      <c r="V50" s="1720" t="str">
        <f>IF(COUNT(F50:I50)=0,"",Conc1(CB50,U$46,$AJ50,MolVol,Pitots!$E$49,Pitots!$F$49,V$48,V$49,VoF))</f>
        <v/>
      </c>
      <c r="W50" s="1719" t="str">
        <f t="shared" ref="W50:W58" si="139">IF($B50=0,"",V50*CorrFactor)</f>
        <v/>
      </c>
      <c r="X50" s="1718" t="str">
        <f t="shared" ref="X50:X58" si="140">CC50</f>
        <v/>
      </c>
      <c r="Y50" s="1720" t="str">
        <f>IF(COUNT(J50:M50)=0,"",Conc1(CD50,X$46,$AJ50,MolVol,Pitots!$E$49,Pitots!$F$49,Y$48,Y$49,VoF))</f>
        <v/>
      </c>
      <c r="Z50" s="1719" t="str">
        <f t="shared" ref="Z50:Z58" si="141">IF($B50=0,"",Y50*CorrFactor)</f>
        <v/>
      </c>
      <c r="AA50" s="2264" t="str">
        <f>IF(AND(U50="",X50=""),"",IF(OR(U50="",X50=""),"≤",""))</f>
        <v/>
      </c>
      <c r="AB50" s="1720" t="str">
        <f t="shared" ref="AB50:AB58" si="142">IF(OR(V50="",Y50=""),"",AVERAGE(V50,Y50))</f>
        <v/>
      </c>
      <c r="AC50" s="1719" t="str">
        <f t="shared" ref="AC50:AC58" si="143">IF($B50=0,"",AB50*CorrFactor)</f>
        <v/>
      </c>
      <c r="AD50" s="1911" t="str">
        <f t="shared" ref="AD50:AD58" si="144">IF(OR(U50="&lt;",VND="&lt;"),"&lt;","")</f>
        <v/>
      </c>
      <c r="AE50" s="1899" t="str">
        <f>IF(V50="","",MassRate(V50,$AJ50,MolVol,V$48,V$49,MRU,MRF,AverageFlowDry,FF))</f>
        <v/>
      </c>
      <c r="AF50" s="1911" t="str">
        <f t="shared" ref="AF50:AF58" si="145">IF(OR(X50="&lt;",VND="&lt;"),"&lt;","")</f>
        <v/>
      </c>
      <c r="AG50" s="1899" t="str">
        <f>IF(Y50="","",MassRate(Y50,$AJ50,MolVol,Y$48,Y$49,MRU,MRF,AverageFlowDry,FF))</f>
        <v/>
      </c>
      <c r="AH50" s="2264" t="str">
        <f>IF(AND(AD50="",AF50=""),"",IF(OR(AD50="",AF50=""),"≤",""))</f>
        <v/>
      </c>
      <c r="AI50" s="1899" t="str">
        <f>IF(AB50="","",AVERAGE(AE50,AG50))</f>
        <v/>
      </c>
      <c r="AJ50" s="1752" t="e">
        <f t="shared" ref="AJ50:AJ58" si="146">VLOOKUP(C50,PQLTable,4,FALSE)</f>
        <v>#N/A</v>
      </c>
      <c r="AK50" s="1796" t="e">
        <f t="shared" ref="AK50:AK58" si="147">VLOOKUP(D50,PQLTable,6,FALSE)</f>
        <v>#N/A</v>
      </c>
      <c r="AL50" s="1871" t="e">
        <f t="shared" ref="AL50:AL58" si="148">AJ50/AK50</f>
        <v>#N/A</v>
      </c>
      <c r="AM50" s="1718" t="str">
        <f t="shared" ref="AM50:AM58" si="149">LEFT(F50,(LEFT(F50)="&lt;"))</f>
        <v/>
      </c>
      <c r="AN50" s="1718" t="str">
        <f t="shared" ref="AN50:AN58" si="150">LEFT(G50,(LEFT(G50)="&lt;"))</f>
        <v/>
      </c>
      <c r="AO50" s="1718" t="str">
        <f t="shared" ref="AO50:AO58" si="151">LEFT(H50,(LEFT(H50)="&lt;"))</f>
        <v/>
      </c>
      <c r="AP50" s="1718" t="str">
        <f t="shared" ref="AP50:AP58" si="152">LEFT(I50,(LEFT(I50)="&lt;"))</f>
        <v/>
      </c>
      <c r="AQ50" s="1718" t="str">
        <f t="shared" ref="AQ50:AQ58" si="153">LEFT(J50,(LEFT(J50)="&lt;"))</f>
        <v/>
      </c>
      <c r="AR50" s="1718" t="str">
        <f t="shared" ref="AR50:AR58" si="154">LEFT(K50,(LEFT(K50)="&lt;"))</f>
        <v/>
      </c>
      <c r="AS50" s="1718" t="str">
        <f t="shared" ref="AS50:AS58" si="155">LEFT(L50,(LEFT(L50)="&lt;"))</f>
        <v/>
      </c>
      <c r="AT50" s="1718" t="str">
        <f t="shared" ref="AT50:AT58" si="156">LEFT(M50,(LEFT(M50)="&lt;"))</f>
        <v/>
      </c>
      <c r="AU50" s="1718" t="str">
        <f t="shared" ref="AU50:AU58" si="157">LEFT(N50,(LEFT(N50)="&lt;"))</f>
        <v/>
      </c>
      <c r="AV50" s="1718"/>
      <c r="AW50" s="1718" t="str">
        <f t="shared" ref="AW50:AW58" si="158">IF(F50="","",VALUE(RIGHT(F50,LEN(F50)-(LEFT(F50)="&lt;"))))</f>
        <v/>
      </c>
      <c r="AX50" s="1718" t="str">
        <f t="shared" ref="AX50:AX58" si="159">IF(G50="","",VALUE(RIGHT(G50,LEN(G50)-(LEFT(G50)="&lt;"))))</f>
        <v/>
      </c>
      <c r="AY50" s="1718" t="str">
        <f t="shared" ref="AY50:AY58" si="160">IF(H50="","",VALUE(RIGHT(H50,LEN(H50)-(LEFT(H50)="&lt;"))))</f>
        <v/>
      </c>
      <c r="AZ50" s="1718" t="str">
        <f t="shared" ref="AZ50:AZ58" si="161">IF(I50="","",VALUE(RIGHT(I50,LEN(I50)-(LEFT(I50)="&lt;"))))</f>
        <v/>
      </c>
      <c r="BA50" s="1718" t="str">
        <f t="shared" ref="BA50:BA58" si="162">IF(J50="","",VALUE(RIGHT(J50,LEN(J50)-(LEFT(J50)="&lt;"))))</f>
        <v/>
      </c>
      <c r="BB50" s="1718" t="str">
        <f t="shared" ref="BB50:BB58" si="163">IF(K50="","",VALUE(RIGHT(K50,LEN(K50)-(LEFT(K50)="&lt;"))))</f>
        <v/>
      </c>
      <c r="BC50" s="1718" t="str">
        <f t="shared" ref="BC50:BC58" si="164">IF(L50="","",VALUE(RIGHT(L50,LEN(L50)-(LEFT(L50)="&lt;"))))</f>
        <v/>
      </c>
      <c r="BD50" s="1718" t="str">
        <f t="shared" ref="BD50:BD58" si="165">IF(M50="","",VALUE(RIGHT(M50,LEN(M50)-(LEFT(M50)="&lt;"))))</f>
        <v/>
      </c>
      <c r="BE50" s="1738">
        <f t="shared" ref="BE50:BE58" si="166">IF(OR(AU50="&lt;",N50=""),0,VALUE(RIGHT(N50,LEN(N50)-(LEFT(N50)="&lt;"))))</f>
        <v>0</v>
      </c>
      <c r="BF50" s="1718"/>
      <c r="BG50" s="1718">
        <f t="shared" ref="BG50:BN50" si="167">IF(F50="",0,IF(OR((AW50-$BE50)&lt;BO50,AM50="&lt;"),0,AW50-$BE50)*$AL50*1000/F46/$G48*1000000)</f>
        <v>0</v>
      </c>
      <c r="BH50" s="1718">
        <f t="shared" si="167"/>
        <v>0</v>
      </c>
      <c r="BI50" s="1718">
        <f t="shared" si="167"/>
        <v>0</v>
      </c>
      <c r="BJ50" s="1718">
        <f t="shared" si="167"/>
        <v>0</v>
      </c>
      <c r="BK50" s="1718">
        <f t="shared" si="167"/>
        <v>0</v>
      </c>
      <c r="BL50" s="1718">
        <f t="shared" si="167"/>
        <v>0</v>
      </c>
      <c r="BM50" s="1718">
        <f t="shared" si="167"/>
        <v>0</v>
      </c>
      <c r="BN50" s="1718">
        <f t="shared" si="167"/>
        <v>0</v>
      </c>
      <c r="BO50" s="1712">
        <f t="shared" ref="BO50:BV50" si="168">IF(F50="",0,$E50*$AL50*1000/$F46/$G48*1000000)</f>
        <v>0</v>
      </c>
      <c r="BP50" s="1712">
        <f t="shared" si="168"/>
        <v>0</v>
      </c>
      <c r="BQ50" s="1712">
        <f t="shared" si="168"/>
        <v>0</v>
      </c>
      <c r="BR50" s="1712">
        <f t="shared" si="168"/>
        <v>0</v>
      </c>
      <c r="BS50" s="1712">
        <f t="shared" si="168"/>
        <v>0</v>
      </c>
      <c r="BT50" s="1712">
        <f t="shared" si="168"/>
        <v>0</v>
      </c>
      <c r="BU50" s="1712">
        <f t="shared" si="168"/>
        <v>0</v>
      </c>
      <c r="BV50" s="1712">
        <f t="shared" si="168"/>
        <v>0</v>
      </c>
      <c r="BW50" s="1741">
        <f t="shared" ref="BW50:BW58" si="169">SUM(BO50:BR50)</f>
        <v>0</v>
      </c>
      <c r="BX50" s="1713">
        <f t="shared" ref="BX50:BX58" si="170">SUM(BG50:BJ50)</f>
        <v>0</v>
      </c>
      <c r="BY50" s="1741">
        <f t="shared" ref="BY50:BY58" si="171">SUM(BS50:BV50)</f>
        <v>0</v>
      </c>
      <c r="BZ50" s="1713">
        <f t="shared" ref="BZ50:BZ58" si="172">SUM(BK50:BN50)</f>
        <v>0</v>
      </c>
      <c r="CA50" s="1712" t="str">
        <f t="shared" ref="CA50:CA58" si="173">IF(BX50&gt;=$BW50,"","&lt;")</f>
        <v/>
      </c>
      <c r="CB50" s="1720">
        <f t="shared" ref="CB50:CB58" si="174">IF(CA50="",BX50,(IF(BG50=0,BO50,0)+IF(BH50=0,BP50,0)+IF(BI50=0,BQ50,0)+IF(BJ50=0,BR50,0)+BX50))</f>
        <v>0</v>
      </c>
      <c r="CC50" s="1712" t="str">
        <f t="shared" ref="CC50:CC58" si="175">IF(BZ50&gt;=BY50,"","&lt;")</f>
        <v/>
      </c>
      <c r="CD50" s="1720">
        <f t="shared" ref="CD50:CD58" si="176">IF(CC50="",BZ50,(IF(BK50=0,BS50,0)+IF(BL50=0,BT50,0)+IF(BM50=0,BU50,0)+IF(BN50=0,BV50,0)+BZ50))</f>
        <v>0</v>
      </c>
      <c r="CE50" s="1690" t="str">
        <f>IF(OR(BH50&gt;(0.2*BG50),BI50&gt;(0.2*BH50),BJ50&gt;(0.2*BI50),BL50&gt;(0.2*BK50),BM50&gt;(0.2*BL50),BN50&gt;(0.2*BM50)),"Breakthrough","")</f>
        <v/>
      </c>
    </row>
    <row r="51" spans="1:83 16368:16368">
      <c r="A51" s="1690" t="b">
        <f t="shared" si="132"/>
        <v>0</v>
      </c>
      <c r="B51" s="1702">
        <f>'Non-Isokinetic'!A36</f>
        <v>0</v>
      </c>
      <c r="C51" s="1753" t="e">
        <f t="shared" si="133"/>
        <v>#N/A</v>
      </c>
      <c r="D51" s="1705" t="e">
        <f t="shared" si="134"/>
        <v>#N/A</v>
      </c>
      <c r="E51" s="1744" t="e">
        <f t="shared" si="135"/>
        <v>#N/A</v>
      </c>
      <c r="F51" s="1759"/>
      <c r="G51" s="1755"/>
      <c r="H51" s="1755"/>
      <c r="I51" s="1765"/>
      <c r="J51" s="1759"/>
      <c r="K51" s="1755"/>
      <c r="L51" s="1755"/>
      <c r="M51" s="1765"/>
      <c r="N51" s="1773"/>
      <c r="O51" s="1692" t="str">
        <f t="shared" si="136"/>
        <v/>
      </c>
      <c r="P51" s="1692">
        <f t="shared" si="137"/>
        <v>0</v>
      </c>
      <c r="Q51" s="1692" t="str">
        <f t="shared" ref="Q51:Q58" si="177">IF(OR(BH51&gt;(0.2*BG51),BI51&gt;(0.2*BH51),BJ51&gt;(0.2*BI51)),"Breakthrough?","")</f>
        <v/>
      </c>
      <c r="U51" s="1900" t="str">
        <f t="shared" si="138"/>
        <v/>
      </c>
      <c r="V51" s="1904" t="str">
        <f>IF(COUNT(F51:I51)=0,"",Conc1(CB51,U$46,$AJ51,MolVol,Pitots!$E$49,Pitots!$F$49,V$48,V$49,VoF))</f>
        <v/>
      </c>
      <c r="W51" s="1841" t="str">
        <f t="shared" si="139"/>
        <v/>
      </c>
      <c r="X51" s="1909" t="str">
        <f t="shared" si="140"/>
        <v/>
      </c>
      <c r="Y51" s="1904" t="str">
        <f>IF(COUNT(J51:M51)=0,"",Conc1(CD51,X$46,$AJ51,MolVol,Pitots!$E$49,Pitots!$F$49,Y$48,Y$49,VoF))</f>
        <v/>
      </c>
      <c r="Z51" s="1841" t="str">
        <f t="shared" si="141"/>
        <v/>
      </c>
      <c r="AA51" s="1909" t="str">
        <f t="shared" ref="AA51:AA58" si="178">IF(AND(U51="",X51=""),"",IF(OR(U51="",X51=""),"≤",""))</f>
        <v/>
      </c>
      <c r="AB51" s="2358" t="str">
        <f t="shared" si="142"/>
        <v/>
      </c>
      <c r="AC51" s="1841" t="str">
        <f t="shared" si="143"/>
        <v/>
      </c>
      <c r="AD51" s="1912" t="str">
        <f t="shared" si="144"/>
        <v/>
      </c>
      <c r="AE51" s="1901" t="str">
        <f>IF(V51="","",MassRate(V51,$AJ51,MolVol,V$48,V$49,MRU,MRF,AverageFlowDry,FF))</f>
        <v/>
      </c>
      <c r="AF51" s="1912" t="str">
        <f t="shared" si="145"/>
        <v/>
      </c>
      <c r="AG51" s="1901" t="str">
        <f>IF(Y51="","",MassRate(Y51,$AJ51,MolVol,Y$48,Y$49,MRU,MRF,AverageFlowDry,FF))</f>
        <v/>
      </c>
      <c r="AH51" s="2265" t="str">
        <f t="shared" ref="AH51:AH58" si="179">IF(AND(AD51="",AF51=""),"",IF(OR(AD51="",AF51=""),"≤",""))</f>
        <v/>
      </c>
      <c r="AI51" s="1901" t="str">
        <f t="shared" ref="AI51:AI58" si="180">IF(AB51="","",AVERAGE(AE51,AG51))</f>
        <v/>
      </c>
      <c r="AJ51" s="1753" t="e">
        <f t="shared" si="146"/>
        <v>#N/A</v>
      </c>
      <c r="AK51" s="1744" t="e">
        <f t="shared" si="147"/>
        <v>#N/A</v>
      </c>
      <c r="AL51" s="1872" t="e">
        <f t="shared" si="148"/>
        <v>#N/A</v>
      </c>
      <c r="AM51" s="1721" t="str">
        <f t="shared" si="149"/>
        <v/>
      </c>
      <c r="AN51" s="1721" t="str">
        <f t="shared" si="150"/>
        <v/>
      </c>
      <c r="AO51" s="1721" t="str">
        <f t="shared" si="151"/>
        <v/>
      </c>
      <c r="AP51" s="1721" t="str">
        <f t="shared" si="152"/>
        <v/>
      </c>
      <c r="AQ51" s="1721" t="str">
        <f t="shared" si="153"/>
        <v/>
      </c>
      <c r="AR51" s="1721" t="str">
        <f t="shared" si="154"/>
        <v/>
      </c>
      <c r="AS51" s="1721" t="str">
        <f t="shared" si="155"/>
        <v/>
      </c>
      <c r="AT51" s="1721" t="str">
        <f t="shared" si="156"/>
        <v/>
      </c>
      <c r="AU51" s="1721" t="str">
        <f t="shared" si="157"/>
        <v/>
      </c>
      <c r="AV51" s="1721"/>
      <c r="AW51" s="1721" t="str">
        <f t="shared" si="158"/>
        <v/>
      </c>
      <c r="AX51" s="1721" t="str">
        <f t="shared" si="159"/>
        <v/>
      </c>
      <c r="AY51" s="1721" t="str">
        <f t="shared" si="160"/>
        <v/>
      </c>
      <c r="AZ51" s="1721" t="str">
        <f t="shared" si="161"/>
        <v/>
      </c>
      <c r="BA51" s="1721" t="str">
        <f t="shared" si="162"/>
        <v/>
      </c>
      <c r="BB51" s="1721" t="str">
        <f t="shared" si="163"/>
        <v/>
      </c>
      <c r="BC51" s="1721" t="str">
        <f t="shared" si="164"/>
        <v/>
      </c>
      <c r="BD51" s="1721" t="str">
        <f t="shared" si="165"/>
        <v/>
      </c>
      <c r="BE51" s="1739">
        <f t="shared" si="166"/>
        <v>0</v>
      </c>
      <c r="BF51" s="1721"/>
      <c r="BG51" s="1721">
        <f t="shared" ref="BG51:BN51" si="181">IF(F51="",0,IF(OR((AW51-$BE51)&lt;BO51,AM51="&lt;"),0,AW51-$BE51)*$AL51*1000/F46/$G48*1000000)</f>
        <v>0</v>
      </c>
      <c r="BH51" s="1721">
        <f t="shared" si="181"/>
        <v>0</v>
      </c>
      <c r="BI51" s="1721">
        <f t="shared" si="181"/>
        <v>0</v>
      </c>
      <c r="BJ51" s="1721">
        <f t="shared" si="181"/>
        <v>0</v>
      </c>
      <c r="BK51" s="1721">
        <f t="shared" si="181"/>
        <v>0</v>
      </c>
      <c r="BL51" s="1721">
        <f t="shared" si="181"/>
        <v>0</v>
      </c>
      <c r="BM51" s="1721">
        <f t="shared" si="181"/>
        <v>0</v>
      </c>
      <c r="BN51" s="1721">
        <f t="shared" si="181"/>
        <v>0</v>
      </c>
      <c r="BO51" s="1715">
        <f t="shared" ref="BO51:BV51" si="182">IF(F51="",0,$E51*$AL51*1000/$F46/$G48*1000000)</f>
        <v>0</v>
      </c>
      <c r="BP51" s="1715">
        <f t="shared" si="182"/>
        <v>0</v>
      </c>
      <c r="BQ51" s="1715">
        <f t="shared" si="182"/>
        <v>0</v>
      </c>
      <c r="BR51" s="1715">
        <f t="shared" si="182"/>
        <v>0</v>
      </c>
      <c r="BS51" s="1715">
        <f t="shared" si="182"/>
        <v>0</v>
      </c>
      <c r="BT51" s="1715">
        <f t="shared" si="182"/>
        <v>0</v>
      </c>
      <c r="BU51" s="1715">
        <f t="shared" si="182"/>
        <v>0</v>
      </c>
      <c r="BV51" s="1715">
        <f t="shared" si="182"/>
        <v>0</v>
      </c>
      <c r="BW51" s="1742">
        <f t="shared" si="169"/>
        <v>0</v>
      </c>
      <c r="BX51" s="1690">
        <f t="shared" si="170"/>
        <v>0</v>
      </c>
      <c r="BY51" s="1742">
        <f t="shared" si="171"/>
        <v>0</v>
      </c>
      <c r="BZ51" s="1690">
        <f t="shared" si="172"/>
        <v>0</v>
      </c>
      <c r="CA51" s="1715" t="str">
        <f t="shared" si="173"/>
        <v/>
      </c>
      <c r="CB51" s="1722">
        <f t="shared" si="174"/>
        <v>0</v>
      </c>
      <c r="CC51" s="1715" t="str">
        <f t="shared" si="175"/>
        <v/>
      </c>
      <c r="CD51" s="1722">
        <f t="shared" si="176"/>
        <v>0</v>
      </c>
      <c r="CE51" s="1690" t="str">
        <f>IF(OR(BH51&gt;(0.2*BG51),BI51&gt;(0.2*BH51),BJ51&gt;(0.2*BI51)),"Breakthrough","")</f>
        <v/>
      </c>
    </row>
    <row r="52" spans="1:83 16368:16368">
      <c r="A52" s="1690" t="b">
        <f t="shared" si="132"/>
        <v>0</v>
      </c>
      <c r="B52" s="1702">
        <f>'Non-Isokinetic'!A37</f>
        <v>0</v>
      </c>
      <c r="C52" s="1753" t="e">
        <f t="shared" si="133"/>
        <v>#N/A</v>
      </c>
      <c r="D52" s="1705" t="e">
        <f t="shared" si="134"/>
        <v>#N/A</v>
      </c>
      <c r="E52" s="1744" t="e">
        <f t="shared" si="135"/>
        <v>#N/A</v>
      </c>
      <c r="F52" s="1759"/>
      <c r="G52" s="1755"/>
      <c r="H52" s="1755"/>
      <c r="I52" s="1765"/>
      <c r="J52" s="1759"/>
      <c r="K52" s="1755"/>
      <c r="L52" s="1755"/>
      <c r="M52" s="1765"/>
      <c r="N52" s="1773"/>
      <c r="O52" s="1692" t="str">
        <f t="shared" si="136"/>
        <v/>
      </c>
      <c r="P52" s="1692">
        <f t="shared" si="137"/>
        <v>0</v>
      </c>
      <c r="Q52" s="1692" t="str">
        <f t="shared" si="177"/>
        <v/>
      </c>
      <c r="U52" s="1900" t="str">
        <f t="shared" si="138"/>
        <v/>
      </c>
      <c r="V52" s="1904" t="str">
        <f>IF(COUNT(F52:I52)=0,"",Conc1(CB52,U$46,$AJ52,MolVol,Pitots!$E$49,Pitots!$F$49,V$48,V$49,VoF))</f>
        <v/>
      </c>
      <c r="W52" s="1841" t="str">
        <f t="shared" si="139"/>
        <v/>
      </c>
      <c r="X52" s="1909" t="str">
        <f t="shared" si="140"/>
        <v/>
      </c>
      <c r="Y52" s="1904" t="str">
        <f>IF(COUNT(J52:M52)=0,"",Conc1(CD52,X$46,$AJ52,MolVol,Pitots!$E$49,Pitots!$F$49,Y$48,Y$49,VoF))</f>
        <v/>
      </c>
      <c r="Z52" s="1841" t="str">
        <f t="shared" si="141"/>
        <v/>
      </c>
      <c r="AA52" s="1909" t="str">
        <f t="shared" si="178"/>
        <v/>
      </c>
      <c r="AB52" s="2358" t="str">
        <f t="shared" si="142"/>
        <v/>
      </c>
      <c r="AC52" s="1841" t="str">
        <f t="shared" si="143"/>
        <v/>
      </c>
      <c r="AD52" s="1912" t="str">
        <f t="shared" si="144"/>
        <v/>
      </c>
      <c r="AE52" s="1901" t="str">
        <f>IF(V52="","",MassRate(V52,$AJ52,MolVol,V$48,V$49,MRU,MRF,AverageFlowDry,FF))</f>
        <v/>
      </c>
      <c r="AF52" s="1912" t="str">
        <f t="shared" si="145"/>
        <v/>
      </c>
      <c r="AG52" s="1901" t="str">
        <f>IF(Y52="","",MassRate(Y52,$AJ52,MolVol,Y$48,Y$49,MRU,MRF,AverageFlowDry,FF))</f>
        <v/>
      </c>
      <c r="AH52" s="2265" t="str">
        <f t="shared" si="179"/>
        <v/>
      </c>
      <c r="AI52" s="1901" t="str">
        <f t="shared" si="180"/>
        <v/>
      </c>
      <c r="AJ52" s="1753" t="e">
        <f t="shared" si="146"/>
        <v>#N/A</v>
      </c>
      <c r="AK52" s="1744" t="e">
        <f t="shared" si="147"/>
        <v>#N/A</v>
      </c>
      <c r="AL52" s="1872" t="e">
        <f t="shared" si="148"/>
        <v>#N/A</v>
      </c>
      <c r="AM52" s="1721" t="str">
        <f t="shared" si="149"/>
        <v/>
      </c>
      <c r="AN52" s="1721" t="str">
        <f t="shared" si="150"/>
        <v/>
      </c>
      <c r="AO52" s="1721" t="str">
        <f t="shared" si="151"/>
        <v/>
      </c>
      <c r="AP52" s="1721" t="str">
        <f t="shared" si="152"/>
        <v/>
      </c>
      <c r="AQ52" s="1721" t="str">
        <f t="shared" si="153"/>
        <v/>
      </c>
      <c r="AR52" s="1721" t="str">
        <f t="shared" si="154"/>
        <v/>
      </c>
      <c r="AS52" s="1721" t="str">
        <f t="shared" si="155"/>
        <v/>
      </c>
      <c r="AT52" s="1721" t="str">
        <f t="shared" si="156"/>
        <v/>
      </c>
      <c r="AU52" s="1721" t="str">
        <f t="shared" si="157"/>
        <v/>
      </c>
      <c r="AV52" s="1721"/>
      <c r="AW52" s="1721" t="str">
        <f t="shared" si="158"/>
        <v/>
      </c>
      <c r="AX52" s="1721" t="str">
        <f t="shared" si="159"/>
        <v/>
      </c>
      <c r="AY52" s="1721" t="str">
        <f t="shared" si="160"/>
        <v/>
      </c>
      <c r="AZ52" s="1721" t="str">
        <f t="shared" si="161"/>
        <v/>
      </c>
      <c r="BA52" s="1721" t="str">
        <f t="shared" si="162"/>
        <v/>
      </c>
      <c r="BB52" s="1721" t="str">
        <f t="shared" si="163"/>
        <v/>
      </c>
      <c r="BC52" s="1721" t="str">
        <f t="shared" si="164"/>
        <v/>
      </c>
      <c r="BD52" s="1721" t="str">
        <f t="shared" si="165"/>
        <v/>
      </c>
      <c r="BE52" s="1739">
        <f t="shared" si="166"/>
        <v>0</v>
      </c>
      <c r="BF52" s="1721"/>
      <c r="BG52" s="1721">
        <f t="shared" ref="BG52:BN52" si="183">IF(F52="",0,IF(OR((AW52-$BE52)&lt;BO52,AM52="&lt;"),0,AW52-$BE52)*$AL52*1000/F46/$G48*1000000)</f>
        <v>0</v>
      </c>
      <c r="BH52" s="1721">
        <f t="shared" si="183"/>
        <v>0</v>
      </c>
      <c r="BI52" s="1721">
        <f t="shared" si="183"/>
        <v>0</v>
      </c>
      <c r="BJ52" s="1721">
        <f t="shared" si="183"/>
        <v>0</v>
      </c>
      <c r="BK52" s="1721">
        <f t="shared" si="183"/>
        <v>0</v>
      </c>
      <c r="BL52" s="1721">
        <f t="shared" si="183"/>
        <v>0</v>
      </c>
      <c r="BM52" s="1721">
        <f t="shared" si="183"/>
        <v>0</v>
      </c>
      <c r="BN52" s="1721">
        <f t="shared" si="183"/>
        <v>0</v>
      </c>
      <c r="BO52" s="1715">
        <f t="shared" ref="BO52:BV52" si="184">IF(F52="",0,$E52*$AL52*1000/$F46/$G48*1000000)</f>
        <v>0</v>
      </c>
      <c r="BP52" s="1715">
        <f t="shared" si="184"/>
        <v>0</v>
      </c>
      <c r="BQ52" s="1715">
        <f t="shared" si="184"/>
        <v>0</v>
      </c>
      <c r="BR52" s="1715">
        <f t="shared" si="184"/>
        <v>0</v>
      </c>
      <c r="BS52" s="1715">
        <f t="shared" si="184"/>
        <v>0</v>
      </c>
      <c r="BT52" s="1715">
        <f t="shared" si="184"/>
        <v>0</v>
      </c>
      <c r="BU52" s="1715">
        <f t="shared" si="184"/>
        <v>0</v>
      </c>
      <c r="BV52" s="1715">
        <f t="shared" si="184"/>
        <v>0</v>
      </c>
      <c r="BW52" s="1742">
        <f t="shared" si="169"/>
        <v>0</v>
      </c>
      <c r="BX52" s="1690">
        <f t="shared" si="170"/>
        <v>0</v>
      </c>
      <c r="BY52" s="1742">
        <f t="shared" si="171"/>
        <v>0</v>
      </c>
      <c r="BZ52" s="1690">
        <f t="shared" si="172"/>
        <v>0</v>
      </c>
      <c r="CA52" s="1715" t="str">
        <f t="shared" si="173"/>
        <v/>
      </c>
      <c r="CB52" s="1722">
        <f t="shared" si="174"/>
        <v>0</v>
      </c>
      <c r="CC52" s="1715" t="str">
        <f t="shared" si="175"/>
        <v/>
      </c>
      <c r="CD52" s="1722">
        <f t="shared" si="176"/>
        <v>0</v>
      </c>
      <c r="CE52" s="1690" t="str">
        <f>IF(OR(BH52&gt;(0.2*BG52),BI52&gt;(0.2*BH52),BJ52&gt;(0.2*BI52)),"Breakthrough","")</f>
        <v/>
      </c>
    </row>
    <row r="53" spans="1:83 16368:16368">
      <c r="A53" s="1690" t="b">
        <f t="shared" si="132"/>
        <v>0</v>
      </c>
      <c r="B53" s="1702">
        <f>'Non-Isokinetic'!A38</f>
        <v>0</v>
      </c>
      <c r="C53" s="1753" t="e">
        <f t="shared" si="133"/>
        <v>#N/A</v>
      </c>
      <c r="D53" s="1705" t="e">
        <f t="shared" si="134"/>
        <v>#N/A</v>
      </c>
      <c r="E53" s="1744" t="e">
        <f t="shared" si="135"/>
        <v>#N/A</v>
      </c>
      <c r="F53" s="1759"/>
      <c r="G53" s="1755"/>
      <c r="H53" s="1755"/>
      <c r="I53" s="1765"/>
      <c r="J53" s="1759"/>
      <c r="K53" s="1755"/>
      <c r="L53" s="1755"/>
      <c r="M53" s="1765"/>
      <c r="N53" s="1773"/>
      <c r="O53" s="1692" t="str">
        <f t="shared" si="136"/>
        <v/>
      </c>
      <c r="P53" s="1692">
        <f t="shared" si="137"/>
        <v>0</v>
      </c>
      <c r="Q53" s="1692" t="str">
        <f t="shared" si="177"/>
        <v/>
      </c>
      <c r="U53" s="1900" t="str">
        <f t="shared" si="138"/>
        <v/>
      </c>
      <c r="V53" s="1904" t="str">
        <f>IF(COUNT(F53:I53)=0,"",Conc1(CB53,U$46,$AJ53,MolVol,Pitots!$E$49,Pitots!$F$49,V$48,V$49,VoF))</f>
        <v/>
      </c>
      <c r="W53" s="1841" t="str">
        <f t="shared" si="139"/>
        <v/>
      </c>
      <c r="X53" s="1909" t="str">
        <f t="shared" si="140"/>
        <v/>
      </c>
      <c r="Y53" s="1904" t="str">
        <f>IF(COUNT(J53:M53)=0,"",Conc1(CD53,X$46,$AJ53,MolVol,Pitots!$E$49,Pitots!$F$49,Y$48,Y$49,VoF))</f>
        <v/>
      </c>
      <c r="Z53" s="1841" t="str">
        <f t="shared" si="141"/>
        <v/>
      </c>
      <c r="AA53" s="1909" t="str">
        <f t="shared" si="178"/>
        <v/>
      </c>
      <c r="AB53" s="2358" t="str">
        <f t="shared" si="142"/>
        <v/>
      </c>
      <c r="AC53" s="1841" t="str">
        <f t="shared" si="143"/>
        <v/>
      </c>
      <c r="AD53" s="1912" t="str">
        <f t="shared" si="144"/>
        <v/>
      </c>
      <c r="AE53" s="1901" t="str">
        <f>IF(V53="","",MassRate(V53,$AJ53,MolVol,V$48,V$49,MRU,MRF,AverageFlowDry,FF))</f>
        <v/>
      </c>
      <c r="AF53" s="1912" t="str">
        <f t="shared" si="145"/>
        <v/>
      </c>
      <c r="AG53" s="1901" t="str">
        <f>IF(Y53="","",MassRate(Y53,$AJ53,MolVol,Y$48,Y$49,MRU,MRF,AverageFlowDry,FF))</f>
        <v/>
      </c>
      <c r="AH53" s="2265" t="str">
        <f t="shared" si="179"/>
        <v/>
      </c>
      <c r="AI53" s="1901" t="str">
        <f t="shared" si="180"/>
        <v/>
      </c>
      <c r="AJ53" s="1753" t="e">
        <f t="shared" si="146"/>
        <v>#N/A</v>
      </c>
      <c r="AK53" s="1744" t="e">
        <f t="shared" si="147"/>
        <v>#N/A</v>
      </c>
      <c r="AL53" s="1872" t="e">
        <f t="shared" si="148"/>
        <v>#N/A</v>
      </c>
      <c r="AM53" s="1721" t="str">
        <f t="shared" si="149"/>
        <v/>
      </c>
      <c r="AN53" s="1721" t="str">
        <f t="shared" si="150"/>
        <v/>
      </c>
      <c r="AO53" s="1721" t="str">
        <f t="shared" si="151"/>
        <v/>
      </c>
      <c r="AP53" s="1721" t="str">
        <f t="shared" si="152"/>
        <v/>
      </c>
      <c r="AQ53" s="1721" t="str">
        <f t="shared" si="153"/>
        <v/>
      </c>
      <c r="AR53" s="1721" t="str">
        <f t="shared" si="154"/>
        <v/>
      </c>
      <c r="AS53" s="1721" t="str">
        <f t="shared" si="155"/>
        <v/>
      </c>
      <c r="AT53" s="1721" t="str">
        <f t="shared" si="156"/>
        <v/>
      </c>
      <c r="AU53" s="1721" t="str">
        <f t="shared" si="157"/>
        <v/>
      </c>
      <c r="AV53" s="1721"/>
      <c r="AW53" s="1721" t="str">
        <f t="shared" si="158"/>
        <v/>
      </c>
      <c r="AX53" s="1721" t="str">
        <f t="shared" si="159"/>
        <v/>
      </c>
      <c r="AY53" s="1721" t="str">
        <f t="shared" si="160"/>
        <v/>
      </c>
      <c r="AZ53" s="1721" t="str">
        <f t="shared" si="161"/>
        <v/>
      </c>
      <c r="BA53" s="1721" t="str">
        <f t="shared" si="162"/>
        <v/>
      </c>
      <c r="BB53" s="1721" t="str">
        <f t="shared" si="163"/>
        <v/>
      </c>
      <c r="BC53" s="1721" t="str">
        <f t="shared" si="164"/>
        <v/>
      </c>
      <c r="BD53" s="1721" t="str">
        <f t="shared" si="165"/>
        <v/>
      </c>
      <c r="BE53" s="1739">
        <f t="shared" si="166"/>
        <v>0</v>
      </c>
      <c r="BF53" s="1721"/>
      <c r="BG53" s="1721">
        <f t="shared" ref="BG53:BN53" si="185">IF(F53="",0,IF(OR((AW53-$BE53)&lt;BO53,AM53="&lt;"),0,AW53-$BE53)*$AL53*1000/F46/$G48*1000000)</f>
        <v>0</v>
      </c>
      <c r="BH53" s="1721">
        <f t="shared" si="185"/>
        <v>0</v>
      </c>
      <c r="BI53" s="1721">
        <f t="shared" si="185"/>
        <v>0</v>
      </c>
      <c r="BJ53" s="1721">
        <f t="shared" si="185"/>
        <v>0</v>
      </c>
      <c r="BK53" s="1721">
        <f t="shared" si="185"/>
        <v>0</v>
      </c>
      <c r="BL53" s="1721">
        <f t="shared" si="185"/>
        <v>0</v>
      </c>
      <c r="BM53" s="1721">
        <f t="shared" si="185"/>
        <v>0</v>
      </c>
      <c r="BN53" s="1721">
        <f t="shared" si="185"/>
        <v>0</v>
      </c>
      <c r="BO53" s="1715">
        <f t="shared" ref="BO53:BV53" si="186">IF(F53="",0,$E53*$AL53*1000/$F46/$G48*1000000)</f>
        <v>0</v>
      </c>
      <c r="BP53" s="1715">
        <f t="shared" si="186"/>
        <v>0</v>
      </c>
      <c r="BQ53" s="1715">
        <f t="shared" si="186"/>
        <v>0</v>
      </c>
      <c r="BR53" s="1715">
        <f t="shared" si="186"/>
        <v>0</v>
      </c>
      <c r="BS53" s="1715">
        <f t="shared" si="186"/>
        <v>0</v>
      </c>
      <c r="BT53" s="1715">
        <f t="shared" si="186"/>
        <v>0</v>
      </c>
      <c r="BU53" s="1715">
        <f t="shared" si="186"/>
        <v>0</v>
      </c>
      <c r="BV53" s="1715">
        <f t="shared" si="186"/>
        <v>0</v>
      </c>
      <c r="BW53" s="1742">
        <f t="shared" si="169"/>
        <v>0</v>
      </c>
      <c r="BX53" s="1690">
        <f t="shared" si="170"/>
        <v>0</v>
      </c>
      <c r="BY53" s="1742">
        <f t="shared" si="171"/>
        <v>0</v>
      </c>
      <c r="BZ53" s="1690">
        <f t="shared" si="172"/>
        <v>0</v>
      </c>
      <c r="CA53" s="1715" t="str">
        <f t="shared" si="173"/>
        <v/>
      </c>
      <c r="CB53" s="1722">
        <f t="shared" si="174"/>
        <v>0</v>
      </c>
      <c r="CC53" s="1715" t="str">
        <f t="shared" si="175"/>
        <v/>
      </c>
      <c r="CD53" s="1722">
        <f t="shared" si="176"/>
        <v>0</v>
      </c>
      <c r="CE53" s="1690" t="str">
        <f>IF(OR(BH53&gt;(0.2*BG53),BI53&gt;(0.2*BH53),BJ53&gt;(0.2*BI53)),"Breakthrough","")</f>
        <v/>
      </c>
    </row>
    <row r="54" spans="1:83 16368:16368">
      <c r="A54" s="1690" t="b">
        <f t="shared" si="132"/>
        <v>0</v>
      </c>
      <c r="B54" s="1702">
        <f>'Non-Isokinetic'!A39</f>
        <v>0</v>
      </c>
      <c r="C54" s="1753" t="e">
        <f t="shared" si="133"/>
        <v>#N/A</v>
      </c>
      <c r="D54" s="1705" t="e">
        <f t="shared" si="134"/>
        <v>#N/A</v>
      </c>
      <c r="E54" s="1744" t="e">
        <f t="shared" si="135"/>
        <v>#N/A</v>
      </c>
      <c r="F54" s="1759"/>
      <c r="G54" s="1755"/>
      <c r="H54" s="1755"/>
      <c r="I54" s="1765"/>
      <c r="J54" s="1759"/>
      <c r="K54" s="1755"/>
      <c r="L54" s="1755"/>
      <c r="M54" s="1765"/>
      <c r="N54" s="1773"/>
      <c r="O54" s="1692" t="str">
        <f t="shared" si="136"/>
        <v/>
      </c>
      <c r="P54" s="1692">
        <f t="shared" si="137"/>
        <v>0</v>
      </c>
      <c r="Q54" s="1692" t="str">
        <f t="shared" si="177"/>
        <v/>
      </c>
      <c r="U54" s="1900" t="str">
        <f t="shared" si="138"/>
        <v/>
      </c>
      <c r="V54" s="1904" t="str">
        <f>IF(COUNT(F54:I54)=0,"",Conc1(CB54,U$46,$AJ54,MolVol,Pitots!$E$49,Pitots!$F$49,V$48,V$49,VoF))</f>
        <v/>
      </c>
      <c r="W54" s="1841" t="str">
        <f t="shared" si="139"/>
        <v/>
      </c>
      <c r="X54" s="1909" t="str">
        <f t="shared" si="140"/>
        <v/>
      </c>
      <c r="Y54" s="1904" t="str">
        <f>IF(COUNT(J54:M54)=0,"",Conc1(CD54,X$46,$AJ54,MolVol,Pitots!$E$49,Pitots!$F$49,Y$48,Y$49,VoF))</f>
        <v/>
      </c>
      <c r="Z54" s="1841" t="str">
        <f t="shared" si="141"/>
        <v/>
      </c>
      <c r="AA54" s="1909" t="str">
        <f t="shared" si="178"/>
        <v/>
      </c>
      <c r="AB54" s="2358" t="str">
        <f t="shared" si="142"/>
        <v/>
      </c>
      <c r="AC54" s="1841" t="str">
        <f t="shared" si="143"/>
        <v/>
      </c>
      <c r="AD54" s="1912" t="str">
        <f t="shared" si="144"/>
        <v/>
      </c>
      <c r="AE54" s="1901" t="str">
        <f>IF(V54="","",MassRate(V54,$AJ54,MolVol,V$48,V$49,MRU,MRF,AverageFlowDry,FF))</f>
        <v/>
      </c>
      <c r="AF54" s="1912" t="str">
        <f t="shared" si="145"/>
        <v/>
      </c>
      <c r="AG54" s="1901" t="str">
        <f>IF(Y54="","",MassRate(Y54,$AJ54,MolVol,Y$48,Y$49,MRU,MRF,AverageFlowDry,FF))</f>
        <v/>
      </c>
      <c r="AH54" s="2265" t="str">
        <f t="shared" si="179"/>
        <v/>
      </c>
      <c r="AI54" s="1901" t="str">
        <f t="shared" si="180"/>
        <v/>
      </c>
      <c r="AJ54" s="1753" t="e">
        <f t="shared" si="146"/>
        <v>#N/A</v>
      </c>
      <c r="AK54" s="1744" t="e">
        <f t="shared" si="147"/>
        <v>#N/A</v>
      </c>
      <c r="AL54" s="1872" t="e">
        <f t="shared" si="148"/>
        <v>#N/A</v>
      </c>
      <c r="AM54" s="1721" t="str">
        <f t="shared" si="149"/>
        <v/>
      </c>
      <c r="AN54" s="1721" t="str">
        <f t="shared" si="150"/>
        <v/>
      </c>
      <c r="AO54" s="1721" t="str">
        <f t="shared" si="151"/>
        <v/>
      </c>
      <c r="AP54" s="1721" t="str">
        <f t="shared" si="152"/>
        <v/>
      </c>
      <c r="AQ54" s="1721" t="str">
        <f t="shared" si="153"/>
        <v/>
      </c>
      <c r="AR54" s="1721" t="str">
        <f t="shared" si="154"/>
        <v/>
      </c>
      <c r="AS54" s="1721" t="str">
        <f t="shared" si="155"/>
        <v/>
      </c>
      <c r="AT54" s="1721" t="str">
        <f t="shared" si="156"/>
        <v/>
      </c>
      <c r="AU54" s="1721" t="str">
        <f t="shared" si="157"/>
        <v/>
      </c>
      <c r="AV54" s="1721"/>
      <c r="AW54" s="1721" t="str">
        <f t="shared" si="158"/>
        <v/>
      </c>
      <c r="AX54" s="1721" t="str">
        <f t="shared" si="159"/>
        <v/>
      </c>
      <c r="AY54" s="1721" t="str">
        <f t="shared" si="160"/>
        <v/>
      </c>
      <c r="AZ54" s="1721" t="str">
        <f t="shared" si="161"/>
        <v/>
      </c>
      <c r="BA54" s="1721" t="str">
        <f t="shared" si="162"/>
        <v/>
      </c>
      <c r="BB54" s="1721" t="str">
        <f t="shared" si="163"/>
        <v/>
      </c>
      <c r="BC54" s="1721" t="str">
        <f t="shared" si="164"/>
        <v/>
      </c>
      <c r="BD54" s="1721" t="str">
        <f t="shared" si="165"/>
        <v/>
      </c>
      <c r="BE54" s="1739">
        <f t="shared" si="166"/>
        <v>0</v>
      </c>
      <c r="BF54" s="1721"/>
      <c r="BG54" s="1721">
        <f t="shared" ref="BG54:BN54" si="187">IF(F54="",0,IF(OR((AW54-$BE54)&lt;BO54,AM54="&lt;"),0,AW54-$BE54)*$AL54*1000/F46/$G48*1000000)</f>
        <v>0</v>
      </c>
      <c r="BH54" s="1721">
        <f t="shared" si="187"/>
        <v>0</v>
      </c>
      <c r="BI54" s="1721">
        <f t="shared" si="187"/>
        <v>0</v>
      </c>
      <c r="BJ54" s="1721">
        <f t="shared" si="187"/>
        <v>0</v>
      </c>
      <c r="BK54" s="1721">
        <f t="shared" si="187"/>
        <v>0</v>
      </c>
      <c r="BL54" s="1721">
        <f t="shared" si="187"/>
        <v>0</v>
      </c>
      <c r="BM54" s="1721">
        <f t="shared" si="187"/>
        <v>0</v>
      </c>
      <c r="BN54" s="1721">
        <f t="shared" si="187"/>
        <v>0</v>
      </c>
      <c r="BO54" s="1715">
        <f t="shared" ref="BO54:BV54" si="188">IF(F54="",0,$E54*$AL54*1000/$F46/$G48*1000000)</f>
        <v>0</v>
      </c>
      <c r="BP54" s="1715">
        <f t="shared" si="188"/>
        <v>0</v>
      </c>
      <c r="BQ54" s="1715">
        <f t="shared" si="188"/>
        <v>0</v>
      </c>
      <c r="BR54" s="1715">
        <f t="shared" si="188"/>
        <v>0</v>
      </c>
      <c r="BS54" s="1715">
        <f t="shared" si="188"/>
        <v>0</v>
      </c>
      <c r="BT54" s="1715">
        <f t="shared" si="188"/>
        <v>0</v>
      </c>
      <c r="BU54" s="1715">
        <f t="shared" si="188"/>
        <v>0</v>
      </c>
      <c r="BV54" s="1715">
        <f t="shared" si="188"/>
        <v>0</v>
      </c>
      <c r="BW54" s="1742">
        <f t="shared" si="169"/>
        <v>0</v>
      </c>
      <c r="BX54" s="1690">
        <f t="shared" si="170"/>
        <v>0</v>
      </c>
      <c r="BY54" s="1742">
        <f t="shared" si="171"/>
        <v>0</v>
      </c>
      <c r="BZ54" s="1690">
        <f t="shared" si="172"/>
        <v>0</v>
      </c>
      <c r="CA54" s="1715" t="str">
        <f t="shared" si="173"/>
        <v/>
      </c>
      <c r="CB54" s="1722">
        <f t="shared" si="174"/>
        <v>0</v>
      </c>
      <c r="CC54" s="1715" t="str">
        <f t="shared" si="175"/>
        <v/>
      </c>
      <c r="CD54" s="1722">
        <f t="shared" si="176"/>
        <v>0</v>
      </c>
      <c r="CE54" s="1690" t="str">
        <f>IF(OR(BH54&gt;(0.2*BG54),BI54&gt;(0.2*BH54),BJ54&gt;(0.2*BI54)),"Breakthrough","")</f>
        <v/>
      </c>
    </row>
    <row r="55" spans="1:83 16368:16368">
      <c r="A55" s="1690" t="b">
        <f t="shared" si="132"/>
        <v>0</v>
      </c>
      <c r="B55" s="1702">
        <f>'Non-Isokinetic'!A40</f>
        <v>0</v>
      </c>
      <c r="C55" s="1753" t="e">
        <f t="shared" si="133"/>
        <v>#N/A</v>
      </c>
      <c r="D55" s="1705" t="e">
        <f t="shared" si="134"/>
        <v>#N/A</v>
      </c>
      <c r="E55" s="1744" t="e">
        <f t="shared" si="135"/>
        <v>#N/A</v>
      </c>
      <c r="F55" s="1759"/>
      <c r="G55" s="1755"/>
      <c r="H55" s="1755"/>
      <c r="I55" s="1765"/>
      <c r="J55" s="1759"/>
      <c r="K55" s="1755"/>
      <c r="L55" s="1755"/>
      <c r="M55" s="1765"/>
      <c r="N55" s="1773"/>
      <c r="O55" s="1692" t="str">
        <f t="shared" si="136"/>
        <v/>
      </c>
      <c r="P55" s="1692">
        <f t="shared" si="137"/>
        <v>0</v>
      </c>
      <c r="Q55" s="1692" t="str">
        <f t="shared" si="177"/>
        <v/>
      </c>
      <c r="U55" s="1900" t="str">
        <f t="shared" si="138"/>
        <v/>
      </c>
      <c r="V55" s="1904" t="str">
        <f>IF(COUNT(F55:I55)=0,"",Conc1(CB55,U$46,$AJ55,MolVol,Pitots!$E$49,Pitots!$F$49,V$48,V$49,VoF))</f>
        <v/>
      </c>
      <c r="W55" s="1841" t="str">
        <f t="shared" si="139"/>
        <v/>
      </c>
      <c r="X55" s="1909" t="str">
        <f t="shared" si="140"/>
        <v/>
      </c>
      <c r="Y55" s="1904" t="str">
        <f>IF(COUNT(J55:M55)=0,"",Conc1(CD55,X$46,$AJ55,MolVol,Pitots!$E$49,Pitots!$F$49,Y$48,Y$49,VoF))</f>
        <v/>
      </c>
      <c r="Z55" s="1841" t="str">
        <f t="shared" si="141"/>
        <v/>
      </c>
      <c r="AA55" s="1909" t="str">
        <f t="shared" si="178"/>
        <v/>
      </c>
      <c r="AB55" s="2358" t="str">
        <f t="shared" si="142"/>
        <v/>
      </c>
      <c r="AC55" s="1841" t="str">
        <f t="shared" si="143"/>
        <v/>
      </c>
      <c r="AD55" s="1912" t="str">
        <f t="shared" si="144"/>
        <v/>
      </c>
      <c r="AE55" s="1901" t="str">
        <f>IF(V55="","",MassRate(V55,$AJ55,MolVol,V$48,V$49,MRU,MRF,AverageFlowDry,FF))</f>
        <v/>
      </c>
      <c r="AF55" s="1912" t="str">
        <f t="shared" si="145"/>
        <v/>
      </c>
      <c r="AG55" s="1901" t="str">
        <f>IF(Y55="","",MassRate(Y55,$AJ55,MolVol,Y$48,Y$49,MRU,MRF,AverageFlowDry,FF))</f>
        <v/>
      </c>
      <c r="AH55" s="2265" t="str">
        <f t="shared" si="179"/>
        <v/>
      </c>
      <c r="AI55" s="1901" t="str">
        <f t="shared" si="180"/>
        <v/>
      </c>
      <c r="AJ55" s="1753" t="e">
        <f t="shared" si="146"/>
        <v>#N/A</v>
      </c>
      <c r="AK55" s="1744" t="e">
        <f t="shared" si="147"/>
        <v>#N/A</v>
      </c>
      <c r="AL55" s="1872" t="e">
        <f t="shared" si="148"/>
        <v>#N/A</v>
      </c>
      <c r="AM55" s="1721" t="str">
        <f t="shared" si="149"/>
        <v/>
      </c>
      <c r="AN55" s="1721" t="str">
        <f t="shared" si="150"/>
        <v/>
      </c>
      <c r="AO55" s="1721" t="str">
        <f t="shared" si="151"/>
        <v/>
      </c>
      <c r="AP55" s="1721" t="str">
        <f t="shared" si="152"/>
        <v/>
      </c>
      <c r="AQ55" s="1721" t="str">
        <f t="shared" si="153"/>
        <v/>
      </c>
      <c r="AR55" s="1721" t="str">
        <f t="shared" si="154"/>
        <v/>
      </c>
      <c r="AS55" s="1721" t="str">
        <f t="shared" si="155"/>
        <v/>
      </c>
      <c r="AT55" s="1721" t="str">
        <f t="shared" si="156"/>
        <v/>
      </c>
      <c r="AU55" s="1721" t="str">
        <f t="shared" si="157"/>
        <v/>
      </c>
      <c r="AV55" s="1721"/>
      <c r="AW55" s="1721" t="str">
        <f t="shared" si="158"/>
        <v/>
      </c>
      <c r="AX55" s="1721" t="str">
        <f t="shared" si="159"/>
        <v/>
      </c>
      <c r="AY55" s="1721" t="str">
        <f t="shared" si="160"/>
        <v/>
      </c>
      <c r="AZ55" s="1721" t="str">
        <f t="shared" si="161"/>
        <v/>
      </c>
      <c r="BA55" s="1721" t="str">
        <f t="shared" si="162"/>
        <v/>
      </c>
      <c r="BB55" s="1721" t="str">
        <f t="shared" si="163"/>
        <v/>
      </c>
      <c r="BC55" s="1721" t="str">
        <f t="shared" si="164"/>
        <v/>
      </c>
      <c r="BD55" s="1721" t="str">
        <f t="shared" si="165"/>
        <v/>
      </c>
      <c r="BE55" s="1739">
        <f t="shared" si="166"/>
        <v>0</v>
      </c>
      <c r="BF55" s="1721"/>
      <c r="BG55" s="1721">
        <f t="shared" ref="BG55:BN55" si="189">IF(F55="",0,IF(OR((AW55-$BE55)&lt;BO55,AM55="&lt;"),0,AW55-$BE55)*$AL55*1000/F46/$G48*1000000)</f>
        <v>0</v>
      </c>
      <c r="BH55" s="1721">
        <f t="shared" si="189"/>
        <v>0</v>
      </c>
      <c r="BI55" s="1721">
        <f t="shared" si="189"/>
        <v>0</v>
      </c>
      <c r="BJ55" s="1721">
        <f t="shared" si="189"/>
        <v>0</v>
      </c>
      <c r="BK55" s="1721">
        <f t="shared" si="189"/>
        <v>0</v>
      </c>
      <c r="BL55" s="1721">
        <f t="shared" si="189"/>
        <v>0</v>
      </c>
      <c r="BM55" s="1721">
        <f t="shared" si="189"/>
        <v>0</v>
      </c>
      <c r="BN55" s="1721">
        <f t="shared" si="189"/>
        <v>0</v>
      </c>
      <c r="BO55" s="1715">
        <f t="shared" ref="BO55:BV55" si="190">IF(F55="",0,$E55*$AL55*1000/$F46/$G48*1000000)</f>
        <v>0</v>
      </c>
      <c r="BP55" s="1715">
        <f t="shared" si="190"/>
        <v>0</v>
      </c>
      <c r="BQ55" s="1715">
        <f t="shared" si="190"/>
        <v>0</v>
      </c>
      <c r="BR55" s="1715">
        <f t="shared" si="190"/>
        <v>0</v>
      </c>
      <c r="BS55" s="1715">
        <f t="shared" si="190"/>
        <v>0</v>
      </c>
      <c r="BT55" s="1715">
        <f t="shared" si="190"/>
        <v>0</v>
      </c>
      <c r="BU55" s="1715">
        <f t="shared" si="190"/>
        <v>0</v>
      </c>
      <c r="BV55" s="1715">
        <f t="shared" si="190"/>
        <v>0</v>
      </c>
      <c r="BW55" s="1742">
        <f t="shared" si="169"/>
        <v>0</v>
      </c>
      <c r="BX55" s="1690">
        <f t="shared" si="170"/>
        <v>0</v>
      </c>
      <c r="BY55" s="1742">
        <f t="shared" si="171"/>
        <v>0</v>
      </c>
      <c r="BZ55" s="1690">
        <f t="shared" si="172"/>
        <v>0</v>
      </c>
      <c r="CA55" s="1715" t="str">
        <f t="shared" si="173"/>
        <v/>
      </c>
      <c r="CB55" s="1722">
        <f t="shared" si="174"/>
        <v>0</v>
      </c>
      <c r="CC55" s="1715" t="str">
        <f t="shared" si="175"/>
        <v/>
      </c>
      <c r="CD55" s="1722">
        <f t="shared" si="176"/>
        <v>0</v>
      </c>
      <c r="CE55" s="1690" t="str">
        <f>IF(OR(BH55&gt;(0.2*BG55),BI55&gt;(0.2*BH55),BJ55&gt;(0.2*BI55)),"Breakthrough","")</f>
        <v/>
      </c>
    </row>
    <row r="56" spans="1:83 16368:16368">
      <c r="A56" s="1690" t="b">
        <f t="shared" si="132"/>
        <v>0</v>
      </c>
      <c r="B56" s="1702">
        <f>'Non-Isokinetic'!A41</f>
        <v>0</v>
      </c>
      <c r="C56" s="1753" t="e">
        <f t="shared" si="133"/>
        <v>#N/A</v>
      </c>
      <c r="D56" s="1705" t="e">
        <f t="shared" si="134"/>
        <v>#N/A</v>
      </c>
      <c r="E56" s="1744" t="e">
        <f t="shared" si="135"/>
        <v>#N/A</v>
      </c>
      <c r="F56" s="1759"/>
      <c r="G56" s="1755"/>
      <c r="H56" s="1755"/>
      <c r="I56" s="1765"/>
      <c r="J56" s="1759"/>
      <c r="K56" s="1755"/>
      <c r="L56" s="1755"/>
      <c r="M56" s="1765"/>
      <c r="N56" s="1773"/>
      <c r="O56" s="1692" t="str">
        <f t="shared" si="136"/>
        <v/>
      </c>
      <c r="P56" s="1692">
        <f t="shared" si="137"/>
        <v>0</v>
      </c>
      <c r="Q56" s="1692" t="str">
        <f t="shared" si="177"/>
        <v/>
      </c>
      <c r="U56" s="1900" t="str">
        <f t="shared" si="138"/>
        <v/>
      </c>
      <c r="V56" s="1904" t="str">
        <f>IF(COUNT(F56:I56)=0,"",Conc1(CB56,U$46,$AJ56,MolVol,Pitots!$E$49,Pitots!$F$49,V$48,V$49,VoF))</f>
        <v/>
      </c>
      <c r="W56" s="1841" t="str">
        <f t="shared" si="139"/>
        <v/>
      </c>
      <c r="X56" s="1909" t="str">
        <f t="shared" si="140"/>
        <v/>
      </c>
      <c r="Y56" s="1904" t="str">
        <f>IF(COUNT(J56:M56)=0,"",Conc1(CD56,X$46,$AJ56,MolVol,Pitots!$E$49,Pitots!$F$49,Y$48,Y$49,VoF))</f>
        <v/>
      </c>
      <c r="Z56" s="1841" t="str">
        <f t="shared" si="141"/>
        <v/>
      </c>
      <c r="AA56" s="1909" t="str">
        <f t="shared" si="178"/>
        <v/>
      </c>
      <c r="AB56" s="2358" t="str">
        <f t="shared" si="142"/>
        <v/>
      </c>
      <c r="AC56" s="1841" t="str">
        <f t="shared" si="143"/>
        <v/>
      </c>
      <c r="AD56" s="1912" t="str">
        <f t="shared" si="144"/>
        <v/>
      </c>
      <c r="AE56" s="1901" t="str">
        <f>IF(V56="","",MassRate(V56,$AJ56,MolVol,V$48,V$49,MRU,MRF,AverageFlowDry,FF))</f>
        <v/>
      </c>
      <c r="AF56" s="1912" t="str">
        <f t="shared" si="145"/>
        <v/>
      </c>
      <c r="AG56" s="1901" t="str">
        <f>IF(Y56="","",MassRate(Y56,$AJ56,MolVol,Y$48,Y$49,MRU,MRF,AverageFlowDry,FF))</f>
        <v/>
      </c>
      <c r="AH56" s="2265" t="str">
        <f t="shared" si="179"/>
        <v/>
      </c>
      <c r="AI56" s="1901" t="str">
        <f t="shared" si="180"/>
        <v/>
      </c>
      <c r="AJ56" s="1753" t="e">
        <f t="shared" si="146"/>
        <v>#N/A</v>
      </c>
      <c r="AK56" s="1744" t="e">
        <f t="shared" si="147"/>
        <v>#N/A</v>
      </c>
      <c r="AL56" s="1872" t="e">
        <f t="shared" si="148"/>
        <v>#N/A</v>
      </c>
      <c r="AM56" s="1721" t="str">
        <f t="shared" si="149"/>
        <v/>
      </c>
      <c r="AN56" s="1721" t="str">
        <f t="shared" si="150"/>
        <v/>
      </c>
      <c r="AO56" s="1721" t="str">
        <f t="shared" si="151"/>
        <v/>
      </c>
      <c r="AP56" s="1721" t="str">
        <f t="shared" si="152"/>
        <v/>
      </c>
      <c r="AQ56" s="1721" t="str">
        <f t="shared" si="153"/>
        <v/>
      </c>
      <c r="AR56" s="1721" t="str">
        <f t="shared" si="154"/>
        <v/>
      </c>
      <c r="AS56" s="1721" t="str">
        <f t="shared" si="155"/>
        <v/>
      </c>
      <c r="AT56" s="1721" t="str">
        <f t="shared" si="156"/>
        <v/>
      </c>
      <c r="AU56" s="1721" t="str">
        <f t="shared" si="157"/>
        <v/>
      </c>
      <c r="AV56" s="1721"/>
      <c r="AW56" s="1721" t="str">
        <f t="shared" si="158"/>
        <v/>
      </c>
      <c r="AX56" s="1721" t="str">
        <f t="shared" si="159"/>
        <v/>
      </c>
      <c r="AY56" s="1721" t="str">
        <f t="shared" si="160"/>
        <v/>
      </c>
      <c r="AZ56" s="1721" t="str">
        <f t="shared" si="161"/>
        <v/>
      </c>
      <c r="BA56" s="1721" t="str">
        <f t="shared" si="162"/>
        <v/>
      </c>
      <c r="BB56" s="1721" t="str">
        <f t="shared" si="163"/>
        <v/>
      </c>
      <c r="BC56" s="1721" t="str">
        <f t="shared" si="164"/>
        <v/>
      </c>
      <c r="BD56" s="1721" t="str">
        <f t="shared" si="165"/>
        <v/>
      </c>
      <c r="BE56" s="1739">
        <f t="shared" si="166"/>
        <v>0</v>
      </c>
      <c r="BF56" s="1721"/>
      <c r="BG56" s="1721">
        <f t="shared" ref="BG56:BN56" si="191">IF(F56="",0,IF(OR((AW56-$BE56)&lt;BO56,AM56="&lt;"),0,AW56-$BE56)*$AL56*1000/F46/$G48*1000000)</f>
        <v>0</v>
      </c>
      <c r="BH56" s="1721">
        <f t="shared" si="191"/>
        <v>0</v>
      </c>
      <c r="BI56" s="1721">
        <f t="shared" si="191"/>
        <v>0</v>
      </c>
      <c r="BJ56" s="1721">
        <f t="shared" si="191"/>
        <v>0</v>
      </c>
      <c r="BK56" s="1721">
        <f t="shared" si="191"/>
        <v>0</v>
      </c>
      <c r="BL56" s="1721">
        <f t="shared" si="191"/>
        <v>0</v>
      </c>
      <c r="BM56" s="1721">
        <f t="shared" si="191"/>
        <v>0</v>
      </c>
      <c r="BN56" s="1721">
        <f t="shared" si="191"/>
        <v>0</v>
      </c>
      <c r="BO56" s="1715">
        <f t="shared" ref="BO56:BV56" si="192">IF(F56="",0,$E56*$AL56*1000/$F46/$G48*1000000)</f>
        <v>0</v>
      </c>
      <c r="BP56" s="1715">
        <f t="shared" si="192"/>
        <v>0</v>
      </c>
      <c r="BQ56" s="1715">
        <f t="shared" si="192"/>
        <v>0</v>
      </c>
      <c r="BR56" s="1715">
        <f t="shared" si="192"/>
        <v>0</v>
      </c>
      <c r="BS56" s="1715">
        <f t="shared" si="192"/>
        <v>0</v>
      </c>
      <c r="BT56" s="1715">
        <f t="shared" si="192"/>
        <v>0</v>
      </c>
      <c r="BU56" s="1715">
        <f t="shared" si="192"/>
        <v>0</v>
      </c>
      <c r="BV56" s="1715">
        <f t="shared" si="192"/>
        <v>0</v>
      </c>
      <c r="BW56" s="1742">
        <f t="shared" si="169"/>
        <v>0</v>
      </c>
      <c r="BX56" s="1690">
        <f t="shared" si="170"/>
        <v>0</v>
      </c>
      <c r="BY56" s="1742">
        <f t="shared" si="171"/>
        <v>0</v>
      </c>
      <c r="BZ56" s="1690">
        <f t="shared" si="172"/>
        <v>0</v>
      </c>
      <c r="CA56" s="1715" t="str">
        <f t="shared" si="173"/>
        <v/>
      </c>
      <c r="CB56" s="1722">
        <f t="shared" si="174"/>
        <v>0</v>
      </c>
      <c r="CC56" s="1715" t="str">
        <f t="shared" si="175"/>
        <v/>
      </c>
      <c r="CD56" s="1722">
        <f t="shared" si="176"/>
        <v>0</v>
      </c>
      <c r="CE56" s="1690" t="str">
        <f>IF(OR(BH56&gt;(0.2*BG56),BI56&gt;(0.2*BH56),BJ56&gt;(0.2*BI56)),"Breakthrough","")</f>
        <v/>
      </c>
    </row>
    <row r="57" spans="1:83 16368:16368">
      <c r="A57" s="1690" t="b">
        <f t="shared" si="132"/>
        <v>0</v>
      </c>
      <c r="B57" s="1702">
        <f>'Non-Isokinetic'!A42</f>
        <v>0</v>
      </c>
      <c r="C57" s="1753" t="e">
        <f t="shared" si="133"/>
        <v>#N/A</v>
      </c>
      <c r="D57" s="1705" t="e">
        <f t="shared" si="134"/>
        <v>#N/A</v>
      </c>
      <c r="E57" s="1744" t="e">
        <f t="shared" si="135"/>
        <v>#N/A</v>
      </c>
      <c r="F57" s="1759"/>
      <c r="G57" s="1755"/>
      <c r="H57" s="1755"/>
      <c r="I57" s="1765"/>
      <c r="J57" s="1759"/>
      <c r="K57" s="1755"/>
      <c r="L57" s="1755"/>
      <c r="M57" s="1765"/>
      <c r="N57" s="1773"/>
      <c r="O57" s="1692" t="str">
        <f t="shared" si="136"/>
        <v/>
      </c>
      <c r="P57" s="1692">
        <f t="shared" si="137"/>
        <v>0</v>
      </c>
      <c r="Q57" s="1692" t="str">
        <f t="shared" si="177"/>
        <v/>
      </c>
      <c r="U57" s="1900" t="str">
        <f t="shared" si="138"/>
        <v/>
      </c>
      <c r="V57" s="1904" t="str">
        <f>IF(COUNT(F57:I57)=0,"",Conc1(CB57,U$46,$AJ57,MolVol,Pitots!$E$49,Pitots!$F$49,V$48,V$49,VoF))</f>
        <v/>
      </c>
      <c r="W57" s="1841" t="str">
        <f t="shared" si="139"/>
        <v/>
      </c>
      <c r="X57" s="1909" t="str">
        <f t="shared" si="140"/>
        <v/>
      </c>
      <c r="Y57" s="1904" t="str">
        <f>IF(COUNT(J57:M57)=0,"",Conc1(CD57,X$46,$AJ57,MolVol,Pitots!$E$49,Pitots!$F$49,Y$48,Y$49,VoF))</f>
        <v/>
      </c>
      <c r="Z57" s="1841" t="str">
        <f t="shared" si="141"/>
        <v/>
      </c>
      <c r="AA57" s="1909" t="str">
        <f t="shared" si="178"/>
        <v/>
      </c>
      <c r="AB57" s="2358" t="str">
        <f t="shared" si="142"/>
        <v/>
      </c>
      <c r="AC57" s="1841" t="str">
        <f t="shared" si="143"/>
        <v/>
      </c>
      <c r="AD57" s="1912" t="str">
        <f t="shared" si="144"/>
        <v/>
      </c>
      <c r="AE57" s="1901" t="str">
        <f>IF(V57="","",MassRate(V57,$AJ57,MolVol,V$48,V$49,MRU,MRF,AverageFlowDry,FF))</f>
        <v/>
      </c>
      <c r="AF57" s="1912" t="str">
        <f t="shared" si="145"/>
        <v/>
      </c>
      <c r="AG57" s="1901" t="str">
        <f>IF(Y57="","",MassRate(Y57,$AJ57,MolVol,Y$48,Y$49,MRU,MRF,AverageFlowDry,FF))</f>
        <v/>
      </c>
      <c r="AH57" s="2265" t="str">
        <f t="shared" si="179"/>
        <v/>
      </c>
      <c r="AI57" s="1901" t="str">
        <f t="shared" si="180"/>
        <v/>
      </c>
      <c r="AJ57" s="1753" t="e">
        <f t="shared" si="146"/>
        <v>#N/A</v>
      </c>
      <c r="AK57" s="1744" t="e">
        <f t="shared" si="147"/>
        <v>#N/A</v>
      </c>
      <c r="AL57" s="1872" t="e">
        <f t="shared" si="148"/>
        <v>#N/A</v>
      </c>
      <c r="AM57" s="1721" t="str">
        <f t="shared" si="149"/>
        <v/>
      </c>
      <c r="AN57" s="1721" t="str">
        <f t="shared" si="150"/>
        <v/>
      </c>
      <c r="AO57" s="1721" t="str">
        <f t="shared" si="151"/>
        <v/>
      </c>
      <c r="AP57" s="1721" t="str">
        <f t="shared" si="152"/>
        <v/>
      </c>
      <c r="AQ57" s="1721" t="str">
        <f t="shared" si="153"/>
        <v/>
      </c>
      <c r="AR57" s="1721" t="str">
        <f t="shared" si="154"/>
        <v/>
      </c>
      <c r="AS57" s="1721" t="str">
        <f t="shared" si="155"/>
        <v/>
      </c>
      <c r="AT57" s="1721" t="str">
        <f t="shared" si="156"/>
        <v/>
      </c>
      <c r="AU57" s="1721" t="str">
        <f t="shared" si="157"/>
        <v/>
      </c>
      <c r="AV57" s="1721"/>
      <c r="AW57" s="1721" t="str">
        <f t="shared" si="158"/>
        <v/>
      </c>
      <c r="AX57" s="1721" t="str">
        <f t="shared" si="159"/>
        <v/>
      </c>
      <c r="AY57" s="1721" t="str">
        <f t="shared" si="160"/>
        <v/>
      </c>
      <c r="AZ57" s="1721" t="str">
        <f t="shared" si="161"/>
        <v/>
      </c>
      <c r="BA57" s="1721" t="str">
        <f t="shared" si="162"/>
        <v/>
      </c>
      <c r="BB57" s="1721" t="str">
        <f t="shared" si="163"/>
        <v/>
      </c>
      <c r="BC57" s="1721" t="str">
        <f t="shared" si="164"/>
        <v/>
      </c>
      <c r="BD57" s="1721" t="str">
        <f t="shared" si="165"/>
        <v/>
      </c>
      <c r="BE57" s="1739">
        <f t="shared" si="166"/>
        <v>0</v>
      </c>
      <c r="BF57" s="1721"/>
      <c r="BG57" s="1721">
        <f t="shared" ref="BG57:BN57" si="193">IF(F57="",0,IF(OR((AW57-$BE57)&lt;BO57,AM57="&lt;"),0,AW57-$BE57)*$AL57*1000/F46/$G48*1000000)</f>
        <v>0</v>
      </c>
      <c r="BH57" s="1721">
        <f t="shared" si="193"/>
        <v>0</v>
      </c>
      <c r="BI57" s="1721">
        <f t="shared" si="193"/>
        <v>0</v>
      </c>
      <c r="BJ57" s="1721">
        <f t="shared" si="193"/>
        <v>0</v>
      </c>
      <c r="BK57" s="1721">
        <f t="shared" si="193"/>
        <v>0</v>
      </c>
      <c r="BL57" s="1721">
        <f t="shared" si="193"/>
        <v>0</v>
      </c>
      <c r="BM57" s="1721">
        <f t="shared" si="193"/>
        <v>0</v>
      </c>
      <c r="BN57" s="1721">
        <f t="shared" si="193"/>
        <v>0</v>
      </c>
      <c r="BO57" s="1715">
        <f t="shared" ref="BO57:BV57" si="194">IF(F57="",0,$E57*$AL57*1000/$F46/$G48*1000000)</f>
        <v>0</v>
      </c>
      <c r="BP57" s="1715">
        <f t="shared" si="194"/>
        <v>0</v>
      </c>
      <c r="BQ57" s="1715">
        <f t="shared" si="194"/>
        <v>0</v>
      </c>
      <c r="BR57" s="1715">
        <f t="shared" si="194"/>
        <v>0</v>
      </c>
      <c r="BS57" s="1715">
        <f t="shared" si="194"/>
        <v>0</v>
      </c>
      <c r="BT57" s="1715">
        <f t="shared" si="194"/>
        <v>0</v>
      </c>
      <c r="BU57" s="1715">
        <f t="shared" si="194"/>
        <v>0</v>
      </c>
      <c r="BV57" s="1715">
        <f t="shared" si="194"/>
        <v>0</v>
      </c>
      <c r="BW57" s="1742">
        <f t="shared" si="169"/>
        <v>0</v>
      </c>
      <c r="BX57" s="1690">
        <f t="shared" si="170"/>
        <v>0</v>
      </c>
      <c r="BY57" s="1742">
        <f t="shared" si="171"/>
        <v>0</v>
      </c>
      <c r="BZ57" s="1690">
        <f t="shared" si="172"/>
        <v>0</v>
      </c>
      <c r="CA57" s="1715" t="str">
        <f t="shared" si="173"/>
        <v/>
      </c>
      <c r="CB57" s="1722">
        <f t="shared" si="174"/>
        <v>0</v>
      </c>
      <c r="CC57" s="1715" t="str">
        <f t="shared" si="175"/>
        <v/>
      </c>
      <c r="CD57" s="1722">
        <f t="shared" si="176"/>
        <v>0</v>
      </c>
      <c r="CE57" s="1690" t="str">
        <f>IF(OR(BH57&gt;(0.2*BG57),BI57&gt;(0.2*BH57),BJ57&gt;(0.2*BI57)),"Breakthrough","")</f>
        <v/>
      </c>
    </row>
    <row r="58" spans="1:83 16368:16368">
      <c r="A58" s="1690" t="b">
        <f t="shared" si="132"/>
        <v>0</v>
      </c>
      <c r="B58" s="1703">
        <f>'Non-Isokinetic'!A43</f>
        <v>0</v>
      </c>
      <c r="C58" s="1754" t="e">
        <f t="shared" si="133"/>
        <v>#N/A</v>
      </c>
      <c r="D58" s="1706" t="e">
        <f t="shared" si="134"/>
        <v>#N/A</v>
      </c>
      <c r="E58" s="1745" t="e">
        <f t="shared" si="135"/>
        <v>#N/A</v>
      </c>
      <c r="F58" s="1761"/>
      <c r="G58" s="1762"/>
      <c r="H58" s="1762"/>
      <c r="I58" s="1766"/>
      <c r="J58" s="1761"/>
      <c r="K58" s="1762"/>
      <c r="L58" s="1762"/>
      <c r="M58" s="1766"/>
      <c r="N58" s="1774"/>
      <c r="O58" s="1692" t="str">
        <f t="shared" si="136"/>
        <v/>
      </c>
      <c r="P58" s="1692">
        <f t="shared" si="137"/>
        <v>0</v>
      </c>
      <c r="Q58" s="1692" t="str">
        <f t="shared" si="177"/>
        <v/>
      </c>
      <c r="U58" s="1902" t="str">
        <f t="shared" si="138"/>
        <v/>
      </c>
      <c r="V58" s="1725" t="str">
        <f>IF(COUNT(F58:I58)=0,"",Conc1(CB58,U$46,$AJ58,MolVol,Pitots!$E$49,Pitots!$F$49,V$48,V$49,VoF))</f>
        <v/>
      </c>
      <c r="W58" s="1724" t="str">
        <f t="shared" si="139"/>
        <v/>
      </c>
      <c r="X58" s="1723" t="str">
        <f t="shared" si="140"/>
        <v/>
      </c>
      <c r="Y58" s="1725" t="str">
        <f>IF(COUNT(J58:M58)=0,"",Conc1(CD58,X$46,$AJ58,MolVol,Pitots!$E$49,Pitots!$F$49,Y$48,Y$49,VoF))</f>
        <v/>
      </c>
      <c r="Z58" s="1724" t="str">
        <f t="shared" si="141"/>
        <v/>
      </c>
      <c r="AA58" s="1723" t="str">
        <f t="shared" si="178"/>
        <v/>
      </c>
      <c r="AB58" s="2357" t="str">
        <f t="shared" si="142"/>
        <v/>
      </c>
      <c r="AC58" s="1724" t="str">
        <f t="shared" si="143"/>
        <v/>
      </c>
      <c r="AD58" s="1913" t="str">
        <f t="shared" si="144"/>
        <v/>
      </c>
      <c r="AE58" s="1903" t="str">
        <f>IF(V58="","",MassRate(V58,$AJ58,MolVol,V$48,V$49,MRU,MRF,AverageFlowDry,FF))</f>
        <v/>
      </c>
      <c r="AF58" s="1913" t="str">
        <f t="shared" si="145"/>
        <v/>
      </c>
      <c r="AG58" s="1903" t="str">
        <f>IF(Y58="","",MassRate(Y58,$AJ58,MolVol,Y$48,Y$49,MRU,MRF,AverageFlowDry,FF))</f>
        <v/>
      </c>
      <c r="AH58" s="2266" t="str">
        <f t="shared" si="179"/>
        <v/>
      </c>
      <c r="AI58" s="2332" t="str">
        <f t="shared" si="180"/>
        <v/>
      </c>
      <c r="AJ58" s="1754" t="e">
        <f t="shared" si="146"/>
        <v>#N/A</v>
      </c>
      <c r="AK58" s="1745" t="e">
        <f t="shared" si="147"/>
        <v>#N/A</v>
      </c>
      <c r="AL58" s="1873" t="e">
        <f t="shared" si="148"/>
        <v>#N/A</v>
      </c>
      <c r="AM58" s="1723" t="str">
        <f t="shared" si="149"/>
        <v/>
      </c>
      <c r="AN58" s="1723" t="str">
        <f t="shared" si="150"/>
        <v/>
      </c>
      <c r="AO58" s="1723" t="str">
        <f t="shared" si="151"/>
        <v/>
      </c>
      <c r="AP58" s="1723" t="str">
        <f t="shared" si="152"/>
        <v/>
      </c>
      <c r="AQ58" s="1723" t="str">
        <f t="shared" si="153"/>
        <v/>
      </c>
      <c r="AR58" s="1723" t="str">
        <f t="shared" si="154"/>
        <v/>
      </c>
      <c r="AS58" s="1723" t="str">
        <f t="shared" si="155"/>
        <v/>
      </c>
      <c r="AT58" s="1723" t="str">
        <f t="shared" si="156"/>
        <v/>
      </c>
      <c r="AU58" s="1723" t="str">
        <f t="shared" si="157"/>
        <v/>
      </c>
      <c r="AV58" s="1723"/>
      <c r="AW58" s="1723" t="str">
        <f t="shared" si="158"/>
        <v/>
      </c>
      <c r="AX58" s="1723" t="str">
        <f t="shared" si="159"/>
        <v/>
      </c>
      <c r="AY58" s="1723" t="str">
        <f t="shared" si="160"/>
        <v/>
      </c>
      <c r="AZ58" s="1723" t="str">
        <f t="shared" si="161"/>
        <v/>
      </c>
      <c r="BA58" s="1723" t="str">
        <f t="shared" si="162"/>
        <v/>
      </c>
      <c r="BB58" s="1723" t="str">
        <f t="shared" si="163"/>
        <v/>
      </c>
      <c r="BC58" s="1723" t="str">
        <f t="shared" si="164"/>
        <v/>
      </c>
      <c r="BD58" s="1723" t="str">
        <f t="shared" si="165"/>
        <v/>
      </c>
      <c r="BE58" s="1740">
        <f t="shared" si="166"/>
        <v>0</v>
      </c>
      <c r="BF58" s="1723"/>
      <c r="BG58" s="1723">
        <f t="shared" ref="BG58:BN58" si="195">IF(F58="",0,IF(OR((AW58-$BE58)&lt;BO58,AM58="&lt;"),0,AW58-$BE58)*$AL58*1000/F46/$G48*1000000)</f>
        <v>0</v>
      </c>
      <c r="BH58" s="1723">
        <f t="shared" si="195"/>
        <v>0</v>
      </c>
      <c r="BI58" s="1723">
        <f t="shared" si="195"/>
        <v>0</v>
      </c>
      <c r="BJ58" s="1723">
        <f t="shared" si="195"/>
        <v>0</v>
      </c>
      <c r="BK58" s="1723">
        <f t="shared" si="195"/>
        <v>0</v>
      </c>
      <c r="BL58" s="1723">
        <f t="shared" si="195"/>
        <v>0</v>
      </c>
      <c r="BM58" s="1723">
        <f t="shared" si="195"/>
        <v>0</v>
      </c>
      <c r="BN58" s="1723">
        <f t="shared" si="195"/>
        <v>0</v>
      </c>
      <c r="BO58" s="1716">
        <f t="shared" ref="BO58:BV58" si="196">IF(F58="",0,$E58*$AL58*1000/$F46/$G48*1000000)</f>
        <v>0</v>
      </c>
      <c r="BP58" s="1716">
        <f t="shared" si="196"/>
        <v>0</v>
      </c>
      <c r="BQ58" s="1716">
        <f t="shared" si="196"/>
        <v>0</v>
      </c>
      <c r="BR58" s="1716">
        <f t="shared" si="196"/>
        <v>0</v>
      </c>
      <c r="BS58" s="1716">
        <f t="shared" si="196"/>
        <v>0</v>
      </c>
      <c r="BT58" s="1716">
        <f t="shared" si="196"/>
        <v>0</v>
      </c>
      <c r="BU58" s="1716">
        <f t="shared" si="196"/>
        <v>0</v>
      </c>
      <c r="BV58" s="1716">
        <f t="shared" si="196"/>
        <v>0</v>
      </c>
      <c r="BW58" s="1743">
        <f t="shared" si="169"/>
        <v>0</v>
      </c>
      <c r="BX58" s="1717">
        <f t="shared" si="170"/>
        <v>0</v>
      </c>
      <c r="BY58" s="1743">
        <f t="shared" si="171"/>
        <v>0</v>
      </c>
      <c r="BZ58" s="1717">
        <f t="shared" si="172"/>
        <v>0</v>
      </c>
      <c r="CA58" s="1716" t="str">
        <f t="shared" si="173"/>
        <v/>
      </c>
      <c r="CB58" s="1725">
        <f t="shared" si="174"/>
        <v>0</v>
      </c>
      <c r="CC58" s="1716" t="str">
        <f t="shared" si="175"/>
        <v/>
      </c>
      <c r="CD58" s="1725">
        <f t="shared" si="176"/>
        <v>0</v>
      </c>
      <c r="CE58" s="1690" t="str">
        <f>IF(OR(BH58&gt;(0.2*BG58),BI58&gt;(0.2*BH58),BJ58&gt;(0.2*BI58)),"Breakthrough","")</f>
        <v/>
      </c>
    </row>
    <row r="59" spans="1:83 16368:16368">
      <c r="A59" s="1713" t="b">
        <f>A60</f>
        <v>0</v>
      </c>
      <c r="B59" s="1713"/>
      <c r="C59" s="1713"/>
      <c r="D59" s="1713"/>
      <c r="E59" s="1713"/>
      <c r="F59" s="1713"/>
      <c r="G59" s="1713"/>
      <c r="H59" s="1713"/>
      <c r="I59" s="1713"/>
      <c r="J59" s="1713"/>
      <c r="K59" s="1713"/>
      <c r="L59" s="1713"/>
      <c r="M59" s="1713"/>
      <c r="O59" s="1696"/>
      <c r="AH59" s="1690"/>
      <c r="AI59" s="1690"/>
      <c r="AJ59" s="1698"/>
      <c r="AK59" s="1700"/>
      <c r="BM59" s="1690"/>
      <c r="BU59" s="1698"/>
      <c r="XEN59" s="1713"/>
    </row>
    <row r="60" spans="1:83 16368:16368">
      <c r="A60" s="1690" t="b">
        <f>IF(COUNTIF(A67:A75,TRUE)&gt;0,TRUE,FALSE)</f>
        <v>0</v>
      </c>
      <c r="B60" s="1707"/>
      <c r="C60" s="1691"/>
      <c r="D60" s="1691"/>
      <c r="E60" s="1691"/>
      <c r="F60" s="2818" t="s">
        <v>1705</v>
      </c>
      <c r="G60" s="2818"/>
      <c r="H60" s="2818"/>
      <c r="I60" s="2818"/>
      <c r="J60" s="2818" t="s">
        <v>1703</v>
      </c>
      <c r="K60" s="2818"/>
      <c r="L60" s="2818"/>
      <c r="M60" s="2818"/>
      <c r="N60" s="1689" t="s">
        <v>1704</v>
      </c>
      <c r="O60" s="1697"/>
      <c r="P60" s="1697"/>
      <c r="Q60" s="1697"/>
      <c r="U60" s="2810" t="s">
        <v>1718</v>
      </c>
      <c r="V60" s="2805"/>
      <c r="W60" s="2805"/>
      <c r="X60" s="2805"/>
      <c r="Y60" s="2805"/>
      <c r="Z60" s="2805"/>
      <c r="AA60" s="2805"/>
      <c r="AB60" s="2805"/>
      <c r="AC60" s="2806"/>
      <c r="AD60" s="2805" t="s">
        <v>1836</v>
      </c>
      <c r="AE60" s="2805"/>
      <c r="AF60" s="2805"/>
      <c r="AG60" s="2805"/>
      <c r="AH60" s="2805"/>
      <c r="AI60" s="2806"/>
      <c r="AJ60" s="1692"/>
      <c r="AK60" s="1692"/>
      <c r="BM60" s="1690"/>
      <c r="BN60" s="1690"/>
      <c r="BO60" s="1690"/>
      <c r="BP60" s="1690"/>
      <c r="BQ60" s="1690"/>
      <c r="BR60" s="1690"/>
      <c r="BS60" s="1690"/>
      <c r="BT60" s="1690"/>
    </row>
    <row r="61" spans="1:83 16368:16368" ht="15">
      <c r="A61" s="1690" t="b">
        <f>IF(COUNTIF(A67:A75,TRUE)&gt;0,TRUE,FALSE)</f>
        <v>0</v>
      </c>
      <c r="B61" s="1726" t="s">
        <v>1761</v>
      </c>
      <c r="C61" s="1693"/>
      <c r="D61" s="1688"/>
      <c r="E61" s="1688"/>
      <c r="F61" s="1697" t="s">
        <v>1768</v>
      </c>
      <c r="G61" s="1697" t="s">
        <v>1769</v>
      </c>
      <c r="H61" s="1697" t="s">
        <v>1770</v>
      </c>
      <c r="I61" s="1697" t="s">
        <v>1771</v>
      </c>
      <c r="J61" s="1697" t="s">
        <v>1768</v>
      </c>
      <c r="K61" s="1697" t="s">
        <v>1769</v>
      </c>
      <c r="L61" s="1697" t="s">
        <v>1770</v>
      </c>
      <c r="M61" s="1697" t="s">
        <v>1771</v>
      </c>
      <c r="N61" s="1697" t="s">
        <v>1704</v>
      </c>
      <c r="O61" s="2821" t="s">
        <v>1779</v>
      </c>
      <c r="P61" s="2820" t="s">
        <v>1780</v>
      </c>
      <c r="Q61" s="2820" t="s">
        <v>1781</v>
      </c>
      <c r="U61" s="2810" t="s">
        <v>1719</v>
      </c>
      <c r="V61" s="2805"/>
      <c r="W61" s="2806"/>
      <c r="X61" s="2810" t="s">
        <v>1720</v>
      </c>
      <c r="Y61" s="2805"/>
      <c r="Z61" s="2806"/>
      <c r="AA61" s="2811" t="s">
        <v>1242</v>
      </c>
      <c r="AB61" s="2812"/>
      <c r="AC61" s="2813"/>
      <c r="AD61" s="2809" t="s">
        <v>1719</v>
      </c>
      <c r="AE61" s="2809"/>
      <c r="AF61" s="2809" t="s">
        <v>1720</v>
      </c>
      <c r="AG61" s="2809"/>
      <c r="AH61" s="2807" t="s">
        <v>1242</v>
      </c>
      <c r="AI61" s="2808"/>
      <c r="AJ61" s="1697"/>
      <c r="AK61" s="1697"/>
      <c r="BM61" s="1690"/>
      <c r="BN61" s="1690"/>
      <c r="BO61" s="1690"/>
      <c r="BP61" s="1690"/>
      <c r="BQ61" s="1690"/>
      <c r="BR61" s="1690"/>
      <c r="BS61" s="1690"/>
      <c r="BT61" s="1690"/>
    </row>
    <row r="62" spans="1:83 16368:16368" ht="13.5" customHeight="1">
      <c r="A62" s="1690" t="b">
        <f>IF(COUNTIF(A67:A75,TRUE)&gt;0,TRUE,FALSE)</f>
        <v>0</v>
      </c>
      <c r="B62" s="1691"/>
      <c r="C62" s="1748"/>
      <c r="D62" s="1748"/>
      <c r="E62" s="1749" t="s">
        <v>1766</v>
      </c>
      <c r="F62" s="1756"/>
      <c r="G62" s="1757"/>
      <c r="H62" s="1757"/>
      <c r="I62" s="1764"/>
      <c r="J62" s="1756"/>
      <c r="K62" s="1757"/>
      <c r="L62" s="1757"/>
      <c r="M62" s="1758"/>
      <c r="N62" s="1768"/>
      <c r="O62" s="2821"/>
      <c r="P62" s="2820"/>
      <c r="Q62" s="2820"/>
      <c r="U62" s="2816" t="s">
        <v>1717</v>
      </c>
      <c r="V62" s="2816"/>
      <c r="W62" s="2218"/>
      <c r="X62" s="2816" t="s">
        <v>1717</v>
      </c>
      <c r="Y62" s="2816"/>
      <c r="Z62" s="2218"/>
      <c r="AA62" s="2278"/>
      <c r="AB62" s="1915"/>
      <c r="AC62" s="1916"/>
      <c r="AD62" s="2274"/>
      <c r="AE62" s="2274"/>
      <c r="AF62" s="2274"/>
      <c r="AG62" s="2274"/>
      <c r="AH62" s="2278"/>
      <c r="AI62" s="1916"/>
      <c r="AJ62" s="1697"/>
      <c r="AK62" s="1697"/>
      <c r="BM62" s="1690"/>
      <c r="BN62" s="1690"/>
      <c r="BO62" s="1690"/>
      <c r="BP62" s="1690"/>
      <c r="BQ62" s="1690"/>
      <c r="BR62" s="1690"/>
      <c r="BS62" s="1690"/>
      <c r="BT62" s="1690"/>
    </row>
    <row r="63" spans="1:83 16368:16368" ht="13.5" customHeight="1">
      <c r="A63" s="1690" t="b">
        <f>IF(COUNTIF(A67:A75,TRUE)&gt;0,TRUE,FALSE)</f>
        <v>0</v>
      </c>
      <c r="B63" s="1802">
        <f>'Non-Isokinetic'!A47</f>
        <v>0</v>
      </c>
      <c r="C63" s="1748"/>
      <c r="D63" s="1748"/>
      <c r="E63" s="1749" t="s">
        <v>1765</v>
      </c>
      <c r="F63" s="1759" t="str">
        <f>IF(F65="µg",1000,"")</f>
        <v/>
      </c>
      <c r="G63" s="1755" t="str">
        <f>IF(F65="µg",1000,"")</f>
        <v/>
      </c>
      <c r="H63" s="1755" t="str">
        <f>IF(F65="µg",1000,"")</f>
        <v/>
      </c>
      <c r="I63" s="1765" t="str">
        <f>IF(F65="µg",1000,"")</f>
        <v/>
      </c>
      <c r="J63" s="1759" t="str">
        <f>IF(F65="µg",1000,"")</f>
        <v/>
      </c>
      <c r="K63" s="1755" t="str">
        <f>IF(F65="µg",1000,"")</f>
        <v/>
      </c>
      <c r="L63" s="1755" t="str">
        <f>IF(F65="µg",1000,"")</f>
        <v/>
      </c>
      <c r="M63" s="1760" t="str">
        <f>IF(F65="µg",1000,"")</f>
        <v/>
      </c>
      <c r="N63" s="1769" t="str">
        <f>IF(F65="µg",1000,"")</f>
        <v/>
      </c>
      <c r="O63" s="1695"/>
      <c r="P63" s="1695"/>
      <c r="Q63" s="1695"/>
      <c r="U63" s="2819" t="e">
        <f>'Non-Isokinetic'!C56</f>
        <v>#VALUE!</v>
      </c>
      <c r="V63" s="2819"/>
      <c r="W63" s="1719"/>
      <c r="X63" s="2819" t="e">
        <f>'Non-Isokinetic'!D56</f>
        <v>#VALUE!</v>
      </c>
      <c r="Y63" s="2819"/>
      <c r="Z63" s="1719"/>
      <c r="AA63" s="2260"/>
      <c r="AB63" s="1894"/>
      <c r="AC63" s="2273"/>
      <c r="AD63" s="1712"/>
      <c r="AE63" s="1914" t="str">
        <f>VND</f>
        <v/>
      </c>
      <c r="AF63" s="1915"/>
      <c r="AG63" s="1916"/>
      <c r="AH63" s="2260"/>
      <c r="AI63" s="2273"/>
      <c r="AJ63" s="1697"/>
      <c r="AK63" s="1697"/>
      <c r="AM63" s="2816" t="s">
        <v>1743</v>
      </c>
      <c r="AN63" s="2816"/>
      <c r="AO63" s="2816"/>
      <c r="AP63" s="2816"/>
      <c r="AQ63" s="2816"/>
      <c r="AR63" s="2816"/>
      <c r="AS63" s="2816"/>
      <c r="AT63" s="2816"/>
      <c r="AU63" s="2816"/>
      <c r="AV63" s="1734"/>
      <c r="AW63" s="2816" t="str">
        <f>"Lab result (concentration - analysed compound) "&amp;F65</f>
        <v xml:space="preserve">Lab result (concentration - analysed compound) </v>
      </c>
      <c r="AX63" s="2816"/>
      <c r="AY63" s="2816"/>
      <c r="AZ63" s="2816"/>
      <c r="BA63" s="2816"/>
      <c r="BB63" s="2816"/>
      <c r="BC63" s="2816"/>
      <c r="BD63" s="2816"/>
      <c r="BE63" s="2816"/>
      <c r="BF63" s="1734"/>
      <c r="BG63" s="2816" t="s">
        <v>1772</v>
      </c>
      <c r="BH63" s="2816"/>
      <c r="BI63" s="2816"/>
      <c r="BJ63" s="2816"/>
      <c r="BK63" s="2816"/>
      <c r="BL63" s="2816"/>
      <c r="BM63" s="2816"/>
      <c r="BN63" s="2816"/>
      <c r="BO63" s="2816" t="s">
        <v>1774</v>
      </c>
      <c r="BP63" s="2816"/>
      <c r="BQ63" s="2816"/>
      <c r="BR63" s="2816"/>
      <c r="BS63" s="2816"/>
      <c r="BT63" s="2816"/>
      <c r="BU63" s="2816"/>
      <c r="BV63" s="2816"/>
      <c r="BW63" s="2816" t="s">
        <v>1705</v>
      </c>
      <c r="BX63" s="2816"/>
      <c r="BY63" s="2814" t="s">
        <v>1703</v>
      </c>
      <c r="BZ63" s="2814"/>
      <c r="CA63" s="2814" t="s">
        <v>1742</v>
      </c>
      <c r="CB63" s="2814"/>
      <c r="CC63" s="2814"/>
      <c r="CD63" s="2814"/>
      <c r="CE63" s="1690" t="s">
        <v>1778</v>
      </c>
    </row>
    <row r="64" spans="1:83 16368:16368" ht="13.5" customHeight="1">
      <c r="A64" s="1690" t="b">
        <f>IF(COUNTIF(A67:A75,TRUE)&gt;0,TRUE,FALSE)</f>
        <v>0</v>
      </c>
      <c r="B64" s="1691"/>
      <c r="C64" s="1748"/>
      <c r="D64" s="1748"/>
      <c r="E64" s="1749" t="s">
        <v>1764</v>
      </c>
      <c r="F64" s="1761">
        <v>1</v>
      </c>
      <c r="G64" s="1762">
        <v>1</v>
      </c>
      <c r="H64" s="1762">
        <v>1</v>
      </c>
      <c r="I64" s="1766">
        <v>1</v>
      </c>
      <c r="J64" s="1761">
        <v>1</v>
      </c>
      <c r="K64" s="1762">
        <v>1</v>
      </c>
      <c r="L64" s="1762">
        <v>1</v>
      </c>
      <c r="M64" s="1763">
        <v>1</v>
      </c>
      <c r="N64" s="1770">
        <v>1</v>
      </c>
      <c r="O64" s="1695"/>
      <c r="P64" s="1695"/>
      <c r="Q64" s="1695"/>
      <c r="U64" s="1900"/>
      <c r="V64" s="1905"/>
      <c r="W64" s="1838" t="s">
        <v>97</v>
      </c>
      <c r="X64" s="1907"/>
      <c r="Y64" s="1905"/>
      <c r="Z64" s="1838" t="s">
        <v>97</v>
      </c>
      <c r="AA64" s="1917"/>
      <c r="AB64" s="2275"/>
      <c r="AC64" s="2279" t="s">
        <v>97</v>
      </c>
      <c r="AD64" s="1917"/>
      <c r="AE64" s="1918"/>
      <c r="AF64" s="1918"/>
      <c r="AG64" s="1919"/>
      <c r="AH64" s="1917"/>
      <c r="AI64" s="1919"/>
      <c r="AJ64" s="1835"/>
      <c r="AK64" s="2815" t="s">
        <v>1707</v>
      </c>
      <c r="AL64" s="2815" t="s">
        <v>1767</v>
      </c>
      <c r="AM64" s="2816" t="s">
        <v>1705</v>
      </c>
      <c r="AN64" s="2816"/>
      <c r="AO64" s="2816"/>
      <c r="AP64" s="2816"/>
      <c r="AQ64" s="2816" t="s">
        <v>1703</v>
      </c>
      <c r="AR64" s="2816"/>
      <c r="AS64" s="2816"/>
      <c r="AT64" s="2816"/>
      <c r="AU64" s="1733" t="s">
        <v>1704</v>
      </c>
      <c r="AV64" s="1733"/>
      <c r="AW64" s="2816" t="s">
        <v>1705</v>
      </c>
      <c r="AX64" s="2816"/>
      <c r="AY64" s="2816"/>
      <c r="AZ64" s="2816"/>
      <c r="BA64" s="2816" t="s">
        <v>1703</v>
      </c>
      <c r="BB64" s="2816"/>
      <c r="BC64" s="2816"/>
      <c r="BD64" s="2816"/>
      <c r="BE64" s="1733" t="s">
        <v>1704</v>
      </c>
      <c r="BF64" s="1733"/>
      <c r="BG64" s="2816" t="s">
        <v>1705</v>
      </c>
      <c r="BH64" s="2816"/>
      <c r="BI64" s="2816"/>
      <c r="BJ64" s="2816"/>
      <c r="BK64" s="2816" t="s">
        <v>1703</v>
      </c>
      <c r="BL64" s="2816"/>
      <c r="BM64" s="2816"/>
      <c r="BN64" s="2816"/>
      <c r="BO64" s="2816" t="s">
        <v>1705</v>
      </c>
      <c r="BP64" s="2816"/>
      <c r="BQ64" s="2816"/>
      <c r="BR64" s="2816"/>
      <c r="BS64" s="2816" t="s">
        <v>1703</v>
      </c>
      <c r="BT64" s="2816"/>
      <c r="BU64" s="2816"/>
      <c r="BV64" s="2816"/>
      <c r="BW64" s="1732" t="s">
        <v>1741</v>
      </c>
      <c r="BX64" s="1736" t="s">
        <v>1740</v>
      </c>
      <c r="BY64" s="1737" t="s">
        <v>1741</v>
      </c>
      <c r="BZ64" s="1736" t="s">
        <v>1740</v>
      </c>
      <c r="CA64" s="2817" t="s">
        <v>1738</v>
      </c>
      <c r="CB64" s="2817"/>
      <c r="CC64" s="2810" t="s">
        <v>1739</v>
      </c>
      <c r="CD64" s="2806"/>
    </row>
    <row r="65" spans="1:83 16367:16368">
      <c r="A65" s="1690" t="b">
        <f>IF(COUNTIF(A67:A75,TRUE)&gt;0,TRUE,FALSE)</f>
        <v>0</v>
      </c>
      <c r="B65" s="1691" t="s">
        <v>1284</v>
      </c>
      <c r="C65" s="1748"/>
      <c r="D65" s="1750"/>
      <c r="E65" s="1749" t="s">
        <v>1775</v>
      </c>
      <c r="F65" s="1771"/>
      <c r="G65" s="1775" t="e">
        <f>VLOOKUP(F65,$C$1:$D$5,2,FALSE)</f>
        <v>#N/A</v>
      </c>
      <c r="H65" s="1776"/>
      <c r="I65" s="1776"/>
      <c r="J65" s="1776"/>
      <c r="K65" s="1776"/>
      <c r="L65" s="1776"/>
      <c r="M65" s="1776"/>
      <c r="N65" s="1777"/>
      <c r="O65" s="1692"/>
      <c r="P65" s="1697" t="s">
        <v>1708</v>
      </c>
      <c r="Q65" s="1697"/>
      <c r="U65" s="2041"/>
      <c r="V65" s="2042" t="str">
        <f>CU</f>
        <v>mg/m³</v>
      </c>
      <c r="W65" s="2337" t="str">
        <f>V65</f>
        <v>mg/m³</v>
      </c>
      <c r="X65" s="2041"/>
      <c r="Y65" s="2042" t="str">
        <f>CU</f>
        <v>mg/m³</v>
      </c>
      <c r="Z65" s="2337" t="str">
        <f>Y65</f>
        <v>mg/m³</v>
      </c>
      <c r="AA65" s="2339"/>
      <c r="AB65" s="2340" t="str">
        <f>Z65</f>
        <v>mg/m³</v>
      </c>
      <c r="AC65" s="2340" t="str">
        <f>V65</f>
        <v>mg/m³</v>
      </c>
      <c r="AD65" s="2043"/>
      <c r="AE65" s="2044" t="str">
        <f>MRU</f>
        <v>g/min</v>
      </c>
      <c r="AF65" s="2043"/>
      <c r="AG65" s="2044" t="str">
        <f>MRU</f>
        <v>g/min</v>
      </c>
      <c r="AH65" s="2267"/>
      <c r="AI65" s="2268" t="str">
        <f>MRU</f>
        <v>g/min</v>
      </c>
      <c r="AJ65" s="1835" t="s">
        <v>1706</v>
      </c>
      <c r="AK65" s="2815"/>
      <c r="AL65" s="2815"/>
      <c r="AM65" s="1734" t="s">
        <v>1768</v>
      </c>
      <c r="AN65" s="1734" t="s">
        <v>1769</v>
      </c>
      <c r="AO65" s="1734" t="s">
        <v>1770</v>
      </c>
      <c r="AP65" s="1734" t="s">
        <v>1771</v>
      </c>
      <c r="AQ65" s="1734" t="s">
        <v>1768</v>
      </c>
      <c r="AR65" s="1734" t="s">
        <v>1769</v>
      </c>
      <c r="AS65" s="1734" t="s">
        <v>1770</v>
      </c>
      <c r="AT65" s="1734" t="s">
        <v>1771</v>
      </c>
      <c r="AU65" s="1734" t="s">
        <v>1704</v>
      </c>
      <c r="AV65" s="1734"/>
      <c r="AW65" s="1734" t="s">
        <v>1768</v>
      </c>
      <c r="AX65" s="1734" t="s">
        <v>1769</v>
      </c>
      <c r="AY65" s="1734" t="s">
        <v>1770</v>
      </c>
      <c r="AZ65" s="1734" t="s">
        <v>1771</v>
      </c>
      <c r="BA65" s="1734" t="s">
        <v>1768</v>
      </c>
      <c r="BB65" s="1734" t="s">
        <v>1769</v>
      </c>
      <c r="BC65" s="1734" t="s">
        <v>1770</v>
      </c>
      <c r="BD65" s="1734" t="s">
        <v>1771</v>
      </c>
      <c r="BE65" s="1734">
        <f>F65</f>
        <v>0</v>
      </c>
      <c r="BF65" s="1734"/>
      <c r="BG65" s="1734" t="s">
        <v>1768</v>
      </c>
      <c r="BH65" s="1734" t="s">
        <v>1769</v>
      </c>
      <c r="BI65" s="1734" t="s">
        <v>1770</v>
      </c>
      <c r="BJ65" s="1734" t="s">
        <v>1771</v>
      </c>
      <c r="BK65" s="1734" t="s">
        <v>1768</v>
      </c>
      <c r="BL65" s="1734" t="s">
        <v>1769</v>
      </c>
      <c r="BM65" s="1734" t="s">
        <v>1770</v>
      </c>
      <c r="BN65" s="1734" t="s">
        <v>1771</v>
      </c>
      <c r="BO65" s="1734" t="s">
        <v>1768</v>
      </c>
      <c r="BP65" s="1734" t="s">
        <v>1769</v>
      </c>
      <c r="BQ65" s="1734" t="s">
        <v>1770</v>
      </c>
      <c r="BR65" s="1734" t="s">
        <v>1771</v>
      </c>
      <c r="BS65" s="1734" t="s">
        <v>1768</v>
      </c>
      <c r="BT65" s="1734" t="s">
        <v>1769</v>
      </c>
      <c r="BU65" s="1734" t="s">
        <v>1770</v>
      </c>
      <c r="BV65" s="1734" t="s">
        <v>1771</v>
      </c>
      <c r="BW65" s="1734" t="s">
        <v>1427</v>
      </c>
      <c r="BX65" s="1734" t="s">
        <v>1427</v>
      </c>
      <c r="BY65" s="1734"/>
      <c r="BZ65" s="1734" t="s">
        <v>1427</v>
      </c>
      <c r="CA65" s="1734" t="s">
        <v>819</v>
      </c>
      <c r="CB65" s="1734" t="s">
        <v>1427</v>
      </c>
      <c r="CC65" s="1734" t="s">
        <v>819</v>
      </c>
      <c r="CD65" s="1734" t="s">
        <v>1427</v>
      </c>
    </row>
    <row r="66" spans="1:83 16367:16368" ht="10.5" customHeight="1">
      <c r="A66" s="1690" t="b">
        <f>IF(COUNTIF(A67:A75,TRUE)&gt;0,TRUE,FALSE)</f>
        <v>0</v>
      </c>
      <c r="B66" s="1691"/>
      <c r="C66" s="1750" t="s">
        <v>1776</v>
      </c>
      <c r="D66" s="1750" t="s">
        <v>1437</v>
      </c>
      <c r="E66" s="1750" t="s">
        <v>1777</v>
      </c>
      <c r="F66" s="1723"/>
      <c r="G66" s="1746"/>
      <c r="H66" s="1746"/>
      <c r="I66" s="1746"/>
      <c r="J66" s="1746"/>
      <c r="K66" s="1746"/>
      <c r="L66" s="1746"/>
      <c r="M66" s="1746"/>
      <c r="N66" s="1747"/>
      <c r="O66" s="1692"/>
      <c r="P66" s="1697"/>
      <c r="Q66" s="1697"/>
      <c r="U66" s="1895"/>
      <c r="V66" s="1906">
        <f>VLOOKUP(V65,ConcTable,2,FALSE)</f>
        <v>1000000</v>
      </c>
      <c r="W66" s="1896"/>
      <c r="X66" s="1908"/>
      <c r="Y66" s="1906">
        <f>VLOOKUP(Y65,ConcTable,2,FALSE)</f>
        <v>1000000</v>
      </c>
      <c r="Z66" s="1896"/>
      <c r="AA66" s="1908"/>
      <c r="AB66" s="1906"/>
      <c r="AC66" s="1896"/>
      <c r="AD66" s="1910"/>
      <c r="AE66" s="1897">
        <f>VLOOKUP(AE65,MassRateTable,2,FALSE)</f>
        <v>60</v>
      </c>
      <c r="AF66" s="1910"/>
      <c r="AG66" s="1897">
        <f>VLOOKUP(AG65,MassRateTable,2,FALSE)</f>
        <v>60</v>
      </c>
      <c r="AH66" s="2269"/>
      <c r="AI66" s="2270"/>
      <c r="AJ66" s="1836"/>
      <c r="AK66" s="1836"/>
      <c r="AM66" s="1697"/>
      <c r="AN66" s="1697"/>
      <c r="AO66" s="1697"/>
      <c r="AP66" s="1697"/>
      <c r="AQ66" s="1697"/>
      <c r="AR66" s="1697"/>
      <c r="AS66" s="1697"/>
      <c r="AT66" s="1697"/>
      <c r="AU66" s="1697"/>
      <c r="AV66" s="1697"/>
      <c r="AW66" s="1697"/>
      <c r="AX66" s="1697"/>
      <c r="AY66" s="1697"/>
      <c r="AZ66" s="1697"/>
      <c r="BA66" s="1697"/>
      <c r="BB66" s="1697"/>
      <c r="BC66" s="1697"/>
      <c r="BD66" s="1697"/>
      <c r="BE66" s="1697"/>
      <c r="BF66" s="1697"/>
      <c r="BM66" s="1690"/>
      <c r="BN66" s="1690"/>
      <c r="BO66" s="1690"/>
      <c r="BP66" s="1690"/>
      <c r="BQ66" s="1690"/>
      <c r="BR66" s="1690"/>
      <c r="BS66" s="1690"/>
      <c r="BT66" s="1690"/>
    </row>
    <row r="67" spans="1:83 16367:16368">
      <c r="A67" s="1690" t="b">
        <f t="shared" ref="A67:A75" si="197">IF(B67=0,FALSE,TRUE)</f>
        <v>0</v>
      </c>
      <c r="B67" s="1701">
        <f>'Non-Isokinetic'!A49</f>
        <v>0</v>
      </c>
      <c r="C67" s="1752" t="e">
        <f t="shared" ref="C67:C75" si="198">VLOOKUP(B67,AnalyteTable,5,FALSE)</f>
        <v>#N/A</v>
      </c>
      <c r="D67" s="1704" t="e">
        <f t="shared" ref="D67:D75" si="199">VLOOKUP(B67,AnalyteTable,7,FALSE)</f>
        <v>#N/A</v>
      </c>
      <c r="E67" s="1796" t="e">
        <f t="shared" ref="E67:E75" si="200">VLOOKUP(D67,PQLTable,8,FALSE)</f>
        <v>#N/A</v>
      </c>
      <c r="F67" s="1756"/>
      <c r="G67" s="1757"/>
      <c r="H67" s="1757"/>
      <c r="I67" s="1764"/>
      <c r="J67" s="1756"/>
      <c r="K67" s="1757"/>
      <c r="L67" s="1757"/>
      <c r="M67" s="1764"/>
      <c r="N67" s="1772"/>
      <c r="O67" s="1692" t="str">
        <f t="shared" ref="O67:O75" si="201">IF(B67=0,"",IF(SUM(V67,Y67)=0,"no result",IF(COUNT(V67:Y67)=1,"Single Result","")))</f>
        <v/>
      </c>
      <c r="P67" s="1692">
        <f t="shared" ref="P67:P75" si="202">IF(OR(V67="",Y67=""),0,ABS((MAX(V67:Y67)-MIN(V67:Y67))/AVERAGE(V67:Y67)))</f>
        <v>0</v>
      </c>
      <c r="Q67" s="1692" t="str">
        <f>IF(OR(BH67&gt;(0.2*BG67),BI67&gt;(0.2*BH67),BJ67&gt;(0.2*BI67),BL67&gt;(0.2*BK67),BM67&gt;(0.2*BL67),BN67&gt;(0.2*BM67)),"Breakthrough?","")</f>
        <v/>
      </c>
      <c r="U67" s="1898" t="str">
        <f t="shared" ref="U67:U75" si="203">CA67</f>
        <v/>
      </c>
      <c r="V67" s="1720" t="str">
        <f>IF(COUNT(F67:I67)=0,"",Conc1(CB67,U$63,$AJ67,MolVol,Pitots!$E$49,Pitots!$F$49,V$65,V$66,VoF))</f>
        <v/>
      </c>
      <c r="W67" s="1719" t="str">
        <f t="shared" ref="W67:W75" si="204">IF($B67=0,"",V67*CorrFactor)</f>
        <v/>
      </c>
      <c r="X67" s="1718" t="str">
        <f t="shared" ref="X67:X75" si="205">CC67</f>
        <v/>
      </c>
      <c r="Y67" s="1720" t="str">
        <f>IF(COUNT(J67:M67)=0,"",Conc1(CD67,X$63,$AJ67,MolVol,Pitots!$E$49,Pitots!$F$49,Y$65,Y$66,VoF))</f>
        <v/>
      </c>
      <c r="Z67" s="1719" t="str">
        <f t="shared" ref="Z67:Z75" si="206">IF($B67=0,"",Y67*CorrFactor)</f>
        <v/>
      </c>
      <c r="AA67" s="2264" t="str">
        <f>IF(AND(U67="",X67=""),"",IF(OR(U67="",X67=""),"≤",""))</f>
        <v/>
      </c>
      <c r="AB67" s="1720" t="str">
        <f t="shared" ref="AB67:AB75" si="207">IF(OR(V67="",Y67=""),"",AVERAGE(V67,Y67))</f>
        <v/>
      </c>
      <c r="AC67" s="1719" t="str">
        <f t="shared" ref="AC67:AC75" si="208">IF($B67=0,"",AB67*CorrFactor)</f>
        <v/>
      </c>
      <c r="AD67" s="1911" t="str">
        <f t="shared" ref="AD67:AD75" si="209">IF(OR(U67="&lt;",VND="&lt;"),"&lt;","")</f>
        <v/>
      </c>
      <c r="AE67" s="1899" t="str">
        <f>IF(V67="","",MassRate(V67,$AJ67,MolVol,V$65,V$66,MRU,MRF,AverageFlowDry,FF))</f>
        <v/>
      </c>
      <c r="AF67" s="1911" t="str">
        <f t="shared" ref="AF67:AF75" si="210">IF(OR(X67="&lt;",VND="&lt;"),"&lt;","")</f>
        <v/>
      </c>
      <c r="AG67" s="1899" t="str">
        <f>IF(Y67="","",MassRate(Y67,$AJ67,MolVol,Y$65,Y$66,MRU,MRF,AverageFlowDry,FF))</f>
        <v/>
      </c>
      <c r="AH67" s="2264" t="str">
        <f>IF(AND(AD67="",AF67=""),"",IF(OR(AD67="",AF67=""),"≤",""))</f>
        <v/>
      </c>
      <c r="AI67" s="1899" t="str">
        <f>IF(AB67="","",AVERAGE(AE67,AG67))</f>
        <v/>
      </c>
      <c r="AJ67" s="1752" t="e">
        <f t="shared" ref="AJ67:AJ75" si="211">VLOOKUP(C67,PQLTable,4,FALSE)</f>
        <v>#N/A</v>
      </c>
      <c r="AK67" s="1796" t="e">
        <f t="shared" ref="AK67:AK75" si="212">VLOOKUP(D67,PQLTable,6,FALSE)</f>
        <v>#N/A</v>
      </c>
      <c r="AL67" s="1871" t="e">
        <f t="shared" ref="AL67:AL75" si="213">AJ67/AK67</f>
        <v>#N/A</v>
      </c>
      <c r="AM67" s="1718" t="str">
        <f t="shared" ref="AM67:AM75" si="214">LEFT(F67,(LEFT(F67)="&lt;"))</f>
        <v/>
      </c>
      <c r="AN67" s="1718" t="str">
        <f t="shared" ref="AN67:AN75" si="215">LEFT(G67,(LEFT(G67)="&lt;"))</f>
        <v/>
      </c>
      <c r="AO67" s="1718" t="str">
        <f t="shared" ref="AO67:AO75" si="216">LEFT(H67,(LEFT(H67)="&lt;"))</f>
        <v/>
      </c>
      <c r="AP67" s="1718" t="str">
        <f t="shared" ref="AP67:AP75" si="217">LEFT(I67,(LEFT(I67)="&lt;"))</f>
        <v/>
      </c>
      <c r="AQ67" s="1718" t="str">
        <f t="shared" ref="AQ67:AQ75" si="218">LEFT(J67,(LEFT(J67)="&lt;"))</f>
        <v/>
      </c>
      <c r="AR67" s="1718" t="str">
        <f t="shared" ref="AR67:AR75" si="219">LEFT(K67,(LEFT(K67)="&lt;"))</f>
        <v/>
      </c>
      <c r="AS67" s="1718" t="str">
        <f t="shared" ref="AS67:AS75" si="220">LEFT(L67,(LEFT(L67)="&lt;"))</f>
        <v/>
      </c>
      <c r="AT67" s="1718" t="str">
        <f t="shared" ref="AT67:AT75" si="221">LEFT(M67,(LEFT(M67)="&lt;"))</f>
        <v/>
      </c>
      <c r="AU67" s="1718" t="str">
        <f t="shared" ref="AU67:AU75" si="222">LEFT(N67,(LEFT(N67)="&lt;"))</f>
        <v/>
      </c>
      <c r="AV67" s="1718"/>
      <c r="AW67" s="1718" t="str">
        <f t="shared" ref="AW67:AW75" si="223">IF(F67="","",VALUE(RIGHT(F67,LEN(F67)-(LEFT(F67)="&lt;"))))</f>
        <v/>
      </c>
      <c r="AX67" s="1718" t="str">
        <f t="shared" ref="AX67:AX75" si="224">IF(G67="","",VALUE(RIGHT(G67,LEN(G67)-(LEFT(G67)="&lt;"))))</f>
        <v/>
      </c>
      <c r="AY67" s="1718" t="str">
        <f t="shared" ref="AY67:AY75" si="225">IF(H67="","",VALUE(RIGHT(H67,LEN(H67)-(LEFT(H67)="&lt;"))))</f>
        <v/>
      </c>
      <c r="AZ67" s="1718" t="str">
        <f t="shared" ref="AZ67:AZ75" si="226">IF(I67="","",VALUE(RIGHT(I67,LEN(I67)-(LEFT(I67)="&lt;"))))</f>
        <v/>
      </c>
      <c r="BA67" s="1718" t="str">
        <f t="shared" ref="BA67:BA75" si="227">IF(J67="","",VALUE(RIGHT(J67,LEN(J67)-(LEFT(J67)="&lt;"))))</f>
        <v/>
      </c>
      <c r="BB67" s="1718" t="str">
        <f t="shared" ref="BB67:BB75" si="228">IF(K67="","",VALUE(RIGHT(K67,LEN(K67)-(LEFT(K67)="&lt;"))))</f>
        <v/>
      </c>
      <c r="BC67" s="1718" t="str">
        <f t="shared" ref="BC67:BC75" si="229">IF(L67="","",VALUE(RIGHT(L67,LEN(L67)-(LEFT(L67)="&lt;"))))</f>
        <v/>
      </c>
      <c r="BD67" s="1718" t="str">
        <f t="shared" ref="BD67:BD75" si="230">IF(M67="","",VALUE(RIGHT(M67,LEN(M67)-(LEFT(M67)="&lt;"))))</f>
        <v/>
      </c>
      <c r="BE67" s="1738">
        <f t="shared" ref="BE67:BE75" si="231">IF(OR(AU67="&lt;",N67=""),0,VALUE(RIGHT(N67,LEN(N67)-(LEFT(N67)="&lt;"))))</f>
        <v>0</v>
      </c>
      <c r="BF67" s="1718"/>
      <c r="BG67" s="1718">
        <f t="shared" ref="BG67:BN67" si="232">IF(F67="",0,IF(OR((AW67-$BE67)&lt;BO67,AM67="&lt;"),0,AW67-$BE67)*$AL67*1000/F63/$G65*1000000)</f>
        <v>0</v>
      </c>
      <c r="BH67" s="1718">
        <f t="shared" si="232"/>
        <v>0</v>
      </c>
      <c r="BI67" s="1718">
        <f t="shared" si="232"/>
        <v>0</v>
      </c>
      <c r="BJ67" s="1718">
        <f t="shared" si="232"/>
        <v>0</v>
      </c>
      <c r="BK67" s="1718">
        <f t="shared" si="232"/>
        <v>0</v>
      </c>
      <c r="BL67" s="1718">
        <f t="shared" si="232"/>
        <v>0</v>
      </c>
      <c r="BM67" s="1718">
        <f t="shared" si="232"/>
        <v>0</v>
      </c>
      <c r="BN67" s="1718">
        <f t="shared" si="232"/>
        <v>0</v>
      </c>
      <c r="BO67" s="1712">
        <f t="shared" ref="BO67:BV67" si="233">IF(F67="",0,$E67*$AL67*1000/$F63/$G65*1000000)</f>
        <v>0</v>
      </c>
      <c r="BP67" s="1712">
        <f t="shared" si="233"/>
        <v>0</v>
      </c>
      <c r="BQ67" s="1712">
        <f t="shared" si="233"/>
        <v>0</v>
      </c>
      <c r="BR67" s="1712">
        <f t="shared" si="233"/>
        <v>0</v>
      </c>
      <c r="BS67" s="1712">
        <f t="shared" si="233"/>
        <v>0</v>
      </c>
      <c r="BT67" s="1712">
        <f t="shared" si="233"/>
        <v>0</v>
      </c>
      <c r="BU67" s="1712">
        <f t="shared" si="233"/>
        <v>0</v>
      </c>
      <c r="BV67" s="1712">
        <f t="shared" si="233"/>
        <v>0</v>
      </c>
      <c r="BW67" s="1741">
        <f t="shared" ref="BW67:BW75" si="234">SUM(BO67:BR67)</f>
        <v>0</v>
      </c>
      <c r="BX67" s="1713">
        <f t="shared" ref="BX67:BX75" si="235">SUM(BG67:BJ67)</f>
        <v>0</v>
      </c>
      <c r="BY67" s="1741">
        <f t="shared" ref="BY67:BY75" si="236">SUM(BS67:BV67)</f>
        <v>0</v>
      </c>
      <c r="BZ67" s="1713">
        <f t="shared" ref="BZ67:BZ75" si="237">SUM(BK67:BN67)</f>
        <v>0</v>
      </c>
      <c r="CA67" s="1712" t="str">
        <f t="shared" ref="CA67:CA75" si="238">IF(BX67&gt;=$BW67,"","&lt;")</f>
        <v/>
      </c>
      <c r="CB67" s="1720">
        <f t="shared" ref="CB67:CB75" si="239">IF(CA67="",BX67,(IF(BG67=0,BO67,0)+IF(BH67=0,BP67,0)+IF(BI67=0,BQ67,0)+IF(BJ67=0,BR67,0)+BX67))</f>
        <v>0</v>
      </c>
      <c r="CC67" s="1712" t="str">
        <f t="shared" ref="CC67:CC75" si="240">IF(BZ67&gt;=BY67,"","&lt;")</f>
        <v/>
      </c>
      <c r="CD67" s="1720">
        <f t="shared" ref="CD67:CD75" si="241">IF(CC67="",BZ67,(IF(BK67=0,BS67,0)+IF(BL67=0,BT67,0)+IF(BM67=0,BU67,0)+IF(BN67=0,BV67,0)+BZ67))</f>
        <v>0</v>
      </c>
      <c r="CE67" s="1690" t="str">
        <f>IF(OR(BH67&gt;(0.2*BG67),BI67&gt;(0.2*BH67),BJ67&gt;(0.2*BI67),BL67&gt;(0.2*BK67),BM67&gt;(0.2*BL67),BN67&gt;(0.2*BM67)),"Breakthrough","")</f>
        <v/>
      </c>
    </row>
    <row r="68" spans="1:83 16367:16368">
      <c r="A68" s="1690" t="b">
        <f t="shared" si="197"/>
        <v>0</v>
      </c>
      <c r="B68" s="1702">
        <f>'Non-Isokinetic'!A50</f>
        <v>0</v>
      </c>
      <c r="C68" s="1753" t="e">
        <f t="shared" si="198"/>
        <v>#N/A</v>
      </c>
      <c r="D68" s="1705" t="e">
        <f t="shared" si="199"/>
        <v>#N/A</v>
      </c>
      <c r="E68" s="1744" t="e">
        <f t="shared" si="200"/>
        <v>#N/A</v>
      </c>
      <c r="F68" s="1759"/>
      <c r="G68" s="1755"/>
      <c r="H68" s="1755"/>
      <c r="I68" s="1765"/>
      <c r="J68" s="1759"/>
      <c r="K68" s="1755"/>
      <c r="L68" s="1755"/>
      <c r="M68" s="1765"/>
      <c r="N68" s="1773"/>
      <c r="O68" s="1692" t="str">
        <f t="shared" si="201"/>
        <v/>
      </c>
      <c r="P68" s="1692">
        <f t="shared" si="202"/>
        <v>0</v>
      </c>
      <c r="Q68" s="1692" t="str">
        <f t="shared" ref="Q68:Q75" si="242">IF(OR(BH68&gt;(0.2*BG68),BI68&gt;(0.2*BH68),BJ68&gt;(0.2*BI68)),"Breakthrough?","")</f>
        <v/>
      </c>
      <c r="U68" s="1900" t="str">
        <f t="shared" si="203"/>
        <v/>
      </c>
      <c r="V68" s="1904" t="str">
        <f>IF(COUNT(F68:I68)=0,"",Conc1(CB68,U$63,$AJ68,MolVol,Pitots!$E$49,Pitots!$F$49,V$65,V$66,VoF))</f>
        <v/>
      </c>
      <c r="W68" s="1841" t="str">
        <f t="shared" si="204"/>
        <v/>
      </c>
      <c r="X68" s="1909" t="str">
        <f t="shared" si="205"/>
        <v/>
      </c>
      <c r="Y68" s="1904" t="str">
        <f>IF(COUNT(J68:M68)=0,"",Conc1(CD68,X$63,$AJ68,MolVol,Pitots!$E$49,Pitots!$F$49,Y$65,Y$66,VoF))</f>
        <v/>
      </c>
      <c r="Z68" s="1841" t="str">
        <f t="shared" si="206"/>
        <v/>
      </c>
      <c r="AA68" s="1909" t="str">
        <f t="shared" ref="AA68:AA75" si="243">IF(AND(U68="",X68=""),"",IF(OR(U68="",X68=""),"≤",""))</f>
        <v/>
      </c>
      <c r="AB68" s="2358" t="str">
        <f t="shared" si="207"/>
        <v/>
      </c>
      <c r="AC68" s="1841" t="str">
        <f t="shared" si="208"/>
        <v/>
      </c>
      <c r="AD68" s="1912" t="str">
        <f t="shared" si="209"/>
        <v/>
      </c>
      <c r="AE68" s="1901" t="str">
        <f>IF(V68="","",MassRate(V68,$AJ68,MolVol,V$65,V$66,MRU,MRF,AverageFlowDry,FF))</f>
        <v/>
      </c>
      <c r="AF68" s="1912" t="str">
        <f t="shared" si="210"/>
        <v/>
      </c>
      <c r="AG68" s="1901" t="str">
        <f>IF(Y68="","",MassRate(Y68,$AJ68,MolVol,Y$65,Y$66,MRU,MRF,AverageFlowDry,FF))</f>
        <v/>
      </c>
      <c r="AH68" s="2265" t="str">
        <f t="shared" ref="AH68:AH75" si="244">IF(AND(AD68="",AF68=""),"",IF(OR(AD68="",AF68=""),"≤",""))</f>
        <v/>
      </c>
      <c r="AI68" s="1901" t="str">
        <f t="shared" ref="AI68:AI75" si="245">IF(AB68="","",AVERAGE(AE68,AG68))</f>
        <v/>
      </c>
      <c r="AJ68" s="1753" t="e">
        <f t="shared" si="211"/>
        <v>#N/A</v>
      </c>
      <c r="AK68" s="1744" t="e">
        <f t="shared" si="212"/>
        <v>#N/A</v>
      </c>
      <c r="AL68" s="1872" t="e">
        <f t="shared" si="213"/>
        <v>#N/A</v>
      </c>
      <c r="AM68" s="1721" t="str">
        <f t="shared" si="214"/>
        <v/>
      </c>
      <c r="AN68" s="1721" t="str">
        <f t="shared" si="215"/>
        <v/>
      </c>
      <c r="AO68" s="1721" t="str">
        <f t="shared" si="216"/>
        <v/>
      </c>
      <c r="AP68" s="1721" t="str">
        <f t="shared" si="217"/>
        <v/>
      </c>
      <c r="AQ68" s="1721" t="str">
        <f t="shared" si="218"/>
        <v/>
      </c>
      <c r="AR68" s="1721" t="str">
        <f t="shared" si="219"/>
        <v/>
      </c>
      <c r="AS68" s="1721" t="str">
        <f t="shared" si="220"/>
        <v/>
      </c>
      <c r="AT68" s="1721" t="str">
        <f t="shared" si="221"/>
        <v/>
      </c>
      <c r="AU68" s="1721" t="str">
        <f t="shared" si="222"/>
        <v/>
      </c>
      <c r="AV68" s="1721"/>
      <c r="AW68" s="1721" t="str">
        <f t="shared" si="223"/>
        <v/>
      </c>
      <c r="AX68" s="1721" t="str">
        <f t="shared" si="224"/>
        <v/>
      </c>
      <c r="AY68" s="1721" t="str">
        <f t="shared" si="225"/>
        <v/>
      </c>
      <c r="AZ68" s="1721" t="str">
        <f t="shared" si="226"/>
        <v/>
      </c>
      <c r="BA68" s="1721" t="str">
        <f t="shared" si="227"/>
        <v/>
      </c>
      <c r="BB68" s="1721" t="str">
        <f t="shared" si="228"/>
        <v/>
      </c>
      <c r="BC68" s="1721" t="str">
        <f t="shared" si="229"/>
        <v/>
      </c>
      <c r="BD68" s="1721" t="str">
        <f t="shared" si="230"/>
        <v/>
      </c>
      <c r="BE68" s="1739">
        <f t="shared" si="231"/>
        <v>0</v>
      </c>
      <c r="BF68" s="1721"/>
      <c r="BG68" s="1721">
        <f t="shared" ref="BG68:BN68" si="246">IF(F68="",0,IF(OR((AW68-$BE68)&lt;BO68,AM68="&lt;"),0,AW68-$BE68)*$AL68*1000/F63/$G65*1000000)</f>
        <v>0</v>
      </c>
      <c r="BH68" s="1721">
        <f t="shared" si="246"/>
        <v>0</v>
      </c>
      <c r="BI68" s="1721">
        <f t="shared" si="246"/>
        <v>0</v>
      </c>
      <c r="BJ68" s="1721">
        <f t="shared" si="246"/>
        <v>0</v>
      </c>
      <c r="BK68" s="1721">
        <f t="shared" si="246"/>
        <v>0</v>
      </c>
      <c r="BL68" s="1721">
        <f t="shared" si="246"/>
        <v>0</v>
      </c>
      <c r="BM68" s="1721">
        <f t="shared" si="246"/>
        <v>0</v>
      </c>
      <c r="BN68" s="1721">
        <f t="shared" si="246"/>
        <v>0</v>
      </c>
      <c r="BO68" s="1715">
        <f t="shared" ref="BO68:BV68" si="247">IF(F68="",0,$E68*$AL68*1000/$F63/$G65*1000000)</f>
        <v>0</v>
      </c>
      <c r="BP68" s="1715">
        <f t="shared" si="247"/>
        <v>0</v>
      </c>
      <c r="BQ68" s="1715">
        <f t="shared" si="247"/>
        <v>0</v>
      </c>
      <c r="BR68" s="1715">
        <f t="shared" si="247"/>
        <v>0</v>
      </c>
      <c r="BS68" s="1715">
        <f t="shared" si="247"/>
        <v>0</v>
      </c>
      <c r="BT68" s="1715">
        <f t="shared" si="247"/>
        <v>0</v>
      </c>
      <c r="BU68" s="1715">
        <f t="shared" si="247"/>
        <v>0</v>
      </c>
      <c r="BV68" s="1715">
        <f t="shared" si="247"/>
        <v>0</v>
      </c>
      <c r="BW68" s="1742">
        <f t="shared" si="234"/>
        <v>0</v>
      </c>
      <c r="BX68" s="1690">
        <f t="shared" si="235"/>
        <v>0</v>
      </c>
      <c r="BY68" s="1742">
        <f t="shared" si="236"/>
        <v>0</v>
      </c>
      <c r="BZ68" s="1690">
        <f t="shared" si="237"/>
        <v>0</v>
      </c>
      <c r="CA68" s="1715" t="str">
        <f t="shared" si="238"/>
        <v/>
      </c>
      <c r="CB68" s="1722">
        <f t="shared" si="239"/>
        <v>0</v>
      </c>
      <c r="CC68" s="1715" t="str">
        <f t="shared" si="240"/>
        <v/>
      </c>
      <c r="CD68" s="1722">
        <f t="shared" si="241"/>
        <v>0</v>
      </c>
      <c r="CE68" s="1690" t="str">
        <f>IF(OR(BH68&gt;(0.2*BG68),BI68&gt;(0.2*BH68),BJ68&gt;(0.2*BI68)),"Breakthrough","")</f>
        <v/>
      </c>
    </row>
    <row r="69" spans="1:83 16367:16368">
      <c r="A69" s="1690" t="b">
        <f t="shared" si="197"/>
        <v>0</v>
      </c>
      <c r="B69" s="1702">
        <f>'Non-Isokinetic'!A51</f>
        <v>0</v>
      </c>
      <c r="C69" s="1753" t="e">
        <f t="shared" si="198"/>
        <v>#N/A</v>
      </c>
      <c r="D69" s="1705" t="e">
        <f t="shared" si="199"/>
        <v>#N/A</v>
      </c>
      <c r="E69" s="1744" t="e">
        <f t="shared" si="200"/>
        <v>#N/A</v>
      </c>
      <c r="F69" s="1759"/>
      <c r="G69" s="1755"/>
      <c r="H69" s="1755"/>
      <c r="I69" s="1765"/>
      <c r="J69" s="1759"/>
      <c r="K69" s="1755"/>
      <c r="L69" s="1755"/>
      <c r="M69" s="1765"/>
      <c r="N69" s="1773"/>
      <c r="O69" s="1692" t="str">
        <f t="shared" si="201"/>
        <v/>
      </c>
      <c r="P69" s="1692">
        <f t="shared" si="202"/>
        <v>0</v>
      </c>
      <c r="Q69" s="1692" t="str">
        <f t="shared" si="242"/>
        <v/>
      </c>
      <c r="U69" s="1900" t="str">
        <f t="shared" si="203"/>
        <v/>
      </c>
      <c r="V69" s="1904" t="str">
        <f>IF(COUNT(F69:I69)=0,"",Conc1(CB69,U$63,$AJ69,MolVol,Pitots!$E$49,Pitots!$F$49,V$65,V$66,VoF))</f>
        <v/>
      </c>
      <c r="W69" s="1841" t="str">
        <f t="shared" si="204"/>
        <v/>
      </c>
      <c r="X69" s="1909" t="str">
        <f t="shared" si="205"/>
        <v/>
      </c>
      <c r="Y69" s="1904" t="str">
        <f>IF(COUNT(J69:M69)=0,"",Conc1(CD69,X$63,$AJ69,MolVol,Pitots!$E$49,Pitots!$F$49,Y$65,Y$66,VoF))</f>
        <v/>
      </c>
      <c r="Z69" s="1841" t="str">
        <f t="shared" si="206"/>
        <v/>
      </c>
      <c r="AA69" s="1909" t="str">
        <f t="shared" si="243"/>
        <v/>
      </c>
      <c r="AB69" s="2358" t="str">
        <f t="shared" si="207"/>
        <v/>
      </c>
      <c r="AC69" s="1841" t="str">
        <f t="shared" si="208"/>
        <v/>
      </c>
      <c r="AD69" s="1912" t="str">
        <f t="shared" si="209"/>
        <v/>
      </c>
      <c r="AE69" s="1901" t="str">
        <f>IF(V69="","",MassRate(V69,$AJ69,MolVol,V$65,V$66,MRU,MRF,AverageFlowDry,FF))</f>
        <v/>
      </c>
      <c r="AF69" s="1912" t="str">
        <f t="shared" si="210"/>
        <v/>
      </c>
      <c r="AG69" s="1901" t="str">
        <f>IF(Y69="","",MassRate(Y69,$AJ69,MolVol,Y$65,Y$66,MRU,MRF,AverageFlowDry,FF))</f>
        <v/>
      </c>
      <c r="AH69" s="2265" t="str">
        <f t="shared" si="244"/>
        <v/>
      </c>
      <c r="AI69" s="1901" t="str">
        <f t="shared" si="245"/>
        <v/>
      </c>
      <c r="AJ69" s="1753" t="e">
        <f t="shared" si="211"/>
        <v>#N/A</v>
      </c>
      <c r="AK69" s="1744" t="e">
        <f t="shared" si="212"/>
        <v>#N/A</v>
      </c>
      <c r="AL69" s="1872" t="e">
        <f t="shared" si="213"/>
        <v>#N/A</v>
      </c>
      <c r="AM69" s="1721" t="str">
        <f t="shared" si="214"/>
        <v/>
      </c>
      <c r="AN69" s="1721" t="str">
        <f t="shared" si="215"/>
        <v/>
      </c>
      <c r="AO69" s="1721" t="str">
        <f t="shared" si="216"/>
        <v/>
      </c>
      <c r="AP69" s="1721" t="str">
        <f t="shared" si="217"/>
        <v/>
      </c>
      <c r="AQ69" s="1721" t="str">
        <f t="shared" si="218"/>
        <v/>
      </c>
      <c r="AR69" s="1721" t="str">
        <f t="shared" si="219"/>
        <v/>
      </c>
      <c r="AS69" s="1721" t="str">
        <f t="shared" si="220"/>
        <v/>
      </c>
      <c r="AT69" s="1721" t="str">
        <f t="shared" si="221"/>
        <v/>
      </c>
      <c r="AU69" s="1721" t="str">
        <f t="shared" si="222"/>
        <v/>
      </c>
      <c r="AV69" s="1721"/>
      <c r="AW69" s="1721" t="str">
        <f t="shared" si="223"/>
        <v/>
      </c>
      <c r="AX69" s="1721" t="str">
        <f t="shared" si="224"/>
        <v/>
      </c>
      <c r="AY69" s="1721" t="str">
        <f t="shared" si="225"/>
        <v/>
      </c>
      <c r="AZ69" s="1721" t="str">
        <f t="shared" si="226"/>
        <v/>
      </c>
      <c r="BA69" s="1721" t="str">
        <f t="shared" si="227"/>
        <v/>
      </c>
      <c r="BB69" s="1721" t="str">
        <f t="shared" si="228"/>
        <v/>
      </c>
      <c r="BC69" s="1721" t="str">
        <f t="shared" si="229"/>
        <v/>
      </c>
      <c r="BD69" s="1721" t="str">
        <f t="shared" si="230"/>
        <v/>
      </c>
      <c r="BE69" s="1739">
        <f t="shared" si="231"/>
        <v>0</v>
      </c>
      <c r="BF69" s="1721"/>
      <c r="BG69" s="1721">
        <f t="shared" ref="BG69:BN69" si="248">IF(F69="",0,IF(OR((AW69-$BE69)&lt;BO69,AM69="&lt;"),0,AW69-$BE69)*$AL69*1000/F63/$G65*1000000)</f>
        <v>0</v>
      </c>
      <c r="BH69" s="1721">
        <f t="shared" si="248"/>
        <v>0</v>
      </c>
      <c r="BI69" s="1721">
        <f t="shared" si="248"/>
        <v>0</v>
      </c>
      <c r="BJ69" s="1721">
        <f t="shared" si="248"/>
        <v>0</v>
      </c>
      <c r="BK69" s="1721">
        <f t="shared" si="248"/>
        <v>0</v>
      </c>
      <c r="BL69" s="1721">
        <f t="shared" si="248"/>
        <v>0</v>
      </c>
      <c r="BM69" s="1721">
        <f t="shared" si="248"/>
        <v>0</v>
      </c>
      <c r="BN69" s="1721">
        <f t="shared" si="248"/>
        <v>0</v>
      </c>
      <c r="BO69" s="1715">
        <f t="shared" ref="BO69:BV69" si="249">IF(F69="",0,$E69*$AL69*1000/$F63/$G65*1000000)</f>
        <v>0</v>
      </c>
      <c r="BP69" s="1715">
        <f t="shared" si="249"/>
        <v>0</v>
      </c>
      <c r="BQ69" s="1715">
        <f t="shared" si="249"/>
        <v>0</v>
      </c>
      <c r="BR69" s="1715">
        <f t="shared" si="249"/>
        <v>0</v>
      </c>
      <c r="BS69" s="1715">
        <f t="shared" si="249"/>
        <v>0</v>
      </c>
      <c r="BT69" s="1715">
        <f t="shared" si="249"/>
        <v>0</v>
      </c>
      <c r="BU69" s="1715">
        <f t="shared" si="249"/>
        <v>0</v>
      </c>
      <c r="BV69" s="1715">
        <f t="shared" si="249"/>
        <v>0</v>
      </c>
      <c r="BW69" s="1742">
        <f t="shared" si="234"/>
        <v>0</v>
      </c>
      <c r="BX69" s="1690">
        <f t="shared" si="235"/>
        <v>0</v>
      </c>
      <c r="BY69" s="1742">
        <f t="shared" si="236"/>
        <v>0</v>
      </c>
      <c r="BZ69" s="1690">
        <f t="shared" si="237"/>
        <v>0</v>
      </c>
      <c r="CA69" s="1715" t="str">
        <f t="shared" si="238"/>
        <v/>
      </c>
      <c r="CB69" s="1722">
        <f t="shared" si="239"/>
        <v>0</v>
      </c>
      <c r="CC69" s="1715" t="str">
        <f t="shared" si="240"/>
        <v/>
      </c>
      <c r="CD69" s="1722">
        <f t="shared" si="241"/>
        <v>0</v>
      </c>
      <c r="CE69" s="1690" t="str">
        <f>IF(OR(BH69&gt;(0.2*BG69),BI69&gt;(0.2*BH69),BJ69&gt;(0.2*BI69)),"Breakthrough","")</f>
        <v/>
      </c>
    </row>
    <row r="70" spans="1:83 16367:16368">
      <c r="A70" s="1690" t="b">
        <f t="shared" si="197"/>
        <v>0</v>
      </c>
      <c r="B70" s="1702">
        <f>'Non-Isokinetic'!A52</f>
        <v>0</v>
      </c>
      <c r="C70" s="1753" t="e">
        <f t="shared" si="198"/>
        <v>#N/A</v>
      </c>
      <c r="D70" s="1705" t="e">
        <f t="shared" si="199"/>
        <v>#N/A</v>
      </c>
      <c r="E70" s="1744" t="e">
        <f t="shared" si="200"/>
        <v>#N/A</v>
      </c>
      <c r="F70" s="1759"/>
      <c r="G70" s="1755"/>
      <c r="H70" s="1755"/>
      <c r="I70" s="1765"/>
      <c r="J70" s="1759"/>
      <c r="K70" s="1755"/>
      <c r="L70" s="1755"/>
      <c r="M70" s="1765"/>
      <c r="N70" s="1773"/>
      <c r="O70" s="1692" t="str">
        <f t="shared" si="201"/>
        <v/>
      </c>
      <c r="P70" s="1692">
        <f t="shared" si="202"/>
        <v>0</v>
      </c>
      <c r="Q70" s="1692" t="str">
        <f t="shared" si="242"/>
        <v/>
      </c>
      <c r="U70" s="1900" t="str">
        <f t="shared" si="203"/>
        <v/>
      </c>
      <c r="V70" s="1904" t="str">
        <f>IF(COUNT(F70:I70)=0,"",Conc1(CB70,U$63,$AJ70,MolVol,Pitots!$E$49,Pitots!$F$49,V$65,V$66,VoF))</f>
        <v/>
      </c>
      <c r="W70" s="1841" t="str">
        <f t="shared" si="204"/>
        <v/>
      </c>
      <c r="X70" s="1909" t="str">
        <f t="shared" si="205"/>
        <v/>
      </c>
      <c r="Y70" s="1904" t="str">
        <f>IF(COUNT(J70:M70)=0,"",Conc1(CD70,X$63,$AJ70,MolVol,Pitots!$E$49,Pitots!$F$49,Y$65,Y$66,VoF))</f>
        <v/>
      </c>
      <c r="Z70" s="1841" t="str">
        <f t="shared" si="206"/>
        <v/>
      </c>
      <c r="AA70" s="1909" t="str">
        <f t="shared" si="243"/>
        <v/>
      </c>
      <c r="AB70" s="2358" t="str">
        <f t="shared" si="207"/>
        <v/>
      </c>
      <c r="AC70" s="1841" t="str">
        <f t="shared" si="208"/>
        <v/>
      </c>
      <c r="AD70" s="1912" t="str">
        <f t="shared" si="209"/>
        <v/>
      </c>
      <c r="AE70" s="1901" t="str">
        <f>IF(V70="","",MassRate(V70,$AJ70,MolVol,V$65,V$66,MRU,MRF,AverageFlowDry,FF))</f>
        <v/>
      </c>
      <c r="AF70" s="1912" t="str">
        <f t="shared" si="210"/>
        <v/>
      </c>
      <c r="AG70" s="1901" t="str">
        <f>IF(Y70="","",MassRate(Y70,$AJ70,MolVol,Y$65,Y$66,MRU,MRF,AverageFlowDry,FF))</f>
        <v/>
      </c>
      <c r="AH70" s="2265" t="str">
        <f t="shared" si="244"/>
        <v/>
      </c>
      <c r="AI70" s="1901" t="str">
        <f t="shared" si="245"/>
        <v/>
      </c>
      <c r="AJ70" s="1753" t="e">
        <f t="shared" si="211"/>
        <v>#N/A</v>
      </c>
      <c r="AK70" s="1744" t="e">
        <f t="shared" si="212"/>
        <v>#N/A</v>
      </c>
      <c r="AL70" s="1872" t="e">
        <f t="shared" si="213"/>
        <v>#N/A</v>
      </c>
      <c r="AM70" s="1721" t="str">
        <f t="shared" si="214"/>
        <v/>
      </c>
      <c r="AN70" s="1721" t="str">
        <f t="shared" si="215"/>
        <v/>
      </c>
      <c r="AO70" s="1721" t="str">
        <f t="shared" si="216"/>
        <v/>
      </c>
      <c r="AP70" s="1721" t="str">
        <f t="shared" si="217"/>
        <v/>
      </c>
      <c r="AQ70" s="1721" t="str">
        <f t="shared" si="218"/>
        <v/>
      </c>
      <c r="AR70" s="1721" t="str">
        <f t="shared" si="219"/>
        <v/>
      </c>
      <c r="AS70" s="1721" t="str">
        <f t="shared" si="220"/>
        <v/>
      </c>
      <c r="AT70" s="1721" t="str">
        <f t="shared" si="221"/>
        <v/>
      </c>
      <c r="AU70" s="1721" t="str">
        <f t="shared" si="222"/>
        <v/>
      </c>
      <c r="AV70" s="1721"/>
      <c r="AW70" s="1721" t="str">
        <f t="shared" si="223"/>
        <v/>
      </c>
      <c r="AX70" s="1721" t="str">
        <f t="shared" si="224"/>
        <v/>
      </c>
      <c r="AY70" s="1721" t="str">
        <f t="shared" si="225"/>
        <v/>
      </c>
      <c r="AZ70" s="1721" t="str">
        <f t="shared" si="226"/>
        <v/>
      </c>
      <c r="BA70" s="1721" t="str">
        <f t="shared" si="227"/>
        <v/>
      </c>
      <c r="BB70" s="1721" t="str">
        <f t="shared" si="228"/>
        <v/>
      </c>
      <c r="BC70" s="1721" t="str">
        <f t="shared" si="229"/>
        <v/>
      </c>
      <c r="BD70" s="1721" t="str">
        <f t="shared" si="230"/>
        <v/>
      </c>
      <c r="BE70" s="1739">
        <f t="shared" si="231"/>
        <v>0</v>
      </c>
      <c r="BF70" s="1721"/>
      <c r="BG70" s="1721">
        <f t="shared" ref="BG70:BN70" si="250">IF(F70="",0,IF(OR((AW70-$BE70)&lt;BO70,AM70="&lt;"),0,AW70-$BE70)*$AL70*1000/F63/$G65*1000000)</f>
        <v>0</v>
      </c>
      <c r="BH70" s="1721">
        <f t="shared" si="250"/>
        <v>0</v>
      </c>
      <c r="BI70" s="1721">
        <f t="shared" si="250"/>
        <v>0</v>
      </c>
      <c r="BJ70" s="1721">
        <f t="shared" si="250"/>
        <v>0</v>
      </c>
      <c r="BK70" s="1721">
        <f t="shared" si="250"/>
        <v>0</v>
      </c>
      <c r="BL70" s="1721">
        <f t="shared" si="250"/>
        <v>0</v>
      </c>
      <c r="BM70" s="1721">
        <f t="shared" si="250"/>
        <v>0</v>
      </c>
      <c r="BN70" s="1721">
        <f t="shared" si="250"/>
        <v>0</v>
      </c>
      <c r="BO70" s="1715">
        <f t="shared" ref="BO70:BV70" si="251">IF(F70="",0,$E70*$AL70*1000/$F63/$G65*1000000)</f>
        <v>0</v>
      </c>
      <c r="BP70" s="1715">
        <f t="shared" si="251"/>
        <v>0</v>
      </c>
      <c r="BQ70" s="1715">
        <f t="shared" si="251"/>
        <v>0</v>
      </c>
      <c r="BR70" s="1715">
        <f t="shared" si="251"/>
        <v>0</v>
      </c>
      <c r="BS70" s="1715">
        <f t="shared" si="251"/>
        <v>0</v>
      </c>
      <c r="BT70" s="1715">
        <f t="shared" si="251"/>
        <v>0</v>
      </c>
      <c r="BU70" s="1715">
        <f t="shared" si="251"/>
        <v>0</v>
      </c>
      <c r="BV70" s="1715">
        <f t="shared" si="251"/>
        <v>0</v>
      </c>
      <c r="BW70" s="1742">
        <f t="shared" si="234"/>
        <v>0</v>
      </c>
      <c r="BX70" s="1690">
        <f t="shared" si="235"/>
        <v>0</v>
      </c>
      <c r="BY70" s="1742">
        <f t="shared" si="236"/>
        <v>0</v>
      </c>
      <c r="BZ70" s="1690">
        <f t="shared" si="237"/>
        <v>0</v>
      </c>
      <c r="CA70" s="1715" t="str">
        <f t="shared" si="238"/>
        <v/>
      </c>
      <c r="CB70" s="1722">
        <f t="shared" si="239"/>
        <v>0</v>
      </c>
      <c r="CC70" s="1715" t="str">
        <f t="shared" si="240"/>
        <v/>
      </c>
      <c r="CD70" s="1722">
        <f t="shared" si="241"/>
        <v>0</v>
      </c>
      <c r="CE70" s="1690" t="str">
        <f>IF(OR(BH70&gt;(0.2*BG70),BI70&gt;(0.2*BH70),BJ70&gt;(0.2*BI70)),"Breakthrough","")</f>
        <v/>
      </c>
    </row>
    <row r="71" spans="1:83 16367:16368">
      <c r="A71" s="1690" t="b">
        <f t="shared" si="197"/>
        <v>0</v>
      </c>
      <c r="B71" s="1702">
        <f>'Non-Isokinetic'!A53</f>
        <v>0</v>
      </c>
      <c r="C71" s="1753" t="e">
        <f t="shared" si="198"/>
        <v>#N/A</v>
      </c>
      <c r="D71" s="1705" t="e">
        <f t="shared" si="199"/>
        <v>#N/A</v>
      </c>
      <c r="E71" s="1744" t="e">
        <f t="shared" si="200"/>
        <v>#N/A</v>
      </c>
      <c r="F71" s="1759"/>
      <c r="G71" s="1755"/>
      <c r="H71" s="1755"/>
      <c r="I71" s="1765"/>
      <c r="J71" s="1759"/>
      <c r="K71" s="1755"/>
      <c r="L71" s="1755"/>
      <c r="M71" s="1765"/>
      <c r="N71" s="1773"/>
      <c r="O71" s="1692" t="str">
        <f t="shared" si="201"/>
        <v/>
      </c>
      <c r="P71" s="1692">
        <f t="shared" si="202"/>
        <v>0</v>
      </c>
      <c r="Q71" s="1692" t="str">
        <f t="shared" si="242"/>
        <v/>
      </c>
      <c r="U71" s="1900" t="str">
        <f t="shared" si="203"/>
        <v/>
      </c>
      <c r="V71" s="1904" t="str">
        <f>IF(COUNT(F71:I71)=0,"",Conc1(CB71,U$63,$AJ71,MolVol,Pitots!$E$49,Pitots!$F$49,V$65,V$66,VoF))</f>
        <v/>
      </c>
      <c r="W71" s="1841" t="str">
        <f t="shared" si="204"/>
        <v/>
      </c>
      <c r="X71" s="1909" t="str">
        <f t="shared" si="205"/>
        <v/>
      </c>
      <c r="Y71" s="1904" t="str">
        <f>IF(COUNT(J71:M71)=0,"",Conc1(CD71,X$63,$AJ71,MolVol,Pitots!$E$49,Pitots!$F$49,Y$65,Y$66,VoF))</f>
        <v/>
      </c>
      <c r="Z71" s="1841" t="str">
        <f t="shared" si="206"/>
        <v/>
      </c>
      <c r="AA71" s="1909" t="str">
        <f t="shared" si="243"/>
        <v/>
      </c>
      <c r="AB71" s="2358" t="str">
        <f t="shared" si="207"/>
        <v/>
      </c>
      <c r="AC71" s="1841" t="str">
        <f t="shared" si="208"/>
        <v/>
      </c>
      <c r="AD71" s="1912" t="str">
        <f t="shared" si="209"/>
        <v/>
      </c>
      <c r="AE71" s="1901" t="str">
        <f>IF(V71="","",MassRate(V71,$AJ71,MolVol,V$65,V$66,MRU,MRF,AverageFlowDry,FF))</f>
        <v/>
      </c>
      <c r="AF71" s="1912" t="str">
        <f t="shared" si="210"/>
        <v/>
      </c>
      <c r="AG71" s="1901" t="str">
        <f>IF(Y71="","",MassRate(Y71,$AJ71,MolVol,Y$65,Y$66,MRU,MRF,AverageFlowDry,FF))</f>
        <v/>
      </c>
      <c r="AH71" s="2265" t="str">
        <f t="shared" si="244"/>
        <v/>
      </c>
      <c r="AI71" s="1901" t="str">
        <f t="shared" si="245"/>
        <v/>
      </c>
      <c r="AJ71" s="1753" t="e">
        <f t="shared" si="211"/>
        <v>#N/A</v>
      </c>
      <c r="AK71" s="1744" t="e">
        <f t="shared" si="212"/>
        <v>#N/A</v>
      </c>
      <c r="AL71" s="1872" t="e">
        <f t="shared" si="213"/>
        <v>#N/A</v>
      </c>
      <c r="AM71" s="1721" t="str">
        <f t="shared" si="214"/>
        <v/>
      </c>
      <c r="AN71" s="1721" t="str">
        <f t="shared" si="215"/>
        <v/>
      </c>
      <c r="AO71" s="1721" t="str">
        <f t="shared" si="216"/>
        <v/>
      </c>
      <c r="AP71" s="1721" t="str">
        <f t="shared" si="217"/>
        <v/>
      </c>
      <c r="AQ71" s="1721" t="str">
        <f t="shared" si="218"/>
        <v/>
      </c>
      <c r="AR71" s="1721" t="str">
        <f t="shared" si="219"/>
        <v/>
      </c>
      <c r="AS71" s="1721" t="str">
        <f t="shared" si="220"/>
        <v/>
      </c>
      <c r="AT71" s="1721" t="str">
        <f t="shared" si="221"/>
        <v/>
      </c>
      <c r="AU71" s="1721" t="str">
        <f t="shared" si="222"/>
        <v/>
      </c>
      <c r="AV71" s="1721"/>
      <c r="AW71" s="1721" t="str">
        <f t="shared" si="223"/>
        <v/>
      </c>
      <c r="AX71" s="1721" t="str">
        <f t="shared" si="224"/>
        <v/>
      </c>
      <c r="AY71" s="1721" t="str">
        <f t="shared" si="225"/>
        <v/>
      </c>
      <c r="AZ71" s="1721" t="str">
        <f t="shared" si="226"/>
        <v/>
      </c>
      <c r="BA71" s="1721" t="str">
        <f t="shared" si="227"/>
        <v/>
      </c>
      <c r="BB71" s="1721" t="str">
        <f t="shared" si="228"/>
        <v/>
      </c>
      <c r="BC71" s="1721" t="str">
        <f t="shared" si="229"/>
        <v/>
      </c>
      <c r="BD71" s="1721" t="str">
        <f t="shared" si="230"/>
        <v/>
      </c>
      <c r="BE71" s="1739">
        <f t="shared" si="231"/>
        <v>0</v>
      </c>
      <c r="BF71" s="1721"/>
      <c r="BG71" s="1721">
        <f t="shared" ref="BG71:BN71" si="252">IF(F71="",0,IF(OR((AW71-$BE71)&lt;BO71,AM71="&lt;"),0,AW71-$BE71)*$AL71*1000/F63/$G65*1000000)</f>
        <v>0</v>
      </c>
      <c r="BH71" s="1721">
        <f t="shared" si="252"/>
        <v>0</v>
      </c>
      <c r="BI71" s="1721">
        <f t="shared" si="252"/>
        <v>0</v>
      </c>
      <c r="BJ71" s="1721">
        <f t="shared" si="252"/>
        <v>0</v>
      </c>
      <c r="BK71" s="1721">
        <f t="shared" si="252"/>
        <v>0</v>
      </c>
      <c r="BL71" s="1721">
        <f t="shared" si="252"/>
        <v>0</v>
      </c>
      <c r="BM71" s="1721">
        <f t="shared" si="252"/>
        <v>0</v>
      </c>
      <c r="BN71" s="1721">
        <f t="shared" si="252"/>
        <v>0</v>
      </c>
      <c r="BO71" s="1715">
        <f t="shared" ref="BO71:BV71" si="253">IF(F71="",0,$E71*$AL71*1000/$F63/$G65*1000000)</f>
        <v>0</v>
      </c>
      <c r="BP71" s="1715">
        <f t="shared" si="253"/>
        <v>0</v>
      </c>
      <c r="BQ71" s="1715">
        <f t="shared" si="253"/>
        <v>0</v>
      </c>
      <c r="BR71" s="1715">
        <f t="shared" si="253"/>
        <v>0</v>
      </c>
      <c r="BS71" s="1715">
        <f t="shared" si="253"/>
        <v>0</v>
      </c>
      <c r="BT71" s="1715">
        <f t="shared" si="253"/>
        <v>0</v>
      </c>
      <c r="BU71" s="1715">
        <f t="shared" si="253"/>
        <v>0</v>
      </c>
      <c r="BV71" s="1715">
        <f t="shared" si="253"/>
        <v>0</v>
      </c>
      <c r="BW71" s="1742">
        <f t="shared" si="234"/>
        <v>0</v>
      </c>
      <c r="BX71" s="1690">
        <f t="shared" si="235"/>
        <v>0</v>
      </c>
      <c r="BY71" s="1742">
        <f t="shared" si="236"/>
        <v>0</v>
      </c>
      <c r="BZ71" s="1690">
        <f t="shared" si="237"/>
        <v>0</v>
      </c>
      <c r="CA71" s="1715" t="str">
        <f t="shared" si="238"/>
        <v/>
      </c>
      <c r="CB71" s="1722">
        <f t="shared" si="239"/>
        <v>0</v>
      </c>
      <c r="CC71" s="1715" t="str">
        <f t="shared" si="240"/>
        <v/>
      </c>
      <c r="CD71" s="1722">
        <f t="shared" si="241"/>
        <v>0</v>
      </c>
      <c r="CE71" s="1690" t="str">
        <f>IF(OR(BH71&gt;(0.2*BG71),BI71&gt;(0.2*BH71),BJ71&gt;(0.2*BI71)),"Breakthrough","")</f>
        <v/>
      </c>
    </row>
    <row r="72" spans="1:83 16367:16368">
      <c r="A72" s="1690" t="b">
        <f t="shared" si="197"/>
        <v>0</v>
      </c>
      <c r="B72" s="1702">
        <f>'Non-Isokinetic'!A54</f>
        <v>0</v>
      </c>
      <c r="C72" s="1753" t="e">
        <f t="shared" si="198"/>
        <v>#N/A</v>
      </c>
      <c r="D72" s="1705" t="e">
        <f t="shared" si="199"/>
        <v>#N/A</v>
      </c>
      <c r="E72" s="1744" t="e">
        <f t="shared" si="200"/>
        <v>#N/A</v>
      </c>
      <c r="F72" s="1759"/>
      <c r="G72" s="1755"/>
      <c r="H72" s="1755"/>
      <c r="I72" s="1765"/>
      <c r="J72" s="1759"/>
      <c r="K72" s="1755"/>
      <c r="L72" s="1755"/>
      <c r="M72" s="1765"/>
      <c r="N72" s="1773"/>
      <c r="O72" s="1692" t="str">
        <f t="shared" si="201"/>
        <v/>
      </c>
      <c r="P72" s="1692">
        <f t="shared" si="202"/>
        <v>0</v>
      </c>
      <c r="Q72" s="1692" t="str">
        <f t="shared" si="242"/>
        <v/>
      </c>
      <c r="U72" s="1900" t="str">
        <f t="shared" si="203"/>
        <v/>
      </c>
      <c r="V72" s="1904" t="str">
        <f>IF(COUNT(F72:I72)=0,"",Conc1(CB72,U$63,$AJ72,MolVol,Pitots!$E$49,Pitots!$F$49,V$65,V$66,VoF))</f>
        <v/>
      </c>
      <c r="W72" s="1841" t="str">
        <f t="shared" si="204"/>
        <v/>
      </c>
      <c r="X72" s="1909" t="str">
        <f t="shared" si="205"/>
        <v/>
      </c>
      <c r="Y72" s="1904" t="str">
        <f>IF(COUNT(J72:M72)=0,"",Conc1(CD72,X$63,$AJ72,MolVol,Pitots!$E$49,Pitots!$F$49,Y$65,Y$66,VoF))</f>
        <v/>
      </c>
      <c r="Z72" s="1841" t="str">
        <f t="shared" si="206"/>
        <v/>
      </c>
      <c r="AA72" s="1909" t="str">
        <f t="shared" si="243"/>
        <v/>
      </c>
      <c r="AB72" s="2358" t="str">
        <f t="shared" si="207"/>
        <v/>
      </c>
      <c r="AC72" s="1841" t="str">
        <f t="shared" si="208"/>
        <v/>
      </c>
      <c r="AD72" s="1912" t="str">
        <f t="shared" si="209"/>
        <v/>
      </c>
      <c r="AE72" s="1901" t="str">
        <f>IF(V72="","",MassRate(V72,$AJ72,MolVol,V$65,V$66,MRU,MRF,AverageFlowDry,FF))</f>
        <v/>
      </c>
      <c r="AF72" s="1912" t="str">
        <f t="shared" si="210"/>
        <v/>
      </c>
      <c r="AG72" s="1901" t="str">
        <f>IF(Y72="","",MassRate(Y72,$AJ72,MolVol,Y$65,Y$66,MRU,MRF,AverageFlowDry,FF))</f>
        <v/>
      </c>
      <c r="AH72" s="2265" t="str">
        <f t="shared" si="244"/>
        <v/>
      </c>
      <c r="AI72" s="1901" t="str">
        <f t="shared" si="245"/>
        <v/>
      </c>
      <c r="AJ72" s="1753" t="e">
        <f t="shared" si="211"/>
        <v>#N/A</v>
      </c>
      <c r="AK72" s="1744" t="e">
        <f t="shared" si="212"/>
        <v>#N/A</v>
      </c>
      <c r="AL72" s="1872" t="e">
        <f t="shared" si="213"/>
        <v>#N/A</v>
      </c>
      <c r="AM72" s="1721" t="str">
        <f t="shared" si="214"/>
        <v/>
      </c>
      <c r="AN72" s="1721" t="str">
        <f t="shared" si="215"/>
        <v/>
      </c>
      <c r="AO72" s="1721" t="str">
        <f t="shared" si="216"/>
        <v/>
      </c>
      <c r="AP72" s="1721" t="str">
        <f t="shared" si="217"/>
        <v/>
      </c>
      <c r="AQ72" s="1721" t="str">
        <f t="shared" si="218"/>
        <v/>
      </c>
      <c r="AR72" s="1721" t="str">
        <f t="shared" si="219"/>
        <v/>
      </c>
      <c r="AS72" s="1721" t="str">
        <f t="shared" si="220"/>
        <v/>
      </c>
      <c r="AT72" s="1721" t="str">
        <f t="shared" si="221"/>
        <v/>
      </c>
      <c r="AU72" s="1721" t="str">
        <f t="shared" si="222"/>
        <v/>
      </c>
      <c r="AV72" s="1721"/>
      <c r="AW72" s="1721" t="str">
        <f t="shared" si="223"/>
        <v/>
      </c>
      <c r="AX72" s="1721" t="str">
        <f t="shared" si="224"/>
        <v/>
      </c>
      <c r="AY72" s="1721" t="str">
        <f t="shared" si="225"/>
        <v/>
      </c>
      <c r="AZ72" s="1721" t="str">
        <f t="shared" si="226"/>
        <v/>
      </c>
      <c r="BA72" s="1721" t="str">
        <f t="shared" si="227"/>
        <v/>
      </c>
      <c r="BB72" s="1721" t="str">
        <f t="shared" si="228"/>
        <v/>
      </c>
      <c r="BC72" s="1721" t="str">
        <f t="shared" si="229"/>
        <v/>
      </c>
      <c r="BD72" s="1721" t="str">
        <f t="shared" si="230"/>
        <v/>
      </c>
      <c r="BE72" s="1739">
        <f t="shared" si="231"/>
        <v>0</v>
      </c>
      <c r="BF72" s="1721"/>
      <c r="BG72" s="1721">
        <f t="shared" ref="BG72:BN72" si="254">IF(F72="",0,IF(OR((AW72-$BE72)&lt;BO72,AM72="&lt;"),0,AW72-$BE72)*$AL72*1000/F63/$G65*1000000)</f>
        <v>0</v>
      </c>
      <c r="BH72" s="1721">
        <f t="shared" si="254"/>
        <v>0</v>
      </c>
      <c r="BI72" s="1721">
        <f t="shared" si="254"/>
        <v>0</v>
      </c>
      <c r="BJ72" s="1721">
        <f t="shared" si="254"/>
        <v>0</v>
      </c>
      <c r="BK72" s="1721">
        <f t="shared" si="254"/>
        <v>0</v>
      </c>
      <c r="BL72" s="1721">
        <f t="shared" si="254"/>
        <v>0</v>
      </c>
      <c r="BM72" s="1721">
        <f t="shared" si="254"/>
        <v>0</v>
      </c>
      <c r="BN72" s="1721">
        <f t="shared" si="254"/>
        <v>0</v>
      </c>
      <c r="BO72" s="1715">
        <f t="shared" ref="BO72:BV72" si="255">IF(F72="",0,$E72*$AL72*1000/$F63/$G65*1000000)</f>
        <v>0</v>
      </c>
      <c r="BP72" s="1715">
        <f t="shared" si="255"/>
        <v>0</v>
      </c>
      <c r="BQ72" s="1715">
        <f t="shared" si="255"/>
        <v>0</v>
      </c>
      <c r="BR72" s="1715">
        <f t="shared" si="255"/>
        <v>0</v>
      </c>
      <c r="BS72" s="1715">
        <f t="shared" si="255"/>
        <v>0</v>
      </c>
      <c r="BT72" s="1715">
        <f t="shared" si="255"/>
        <v>0</v>
      </c>
      <c r="BU72" s="1715">
        <f t="shared" si="255"/>
        <v>0</v>
      </c>
      <c r="BV72" s="1715">
        <f t="shared" si="255"/>
        <v>0</v>
      </c>
      <c r="BW72" s="1742">
        <f t="shared" si="234"/>
        <v>0</v>
      </c>
      <c r="BX72" s="1690">
        <f t="shared" si="235"/>
        <v>0</v>
      </c>
      <c r="BY72" s="1742">
        <f t="shared" si="236"/>
        <v>0</v>
      </c>
      <c r="BZ72" s="1690">
        <f t="shared" si="237"/>
        <v>0</v>
      </c>
      <c r="CA72" s="1715" t="str">
        <f t="shared" si="238"/>
        <v/>
      </c>
      <c r="CB72" s="1722">
        <f t="shared" si="239"/>
        <v>0</v>
      </c>
      <c r="CC72" s="1715" t="str">
        <f t="shared" si="240"/>
        <v/>
      </c>
      <c r="CD72" s="1722">
        <f t="shared" si="241"/>
        <v>0</v>
      </c>
      <c r="CE72" s="1690" t="str">
        <f>IF(OR(BH72&gt;(0.2*BG72),BI72&gt;(0.2*BH72),BJ72&gt;(0.2*BI72)),"Breakthrough","")</f>
        <v/>
      </c>
    </row>
    <row r="73" spans="1:83 16367:16368">
      <c r="A73" s="1690" t="b">
        <f t="shared" si="197"/>
        <v>0</v>
      </c>
      <c r="B73" s="1702">
        <f>'Non-Isokinetic'!A55</f>
        <v>0</v>
      </c>
      <c r="C73" s="1753" t="e">
        <f t="shared" si="198"/>
        <v>#N/A</v>
      </c>
      <c r="D73" s="1705" t="e">
        <f t="shared" si="199"/>
        <v>#N/A</v>
      </c>
      <c r="E73" s="1744" t="e">
        <f t="shared" si="200"/>
        <v>#N/A</v>
      </c>
      <c r="F73" s="1759"/>
      <c r="G73" s="1755"/>
      <c r="H73" s="1755"/>
      <c r="I73" s="1765"/>
      <c r="J73" s="1759"/>
      <c r="K73" s="1755"/>
      <c r="L73" s="1755"/>
      <c r="M73" s="1765"/>
      <c r="N73" s="1773"/>
      <c r="O73" s="1692" t="str">
        <f t="shared" si="201"/>
        <v/>
      </c>
      <c r="P73" s="1692">
        <f t="shared" si="202"/>
        <v>0</v>
      </c>
      <c r="Q73" s="1692" t="str">
        <f t="shared" si="242"/>
        <v/>
      </c>
      <c r="U73" s="1900" t="str">
        <f t="shared" si="203"/>
        <v/>
      </c>
      <c r="V73" s="1904" t="str">
        <f>IF(COUNT(F73:I73)=0,"",Conc1(CB73,U$63,$AJ73,MolVol,Pitots!$E$49,Pitots!$F$49,V$65,V$66,VoF))</f>
        <v/>
      </c>
      <c r="W73" s="1841" t="str">
        <f t="shared" si="204"/>
        <v/>
      </c>
      <c r="X73" s="1909" t="str">
        <f t="shared" si="205"/>
        <v/>
      </c>
      <c r="Y73" s="1904" t="str">
        <f>IF(COUNT(J73:M73)=0,"",Conc1(CD73,X$63,$AJ73,MolVol,Pitots!$E$49,Pitots!$F$49,Y$65,Y$66,VoF))</f>
        <v/>
      </c>
      <c r="Z73" s="1841" t="str">
        <f t="shared" si="206"/>
        <v/>
      </c>
      <c r="AA73" s="1909" t="str">
        <f t="shared" si="243"/>
        <v/>
      </c>
      <c r="AB73" s="2358" t="str">
        <f t="shared" si="207"/>
        <v/>
      </c>
      <c r="AC73" s="1841" t="str">
        <f t="shared" si="208"/>
        <v/>
      </c>
      <c r="AD73" s="1912" t="str">
        <f t="shared" si="209"/>
        <v/>
      </c>
      <c r="AE73" s="1901" t="str">
        <f>IF(V73="","",MassRate(V73,$AJ73,MolVol,V$65,V$66,MRU,MRF,AverageFlowDry,FF))</f>
        <v/>
      </c>
      <c r="AF73" s="1912" t="str">
        <f t="shared" si="210"/>
        <v/>
      </c>
      <c r="AG73" s="1901" t="str">
        <f>IF(Y73="","",MassRate(Y73,$AJ73,MolVol,Y$65,Y$66,MRU,MRF,AverageFlowDry,FF))</f>
        <v/>
      </c>
      <c r="AH73" s="2265" t="str">
        <f t="shared" si="244"/>
        <v/>
      </c>
      <c r="AI73" s="1901" t="str">
        <f t="shared" si="245"/>
        <v/>
      </c>
      <c r="AJ73" s="1753" t="e">
        <f t="shared" si="211"/>
        <v>#N/A</v>
      </c>
      <c r="AK73" s="1744" t="e">
        <f t="shared" si="212"/>
        <v>#N/A</v>
      </c>
      <c r="AL73" s="1872" t="e">
        <f t="shared" si="213"/>
        <v>#N/A</v>
      </c>
      <c r="AM73" s="1721" t="str">
        <f t="shared" si="214"/>
        <v/>
      </c>
      <c r="AN73" s="1721" t="str">
        <f t="shared" si="215"/>
        <v/>
      </c>
      <c r="AO73" s="1721" t="str">
        <f t="shared" si="216"/>
        <v/>
      </c>
      <c r="AP73" s="1721" t="str">
        <f t="shared" si="217"/>
        <v/>
      </c>
      <c r="AQ73" s="1721" t="str">
        <f t="shared" si="218"/>
        <v/>
      </c>
      <c r="AR73" s="1721" t="str">
        <f t="shared" si="219"/>
        <v/>
      </c>
      <c r="AS73" s="1721" t="str">
        <f t="shared" si="220"/>
        <v/>
      </c>
      <c r="AT73" s="1721" t="str">
        <f t="shared" si="221"/>
        <v/>
      </c>
      <c r="AU73" s="1721" t="str">
        <f t="shared" si="222"/>
        <v/>
      </c>
      <c r="AV73" s="1721"/>
      <c r="AW73" s="1721" t="str">
        <f t="shared" si="223"/>
        <v/>
      </c>
      <c r="AX73" s="1721" t="str">
        <f t="shared" si="224"/>
        <v/>
      </c>
      <c r="AY73" s="1721" t="str">
        <f t="shared" si="225"/>
        <v/>
      </c>
      <c r="AZ73" s="1721" t="str">
        <f t="shared" si="226"/>
        <v/>
      </c>
      <c r="BA73" s="1721" t="str">
        <f t="shared" si="227"/>
        <v/>
      </c>
      <c r="BB73" s="1721" t="str">
        <f t="shared" si="228"/>
        <v/>
      </c>
      <c r="BC73" s="1721" t="str">
        <f t="shared" si="229"/>
        <v/>
      </c>
      <c r="BD73" s="1721" t="str">
        <f t="shared" si="230"/>
        <v/>
      </c>
      <c r="BE73" s="1739">
        <f t="shared" si="231"/>
        <v>0</v>
      </c>
      <c r="BF73" s="1721"/>
      <c r="BG73" s="1721">
        <f t="shared" ref="BG73:BN73" si="256">IF(F73="",0,IF(OR((AW73-$BE73)&lt;BO73,AM73="&lt;"),0,AW73-$BE73)*$AL73*1000/F63/$G65*1000000)</f>
        <v>0</v>
      </c>
      <c r="BH73" s="1721">
        <f t="shared" si="256"/>
        <v>0</v>
      </c>
      <c r="BI73" s="1721">
        <f t="shared" si="256"/>
        <v>0</v>
      </c>
      <c r="BJ73" s="1721">
        <f t="shared" si="256"/>
        <v>0</v>
      </c>
      <c r="BK73" s="1721">
        <f t="shared" si="256"/>
        <v>0</v>
      </c>
      <c r="BL73" s="1721">
        <f t="shared" si="256"/>
        <v>0</v>
      </c>
      <c r="BM73" s="1721">
        <f t="shared" si="256"/>
        <v>0</v>
      </c>
      <c r="BN73" s="1721">
        <f t="shared" si="256"/>
        <v>0</v>
      </c>
      <c r="BO73" s="1715">
        <f t="shared" ref="BO73:BV73" si="257">IF(F73="",0,$E73*$AL73*1000/$F63/$G65*1000000)</f>
        <v>0</v>
      </c>
      <c r="BP73" s="1715">
        <f t="shared" si="257"/>
        <v>0</v>
      </c>
      <c r="BQ73" s="1715">
        <f t="shared" si="257"/>
        <v>0</v>
      </c>
      <c r="BR73" s="1715">
        <f t="shared" si="257"/>
        <v>0</v>
      </c>
      <c r="BS73" s="1715">
        <f t="shared" si="257"/>
        <v>0</v>
      </c>
      <c r="BT73" s="1715">
        <f t="shared" si="257"/>
        <v>0</v>
      </c>
      <c r="BU73" s="1715">
        <f t="shared" si="257"/>
        <v>0</v>
      </c>
      <c r="BV73" s="1715">
        <f t="shared" si="257"/>
        <v>0</v>
      </c>
      <c r="BW73" s="1742">
        <f t="shared" si="234"/>
        <v>0</v>
      </c>
      <c r="BX73" s="1690">
        <f t="shared" si="235"/>
        <v>0</v>
      </c>
      <c r="BY73" s="1742">
        <f t="shared" si="236"/>
        <v>0</v>
      </c>
      <c r="BZ73" s="1690">
        <f t="shared" si="237"/>
        <v>0</v>
      </c>
      <c r="CA73" s="1715" t="str">
        <f t="shared" si="238"/>
        <v/>
      </c>
      <c r="CB73" s="1722">
        <f t="shared" si="239"/>
        <v>0</v>
      </c>
      <c r="CC73" s="1715" t="str">
        <f t="shared" si="240"/>
        <v/>
      </c>
      <c r="CD73" s="1722">
        <f t="shared" si="241"/>
        <v>0</v>
      </c>
      <c r="CE73" s="1690" t="str">
        <f>IF(OR(BH73&gt;(0.2*BG73),BI73&gt;(0.2*BH73),BJ73&gt;(0.2*BI73)),"Breakthrough","")</f>
        <v/>
      </c>
    </row>
    <row r="74" spans="1:83 16367:16368">
      <c r="A74" s="1690" t="b">
        <f t="shared" si="197"/>
        <v>0</v>
      </c>
      <c r="B74" s="1702">
        <f>'Non-Isokinetic'!A56</f>
        <v>0</v>
      </c>
      <c r="C74" s="1753" t="e">
        <f t="shared" si="198"/>
        <v>#N/A</v>
      </c>
      <c r="D74" s="1705" t="e">
        <f t="shared" si="199"/>
        <v>#N/A</v>
      </c>
      <c r="E74" s="1744" t="e">
        <f t="shared" si="200"/>
        <v>#N/A</v>
      </c>
      <c r="F74" s="1759"/>
      <c r="G74" s="1755"/>
      <c r="H74" s="1755"/>
      <c r="I74" s="1765"/>
      <c r="J74" s="1759"/>
      <c r="K74" s="1755"/>
      <c r="L74" s="1755"/>
      <c r="M74" s="1765"/>
      <c r="N74" s="1773"/>
      <c r="O74" s="1692" t="str">
        <f t="shared" si="201"/>
        <v/>
      </c>
      <c r="P74" s="1692">
        <f t="shared" si="202"/>
        <v>0</v>
      </c>
      <c r="Q74" s="1692" t="str">
        <f t="shared" si="242"/>
        <v/>
      </c>
      <c r="U74" s="1900" t="str">
        <f t="shared" si="203"/>
        <v/>
      </c>
      <c r="V74" s="1904" t="str">
        <f>IF(COUNT(F74:I74)=0,"",Conc1(CB74,U$63,$AJ74,MolVol,Pitots!$E$49,Pitots!$F$49,V$65,V$66,VoF))</f>
        <v/>
      </c>
      <c r="W74" s="1841" t="str">
        <f t="shared" si="204"/>
        <v/>
      </c>
      <c r="X74" s="1909" t="str">
        <f t="shared" si="205"/>
        <v/>
      </c>
      <c r="Y74" s="1904" t="str">
        <f>IF(COUNT(J74:M74)=0,"",Conc1(CD74,X$63,$AJ74,MolVol,Pitots!$E$49,Pitots!$F$49,Y$65,Y$66,VoF))</f>
        <v/>
      </c>
      <c r="Z74" s="1841" t="str">
        <f t="shared" si="206"/>
        <v/>
      </c>
      <c r="AA74" s="1909" t="str">
        <f t="shared" si="243"/>
        <v/>
      </c>
      <c r="AB74" s="2358" t="str">
        <f t="shared" si="207"/>
        <v/>
      </c>
      <c r="AC74" s="1841" t="str">
        <f t="shared" si="208"/>
        <v/>
      </c>
      <c r="AD74" s="1912" t="str">
        <f t="shared" si="209"/>
        <v/>
      </c>
      <c r="AE74" s="1901" t="str">
        <f>IF(V74="","",MassRate(V74,$AJ74,MolVol,V$65,V$66,MRU,MRF,AverageFlowDry,FF))</f>
        <v/>
      </c>
      <c r="AF74" s="1912" t="str">
        <f t="shared" si="210"/>
        <v/>
      </c>
      <c r="AG74" s="1901" t="str">
        <f>IF(Y74="","",MassRate(Y74,$AJ74,MolVol,Y$65,Y$66,MRU,MRF,AverageFlowDry,FF))</f>
        <v/>
      </c>
      <c r="AH74" s="2265" t="str">
        <f t="shared" si="244"/>
        <v/>
      </c>
      <c r="AI74" s="1901" t="str">
        <f t="shared" si="245"/>
        <v/>
      </c>
      <c r="AJ74" s="1753" t="e">
        <f t="shared" si="211"/>
        <v>#N/A</v>
      </c>
      <c r="AK74" s="1744" t="e">
        <f t="shared" si="212"/>
        <v>#N/A</v>
      </c>
      <c r="AL74" s="1872" t="e">
        <f t="shared" si="213"/>
        <v>#N/A</v>
      </c>
      <c r="AM74" s="1721" t="str">
        <f t="shared" si="214"/>
        <v/>
      </c>
      <c r="AN74" s="1721" t="str">
        <f t="shared" si="215"/>
        <v/>
      </c>
      <c r="AO74" s="1721" t="str">
        <f t="shared" si="216"/>
        <v/>
      </c>
      <c r="AP74" s="1721" t="str">
        <f t="shared" si="217"/>
        <v/>
      </c>
      <c r="AQ74" s="1721" t="str">
        <f t="shared" si="218"/>
        <v/>
      </c>
      <c r="AR74" s="1721" t="str">
        <f t="shared" si="219"/>
        <v/>
      </c>
      <c r="AS74" s="1721" t="str">
        <f t="shared" si="220"/>
        <v/>
      </c>
      <c r="AT74" s="1721" t="str">
        <f t="shared" si="221"/>
        <v/>
      </c>
      <c r="AU74" s="1721" t="str">
        <f t="shared" si="222"/>
        <v/>
      </c>
      <c r="AV74" s="1721"/>
      <c r="AW74" s="1721" t="str">
        <f t="shared" si="223"/>
        <v/>
      </c>
      <c r="AX74" s="1721" t="str">
        <f t="shared" si="224"/>
        <v/>
      </c>
      <c r="AY74" s="1721" t="str">
        <f t="shared" si="225"/>
        <v/>
      </c>
      <c r="AZ74" s="1721" t="str">
        <f t="shared" si="226"/>
        <v/>
      </c>
      <c r="BA74" s="1721" t="str">
        <f t="shared" si="227"/>
        <v/>
      </c>
      <c r="BB74" s="1721" t="str">
        <f t="shared" si="228"/>
        <v/>
      </c>
      <c r="BC74" s="1721" t="str">
        <f t="shared" si="229"/>
        <v/>
      </c>
      <c r="BD74" s="1721" t="str">
        <f t="shared" si="230"/>
        <v/>
      </c>
      <c r="BE74" s="1739">
        <f t="shared" si="231"/>
        <v>0</v>
      </c>
      <c r="BF74" s="1721"/>
      <c r="BG74" s="1721">
        <f t="shared" ref="BG74:BN74" si="258">IF(F74="",0,IF(OR((AW74-$BE74)&lt;BO74,AM74="&lt;"),0,AW74-$BE74)*$AL74*1000/F63/$G65*1000000)</f>
        <v>0</v>
      </c>
      <c r="BH74" s="1721">
        <f t="shared" si="258"/>
        <v>0</v>
      </c>
      <c r="BI74" s="1721">
        <f t="shared" si="258"/>
        <v>0</v>
      </c>
      <c r="BJ74" s="1721">
        <f t="shared" si="258"/>
        <v>0</v>
      </c>
      <c r="BK74" s="1721">
        <f t="shared" si="258"/>
        <v>0</v>
      </c>
      <c r="BL74" s="1721">
        <f t="shared" si="258"/>
        <v>0</v>
      </c>
      <c r="BM74" s="1721">
        <f t="shared" si="258"/>
        <v>0</v>
      </c>
      <c r="BN74" s="1721">
        <f t="shared" si="258"/>
        <v>0</v>
      </c>
      <c r="BO74" s="1715">
        <f t="shared" ref="BO74:BV74" si="259">IF(F74="",0,$E74*$AL74*1000/$F63/$G65*1000000)</f>
        <v>0</v>
      </c>
      <c r="BP74" s="1715">
        <f t="shared" si="259"/>
        <v>0</v>
      </c>
      <c r="BQ74" s="1715">
        <f t="shared" si="259"/>
        <v>0</v>
      </c>
      <c r="BR74" s="1715">
        <f t="shared" si="259"/>
        <v>0</v>
      </c>
      <c r="BS74" s="1715">
        <f t="shared" si="259"/>
        <v>0</v>
      </c>
      <c r="BT74" s="1715">
        <f t="shared" si="259"/>
        <v>0</v>
      </c>
      <c r="BU74" s="1715">
        <f t="shared" si="259"/>
        <v>0</v>
      </c>
      <c r="BV74" s="1715">
        <f t="shared" si="259"/>
        <v>0</v>
      </c>
      <c r="BW74" s="1742">
        <f t="shared" si="234"/>
        <v>0</v>
      </c>
      <c r="BX74" s="1690">
        <f t="shared" si="235"/>
        <v>0</v>
      </c>
      <c r="BY74" s="1742">
        <f t="shared" si="236"/>
        <v>0</v>
      </c>
      <c r="BZ74" s="1690">
        <f t="shared" si="237"/>
        <v>0</v>
      </c>
      <c r="CA74" s="1715" t="str">
        <f t="shared" si="238"/>
        <v/>
      </c>
      <c r="CB74" s="1722">
        <f t="shared" si="239"/>
        <v>0</v>
      </c>
      <c r="CC74" s="1715" t="str">
        <f t="shared" si="240"/>
        <v/>
      </c>
      <c r="CD74" s="1722">
        <f t="shared" si="241"/>
        <v>0</v>
      </c>
      <c r="CE74" s="1690" t="str">
        <f>IF(OR(BH74&gt;(0.2*BG74),BI74&gt;(0.2*BH74),BJ74&gt;(0.2*BI74)),"Breakthrough","")</f>
        <v/>
      </c>
    </row>
    <row r="75" spans="1:83 16367:16368">
      <c r="A75" s="1690" t="b">
        <f t="shared" si="197"/>
        <v>0</v>
      </c>
      <c r="B75" s="1703">
        <f>'Non-Isokinetic'!A57</f>
        <v>0</v>
      </c>
      <c r="C75" s="1754" t="e">
        <f t="shared" si="198"/>
        <v>#N/A</v>
      </c>
      <c r="D75" s="1706" t="e">
        <f t="shared" si="199"/>
        <v>#N/A</v>
      </c>
      <c r="E75" s="1745" t="e">
        <f t="shared" si="200"/>
        <v>#N/A</v>
      </c>
      <c r="F75" s="1761"/>
      <c r="G75" s="1762"/>
      <c r="H75" s="1762"/>
      <c r="I75" s="1766"/>
      <c r="J75" s="1761"/>
      <c r="K75" s="1762"/>
      <c r="L75" s="1762"/>
      <c r="M75" s="1766"/>
      <c r="N75" s="1774"/>
      <c r="O75" s="1692" t="str">
        <f t="shared" si="201"/>
        <v/>
      </c>
      <c r="P75" s="1692">
        <f t="shared" si="202"/>
        <v>0</v>
      </c>
      <c r="Q75" s="1692" t="str">
        <f t="shared" si="242"/>
        <v/>
      </c>
      <c r="U75" s="1902" t="str">
        <f t="shared" si="203"/>
        <v/>
      </c>
      <c r="V75" s="1725" t="str">
        <f>IF(COUNT(F75:I75)=0,"",Conc1(CB75,U$63,$AJ75,MolVol,Pitots!$E$49,Pitots!$F$49,V$65,V$66,VoF))</f>
        <v/>
      </c>
      <c r="W75" s="1724" t="str">
        <f t="shared" si="204"/>
        <v/>
      </c>
      <c r="X75" s="1723" t="str">
        <f t="shared" si="205"/>
        <v/>
      </c>
      <c r="Y75" s="1725" t="str">
        <f>IF(COUNT(J75:M75)=0,"",Conc1(CD75,X$63,$AJ75,MolVol,Pitots!$E$49,Pitots!$F$49,Y$65,Y$66,VoF))</f>
        <v/>
      </c>
      <c r="Z75" s="1724" t="str">
        <f t="shared" si="206"/>
        <v/>
      </c>
      <c r="AA75" s="1723" t="str">
        <f t="shared" si="243"/>
        <v/>
      </c>
      <c r="AB75" s="2357" t="str">
        <f t="shared" si="207"/>
        <v/>
      </c>
      <c r="AC75" s="1724" t="str">
        <f t="shared" si="208"/>
        <v/>
      </c>
      <c r="AD75" s="1913" t="str">
        <f t="shared" si="209"/>
        <v/>
      </c>
      <c r="AE75" s="1903" t="str">
        <f>IF(V75="","",MassRate(V75,$AJ75,MolVol,V$65,V$66,MRU,MRF,AverageFlowDry,FF))</f>
        <v/>
      </c>
      <c r="AF75" s="1913" t="str">
        <f t="shared" si="210"/>
        <v/>
      </c>
      <c r="AG75" s="1903" t="str">
        <f>IF(Y75="","",MassRate(Y75,$AJ75,MolVol,Y$65,Y$66,MRU,MRF,AverageFlowDry,FF))</f>
        <v/>
      </c>
      <c r="AH75" s="2266" t="str">
        <f t="shared" si="244"/>
        <v/>
      </c>
      <c r="AI75" s="2332" t="str">
        <f t="shared" si="245"/>
        <v/>
      </c>
      <c r="AJ75" s="1754" t="e">
        <f t="shared" si="211"/>
        <v>#N/A</v>
      </c>
      <c r="AK75" s="1745" t="e">
        <f t="shared" si="212"/>
        <v>#N/A</v>
      </c>
      <c r="AL75" s="1873" t="e">
        <f t="shared" si="213"/>
        <v>#N/A</v>
      </c>
      <c r="AM75" s="1723" t="str">
        <f t="shared" si="214"/>
        <v/>
      </c>
      <c r="AN75" s="1723" t="str">
        <f t="shared" si="215"/>
        <v/>
      </c>
      <c r="AO75" s="1723" t="str">
        <f t="shared" si="216"/>
        <v/>
      </c>
      <c r="AP75" s="1723" t="str">
        <f t="shared" si="217"/>
        <v/>
      </c>
      <c r="AQ75" s="1723" t="str">
        <f t="shared" si="218"/>
        <v/>
      </c>
      <c r="AR75" s="1723" t="str">
        <f t="shared" si="219"/>
        <v/>
      </c>
      <c r="AS75" s="1723" t="str">
        <f t="shared" si="220"/>
        <v/>
      </c>
      <c r="AT75" s="1723" t="str">
        <f t="shared" si="221"/>
        <v/>
      </c>
      <c r="AU75" s="1723" t="str">
        <f t="shared" si="222"/>
        <v/>
      </c>
      <c r="AV75" s="1723"/>
      <c r="AW75" s="1723" t="str">
        <f t="shared" si="223"/>
        <v/>
      </c>
      <c r="AX75" s="1723" t="str">
        <f t="shared" si="224"/>
        <v/>
      </c>
      <c r="AY75" s="1723" t="str">
        <f t="shared" si="225"/>
        <v/>
      </c>
      <c r="AZ75" s="1723" t="str">
        <f t="shared" si="226"/>
        <v/>
      </c>
      <c r="BA75" s="1723" t="str">
        <f t="shared" si="227"/>
        <v/>
      </c>
      <c r="BB75" s="1723" t="str">
        <f t="shared" si="228"/>
        <v/>
      </c>
      <c r="BC75" s="1723" t="str">
        <f t="shared" si="229"/>
        <v/>
      </c>
      <c r="BD75" s="1723" t="str">
        <f t="shared" si="230"/>
        <v/>
      </c>
      <c r="BE75" s="1740">
        <f t="shared" si="231"/>
        <v>0</v>
      </c>
      <c r="BF75" s="1723"/>
      <c r="BG75" s="1723">
        <f t="shared" ref="BG75:BN75" si="260">IF(F75="",0,IF(OR((AW75-$BE75)&lt;BO75,AM75="&lt;"),0,AW75-$BE75)*$AL75*1000/F63/$G65*1000000)</f>
        <v>0</v>
      </c>
      <c r="BH75" s="1723">
        <f t="shared" si="260"/>
        <v>0</v>
      </c>
      <c r="BI75" s="1723">
        <f t="shared" si="260"/>
        <v>0</v>
      </c>
      <c r="BJ75" s="1723">
        <f t="shared" si="260"/>
        <v>0</v>
      </c>
      <c r="BK75" s="1723">
        <f t="shared" si="260"/>
        <v>0</v>
      </c>
      <c r="BL75" s="1723">
        <f t="shared" si="260"/>
        <v>0</v>
      </c>
      <c r="BM75" s="1723">
        <f t="shared" si="260"/>
        <v>0</v>
      </c>
      <c r="BN75" s="1723">
        <f t="shared" si="260"/>
        <v>0</v>
      </c>
      <c r="BO75" s="1716">
        <f t="shared" ref="BO75:BV75" si="261">IF(F75="",0,$E75*$AL75*1000/$F63/$G65*1000000)</f>
        <v>0</v>
      </c>
      <c r="BP75" s="1716">
        <f t="shared" si="261"/>
        <v>0</v>
      </c>
      <c r="BQ75" s="1716">
        <f t="shared" si="261"/>
        <v>0</v>
      </c>
      <c r="BR75" s="1716">
        <f t="shared" si="261"/>
        <v>0</v>
      </c>
      <c r="BS75" s="1716">
        <f t="shared" si="261"/>
        <v>0</v>
      </c>
      <c r="BT75" s="1716">
        <f t="shared" si="261"/>
        <v>0</v>
      </c>
      <c r="BU75" s="1716">
        <f t="shared" si="261"/>
        <v>0</v>
      </c>
      <c r="BV75" s="1716">
        <f t="shared" si="261"/>
        <v>0</v>
      </c>
      <c r="BW75" s="1743">
        <f t="shared" si="234"/>
        <v>0</v>
      </c>
      <c r="BX75" s="1717">
        <f t="shared" si="235"/>
        <v>0</v>
      </c>
      <c r="BY75" s="1743">
        <f t="shared" si="236"/>
        <v>0</v>
      </c>
      <c r="BZ75" s="1717">
        <f t="shared" si="237"/>
        <v>0</v>
      </c>
      <c r="CA75" s="1716" t="str">
        <f t="shared" si="238"/>
        <v/>
      </c>
      <c r="CB75" s="1725">
        <f t="shared" si="239"/>
        <v>0</v>
      </c>
      <c r="CC75" s="1716" t="str">
        <f t="shared" si="240"/>
        <v/>
      </c>
      <c r="CD75" s="1725">
        <f t="shared" si="241"/>
        <v>0</v>
      </c>
      <c r="CE75" s="1690" t="str">
        <f>IF(OR(BH75&gt;(0.2*BG75),BI75&gt;(0.2*BH75),BJ75&gt;(0.2*BI75)),"Breakthrough","")</f>
        <v/>
      </c>
    </row>
    <row r="76" spans="1:83 16367:16368">
      <c r="A76" s="1713" t="b">
        <f>A77</f>
        <v>0</v>
      </c>
      <c r="B76" s="1713"/>
      <c r="C76" s="1713"/>
      <c r="D76" s="1713"/>
      <c r="E76" s="1713"/>
      <c r="F76" s="1713"/>
      <c r="G76" s="1713"/>
      <c r="H76" s="1713"/>
      <c r="I76" s="1713"/>
      <c r="J76" s="1713"/>
      <c r="K76" s="1713"/>
      <c r="L76" s="1713"/>
      <c r="Q76" s="1696"/>
      <c r="AH76" s="1690"/>
      <c r="AI76" s="1690"/>
      <c r="AL76" s="1698"/>
      <c r="XEM76" s="1713"/>
      <c r="XEN76" s="1713"/>
    </row>
    <row r="77" spans="1:83 16367:16368">
      <c r="A77" s="1690" t="b">
        <f>IF(COUNTIF(A84:A92,TRUE)&gt;0,TRUE,FALSE)</f>
        <v>0</v>
      </c>
      <c r="B77" s="1707"/>
      <c r="C77" s="1691"/>
      <c r="D77" s="1691"/>
      <c r="E77" s="1691"/>
      <c r="F77" s="2818" t="s">
        <v>1705</v>
      </c>
      <c r="G77" s="2818"/>
      <c r="H77" s="2818"/>
      <c r="I77" s="2818"/>
      <c r="J77" s="2818" t="s">
        <v>1703</v>
      </c>
      <c r="K77" s="2818"/>
      <c r="L77" s="2818"/>
      <c r="M77" s="2818"/>
      <c r="N77" s="1689" t="s">
        <v>1704</v>
      </c>
      <c r="O77" s="1697"/>
      <c r="P77" s="1697"/>
      <c r="Q77" s="1697"/>
      <c r="U77" s="2810" t="s">
        <v>1718</v>
      </c>
      <c r="V77" s="2805"/>
      <c r="W77" s="2805"/>
      <c r="X77" s="2805"/>
      <c r="Y77" s="2805"/>
      <c r="Z77" s="2805"/>
      <c r="AA77" s="2805"/>
      <c r="AB77" s="2805"/>
      <c r="AC77" s="2806"/>
      <c r="AD77" s="2805" t="s">
        <v>1836</v>
      </c>
      <c r="AE77" s="2805"/>
      <c r="AF77" s="2805"/>
      <c r="AG77" s="2805"/>
      <c r="AH77" s="2805"/>
      <c r="AI77" s="2806"/>
      <c r="AJ77" s="1692"/>
      <c r="AK77" s="1692"/>
      <c r="BM77" s="1690"/>
      <c r="BN77" s="1690"/>
      <c r="BO77" s="1690"/>
      <c r="BP77" s="1690"/>
      <c r="BQ77" s="1690"/>
      <c r="BR77" s="1690"/>
      <c r="BS77" s="1690"/>
      <c r="BT77" s="1690"/>
    </row>
    <row r="78" spans="1:83 16367:16368" ht="15">
      <c r="A78" s="1690" t="b">
        <f>IF(COUNTIF(A84:A92,TRUE)&gt;0,TRUE,FALSE)</f>
        <v>0</v>
      </c>
      <c r="B78" s="1726" t="s">
        <v>1762</v>
      </c>
      <c r="C78" s="1693"/>
      <c r="D78" s="1688"/>
      <c r="E78" s="1688"/>
      <c r="F78" s="1697" t="s">
        <v>1768</v>
      </c>
      <c r="G78" s="1697" t="s">
        <v>1769</v>
      </c>
      <c r="H78" s="1697" t="s">
        <v>1770</v>
      </c>
      <c r="I78" s="1697" t="s">
        <v>1771</v>
      </c>
      <c r="J78" s="1697" t="s">
        <v>1768</v>
      </c>
      <c r="K78" s="1697" t="s">
        <v>1769</v>
      </c>
      <c r="L78" s="1697" t="s">
        <v>1770</v>
      </c>
      <c r="M78" s="1697" t="s">
        <v>1771</v>
      </c>
      <c r="N78" s="1697" t="s">
        <v>1704</v>
      </c>
      <c r="O78" s="2821" t="s">
        <v>1779</v>
      </c>
      <c r="P78" s="2820" t="s">
        <v>1780</v>
      </c>
      <c r="Q78" s="2820" t="s">
        <v>1781</v>
      </c>
      <c r="U78" s="2810" t="s">
        <v>1719</v>
      </c>
      <c r="V78" s="2805"/>
      <c r="W78" s="2806"/>
      <c r="X78" s="2810" t="s">
        <v>1720</v>
      </c>
      <c r="Y78" s="2805"/>
      <c r="Z78" s="2806"/>
      <c r="AA78" s="2811" t="s">
        <v>1242</v>
      </c>
      <c r="AB78" s="2812"/>
      <c r="AC78" s="2813"/>
      <c r="AD78" s="2809" t="s">
        <v>1719</v>
      </c>
      <c r="AE78" s="2809"/>
      <c r="AF78" s="2809" t="s">
        <v>1720</v>
      </c>
      <c r="AG78" s="2809"/>
      <c r="AH78" s="2807" t="s">
        <v>1242</v>
      </c>
      <c r="AI78" s="2808"/>
      <c r="AJ78" s="1697"/>
      <c r="AK78" s="1697"/>
      <c r="BM78" s="1690"/>
      <c r="BN78" s="1690"/>
      <c r="BO78" s="1690"/>
      <c r="BP78" s="1690"/>
      <c r="BQ78" s="1690"/>
      <c r="BR78" s="1690"/>
      <c r="BS78" s="1690"/>
      <c r="BT78" s="1690"/>
    </row>
    <row r="79" spans="1:83 16367:16368" ht="13.5" customHeight="1">
      <c r="A79" s="1690" t="b">
        <f>IF(COUNTIF(A84:A92,TRUE)&gt;0,TRUE,FALSE)</f>
        <v>0</v>
      </c>
      <c r="B79" s="1691"/>
      <c r="C79" s="1748"/>
      <c r="D79" s="1748"/>
      <c r="E79" s="1749" t="s">
        <v>1766</v>
      </c>
      <c r="F79" s="1756"/>
      <c r="G79" s="1757"/>
      <c r="H79" s="1757"/>
      <c r="I79" s="1764"/>
      <c r="J79" s="1756"/>
      <c r="K79" s="1757"/>
      <c r="L79" s="1757"/>
      <c r="M79" s="1758"/>
      <c r="N79" s="1768"/>
      <c r="O79" s="2821"/>
      <c r="P79" s="2820"/>
      <c r="Q79" s="2820"/>
      <c r="U79" s="2816" t="s">
        <v>1717</v>
      </c>
      <c r="V79" s="2816"/>
      <c r="W79" s="2218"/>
      <c r="X79" s="2816" t="s">
        <v>1717</v>
      </c>
      <c r="Y79" s="2816"/>
      <c r="Z79" s="2218"/>
      <c r="AA79" s="2278"/>
      <c r="AB79" s="1915"/>
      <c r="AC79" s="1916"/>
      <c r="AD79" s="2274"/>
      <c r="AE79" s="2274"/>
      <c r="AF79" s="2274"/>
      <c r="AG79" s="2274"/>
      <c r="AH79" s="2278"/>
      <c r="AI79" s="1916"/>
      <c r="AJ79" s="1697"/>
      <c r="AK79" s="1697"/>
      <c r="BM79" s="1690"/>
      <c r="BN79" s="1690"/>
      <c r="BO79" s="1690"/>
      <c r="BP79" s="1690"/>
      <c r="BQ79" s="1690"/>
      <c r="BR79" s="1690"/>
      <c r="BS79" s="1690"/>
      <c r="BT79" s="1690"/>
    </row>
    <row r="80" spans="1:83 16367:16368" ht="13.5" customHeight="1">
      <c r="A80" s="1690" t="b">
        <f>IF(COUNTIF(A84:A92,TRUE)&gt;0,TRUE,FALSE)</f>
        <v>0</v>
      </c>
      <c r="B80" s="1802">
        <f>'Non-Isokinetic'!A61</f>
        <v>0</v>
      </c>
      <c r="C80" s="1748"/>
      <c r="D80" s="1748"/>
      <c r="E80" s="1749" t="s">
        <v>1765</v>
      </c>
      <c r="F80" s="1759" t="str">
        <f>IF(F82="µg",1000,"")</f>
        <v/>
      </c>
      <c r="G80" s="1755" t="str">
        <f>IF(F82="µg",1000,"")</f>
        <v/>
      </c>
      <c r="H80" s="1755" t="str">
        <f>IF(F82="µg",1000,"")</f>
        <v/>
      </c>
      <c r="I80" s="1765" t="str">
        <f>IF(F82="µg",1000,"")</f>
        <v/>
      </c>
      <c r="J80" s="1759" t="str">
        <f>IF(F82="µg",1000,"")</f>
        <v/>
      </c>
      <c r="K80" s="1755" t="str">
        <f>IF(F82="µg",1000,"")</f>
        <v/>
      </c>
      <c r="L80" s="1755" t="str">
        <f>IF(F82="µg",1000,"")</f>
        <v/>
      </c>
      <c r="M80" s="1760" t="str">
        <f>IF(F82="µg",1000,"")</f>
        <v/>
      </c>
      <c r="N80" s="1769" t="str">
        <f>IF(F82="µg",1000,"")</f>
        <v/>
      </c>
      <c r="O80" s="1695"/>
      <c r="P80" s="1695"/>
      <c r="Q80" s="1695"/>
      <c r="U80" s="2819" t="e">
        <f>'Non-Isokinetic'!C70</f>
        <v>#VALUE!</v>
      </c>
      <c r="V80" s="2819"/>
      <c r="W80" s="1719"/>
      <c r="X80" s="2819" t="e">
        <f>'Non-Isokinetic'!D70</f>
        <v>#VALUE!</v>
      </c>
      <c r="Y80" s="2819"/>
      <c r="Z80" s="1719"/>
      <c r="AA80" s="2260"/>
      <c r="AB80" s="1894"/>
      <c r="AC80" s="2273"/>
      <c r="AD80" s="1712"/>
      <c r="AE80" s="1914" t="str">
        <f>VND</f>
        <v/>
      </c>
      <c r="AF80" s="1915"/>
      <c r="AG80" s="1916"/>
      <c r="AH80" s="2260"/>
      <c r="AI80" s="2273"/>
      <c r="AJ80" s="1697"/>
      <c r="AK80" s="1697"/>
      <c r="AM80" s="2816" t="s">
        <v>1743</v>
      </c>
      <c r="AN80" s="2816"/>
      <c r="AO80" s="2816"/>
      <c r="AP80" s="2816"/>
      <c r="AQ80" s="2816"/>
      <c r="AR80" s="2816"/>
      <c r="AS80" s="2816"/>
      <c r="AT80" s="2816"/>
      <c r="AU80" s="2816"/>
      <c r="AV80" s="1734"/>
      <c r="AW80" s="2816" t="str">
        <f>"Lab result (concentration - analysed compound) "&amp;F82</f>
        <v xml:space="preserve">Lab result (concentration - analysed compound) </v>
      </c>
      <c r="AX80" s="2816"/>
      <c r="AY80" s="2816"/>
      <c r="AZ80" s="2816"/>
      <c r="BA80" s="2816"/>
      <c r="BB80" s="2816"/>
      <c r="BC80" s="2816"/>
      <c r="BD80" s="2816"/>
      <c r="BE80" s="2816"/>
      <c r="BF80" s="1734"/>
      <c r="BG80" s="2816" t="s">
        <v>1772</v>
      </c>
      <c r="BH80" s="2816"/>
      <c r="BI80" s="2816"/>
      <c r="BJ80" s="2816"/>
      <c r="BK80" s="2816"/>
      <c r="BL80" s="2816"/>
      <c r="BM80" s="2816"/>
      <c r="BN80" s="2816"/>
      <c r="BO80" s="2816" t="s">
        <v>1774</v>
      </c>
      <c r="BP80" s="2816"/>
      <c r="BQ80" s="2816"/>
      <c r="BR80" s="2816"/>
      <c r="BS80" s="2816"/>
      <c r="BT80" s="2816"/>
      <c r="BU80" s="2816"/>
      <c r="BV80" s="2816"/>
      <c r="BW80" s="2816" t="s">
        <v>1705</v>
      </c>
      <c r="BX80" s="2816"/>
      <c r="BY80" s="2814" t="s">
        <v>1703</v>
      </c>
      <c r="BZ80" s="2814"/>
      <c r="CA80" s="2814" t="s">
        <v>1742</v>
      </c>
      <c r="CB80" s="2814"/>
      <c r="CC80" s="2814"/>
      <c r="CD80" s="2814"/>
      <c r="CE80" s="1690" t="s">
        <v>1778</v>
      </c>
    </row>
    <row r="81" spans="1:83 16366:16368" ht="13.5" customHeight="1">
      <c r="A81" s="1690" t="b">
        <f>IF(COUNTIF(A84:A92,TRUE)&gt;0,TRUE,FALSE)</f>
        <v>0</v>
      </c>
      <c r="B81" s="1691"/>
      <c r="C81" s="1748"/>
      <c r="D81" s="1748"/>
      <c r="E81" s="1749" t="s">
        <v>1764</v>
      </c>
      <c r="F81" s="1761">
        <v>1</v>
      </c>
      <c r="G81" s="1762">
        <v>1</v>
      </c>
      <c r="H81" s="1762">
        <v>1</v>
      </c>
      <c r="I81" s="1766">
        <v>1</v>
      </c>
      <c r="J81" s="1761">
        <v>1</v>
      </c>
      <c r="K81" s="1762">
        <v>1</v>
      </c>
      <c r="L81" s="1762">
        <v>1</v>
      </c>
      <c r="M81" s="1763">
        <v>1</v>
      </c>
      <c r="N81" s="1770">
        <v>1</v>
      </c>
      <c r="O81" s="1695"/>
      <c r="P81" s="1695"/>
      <c r="Q81" s="1695"/>
      <c r="U81" s="1900"/>
      <c r="V81" s="1905"/>
      <c r="W81" s="1838" t="s">
        <v>97</v>
      </c>
      <c r="X81" s="1907"/>
      <c r="Y81" s="1905"/>
      <c r="Z81" s="1838" t="s">
        <v>97</v>
      </c>
      <c r="AA81" s="1917"/>
      <c r="AB81" s="2275"/>
      <c r="AC81" s="2279" t="s">
        <v>97</v>
      </c>
      <c r="AD81" s="1917"/>
      <c r="AE81" s="1918"/>
      <c r="AF81" s="1918"/>
      <c r="AG81" s="1919"/>
      <c r="AH81" s="1917"/>
      <c r="AI81" s="1919"/>
      <c r="AJ81" s="1835"/>
      <c r="AK81" s="2815" t="s">
        <v>1707</v>
      </c>
      <c r="AL81" s="2815" t="s">
        <v>1767</v>
      </c>
      <c r="AM81" s="2816" t="s">
        <v>1705</v>
      </c>
      <c r="AN81" s="2816"/>
      <c r="AO81" s="2816"/>
      <c r="AP81" s="2816"/>
      <c r="AQ81" s="2816" t="s">
        <v>1703</v>
      </c>
      <c r="AR81" s="2816"/>
      <c r="AS81" s="2816"/>
      <c r="AT81" s="2816"/>
      <c r="AU81" s="1733" t="s">
        <v>1704</v>
      </c>
      <c r="AV81" s="1733"/>
      <c r="AW81" s="2816" t="s">
        <v>1705</v>
      </c>
      <c r="AX81" s="2816"/>
      <c r="AY81" s="2816"/>
      <c r="AZ81" s="2816"/>
      <c r="BA81" s="2816" t="s">
        <v>1703</v>
      </c>
      <c r="BB81" s="2816"/>
      <c r="BC81" s="2816"/>
      <c r="BD81" s="2816"/>
      <c r="BE81" s="1733" t="s">
        <v>1704</v>
      </c>
      <c r="BF81" s="1733"/>
      <c r="BG81" s="2816" t="s">
        <v>1705</v>
      </c>
      <c r="BH81" s="2816"/>
      <c r="BI81" s="2816"/>
      <c r="BJ81" s="2816"/>
      <c r="BK81" s="2816" t="s">
        <v>1703</v>
      </c>
      <c r="BL81" s="2816"/>
      <c r="BM81" s="2816"/>
      <c r="BN81" s="2816"/>
      <c r="BO81" s="2816" t="s">
        <v>1705</v>
      </c>
      <c r="BP81" s="2816"/>
      <c r="BQ81" s="2816"/>
      <c r="BR81" s="2816"/>
      <c r="BS81" s="2816" t="s">
        <v>1703</v>
      </c>
      <c r="BT81" s="2816"/>
      <c r="BU81" s="2816"/>
      <c r="BV81" s="2816"/>
      <c r="BW81" s="1732" t="s">
        <v>1741</v>
      </c>
      <c r="BX81" s="1736" t="s">
        <v>1740</v>
      </c>
      <c r="BY81" s="1737" t="s">
        <v>1741</v>
      </c>
      <c r="BZ81" s="1736" t="s">
        <v>1740</v>
      </c>
      <c r="CA81" s="2817" t="s">
        <v>1738</v>
      </c>
      <c r="CB81" s="2817"/>
      <c r="CC81" s="2810" t="s">
        <v>1739</v>
      </c>
      <c r="CD81" s="2806"/>
    </row>
    <row r="82" spans="1:83 16366:16368">
      <c r="A82" s="1690" t="b">
        <f>IF(COUNTIF(A84:A92,TRUE)&gt;0,TRUE,FALSE)</f>
        <v>0</v>
      </c>
      <c r="B82" s="1691" t="s">
        <v>1284</v>
      </c>
      <c r="C82" s="1748"/>
      <c r="D82" s="1750"/>
      <c r="E82" s="1749" t="s">
        <v>1775</v>
      </c>
      <c r="F82" s="1771"/>
      <c r="G82" s="1775" t="e">
        <f>VLOOKUP(F82,$C$1:$D$5,2,FALSE)</f>
        <v>#N/A</v>
      </c>
      <c r="H82" s="1776"/>
      <c r="I82" s="1776"/>
      <c r="J82" s="1776"/>
      <c r="K82" s="1776"/>
      <c r="L82" s="1776"/>
      <c r="M82" s="1776"/>
      <c r="N82" s="1777"/>
      <c r="O82" s="1692"/>
      <c r="P82" s="1697" t="s">
        <v>1708</v>
      </c>
      <c r="Q82" s="1697"/>
      <c r="U82" s="2041"/>
      <c r="V82" s="2042" t="str">
        <f>CU</f>
        <v>mg/m³</v>
      </c>
      <c r="W82" s="2337" t="str">
        <f>V82</f>
        <v>mg/m³</v>
      </c>
      <c r="X82" s="2041"/>
      <c r="Y82" s="2042" t="str">
        <f>CU</f>
        <v>mg/m³</v>
      </c>
      <c r="Z82" s="2337" t="str">
        <f>Y82</f>
        <v>mg/m³</v>
      </c>
      <c r="AA82" s="2339"/>
      <c r="AB82" s="2340" t="str">
        <f>Z82</f>
        <v>mg/m³</v>
      </c>
      <c r="AC82" s="2340" t="str">
        <f>V82</f>
        <v>mg/m³</v>
      </c>
      <c r="AD82" s="2043"/>
      <c r="AE82" s="2044" t="str">
        <f>MRU</f>
        <v>g/min</v>
      </c>
      <c r="AF82" s="2043"/>
      <c r="AG82" s="2044" t="str">
        <f>MRU</f>
        <v>g/min</v>
      </c>
      <c r="AH82" s="2267"/>
      <c r="AI82" s="2268" t="str">
        <f>MRU</f>
        <v>g/min</v>
      </c>
      <c r="AJ82" s="1835" t="s">
        <v>1706</v>
      </c>
      <c r="AK82" s="2815"/>
      <c r="AL82" s="2815"/>
      <c r="AM82" s="1734" t="s">
        <v>1768</v>
      </c>
      <c r="AN82" s="1734" t="s">
        <v>1769</v>
      </c>
      <c r="AO82" s="1734" t="s">
        <v>1770</v>
      </c>
      <c r="AP82" s="1734" t="s">
        <v>1771</v>
      </c>
      <c r="AQ82" s="1734" t="s">
        <v>1768</v>
      </c>
      <c r="AR82" s="1734" t="s">
        <v>1769</v>
      </c>
      <c r="AS82" s="1734" t="s">
        <v>1770</v>
      </c>
      <c r="AT82" s="1734" t="s">
        <v>1771</v>
      </c>
      <c r="AU82" s="1734" t="s">
        <v>1704</v>
      </c>
      <c r="AV82" s="1734"/>
      <c r="AW82" s="1734" t="s">
        <v>1768</v>
      </c>
      <c r="AX82" s="1734" t="s">
        <v>1769</v>
      </c>
      <c r="AY82" s="1734" t="s">
        <v>1770</v>
      </c>
      <c r="AZ82" s="1734" t="s">
        <v>1771</v>
      </c>
      <c r="BA82" s="1734" t="s">
        <v>1768</v>
      </c>
      <c r="BB82" s="1734" t="s">
        <v>1769</v>
      </c>
      <c r="BC82" s="1734" t="s">
        <v>1770</v>
      </c>
      <c r="BD82" s="1734" t="s">
        <v>1771</v>
      </c>
      <c r="BE82" s="1734">
        <f>F82</f>
        <v>0</v>
      </c>
      <c r="BF82" s="1734"/>
      <c r="BG82" s="1734" t="s">
        <v>1768</v>
      </c>
      <c r="BH82" s="1734" t="s">
        <v>1769</v>
      </c>
      <c r="BI82" s="1734" t="s">
        <v>1770</v>
      </c>
      <c r="BJ82" s="1734" t="s">
        <v>1771</v>
      </c>
      <c r="BK82" s="1734" t="s">
        <v>1768</v>
      </c>
      <c r="BL82" s="1734" t="s">
        <v>1769</v>
      </c>
      <c r="BM82" s="1734" t="s">
        <v>1770</v>
      </c>
      <c r="BN82" s="1734" t="s">
        <v>1771</v>
      </c>
      <c r="BO82" s="1734" t="s">
        <v>1768</v>
      </c>
      <c r="BP82" s="1734" t="s">
        <v>1769</v>
      </c>
      <c r="BQ82" s="1734" t="s">
        <v>1770</v>
      </c>
      <c r="BR82" s="1734" t="s">
        <v>1771</v>
      </c>
      <c r="BS82" s="1734" t="s">
        <v>1768</v>
      </c>
      <c r="BT82" s="1734" t="s">
        <v>1769</v>
      </c>
      <c r="BU82" s="1734" t="s">
        <v>1770</v>
      </c>
      <c r="BV82" s="1734" t="s">
        <v>1771</v>
      </c>
      <c r="BW82" s="1734" t="s">
        <v>1427</v>
      </c>
      <c r="BX82" s="1734" t="s">
        <v>1427</v>
      </c>
      <c r="BY82" s="1734"/>
      <c r="BZ82" s="1734" t="s">
        <v>1427</v>
      </c>
      <c r="CA82" s="1734" t="s">
        <v>819</v>
      </c>
      <c r="CB82" s="1734" t="s">
        <v>1427</v>
      </c>
      <c r="CC82" s="1734" t="s">
        <v>819</v>
      </c>
      <c r="CD82" s="1734" t="s">
        <v>1427</v>
      </c>
    </row>
    <row r="83" spans="1:83 16366:16368" ht="10.5" customHeight="1">
      <c r="A83" s="1690" t="b">
        <f>IF(COUNTIF(A84:A92,TRUE)&gt;0,TRUE,FALSE)</f>
        <v>0</v>
      </c>
      <c r="B83" s="1691"/>
      <c r="C83" s="1750" t="s">
        <v>1776</v>
      </c>
      <c r="D83" s="1750" t="s">
        <v>1437</v>
      </c>
      <c r="E83" s="1750" t="s">
        <v>1777</v>
      </c>
      <c r="F83" s="1723"/>
      <c r="G83" s="1746"/>
      <c r="H83" s="1746"/>
      <c r="I83" s="1746"/>
      <c r="J83" s="1746"/>
      <c r="K83" s="1746"/>
      <c r="L83" s="1746"/>
      <c r="M83" s="1746"/>
      <c r="N83" s="1747"/>
      <c r="O83" s="1692"/>
      <c r="P83" s="1697"/>
      <c r="Q83" s="1697"/>
      <c r="U83" s="1895"/>
      <c r="V83" s="1906">
        <f>VLOOKUP(V82,ConcTable,2,FALSE)</f>
        <v>1000000</v>
      </c>
      <c r="W83" s="1896"/>
      <c r="X83" s="1908"/>
      <c r="Y83" s="1906">
        <f>VLOOKUP(Y82,ConcTable,2,FALSE)</f>
        <v>1000000</v>
      </c>
      <c r="Z83" s="1896"/>
      <c r="AA83" s="1908"/>
      <c r="AB83" s="1906"/>
      <c r="AC83" s="1896"/>
      <c r="AD83" s="1910"/>
      <c r="AE83" s="1897">
        <f>VLOOKUP(AE82,MassRateTable,2,FALSE)</f>
        <v>60</v>
      </c>
      <c r="AF83" s="1910"/>
      <c r="AG83" s="1897">
        <f>VLOOKUP(AG82,MassRateTable,2,FALSE)</f>
        <v>60</v>
      </c>
      <c r="AH83" s="2269"/>
      <c r="AI83" s="2270"/>
      <c r="AJ83" s="1836"/>
      <c r="AK83" s="1836"/>
      <c r="AM83" s="1697"/>
      <c r="AN83" s="1697"/>
      <c r="AO83" s="1697"/>
      <c r="AP83" s="1697"/>
      <c r="AQ83" s="1697"/>
      <c r="AR83" s="1697"/>
      <c r="AS83" s="1697"/>
      <c r="AT83" s="1697"/>
      <c r="AU83" s="1697"/>
      <c r="AV83" s="1697"/>
      <c r="AW83" s="1697"/>
      <c r="AX83" s="1697"/>
      <c r="AY83" s="1697"/>
      <c r="AZ83" s="1697"/>
      <c r="BA83" s="1697"/>
      <c r="BB83" s="1697"/>
      <c r="BC83" s="1697"/>
      <c r="BD83" s="1697"/>
      <c r="BE83" s="1697"/>
      <c r="BF83" s="1697"/>
      <c r="BM83" s="1690"/>
      <c r="BN83" s="1690"/>
      <c r="BO83" s="1690"/>
      <c r="BP83" s="1690"/>
      <c r="BQ83" s="1690"/>
      <c r="BR83" s="1690"/>
      <c r="BS83" s="1690"/>
      <c r="BT83" s="1690"/>
    </row>
    <row r="84" spans="1:83 16366:16368">
      <c r="A84" s="1690" t="b">
        <f t="shared" ref="A84:A92" si="262">IF(B84=0,FALSE,TRUE)</f>
        <v>0</v>
      </c>
      <c r="B84" s="1701">
        <f>'Non-Isokinetic'!A63</f>
        <v>0</v>
      </c>
      <c r="C84" s="1752" t="e">
        <f t="shared" ref="C84:C92" si="263">VLOOKUP(B84,AnalyteTable,5,FALSE)</f>
        <v>#N/A</v>
      </c>
      <c r="D84" s="1704" t="e">
        <f t="shared" ref="D84:D92" si="264">VLOOKUP(B84,AnalyteTable,7,FALSE)</f>
        <v>#N/A</v>
      </c>
      <c r="E84" s="1796" t="e">
        <f t="shared" ref="E84:E92" si="265">VLOOKUP(D84,PQLTable,8,FALSE)</f>
        <v>#N/A</v>
      </c>
      <c r="F84" s="1756"/>
      <c r="G84" s="1757"/>
      <c r="H84" s="1757"/>
      <c r="I84" s="1764"/>
      <c r="J84" s="1756"/>
      <c r="K84" s="1757"/>
      <c r="L84" s="1757"/>
      <c r="M84" s="1764"/>
      <c r="N84" s="1772"/>
      <c r="O84" s="1692" t="str">
        <f t="shared" ref="O84:O92" si="266">IF(B84=0,"",IF(SUM(V84,Y84)=0,"no result",IF(COUNT(V84:Y84)=1,"Single Result","")))</f>
        <v/>
      </c>
      <c r="P84" s="1692">
        <f t="shared" ref="P84:P92" si="267">IF(OR(V84="",Y84=""),0,ABS((MAX(V84:Y84)-MIN(V84:Y84))/AVERAGE(V84:Y84)))</f>
        <v>0</v>
      </c>
      <c r="Q84" s="1692" t="str">
        <f>IF(OR(BH84&gt;(0.2*BG84),BI84&gt;(0.2*BH84),BJ84&gt;(0.2*BI84),BL84&gt;(0.2*BK84),BM84&gt;(0.2*BL84),BN84&gt;(0.2*BM84)),"Breakthrough?","")</f>
        <v/>
      </c>
      <c r="U84" s="1898" t="str">
        <f t="shared" ref="U84:U92" si="268">CA84</f>
        <v/>
      </c>
      <c r="V84" s="1720" t="str">
        <f>IF(COUNT(F84:I84)=0,"",Conc1(CB84,U$80,$AJ84,MolVol,Pitots!$E$49,Pitots!$F$49,V$82,V$83,VoF))</f>
        <v/>
      </c>
      <c r="W84" s="1719" t="str">
        <f t="shared" ref="W84:W92" si="269">IF($B84=0,"",V84*CorrFactor)</f>
        <v/>
      </c>
      <c r="X84" s="1718" t="str">
        <f t="shared" ref="X84:X92" si="270">CC84</f>
        <v/>
      </c>
      <c r="Y84" s="1720" t="str">
        <f>IF(COUNT(J84:M84)=0,"",Conc1(CD84,X$80,$AJ84,MolVol,Pitots!$E$49,Pitots!$F$49,Y$82,Y$83,VoF))</f>
        <v/>
      </c>
      <c r="Z84" s="1719" t="str">
        <f t="shared" ref="Z84:Z92" si="271">IF($B84=0,"",Y84*CorrFactor)</f>
        <v/>
      </c>
      <c r="AA84" s="2264" t="str">
        <f>IF(AND(U84="",X84=""),"",IF(OR(U84="",X84=""),"≤",""))</f>
        <v/>
      </c>
      <c r="AB84" s="1720" t="str">
        <f t="shared" ref="AB84:AB92" si="272">IF(OR(V84="",Y84=""),"",AVERAGE(V84,Y84))</f>
        <v/>
      </c>
      <c r="AC84" s="1719" t="str">
        <f t="shared" ref="AC84:AC92" si="273">IF($B84=0,"",AB84*CorrFactor)</f>
        <v/>
      </c>
      <c r="AD84" s="1911" t="str">
        <f t="shared" ref="AD84:AD92" si="274">IF(OR(U84="&lt;",VND="&lt;"),"&lt;","")</f>
        <v/>
      </c>
      <c r="AE84" s="1899" t="str">
        <f>IF(V84="","",MassRate(V84,$AJ84,MolVol,V$82,V$83,MRU,MRF,AverageFlowDry,FF))</f>
        <v/>
      </c>
      <c r="AF84" s="1911" t="str">
        <f t="shared" ref="AF84:AF92" si="275">IF(OR(X84="&lt;",VND="&lt;"),"&lt;","")</f>
        <v/>
      </c>
      <c r="AG84" s="1899" t="str">
        <f>IF(Y84="","",MassRate(Y84,$AJ84,MolVol,Y$82,Y$83,MRU,MRF,AverageFlowDry,FF))</f>
        <v/>
      </c>
      <c r="AH84" s="2264" t="str">
        <f>IF(AND(AD84="",AF84=""),"",IF(OR(AD84="",AF84=""),"≤",""))</f>
        <v/>
      </c>
      <c r="AI84" s="1899" t="str">
        <f>IF(AB84="","",AVERAGE(AE84,AG84))</f>
        <v/>
      </c>
      <c r="AJ84" s="1752" t="e">
        <f t="shared" ref="AJ84:AJ92" si="276">VLOOKUP(C84,PQLTable,4,FALSE)</f>
        <v>#N/A</v>
      </c>
      <c r="AK84" s="1796" t="e">
        <f t="shared" ref="AK84:AK92" si="277">VLOOKUP(D84,PQLTable,6,FALSE)</f>
        <v>#N/A</v>
      </c>
      <c r="AL84" s="1871" t="e">
        <f t="shared" ref="AL84:AL92" si="278">AJ84/AK84</f>
        <v>#N/A</v>
      </c>
      <c r="AM84" s="1718" t="str">
        <f t="shared" ref="AM84:AM92" si="279">LEFT(F84,(LEFT(F84)="&lt;"))</f>
        <v/>
      </c>
      <c r="AN84" s="1718" t="str">
        <f t="shared" ref="AN84:AN92" si="280">LEFT(G84,(LEFT(G84)="&lt;"))</f>
        <v/>
      </c>
      <c r="AO84" s="1718" t="str">
        <f t="shared" ref="AO84:AO92" si="281">LEFT(H84,(LEFT(H84)="&lt;"))</f>
        <v/>
      </c>
      <c r="AP84" s="1718" t="str">
        <f t="shared" ref="AP84:AP92" si="282">LEFT(I84,(LEFT(I84)="&lt;"))</f>
        <v/>
      </c>
      <c r="AQ84" s="1718" t="str">
        <f t="shared" ref="AQ84:AQ92" si="283">LEFT(J84,(LEFT(J84)="&lt;"))</f>
        <v/>
      </c>
      <c r="AR84" s="1718" t="str">
        <f t="shared" ref="AR84:AR92" si="284">LEFT(K84,(LEFT(K84)="&lt;"))</f>
        <v/>
      </c>
      <c r="AS84" s="1718" t="str">
        <f t="shared" ref="AS84:AS92" si="285">LEFT(L84,(LEFT(L84)="&lt;"))</f>
        <v/>
      </c>
      <c r="AT84" s="1718" t="str">
        <f t="shared" ref="AT84:AT92" si="286">LEFT(M84,(LEFT(M84)="&lt;"))</f>
        <v/>
      </c>
      <c r="AU84" s="1718" t="str">
        <f t="shared" ref="AU84:AU92" si="287">LEFT(N84,(LEFT(N84)="&lt;"))</f>
        <v/>
      </c>
      <c r="AV84" s="1718"/>
      <c r="AW84" s="1718" t="str">
        <f t="shared" ref="AW84:AW92" si="288">IF(F84="","",VALUE(RIGHT(F84,LEN(F84)-(LEFT(F84)="&lt;"))))</f>
        <v/>
      </c>
      <c r="AX84" s="1718" t="str">
        <f t="shared" ref="AX84:AX92" si="289">IF(G84="","",VALUE(RIGHT(G84,LEN(G84)-(LEFT(G84)="&lt;"))))</f>
        <v/>
      </c>
      <c r="AY84" s="1718" t="str">
        <f t="shared" ref="AY84:AY92" si="290">IF(H84="","",VALUE(RIGHT(H84,LEN(H84)-(LEFT(H84)="&lt;"))))</f>
        <v/>
      </c>
      <c r="AZ84" s="1718" t="str">
        <f t="shared" ref="AZ84:AZ92" si="291">IF(I84="","",VALUE(RIGHT(I84,LEN(I84)-(LEFT(I84)="&lt;"))))</f>
        <v/>
      </c>
      <c r="BA84" s="1718" t="str">
        <f t="shared" ref="BA84:BA92" si="292">IF(J84="","",VALUE(RIGHT(J84,LEN(J84)-(LEFT(J84)="&lt;"))))</f>
        <v/>
      </c>
      <c r="BB84" s="1718" t="str">
        <f t="shared" ref="BB84:BB92" si="293">IF(K84="","",VALUE(RIGHT(K84,LEN(K84)-(LEFT(K84)="&lt;"))))</f>
        <v/>
      </c>
      <c r="BC84" s="1718" t="str">
        <f t="shared" ref="BC84:BC92" si="294">IF(L84="","",VALUE(RIGHT(L84,LEN(L84)-(LEFT(L84)="&lt;"))))</f>
        <v/>
      </c>
      <c r="BD84" s="1718" t="str">
        <f t="shared" ref="BD84:BD92" si="295">IF(M84="","",VALUE(RIGHT(M84,LEN(M84)-(LEFT(M84)="&lt;"))))</f>
        <v/>
      </c>
      <c r="BE84" s="1738">
        <f t="shared" ref="BE84:BE92" si="296">IF(OR(AU84="&lt;",N84=""),0,VALUE(RIGHT(N84,LEN(N84)-(LEFT(N84)="&lt;"))))</f>
        <v>0</v>
      </c>
      <c r="BF84" s="1718"/>
      <c r="BG84" s="1718">
        <f t="shared" ref="BG84:BN84" si="297">IF(F84="",0,IF(OR((AW84-$BE84)&lt;BO84,AM84="&lt;"),0,AW84-$BE84)*$AL84*1000/F80/$G82*1000000)</f>
        <v>0</v>
      </c>
      <c r="BH84" s="1718">
        <f t="shared" si="297"/>
        <v>0</v>
      </c>
      <c r="BI84" s="1718">
        <f t="shared" si="297"/>
        <v>0</v>
      </c>
      <c r="BJ84" s="1718">
        <f t="shared" si="297"/>
        <v>0</v>
      </c>
      <c r="BK84" s="1718">
        <f t="shared" si="297"/>
        <v>0</v>
      </c>
      <c r="BL84" s="1718">
        <f t="shared" si="297"/>
        <v>0</v>
      </c>
      <c r="BM84" s="1718">
        <f t="shared" si="297"/>
        <v>0</v>
      </c>
      <c r="BN84" s="1718">
        <f t="shared" si="297"/>
        <v>0</v>
      </c>
      <c r="BO84" s="1712">
        <f t="shared" ref="BO84:BV84" si="298">IF(F84="",0,$E84*$AL84*1000/$F80/$G82*1000000)</f>
        <v>0</v>
      </c>
      <c r="BP84" s="1712">
        <f t="shared" si="298"/>
        <v>0</v>
      </c>
      <c r="BQ84" s="1712">
        <f t="shared" si="298"/>
        <v>0</v>
      </c>
      <c r="BR84" s="1712">
        <f t="shared" si="298"/>
        <v>0</v>
      </c>
      <c r="BS84" s="1712">
        <f t="shared" si="298"/>
        <v>0</v>
      </c>
      <c r="BT84" s="1712">
        <f t="shared" si="298"/>
        <v>0</v>
      </c>
      <c r="BU84" s="1712">
        <f t="shared" si="298"/>
        <v>0</v>
      </c>
      <c r="BV84" s="1712">
        <f t="shared" si="298"/>
        <v>0</v>
      </c>
      <c r="BW84" s="1741">
        <f t="shared" ref="BW84:BW92" si="299">SUM(BO84:BR84)</f>
        <v>0</v>
      </c>
      <c r="BX84" s="1713">
        <f t="shared" ref="BX84:BX92" si="300">SUM(BG84:BJ84)</f>
        <v>0</v>
      </c>
      <c r="BY84" s="1741">
        <f t="shared" ref="BY84:BY92" si="301">SUM(BS84:BV84)</f>
        <v>0</v>
      </c>
      <c r="BZ84" s="1713">
        <f t="shared" ref="BZ84:BZ92" si="302">SUM(BK84:BN84)</f>
        <v>0</v>
      </c>
      <c r="CA84" s="1712" t="str">
        <f t="shared" ref="CA84:CA92" si="303">IF(BX84&gt;=$BW84,"","&lt;")</f>
        <v/>
      </c>
      <c r="CB84" s="1720">
        <f t="shared" ref="CB84:CB92" si="304">IF(CA84="",BX84,(IF(BG84=0,BO84,0)+IF(BH84=0,BP84,0)+IF(BI84=0,BQ84,0)+IF(BJ84=0,BR84,0)+BX84))</f>
        <v>0</v>
      </c>
      <c r="CC84" s="1712" t="str">
        <f t="shared" ref="CC84:CC92" si="305">IF(BZ84&gt;=BY84,"","&lt;")</f>
        <v/>
      </c>
      <c r="CD84" s="1720">
        <f t="shared" ref="CD84:CD92" si="306">IF(CC84="",BZ84,(IF(BK84=0,BS84,0)+IF(BL84=0,BT84,0)+IF(BM84=0,BU84,0)+IF(BN84=0,BV84,0)+BZ84))</f>
        <v>0</v>
      </c>
      <c r="CE84" s="1690" t="str">
        <f>IF(OR(BH84&gt;(0.2*BG84),BI84&gt;(0.2*BH84),BJ84&gt;(0.2*BI84),BL84&gt;(0.2*BK84),BM84&gt;(0.2*BL84),BN84&gt;(0.2*BM84)),"Breakthrough","")</f>
        <v/>
      </c>
    </row>
    <row r="85" spans="1:83 16366:16368">
      <c r="A85" s="1690" t="b">
        <f t="shared" si="262"/>
        <v>0</v>
      </c>
      <c r="B85" s="1702">
        <f>'Non-Isokinetic'!A64</f>
        <v>0</v>
      </c>
      <c r="C85" s="1753" t="e">
        <f t="shared" si="263"/>
        <v>#N/A</v>
      </c>
      <c r="D85" s="1705" t="e">
        <f t="shared" si="264"/>
        <v>#N/A</v>
      </c>
      <c r="E85" s="1744" t="e">
        <f t="shared" si="265"/>
        <v>#N/A</v>
      </c>
      <c r="F85" s="1759"/>
      <c r="G85" s="1755"/>
      <c r="H85" s="1755"/>
      <c r="I85" s="1765"/>
      <c r="J85" s="1759"/>
      <c r="K85" s="1755"/>
      <c r="L85" s="1755"/>
      <c r="M85" s="1765"/>
      <c r="N85" s="1773"/>
      <c r="O85" s="1692" t="str">
        <f t="shared" si="266"/>
        <v/>
      </c>
      <c r="P85" s="1692">
        <f t="shared" si="267"/>
        <v>0</v>
      </c>
      <c r="Q85" s="1692" t="str">
        <f t="shared" ref="Q85:Q92" si="307">IF(OR(BH85&gt;(0.2*BG85),BI85&gt;(0.2*BH85),BJ85&gt;(0.2*BI85)),"Breakthrough?","")</f>
        <v/>
      </c>
      <c r="U85" s="1900" t="str">
        <f t="shared" si="268"/>
        <v/>
      </c>
      <c r="V85" s="1904" t="str">
        <f>IF(COUNT(F85:I85)=0,"",Conc1(CB85,U$80,$AJ85,MolVol,Pitots!$E$49,Pitots!$F$49,V$82,V$83,VoF))</f>
        <v/>
      </c>
      <c r="W85" s="1841" t="str">
        <f t="shared" si="269"/>
        <v/>
      </c>
      <c r="X85" s="1909" t="str">
        <f t="shared" si="270"/>
        <v/>
      </c>
      <c r="Y85" s="1904" t="str">
        <f>IF(COUNT(J85:M85)=0,"",Conc1(CD85,X$80,$AJ85,MolVol,Pitots!$E$49,Pitots!$F$49,Y$82,Y$83,VoF))</f>
        <v/>
      </c>
      <c r="Z85" s="1841" t="str">
        <f t="shared" si="271"/>
        <v/>
      </c>
      <c r="AA85" s="1909" t="str">
        <f t="shared" ref="AA85:AA92" si="308">IF(AND(U85="",X85=""),"",IF(OR(U85="",X85=""),"≤",""))</f>
        <v/>
      </c>
      <c r="AB85" s="2358" t="str">
        <f t="shared" si="272"/>
        <v/>
      </c>
      <c r="AC85" s="1841" t="str">
        <f t="shared" si="273"/>
        <v/>
      </c>
      <c r="AD85" s="1912" t="str">
        <f t="shared" si="274"/>
        <v/>
      </c>
      <c r="AE85" s="1901" t="str">
        <f>IF(V85="","",MassRate(V85,$AJ85,MolVol,V$82,V$83,MRU,MRF,AverageFlowDry,FF))</f>
        <v/>
      </c>
      <c r="AF85" s="1912" t="str">
        <f t="shared" si="275"/>
        <v/>
      </c>
      <c r="AG85" s="1901" t="str">
        <f>IF(Y85="","",MassRate(Y85,$AJ85,MolVol,Y$82,Y$83,MRU,MRF,AverageFlowDry,FF))</f>
        <v/>
      </c>
      <c r="AH85" s="2265" t="str">
        <f t="shared" ref="AH85:AH92" si="309">IF(AND(AD85="",AF85=""),"",IF(OR(AD85="",AF85=""),"≤",""))</f>
        <v/>
      </c>
      <c r="AI85" s="1901" t="str">
        <f t="shared" ref="AI85:AI92" si="310">IF(AB85="","",AVERAGE(AE85,AG85))</f>
        <v/>
      </c>
      <c r="AJ85" s="1753" t="e">
        <f t="shared" si="276"/>
        <v>#N/A</v>
      </c>
      <c r="AK85" s="1744" t="e">
        <f t="shared" si="277"/>
        <v>#N/A</v>
      </c>
      <c r="AL85" s="1872" t="e">
        <f t="shared" si="278"/>
        <v>#N/A</v>
      </c>
      <c r="AM85" s="1721" t="str">
        <f t="shared" si="279"/>
        <v/>
      </c>
      <c r="AN85" s="1721" t="str">
        <f t="shared" si="280"/>
        <v/>
      </c>
      <c r="AO85" s="1721" t="str">
        <f t="shared" si="281"/>
        <v/>
      </c>
      <c r="AP85" s="1721" t="str">
        <f t="shared" si="282"/>
        <v/>
      </c>
      <c r="AQ85" s="1721" t="str">
        <f t="shared" si="283"/>
        <v/>
      </c>
      <c r="AR85" s="1721" t="str">
        <f t="shared" si="284"/>
        <v/>
      </c>
      <c r="AS85" s="1721" t="str">
        <f t="shared" si="285"/>
        <v/>
      </c>
      <c r="AT85" s="1721" t="str">
        <f t="shared" si="286"/>
        <v/>
      </c>
      <c r="AU85" s="1721" t="str">
        <f t="shared" si="287"/>
        <v/>
      </c>
      <c r="AV85" s="1721"/>
      <c r="AW85" s="1721" t="str">
        <f t="shared" si="288"/>
        <v/>
      </c>
      <c r="AX85" s="1721" t="str">
        <f t="shared" si="289"/>
        <v/>
      </c>
      <c r="AY85" s="1721" t="str">
        <f t="shared" si="290"/>
        <v/>
      </c>
      <c r="AZ85" s="1721" t="str">
        <f t="shared" si="291"/>
        <v/>
      </c>
      <c r="BA85" s="1721" t="str">
        <f t="shared" si="292"/>
        <v/>
      </c>
      <c r="BB85" s="1721" t="str">
        <f t="shared" si="293"/>
        <v/>
      </c>
      <c r="BC85" s="1721" t="str">
        <f t="shared" si="294"/>
        <v/>
      </c>
      <c r="BD85" s="1721" t="str">
        <f t="shared" si="295"/>
        <v/>
      </c>
      <c r="BE85" s="1739">
        <f t="shared" si="296"/>
        <v>0</v>
      </c>
      <c r="BF85" s="1721"/>
      <c r="BG85" s="1721">
        <f t="shared" ref="BG85:BN85" si="311">IF(F85="",0,IF(OR((AW85-$BE85)&lt;BO85,AM85="&lt;"),0,AW85-$BE85)*$AL85*1000/F80/$G82*1000000)</f>
        <v>0</v>
      </c>
      <c r="BH85" s="1721">
        <f t="shared" si="311"/>
        <v>0</v>
      </c>
      <c r="BI85" s="1721">
        <f t="shared" si="311"/>
        <v>0</v>
      </c>
      <c r="BJ85" s="1721">
        <f t="shared" si="311"/>
        <v>0</v>
      </c>
      <c r="BK85" s="1721">
        <f t="shared" si="311"/>
        <v>0</v>
      </c>
      <c r="BL85" s="1721">
        <f t="shared" si="311"/>
        <v>0</v>
      </c>
      <c r="BM85" s="1721">
        <f t="shared" si="311"/>
        <v>0</v>
      </c>
      <c r="BN85" s="1721">
        <f t="shared" si="311"/>
        <v>0</v>
      </c>
      <c r="BO85" s="1715">
        <f t="shared" ref="BO85:BV85" si="312">IF(F85="",0,$E85*$AL85*1000/$F80/$G82*1000000)</f>
        <v>0</v>
      </c>
      <c r="BP85" s="1715">
        <f t="shared" si="312"/>
        <v>0</v>
      </c>
      <c r="BQ85" s="1715">
        <f t="shared" si="312"/>
        <v>0</v>
      </c>
      <c r="BR85" s="1715">
        <f t="shared" si="312"/>
        <v>0</v>
      </c>
      <c r="BS85" s="1715">
        <f t="shared" si="312"/>
        <v>0</v>
      </c>
      <c r="BT85" s="1715">
        <f t="shared" si="312"/>
        <v>0</v>
      </c>
      <c r="BU85" s="1715">
        <f t="shared" si="312"/>
        <v>0</v>
      </c>
      <c r="BV85" s="1715">
        <f t="shared" si="312"/>
        <v>0</v>
      </c>
      <c r="BW85" s="1742">
        <f t="shared" si="299"/>
        <v>0</v>
      </c>
      <c r="BX85" s="1690">
        <f t="shared" si="300"/>
        <v>0</v>
      </c>
      <c r="BY85" s="1742">
        <f t="shared" si="301"/>
        <v>0</v>
      </c>
      <c r="BZ85" s="1690">
        <f t="shared" si="302"/>
        <v>0</v>
      </c>
      <c r="CA85" s="1715" t="str">
        <f t="shared" si="303"/>
        <v/>
      </c>
      <c r="CB85" s="1722">
        <f t="shared" si="304"/>
        <v>0</v>
      </c>
      <c r="CC85" s="1715" t="str">
        <f t="shared" si="305"/>
        <v/>
      </c>
      <c r="CD85" s="1722">
        <f t="shared" si="306"/>
        <v>0</v>
      </c>
      <c r="CE85" s="1690" t="str">
        <f>IF(OR(BH85&gt;(0.2*BG85),BI85&gt;(0.2*BH85),BJ85&gt;(0.2*BI85)),"Breakthrough","")</f>
        <v/>
      </c>
    </row>
    <row r="86" spans="1:83 16366:16368">
      <c r="A86" s="1690" t="b">
        <f t="shared" si="262"/>
        <v>0</v>
      </c>
      <c r="B86" s="1702">
        <f>'Non-Isokinetic'!A65</f>
        <v>0</v>
      </c>
      <c r="C86" s="1753" t="e">
        <f t="shared" si="263"/>
        <v>#N/A</v>
      </c>
      <c r="D86" s="1705" t="e">
        <f t="shared" si="264"/>
        <v>#N/A</v>
      </c>
      <c r="E86" s="1744" t="e">
        <f t="shared" si="265"/>
        <v>#N/A</v>
      </c>
      <c r="F86" s="1759"/>
      <c r="G86" s="1755"/>
      <c r="H86" s="1755"/>
      <c r="I86" s="1765"/>
      <c r="J86" s="1759"/>
      <c r="K86" s="1755"/>
      <c r="L86" s="1755"/>
      <c r="M86" s="1765"/>
      <c r="N86" s="1773"/>
      <c r="O86" s="1692" t="str">
        <f t="shared" si="266"/>
        <v/>
      </c>
      <c r="P86" s="1692">
        <f t="shared" si="267"/>
        <v>0</v>
      </c>
      <c r="Q86" s="1692" t="str">
        <f t="shared" si="307"/>
        <v/>
      </c>
      <c r="U86" s="1900" t="str">
        <f t="shared" si="268"/>
        <v/>
      </c>
      <c r="V86" s="1904" t="str">
        <f>IF(COUNT(F86:I86)=0,"",Conc1(CB86,U$80,$AJ86,MolVol,Pitots!$E$49,Pitots!$F$49,V$82,V$83,VoF))</f>
        <v/>
      </c>
      <c r="W86" s="1841" t="str">
        <f t="shared" si="269"/>
        <v/>
      </c>
      <c r="X86" s="1909" t="str">
        <f t="shared" si="270"/>
        <v/>
      </c>
      <c r="Y86" s="1904" t="str">
        <f>IF(COUNT(J86:M86)=0,"",Conc1(CD86,X$80,$AJ86,MolVol,Pitots!$E$49,Pitots!$F$49,Y$82,Y$83,VoF))</f>
        <v/>
      </c>
      <c r="Z86" s="1841" t="str">
        <f t="shared" si="271"/>
        <v/>
      </c>
      <c r="AA86" s="1909" t="str">
        <f t="shared" si="308"/>
        <v/>
      </c>
      <c r="AB86" s="2358" t="str">
        <f t="shared" si="272"/>
        <v/>
      </c>
      <c r="AC86" s="1841" t="str">
        <f t="shared" si="273"/>
        <v/>
      </c>
      <c r="AD86" s="1912" t="str">
        <f t="shared" si="274"/>
        <v/>
      </c>
      <c r="AE86" s="1901" t="str">
        <f>IF(V86="","",MassRate(V86,$AJ86,MolVol,V$82,V$83,MRU,MRF,AverageFlowDry,FF))</f>
        <v/>
      </c>
      <c r="AF86" s="1912" t="str">
        <f t="shared" si="275"/>
        <v/>
      </c>
      <c r="AG86" s="1901" t="str">
        <f>IF(Y86="","",MassRate(Y86,$AJ86,MolVol,Y$82,Y$83,MRU,MRF,AverageFlowDry,FF))</f>
        <v/>
      </c>
      <c r="AH86" s="2265" t="str">
        <f t="shared" si="309"/>
        <v/>
      </c>
      <c r="AI86" s="1901" t="str">
        <f t="shared" si="310"/>
        <v/>
      </c>
      <c r="AJ86" s="1753" t="e">
        <f t="shared" si="276"/>
        <v>#N/A</v>
      </c>
      <c r="AK86" s="1744" t="e">
        <f t="shared" si="277"/>
        <v>#N/A</v>
      </c>
      <c r="AL86" s="1872" t="e">
        <f t="shared" si="278"/>
        <v>#N/A</v>
      </c>
      <c r="AM86" s="1721" t="str">
        <f t="shared" si="279"/>
        <v/>
      </c>
      <c r="AN86" s="1721" t="str">
        <f t="shared" si="280"/>
        <v/>
      </c>
      <c r="AO86" s="1721" t="str">
        <f t="shared" si="281"/>
        <v/>
      </c>
      <c r="AP86" s="1721" t="str">
        <f t="shared" si="282"/>
        <v/>
      </c>
      <c r="AQ86" s="1721" t="str">
        <f t="shared" si="283"/>
        <v/>
      </c>
      <c r="AR86" s="1721" t="str">
        <f t="shared" si="284"/>
        <v/>
      </c>
      <c r="AS86" s="1721" t="str">
        <f t="shared" si="285"/>
        <v/>
      </c>
      <c r="AT86" s="1721" t="str">
        <f t="shared" si="286"/>
        <v/>
      </c>
      <c r="AU86" s="1721" t="str">
        <f t="shared" si="287"/>
        <v/>
      </c>
      <c r="AV86" s="1721"/>
      <c r="AW86" s="1721" t="str">
        <f t="shared" si="288"/>
        <v/>
      </c>
      <c r="AX86" s="1721" t="str">
        <f t="shared" si="289"/>
        <v/>
      </c>
      <c r="AY86" s="1721" t="str">
        <f t="shared" si="290"/>
        <v/>
      </c>
      <c r="AZ86" s="1721" t="str">
        <f t="shared" si="291"/>
        <v/>
      </c>
      <c r="BA86" s="1721" t="str">
        <f t="shared" si="292"/>
        <v/>
      </c>
      <c r="BB86" s="1721" t="str">
        <f t="shared" si="293"/>
        <v/>
      </c>
      <c r="BC86" s="1721" t="str">
        <f t="shared" si="294"/>
        <v/>
      </c>
      <c r="BD86" s="1721" t="str">
        <f t="shared" si="295"/>
        <v/>
      </c>
      <c r="BE86" s="1739">
        <f t="shared" si="296"/>
        <v>0</v>
      </c>
      <c r="BF86" s="1721"/>
      <c r="BG86" s="1721">
        <f t="shared" ref="BG86:BN86" si="313">IF(F86="",0,IF(OR((AW86-$BE86)&lt;BO86,AM86="&lt;"),0,AW86-$BE86)*$AL86*1000/F80/$G82*1000000)</f>
        <v>0</v>
      </c>
      <c r="BH86" s="1721">
        <f t="shared" si="313"/>
        <v>0</v>
      </c>
      <c r="BI86" s="1721">
        <f t="shared" si="313"/>
        <v>0</v>
      </c>
      <c r="BJ86" s="1721">
        <f t="shared" si="313"/>
        <v>0</v>
      </c>
      <c r="BK86" s="1721">
        <f t="shared" si="313"/>
        <v>0</v>
      </c>
      <c r="BL86" s="1721">
        <f t="shared" si="313"/>
        <v>0</v>
      </c>
      <c r="BM86" s="1721">
        <f t="shared" si="313"/>
        <v>0</v>
      </c>
      <c r="BN86" s="1721">
        <f t="shared" si="313"/>
        <v>0</v>
      </c>
      <c r="BO86" s="1715">
        <f t="shared" ref="BO86:BV86" si="314">IF(F86="",0,$E86*$AL86*1000/$F80/$G82*1000000)</f>
        <v>0</v>
      </c>
      <c r="BP86" s="1715">
        <f t="shared" si="314"/>
        <v>0</v>
      </c>
      <c r="BQ86" s="1715">
        <f t="shared" si="314"/>
        <v>0</v>
      </c>
      <c r="BR86" s="1715">
        <f t="shared" si="314"/>
        <v>0</v>
      </c>
      <c r="BS86" s="1715">
        <f t="shared" si="314"/>
        <v>0</v>
      </c>
      <c r="BT86" s="1715">
        <f t="shared" si="314"/>
        <v>0</v>
      </c>
      <c r="BU86" s="1715">
        <f t="shared" si="314"/>
        <v>0</v>
      </c>
      <c r="BV86" s="1715">
        <f t="shared" si="314"/>
        <v>0</v>
      </c>
      <c r="BW86" s="1742">
        <f t="shared" si="299"/>
        <v>0</v>
      </c>
      <c r="BX86" s="1690">
        <f t="shared" si="300"/>
        <v>0</v>
      </c>
      <c r="BY86" s="1742">
        <f t="shared" si="301"/>
        <v>0</v>
      </c>
      <c r="BZ86" s="1690">
        <f t="shared" si="302"/>
        <v>0</v>
      </c>
      <c r="CA86" s="1715" t="str">
        <f t="shared" si="303"/>
        <v/>
      </c>
      <c r="CB86" s="1722">
        <f t="shared" si="304"/>
        <v>0</v>
      </c>
      <c r="CC86" s="1715" t="str">
        <f t="shared" si="305"/>
        <v/>
      </c>
      <c r="CD86" s="1722">
        <f t="shared" si="306"/>
        <v>0</v>
      </c>
      <c r="CE86" s="1690" t="str">
        <f>IF(OR(BH86&gt;(0.2*BG86),BI86&gt;(0.2*BH86),BJ86&gt;(0.2*BI86)),"Breakthrough","")</f>
        <v/>
      </c>
    </row>
    <row r="87" spans="1:83 16366:16368">
      <c r="A87" s="1690" t="b">
        <f t="shared" si="262"/>
        <v>0</v>
      </c>
      <c r="B87" s="1702">
        <f>'Non-Isokinetic'!A66</f>
        <v>0</v>
      </c>
      <c r="C87" s="1753" t="e">
        <f t="shared" si="263"/>
        <v>#N/A</v>
      </c>
      <c r="D87" s="1705" t="e">
        <f t="shared" si="264"/>
        <v>#N/A</v>
      </c>
      <c r="E87" s="1744" t="e">
        <f t="shared" si="265"/>
        <v>#N/A</v>
      </c>
      <c r="F87" s="1759"/>
      <c r="G87" s="1755"/>
      <c r="H87" s="1755"/>
      <c r="I87" s="1765"/>
      <c r="J87" s="1759"/>
      <c r="K87" s="1755"/>
      <c r="L87" s="1755"/>
      <c r="M87" s="1765"/>
      <c r="N87" s="1773"/>
      <c r="O87" s="1692" t="str">
        <f t="shared" si="266"/>
        <v/>
      </c>
      <c r="P87" s="1692">
        <f t="shared" si="267"/>
        <v>0</v>
      </c>
      <c r="Q87" s="1692" t="str">
        <f t="shared" si="307"/>
        <v/>
      </c>
      <c r="U87" s="1900" t="str">
        <f t="shared" si="268"/>
        <v/>
      </c>
      <c r="V87" s="1904" t="str">
        <f>IF(COUNT(F87:I87)=0,"",Conc1(CB87,U$80,$AJ87,MolVol,Pitots!$E$49,Pitots!$F$49,V$82,V$83,VoF))</f>
        <v/>
      </c>
      <c r="W87" s="1841" t="str">
        <f t="shared" si="269"/>
        <v/>
      </c>
      <c r="X87" s="1909" t="str">
        <f t="shared" si="270"/>
        <v/>
      </c>
      <c r="Y87" s="1904" t="str">
        <f>IF(COUNT(J87:M87)=0,"",Conc1(CD87,X$80,$AJ87,MolVol,Pitots!$E$49,Pitots!$F$49,Y$82,Y$83,VoF))</f>
        <v/>
      </c>
      <c r="Z87" s="1841" t="str">
        <f t="shared" si="271"/>
        <v/>
      </c>
      <c r="AA87" s="1909" t="str">
        <f t="shared" si="308"/>
        <v/>
      </c>
      <c r="AB87" s="2358" t="str">
        <f t="shared" si="272"/>
        <v/>
      </c>
      <c r="AC87" s="1841" t="str">
        <f t="shared" si="273"/>
        <v/>
      </c>
      <c r="AD87" s="1912" t="str">
        <f t="shared" si="274"/>
        <v/>
      </c>
      <c r="AE87" s="1901" t="str">
        <f>IF(V87="","",MassRate(V87,$AJ87,MolVol,V$82,V$83,MRU,MRF,AverageFlowDry,FF))</f>
        <v/>
      </c>
      <c r="AF87" s="1912" t="str">
        <f t="shared" si="275"/>
        <v/>
      </c>
      <c r="AG87" s="1901" t="str">
        <f>IF(Y87="","",MassRate(Y87,$AJ87,MolVol,Y$82,Y$83,MRU,MRF,AverageFlowDry,FF))</f>
        <v/>
      </c>
      <c r="AH87" s="2265" t="str">
        <f t="shared" si="309"/>
        <v/>
      </c>
      <c r="AI87" s="1901" t="str">
        <f t="shared" si="310"/>
        <v/>
      </c>
      <c r="AJ87" s="1753" t="e">
        <f t="shared" si="276"/>
        <v>#N/A</v>
      </c>
      <c r="AK87" s="1744" t="e">
        <f t="shared" si="277"/>
        <v>#N/A</v>
      </c>
      <c r="AL87" s="1872" t="e">
        <f t="shared" si="278"/>
        <v>#N/A</v>
      </c>
      <c r="AM87" s="1721" t="str">
        <f t="shared" si="279"/>
        <v/>
      </c>
      <c r="AN87" s="1721" t="str">
        <f t="shared" si="280"/>
        <v/>
      </c>
      <c r="AO87" s="1721" t="str">
        <f t="shared" si="281"/>
        <v/>
      </c>
      <c r="AP87" s="1721" t="str">
        <f t="shared" si="282"/>
        <v/>
      </c>
      <c r="AQ87" s="1721" t="str">
        <f t="shared" si="283"/>
        <v/>
      </c>
      <c r="AR87" s="1721" t="str">
        <f t="shared" si="284"/>
        <v/>
      </c>
      <c r="AS87" s="1721" t="str">
        <f t="shared" si="285"/>
        <v/>
      </c>
      <c r="AT87" s="1721" t="str">
        <f t="shared" si="286"/>
        <v/>
      </c>
      <c r="AU87" s="1721" t="str">
        <f t="shared" si="287"/>
        <v/>
      </c>
      <c r="AV87" s="1721"/>
      <c r="AW87" s="1721" t="str">
        <f t="shared" si="288"/>
        <v/>
      </c>
      <c r="AX87" s="1721" t="str">
        <f t="shared" si="289"/>
        <v/>
      </c>
      <c r="AY87" s="1721" t="str">
        <f t="shared" si="290"/>
        <v/>
      </c>
      <c r="AZ87" s="1721" t="str">
        <f t="shared" si="291"/>
        <v/>
      </c>
      <c r="BA87" s="1721" t="str">
        <f t="shared" si="292"/>
        <v/>
      </c>
      <c r="BB87" s="1721" t="str">
        <f t="shared" si="293"/>
        <v/>
      </c>
      <c r="BC87" s="1721" t="str">
        <f t="shared" si="294"/>
        <v/>
      </c>
      <c r="BD87" s="1721" t="str">
        <f t="shared" si="295"/>
        <v/>
      </c>
      <c r="BE87" s="1739">
        <f t="shared" si="296"/>
        <v>0</v>
      </c>
      <c r="BF87" s="1721"/>
      <c r="BG87" s="1721">
        <f t="shared" ref="BG87:BN87" si="315">IF(F87="",0,IF(OR((AW87-$BE87)&lt;BO87,AM87="&lt;"),0,AW87-$BE87)*$AL87*1000/F80/$G82*1000000)</f>
        <v>0</v>
      </c>
      <c r="BH87" s="1721">
        <f t="shared" si="315"/>
        <v>0</v>
      </c>
      <c r="BI87" s="1721">
        <f t="shared" si="315"/>
        <v>0</v>
      </c>
      <c r="BJ87" s="1721">
        <f t="shared" si="315"/>
        <v>0</v>
      </c>
      <c r="BK87" s="1721">
        <f t="shared" si="315"/>
        <v>0</v>
      </c>
      <c r="BL87" s="1721">
        <f t="shared" si="315"/>
        <v>0</v>
      </c>
      <c r="BM87" s="1721">
        <f t="shared" si="315"/>
        <v>0</v>
      </c>
      <c r="BN87" s="1721">
        <f t="shared" si="315"/>
        <v>0</v>
      </c>
      <c r="BO87" s="1715">
        <f t="shared" ref="BO87:BV87" si="316">IF(F87="",0,$E87*$AL87*1000/$F80/$G82*1000000)</f>
        <v>0</v>
      </c>
      <c r="BP87" s="1715">
        <f t="shared" si="316"/>
        <v>0</v>
      </c>
      <c r="BQ87" s="1715">
        <f t="shared" si="316"/>
        <v>0</v>
      </c>
      <c r="BR87" s="1715">
        <f t="shared" si="316"/>
        <v>0</v>
      </c>
      <c r="BS87" s="1715">
        <f t="shared" si="316"/>
        <v>0</v>
      </c>
      <c r="BT87" s="1715">
        <f t="shared" si="316"/>
        <v>0</v>
      </c>
      <c r="BU87" s="1715">
        <f t="shared" si="316"/>
        <v>0</v>
      </c>
      <c r="BV87" s="1715">
        <f t="shared" si="316"/>
        <v>0</v>
      </c>
      <c r="BW87" s="1742">
        <f t="shared" si="299"/>
        <v>0</v>
      </c>
      <c r="BX87" s="1690">
        <f t="shared" si="300"/>
        <v>0</v>
      </c>
      <c r="BY87" s="1742">
        <f t="shared" si="301"/>
        <v>0</v>
      </c>
      <c r="BZ87" s="1690">
        <f t="shared" si="302"/>
        <v>0</v>
      </c>
      <c r="CA87" s="1715" t="str">
        <f t="shared" si="303"/>
        <v/>
      </c>
      <c r="CB87" s="1722">
        <f t="shared" si="304"/>
        <v>0</v>
      </c>
      <c r="CC87" s="1715" t="str">
        <f t="shared" si="305"/>
        <v/>
      </c>
      <c r="CD87" s="1722">
        <f t="shared" si="306"/>
        <v>0</v>
      </c>
      <c r="CE87" s="1690" t="str">
        <f>IF(OR(BH87&gt;(0.2*BG87),BI87&gt;(0.2*BH87),BJ87&gt;(0.2*BI87)),"Breakthrough","")</f>
        <v/>
      </c>
    </row>
    <row r="88" spans="1:83 16366:16368">
      <c r="A88" s="1690" t="b">
        <f t="shared" si="262"/>
        <v>0</v>
      </c>
      <c r="B88" s="1702">
        <f>'Non-Isokinetic'!A67</f>
        <v>0</v>
      </c>
      <c r="C88" s="1753" t="e">
        <f t="shared" si="263"/>
        <v>#N/A</v>
      </c>
      <c r="D88" s="1705" t="e">
        <f t="shared" si="264"/>
        <v>#N/A</v>
      </c>
      <c r="E88" s="1744" t="e">
        <f t="shared" si="265"/>
        <v>#N/A</v>
      </c>
      <c r="F88" s="1759"/>
      <c r="G88" s="1755"/>
      <c r="H88" s="1755"/>
      <c r="I88" s="1765"/>
      <c r="J88" s="1759"/>
      <c r="K88" s="1755"/>
      <c r="L88" s="1755"/>
      <c r="M88" s="1765"/>
      <c r="N88" s="1773"/>
      <c r="O88" s="1692" t="str">
        <f t="shared" si="266"/>
        <v/>
      </c>
      <c r="P88" s="1692">
        <f t="shared" si="267"/>
        <v>0</v>
      </c>
      <c r="Q88" s="1692" t="str">
        <f t="shared" si="307"/>
        <v/>
      </c>
      <c r="U88" s="1900" t="str">
        <f t="shared" si="268"/>
        <v/>
      </c>
      <c r="V88" s="1904" t="str">
        <f>IF(COUNT(F88:I88)=0,"",Conc1(CB88,U$80,$AJ88,MolVol,Pitots!$E$49,Pitots!$F$49,V$82,V$83,VoF))</f>
        <v/>
      </c>
      <c r="W88" s="1841" t="str">
        <f t="shared" si="269"/>
        <v/>
      </c>
      <c r="X88" s="1909" t="str">
        <f t="shared" si="270"/>
        <v/>
      </c>
      <c r="Y88" s="1904" t="str">
        <f>IF(COUNT(J88:M88)=0,"",Conc1(CD88,X$80,$AJ88,MolVol,Pitots!$E$49,Pitots!$F$49,Y$82,Y$83,VoF))</f>
        <v/>
      </c>
      <c r="Z88" s="1841" t="str">
        <f t="shared" si="271"/>
        <v/>
      </c>
      <c r="AA88" s="1909" t="str">
        <f t="shared" si="308"/>
        <v/>
      </c>
      <c r="AB88" s="2358" t="str">
        <f t="shared" si="272"/>
        <v/>
      </c>
      <c r="AC88" s="1841" t="str">
        <f t="shared" si="273"/>
        <v/>
      </c>
      <c r="AD88" s="1912" t="str">
        <f t="shared" si="274"/>
        <v/>
      </c>
      <c r="AE88" s="1901" t="str">
        <f>IF(V88="","",MassRate(V88,$AJ88,MolVol,V$82,V$83,MRU,MRF,AverageFlowDry,FF))</f>
        <v/>
      </c>
      <c r="AF88" s="1912" t="str">
        <f t="shared" si="275"/>
        <v/>
      </c>
      <c r="AG88" s="1901" t="str">
        <f>IF(Y88="","",MassRate(Y88,$AJ88,MolVol,Y$82,Y$83,MRU,MRF,AverageFlowDry,FF))</f>
        <v/>
      </c>
      <c r="AH88" s="2265" t="str">
        <f t="shared" si="309"/>
        <v/>
      </c>
      <c r="AI88" s="1901" t="str">
        <f t="shared" si="310"/>
        <v/>
      </c>
      <c r="AJ88" s="1753" t="e">
        <f t="shared" si="276"/>
        <v>#N/A</v>
      </c>
      <c r="AK88" s="1744" t="e">
        <f t="shared" si="277"/>
        <v>#N/A</v>
      </c>
      <c r="AL88" s="1872" t="e">
        <f t="shared" si="278"/>
        <v>#N/A</v>
      </c>
      <c r="AM88" s="1721" t="str">
        <f t="shared" si="279"/>
        <v/>
      </c>
      <c r="AN88" s="1721" t="str">
        <f t="shared" si="280"/>
        <v/>
      </c>
      <c r="AO88" s="1721" t="str">
        <f t="shared" si="281"/>
        <v/>
      </c>
      <c r="AP88" s="1721" t="str">
        <f t="shared" si="282"/>
        <v/>
      </c>
      <c r="AQ88" s="1721" t="str">
        <f t="shared" si="283"/>
        <v/>
      </c>
      <c r="AR88" s="1721" t="str">
        <f t="shared" si="284"/>
        <v/>
      </c>
      <c r="AS88" s="1721" t="str">
        <f t="shared" si="285"/>
        <v/>
      </c>
      <c r="AT88" s="1721" t="str">
        <f t="shared" si="286"/>
        <v/>
      </c>
      <c r="AU88" s="1721" t="str">
        <f t="shared" si="287"/>
        <v/>
      </c>
      <c r="AV88" s="1721"/>
      <c r="AW88" s="1721" t="str">
        <f t="shared" si="288"/>
        <v/>
      </c>
      <c r="AX88" s="1721" t="str">
        <f t="shared" si="289"/>
        <v/>
      </c>
      <c r="AY88" s="1721" t="str">
        <f t="shared" si="290"/>
        <v/>
      </c>
      <c r="AZ88" s="1721" t="str">
        <f t="shared" si="291"/>
        <v/>
      </c>
      <c r="BA88" s="1721" t="str">
        <f t="shared" si="292"/>
        <v/>
      </c>
      <c r="BB88" s="1721" t="str">
        <f t="shared" si="293"/>
        <v/>
      </c>
      <c r="BC88" s="1721" t="str">
        <f t="shared" si="294"/>
        <v/>
      </c>
      <c r="BD88" s="1721" t="str">
        <f t="shared" si="295"/>
        <v/>
      </c>
      <c r="BE88" s="1739">
        <f t="shared" si="296"/>
        <v>0</v>
      </c>
      <c r="BF88" s="1721"/>
      <c r="BG88" s="1721">
        <f t="shared" ref="BG88:BN88" si="317">IF(F88="",0,IF(OR((AW88-$BE88)&lt;BO88,AM88="&lt;"),0,AW88-$BE88)*$AL88*1000/F80/$G82*1000000)</f>
        <v>0</v>
      </c>
      <c r="BH88" s="1721">
        <f t="shared" si="317"/>
        <v>0</v>
      </c>
      <c r="BI88" s="1721">
        <f t="shared" si="317"/>
        <v>0</v>
      </c>
      <c r="BJ88" s="1721">
        <f t="shared" si="317"/>
        <v>0</v>
      </c>
      <c r="BK88" s="1721">
        <f t="shared" si="317"/>
        <v>0</v>
      </c>
      <c r="BL88" s="1721">
        <f t="shared" si="317"/>
        <v>0</v>
      </c>
      <c r="BM88" s="1721">
        <f t="shared" si="317"/>
        <v>0</v>
      </c>
      <c r="BN88" s="1721">
        <f t="shared" si="317"/>
        <v>0</v>
      </c>
      <c r="BO88" s="1715">
        <f t="shared" ref="BO88:BV88" si="318">IF(F88="",0,$E88*$AL88*1000/$F80/$G82*1000000)</f>
        <v>0</v>
      </c>
      <c r="BP88" s="1715">
        <f t="shared" si="318"/>
        <v>0</v>
      </c>
      <c r="BQ88" s="1715">
        <f t="shared" si="318"/>
        <v>0</v>
      </c>
      <c r="BR88" s="1715">
        <f t="shared" si="318"/>
        <v>0</v>
      </c>
      <c r="BS88" s="1715">
        <f t="shared" si="318"/>
        <v>0</v>
      </c>
      <c r="BT88" s="1715">
        <f t="shared" si="318"/>
        <v>0</v>
      </c>
      <c r="BU88" s="1715">
        <f t="shared" si="318"/>
        <v>0</v>
      </c>
      <c r="BV88" s="1715">
        <f t="shared" si="318"/>
        <v>0</v>
      </c>
      <c r="BW88" s="1742">
        <f t="shared" si="299"/>
        <v>0</v>
      </c>
      <c r="BX88" s="1690">
        <f t="shared" si="300"/>
        <v>0</v>
      </c>
      <c r="BY88" s="1742">
        <f t="shared" si="301"/>
        <v>0</v>
      </c>
      <c r="BZ88" s="1690">
        <f t="shared" si="302"/>
        <v>0</v>
      </c>
      <c r="CA88" s="1715" t="str">
        <f t="shared" si="303"/>
        <v/>
      </c>
      <c r="CB88" s="1722">
        <f t="shared" si="304"/>
        <v>0</v>
      </c>
      <c r="CC88" s="1715" t="str">
        <f t="shared" si="305"/>
        <v/>
      </c>
      <c r="CD88" s="1722">
        <f t="shared" si="306"/>
        <v>0</v>
      </c>
      <c r="CE88" s="1690" t="str">
        <f>IF(OR(BH88&gt;(0.2*BG88),BI88&gt;(0.2*BH88),BJ88&gt;(0.2*BI88)),"Breakthrough","")</f>
        <v/>
      </c>
    </row>
    <row r="89" spans="1:83 16366:16368">
      <c r="A89" s="1690" t="b">
        <f t="shared" si="262"/>
        <v>0</v>
      </c>
      <c r="B89" s="1702">
        <f>'Non-Isokinetic'!A68</f>
        <v>0</v>
      </c>
      <c r="C89" s="1753" t="e">
        <f t="shared" si="263"/>
        <v>#N/A</v>
      </c>
      <c r="D89" s="1705" t="e">
        <f t="shared" si="264"/>
        <v>#N/A</v>
      </c>
      <c r="E89" s="1744" t="e">
        <f t="shared" si="265"/>
        <v>#N/A</v>
      </c>
      <c r="F89" s="1759"/>
      <c r="G89" s="1755"/>
      <c r="H89" s="1755"/>
      <c r="I89" s="1765"/>
      <c r="J89" s="1759"/>
      <c r="K89" s="1755"/>
      <c r="L89" s="1755"/>
      <c r="M89" s="1765"/>
      <c r="N89" s="1773"/>
      <c r="O89" s="1692" t="str">
        <f t="shared" si="266"/>
        <v/>
      </c>
      <c r="P89" s="1692">
        <f t="shared" si="267"/>
        <v>0</v>
      </c>
      <c r="Q89" s="1692" t="str">
        <f t="shared" si="307"/>
        <v/>
      </c>
      <c r="U89" s="1900" t="str">
        <f t="shared" si="268"/>
        <v/>
      </c>
      <c r="V89" s="1904" t="str">
        <f>IF(COUNT(F89:I89)=0,"",Conc1(CB89,U$80,$AJ89,MolVol,Pitots!$E$49,Pitots!$F$49,V$82,V$83,VoF))</f>
        <v/>
      </c>
      <c r="W89" s="1841" t="str">
        <f t="shared" si="269"/>
        <v/>
      </c>
      <c r="X89" s="1909" t="str">
        <f t="shared" si="270"/>
        <v/>
      </c>
      <c r="Y89" s="1904" t="str">
        <f>IF(COUNT(J89:M89)=0,"",Conc1(CD89,X$80,$AJ89,MolVol,Pitots!$E$49,Pitots!$F$49,Y$82,Y$83,VoF))</f>
        <v/>
      </c>
      <c r="Z89" s="1841" t="str">
        <f t="shared" si="271"/>
        <v/>
      </c>
      <c r="AA89" s="1909" t="str">
        <f t="shared" si="308"/>
        <v/>
      </c>
      <c r="AB89" s="2358" t="str">
        <f t="shared" si="272"/>
        <v/>
      </c>
      <c r="AC89" s="1841" t="str">
        <f t="shared" si="273"/>
        <v/>
      </c>
      <c r="AD89" s="1912" t="str">
        <f t="shared" si="274"/>
        <v/>
      </c>
      <c r="AE89" s="1901" t="str">
        <f>IF(V89="","",MassRate(V89,$AJ89,MolVol,V$82,V$83,MRU,MRF,AverageFlowDry,FF))</f>
        <v/>
      </c>
      <c r="AF89" s="1912" t="str">
        <f t="shared" si="275"/>
        <v/>
      </c>
      <c r="AG89" s="1901" t="str">
        <f>IF(Y89="","",MassRate(Y89,$AJ89,MolVol,Y$82,Y$83,MRU,MRF,AverageFlowDry,FF))</f>
        <v/>
      </c>
      <c r="AH89" s="2265" t="str">
        <f t="shared" si="309"/>
        <v/>
      </c>
      <c r="AI89" s="1901" t="str">
        <f t="shared" si="310"/>
        <v/>
      </c>
      <c r="AJ89" s="1753" t="e">
        <f t="shared" si="276"/>
        <v>#N/A</v>
      </c>
      <c r="AK89" s="1744" t="e">
        <f t="shared" si="277"/>
        <v>#N/A</v>
      </c>
      <c r="AL89" s="1872" t="e">
        <f t="shared" si="278"/>
        <v>#N/A</v>
      </c>
      <c r="AM89" s="1721" t="str">
        <f t="shared" si="279"/>
        <v/>
      </c>
      <c r="AN89" s="1721" t="str">
        <f t="shared" si="280"/>
        <v/>
      </c>
      <c r="AO89" s="1721" t="str">
        <f t="shared" si="281"/>
        <v/>
      </c>
      <c r="AP89" s="1721" t="str">
        <f t="shared" si="282"/>
        <v/>
      </c>
      <c r="AQ89" s="1721" t="str">
        <f t="shared" si="283"/>
        <v/>
      </c>
      <c r="AR89" s="1721" t="str">
        <f t="shared" si="284"/>
        <v/>
      </c>
      <c r="AS89" s="1721" t="str">
        <f t="shared" si="285"/>
        <v/>
      </c>
      <c r="AT89" s="1721" t="str">
        <f t="shared" si="286"/>
        <v/>
      </c>
      <c r="AU89" s="1721" t="str">
        <f t="shared" si="287"/>
        <v/>
      </c>
      <c r="AV89" s="1721"/>
      <c r="AW89" s="1721" t="str">
        <f t="shared" si="288"/>
        <v/>
      </c>
      <c r="AX89" s="1721" t="str">
        <f t="shared" si="289"/>
        <v/>
      </c>
      <c r="AY89" s="1721" t="str">
        <f t="shared" si="290"/>
        <v/>
      </c>
      <c r="AZ89" s="1721" t="str">
        <f t="shared" si="291"/>
        <v/>
      </c>
      <c r="BA89" s="1721" t="str">
        <f t="shared" si="292"/>
        <v/>
      </c>
      <c r="BB89" s="1721" t="str">
        <f t="shared" si="293"/>
        <v/>
      </c>
      <c r="BC89" s="1721" t="str">
        <f t="shared" si="294"/>
        <v/>
      </c>
      <c r="BD89" s="1721" t="str">
        <f t="shared" si="295"/>
        <v/>
      </c>
      <c r="BE89" s="1739">
        <f t="shared" si="296"/>
        <v>0</v>
      </c>
      <c r="BF89" s="1721"/>
      <c r="BG89" s="1721">
        <f t="shared" ref="BG89:BN89" si="319">IF(F89="",0,IF(OR((AW89-$BE89)&lt;BO89,AM89="&lt;"),0,AW89-$BE89)*$AL89*1000/F80/$G82*1000000)</f>
        <v>0</v>
      </c>
      <c r="BH89" s="1721">
        <f t="shared" si="319"/>
        <v>0</v>
      </c>
      <c r="BI89" s="1721">
        <f t="shared" si="319"/>
        <v>0</v>
      </c>
      <c r="BJ89" s="1721">
        <f t="shared" si="319"/>
        <v>0</v>
      </c>
      <c r="BK89" s="1721">
        <f t="shared" si="319"/>
        <v>0</v>
      </c>
      <c r="BL89" s="1721">
        <f t="shared" si="319"/>
        <v>0</v>
      </c>
      <c r="BM89" s="1721">
        <f t="shared" si="319"/>
        <v>0</v>
      </c>
      <c r="BN89" s="1721">
        <f t="shared" si="319"/>
        <v>0</v>
      </c>
      <c r="BO89" s="1715">
        <f t="shared" ref="BO89:BV89" si="320">IF(F89="",0,$E89*$AL89*1000/$F80/$G82*1000000)</f>
        <v>0</v>
      </c>
      <c r="BP89" s="1715">
        <f t="shared" si="320"/>
        <v>0</v>
      </c>
      <c r="BQ89" s="1715">
        <f t="shared" si="320"/>
        <v>0</v>
      </c>
      <c r="BR89" s="1715">
        <f t="shared" si="320"/>
        <v>0</v>
      </c>
      <c r="BS89" s="1715">
        <f t="shared" si="320"/>
        <v>0</v>
      </c>
      <c r="BT89" s="1715">
        <f t="shared" si="320"/>
        <v>0</v>
      </c>
      <c r="BU89" s="1715">
        <f t="shared" si="320"/>
        <v>0</v>
      </c>
      <c r="BV89" s="1715">
        <f t="shared" si="320"/>
        <v>0</v>
      </c>
      <c r="BW89" s="1742">
        <f t="shared" si="299"/>
        <v>0</v>
      </c>
      <c r="BX89" s="1690">
        <f t="shared" si="300"/>
        <v>0</v>
      </c>
      <c r="BY89" s="1742">
        <f t="shared" si="301"/>
        <v>0</v>
      </c>
      <c r="BZ89" s="1690">
        <f t="shared" si="302"/>
        <v>0</v>
      </c>
      <c r="CA89" s="1715" t="str">
        <f t="shared" si="303"/>
        <v/>
      </c>
      <c r="CB89" s="1722">
        <f t="shared" si="304"/>
        <v>0</v>
      </c>
      <c r="CC89" s="1715" t="str">
        <f t="shared" si="305"/>
        <v/>
      </c>
      <c r="CD89" s="1722">
        <f t="shared" si="306"/>
        <v>0</v>
      </c>
      <c r="CE89" s="1690" t="str">
        <f>IF(OR(BH89&gt;(0.2*BG89),BI89&gt;(0.2*BH89),BJ89&gt;(0.2*BI89)),"Breakthrough","")</f>
        <v/>
      </c>
    </row>
    <row r="90" spans="1:83 16366:16368">
      <c r="A90" s="1690" t="b">
        <f t="shared" si="262"/>
        <v>0</v>
      </c>
      <c r="B90" s="1702">
        <f>'Non-Isokinetic'!A69</f>
        <v>0</v>
      </c>
      <c r="C90" s="1753" t="e">
        <f t="shared" si="263"/>
        <v>#N/A</v>
      </c>
      <c r="D90" s="1705" t="e">
        <f t="shared" si="264"/>
        <v>#N/A</v>
      </c>
      <c r="E90" s="1744" t="e">
        <f t="shared" si="265"/>
        <v>#N/A</v>
      </c>
      <c r="F90" s="1759"/>
      <c r="G90" s="1755"/>
      <c r="H90" s="1755"/>
      <c r="I90" s="1765"/>
      <c r="J90" s="1759"/>
      <c r="K90" s="1755"/>
      <c r="L90" s="1755"/>
      <c r="M90" s="1765"/>
      <c r="N90" s="1773"/>
      <c r="O90" s="1692" t="str">
        <f t="shared" si="266"/>
        <v/>
      </c>
      <c r="P90" s="1692">
        <f t="shared" si="267"/>
        <v>0</v>
      </c>
      <c r="Q90" s="1692" t="str">
        <f t="shared" si="307"/>
        <v/>
      </c>
      <c r="U90" s="1900" t="str">
        <f t="shared" si="268"/>
        <v/>
      </c>
      <c r="V90" s="1904" t="str">
        <f>IF(COUNT(F90:I90)=0,"",Conc1(CB90,U$80,$AJ90,MolVol,Pitots!$E$49,Pitots!$F$49,V$82,V$83,VoF))</f>
        <v/>
      </c>
      <c r="W90" s="1841" t="str">
        <f t="shared" si="269"/>
        <v/>
      </c>
      <c r="X90" s="1909" t="str">
        <f t="shared" si="270"/>
        <v/>
      </c>
      <c r="Y90" s="1904" t="str">
        <f>IF(COUNT(J90:M90)=0,"",Conc1(CD90,X$80,$AJ90,MolVol,Pitots!$E$49,Pitots!$F$49,Y$82,Y$83,VoF))</f>
        <v/>
      </c>
      <c r="Z90" s="1841" t="str">
        <f t="shared" si="271"/>
        <v/>
      </c>
      <c r="AA90" s="1909" t="str">
        <f t="shared" si="308"/>
        <v/>
      </c>
      <c r="AB90" s="2358" t="str">
        <f t="shared" si="272"/>
        <v/>
      </c>
      <c r="AC90" s="1841" t="str">
        <f t="shared" si="273"/>
        <v/>
      </c>
      <c r="AD90" s="1912" t="str">
        <f t="shared" si="274"/>
        <v/>
      </c>
      <c r="AE90" s="1901" t="str">
        <f>IF(V90="","",MassRate(V90,$AJ90,MolVol,V$82,V$83,MRU,MRF,AverageFlowDry,FF))</f>
        <v/>
      </c>
      <c r="AF90" s="1912" t="str">
        <f t="shared" si="275"/>
        <v/>
      </c>
      <c r="AG90" s="1901" t="str">
        <f>IF(Y90="","",MassRate(Y90,$AJ90,MolVol,Y$82,Y$83,MRU,MRF,AverageFlowDry,FF))</f>
        <v/>
      </c>
      <c r="AH90" s="2265" t="str">
        <f t="shared" si="309"/>
        <v/>
      </c>
      <c r="AI90" s="1901" t="str">
        <f t="shared" si="310"/>
        <v/>
      </c>
      <c r="AJ90" s="1753" t="e">
        <f t="shared" si="276"/>
        <v>#N/A</v>
      </c>
      <c r="AK90" s="1744" t="e">
        <f t="shared" si="277"/>
        <v>#N/A</v>
      </c>
      <c r="AL90" s="1872" t="e">
        <f t="shared" si="278"/>
        <v>#N/A</v>
      </c>
      <c r="AM90" s="1721" t="str">
        <f t="shared" si="279"/>
        <v/>
      </c>
      <c r="AN90" s="1721" t="str">
        <f t="shared" si="280"/>
        <v/>
      </c>
      <c r="AO90" s="1721" t="str">
        <f t="shared" si="281"/>
        <v/>
      </c>
      <c r="AP90" s="1721" t="str">
        <f t="shared" si="282"/>
        <v/>
      </c>
      <c r="AQ90" s="1721" t="str">
        <f t="shared" si="283"/>
        <v/>
      </c>
      <c r="AR90" s="1721" t="str">
        <f t="shared" si="284"/>
        <v/>
      </c>
      <c r="AS90" s="1721" t="str">
        <f t="shared" si="285"/>
        <v/>
      </c>
      <c r="AT90" s="1721" t="str">
        <f t="shared" si="286"/>
        <v/>
      </c>
      <c r="AU90" s="1721" t="str">
        <f t="shared" si="287"/>
        <v/>
      </c>
      <c r="AV90" s="1721"/>
      <c r="AW90" s="1721" t="str">
        <f t="shared" si="288"/>
        <v/>
      </c>
      <c r="AX90" s="1721" t="str">
        <f t="shared" si="289"/>
        <v/>
      </c>
      <c r="AY90" s="1721" t="str">
        <f t="shared" si="290"/>
        <v/>
      </c>
      <c r="AZ90" s="1721" t="str">
        <f t="shared" si="291"/>
        <v/>
      </c>
      <c r="BA90" s="1721" t="str">
        <f t="shared" si="292"/>
        <v/>
      </c>
      <c r="BB90" s="1721" t="str">
        <f t="shared" si="293"/>
        <v/>
      </c>
      <c r="BC90" s="1721" t="str">
        <f t="shared" si="294"/>
        <v/>
      </c>
      <c r="BD90" s="1721" t="str">
        <f t="shared" si="295"/>
        <v/>
      </c>
      <c r="BE90" s="1739">
        <f t="shared" si="296"/>
        <v>0</v>
      </c>
      <c r="BF90" s="1721"/>
      <c r="BG90" s="1721">
        <f t="shared" ref="BG90:BN90" si="321">IF(F90="",0,IF(OR((AW90-$BE90)&lt;BO90,AM90="&lt;"),0,AW90-$BE90)*$AL90*1000/F80/$G82*1000000)</f>
        <v>0</v>
      </c>
      <c r="BH90" s="1721">
        <f t="shared" si="321"/>
        <v>0</v>
      </c>
      <c r="BI90" s="1721">
        <f t="shared" si="321"/>
        <v>0</v>
      </c>
      <c r="BJ90" s="1721">
        <f t="shared" si="321"/>
        <v>0</v>
      </c>
      <c r="BK90" s="1721">
        <f t="shared" si="321"/>
        <v>0</v>
      </c>
      <c r="BL90" s="1721">
        <f t="shared" si="321"/>
        <v>0</v>
      </c>
      <c r="BM90" s="1721">
        <f t="shared" si="321"/>
        <v>0</v>
      </c>
      <c r="BN90" s="1721">
        <f t="shared" si="321"/>
        <v>0</v>
      </c>
      <c r="BO90" s="1715">
        <f t="shared" ref="BO90:BV90" si="322">IF(F90="",0,$E90*$AL90*1000/$F80/$G82*1000000)</f>
        <v>0</v>
      </c>
      <c r="BP90" s="1715">
        <f t="shared" si="322"/>
        <v>0</v>
      </c>
      <c r="BQ90" s="1715">
        <f t="shared" si="322"/>
        <v>0</v>
      </c>
      <c r="BR90" s="1715">
        <f t="shared" si="322"/>
        <v>0</v>
      </c>
      <c r="BS90" s="1715">
        <f t="shared" si="322"/>
        <v>0</v>
      </c>
      <c r="BT90" s="1715">
        <f t="shared" si="322"/>
        <v>0</v>
      </c>
      <c r="BU90" s="1715">
        <f t="shared" si="322"/>
        <v>0</v>
      </c>
      <c r="BV90" s="1715">
        <f t="shared" si="322"/>
        <v>0</v>
      </c>
      <c r="BW90" s="1742">
        <f t="shared" si="299"/>
        <v>0</v>
      </c>
      <c r="BX90" s="1690">
        <f t="shared" si="300"/>
        <v>0</v>
      </c>
      <c r="BY90" s="1742">
        <f t="shared" si="301"/>
        <v>0</v>
      </c>
      <c r="BZ90" s="1690">
        <f t="shared" si="302"/>
        <v>0</v>
      </c>
      <c r="CA90" s="1715" t="str">
        <f t="shared" si="303"/>
        <v/>
      </c>
      <c r="CB90" s="1722">
        <f t="shared" si="304"/>
        <v>0</v>
      </c>
      <c r="CC90" s="1715" t="str">
        <f t="shared" si="305"/>
        <v/>
      </c>
      <c r="CD90" s="1722">
        <f t="shared" si="306"/>
        <v>0</v>
      </c>
      <c r="CE90" s="1690" t="str">
        <f>IF(OR(BH90&gt;(0.2*BG90),BI90&gt;(0.2*BH90),BJ90&gt;(0.2*BI90)),"Breakthrough","")</f>
        <v/>
      </c>
    </row>
    <row r="91" spans="1:83 16366:16368">
      <c r="A91" s="1690" t="b">
        <f t="shared" si="262"/>
        <v>0</v>
      </c>
      <c r="B91" s="1702">
        <f>'Non-Isokinetic'!A70</f>
        <v>0</v>
      </c>
      <c r="C91" s="1753" t="e">
        <f t="shared" si="263"/>
        <v>#N/A</v>
      </c>
      <c r="D91" s="1705" t="e">
        <f t="shared" si="264"/>
        <v>#N/A</v>
      </c>
      <c r="E91" s="1744" t="e">
        <f t="shared" si="265"/>
        <v>#N/A</v>
      </c>
      <c r="F91" s="1759"/>
      <c r="G91" s="1755"/>
      <c r="H91" s="1755"/>
      <c r="I91" s="1765"/>
      <c r="J91" s="1759"/>
      <c r="K91" s="1755"/>
      <c r="L91" s="1755"/>
      <c r="M91" s="1765"/>
      <c r="N91" s="1773"/>
      <c r="O91" s="1692" t="str">
        <f t="shared" si="266"/>
        <v/>
      </c>
      <c r="P91" s="1692">
        <f t="shared" si="267"/>
        <v>0</v>
      </c>
      <c r="Q91" s="1692" t="str">
        <f t="shared" si="307"/>
        <v/>
      </c>
      <c r="U91" s="1900" t="str">
        <f t="shared" si="268"/>
        <v/>
      </c>
      <c r="V91" s="1904" t="str">
        <f>IF(COUNT(F91:I91)=0,"",Conc1(CB91,U$80,$AJ91,MolVol,Pitots!$E$49,Pitots!$F$49,V$82,V$83,VoF))</f>
        <v/>
      </c>
      <c r="W91" s="1841" t="str">
        <f t="shared" si="269"/>
        <v/>
      </c>
      <c r="X91" s="1909" t="str">
        <f t="shared" si="270"/>
        <v/>
      </c>
      <c r="Y91" s="1904" t="str">
        <f>IF(COUNT(J91:M91)=0,"",Conc1(CD91,X$80,$AJ91,MolVol,Pitots!$E$49,Pitots!$F$49,Y$82,Y$83,VoF))</f>
        <v/>
      </c>
      <c r="Z91" s="1841" t="str">
        <f t="shared" si="271"/>
        <v/>
      </c>
      <c r="AA91" s="1909" t="str">
        <f t="shared" si="308"/>
        <v/>
      </c>
      <c r="AB91" s="2358" t="str">
        <f t="shared" si="272"/>
        <v/>
      </c>
      <c r="AC91" s="1841" t="str">
        <f t="shared" si="273"/>
        <v/>
      </c>
      <c r="AD91" s="1912" t="str">
        <f t="shared" si="274"/>
        <v/>
      </c>
      <c r="AE91" s="1901" t="str">
        <f>IF(V91="","",MassRate(V91,$AJ91,MolVol,V$82,V$83,MRU,MRF,AverageFlowDry,FF))</f>
        <v/>
      </c>
      <c r="AF91" s="1912" t="str">
        <f t="shared" si="275"/>
        <v/>
      </c>
      <c r="AG91" s="1901" t="str">
        <f>IF(Y91="","",MassRate(Y91,$AJ91,MolVol,Y$82,Y$83,MRU,MRF,AverageFlowDry,FF))</f>
        <v/>
      </c>
      <c r="AH91" s="2265" t="str">
        <f t="shared" si="309"/>
        <v/>
      </c>
      <c r="AI91" s="1901" t="str">
        <f t="shared" si="310"/>
        <v/>
      </c>
      <c r="AJ91" s="1753" t="e">
        <f t="shared" si="276"/>
        <v>#N/A</v>
      </c>
      <c r="AK91" s="1744" t="e">
        <f t="shared" si="277"/>
        <v>#N/A</v>
      </c>
      <c r="AL91" s="1872" t="e">
        <f t="shared" si="278"/>
        <v>#N/A</v>
      </c>
      <c r="AM91" s="1721" t="str">
        <f t="shared" si="279"/>
        <v/>
      </c>
      <c r="AN91" s="1721" t="str">
        <f t="shared" si="280"/>
        <v/>
      </c>
      <c r="AO91" s="1721" t="str">
        <f t="shared" si="281"/>
        <v/>
      </c>
      <c r="AP91" s="1721" t="str">
        <f t="shared" si="282"/>
        <v/>
      </c>
      <c r="AQ91" s="1721" t="str">
        <f t="shared" si="283"/>
        <v/>
      </c>
      <c r="AR91" s="1721" t="str">
        <f t="shared" si="284"/>
        <v/>
      </c>
      <c r="AS91" s="1721" t="str">
        <f t="shared" si="285"/>
        <v/>
      </c>
      <c r="AT91" s="1721" t="str">
        <f t="shared" si="286"/>
        <v/>
      </c>
      <c r="AU91" s="1721" t="str">
        <f t="shared" si="287"/>
        <v/>
      </c>
      <c r="AV91" s="1721"/>
      <c r="AW91" s="1721" t="str">
        <f t="shared" si="288"/>
        <v/>
      </c>
      <c r="AX91" s="1721" t="str">
        <f t="shared" si="289"/>
        <v/>
      </c>
      <c r="AY91" s="1721" t="str">
        <f t="shared" si="290"/>
        <v/>
      </c>
      <c r="AZ91" s="1721" t="str">
        <f t="shared" si="291"/>
        <v/>
      </c>
      <c r="BA91" s="1721" t="str">
        <f t="shared" si="292"/>
        <v/>
      </c>
      <c r="BB91" s="1721" t="str">
        <f t="shared" si="293"/>
        <v/>
      </c>
      <c r="BC91" s="1721" t="str">
        <f t="shared" si="294"/>
        <v/>
      </c>
      <c r="BD91" s="1721" t="str">
        <f t="shared" si="295"/>
        <v/>
      </c>
      <c r="BE91" s="1739">
        <f t="shared" si="296"/>
        <v>0</v>
      </c>
      <c r="BF91" s="1721"/>
      <c r="BG91" s="1721">
        <f t="shared" ref="BG91:BN91" si="323">IF(F91="",0,IF(OR((AW91-$BE91)&lt;BO91,AM91="&lt;"),0,AW91-$BE91)*$AL91*1000/F80/$G82*1000000)</f>
        <v>0</v>
      </c>
      <c r="BH91" s="1721">
        <f t="shared" si="323"/>
        <v>0</v>
      </c>
      <c r="BI91" s="1721">
        <f t="shared" si="323"/>
        <v>0</v>
      </c>
      <c r="BJ91" s="1721">
        <f t="shared" si="323"/>
        <v>0</v>
      </c>
      <c r="BK91" s="1721">
        <f t="shared" si="323"/>
        <v>0</v>
      </c>
      <c r="BL91" s="1721">
        <f t="shared" si="323"/>
        <v>0</v>
      </c>
      <c r="BM91" s="1721">
        <f t="shared" si="323"/>
        <v>0</v>
      </c>
      <c r="BN91" s="1721">
        <f t="shared" si="323"/>
        <v>0</v>
      </c>
      <c r="BO91" s="1715">
        <f t="shared" ref="BO91:BV91" si="324">IF(F91="",0,$E91*$AL91*1000/$F80/$G82*1000000)</f>
        <v>0</v>
      </c>
      <c r="BP91" s="1715">
        <f t="shared" si="324"/>
        <v>0</v>
      </c>
      <c r="BQ91" s="1715">
        <f t="shared" si="324"/>
        <v>0</v>
      </c>
      <c r="BR91" s="1715">
        <f t="shared" si="324"/>
        <v>0</v>
      </c>
      <c r="BS91" s="1715">
        <f t="shared" si="324"/>
        <v>0</v>
      </c>
      <c r="BT91" s="1715">
        <f t="shared" si="324"/>
        <v>0</v>
      </c>
      <c r="BU91" s="1715">
        <f t="shared" si="324"/>
        <v>0</v>
      </c>
      <c r="BV91" s="1715">
        <f t="shared" si="324"/>
        <v>0</v>
      </c>
      <c r="BW91" s="1742">
        <f t="shared" si="299"/>
        <v>0</v>
      </c>
      <c r="BX91" s="1690">
        <f t="shared" si="300"/>
        <v>0</v>
      </c>
      <c r="BY91" s="1742">
        <f t="shared" si="301"/>
        <v>0</v>
      </c>
      <c r="BZ91" s="1690">
        <f t="shared" si="302"/>
        <v>0</v>
      </c>
      <c r="CA91" s="1715" t="str">
        <f t="shared" si="303"/>
        <v/>
      </c>
      <c r="CB91" s="1722">
        <f t="shared" si="304"/>
        <v>0</v>
      </c>
      <c r="CC91" s="1715" t="str">
        <f t="shared" si="305"/>
        <v/>
      </c>
      <c r="CD91" s="1722">
        <f t="shared" si="306"/>
        <v>0</v>
      </c>
      <c r="CE91" s="1690" t="str">
        <f>IF(OR(BH91&gt;(0.2*BG91),BI91&gt;(0.2*BH91),BJ91&gt;(0.2*BI91)),"Breakthrough","")</f>
        <v/>
      </c>
    </row>
    <row r="92" spans="1:83 16366:16368">
      <c r="A92" s="1690" t="b">
        <f t="shared" si="262"/>
        <v>0</v>
      </c>
      <c r="B92" s="1703">
        <f>'Non-Isokinetic'!A71</f>
        <v>0</v>
      </c>
      <c r="C92" s="1754" t="e">
        <f t="shared" si="263"/>
        <v>#N/A</v>
      </c>
      <c r="D92" s="1706" t="e">
        <f t="shared" si="264"/>
        <v>#N/A</v>
      </c>
      <c r="E92" s="1745" t="e">
        <f t="shared" si="265"/>
        <v>#N/A</v>
      </c>
      <c r="F92" s="1761"/>
      <c r="G92" s="1762"/>
      <c r="H92" s="1762"/>
      <c r="I92" s="1766"/>
      <c r="J92" s="1761"/>
      <c r="K92" s="1762"/>
      <c r="L92" s="1762"/>
      <c r="M92" s="1766"/>
      <c r="N92" s="1774"/>
      <c r="O92" s="1692" t="str">
        <f t="shared" si="266"/>
        <v/>
      </c>
      <c r="P92" s="1692">
        <f t="shared" si="267"/>
        <v>0</v>
      </c>
      <c r="Q92" s="1692" t="str">
        <f t="shared" si="307"/>
        <v/>
      </c>
      <c r="U92" s="1902" t="str">
        <f t="shared" si="268"/>
        <v/>
      </c>
      <c r="V92" s="1725" t="str">
        <f>IF(COUNT(F92:I92)=0,"",Conc1(CB92,U$80,$AJ92,MolVol,Pitots!$E$49,Pitots!$F$49,V$82,V$83,VoF))</f>
        <v/>
      </c>
      <c r="W92" s="1724" t="str">
        <f t="shared" si="269"/>
        <v/>
      </c>
      <c r="X92" s="1723" t="str">
        <f t="shared" si="270"/>
        <v/>
      </c>
      <c r="Y92" s="1725" t="str">
        <f>IF(COUNT(J92:M92)=0,"",Conc1(CD92,X$80,$AJ92,MolVol,Pitots!$E$49,Pitots!$F$49,Y$82,Y$83,VoF))</f>
        <v/>
      </c>
      <c r="Z92" s="1724" t="str">
        <f t="shared" si="271"/>
        <v/>
      </c>
      <c r="AA92" s="1723" t="str">
        <f t="shared" si="308"/>
        <v/>
      </c>
      <c r="AB92" s="2357" t="str">
        <f t="shared" si="272"/>
        <v/>
      </c>
      <c r="AC92" s="1724" t="str">
        <f t="shared" si="273"/>
        <v/>
      </c>
      <c r="AD92" s="1913" t="str">
        <f t="shared" si="274"/>
        <v/>
      </c>
      <c r="AE92" s="1903" t="str">
        <f>IF(V92="","",MassRate(V92,$AJ92,MolVol,V$82,V$83,MRU,MRF,AverageFlowDry,FF))</f>
        <v/>
      </c>
      <c r="AF92" s="1913" t="str">
        <f t="shared" si="275"/>
        <v/>
      </c>
      <c r="AG92" s="1903" t="str">
        <f>IF(Y92="","",MassRate(Y92,$AJ92,MolVol,Y$82,Y$83,MRU,MRF,AverageFlowDry,FF))</f>
        <v/>
      </c>
      <c r="AH92" s="2266" t="str">
        <f t="shared" si="309"/>
        <v/>
      </c>
      <c r="AI92" s="2332" t="str">
        <f t="shared" si="310"/>
        <v/>
      </c>
      <c r="AJ92" s="1754" t="e">
        <f t="shared" si="276"/>
        <v>#N/A</v>
      </c>
      <c r="AK92" s="1745" t="e">
        <f t="shared" si="277"/>
        <v>#N/A</v>
      </c>
      <c r="AL92" s="1873" t="e">
        <f t="shared" si="278"/>
        <v>#N/A</v>
      </c>
      <c r="AM92" s="1723" t="str">
        <f t="shared" si="279"/>
        <v/>
      </c>
      <c r="AN92" s="1723" t="str">
        <f t="shared" si="280"/>
        <v/>
      </c>
      <c r="AO92" s="1723" t="str">
        <f t="shared" si="281"/>
        <v/>
      </c>
      <c r="AP92" s="1723" t="str">
        <f t="shared" si="282"/>
        <v/>
      </c>
      <c r="AQ92" s="1723" t="str">
        <f t="shared" si="283"/>
        <v/>
      </c>
      <c r="AR92" s="1723" t="str">
        <f t="shared" si="284"/>
        <v/>
      </c>
      <c r="AS92" s="1723" t="str">
        <f t="shared" si="285"/>
        <v/>
      </c>
      <c r="AT92" s="1723" t="str">
        <f t="shared" si="286"/>
        <v/>
      </c>
      <c r="AU92" s="1723" t="str">
        <f t="shared" si="287"/>
        <v/>
      </c>
      <c r="AV92" s="1723"/>
      <c r="AW92" s="1723" t="str">
        <f t="shared" si="288"/>
        <v/>
      </c>
      <c r="AX92" s="1723" t="str">
        <f t="shared" si="289"/>
        <v/>
      </c>
      <c r="AY92" s="1723" t="str">
        <f t="shared" si="290"/>
        <v/>
      </c>
      <c r="AZ92" s="1723" t="str">
        <f t="shared" si="291"/>
        <v/>
      </c>
      <c r="BA92" s="1723" t="str">
        <f t="shared" si="292"/>
        <v/>
      </c>
      <c r="BB92" s="1723" t="str">
        <f t="shared" si="293"/>
        <v/>
      </c>
      <c r="BC92" s="1723" t="str">
        <f t="shared" si="294"/>
        <v/>
      </c>
      <c r="BD92" s="1723" t="str">
        <f t="shared" si="295"/>
        <v/>
      </c>
      <c r="BE92" s="1740">
        <f t="shared" si="296"/>
        <v>0</v>
      </c>
      <c r="BF92" s="1723"/>
      <c r="BG92" s="1723">
        <f t="shared" ref="BG92:BN92" si="325">IF(F92="",0,IF(OR((AW92-$BE92)&lt;BO92,AM92="&lt;"),0,AW92-$BE92)*$AL92*1000/F80/$G82*1000000)</f>
        <v>0</v>
      </c>
      <c r="BH92" s="1723">
        <f t="shared" si="325"/>
        <v>0</v>
      </c>
      <c r="BI92" s="1723">
        <f t="shared" si="325"/>
        <v>0</v>
      </c>
      <c r="BJ92" s="1723">
        <f t="shared" si="325"/>
        <v>0</v>
      </c>
      <c r="BK92" s="1723">
        <f t="shared" si="325"/>
        <v>0</v>
      </c>
      <c r="BL92" s="1723">
        <f t="shared" si="325"/>
        <v>0</v>
      </c>
      <c r="BM92" s="1723">
        <f t="shared" si="325"/>
        <v>0</v>
      </c>
      <c r="BN92" s="1723">
        <f t="shared" si="325"/>
        <v>0</v>
      </c>
      <c r="BO92" s="1716">
        <f t="shared" ref="BO92:BV92" si="326">IF(F92="",0,$E92*$AL92*1000/$F80/$G82*1000000)</f>
        <v>0</v>
      </c>
      <c r="BP92" s="1716">
        <f t="shared" si="326"/>
        <v>0</v>
      </c>
      <c r="BQ92" s="1716">
        <f t="shared" si="326"/>
        <v>0</v>
      </c>
      <c r="BR92" s="1716">
        <f t="shared" si="326"/>
        <v>0</v>
      </c>
      <c r="BS92" s="1716">
        <f t="shared" si="326"/>
        <v>0</v>
      </c>
      <c r="BT92" s="1716">
        <f t="shared" si="326"/>
        <v>0</v>
      </c>
      <c r="BU92" s="1716">
        <f t="shared" si="326"/>
        <v>0</v>
      </c>
      <c r="BV92" s="1716">
        <f t="shared" si="326"/>
        <v>0</v>
      </c>
      <c r="BW92" s="1743">
        <f t="shared" si="299"/>
        <v>0</v>
      </c>
      <c r="BX92" s="1717">
        <f t="shared" si="300"/>
        <v>0</v>
      </c>
      <c r="BY92" s="1743">
        <f t="shared" si="301"/>
        <v>0</v>
      </c>
      <c r="BZ92" s="1717">
        <f t="shared" si="302"/>
        <v>0</v>
      </c>
      <c r="CA92" s="1716" t="str">
        <f t="shared" si="303"/>
        <v/>
      </c>
      <c r="CB92" s="1725">
        <f t="shared" si="304"/>
        <v>0</v>
      </c>
      <c r="CC92" s="1716" t="str">
        <f t="shared" si="305"/>
        <v/>
      </c>
      <c r="CD92" s="1725">
        <f t="shared" si="306"/>
        <v>0</v>
      </c>
      <c r="CE92" s="1690" t="str">
        <f>IF(OR(BH92&gt;(0.2*BG92),BI92&gt;(0.2*BH92),BJ92&gt;(0.2*BI92)),"Breakthrough","")</f>
        <v/>
      </c>
    </row>
    <row r="93" spans="1:83 16366:16368">
      <c r="A93" s="1713" t="b">
        <f>A94</f>
        <v>0</v>
      </c>
      <c r="B93" s="1713"/>
      <c r="C93" s="1713"/>
      <c r="D93" s="1713"/>
      <c r="E93" s="1713"/>
      <c r="F93" s="1713"/>
      <c r="G93" s="1713"/>
      <c r="H93" s="1713"/>
      <c r="I93" s="1713"/>
      <c r="J93" s="1713"/>
      <c r="K93" s="1713"/>
      <c r="P93" s="1696"/>
      <c r="AH93" s="1690"/>
      <c r="AI93" s="1690"/>
      <c r="AJ93" s="1690"/>
      <c r="AK93" s="1698"/>
      <c r="BL93" s="1698"/>
      <c r="BT93" s="1690"/>
      <c r="XEL93" s="1713"/>
      <c r="XEM93" s="1713"/>
      <c r="XEN93" s="1713"/>
    </row>
    <row r="94" spans="1:83 16366:16368" ht="12.75" customHeight="1">
      <c r="A94" s="1690" t="b">
        <f>IF(COUNTIF(A101:A109,TRUE)&gt;0,TRUE,FALSE)</f>
        <v>0</v>
      </c>
      <c r="B94" s="1707"/>
      <c r="C94" s="1691"/>
      <c r="D94" s="1691"/>
      <c r="E94" s="1691"/>
      <c r="F94" s="2818" t="s">
        <v>1705</v>
      </c>
      <c r="G94" s="2818"/>
      <c r="H94" s="2818"/>
      <c r="I94" s="2818"/>
      <c r="J94" s="2818" t="s">
        <v>1703</v>
      </c>
      <c r="K94" s="2818"/>
      <c r="L94" s="2818"/>
      <c r="M94" s="2818"/>
      <c r="N94" s="1689" t="s">
        <v>1704</v>
      </c>
      <c r="O94" s="1697"/>
      <c r="P94" s="1697"/>
      <c r="Q94" s="1697"/>
      <c r="U94" s="2810" t="s">
        <v>1718</v>
      </c>
      <c r="V94" s="2805"/>
      <c r="W94" s="2805"/>
      <c r="X94" s="2805"/>
      <c r="Y94" s="2805"/>
      <c r="Z94" s="2805"/>
      <c r="AA94" s="2805"/>
      <c r="AB94" s="2805"/>
      <c r="AC94" s="2806"/>
      <c r="AD94" s="2805" t="s">
        <v>1836</v>
      </c>
      <c r="AE94" s="2805"/>
      <c r="AF94" s="2805"/>
      <c r="AG94" s="2805"/>
      <c r="AH94" s="2805"/>
      <c r="AI94" s="2806"/>
      <c r="AJ94" s="1692"/>
      <c r="AK94" s="1692"/>
      <c r="BM94" s="1690"/>
      <c r="BN94" s="1690"/>
      <c r="BO94" s="1690"/>
      <c r="BP94" s="1690"/>
      <c r="BQ94" s="1690"/>
      <c r="BR94" s="1690"/>
      <c r="BS94" s="1690"/>
      <c r="BT94" s="1690"/>
    </row>
    <row r="95" spans="1:83 16366:16368" ht="15">
      <c r="A95" s="1690" t="b">
        <f>IF(COUNTIF(A101:A109,TRUE)&gt;0,TRUE,FALSE)</f>
        <v>0</v>
      </c>
      <c r="B95" s="1726" t="s">
        <v>1763</v>
      </c>
      <c r="C95" s="1693"/>
      <c r="D95" s="1688"/>
      <c r="E95" s="1688"/>
      <c r="F95" s="1697" t="s">
        <v>1768</v>
      </c>
      <c r="G95" s="1697" t="s">
        <v>1769</v>
      </c>
      <c r="H95" s="1697" t="s">
        <v>1770</v>
      </c>
      <c r="I95" s="1697" t="s">
        <v>1771</v>
      </c>
      <c r="J95" s="1697" t="s">
        <v>1768</v>
      </c>
      <c r="K95" s="1697" t="s">
        <v>1769</v>
      </c>
      <c r="L95" s="1697" t="s">
        <v>1770</v>
      </c>
      <c r="M95" s="1697" t="s">
        <v>1771</v>
      </c>
      <c r="N95" s="1697" t="s">
        <v>1704</v>
      </c>
      <c r="O95" s="2821" t="s">
        <v>1779</v>
      </c>
      <c r="P95" s="2820" t="s">
        <v>1780</v>
      </c>
      <c r="Q95" s="2820" t="s">
        <v>1781</v>
      </c>
      <c r="U95" s="2810" t="s">
        <v>1719</v>
      </c>
      <c r="V95" s="2805"/>
      <c r="W95" s="2806"/>
      <c r="X95" s="2810" t="s">
        <v>1720</v>
      </c>
      <c r="Y95" s="2805"/>
      <c r="Z95" s="2806"/>
      <c r="AA95" s="2811" t="s">
        <v>1242</v>
      </c>
      <c r="AB95" s="2812"/>
      <c r="AC95" s="2813"/>
      <c r="AD95" s="2809" t="s">
        <v>1719</v>
      </c>
      <c r="AE95" s="2809"/>
      <c r="AF95" s="2809" t="s">
        <v>1720</v>
      </c>
      <c r="AG95" s="2809"/>
      <c r="AH95" s="2807" t="s">
        <v>1242</v>
      </c>
      <c r="AI95" s="2808"/>
      <c r="AJ95" s="1697"/>
      <c r="AK95" s="1697"/>
      <c r="BM95" s="1690"/>
      <c r="BN95" s="1690"/>
      <c r="BO95" s="1690"/>
      <c r="BP95" s="1690"/>
      <c r="BQ95" s="1690"/>
      <c r="BR95" s="1690"/>
      <c r="BS95" s="1690"/>
      <c r="BT95" s="1690"/>
    </row>
    <row r="96" spans="1:83 16366:16368" ht="13.5" customHeight="1">
      <c r="A96" s="1690" t="b">
        <f>IF(COUNTIF(A101:A109,TRUE)&gt;0,TRUE,FALSE)</f>
        <v>0</v>
      </c>
      <c r="B96" s="1691"/>
      <c r="C96" s="1748"/>
      <c r="D96" s="1748"/>
      <c r="E96" s="1749" t="s">
        <v>1766</v>
      </c>
      <c r="F96" s="1756"/>
      <c r="G96" s="1757"/>
      <c r="H96" s="1757"/>
      <c r="I96" s="1764"/>
      <c r="J96" s="1756"/>
      <c r="K96" s="1757"/>
      <c r="L96" s="1757"/>
      <c r="M96" s="1758"/>
      <c r="N96" s="1768"/>
      <c r="O96" s="2821"/>
      <c r="P96" s="2820"/>
      <c r="Q96" s="2820"/>
      <c r="U96" s="2816" t="s">
        <v>1717</v>
      </c>
      <c r="V96" s="2816"/>
      <c r="W96" s="2218"/>
      <c r="X96" s="2816" t="s">
        <v>1717</v>
      </c>
      <c r="Y96" s="2816"/>
      <c r="Z96" s="2218"/>
      <c r="AA96" s="2278"/>
      <c r="AB96" s="1915"/>
      <c r="AC96" s="1916"/>
      <c r="AD96" s="2274"/>
      <c r="AE96" s="2274"/>
      <c r="AF96" s="2274"/>
      <c r="AG96" s="2274"/>
      <c r="AH96" s="2278"/>
      <c r="AI96" s="1916"/>
      <c r="AJ96" s="1697"/>
      <c r="AK96" s="1697"/>
      <c r="BM96" s="1690"/>
      <c r="BN96" s="1690"/>
      <c r="BO96" s="1690"/>
      <c r="BP96" s="1690"/>
      <c r="BQ96" s="1690"/>
      <c r="BR96" s="1690"/>
      <c r="BS96" s="1690"/>
      <c r="BT96" s="1690"/>
    </row>
    <row r="97" spans="1:83" ht="13.5" customHeight="1">
      <c r="A97" s="1690" t="b">
        <f>IF(COUNTIF(A101:A109,TRUE)&gt;0,TRUE,FALSE)</f>
        <v>0</v>
      </c>
      <c r="B97" s="1802">
        <f>'Non-Isokinetic'!A75</f>
        <v>0</v>
      </c>
      <c r="C97" s="1748"/>
      <c r="D97" s="1748"/>
      <c r="E97" s="1749" t="s">
        <v>1765</v>
      </c>
      <c r="F97" s="1759" t="str">
        <f>IF(F99="µg",1000,"")</f>
        <v/>
      </c>
      <c r="G97" s="1755" t="str">
        <f>IF(F99="µg",1000,"")</f>
        <v/>
      </c>
      <c r="H97" s="1755" t="str">
        <f>IF(F99="µg",1000,"")</f>
        <v/>
      </c>
      <c r="I97" s="1765" t="str">
        <f>IF(F99="µg",1000,"")</f>
        <v/>
      </c>
      <c r="J97" s="1759" t="str">
        <f>IF(F99="µg",1000,"")</f>
        <v/>
      </c>
      <c r="K97" s="1755" t="str">
        <f>IF(F99="µg",1000,"")</f>
        <v/>
      </c>
      <c r="L97" s="1755" t="str">
        <f>IF(F99="µg",1000,"")</f>
        <v/>
      </c>
      <c r="M97" s="1760" t="str">
        <f>IF(F99="µg",1000,"")</f>
        <v/>
      </c>
      <c r="N97" s="1769" t="str">
        <f>IF(F99="µg",1000,"")</f>
        <v/>
      </c>
      <c r="O97" s="1695"/>
      <c r="P97" s="1695"/>
      <c r="Q97" s="1695"/>
      <c r="U97" s="2819" t="e">
        <f>'Non-Isokinetic'!C84</f>
        <v>#VALUE!</v>
      </c>
      <c r="V97" s="2819"/>
      <c r="W97" s="1719"/>
      <c r="X97" s="2819" t="e">
        <f>'Non-Isokinetic'!D84</f>
        <v>#VALUE!</v>
      </c>
      <c r="Y97" s="2819"/>
      <c r="Z97" s="1719"/>
      <c r="AA97" s="2260"/>
      <c r="AB97" s="1894"/>
      <c r="AC97" s="2273"/>
      <c r="AD97" s="1712"/>
      <c r="AE97" s="1914" t="str">
        <f>VND</f>
        <v/>
      </c>
      <c r="AF97" s="1915"/>
      <c r="AG97" s="1916"/>
      <c r="AH97" s="2260"/>
      <c r="AI97" s="2273"/>
      <c r="AJ97" s="1835"/>
      <c r="AK97" s="1835"/>
      <c r="AL97" s="1691"/>
      <c r="AM97" s="2816" t="s">
        <v>1743</v>
      </c>
      <c r="AN97" s="2816"/>
      <c r="AO97" s="2816"/>
      <c r="AP97" s="2816"/>
      <c r="AQ97" s="2816"/>
      <c r="AR97" s="2816"/>
      <c r="AS97" s="2816"/>
      <c r="AT97" s="2816"/>
      <c r="AU97" s="2816"/>
      <c r="AV97" s="1734"/>
      <c r="AW97" s="2816" t="str">
        <f>"Lab result (concentration - analysed compound) "&amp;F99</f>
        <v xml:space="preserve">Lab result (concentration - analysed compound) </v>
      </c>
      <c r="AX97" s="2816"/>
      <c r="AY97" s="2816"/>
      <c r="AZ97" s="2816"/>
      <c r="BA97" s="2816"/>
      <c r="BB97" s="2816"/>
      <c r="BC97" s="2816"/>
      <c r="BD97" s="2816"/>
      <c r="BE97" s="2816"/>
      <c r="BF97" s="1734"/>
      <c r="BG97" s="2816" t="s">
        <v>1772</v>
      </c>
      <c r="BH97" s="2816"/>
      <c r="BI97" s="2816"/>
      <c r="BJ97" s="2816"/>
      <c r="BK97" s="2816"/>
      <c r="BL97" s="2816"/>
      <c r="BM97" s="2816"/>
      <c r="BN97" s="2816"/>
      <c r="BO97" s="2816" t="s">
        <v>1774</v>
      </c>
      <c r="BP97" s="2816"/>
      <c r="BQ97" s="2816"/>
      <c r="BR97" s="2816"/>
      <c r="BS97" s="2816"/>
      <c r="BT97" s="2816"/>
      <c r="BU97" s="2816"/>
      <c r="BV97" s="2816"/>
      <c r="BW97" s="2816" t="s">
        <v>1705</v>
      </c>
      <c r="BX97" s="2816"/>
      <c r="BY97" s="2814" t="s">
        <v>1703</v>
      </c>
      <c r="BZ97" s="2814"/>
      <c r="CA97" s="2814" t="s">
        <v>1742</v>
      </c>
      <c r="CB97" s="2814"/>
      <c r="CC97" s="2814"/>
      <c r="CD97" s="2814"/>
      <c r="CE97" s="1690" t="s">
        <v>1778</v>
      </c>
    </row>
    <row r="98" spans="1:83" ht="13.5" customHeight="1">
      <c r="A98" s="1690" t="b">
        <f>IF(COUNTIF(A101:A109,TRUE)&gt;0,TRUE,FALSE)</f>
        <v>0</v>
      </c>
      <c r="B98" s="1691"/>
      <c r="C98" s="1748"/>
      <c r="D98" s="1748"/>
      <c r="E98" s="1749" t="s">
        <v>1764</v>
      </c>
      <c r="F98" s="1761">
        <v>1</v>
      </c>
      <c r="G98" s="1762">
        <v>1</v>
      </c>
      <c r="H98" s="1762">
        <v>1</v>
      </c>
      <c r="I98" s="1766">
        <v>1</v>
      </c>
      <c r="J98" s="1761">
        <v>1</v>
      </c>
      <c r="K98" s="1762">
        <v>1</v>
      </c>
      <c r="L98" s="1762">
        <v>1</v>
      </c>
      <c r="M98" s="1763">
        <v>1</v>
      </c>
      <c r="N98" s="1770">
        <v>1</v>
      </c>
      <c r="O98" s="1695"/>
      <c r="P98" s="1695"/>
      <c r="Q98" s="1695"/>
      <c r="U98" s="1900"/>
      <c r="V98" s="1905"/>
      <c r="W98" s="1838" t="s">
        <v>97</v>
      </c>
      <c r="X98" s="1907"/>
      <c r="Y98" s="1905"/>
      <c r="Z98" s="1838" t="s">
        <v>97</v>
      </c>
      <c r="AA98" s="1917"/>
      <c r="AB98" s="2275"/>
      <c r="AC98" s="2279" t="s">
        <v>97</v>
      </c>
      <c r="AD98" s="1917"/>
      <c r="AE98" s="1918"/>
      <c r="AF98" s="1918"/>
      <c r="AG98" s="1919"/>
      <c r="AH98" s="1917"/>
      <c r="AI98" s="1919"/>
      <c r="AJ98" s="1835"/>
      <c r="AK98" s="2815" t="s">
        <v>1707</v>
      </c>
      <c r="AL98" s="2815" t="s">
        <v>1767</v>
      </c>
      <c r="AM98" s="2816" t="s">
        <v>1705</v>
      </c>
      <c r="AN98" s="2816"/>
      <c r="AO98" s="2816"/>
      <c r="AP98" s="2816"/>
      <c r="AQ98" s="2816" t="s">
        <v>1703</v>
      </c>
      <c r="AR98" s="2816"/>
      <c r="AS98" s="2816"/>
      <c r="AT98" s="2816"/>
      <c r="AU98" s="1733" t="s">
        <v>1704</v>
      </c>
      <c r="AV98" s="1733"/>
      <c r="AW98" s="2816" t="s">
        <v>1705</v>
      </c>
      <c r="AX98" s="2816"/>
      <c r="AY98" s="2816"/>
      <c r="AZ98" s="2816"/>
      <c r="BA98" s="2816" t="s">
        <v>1703</v>
      </c>
      <c r="BB98" s="2816"/>
      <c r="BC98" s="2816"/>
      <c r="BD98" s="2816"/>
      <c r="BE98" s="1733" t="s">
        <v>1704</v>
      </c>
      <c r="BF98" s="1733"/>
      <c r="BG98" s="2816" t="s">
        <v>1705</v>
      </c>
      <c r="BH98" s="2816"/>
      <c r="BI98" s="2816"/>
      <c r="BJ98" s="2816"/>
      <c r="BK98" s="2816" t="s">
        <v>1703</v>
      </c>
      <c r="BL98" s="2816"/>
      <c r="BM98" s="2816"/>
      <c r="BN98" s="2816"/>
      <c r="BO98" s="2816" t="s">
        <v>1705</v>
      </c>
      <c r="BP98" s="2816"/>
      <c r="BQ98" s="2816"/>
      <c r="BR98" s="2816"/>
      <c r="BS98" s="2816" t="s">
        <v>1703</v>
      </c>
      <c r="BT98" s="2816"/>
      <c r="BU98" s="2816"/>
      <c r="BV98" s="2816"/>
      <c r="BW98" s="1732" t="s">
        <v>1741</v>
      </c>
      <c r="BX98" s="1736" t="s">
        <v>1740</v>
      </c>
      <c r="BY98" s="1737" t="s">
        <v>1741</v>
      </c>
      <c r="BZ98" s="1736" t="s">
        <v>1740</v>
      </c>
      <c r="CA98" s="2817" t="s">
        <v>1738</v>
      </c>
      <c r="CB98" s="2817"/>
      <c r="CC98" s="2810" t="s">
        <v>1739</v>
      </c>
      <c r="CD98" s="2806"/>
    </row>
    <row r="99" spans="1:83" ht="12.75" customHeight="1">
      <c r="A99" s="1690" t="b">
        <f>IF(COUNTIF(A101:A109,TRUE)&gt;0,TRUE,FALSE)</f>
        <v>0</v>
      </c>
      <c r="B99" s="1691" t="s">
        <v>1284</v>
      </c>
      <c r="C99" s="1748"/>
      <c r="D99" s="1750"/>
      <c r="E99" s="1749" t="s">
        <v>1775</v>
      </c>
      <c r="F99" s="1771"/>
      <c r="G99" s="1775" t="e">
        <f>VLOOKUP(F99,$C$1:$D$5,2,FALSE)</f>
        <v>#N/A</v>
      </c>
      <c r="H99" s="1776"/>
      <c r="I99" s="1776"/>
      <c r="J99" s="1776"/>
      <c r="K99" s="1776"/>
      <c r="L99" s="1776"/>
      <c r="M99" s="1776"/>
      <c r="N99" s="1777"/>
      <c r="O99" s="1692"/>
      <c r="P99" s="1697" t="s">
        <v>1708</v>
      </c>
      <c r="Q99" s="1697"/>
      <c r="U99" s="2041"/>
      <c r="V99" s="2042" t="str">
        <f>CU</f>
        <v>mg/m³</v>
      </c>
      <c r="W99" s="2337" t="str">
        <f>V99</f>
        <v>mg/m³</v>
      </c>
      <c r="X99" s="2041"/>
      <c r="Y99" s="2042" t="str">
        <f>CU</f>
        <v>mg/m³</v>
      </c>
      <c r="Z99" s="2337" t="str">
        <f>Y99</f>
        <v>mg/m³</v>
      </c>
      <c r="AA99" s="2339"/>
      <c r="AB99" s="2340" t="str">
        <f>Z99</f>
        <v>mg/m³</v>
      </c>
      <c r="AC99" s="2340" t="str">
        <f>V99</f>
        <v>mg/m³</v>
      </c>
      <c r="AD99" s="2043"/>
      <c r="AE99" s="2044" t="str">
        <f>MRU</f>
        <v>g/min</v>
      </c>
      <c r="AF99" s="2043"/>
      <c r="AG99" s="2044" t="str">
        <f>MRU</f>
        <v>g/min</v>
      </c>
      <c r="AH99" s="2267"/>
      <c r="AI99" s="2268" t="str">
        <f>MRU</f>
        <v>g/min</v>
      </c>
      <c r="AJ99" s="1835" t="s">
        <v>1706</v>
      </c>
      <c r="AK99" s="2815"/>
      <c r="AL99" s="2815"/>
      <c r="AM99" s="1734" t="s">
        <v>1768</v>
      </c>
      <c r="AN99" s="1734" t="s">
        <v>1769</v>
      </c>
      <c r="AO99" s="1734" t="s">
        <v>1770</v>
      </c>
      <c r="AP99" s="1734" t="s">
        <v>1771</v>
      </c>
      <c r="AQ99" s="1734" t="s">
        <v>1768</v>
      </c>
      <c r="AR99" s="1734" t="s">
        <v>1769</v>
      </c>
      <c r="AS99" s="1734" t="s">
        <v>1770</v>
      </c>
      <c r="AT99" s="1734" t="s">
        <v>1771</v>
      </c>
      <c r="AU99" s="1734" t="s">
        <v>1704</v>
      </c>
      <c r="AV99" s="1734"/>
      <c r="AW99" s="1734" t="s">
        <v>1768</v>
      </c>
      <c r="AX99" s="1734" t="s">
        <v>1769</v>
      </c>
      <c r="AY99" s="1734" t="s">
        <v>1770</v>
      </c>
      <c r="AZ99" s="1734" t="s">
        <v>1771</v>
      </c>
      <c r="BA99" s="1734" t="s">
        <v>1768</v>
      </c>
      <c r="BB99" s="1734" t="s">
        <v>1769</v>
      </c>
      <c r="BC99" s="1734" t="s">
        <v>1770</v>
      </c>
      <c r="BD99" s="1734" t="s">
        <v>1771</v>
      </c>
      <c r="BE99" s="1734">
        <f>F99</f>
        <v>0</v>
      </c>
      <c r="BF99" s="1734"/>
      <c r="BG99" s="1734" t="s">
        <v>1768</v>
      </c>
      <c r="BH99" s="1734" t="s">
        <v>1769</v>
      </c>
      <c r="BI99" s="1734" t="s">
        <v>1770</v>
      </c>
      <c r="BJ99" s="1734" t="s">
        <v>1771</v>
      </c>
      <c r="BK99" s="1734" t="s">
        <v>1768</v>
      </c>
      <c r="BL99" s="1734" t="s">
        <v>1769</v>
      </c>
      <c r="BM99" s="1734" t="s">
        <v>1770</v>
      </c>
      <c r="BN99" s="1734" t="s">
        <v>1771</v>
      </c>
      <c r="BO99" s="1734" t="s">
        <v>1768</v>
      </c>
      <c r="BP99" s="1734" t="s">
        <v>1769</v>
      </c>
      <c r="BQ99" s="1734" t="s">
        <v>1770</v>
      </c>
      <c r="BR99" s="1734" t="s">
        <v>1771</v>
      </c>
      <c r="BS99" s="1734" t="s">
        <v>1768</v>
      </c>
      <c r="BT99" s="1734" t="s">
        <v>1769</v>
      </c>
      <c r="BU99" s="1734" t="s">
        <v>1770</v>
      </c>
      <c r="BV99" s="1734" t="s">
        <v>1771</v>
      </c>
      <c r="BW99" s="1734" t="s">
        <v>1427</v>
      </c>
      <c r="BX99" s="1734" t="s">
        <v>1427</v>
      </c>
      <c r="BY99" s="1734"/>
      <c r="BZ99" s="1734" t="s">
        <v>1427</v>
      </c>
      <c r="CA99" s="1734" t="s">
        <v>819</v>
      </c>
      <c r="CB99" s="1734" t="s">
        <v>1427</v>
      </c>
      <c r="CC99" s="1734" t="s">
        <v>819</v>
      </c>
      <c r="CD99" s="1734" t="s">
        <v>1427</v>
      </c>
    </row>
    <row r="100" spans="1:83" ht="10.5" customHeight="1">
      <c r="A100" s="1690" t="b">
        <f>IF(COUNTIF(A101:A109,TRUE)&gt;0,TRUE,FALSE)</f>
        <v>0</v>
      </c>
      <c r="B100" s="1691"/>
      <c r="C100" s="1750" t="s">
        <v>1776</v>
      </c>
      <c r="D100" s="1750" t="s">
        <v>1437</v>
      </c>
      <c r="E100" s="1750" t="s">
        <v>1777</v>
      </c>
      <c r="F100" s="1723" t="s">
        <v>1768</v>
      </c>
      <c r="G100" s="1746" t="s">
        <v>1769</v>
      </c>
      <c r="H100" s="1746" t="s">
        <v>1770</v>
      </c>
      <c r="I100" s="1746" t="s">
        <v>1771</v>
      </c>
      <c r="J100" s="1746" t="s">
        <v>1768</v>
      </c>
      <c r="K100" s="1746" t="s">
        <v>1769</v>
      </c>
      <c r="L100" s="1746" t="s">
        <v>1770</v>
      </c>
      <c r="M100" s="1746" t="s">
        <v>1771</v>
      </c>
      <c r="N100" s="1747" t="s">
        <v>1704</v>
      </c>
      <c r="O100" s="1692"/>
      <c r="P100" s="1697"/>
      <c r="Q100" s="1697"/>
      <c r="U100" s="2045"/>
      <c r="V100" s="2046">
        <f>VLOOKUP(V99,ConcTable,2,FALSE)</f>
        <v>1000000</v>
      </c>
      <c r="W100" s="2047"/>
      <c r="X100" s="2048"/>
      <c r="Y100" s="2046">
        <f>VLOOKUP(Y99,ConcTable,2,FALSE)</f>
        <v>1000000</v>
      </c>
      <c r="Z100" s="1896"/>
      <c r="AA100" s="1908"/>
      <c r="AB100" s="1906"/>
      <c r="AC100" s="1896"/>
      <c r="AD100" s="1910"/>
      <c r="AE100" s="1897">
        <f>VLOOKUP(AE99,MassRateTable,2,FALSE)</f>
        <v>60</v>
      </c>
      <c r="AF100" s="1910"/>
      <c r="AG100" s="1897">
        <f>VLOOKUP(AG99,MassRateTable,2,FALSE)</f>
        <v>60</v>
      </c>
      <c r="AH100" s="2269"/>
      <c r="AI100" s="2270"/>
      <c r="AJ100" s="1697"/>
      <c r="AK100" s="1697"/>
      <c r="AM100" s="1697"/>
      <c r="AN100" s="1697"/>
      <c r="AO100" s="1697"/>
      <c r="AP100" s="1697"/>
      <c r="AQ100" s="1697"/>
      <c r="AR100" s="1697"/>
      <c r="AS100" s="1697"/>
      <c r="AT100" s="1697"/>
      <c r="AU100" s="1697"/>
      <c r="AV100" s="1697"/>
      <c r="AW100" s="1697"/>
      <c r="AX100" s="1697"/>
      <c r="AY100" s="1697"/>
      <c r="AZ100" s="1697"/>
      <c r="BA100" s="1697"/>
      <c r="BB100" s="1697"/>
      <c r="BC100" s="1697"/>
      <c r="BD100" s="1697"/>
      <c r="BE100" s="1697"/>
      <c r="BF100" s="1697"/>
      <c r="BM100" s="1690"/>
      <c r="BN100" s="1690"/>
      <c r="BO100" s="1690"/>
      <c r="BP100" s="1690"/>
      <c r="BQ100" s="1690"/>
      <c r="BR100" s="1690"/>
      <c r="BS100" s="1690"/>
      <c r="BT100" s="1690"/>
    </row>
    <row r="101" spans="1:83">
      <c r="A101" s="1690" t="b">
        <f t="shared" ref="A101:A109" si="327">IF(B101=0,FALSE,TRUE)</f>
        <v>0</v>
      </c>
      <c r="B101" s="1701">
        <f>'Non-Isokinetic'!A77</f>
        <v>0</v>
      </c>
      <c r="C101" s="1752" t="e">
        <f t="shared" ref="C101:C109" si="328">VLOOKUP(B101,AnalyteTable,5,FALSE)</f>
        <v>#N/A</v>
      </c>
      <c r="D101" s="1704" t="e">
        <f t="shared" ref="D101:D109" si="329">VLOOKUP(B101,AnalyteTable,7,FALSE)</f>
        <v>#N/A</v>
      </c>
      <c r="E101" s="1796" t="e">
        <f t="shared" ref="E101:E109" si="330">VLOOKUP(D101,PQLTable,8,FALSE)</f>
        <v>#N/A</v>
      </c>
      <c r="F101" s="1756"/>
      <c r="G101" s="1757"/>
      <c r="H101" s="1757"/>
      <c r="I101" s="1764"/>
      <c r="J101" s="1756"/>
      <c r="K101" s="1757"/>
      <c r="L101" s="1757"/>
      <c r="M101" s="1764"/>
      <c r="N101" s="1772"/>
      <c r="O101" s="1692" t="str">
        <f t="shared" ref="O101:O109" si="331">IF(B101=0,"",IF(SUM(V101,Y101)=0,"no result",IF(COUNT(V101:Y101)=1,"Single Result","")))</f>
        <v/>
      </c>
      <c r="P101" s="1692">
        <f t="shared" ref="P101:P109" si="332">IF(OR(V101="",Y101=""),0,ABS((MAX(V101:Y101)-MIN(V101:Y101))/AVERAGE(V101:Y101)))</f>
        <v>0</v>
      </c>
      <c r="Q101" s="1692" t="str">
        <f>IF(OR(BH101&gt;(0.2*BG101),BI101&gt;(0.2*BH101),BJ101&gt;(0.2*BI101),BL101&gt;(0.2*BK101),BM101&gt;(0.2*BL101),BN101&gt;(0.2*BM101)),"Breakthrough?","")</f>
        <v/>
      </c>
      <c r="U101" s="1898" t="str">
        <f t="shared" ref="U101:U109" si="333">CA101</f>
        <v/>
      </c>
      <c r="V101" s="1720" t="str">
        <f>IF(COUNT(F101:I101)=0,"",Conc1(CB101,U$97,$AJ101,MolVol,Pitots!$E$49,Pitots!$F$49,V$99,V$100,VoF))</f>
        <v/>
      </c>
      <c r="W101" s="1719" t="str">
        <f t="shared" ref="W101:W109" si="334">IF($B101=0,"",V101*CorrFactor)</f>
        <v/>
      </c>
      <c r="X101" s="1718" t="str">
        <f t="shared" ref="X101:X109" si="335">CC101</f>
        <v/>
      </c>
      <c r="Y101" s="1720" t="str">
        <f>IF(COUNT(J101:M101)=0,"",Conc1(CD101,X$97,$AJ101,MolVol,Pitots!$E$49,Pitots!$F$49,Y$99,Y$100,VoF))</f>
        <v/>
      </c>
      <c r="Z101" s="1719" t="str">
        <f t="shared" ref="Z101:Z109" si="336">IF($B101=0,"",Y101*CorrFactor)</f>
        <v/>
      </c>
      <c r="AA101" s="2264" t="str">
        <f>IF(AND(U101="",X101=""),"",IF(OR(U101="",X101=""),"≤",""))</f>
        <v/>
      </c>
      <c r="AB101" s="1720" t="str">
        <f t="shared" ref="AB101:AB109" si="337">IF(OR(V101="",Y101=""),"",AVERAGE(V101,Y101))</f>
        <v/>
      </c>
      <c r="AC101" s="1719" t="str">
        <f t="shared" ref="AC101:AC109" si="338">IF($B101=0,"",AB101*CorrFactor)</f>
        <v/>
      </c>
      <c r="AD101" s="1911" t="str">
        <f t="shared" ref="AD101:AD109" si="339">IF(OR(U101="&lt;",VND="&lt;"),"&lt;","")</f>
        <v/>
      </c>
      <c r="AE101" s="1899" t="str">
        <f>IF(V101="","",MassRate(V101,$AJ101,MolVol,V$99,V$100,MRU,MRF,AverageFlowDry,FF))</f>
        <v/>
      </c>
      <c r="AF101" s="1911" t="str">
        <f t="shared" ref="AF101:AF109" si="340">IF(OR(X101="&lt;",VND="&lt;"),"&lt;","")</f>
        <v/>
      </c>
      <c r="AG101" s="1899" t="str">
        <f>IF(Y101="","",MassRate(Y101,$AJ101,MolVol,Y$99,Y$100,MRU,MRF,AverageFlowDry,FF))</f>
        <v/>
      </c>
      <c r="AH101" s="2264" t="str">
        <f>IF(AND(AD101="",AF101=""),"",IF(OR(AD101="",AF101=""),"≤",""))</f>
        <v/>
      </c>
      <c r="AI101" s="1899" t="str">
        <f>IF(AB101="","",AVERAGE(AE101,AG101))</f>
        <v/>
      </c>
      <c r="AJ101" s="1704" t="e">
        <f t="shared" ref="AJ101:AJ109" si="341">VLOOKUP(C101,PQLTable,4,FALSE)</f>
        <v>#N/A</v>
      </c>
      <c r="AK101" s="1796" t="e">
        <f t="shared" ref="AK101:AK109" si="342">VLOOKUP(D101,PQLTable,6,FALSE)</f>
        <v>#N/A</v>
      </c>
      <c r="AL101" s="1871" t="e">
        <f t="shared" ref="AL101:AL109" si="343">AJ101/AK101</f>
        <v>#N/A</v>
      </c>
      <c r="AM101" s="1718" t="str">
        <f t="shared" ref="AM101:AM109" si="344">LEFT(F101,(LEFT(F101)="&lt;"))</f>
        <v/>
      </c>
      <c r="AN101" s="1718" t="str">
        <f t="shared" ref="AN101:AN109" si="345">LEFT(G101,(LEFT(G101)="&lt;"))</f>
        <v/>
      </c>
      <c r="AO101" s="1718" t="str">
        <f t="shared" ref="AO101:AO109" si="346">LEFT(H101,(LEFT(H101)="&lt;"))</f>
        <v/>
      </c>
      <c r="AP101" s="1718" t="str">
        <f t="shared" ref="AP101:AP109" si="347">LEFT(I101,(LEFT(I101)="&lt;"))</f>
        <v/>
      </c>
      <c r="AQ101" s="1718" t="str">
        <f t="shared" ref="AQ101:AQ109" si="348">LEFT(J101,(LEFT(J101)="&lt;"))</f>
        <v/>
      </c>
      <c r="AR101" s="1718" t="str">
        <f t="shared" ref="AR101:AR109" si="349">LEFT(K101,(LEFT(K101)="&lt;"))</f>
        <v/>
      </c>
      <c r="AS101" s="1718" t="str">
        <f t="shared" ref="AS101:AS109" si="350">LEFT(L101,(LEFT(L101)="&lt;"))</f>
        <v/>
      </c>
      <c r="AT101" s="1718" t="str">
        <f t="shared" ref="AT101:AT109" si="351">LEFT(M101,(LEFT(M101)="&lt;"))</f>
        <v/>
      </c>
      <c r="AU101" s="1718" t="str">
        <f t="shared" ref="AU101:AU109" si="352">LEFT(N101,(LEFT(N101)="&lt;"))</f>
        <v/>
      </c>
      <c r="AV101" s="1718"/>
      <c r="AW101" s="1718" t="str">
        <f t="shared" ref="AW101:AW109" si="353">IF(F101="","",VALUE(RIGHT(F101,LEN(F101)-(LEFT(F101)="&lt;"))))</f>
        <v/>
      </c>
      <c r="AX101" s="1718" t="str">
        <f t="shared" ref="AX101:AX109" si="354">IF(G101="","",VALUE(RIGHT(G101,LEN(G101)-(LEFT(G101)="&lt;"))))</f>
        <v/>
      </c>
      <c r="AY101" s="1718" t="str">
        <f t="shared" ref="AY101:AY109" si="355">IF(H101="","",VALUE(RIGHT(H101,LEN(H101)-(LEFT(H101)="&lt;"))))</f>
        <v/>
      </c>
      <c r="AZ101" s="1718" t="str">
        <f t="shared" ref="AZ101:AZ109" si="356">IF(I101="","",VALUE(RIGHT(I101,LEN(I101)-(LEFT(I101)="&lt;"))))</f>
        <v/>
      </c>
      <c r="BA101" s="1718" t="str">
        <f t="shared" ref="BA101:BA109" si="357">IF(J101="","",VALUE(RIGHT(J101,LEN(J101)-(LEFT(J101)="&lt;"))))</f>
        <v/>
      </c>
      <c r="BB101" s="1718" t="str">
        <f t="shared" ref="BB101:BB109" si="358">IF(K101="","",VALUE(RIGHT(K101,LEN(K101)-(LEFT(K101)="&lt;"))))</f>
        <v/>
      </c>
      <c r="BC101" s="1718" t="str">
        <f t="shared" ref="BC101:BC109" si="359">IF(L101="","",VALUE(RIGHT(L101,LEN(L101)-(LEFT(L101)="&lt;"))))</f>
        <v/>
      </c>
      <c r="BD101" s="1718" t="str">
        <f t="shared" ref="BD101:BD109" si="360">IF(M101="","",VALUE(RIGHT(M101,LEN(M101)-(LEFT(M101)="&lt;"))))</f>
        <v/>
      </c>
      <c r="BE101" s="1738">
        <f t="shared" ref="BE101:BE109" si="361">IF(OR(AU101="&lt;",N101=""),0,VALUE(RIGHT(N101,LEN(N101)-(LEFT(N101)="&lt;"))))</f>
        <v>0</v>
      </c>
      <c r="BF101" s="1718"/>
      <c r="BG101" s="1718">
        <f t="shared" ref="BG101:BN101" si="362">IF(F101="",0,IF(OR((AW101-$BE101)&lt;BO101,AM101="&lt;"),0,AW101-$BE101)*$AL101*1000/F97/$G99*1000000)</f>
        <v>0</v>
      </c>
      <c r="BH101" s="1718">
        <f t="shared" si="362"/>
        <v>0</v>
      </c>
      <c r="BI101" s="1718">
        <f t="shared" si="362"/>
        <v>0</v>
      </c>
      <c r="BJ101" s="1718">
        <f t="shared" si="362"/>
        <v>0</v>
      </c>
      <c r="BK101" s="1718">
        <f t="shared" si="362"/>
        <v>0</v>
      </c>
      <c r="BL101" s="1718">
        <f t="shared" si="362"/>
        <v>0</v>
      </c>
      <c r="BM101" s="1718">
        <f t="shared" si="362"/>
        <v>0</v>
      </c>
      <c r="BN101" s="1718">
        <f t="shared" si="362"/>
        <v>0</v>
      </c>
      <c r="BO101" s="1712">
        <f t="shared" ref="BO101:BV101" si="363">IF(F101="",0,$E101*$AL101*1000/$F97/$G99*1000000)</f>
        <v>0</v>
      </c>
      <c r="BP101" s="1712">
        <f t="shared" si="363"/>
        <v>0</v>
      </c>
      <c r="BQ101" s="1712">
        <f t="shared" si="363"/>
        <v>0</v>
      </c>
      <c r="BR101" s="1712">
        <f t="shared" si="363"/>
        <v>0</v>
      </c>
      <c r="BS101" s="1712">
        <f t="shared" si="363"/>
        <v>0</v>
      </c>
      <c r="BT101" s="1712">
        <f t="shared" si="363"/>
        <v>0</v>
      </c>
      <c r="BU101" s="1712">
        <f t="shared" si="363"/>
        <v>0</v>
      </c>
      <c r="BV101" s="1712">
        <f t="shared" si="363"/>
        <v>0</v>
      </c>
      <c r="BW101" s="1741">
        <f t="shared" ref="BW101:BW109" si="364">SUM(BO101:BR101)</f>
        <v>0</v>
      </c>
      <c r="BX101" s="1713">
        <f t="shared" ref="BX101:BX109" si="365">SUM(BG101:BJ101)</f>
        <v>0</v>
      </c>
      <c r="BY101" s="1741">
        <f t="shared" ref="BY101:BY109" si="366">SUM(BS101:BV101)</f>
        <v>0</v>
      </c>
      <c r="BZ101" s="1713">
        <f t="shared" ref="BZ101:BZ109" si="367">SUM(BK101:BN101)</f>
        <v>0</v>
      </c>
      <c r="CA101" s="1712" t="str">
        <f t="shared" ref="CA101:CA109" si="368">IF(BX101&gt;=$BW101,"","&lt;")</f>
        <v/>
      </c>
      <c r="CB101" s="1720">
        <f t="shared" ref="CB101:CB109" si="369">IF(CA101="",BX101,(IF(BG101=0,BO101,0)+IF(BH101=0,BP101,0)+IF(BI101=0,BQ101,0)+IF(BJ101=0,BR101,0)+BX101))</f>
        <v>0</v>
      </c>
      <c r="CC101" s="1712" t="str">
        <f t="shared" ref="CC101:CC109" si="370">IF(BZ101&gt;=BY101,"","&lt;")</f>
        <v/>
      </c>
      <c r="CD101" s="1720">
        <f t="shared" ref="CD101:CD109" si="371">IF(CC101="",BZ101,(IF(BK101=0,BS101,0)+IF(BL101=0,BT101,0)+IF(BM101=0,BU101,0)+IF(BN101=0,BV101,0)+BZ101))</f>
        <v>0</v>
      </c>
      <c r="CE101" s="1690" t="str">
        <f>IF(OR(BH101&gt;(0.2*BG101),BI101&gt;(0.2*BH101),BJ101&gt;(0.2*BI101),BL101&gt;(0.2*BK101),BM101&gt;(0.2*BL101),BN101&gt;(0.2*BM101)),"Breakthrough","")</f>
        <v/>
      </c>
    </row>
    <row r="102" spans="1:83">
      <c r="A102" s="1690" t="b">
        <f t="shared" si="327"/>
        <v>0</v>
      </c>
      <c r="B102" s="1702">
        <f>'Non-Isokinetic'!A78</f>
        <v>0</v>
      </c>
      <c r="C102" s="1753" t="e">
        <f t="shared" si="328"/>
        <v>#N/A</v>
      </c>
      <c r="D102" s="1705" t="e">
        <f t="shared" si="329"/>
        <v>#N/A</v>
      </c>
      <c r="E102" s="1744" t="e">
        <f t="shared" si="330"/>
        <v>#N/A</v>
      </c>
      <c r="F102" s="1759"/>
      <c r="G102" s="1755"/>
      <c r="H102" s="1755"/>
      <c r="I102" s="1765"/>
      <c r="J102" s="1759"/>
      <c r="K102" s="1755"/>
      <c r="L102" s="1755"/>
      <c r="M102" s="1765"/>
      <c r="N102" s="1773"/>
      <c r="O102" s="1692" t="str">
        <f t="shared" si="331"/>
        <v/>
      </c>
      <c r="P102" s="1692">
        <f t="shared" si="332"/>
        <v>0</v>
      </c>
      <c r="Q102" s="1692" t="str">
        <f t="shared" ref="Q102:Q109" si="372">IF(OR(BH102&gt;(0.2*BG102),BI102&gt;(0.2*BH102),BJ102&gt;(0.2*BI102)),"Breakthrough?","")</f>
        <v/>
      </c>
      <c r="U102" s="1900" t="str">
        <f t="shared" si="333"/>
        <v/>
      </c>
      <c r="V102" s="1904" t="str">
        <f>IF(COUNT(F102:I102)=0,"",Conc1(CB102,U$97,$AJ102,MolVol,Pitots!$E$49,Pitots!$F$49,V$99,V$100,VoF))</f>
        <v/>
      </c>
      <c r="W102" s="1841" t="str">
        <f t="shared" si="334"/>
        <v/>
      </c>
      <c r="X102" s="1909" t="str">
        <f t="shared" si="335"/>
        <v/>
      </c>
      <c r="Y102" s="1904" t="str">
        <f>IF(COUNT(J102:M102)=0,"",Conc1(CD102,X$97,$AJ102,MolVol,Pitots!$E$49,Pitots!$F$49,Y$99,Y$100,VoF))</f>
        <v/>
      </c>
      <c r="Z102" s="1841" t="str">
        <f t="shared" si="336"/>
        <v/>
      </c>
      <c r="AA102" s="1909" t="str">
        <f t="shared" ref="AA102:AA109" si="373">IF(AND(U102="",X102=""),"",IF(OR(U102="",X102=""),"≤",""))</f>
        <v/>
      </c>
      <c r="AB102" s="2358" t="str">
        <f t="shared" si="337"/>
        <v/>
      </c>
      <c r="AC102" s="1841" t="str">
        <f t="shared" si="338"/>
        <v/>
      </c>
      <c r="AD102" s="1912" t="str">
        <f t="shared" si="339"/>
        <v/>
      </c>
      <c r="AE102" s="1901" t="str">
        <f>IF(V102="","",MassRate(V102,$AJ102,MolVol,V$99,V$100,MRU,MRF,AverageFlowDry,FF))</f>
        <v/>
      </c>
      <c r="AF102" s="1912" t="str">
        <f t="shared" si="340"/>
        <v/>
      </c>
      <c r="AG102" s="1901" t="str">
        <f>IF(Y102="","",MassRate(Y102,$AJ102,MolVol,Y$99,Y$100,MRU,MRF,AverageFlowDry,FF))</f>
        <v/>
      </c>
      <c r="AH102" s="2265" t="str">
        <f t="shared" ref="AH102:AH109" si="374">IF(AND(AD102="",AF102=""),"",IF(OR(AD102="",AF102=""),"≤",""))</f>
        <v/>
      </c>
      <c r="AI102" s="1901" t="str">
        <f t="shared" ref="AI102:AI109" si="375">IF(AB102="","",AVERAGE(AE102,AG102))</f>
        <v/>
      </c>
      <c r="AJ102" s="1870" t="e">
        <f t="shared" si="341"/>
        <v>#N/A</v>
      </c>
      <c r="AK102" s="1744" t="e">
        <f t="shared" si="342"/>
        <v>#N/A</v>
      </c>
      <c r="AL102" s="1872" t="e">
        <f t="shared" si="343"/>
        <v>#N/A</v>
      </c>
      <c r="AM102" s="1721" t="str">
        <f t="shared" si="344"/>
        <v/>
      </c>
      <c r="AN102" s="1721" t="str">
        <f t="shared" si="345"/>
        <v/>
      </c>
      <c r="AO102" s="1721" t="str">
        <f t="shared" si="346"/>
        <v/>
      </c>
      <c r="AP102" s="1721" t="str">
        <f t="shared" si="347"/>
        <v/>
      </c>
      <c r="AQ102" s="1721" t="str">
        <f t="shared" si="348"/>
        <v/>
      </c>
      <c r="AR102" s="1721" t="str">
        <f t="shared" si="349"/>
        <v/>
      </c>
      <c r="AS102" s="1721" t="str">
        <f t="shared" si="350"/>
        <v/>
      </c>
      <c r="AT102" s="1721" t="str">
        <f t="shared" si="351"/>
        <v/>
      </c>
      <c r="AU102" s="1721" t="str">
        <f t="shared" si="352"/>
        <v/>
      </c>
      <c r="AV102" s="1721"/>
      <c r="AW102" s="1721" t="str">
        <f t="shared" si="353"/>
        <v/>
      </c>
      <c r="AX102" s="1721" t="str">
        <f t="shared" si="354"/>
        <v/>
      </c>
      <c r="AY102" s="1721" t="str">
        <f t="shared" si="355"/>
        <v/>
      </c>
      <c r="AZ102" s="1721" t="str">
        <f t="shared" si="356"/>
        <v/>
      </c>
      <c r="BA102" s="1721" t="str">
        <f t="shared" si="357"/>
        <v/>
      </c>
      <c r="BB102" s="1721" t="str">
        <f t="shared" si="358"/>
        <v/>
      </c>
      <c r="BC102" s="1721" t="str">
        <f t="shared" si="359"/>
        <v/>
      </c>
      <c r="BD102" s="1721" t="str">
        <f t="shared" si="360"/>
        <v/>
      </c>
      <c r="BE102" s="1739">
        <f t="shared" si="361"/>
        <v>0</v>
      </c>
      <c r="BF102" s="1721"/>
      <c r="BG102" s="1721">
        <f t="shared" ref="BG102:BN102" si="376">IF(F102="",0,IF(OR((AW102-$BE102)&lt;BO102,AM102="&lt;"),0,AW102-$BE102)*$AL102*1000/F97/$G99*1000000)</f>
        <v>0</v>
      </c>
      <c r="BH102" s="1721">
        <f t="shared" si="376"/>
        <v>0</v>
      </c>
      <c r="BI102" s="1721">
        <f t="shared" si="376"/>
        <v>0</v>
      </c>
      <c r="BJ102" s="1721">
        <f t="shared" si="376"/>
        <v>0</v>
      </c>
      <c r="BK102" s="1721">
        <f t="shared" si="376"/>
        <v>0</v>
      </c>
      <c r="BL102" s="1721">
        <f t="shared" si="376"/>
        <v>0</v>
      </c>
      <c r="BM102" s="1721">
        <f t="shared" si="376"/>
        <v>0</v>
      </c>
      <c r="BN102" s="1721">
        <f t="shared" si="376"/>
        <v>0</v>
      </c>
      <c r="BO102" s="1715">
        <f t="shared" ref="BO102:BV102" si="377">IF(F102="",0,$E102*$AL102*1000/$F97/$G99*1000000)</f>
        <v>0</v>
      </c>
      <c r="BP102" s="1715">
        <f t="shared" si="377"/>
        <v>0</v>
      </c>
      <c r="BQ102" s="1715">
        <f t="shared" si="377"/>
        <v>0</v>
      </c>
      <c r="BR102" s="1715">
        <f t="shared" si="377"/>
        <v>0</v>
      </c>
      <c r="BS102" s="1715">
        <f t="shared" si="377"/>
        <v>0</v>
      </c>
      <c r="BT102" s="1715">
        <f t="shared" si="377"/>
        <v>0</v>
      </c>
      <c r="BU102" s="1715">
        <f t="shared" si="377"/>
        <v>0</v>
      </c>
      <c r="BV102" s="1715">
        <f t="shared" si="377"/>
        <v>0</v>
      </c>
      <c r="BW102" s="1742">
        <f t="shared" si="364"/>
        <v>0</v>
      </c>
      <c r="BX102" s="1690">
        <f t="shared" si="365"/>
        <v>0</v>
      </c>
      <c r="BY102" s="1742">
        <f t="shared" si="366"/>
        <v>0</v>
      </c>
      <c r="BZ102" s="1690">
        <f t="shared" si="367"/>
        <v>0</v>
      </c>
      <c r="CA102" s="1715" t="str">
        <f t="shared" si="368"/>
        <v/>
      </c>
      <c r="CB102" s="1722">
        <f t="shared" si="369"/>
        <v>0</v>
      </c>
      <c r="CC102" s="1715" t="str">
        <f t="shared" si="370"/>
        <v/>
      </c>
      <c r="CD102" s="1722">
        <f t="shared" si="371"/>
        <v>0</v>
      </c>
      <c r="CE102" s="1690" t="str">
        <f t="shared" ref="CE102:CE109" si="378">IF(OR(BH102&gt;(0.2*BG102),BI102&gt;(0.2*BH102),BJ102&gt;(0.2*BI102)),"Breakthrough","")</f>
        <v/>
      </c>
    </row>
    <row r="103" spans="1:83">
      <c r="A103" s="1690" t="b">
        <f t="shared" si="327"/>
        <v>0</v>
      </c>
      <c r="B103" s="1702">
        <f>'Non-Isokinetic'!A79</f>
        <v>0</v>
      </c>
      <c r="C103" s="1753" t="e">
        <f t="shared" si="328"/>
        <v>#N/A</v>
      </c>
      <c r="D103" s="1705" t="e">
        <f t="shared" si="329"/>
        <v>#N/A</v>
      </c>
      <c r="E103" s="1744" t="e">
        <f t="shared" si="330"/>
        <v>#N/A</v>
      </c>
      <c r="F103" s="1759"/>
      <c r="G103" s="1755"/>
      <c r="H103" s="1755"/>
      <c r="I103" s="1765"/>
      <c r="J103" s="1759"/>
      <c r="K103" s="1755"/>
      <c r="L103" s="1755"/>
      <c r="M103" s="1765"/>
      <c r="N103" s="1773"/>
      <c r="O103" s="1692" t="str">
        <f t="shared" si="331"/>
        <v/>
      </c>
      <c r="P103" s="1692">
        <f t="shared" si="332"/>
        <v>0</v>
      </c>
      <c r="Q103" s="1692" t="str">
        <f t="shared" si="372"/>
        <v/>
      </c>
      <c r="U103" s="1900" t="str">
        <f t="shared" si="333"/>
        <v/>
      </c>
      <c r="V103" s="1904" t="str">
        <f>IF(COUNT(F103:I103)=0,"",Conc1(CB103,U$97,$AJ103,MolVol,Pitots!$E$49,Pitots!$F$49,V$99,V$100,VoF))</f>
        <v/>
      </c>
      <c r="W103" s="1841" t="str">
        <f t="shared" si="334"/>
        <v/>
      </c>
      <c r="X103" s="1909" t="str">
        <f t="shared" si="335"/>
        <v/>
      </c>
      <c r="Y103" s="1904" t="str">
        <f>IF(COUNT(J103:M103)=0,"",Conc1(CD103,X$97,$AJ103,MolVol,Pitots!$E$49,Pitots!$F$49,Y$99,Y$100,VoF))</f>
        <v/>
      </c>
      <c r="Z103" s="1841" t="str">
        <f t="shared" si="336"/>
        <v/>
      </c>
      <c r="AA103" s="1909" t="str">
        <f t="shared" si="373"/>
        <v/>
      </c>
      <c r="AB103" s="2358" t="str">
        <f t="shared" si="337"/>
        <v/>
      </c>
      <c r="AC103" s="1841" t="str">
        <f t="shared" si="338"/>
        <v/>
      </c>
      <c r="AD103" s="1912" t="str">
        <f t="shared" si="339"/>
        <v/>
      </c>
      <c r="AE103" s="1901" t="str">
        <f>IF(V103="","",MassRate(V103,$AJ103,MolVol,V$99,V$100,MRU,MRF,AverageFlowDry,FF))</f>
        <v/>
      </c>
      <c r="AF103" s="1912" t="str">
        <f t="shared" si="340"/>
        <v/>
      </c>
      <c r="AG103" s="1901" t="str">
        <f>IF(Y103="","",MassRate(Y103,$AJ103,MolVol,Y$99,Y$100,MRU,MRF,AverageFlowDry,FF))</f>
        <v/>
      </c>
      <c r="AH103" s="2265" t="str">
        <f t="shared" si="374"/>
        <v/>
      </c>
      <c r="AI103" s="1901" t="str">
        <f t="shared" si="375"/>
        <v/>
      </c>
      <c r="AJ103" s="1870" t="e">
        <f t="shared" si="341"/>
        <v>#N/A</v>
      </c>
      <c r="AK103" s="1744" t="e">
        <f t="shared" si="342"/>
        <v>#N/A</v>
      </c>
      <c r="AL103" s="1872" t="e">
        <f t="shared" si="343"/>
        <v>#N/A</v>
      </c>
      <c r="AM103" s="1721" t="str">
        <f t="shared" si="344"/>
        <v/>
      </c>
      <c r="AN103" s="1721" t="str">
        <f t="shared" si="345"/>
        <v/>
      </c>
      <c r="AO103" s="1721" t="str">
        <f t="shared" si="346"/>
        <v/>
      </c>
      <c r="AP103" s="1721" t="str">
        <f t="shared" si="347"/>
        <v/>
      </c>
      <c r="AQ103" s="1721" t="str">
        <f t="shared" si="348"/>
        <v/>
      </c>
      <c r="AR103" s="1721" t="str">
        <f t="shared" si="349"/>
        <v/>
      </c>
      <c r="AS103" s="1721" t="str">
        <f t="shared" si="350"/>
        <v/>
      </c>
      <c r="AT103" s="1721" t="str">
        <f t="shared" si="351"/>
        <v/>
      </c>
      <c r="AU103" s="1721" t="str">
        <f t="shared" si="352"/>
        <v/>
      </c>
      <c r="AV103" s="1721"/>
      <c r="AW103" s="1721" t="str">
        <f t="shared" si="353"/>
        <v/>
      </c>
      <c r="AX103" s="1721" t="str">
        <f t="shared" si="354"/>
        <v/>
      </c>
      <c r="AY103" s="1721" t="str">
        <f t="shared" si="355"/>
        <v/>
      </c>
      <c r="AZ103" s="1721" t="str">
        <f t="shared" si="356"/>
        <v/>
      </c>
      <c r="BA103" s="1721" t="str">
        <f t="shared" si="357"/>
        <v/>
      </c>
      <c r="BB103" s="1721" t="str">
        <f t="shared" si="358"/>
        <v/>
      </c>
      <c r="BC103" s="1721" t="str">
        <f t="shared" si="359"/>
        <v/>
      </c>
      <c r="BD103" s="1721" t="str">
        <f t="shared" si="360"/>
        <v/>
      </c>
      <c r="BE103" s="1739">
        <f t="shared" si="361"/>
        <v>0</v>
      </c>
      <c r="BF103" s="1721"/>
      <c r="BG103" s="1721">
        <f t="shared" ref="BG103:BN103" si="379">IF(F103="",0,IF(OR((AW103-$BE103)&lt;BO103,AM103="&lt;"),0,AW103-$BE103)*$AL103*1000/F97/$G99*1000000)</f>
        <v>0</v>
      </c>
      <c r="BH103" s="1721">
        <f t="shared" si="379"/>
        <v>0</v>
      </c>
      <c r="BI103" s="1721">
        <f t="shared" si="379"/>
        <v>0</v>
      </c>
      <c r="BJ103" s="1721">
        <f t="shared" si="379"/>
        <v>0</v>
      </c>
      <c r="BK103" s="1721">
        <f t="shared" si="379"/>
        <v>0</v>
      </c>
      <c r="BL103" s="1721">
        <f t="shared" si="379"/>
        <v>0</v>
      </c>
      <c r="BM103" s="1721">
        <f t="shared" si="379"/>
        <v>0</v>
      </c>
      <c r="BN103" s="1721">
        <f t="shared" si="379"/>
        <v>0</v>
      </c>
      <c r="BO103" s="1715">
        <f t="shared" ref="BO103:BV103" si="380">IF(F103="",0,$E103*$AL103*1000/$F97/$G99*1000000)</f>
        <v>0</v>
      </c>
      <c r="BP103" s="1715">
        <f t="shared" si="380"/>
        <v>0</v>
      </c>
      <c r="BQ103" s="1715">
        <f t="shared" si="380"/>
        <v>0</v>
      </c>
      <c r="BR103" s="1715">
        <f t="shared" si="380"/>
        <v>0</v>
      </c>
      <c r="BS103" s="1715">
        <f t="shared" si="380"/>
        <v>0</v>
      </c>
      <c r="BT103" s="1715">
        <f t="shared" si="380"/>
        <v>0</v>
      </c>
      <c r="BU103" s="1715">
        <f t="shared" si="380"/>
        <v>0</v>
      </c>
      <c r="BV103" s="1715">
        <f t="shared" si="380"/>
        <v>0</v>
      </c>
      <c r="BW103" s="1742">
        <f t="shared" si="364"/>
        <v>0</v>
      </c>
      <c r="BX103" s="1690">
        <f t="shared" si="365"/>
        <v>0</v>
      </c>
      <c r="BY103" s="1742">
        <f t="shared" si="366"/>
        <v>0</v>
      </c>
      <c r="BZ103" s="1690">
        <f t="shared" si="367"/>
        <v>0</v>
      </c>
      <c r="CA103" s="1715" t="str">
        <f t="shared" si="368"/>
        <v/>
      </c>
      <c r="CB103" s="1722">
        <f t="shared" si="369"/>
        <v>0</v>
      </c>
      <c r="CC103" s="1715" t="str">
        <f t="shared" si="370"/>
        <v/>
      </c>
      <c r="CD103" s="1722">
        <f t="shared" si="371"/>
        <v>0</v>
      </c>
      <c r="CE103" s="1690" t="str">
        <f t="shared" si="378"/>
        <v/>
      </c>
    </row>
    <row r="104" spans="1:83">
      <c r="A104" s="1690" t="b">
        <f t="shared" si="327"/>
        <v>0</v>
      </c>
      <c r="B104" s="1702">
        <f>'Non-Isokinetic'!A80</f>
        <v>0</v>
      </c>
      <c r="C104" s="1753" t="e">
        <f t="shared" si="328"/>
        <v>#N/A</v>
      </c>
      <c r="D104" s="1705" t="e">
        <f t="shared" si="329"/>
        <v>#N/A</v>
      </c>
      <c r="E104" s="1744" t="e">
        <f t="shared" si="330"/>
        <v>#N/A</v>
      </c>
      <c r="F104" s="1759"/>
      <c r="G104" s="1755"/>
      <c r="H104" s="1755"/>
      <c r="I104" s="1765"/>
      <c r="J104" s="1759"/>
      <c r="K104" s="1755"/>
      <c r="L104" s="1755"/>
      <c r="M104" s="1765"/>
      <c r="N104" s="1773"/>
      <c r="O104" s="1692" t="str">
        <f t="shared" si="331"/>
        <v/>
      </c>
      <c r="P104" s="1692">
        <f t="shared" si="332"/>
        <v>0</v>
      </c>
      <c r="Q104" s="1692" t="str">
        <f t="shared" si="372"/>
        <v/>
      </c>
      <c r="U104" s="1900" t="str">
        <f t="shared" si="333"/>
        <v/>
      </c>
      <c r="V104" s="1904" t="str">
        <f>IF(COUNT(F104:I104)=0,"",Conc1(CB104,U$97,$AJ104,MolVol,Pitots!$E$49,Pitots!$F$49,V$99,V$100,VoF))</f>
        <v/>
      </c>
      <c r="W104" s="1841" t="str">
        <f t="shared" si="334"/>
        <v/>
      </c>
      <c r="X104" s="1909" t="str">
        <f t="shared" si="335"/>
        <v/>
      </c>
      <c r="Y104" s="1904" t="str">
        <f>IF(COUNT(J104:M104)=0,"",Conc1(CD104,X$97,$AJ104,MolVol,Pitots!$E$49,Pitots!$F$49,Y$99,Y$100,VoF))</f>
        <v/>
      </c>
      <c r="Z104" s="1841" t="str">
        <f t="shared" si="336"/>
        <v/>
      </c>
      <c r="AA104" s="1909" t="str">
        <f t="shared" si="373"/>
        <v/>
      </c>
      <c r="AB104" s="2358" t="str">
        <f t="shared" si="337"/>
        <v/>
      </c>
      <c r="AC104" s="1841" t="str">
        <f t="shared" si="338"/>
        <v/>
      </c>
      <c r="AD104" s="1912" t="str">
        <f t="shared" si="339"/>
        <v/>
      </c>
      <c r="AE104" s="1901" t="str">
        <f>IF(V104="","",MassRate(V104,$AJ104,MolVol,V$99,V$100,MRU,MRF,AverageFlowDry,FF))</f>
        <v/>
      </c>
      <c r="AF104" s="1912" t="str">
        <f t="shared" si="340"/>
        <v/>
      </c>
      <c r="AG104" s="1901" t="str">
        <f>IF(Y104="","",MassRate(Y104,$AJ104,MolVol,Y$99,Y$100,MRU,MRF,AverageFlowDry,FF))</f>
        <v/>
      </c>
      <c r="AH104" s="2265" t="str">
        <f t="shared" si="374"/>
        <v/>
      </c>
      <c r="AI104" s="1901" t="str">
        <f t="shared" si="375"/>
        <v/>
      </c>
      <c r="AJ104" s="1870" t="e">
        <f t="shared" si="341"/>
        <v>#N/A</v>
      </c>
      <c r="AK104" s="1744" t="e">
        <f t="shared" si="342"/>
        <v>#N/A</v>
      </c>
      <c r="AL104" s="1872" t="e">
        <f t="shared" si="343"/>
        <v>#N/A</v>
      </c>
      <c r="AM104" s="1721" t="str">
        <f t="shared" si="344"/>
        <v/>
      </c>
      <c r="AN104" s="1721" t="str">
        <f t="shared" si="345"/>
        <v/>
      </c>
      <c r="AO104" s="1721" t="str">
        <f t="shared" si="346"/>
        <v/>
      </c>
      <c r="AP104" s="1721" t="str">
        <f t="shared" si="347"/>
        <v/>
      </c>
      <c r="AQ104" s="1721" t="str">
        <f t="shared" si="348"/>
        <v/>
      </c>
      <c r="AR104" s="1721" t="str">
        <f t="shared" si="349"/>
        <v/>
      </c>
      <c r="AS104" s="1721" t="str">
        <f t="shared" si="350"/>
        <v/>
      </c>
      <c r="AT104" s="1721" t="str">
        <f t="shared" si="351"/>
        <v/>
      </c>
      <c r="AU104" s="1721" t="str">
        <f t="shared" si="352"/>
        <v/>
      </c>
      <c r="AV104" s="1721"/>
      <c r="AW104" s="1721" t="str">
        <f t="shared" si="353"/>
        <v/>
      </c>
      <c r="AX104" s="1721" t="str">
        <f t="shared" si="354"/>
        <v/>
      </c>
      <c r="AY104" s="1721" t="str">
        <f t="shared" si="355"/>
        <v/>
      </c>
      <c r="AZ104" s="1721" t="str">
        <f t="shared" si="356"/>
        <v/>
      </c>
      <c r="BA104" s="1721" t="str">
        <f t="shared" si="357"/>
        <v/>
      </c>
      <c r="BB104" s="1721" t="str">
        <f t="shared" si="358"/>
        <v/>
      </c>
      <c r="BC104" s="1721" t="str">
        <f t="shared" si="359"/>
        <v/>
      </c>
      <c r="BD104" s="1721" t="str">
        <f t="shared" si="360"/>
        <v/>
      </c>
      <c r="BE104" s="1739">
        <f t="shared" si="361"/>
        <v>0</v>
      </c>
      <c r="BF104" s="1721"/>
      <c r="BG104" s="1721">
        <f t="shared" ref="BG104:BN104" si="381">IF(F104="",0,IF(OR((AW104-$BE104)&lt;BO104,AM104="&lt;"),0,AW104-$BE104)*$AL104*1000/F97/$G99*1000000)</f>
        <v>0</v>
      </c>
      <c r="BH104" s="1721">
        <f t="shared" si="381"/>
        <v>0</v>
      </c>
      <c r="BI104" s="1721">
        <f t="shared" si="381"/>
        <v>0</v>
      </c>
      <c r="BJ104" s="1721">
        <f t="shared" si="381"/>
        <v>0</v>
      </c>
      <c r="BK104" s="1721">
        <f t="shared" si="381"/>
        <v>0</v>
      </c>
      <c r="BL104" s="1721">
        <f t="shared" si="381"/>
        <v>0</v>
      </c>
      <c r="BM104" s="1721">
        <f t="shared" si="381"/>
        <v>0</v>
      </c>
      <c r="BN104" s="1721">
        <f t="shared" si="381"/>
        <v>0</v>
      </c>
      <c r="BO104" s="1715">
        <f t="shared" ref="BO104:BV104" si="382">IF(F104="",0,$E104*$AL104*1000/$F97/$G99*1000000)</f>
        <v>0</v>
      </c>
      <c r="BP104" s="1715">
        <f t="shared" si="382"/>
        <v>0</v>
      </c>
      <c r="BQ104" s="1715">
        <f t="shared" si="382"/>
        <v>0</v>
      </c>
      <c r="BR104" s="1715">
        <f t="shared" si="382"/>
        <v>0</v>
      </c>
      <c r="BS104" s="1715">
        <f t="shared" si="382"/>
        <v>0</v>
      </c>
      <c r="BT104" s="1715">
        <f t="shared" si="382"/>
        <v>0</v>
      </c>
      <c r="BU104" s="1715">
        <f t="shared" si="382"/>
        <v>0</v>
      </c>
      <c r="BV104" s="1715">
        <f t="shared" si="382"/>
        <v>0</v>
      </c>
      <c r="BW104" s="1742">
        <f t="shared" si="364"/>
        <v>0</v>
      </c>
      <c r="BX104" s="1690">
        <f t="shared" si="365"/>
        <v>0</v>
      </c>
      <c r="BY104" s="1742">
        <f t="shared" si="366"/>
        <v>0</v>
      </c>
      <c r="BZ104" s="1690">
        <f t="shared" si="367"/>
        <v>0</v>
      </c>
      <c r="CA104" s="1715" t="str">
        <f t="shared" si="368"/>
        <v/>
      </c>
      <c r="CB104" s="1722">
        <f t="shared" si="369"/>
        <v>0</v>
      </c>
      <c r="CC104" s="1715" t="str">
        <f t="shared" si="370"/>
        <v/>
      </c>
      <c r="CD104" s="1722">
        <f t="shared" si="371"/>
        <v>0</v>
      </c>
      <c r="CE104" s="1690" t="str">
        <f t="shared" si="378"/>
        <v/>
      </c>
    </row>
    <row r="105" spans="1:83">
      <c r="A105" s="1690" t="b">
        <f t="shared" si="327"/>
        <v>0</v>
      </c>
      <c r="B105" s="1702">
        <f>'Non-Isokinetic'!A81</f>
        <v>0</v>
      </c>
      <c r="C105" s="1753" t="e">
        <f t="shared" si="328"/>
        <v>#N/A</v>
      </c>
      <c r="D105" s="1705" t="e">
        <f t="shared" si="329"/>
        <v>#N/A</v>
      </c>
      <c r="E105" s="1744" t="e">
        <f t="shared" si="330"/>
        <v>#N/A</v>
      </c>
      <c r="F105" s="1759"/>
      <c r="G105" s="1755"/>
      <c r="H105" s="1755"/>
      <c r="I105" s="1765"/>
      <c r="J105" s="1759"/>
      <c r="K105" s="1755"/>
      <c r="L105" s="1755"/>
      <c r="M105" s="1765"/>
      <c r="N105" s="1773"/>
      <c r="O105" s="1692" t="str">
        <f t="shared" si="331"/>
        <v/>
      </c>
      <c r="P105" s="1692">
        <f t="shared" si="332"/>
        <v>0</v>
      </c>
      <c r="Q105" s="1692" t="str">
        <f t="shared" si="372"/>
        <v/>
      </c>
      <c r="U105" s="1900" t="str">
        <f t="shared" si="333"/>
        <v/>
      </c>
      <c r="V105" s="1904" t="str">
        <f>IF(COUNT(F105:I105)=0,"",Conc1(CB105,U$97,$AJ105,MolVol,Pitots!$E$49,Pitots!$F$49,V$99,V$100,VoF))</f>
        <v/>
      </c>
      <c r="W105" s="1841" t="str">
        <f t="shared" si="334"/>
        <v/>
      </c>
      <c r="X105" s="1909" t="str">
        <f t="shared" si="335"/>
        <v/>
      </c>
      <c r="Y105" s="1904" t="str">
        <f>IF(COUNT(J105:M105)=0,"",Conc1(CD105,X$97,$AJ105,MolVol,Pitots!$E$49,Pitots!$F$49,Y$99,Y$100,VoF))</f>
        <v/>
      </c>
      <c r="Z105" s="1841" t="str">
        <f t="shared" si="336"/>
        <v/>
      </c>
      <c r="AA105" s="1909" t="str">
        <f t="shared" si="373"/>
        <v/>
      </c>
      <c r="AB105" s="2358" t="str">
        <f t="shared" si="337"/>
        <v/>
      </c>
      <c r="AC105" s="1841" t="str">
        <f t="shared" si="338"/>
        <v/>
      </c>
      <c r="AD105" s="1912" t="str">
        <f t="shared" si="339"/>
        <v/>
      </c>
      <c r="AE105" s="1901" t="str">
        <f>IF(V105="","",MassRate(V105,$AJ105,MolVol,V$99,V$100,MRU,MRF,AverageFlowDry,FF))</f>
        <v/>
      </c>
      <c r="AF105" s="1912" t="str">
        <f t="shared" si="340"/>
        <v/>
      </c>
      <c r="AG105" s="1901" t="str">
        <f>IF(Y105="","",MassRate(Y105,$AJ105,MolVol,Y$99,Y$100,MRU,MRF,AverageFlowDry,FF))</f>
        <v/>
      </c>
      <c r="AH105" s="2265" t="str">
        <f t="shared" si="374"/>
        <v/>
      </c>
      <c r="AI105" s="1901" t="str">
        <f t="shared" si="375"/>
        <v/>
      </c>
      <c r="AJ105" s="1870" t="e">
        <f t="shared" si="341"/>
        <v>#N/A</v>
      </c>
      <c r="AK105" s="1744" t="e">
        <f t="shared" si="342"/>
        <v>#N/A</v>
      </c>
      <c r="AL105" s="1872" t="e">
        <f t="shared" si="343"/>
        <v>#N/A</v>
      </c>
      <c r="AM105" s="1721" t="str">
        <f t="shared" si="344"/>
        <v/>
      </c>
      <c r="AN105" s="1721" t="str">
        <f t="shared" si="345"/>
        <v/>
      </c>
      <c r="AO105" s="1721" t="str">
        <f t="shared" si="346"/>
        <v/>
      </c>
      <c r="AP105" s="1721" t="str">
        <f t="shared" si="347"/>
        <v/>
      </c>
      <c r="AQ105" s="1721" t="str">
        <f t="shared" si="348"/>
        <v/>
      </c>
      <c r="AR105" s="1721" t="str">
        <f t="shared" si="349"/>
        <v/>
      </c>
      <c r="AS105" s="1721" t="str">
        <f t="shared" si="350"/>
        <v/>
      </c>
      <c r="AT105" s="1721" t="str">
        <f t="shared" si="351"/>
        <v/>
      </c>
      <c r="AU105" s="1721" t="str">
        <f t="shared" si="352"/>
        <v/>
      </c>
      <c r="AV105" s="1721"/>
      <c r="AW105" s="1721" t="str">
        <f t="shared" si="353"/>
        <v/>
      </c>
      <c r="AX105" s="1721" t="str">
        <f t="shared" si="354"/>
        <v/>
      </c>
      <c r="AY105" s="1721" t="str">
        <f t="shared" si="355"/>
        <v/>
      </c>
      <c r="AZ105" s="1721" t="str">
        <f t="shared" si="356"/>
        <v/>
      </c>
      <c r="BA105" s="1721" t="str">
        <f t="shared" si="357"/>
        <v/>
      </c>
      <c r="BB105" s="1721" t="str">
        <f t="shared" si="358"/>
        <v/>
      </c>
      <c r="BC105" s="1721" t="str">
        <f t="shared" si="359"/>
        <v/>
      </c>
      <c r="BD105" s="1721" t="str">
        <f t="shared" si="360"/>
        <v/>
      </c>
      <c r="BE105" s="1739">
        <f t="shared" si="361"/>
        <v>0</v>
      </c>
      <c r="BF105" s="1721"/>
      <c r="BG105" s="1721">
        <f t="shared" ref="BG105:BN105" si="383">IF(F105="",0,IF(OR((AW105-$BE105)&lt;BO105,AM105="&lt;"),0,AW105-$BE105)*$AL105*1000/F97/$G99*1000000)</f>
        <v>0</v>
      </c>
      <c r="BH105" s="1721">
        <f t="shared" si="383"/>
        <v>0</v>
      </c>
      <c r="BI105" s="1721">
        <f t="shared" si="383"/>
        <v>0</v>
      </c>
      <c r="BJ105" s="1721">
        <f t="shared" si="383"/>
        <v>0</v>
      </c>
      <c r="BK105" s="1721">
        <f t="shared" si="383"/>
        <v>0</v>
      </c>
      <c r="BL105" s="1721">
        <f t="shared" si="383"/>
        <v>0</v>
      </c>
      <c r="BM105" s="1721">
        <f t="shared" si="383"/>
        <v>0</v>
      </c>
      <c r="BN105" s="1721">
        <f t="shared" si="383"/>
        <v>0</v>
      </c>
      <c r="BO105" s="1715">
        <f t="shared" ref="BO105:BV105" si="384">IF(F105="",0,$E105*$AL105*1000/$F97/$G99*1000000)</f>
        <v>0</v>
      </c>
      <c r="BP105" s="1715">
        <f t="shared" si="384"/>
        <v>0</v>
      </c>
      <c r="BQ105" s="1715">
        <f t="shared" si="384"/>
        <v>0</v>
      </c>
      <c r="BR105" s="1715">
        <f t="shared" si="384"/>
        <v>0</v>
      </c>
      <c r="BS105" s="1715">
        <f t="shared" si="384"/>
        <v>0</v>
      </c>
      <c r="BT105" s="1715">
        <f t="shared" si="384"/>
        <v>0</v>
      </c>
      <c r="BU105" s="1715">
        <f t="shared" si="384"/>
        <v>0</v>
      </c>
      <c r="BV105" s="1715">
        <f t="shared" si="384"/>
        <v>0</v>
      </c>
      <c r="BW105" s="1742">
        <f t="shared" si="364"/>
        <v>0</v>
      </c>
      <c r="BX105" s="1690">
        <f t="shared" si="365"/>
        <v>0</v>
      </c>
      <c r="BY105" s="1742">
        <f t="shared" si="366"/>
        <v>0</v>
      </c>
      <c r="BZ105" s="1690">
        <f t="shared" si="367"/>
        <v>0</v>
      </c>
      <c r="CA105" s="1715" t="str">
        <f t="shared" si="368"/>
        <v/>
      </c>
      <c r="CB105" s="1722">
        <f t="shared" si="369"/>
        <v>0</v>
      </c>
      <c r="CC105" s="1715" t="str">
        <f t="shared" si="370"/>
        <v/>
      </c>
      <c r="CD105" s="1722">
        <f t="shared" si="371"/>
        <v>0</v>
      </c>
      <c r="CE105" s="1690" t="str">
        <f t="shared" si="378"/>
        <v/>
      </c>
    </row>
    <row r="106" spans="1:83">
      <c r="A106" s="1690" t="b">
        <f t="shared" si="327"/>
        <v>0</v>
      </c>
      <c r="B106" s="1702">
        <f>'Non-Isokinetic'!A82</f>
        <v>0</v>
      </c>
      <c r="C106" s="1753" t="e">
        <f t="shared" si="328"/>
        <v>#N/A</v>
      </c>
      <c r="D106" s="1705" t="e">
        <f t="shared" si="329"/>
        <v>#N/A</v>
      </c>
      <c r="E106" s="1744" t="e">
        <f t="shared" si="330"/>
        <v>#N/A</v>
      </c>
      <c r="F106" s="1759"/>
      <c r="G106" s="1755"/>
      <c r="H106" s="1755"/>
      <c r="I106" s="1765"/>
      <c r="J106" s="1759"/>
      <c r="K106" s="1755"/>
      <c r="L106" s="1755"/>
      <c r="M106" s="1765"/>
      <c r="N106" s="1773"/>
      <c r="O106" s="1692" t="str">
        <f t="shared" si="331"/>
        <v/>
      </c>
      <c r="P106" s="1692">
        <f t="shared" si="332"/>
        <v>0</v>
      </c>
      <c r="Q106" s="1692" t="str">
        <f t="shared" si="372"/>
        <v/>
      </c>
      <c r="U106" s="1900" t="str">
        <f t="shared" si="333"/>
        <v/>
      </c>
      <c r="V106" s="1904" t="str">
        <f>IF(COUNT(F106:I106)=0,"",Conc1(CB106,U$97,$AJ106,MolVol,Pitots!$E$49,Pitots!$F$49,V$99,V$100,VoF))</f>
        <v/>
      </c>
      <c r="W106" s="1841" t="str">
        <f t="shared" si="334"/>
        <v/>
      </c>
      <c r="X106" s="1909" t="str">
        <f t="shared" si="335"/>
        <v/>
      </c>
      <c r="Y106" s="1904" t="str">
        <f>IF(COUNT(J106:M106)=0,"",Conc1(CD106,X$97,$AJ106,MolVol,Pitots!$E$49,Pitots!$F$49,Y$99,Y$100,VoF))</f>
        <v/>
      </c>
      <c r="Z106" s="1841" t="str">
        <f t="shared" si="336"/>
        <v/>
      </c>
      <c r="AA106" s="1909" t="str">
        <f t="shared" si="373"/>
        <v/>
      </c>
      <c r="AB106" s="2358" t="str">
        <f t="shared" si="337"/>
        <v/>
      </c>
      <c r="AC106" s="1841" t="str">
        <f t="shared" si="338"/>
        <v/>
      </c>
      <c r="AD106" s="1912" t="str">
        <f t="shared" si="339"/>
        <v/>
      </c>
      <c r="AE106" s="1901" t="str">
        <f>IF(V106="","",MassRate(V106,$AJ106,MolVol,V$99,V$100,MRU,MRF,AverageFlowDry,FF))</f>
        <v/>
      </c>
      <c r="AF106" s="1912" t="str">
        <f t="shared" si="340"/>
        <v/>
      </c>
      <c r="AG106" s="1901" t="str">
        <f>IF(Y106="","",MassRate(Y106,$AJ106,MolVol,Y$99,Y$100,MRU,MRF,AverageFlowDry,FF))</f>
        <v/>
      </c>
      <c r="AH106" s="2265" t="str">
        <f t="shared" si="374"/>
        <v/>
      </c>
      <c r="AI106" s="1901" t="str">
        <f t="shared" si="375"/>
        <v/>
      </c>
      <c r="AJ106" s="1870" t="e">
        <f t="shared" si="341"/>
        <v>#N/A</v>
      </c>
      <c r="AK106" s="1744" t="e">
        <f t="shared" si="342"/>
        <v>#N/A</v>
      </c>
      <c r="AL106" s="1872" t="e">
        <f t="shared" si="343"/>
        <v>#N/A</v>
      </c>
      <c r="AM106" s="1721" t="str">
        <f t="shared" si="344"/>
        <v/>
      </c>
      <c r="AN106" s="1721" t="str">
        <f t="shared" si="345"/>
        <v/>
      </c>
      <c r="AO106" s="1721" t="str">
        <f t="shared" si="346"/>
        <v/>
      </c>
      <c r="AP106" s="1721" t="str">
        <f t="shared" si="347"/>
        <v/>
      </c>
      <c r="AQ106" s="1721" t="str">
        <f t="shared" si="348"/>
        <v/>
      </c>
      <c r="AR106" s="1721" t="str">
        <f t="shared" si="349"/>
        <v/>
      </c>
      <c r="AS106" s="1721" t="str">
        <f t="shared" si="350"/>
        <v/>
      </c>
      <c r="AT106" s="1721" t="str">
        <f t="shared" si="351"/>
        <v/>
      </c>
      <c r="AU106" s="1721" t="str">
        <f t="shared" si="352"/>
        <v/>
      </c>
      <c r="AV106" s="1721"/>
      <c r="AW106" s="1721" t="str">
        <f t="shared" si="353"/>
        <v/>
      </c>
      <c r="AX106" s="1721" t="str">
        <f t="shared" si="354"/>
        <v/>
      </c>
      <c r="AY106" s="1721" t="str">
        <f t="shared" si="355"/>
        <v/>
      </c>
      <c r="AZ106" s="1721" t="str">
        <f t="shared" si="356"/>
        <v/>
      </c>
      <c r="BA106" s="1721" t="str">
        <f t="shared" si="357"/>
        <v/>
      </c>
      <c r="BB106" s="1721" t="str">
        <f t="shared" si="358"/>
        <v/>
      </c>
      <c r="BC106" s="1721" t="str">
        <f t="shared" si="359"/>
        <v/>
      </c>
      <c r="BD106" s="1721" t="str">
        <f t="shared" si="360"/>
        <v/>
      </c>
      <c r="BE106" s="1739">
        <f t="shared" si="361"/>
        <v>0</v>
      </c>
      <c r="BF106" s="1721"/>
      <c r="BG106" s="1721">
        <f t="shared" ref="BG106:BN106" si="385">IF(F106="",0,IF(OR((AW106-$BE106)&lt;BO106,AM106="&lt;"),0,AW106-$BE106)*$AL106*1000/F97/$G99*1000000)</f>
        <v>0</v>
      </c>
      <c r="BH106" s="1721">
        <f t="shared" si="385"/>
        <v>0</v>
      </c>
      <c r="BI106" s="1721">
        <f t="shared" si="385"/>
        <v>0</v>
      </c>
      <c r="BJ106" s="1721">
        <f t="shared" si="385"/>
        <v>0</v>
      </c>
      <c r="BK106" s="1721">
        <f t="shared" si="385"/>
        <v>0</v>
      </c>
      <c r="BL106" s="1721">
        <f t="shared" si="385"/>
        <v>0</v>
      </c>
      <c r="BM106" s="1721">
        <f t="shared" si="385"/>
        <v>0</v>
      </c>
      <c r="BN106" s="1721">
        <f t="shared" si="385"/>
        <v>0</v>
      </c>
      <c r="BO106" s="1715">
        <f t="shared" ref="BO106:BV106" si="386">IF(F106="",0,$E106*$AL106*1000/$F97/$G99*1000000)</f>
        <v>0</v>
      </c>
      <c r="BP106" s="1715">
        <f t="shared" si="386"/>
        <v>0</v>
      </c>
      <c r="BQ106" s="1715">
        <f t="shared" si="386"/>
        <v>0</v>
      </c>
      <c r="BR106" s="1715">
        <f t="shared" si="386"/>
        <v>0</v>
      </c>
      <c r="BS106" s="1715">
        <f t="shared" si="386"/>
        <v>0</v>
      </c>
      <c r="BT106" s="1715">
        <f t="shared" si="386"/>
        <v>0</v>
      </c>
      <c r="BU106" s="1715">
        <f t="shared" si="386"/>
        <v>0</v>
      </c>
      <c r="BV106" s="1715">
        <f t="shared" si="386"/>
        <v>0</v>
      </c>
      <c r="BW106" s="1742">
        <f t="shared" si="364"/>
        <v>0</v>
      </c>
      <c r="BX106" s="1690">
        <f t="shared" si="365"/>
        <v>0</v>
      </c>
      <c r="BY106" s="1742">
        <f t="shared" si="366"/>
        <v>0</v>
      </c>
      <c r="BZ106" s="1690">
        <f t="shared" si="367"/>
        <v>0</v>
      </c>
      <c r="CA106" s="1715" t="str">
        <f t="shared" si="368"/>
        <v/>
      </c>
      <c r="CB106" s="1722">
        <f t="shared" si="369"/>
        <v>0</v>
      </c>
      <c r="CC106" s="1715" t="str">
        <f t="shared" si="370"/>
        <v/>
      </c>
      <c r="CD106" s="1722">
        <f t="shared" si="371"/>
        <v>0</v>
      </c>
      <c r="CE106" s="1690" t="str">
        <f t="shared" si="378"/>
        <v/>
      </c>
    </row>
    <row r="107" spans="1:83">
      <c r="A107" s="1690" t="b">
        <f t="shared" si="327"/>
        <v>0</v>
      </c>
      <c r="B107" s="1702">
        <f>'Non-Isokinetic'!A83</f>
        <v>0</v>
      </c>
      <c r="C107" s="1753" t="e">
        <f t="shared" si="328"/>
        <v>#N/A</v>
      </c>
      <c r="D107" s="1705" t="e">
        <f t="shared" si="329"/>
        <v>#N/A</v>
      </c>
      <c r="E107" s="1744" t="e">
        <f t="shared" si="330"/>
        <v>#N/A</v>
      </c>
      <c r="F107" s="1759"/>
      <c r="G107" s="1755"/>
      <c r="H107" s="1755"/>
      <c r="I107" s="1765"/>
      <c r="J107" s="1759"/>
      <c r="K107" s="1755"/>
      <c r="L107" s="1755"/>
      <c r="M107" s="1765"/>
      <c r="N107" s="1773"/>
      <c r="O107" s="1692" t="str">
        <f t="shared" si="331"/>
        <v/>
      </c>
      <c r="P107" s="1692">
        <f t="shared" si="332"/>
        <v>0</v>
      </c>
      <c r="Q107" s="1692" t="str">
        <f t="shared" si="372"/>
        <v/>
      </c>
      <c r="U107" s="1900" t="str">
        <f t="shared" si="333"/>
        <v/>
      </c>
      <c r="V107" s="1904" t="str">
        <f>IF(COUNT(F107:I107)=0,"",Conc1(CB107,U$97,$AJ107,MolVol,Pitots!$E$49,Pitots!$F$49,V$99,V$100,VoF))</f>
        <v/>
      </c>
      <c r="W107" s="1841" t="str">
        <f t="shared" si="334"/>
        <v/>
      </c>
      <c r="X107" s="1909" t="str">
        <f t="shared" si="335"/>
        <v/>
      </c>
      <c r="Y107" s="1904" t="str">
        <f>IF(COUNT(J107:M107)=0,"",Conc1(CD107,X$97,$AJ107,MolVol,Pitots!$E$49,Pitots!$F$49,Y$99,Y$100,VoF))</f>
        <v/>
      </c>
      <c r="Z107" s="1841" t="str">
        <f t="shared" si="336"/>
        <v/>
      </c>
      <c r="AA107" s="1909" t="str">
        <f t="shared" si="373"/>
        <v/>
      </c>
      <c r="AB107" s="2358" t="str">
        <f t="shared" si="337"/>
        <v/>
      </c>
      <c r="AC107" s="1841" t="str">
        <f t="shared" si="338"/>
        <v/>
      </c>
      <c r="AD107" s="1912" t="str">
        <f t="shared" si="339"/>
        <v/>
      </c>
      <c r="AE107" s="1901" t="str">
        <f>IF(V107="","",MassRate(V107,$AJ107,MolVol,V$99,V$100,MRU,MRF,AverageFlowDry,FF))</f>
        <v/>
      </c>
      <c r="AF107" s="1912" t="str">
        <f t="shared" si="340"/>
        <v/>
      </c>
      <c r="AG107" s="1901" t="str">
        <f>IF(Y107="","",MassRate(Y107,$AJ107,MolVol,Y$99,Y$100,MRU,MRF,AverageFlowDry,FF))</f>
        <v/>
      </c>
      <c r="AH107" s="2265" t="str">
        <f t="shared" si="374"/>
        <v/>
      </c>
      <c r="AI107" s="1901" t="str">
        <f t="shared" si="375"/>
        <v/>
      </c>
      <c r="AJ107" s="1870" t="e">
        <f t="shared" si="341"/>
        <v>#N/A</v>
      </c>
      <c r="AK107" s="1744" t="e">
        <f t="shared" si="342"/>
        <v>#N/A</v>
      </c>
      <c r="AL107" s="1872" t="e">
        <f t="shared" si="343"/>
        <v>#N/A</v>
      </c>
      <c r="AM107" s="1721" t="str">
        <f t="shared" si="344"/>
        <v/>
      </c>
      <c r="AN107" s="1721" t="str">
        <f t="shared" si="345"/>
        <v/>
      </c>
      <c r="AO107" s="1721" t="str">
        <f t="shared" si="346"/>
        <v/>
      </c>
      <c r="AP107" s="1721" t="str">
        <f t="shared" si="347"/>
        <v/>
      </c>
      <c r="AQ107" s="1721" t="str">
        <f t="shared" si="348"/>
        <v/>
      </c>
      <c r="AR107" s="1721" t="str">
        <f t="shared" si="349"/>
        <v/>
      </c>
      <c r="AS107" s="1721" t="str">
        <f t="shared" si="350"/>
        <v/>
      </c>
      <c r="AT107" s="1721" t="str">
        <f t="shared" si="351"/>
        <v/>
      </c>
      <c r="AU107" s="1721" t="str">
        <f t="shared" si="352"/>
        <v/>
      </c>
      <c r="AV107" s="1721"/>
      <c r="AW107" s="1721" t="str">
        <f t="shared" si="353"/>
        <v/>
      </c>
      <c r="AX107" s="1721" t="str">
        <f t="shared" si="354"/>
        <v/>
      </c>
      <c r="AY107" s="1721" t="str">
        <f t="shared" si="355"/>
        <v/>
      </c>
      <c r="AZ107" s="1721" t="str">
        <f t="shared" si="356"/>
        <v/>
      </c>
      <c r="BA107" s="1721" t="str">
        <f t="shared" si="357"/>
        <v/>
      </c>
      <c r="BB107" s="1721" t="str">
        <f t="shared" si="358"/>
        <v/>
      </c>
      <c r="BC107" s="1721" t="str">
        <f t="shared" si="359"/>
        <v/>
      </c>
      <c r="BD107" s="1721" t="str">
        <f t="shared" si="360"/>
        <v/>
      </c>
      <c r="BE107" s="1739">
        <f t="shared" si="361"/>
        <v>0</v>
      </c>
      <c r="BF107" s="1721"/>
      <c r="BG107" s="1721">
        <f t="shared" ref="BG107:BN107" si="387">IF(F107="",0,IF(OR((AW107-$BE107)&lt;BO107,AM107="&lt;"),0,AW107-$BE107)*$AL107*1000/F97/$G99*1000000)</f>
        <v>0</v>
      </c>
      <c r="BH107" s="1721">
        <f t="shared" si="387"/>
        <v>0</v>
      </c>
      <c r="BI107" s="1721">
        <f t="shared" si="387"/>
        <v>0</v>
      </c>
      <c r="BJ107" s="1721">
        <f t="shared" si="387"/>
        <v>0</v>
      </c>
      <c r="BK107" s="1721">
        <f t="shared" si="387"/>
        <v>0</v>
      </c>
      <c r="BL107" s="1721">
        <f t="shared" si="387"/>
        <v>0</v>
      </c>
      <c r="BM107" s="1721">
        <f t="shared" si="387"/>
        <v>0</v>
      </c>
      <c r="BN107" s="1721">
        <f t="shared" si="387"/>
        <v>0</v>
      </c>
      <c r="BO107" s="1715">
        <f t="shared" ref="BO107:BV107" si="388">IF(F107="",0,$E107*$AL107*1000/$F97/$G99*1000000)</f>
        <v>0</v>
      </c>
      <c r="BP107" s="1715">
        <f t="shared" si="388"/>
        <v>0</v>
      </c>
      <c r="BQ107" s="1715">
        <f t="shared" si="388"/>
        <v>0</v>
      </c>
      <c r="BR107" s="1715">
        <f t="shared" si="388"/>
        <v>0</v>
      </c>
      <c r="BS107" s="1715">
        <f t="shared" si="388"/>
        <v>0</v>
      </c>
      <c r="BT107" s="1715">
        <f t="shared" si="388"/>
        <v>0</v>
      </c>
      <c r="BU107" s="1715">
        <f t="shared" si="388"/>
        <v>0</v>
      </c>
      <c r="BV107" s="1715">
        <f t="shared" si="388"/>
        <v>0</v>
      </c>
      <c r="BW107" s="1742">
        <f t="shared" si="364"/>
        <v>0</v>
      </c>
      <c r="BX107" s="1690">
        <f t="shared" si="365"/>
        <v>0</v>
      </c>
      <c r="BY107" s="1742">
        <f t="shared" si="366"/>
        <v>0</v>
      </c>
      <c r="BZ107" s="1690">
        <f t="shared" si="367"/>
        <v>0</v>
      </c>
      <c r="CA107" s="1715" t="str">
        <f t="shared" si="368"/>
        <v/>
      </c>
      <c r="CB107" s="1722">
        <f t="shared" si="369"/>
        <v>0</v>
      </c>
      <c r="CC107" s="1715" t="str">
        <f t="shared" si="370"/>
        <v/>
      </c>
      <c r="CD107" s="1722">
        <f t="shared" si="371"/>
        <v>0</v>
      </c>
      <c r="CE107" s="1690" t="str">
        <f t="shared" si="378"/>
        <v/>
      </c>
    </row>
    <row r="108" spans="1:83">
      <c r="A108" s="1690" t="b">
        <f t="shared" si="327"/>
        <v>0</v>
      </c>
      <c r="B108" s="1702">
        <f>'Non-Isokinetic'!A84</f>
        <v>0</v>
      </c>
      <c r="C108" s="1753" t="e">
        <f t="shared" si="328"/>
        <v>#N/A</v>
      </c>
      <c r="D108" s="1705" t="e">
        <f t="shared" si="329"/>
        <v>#N/A</v>
      </c>
      <c r="E108" s="1744" t="e">
        <f t="shared" si="330"/>
        <v>#N/A</v>
      </c>
      <c r="F108" s="1759"/>
      <c r="G108" s="1755"/>
      <c r="H108" s="1755"/>
      <c r="I108" s="1765"/>
      <c r="J108" s="1759"/>
      <c r="K108" s="1755"/>
      <c r="L108" s="1755"/>
      <c r="M108" s="1765"/>
      <c r="N108" s="1773"/>
      <c r="O108" s="1692" t="str">
        <f t="shared" si="331"/>
        <v/>
      </c>
      <c r="P108" s="1692">
        <f t="shared" si="332"/>
        <v>0</v>
      </c>
      <c r="Q108" s="1692" t="str">
        <f t="shared" si="372"/>
        <v/>
      </c>
      <c r="U108" s="1900" t="str">
        <f t="shared" si="333"/>
        <v/>
      </c>
      <c r="V108" s="1904" t="str">
        <f>IF(COUNT(F108:I108)=0,"",Conc1(CB108,U$97,$AJ108,MolVol,Pitots!$E$49,Pitots!$F$49,V$99,V$100,VoF))</f>
        <v/>
      </c>
      <c r="W108" s="1841" t="str">
        <f t="shared" si="334"/>
        <v/>
      </c>
      <c r="X108" s="1909" t="str">
        <f t="shared" si="335"/>
        <v/>
      </c>
      <c r="Y108" s="1904" t="str">
        <f>IF(COUNT(J108:M108)=0,"",Conc1(CD108,X$97,$AJ108,MolVol,Pitots!$E$49,Pitots!$F$49,Y$99,Y$100,VoF))</f>
        <v/>
      </c>
      <c r="Z108" s="1841" t="str">
        <f t="shared" si="336"/>
        <v/>
      </c>
      <c r="AA108" s="1909" t="str">
        <f t="shared" si="373"/>
        <v/>
      </c>
      <c r="AB108" s="2358" t="str">
        <f t="shared" si="337"/>
        <v/>
      </c>
      <c r="AC108" s="1841" t="str">
        <f t="shared" si="338"/>
        <v/>
      </c>
      <c r="AD108" s="1912" t="str">
        <f t="shared" si="339"/>
        <v/>
      </c>
      <c r="AE108" s="1901" t="str">
        <f>IF(V108="","",MassRate(V108,$AJ108,MolVol,V$99,V$100,MRU,MRF,AverageFlowDry,FF))</f>
        <v/>
      </c>
      <c r="AF108" s="1912" t="str">
        <f t="shared" si="340"/>
        <v/>
      </c>
      <c r="AG108" s="1901" t="str">
        <f>IF(Y108="","",MassRate(Y108,$AJ108,MolVol,Y$99,Y$100,MRU,MRF,AverageFlowDry,FF))</f>
        <v/>
      </c>
      <c r="AH108" s="2265" t="str">
        <f t="shared" si="374"/>
        <v/>
      </c>
      <c r="AI108" s="1901" t="str">
        <f t="shared" si="375"/>
        <v/>
      </c>
      <c r="AJ108" s="1870" t="e">
        <f t="shared" si="341"/>
        <v>#N/A</v>
      </c>
      <c r="AK108" s="1744" t="e">
        <f t="shared" si="342"/>
        <v>#N/A</v>
      </c>
      <c r="AL108" s="1872" t="e">
        <f t="shared" si="343"/>
        <v>#N/A</v>
      </c>
      <c r="AM108" s="1721" t="str">
        <f t="shared" si="344"/>
        <v/>
      </c>
      <c r="AN108" s="1721" t="str">
        <f t="shared" si="345"/>
        <v/>
      </c>
      <c r="AO108" s="1721" t="str">
        <f t="shared" si="346"/>
        <v/>
      </c>
      <c r="AP108" s="1721" t="str">
        <f t="shared" si="347"/>
        <v/>
      </c>
      <c r="AQ108" s="1721" t="str">
        <f t="shared" si="348"/>
        <v/>
      </c>
      <c r="AR108" s="1721" t="str">
        <f t="shared" si="349"/>
        <v/>
      </c>
      <c r="AS108" s="1721" t="str">
        <f t="shared" si="350"/>
        <v/>
      </c>
      <c r="AT108" s="1721" t="str">
        <f t="shared" si="351"/>
        <v/>
      </c>
      <c r="AU108" s="1721" t="str">
        <f t="shared" si="352"/>
        <v/>
      </c>
      <c r="AV108" s="1721"/>
      <c r="AW108" s="1721" t="str">
        <f t="shared" si="353"/>
        <v/>
      </c>
      <c r="AX108" s="1721" t="str">
        <f t="shared" si="354"/>
        <v/>
      </c>
      <c r="AY108" s="1721" t="str">
        <f t="shared" si="355"/>
        <v/>
      </c>
      <c r="AZ108" s="1721" t="str">
        <f t="shared" si="356"/>
        <v/>
      </c>
      <c r="BA108" s="1721" t="str">
        <f t="shared" si="357"/>
        <v/>
      </c>
      <c r="BB108" s="1721" t="str">
        <f t="shared" si="358"/>
        <v/>
      </c>
      <c r="BC108" s="1721" t="str">
        <f t="shared" si="359"/>
        <v/>
      </c>
      <c r="BD108" s="1721" t="str">
        <f t="shared" si="360"/>
        <v/>
      </c>
      <c r="BE108" s="1739">
        <f t="shared" si="361"/>
        <v>0</v>
      </c>
      <c r="BF108" s="1721"/>
      <c r="BG108" s="1721">
        <f t="shared" ref="BG108:BN108" si="389">IF(F108="",0,IF(OR((AW108-$BE108)&lt;BO108,AM108="&lt;"),0,AW108-$BE108)*$AL108*1000/F97/$G99*1000000)</f>
        <v>0</v>
      </c>
      <c r="BH108" s="1721">
        <f t="shared" si="389"/>
        <v>0</v>
      </c>
      <c r="BI108" s="1721">
        <f t="shared" si="389"/>
        <v>0</v>
      </c>
      <c r="BJ108" s="1721">
        <f t="shared" si="389"/>
        <v>0</v>
      </c>
      <c r="BK108" s="1721">
        <f t="shared" si="389"/>
        <v>0</v>
      </c>
      <c r="BL108" s="1721">
        <f t="shared" si="389"/>
        <v>0</v>
      </c>
      <c r="BM108" s="1721">
        <f t="shared" si="389"/>
        <v>0</v>
      </c>
      <c r="BN108" s="1721">
        <f t="shared" si="389"/>
        <v>0</v>
      </c>
      <c r="BO108" s="1715">
        <f t="shared" ref="BO108:BV108" si="390">IF(F108="",0,$E108*$AL108*1000/$F97/$G99*1000000)</f>
        <v>0</v>
      </c>
      <c r="BP108" s="1715">
        <f t="shared" si="390"/>
        <v>0</v>
      </c>
      <c r="BQ108" s="1715">
        <f t="shared" si="390"/>
        <v>0</v>
      </c>
      <c r="BR108" s="1715">
        <f t="shared" si="390"/>
        <v>0</v>
      </c>
      <c r="BS108" s="1715">
        <f t="shared" si="390"/>
        <v>0</v>
      </c>
      <c r="BT108" s="1715">
        <f t="shared" si="390"/>
        <v>0</v>
      </c>
      <c r="BU108" s="1715">
        <f t="shared" si="390"/>
        <v>0</v>
      </c>
      <c r="BV108" s="1715">
        <f t="shared" si="390"/>
        <v>0</v>
      </c>
      <c r="BW108" s="1742">
        <f t="shared" si="364"/>
        <v>0</v>
      </c>
      <c r="BX108" s="1690">
        <f t="shared" si="365"/>
        <v>0</v>
      </c>
      <c r="BY108" s="1742">
        <f t="shared" si="366"/>
        <v>0</v>
      </c>
      <c r="BZ108" s="1690">
        <f t="shared" si="367"/>
        <v>0</v>
      </c>
      <c r="CA108" s="1715" t="str">
        <f t="shared" si="368"/>
        <v/>
      </c>
      <c r="CB108" s="1722">
        <f t="shared" si="369"/>
        <v>0</v>
      </c>
      <c r="CC108" s="1715" t="str">
        <f t="shared" si="370"/>
        <v/>
      </c>
      <c r="CD108" s="1722">
        <f t="shared" si="371"/>
        <v>0</v>
      </c>
      <c r="CE108" s="1690" t="str">
        <f t="shared" si="378"/>
        <v/>
      </c>
    </row>
    <row r="109" spans="1:83">
      <c r="A109" s="1690" t="b">
        <f t="shared" si="327"/>
        <v>0</v>
      </c>
      <c r="B109" s="1703">
        <f>'Non-Isokinetic'!A85</f>
        <v>0</v>
      </c>
      <c r="C109" s="1754" t="e">
        <f t="shared" si="328"/>
        <v>#N/A</v>
      </c>
      <c r="D109" s="1706" t="e">
        <f t="shared" si="329"/>
        <v>#N/A</v>
      </c>
      <c r="E109" s="1745" t="e">
        <f t="shared" si="330"/>
        <v>#N/A</v>
      </c>
      <c r="F109" s="1761"/>
      <c r="G109" s="1762"/>
      <c r="H109" s="1762"/>
      <c r="I109" s="1766"/>
      <c r="J109" s="1761"/>
      <c r="K109" s="1762"/>
      <c r="L109" s="1762"/>
      <c r="M109" s="1766"/>
      <c r="N109" s="1774"/>
      <c r="O109" s="1692" t="str">
        <f t="shared" si="331"/>
        <v/>
      </c>
      <c r="P109" s="1692">
        <f t="shared" si="332"/>
        <v>0</v>
      </c>
      <c r="Q109" s="1692" t="str">
        <f t="shared" si="372"/>
        <v/>
      </c>
      <c r="U109" s="1902" t="str">
        <f t="shared" si="333"/>
        <v/>
      </c>
      <c r="V109" s="1725" t="str">
        <f>IF(COUNT(F109:I109)=0,"",Conc1(CB109,U$97,$AJ109,MolVol,Pitots!$E$49,Pitots!$F$49,V$99,V$100,VoF))</f>
        <v/>
      </c>
      <c r="W109" s="1724" t="str">
        <f t="shared" si="334"/>
        <v/>
      </c>
      <c r="X109" s="1723" t="str">
        <f t="shared" si="335"/>
        <v/>
      </c>
      <c r="Y109" s="1725" t="str">
        <f>IF(COUNT(J109:M109)=0,"",Conc1(CD109,X$97,$AJ109,MolVol,Pitots!$E$49,Pitots!$F$49,Y$99,Y$100,VoF))</f>
        <v/>
      </c>
      <c r="Z109" s="1724" t="str">
        <f t="shared" si="336"/>
        <v/>
      </c>
      <c r="AA109" s="1723" t="str">
        <f t="shared" si="373"/>
        <v/>
      </c>
      <c r="AB109" s="2357" t="str">
        <f t="shared" si="337"/>
        <v/>
      </c>
      <c r="AC109" s="1724" t="str">
        <f t="shared" si="338"/>
        <v/>
      </c>
      <c r="AD109" s="1913" t="str">
        <f t="shared" si="339"/>
        <v/>
      </c>
      <c r="AE109" s="1903" t="str">
        <f>IF(V109="","",MassRate(V109,$AJ109,MolVol,V$99,V$100,MRU,MRF,AverageFlowDry,FF))</f>
        <v/>
      </c>
      <c r="AF109" s="1913" t="str">
        <f t="shared" si="340"/>
        <v/>
      </c>
      <c r="AG109" s="1903" t="str">
        <f>IF(Y109="","",MassRate(Y109,$AJ109,MolVol,Y$99,Y$100,MRU,MRF,AverageFlowDry,FF))</f>
        <v/>
      </c>
      <c r="AH109" s="2266" t="str">
        <f t="shared" si="374"/>
        <v/>
      </c>
      <c r="AI109" s="2332" t="str">
        <f t="shared" si="375"/>
        <v/>
      </c>
      <c r="AJ109" s="1706" t="e">
        <f t="shared" si="341"/>
        <v>#N/A</v>
      </c>
      <c r="AK109" s="1745" t="e">
        <f t="shared" si="342"/>
        <v>#N/A</v>
      </c>
      <c r="AL109" s="1873" t="e">
        <f t="shared" si="343"/>
        <v>#N/A</v>
      </c>
      <c r="AM109" s="1723" t="str">
        <f t="shared" si="344"/>
        <v/>
      </c>
      <c r="AN109" s="1723" t="str">
        <f t="shared" si="345"/>
        <v/>
      </c>
      <c r="AO109" s="1723" t="str">
        <f t="shared" si="346"/>
        <v/>
      </c>
      <c r="AP109" s="1723" t="str">
        <f t="shared" si="347"/>
        <v/>
      </c>
      <c r="AQ109" s="1723" t="str">
        <f t="shared" si="348"/>
        <v/>
      </c>
      <c r="AR109" s="1723" t="str">
        <f t="shared" si="349"/>
        <v/>
      </c>
      <c r="AS109" s="1723" t="str">
        <f t="shared" si="350"/>
        <v/>
      </c>
      <c r="AT109" s="1723" t="str">
        <f t="shared" si="351"/>
        <v/>
      </c>
      <c r="AU109" s="1723" t="str">
        <f t="shared" si="352"/>
        <v/>
      </c>
      <c r="AV109" s="1723"/>
      <c r="AW109" s="1723" t="str">
        <f t="shared" si="353"/>
        <v/>
      </c>
      <c r="AX109" s="1723" t="str">
        <f t="shared" si="354"/>
        <v/>
      </c>
      <c r="AY109" s="1723" t="str">
        <f t="shared" si="355"/>
        <v/>
      </c>
      <c r="AZ109" s="1723" t="str">
        <f t="shared" si="356"/>
        <v/>
      </c>
      <c r="BA109" s="1723" t="str">
        <f t="shared" si="357"/>
        <v/>
      </c>
      <c r="BB109" s="1723" t="str">
        <f t="shared" si="358"/>
        <v/>
      </c>
      <c r="BC109" s="1723" t="str">
        <f t="shared" si="359"/>
        <v/>
      </c>
      <c r="BD109" s="1723" t="str">
        <f t="shared" si="360"/>
        <v/>
      </c>
      <c r="BE109" s="1740">
        <f t="shared" si="361"/>
        <v>0</v>
      </c>
      <c r="BF109" s="1723"/>
      <c r="BG109" s="1723">
        <f t="shared" ref="BG109:BN109" si="391">IF(F109="",0,IF(OR((AW109-$BE109)&lt;BO109,AM109="&lt;"),0,AW109-$BE109)*$AL109*1000/F97/$G99*1000000)</f>
        <v>0</v>
      </c>
      <c r="BH109" s="1723">
        <f t="shared" si="391"/>
        <v>0</v>
      </c>
      <c r="BI109" s="1723">
        <f t="shared" si="391"/>
        <v>0</v>
      </c>
      <c r="BJ109" s="1723">
        <f t="shared" si="391"/>
        <v>0</v>
      </c>
      <c r="BK109" s="1723">
        <f t="shared" si="391"/>
        <v>0</v>
      </c>
      <c r="BL109" s="1723">
        <f t="shared" si="391"/>
        <v>0</v>
      </c>
      <c r="BM109" s="1723">
        <f t="shared" si="391"/>
        <v>0</v>
      </c>
      <c r="BN109" s="1723">
        <f t="shared" si="391"/>
        <v>0</v>
      </c>
      <c r="BO109" s="1716">
        <f t="shared" ref="BO109:BV109" si="392">IF(F109="",0,$E109*$AL109*1000/$F97/$G99*1000000)</f>
        <v>0</v>
      </c>
      <c r="BP109" s="1716">
        <f t="shared" si="392"/>
        <v>0</v>
      </c>
      <c r="BQ109" s="1716">
        <f t="shared" si="392"/>
        <v>0</v>
      </c>
      <c r="BR109" s="1716">
        <f t="shared" si="392"/>
        <v>0</v>
      </c>
      <c r="BS109" s="1716">
        <f t="shared" si="392"/>
        <v>0</v>
      </c>
      <c r="BT109" s="1716">
        <f t="shared" si="392"/>
        <v>0</v>
      </c>
      <c r="BU109" s="1716">
        <f t="shared" si="392"/>
        <v>0</v>
      </c>
      <c r="BV109" s="1716">
        <f t="shared" si="392"/>
        <v>0</v>
      </c>
      <c r="BW109" s="1743">
        <f t="shared" si="364"/>
        <v>0</v>
      </c>
      <c r="BX109" s="1717">
        <f t="shared" si="365"/>
        <v>0</v>
      </c>
      <c r="BY109" s="1743">
        <f t="shared" si="366"/>
        <v>0</v>
      </c>
      <c r="BZ109" s="1717">
        <f t="shared" si="367"/>
        <v>0</v>
      </c>
      <c r="CA109" s="1716" t="str">
        <f t="shared" si="368"/>
        <v/>
      </c>
      <c r="CB109" s="1725">
        <f t="shared" si="369"/>
        <v>0</v>
      </c>
      <c r="CC109" s="1716" t="str">
        <f t="shared" si="370"/>
        <v/>
      </c>
      <c r="CD109" s="1725">
        <f t="shared" si="371"/>
        <v>0</v>
      </c>
      <c r="CE109" s="1690" t="str">
        <f t="shared" si="378"/>
        <v/>
      </c>
    </row>
    <row r="110" spans="1:83">
      <c r="A110" s="1713" t="b">
        <f>IF(COUNTIF(A111:A124,TRUE)&gt;0,TRUE,FALSE)</f>
        <v>0</v>
      </c>
      <c r="B110" s="1713"/>
      <c r="C110" s="1713"/>
      <c r="D110" s="1713"/>
      <c r="E110" s="1713"/>
      <c r="F110" s="1713"/>
      <c r="G110" s="1713"/>
      <c r="H110" s="1713"/>
      <c r="I110" s="1713"/>
      <c r="J110" s="1713"/>
      <c r="K110" s="1713"/>
      <c r="L110" s="1713"/>
      <c r="M110" s="1713"/>
      <c r="N110" s="1713"/>
      <c r="R110" s="1692"/>
      <c r="S110" s="1692"/>
      <c r="T110" s="1692"/>
      <c r="U110" s="1696"/>
      <c r="V110" s="1697"/>
      <c r="W110" s="1836"/>
      <c r="X110" s="1697"/>
      <c r="Y110" s="1697"/>
      <c r="Z110" s="1836"/>
      <c r="AA110" s="1841"/>
      <c r="AB110" s="1841"/>
      <c r="AC110" s="1841"/>
      <c r="AD110" s="1692"/>
      <c r="AE110" s="1692"/>
      <c r="AF110" s="1692"/>
      <c r="AG110" s="1692"/>
      <c r="AH110" s="1692"/>
      <c r="AI110" s="1692"/>
      <c r="AJ110" s="1728"/>
      <c r="AK110" s="1728"/>
      <c r="AM110" s="1697"/>
      <c r="AN110" s="1697"/>
      <c r="AO110" s="1697"/>
      <c r="AP110" s="1697"/>
      <c r="AQ110" s="1697"/>
      <c r="AR110" s="1697"/>
      <c r="AS110" s="1697"/>
      <c r="AT110" s="1697"/>
      <c r="AU110" s="1697"/>
      <c r="AV110" s="1697"/>
      <c r="AW110" s="1697"/>
      <c r="AX110" s="1697"/>
      <c r="AY110" s="1697"/>
      <c r="AZ110" s="1697"/>
      <c r="BA110" s="1697"/>
      <c r="BB110" s="1697"/>
      <c r="BC110" s="1697"/>
      <c r="BD110" s="1697"/>
      <c r="BE110" s="1697"/>
      <c r="BF110" s="1697"/>
      <c r="BG110" s="1697"/>
      <c r="BH110" s="1697"/>
      <c r="BI110" s="1697"/>
      <c r="BJ110" s="1697"/>
      <c r="BK110" s="1697"/>
      <c r="BL110" s="1697"/>
      <c r="BM110" s="1697"/>
      <c r="BN110" s="1697"/>
      <c r="BO110" s="1690"/>
      <c r="BP110" s="1690"/>
      <c r="BQ110" s="1690"/>
      <c r="BR110" s="1690"/>
      <c r="BS110" s="1690"/>
      <c r="BT110" s="1690"/>
      <c r="BW110" s="1699"/>
      <c r="BY110" s="1699"/>
      <c r="CB110" s="1697"/>
      <c r="CD110" s="1697"/>
    </row>
    <row r="111" spans="1:83">
      <c r="A111" s="1713" t="b">
        <f>IF(COUNTIF(A122:A125,TRUE)&gt;0,TRUE,FALSE)</f>
        <v>0</v>
      </c>
      <c r="O111" s="1692"/>
      <c r="P111" s="1692"/>
      <c r="S111" s="1690"/>
      <c r="AG111" s="1728"/>
      <c r="AH111" s="1728"/>
      <c r="AI111" s="1690"/>
      <c r="AJ111" s="1697"/>
      <c r="AK111" s="1697"/>
      <c r="AL111" s="1697"/>
      <c r="AM111" s="1697"/>
      <c r="AN111" s="1697"/>
      <c r="AO111" s="1697"/>
      <c r="AP111" s="1697"/>
      <c r="AQ111" s="1697"/>
      <c r="AR111" s="1697"/>
      <c r="AS111" s="1697"/>
      <c r="AT111" s="1697"/>
      <c r="AU111" s="1697"/>
      <c r="AV111" s="1697"/>
      <c r="AW111" s="1697"/>
      <c r="AX111" s="1697"/>
      <c r="AY111" s="1697"/>
      <c r="AZ111" s="1697"/>
      <c r="BA111" s="1697"/>
      <c r="BB111" s="1697"/>
      <c r="BC111" s="1697"/>
      <c r="BD111" s="1697"/>
      <c r="BE111" s="1697"/>
      <c r="BF111" s="1697"/>
      <c r="BG111" s="1697"/>
      <c r="BH111" s="1697"/>
      <c r="BI111" s="1697"/>
      <c r="BJ111" s="1697"/>
      <c r="BK111" s="1697"/>
      <c r="BM111" s="1690"/>
      <c r="BN111" s="1690"/>
      <c r="BO111" s="1690"/>
      <c r="BP111" s="1690"/>
      <c r="BQ111" s="1690"/>
      <c r="BR111" s="1690"/>
      <c r="BS111" s="1690"/>
      <c r="BT111" s="1699"/>
      <c r="BV111" s="1699"/>
      <c r="BY111" s="1697"/>
      <c r="CA111" s="1697"/>
    </row>
    <row r="112" spans="1:83" ht="15">
      <c r="A112" s="1713" t="b">
        <f>IF(B112="",FALSE,TRUE)</f>
        <v>0</v>
      </c>
      <c r="B112" s="1726" t="str">
        <f>IF('Non-Isokinetic'!C91="","","TRS Efficiency")</f>
        <v/>
      </c>
      <c r="C112" s="1691"/>
      <c r="D112" s="1691"/>
      <c r="E112" s="1691"/>
      <c r="F112" s="2818" t="s">
        <v>1705</v>
      </c>
      <c r="G112" s="2818"/>
      <c r="H112" s="2818" t="s">
        <v>1703</v>
      </c>
      <c r="I112" s="2818"/>
      <c r="J112" s="2355" t="s">
        <v>1704</v>
      </c>
      <c r="K112" s="2361"/>
      <c r="L112" s="2361"/>
      <c r="S112" s="1690"/>
      <c r="AC112" s="1728"/>
      <c r="AD112" s="1728"/>
      <c r="AF112" s="1841"/>
      <c r="AG112" s="1841"/>
      <c r="AH112" s="1841"/>
      <c r="AI112" s="1841"/>
      <c r="AJ112" s="1841"/>
      <c r="AK112" s="1841"/>
      <c r="AL112" s="1841"/>
      <c r="AM112" s="1841"/>
      <c r="AN112" s="1841"/>
      <c r="AO112" s="1841"/>
      <c r="AP112" s="1841"/>
      <c r="AQ112" s="1841"/>
      <c r="AR112" s="1841"/>
      <c r="AS112" s="1841"/>
      <c r="AT112" s="1841"/>
      <c r="AU112" s="1841"/>
      <c r="AV112" s="1841"/>
      <c r="AW112" s="1841"/>
      <c r="AX112" s="1841"/>
      <c r="AY112" s="1841"/>
      <c r="AZ112" s="1841"/>
      <c r="BA112" s="1841"/>
      <c r="BB112" s="1841"/>
      <c r="BC112" s="1841"/>
      <c r="BD112" s="1841"/>
      <c r="BE112" s="1841"/>
      <c r="BF112" s="1841"/>
      <c r="BG112" s="1841"/>
      <c r="BM112" s="1690"/>
      <c r="BN112" s="1690"/>
      <c r="BO112" s="1690"/>
      <c r="BP112" s="1699"/>
      <c r="BQ112" s="1690"/>
      <c r="BR112" s="1699"/>
      <c r="BS112" s="1690"/>
      <c r="BT112" s="1690"/>
      <c r="BU112" s="1841"/>
      <c r="BW112" s="1841"/>
    </row>
    <row r="113" spans="1:79 16365:16368">
      <c r="A113" s="1713" t="b">
        <f>A112</f>
        <v>0</v>
      </c>
      <c r="C113" s="1693"/>
      <c r="D113" s="1688"/>
      <c r="E113" s="1688"/>
      <c r="F113" s="1841" t="s">
        <v>1768</v>
      </c>
      <c r="G113" s="1841" t="s">
        <v>1769</v>
      </c>
      <c r="H113" s="1841" t="s">
        <v>1768</v>
      </c>
      <c r="I113" s="1841" t="s">
        <v>1769</v>
      </c>
      <c r="J113" s="1841" t="s">
        <v>1704</v>
      </c>
      <c r="K113" s="2361"/>
      <c r="L113" s="2361"/>
      <c r="S113" s="1690"/>
      <c r="AC113" s="1728"/>
      <c r="AD113" s="1728"/>
      <c r="AF113" s="1841"/>
      <c r="AG113" s="1841"/>
      <c r="AH113" s="1841"/>
      <c r="AI113" s="1841"/>
      <c r="AJ113" s="1841"/>
      <c r="AK113" s="1841"/>
      <c r="AL113" s="1841"/>
      <c r="AM113" s="1841"/>
      <c r="AN113" s="1841"/>
      <c r="AO113" s="1841"/>
      <c r="AP113" s="1841"/>
      <c r="AQ113" s="1841"/>
      <c r="AR113" s="1841"/>
      <c r="AS113" s="1841"/>
      <c r="AT113" s="1841"/>
      <c r="AU113" s="1841"/>
      <c r="AV113" s="1841"/>
      <c r="AW113" s="1841"/>
      <c r="AX113" s="1841"/>
      <c r="AY113" s="1841"/>
      <c r="AZ113" s="1841"/>
      <c r="BA113" s="1841"/>
      <c r="BB113" s="1841"/>
      <c r="BC113" s="1841"/>
      <c r="BD113" s="1841"/>
      <c r="BE113" s="1841"/>
      <c r="BF113" s="1841"/>
      <c r="BG113" s="1841"/>
      <c r="BM113" s="1690"/>
      <c r="BN113" s="1690"/>
      <c r="BO113" s="1690"/>
      <c r="BP113" s="1699"/>
      <c r="BQ113" s="1690"/>
      <c r="BR113" s="1699"/>
      <c r="BS113" s="1690"/>
      <c r="BT113" s="1690"/>
      <c r="BU113" s="1841"/>
      <c r="BW113" s="1841"/>
    </row>
    <row r="114" spans="1:79 16365:16368" ht="12.75" customHeight="1">
      <c r="A114" s="1713" t="b">
        <f t="shared" ref="A114:A121" si="393">A113</f>
        <v>0</v>
      </c>
      <c r="B114" s="1726"/>
      <c r="C114" s="1748"/>
      <c r="D114" s="1748"/>
      <c r="E114" s="1749" t="s">
        <v>1766</v>
      </c>
      <c r="F114" s="1756"/>
      <c r="G114" s="1757"/>
      <c r="H114" s="1756"/>
      <c r="I114" s="1764"/>
      <c r="J114" s="1772"/>
      <c r="K114" s="2361"/>
      <c r="L114" s="2361"/>
      <c r="S114" s="1690"/>
      <c r="AC114" s="1728"/>
      <c r="AD114" s="1728"/>
      <c r="AF114" s="1841"/>
      <c r="AG114" s="1841"/>
      <c r="AH114" s="1841"/>
      <c r="AI114" s="1841"/>
      <c r="AJ114" s="1841"/>
      <c r="AK114" s="1841"/>
      <c r="AL114" s="1841"/>
      <c r="AM114" s="1841"/>
      <c r="AN114" s="1841"/>
      <c r="AO114" s="1841"/>
      <c r="AP114" s="1841"/>
      <c r="AQ114" s="1841"/>
      <c r="AR114" s="1841"/>
      <c r="AS114" s="1841"/>
      <c r="AT114" s="1841"/>
      <c r="AU114" s="1841"/>
      <c r="AV114" s="1841"/>
      <c r="AW114" s="1841"/>
      <c r="AX114" s="1841"/>
      <c r="AY114" s="1841"/>
      <c r="AZ114" s="1841"/>
      <c r="BA114" s="1841"/>
      <c r="BB114" s="1841"/>
      <c r="BC114" s="1841"/>
      <c r="BD114" s="1841"/>
      <c r="BE114" s="1841"/>
      <c r="BF114" s="1841"/>
      <c r="BG114" s="1841"/>
      <c r="BM114" s="1690"/>
      <c r="BN114" s="1690"/>
      <c r="BO114" s="1690"/>
      <c r="BP114" s="1699"/>
      <c r="BQ114" s="1690"/>
      <c r="BR114" s="1699"/>
      <c r="BS114" s="1690"/>
      <c r="BT114" s="1690"/>
      <c r="BU114" s="1841"/>
      <c r="BW114" s="1841"/>
    </row>
    <row r="115" spans="1:79 16365:16368" ht="12.75" customHeight="1">
      <c r="A115" s="1713" t="b">
        <f t="shared" si="393"/>
        <v>0</v>
      </c>
      <c r="B115" s="2417" t="s">
        <v>2145</v>
      </c>
      <c r="C115" s="2420"/>
      <c r="D115" s="1748"/>
      <c r="E115" s="1749" t="s">
        <v>1765</v>
      </c>
      <c r="F115" s="1759" t="str">
        <f>IF(F117="µg",1000,"")</f>
        <v/>
      </c>
      <c r="G115" s="1755" t="str">
        <f>IF(F117="µg",1000,"")</f>
        <v/>
      </c>
      <c r="H115" s="1759" t="str">
        <f>IF(F117="µg",1000,"")</f>
        <v/>
      </c>
      <c r="I115" s="1765" t="str">
        <f>IF(F117="µg",1000,"")</f>
        <v/>
      </c>
      <c r="J115" s="1773" t="str">
        <f>IF(F117="µg",1000,"")</f>
        <v/>
      </c>
      <c r="K115" s="2361"/>
      <c r="L115" s="2361"/>
      <c r="N115" s="2858" t="s">
        <v>1705</v>
      </c>
      <c r="O115" s="2858"/>
      <c r="P115" s="2858"/>
      <c r="Q115" s="2858" t="s">
        <v>1703</v>
      </c>
      <c r="R115" s="2858"/>
      <c r="S115" s="2858"/>
      <c r="AC115" s="1728"/>
      <c r="AD115" s="1728"/>
      <c r="AF115" s="1841"/>
      <c r="AG115" s="1841"/>
      <c r="AH115" s="1841"/>
      <c r="AI115" s="1841"/>
      <c r="AJ115" s="1841"/>
      <c r="AK115" s="1841"/>
      <c r="AL115" s="1841"/>
      <c r="AM115" s="1732" t="s">
        <v>1743</v>
      </c>
      <c r="AN115" s="1732"/>
      <c r="AO115" s="1732"/>
      <c r="AP115" s="1732"/>
      <c r="AQ115" s="1732"/>
      <c r="AR115" s="2359"/>
      <c r="AS115" s="1732" t="str">
        <f>"Lab result (concentration - analysed compound) "&amp;F117</f>
        <v xml:space="preserve">Lab result (concentration - analysed compound) </v>
      </c>
      <c r="AT115" s="1732"/>
      <c r="AU115" s="1732"/>
      <c r="AV115" s="1732"/>
      <c r="AW115" s="1732"/>
      <c r="AX115" s="2359"/>
      <c r="AY115" s="1732" t="s">
        <v>1772</v>
      </c>
      <c r="AZ115" s="1732"/>
      <c r="BA115" s="1732"/>
      <c r="BB115" s="1732"/>
      <c r="BC115" s="1732" t="s">
        <v>1774</v>
      </c>
      <c r="BD115" s="1732"/>
      <c r="BE115" s="1732"/>
      <c r="BF115" s="1732"/>
      <c r="BG115" s="2816" t="s">
        <v>1705</v>
      </c>
      <c r="BH115" s="2816"/>
      <c r="BI115" s="2814" t="s">
        <v>1703</v>
      </c>
      <c r="BJ115" s="2814"/>
      <c r="BK115" s="2814" t="s">
        <v>1742</v>
      </c>
      <c r="BL115" s="2814"/>
      <c r="BM115" s="2814"/>
      <c r="BN115" s="2814"/>
      <c r="BO115" s="1690" t="s">
        <v>1778</v>
      </c>
      <c r="BP115" s="1690"/>
      <c r="BQ115" s="1690"/>
      <c r="BR115" s="1690"/>
      <c r="BS115" s="1690"/>
      <c r="BT115" s="1690"/>
    </row>
    <row r="116" spans="1:79 16365:16368" ht="13.5" customHeight="1">
      <c r="A116" s="1713" t="b">
        <f t="shared" si="393"/>
        <v>0</v>
      </c>
      <c r="B116" s="1726"/>
      <c r="C116" s="1748"/>
      <c r="D116" s="1748"/>
      <c r="E116" s="1749" t="s">
        <v>1764</v>
      </c>
      <c r="F116" s="1761">
        <v>1</v>
      </c>
      <c r="G116" s="1762">
        <v>1</v>
      </c>
      <c r="H116" s="1761">
        <v>1</v>
      </c>
      <c r="I116" s="1766">
        <v>1</v>
      </c>
      <c r="J116" s="1774">
        <v>1</v>
      </c>
      <c r="K116" s="2361"/>
      <c r="L116" s="2361"/>
      <c r="N116" s="2857" t="s">
        <v>2142</v>
      </c>
      <c r="O116" s="2857" t="s">
        <v>2143</v>
      </c>
      <c r="P116" s="2857" t="s">
        <v>2144</v>
      </c>
      <c r="Q116" s="2857" t="s">
        <v>2142</v>
      </c>
      <c r="R116" s="2857" t="s">
        <v>2143</v>
      </c>
      <c r="S116" s="2857" t="s">
        <v>2144</v>
      </c>
      <c r="AC116" s="1728"/>
      <c r="AD116" s="1728"/>
      <c r="AF116" s="1841"/>
      <c r="AG116" s="1841"/>
      <c r="AH116" s="1841"/>
      <c r="AI116" s="1841"/>
      <c r="AJ116" s="2355"/>
      <c r="AK116" s="2815" t="s">
        <v>1707</v>
      </c>
      <c r="AL116" s="2815" t="s">
        <v>1767</v>
      </c>
      <c r="AM116" s="1732" t="s">
        <v>1705</v>
      </c>
      <c r="AN116" s="1732"/>
      <c r="AO116" s="1732" t="s">
        <v>1703</v>
      </c>
      <c r="AP116" s="1732"/>
      <c r="AQ116" s="1733" t="s">
        <v>1704</v>
      </c>
      <c r="AR116" s="1733"/>
      <c r="AS116" s="1732" t="s">
        <v>1705</v>
      </c>
      <c r="AT116" s="1732"/>
      <c r="AU116" s="1732" t="s">
        <v>1703</v>
      </c>
      <c r="AV116" s="1732"/>
      <c r="AW116" s="1733" t="s">
        <v>1704</v>
      </c>
      <c r="AX116" s="1733"/>
      <c r="AY116" s="1732" t="s">
        <v>1705</v>
      </c>
      <c r="AZ116" s="1732"/>
      <c r="BA116" s="1732" t="s">
        <v>1703</v>
      </c>
      <c r="BB116" s="1732"/>
      <c r="BC116" s="1732" t="s">
        <v>1705</v>
      </c>
      <c r="BD116" s="1732"/>
      <c r="BE116" s="1732" t="s">
        <v>1703</v>
      </c>
      <c r="BF116" s="1732"/>
      <c r="BG116" s="1732" t="s">
        <v>1741</v>
      </c>
      <c r="BH116" s="1736" t="s">
        <v>1740</v>
      </c>
      <c r="BI116" s="2360" t="s">
        <v>1741</v>
      </c>
      <c r="BJ116" s="1736" t="s">
        <v>1740</v>
      </c>
      <c r="BK116" s="2817" t="s">
        <v>1738</v>
      </c>
      <c r="BL116" s="2817"/>
      <c r="BM116" s="2810" t="s">
        <v>1739</v>
      </c>
      <c r="BN116" s="2806"/>
      <c r="BO116" s="1690"/>
      <c r="BP116" s="1690"/>
      <c r="BQ116" s="1690"/>
      <c r="BR116" s="1690"/>
      <c r="BS116" s="1690"/>
      <c r="BT116" s="1690"/>
    </row>
    <row r="117" spans="1:79 16365:16368" ht="12.75" customHeight="1">
      <c r="A117" s="1713" t="b">
        <f t="shared" si="393"/>
        <v>0</v>
      </c>
      <c r="B117" s="1726"/>
      <c r="C117" s="1748"/>
      <c r="D117" s="1750"/>
      <c r="E117" s="1749" t="s">
        <v>1775</v>
      </c>
      <c r="F117" s="1771"/>
      <c r="G117" s="1775" t="e">
        <f>VLOOKUP(F117,$C$1:$D$5,2,FALSE)</f>
        <v>#N/A</v>
      </c>
      <c r="H117" s="1776"/>
      <c r="I117" s="1776"/>
      <c r="J117" s="1777"/>
      <c r="K117" s="2361"/>
      <c r="L117" s="2361"/>
      <c r="N117" s="2857"/>
      <c r="O117" s="2857"/>
      <c r="P117" s="2857"/>
      <c r="Q117" s="2857"/>
      <c r="R117" s="2857"/>
      <c r="S117" s="2857"/>
      <c r="AC117" s="1728"/>
      <c r="AD117" s="1728"/>
      <c r="AF117" s="1841"/>
      <c r="AG117" s="1841"/>
      <c r="AH117" s="1841"/>
      <c r="AI117" s="1841"/>
      <c r="AJ117" s="2355" t="s">
        <v>1706</v>
      </c>
      <c r="AK117" s="2815"/>
      <c r="AL117" s="2815"/>
      <c r="AM117" s="2359" t="s">
        <v>1768</v>
      </c>
      <c r="AN117" s="2359" t="s">
        <v>1769</v>
      </c>
      <c r="AO117" s="2359" t="s">
        <v>1768</v>
      </c>
      <c r="AP117" s="2359" t="s">
        <v>1769</v>
      </c>
      <c r="AQ117" s="2359" t="s">
        <v>1704</v>
      </c>
      <c r="AR117" s="2359"/>
      <c r="AS117" s="2359" t="s">
        <v>1768</v>
      </c>
      <c r="AT117" s="2359" t="s">
        <v>1769</v>
      </c>
      <c r="AU117" s="2359" t="s">
        <v>1768</v>
      </c>
      <c r="AV117" s="2359" t="s">
        <v>1769</v>
      </c>
      <c r="AW117" s="2359">
        <f>F117</f>
        <v>0</v>
      </c>
      <c r="AX117" s="2359"/>
      <c r="AY117" s="2359" t="s">
        <v>1768</v>
      </c>
      <c r="AZ117" s="2359" t="s">
        <v>1769</v>
      </c>
      <c r="BA117" s="2359" t="s">
        <v>1768</v>
      </c>
      <c r="BB117" s="2359" t="s">
        <v>1769</v>
      </c>
      <c r="BC117" s="2359" t="s">
        <v>1768</v>
      </c>
      <c r="BD117" s="2359" t="s">
        <v>1769</v>
      </c>
      <c r="BE117" s="2359" t="s">
        <v>1768</v>
      </c>
      <c r="BF117" s="2359" t="s">
        <v>1769</v>
      </c>
      <c r="BG117" s="2359" t="s">
        <v>1427</v>
      </c>
      <c r="BH117" s="2359" t="s">
        <v>1427</v>
      </c>
      <c r="BI117" s="2359"/>
      <c r="BJ117" s="2359" t="s">
        <v>1427</v>
      </c>
      <c r="BK117" s="2359" t="s">
        <v>819</v>
      </c>
      <c r="BL117" s="2359" t="s">
        <v>1427</v>
      </c>
      <c r="BM117" s="2359" t="s">
        <v>819</v>
      </c>
      <c r="BN117" s="2359" t="s">
        <v>1427</v>
      </c>
      <c r="BO117" s="1690"/>
      <c r="BP117" s="1690"/>
      <c r="BQ117" s="1690"/>
      <c r="BR117" s="1690"/>
      <c r="BS117" s="1690"/>
      <c r="BT117" s="1690"/>
    </row>
    <row r="118" spans="1:79 16365:16368" ht="15">
      <c r="A118" s="1713" t="b">
        <f t="shared" si="393"/>
        <v>0</v>
      </c>
      <c r="B118" s="1726"/>
      <c r="C118" s="1750" t="s">
        <v>1776</v>
      </c>
      <c r="D118" s="1750" t="s">
        <v>1437</v>
      </c>
      <c r="E118" s="1750" t="s">
        <v>1777</v>
      </c>
      <c r="F118" s="2356" t="s">
        <v>1768</v>
      </c>
      <c r="G118" s="1746" t="s">
        <v>1769</v>
      </c>
      <c r="H118" s="1746" t="s">
        <v>1768</v>
      </c>
      <c r="I118" s="1746" t="s">
        <v>1769</v>
      </c>
      <c r="J118" s="1747" t="s">
        <v>1704</v>
      </c>
      <c r="K118" s="2361"/>
      <c r="L118" s="2361"/>
      <c r="N118" s="2857"/>
      <c r="O118" s="2857"/>
      <c r="P118" s="2857"/>
      <c r="Q118" s="2857"/>
      <c r="R118" s="2857"/>
      <c r="S118" s="2857"/>
      <c r="AC118" s="1728"/>
      <c r="AD118" s="1728"/>
      <c r="AF118" s="1841"/>
      <c r="AG118" s="1841"/>
      <c r="AH118" s="1841"/>
      <c r="AI118" s="1841"/>
      <c r="AJ118" s="1841"/>
      <c r="AK118" s="1841"/>
      <c r="AM118" s="1841"/>
      <c r="AN118" s="1841"/>
      <c r="AO118" s="1841"/>
      <c r="AP118" s="1841"/>
      <c r="AQ118" s="1841"/>
      <c r="AR118" s="1841"/>
      <c r="AS118" s="1841"/>
      <c r="AT118" s="1841"/>
      <c r="AU118" s="1841"/>
      <c r="AV118" s="1841"/>
      <c r="AW118" s="1841"/>
      <c r="AX118" s="1841"/>
      <c r="BM118" s="1690"/>
      <c r="BN118" s="1690"/>
      <c r="BO118" s="1690"/>
      <c r="BP118" s="1690"/>
      <c r="BQ118" s="1690"/>
      <c r="BR118" s="1690"/>
      <c r="BS118" s="1690"/>
      <c r="BT118" s="1690"/>
    </row>
    <row r="119" spans="1:79 16365:16368">
      <c r="A119" s="1713" t="b">
        <f t="shared" si="393"/>
        <v>0</v>
      </c>
      <c r="B119" s="2417" t="s">
        <v>1870</v>
      </c>
      <c r="C119" s="2359" t="s">
        <v>2141</v>
      </c>
      <c r="D119" s="2359" t="s">
        <v>2141</v>
      </c>
      <c r="E119" s="2414">
        <f>VLOOKUP(D119,PQLTable,8,FALSE)</f>
        <v>0.2</v>
      </c>
      <c r="F119" s="2415"/>
      <c r="G119" s="2416"/>
      <c r="H119" s="2415"/>
      <c r="I119" s="2416"/>
      <c r="J119" s="1771"/>
      <c r="K119" s="2361"/>
      <c r="L119" s="2361"/>
      <c r="M119" s="2361"/>
      <c r="N119" s="1690" t="str">
        <f>IF(OR(ISNUMBER(F119),ISNUMBER(G119)),BL119/'Non-Isokinetic'!C98,"")</f>
        <v/>
      </c>
      <c r="O119" s="1690" t="str">
        <f>IF($C$115="","",$C$115*64/MolVol)</f>
        <v/>
      </c>
      <c r="P119" s="1690" t="str">
        <f>IF(ISNUMBER(N119),N119/O119,"")</f>
        <v/>
      </c>
      <c r="Q119" s="1690" t="str">
        <f>IF(OR(ISNUMBER(I119),ISNUMBER(J119)),BN119/'Non-Isokinetic'!D98,"")</f>
        <v/>
      </c>
      <c r="R119" s="1690" t="str">
        <f>IF($C$115="","",$C$115*64/MolVol)</f>
        <v/>
      </c>
      <c r="S119" s="1690" t="str">
        <f>IF(ISNUMBER(Q119),Q119/R119,"")</f>
        <v/>
      </c>
      <c r="AC119" s="1728"/>
      <c r="AD119" s="1728"/>
      <c r="AF119" s="1841"/>
      <c r="AG119" s="1841"/>
      <c r="AH119" s="1841"/>
      <c r="AI119" s="1841"/>
      <c r="AJ119" s="2418">
        <f>VLOOKUP(C119,PQLTable,4,FALSE)</f>
        <v>34.081966000000001</v>
      </c>
      <c r="AK119" s="2414">
        <f>VLOOKUP(D119,PQLTable,6,FALSE)</f>
        <v>34.081966000000001</v>
      </c>
      <c r="AL119" s="1735">
        <f>AJ119/AK119</f>
        <v>1</v>
      </c>
      <c r="AM119" s="2359" t="str">
        <f>LEFT(F119,(LEFT(F119)="&lt;"))</f>
        <v/>
      </c>
      <c r="AN119" s="2359" t="str">
        <f>LEFT(G119,(LEFT(G119)="&lt;"))</f>
        <v/>
      </c>
      <c r="AO119" s="2359" t="str">
        <f>LEFT(J119,(LEFT(J119)="&lt;"))</f>
        <v/>
      </c>
      <c r="AP119" s="2359" t="str">
        <f>LEFT(K119,(LEFT(K119)="&lt;"))</f>
        <v/>
      </c>
      <c r="AQ119" s="2359" t="str">
        <f>LEFT(N119,(LEFT(N119)="&lt;"))</f>
        <v/>
      </c>
      <c r="AR119" s="2359"/>
      <c r="AS119" s="2359" t="str">
        <f>IF(F119="","",VALUE(RIGHT(F119,LEN(F119)-(LEFT(F119)="&lt;"))))</f>
        <v/>
      </c>
      <c r="AT119" s="2359" t="str">
        <f>IF(G119="","",VALUE(RIGHT(G119,LEN(G119)-(LEFT(G119)="&lt;"))))</f>
        <v/>
      </c>
      <c r="AU119" s="2359" t="str">
        <f>IF(J119="","",VALUE(RIGHT(J119,LEN(J119)-(LEFT(J119)="&lt;"))))</f>
        <v/>
      </c>
      <c r="AV119" s="2359" t="str">
        <f>IF(K119="","",VALUE(RIGHT(K119,LEN(K119)-(LEFT(K119)="&lt;"))))</f>
        <v/>
      </c>
      <c r="AW119" s="2359">
        <f>IF(OR(AQ119="&lt;",N119=""),0,VALUE(RIGHT(N119,LEN(N119)-(LEFT(N119)="&lt;"))))</f>
        <v>0</v>
      </c>
      <c r="AX119" s="2359"/>
      <c r="AY119" s="2359">
        <f>IF(F119="",0,IF(OR((AS119-$AW119)&lt;BC119,AM119="&lt;"),0,AS119-$AW119)*$AL119*1000/F115/$G117*1000000)</f>
        <v>0</v>
      </c>
      <c r="AZ119" s="2359">
        <f>IF(G119="",0,IF(OR((AT119-$AW119)&lt;BD119,AN119="&lt;"),0,AT119-$AW119)*$AL119*1000/G115/$G117*1000000)</f>
        <v>0</v>
      </c>
      <c r="BA119" s="2359">
        <f>IF(J119="",0,IF(OR((AU119-$AW119)&lt;BE119,AO119="&lt;"),0,AU119-$AW119)*$AL119*1000/J115/$G117*1000000)</f>
        <v>0</v>
      </c>
      <c r="BB119" s="2359">
        <f>IF(K119="",0,IF(OR((AV119-$AW119)&lt;BF119,AP119="&lt;"),0,AV119-$AW119)*$AL119*1000/K115/$G117*1000000)</f>
        <v>0</v>
      </c>
      <c r="BC119" s="1735">
        <f>IF(F119="",0,$E119*$AL119*1000/$F115/$G117*1000000)</f>
        <v>0</v>
      </c>
      <c r="BD119" s="1735">
        <f>IF(G119="",0,$E119*$AL119*1000/$F115/$G117*1000000)</f>
        <v>0</v>
      </c>
      <c r="BE119" s="1735">
        <f>IF(J119="",0,$E119*$AL119*1000/$F115/$G117*1000000)</f>
        <v>0</v>
      </c>
      <c r="BF119" s="1735">
        <f>IF(K119="",0,$E119*$AL119*1000/$F115/$G117*1000000)</f>
        <v>0</v>
      </c>
      <c r="BG119" s="2419">
        <f>SUM(BC119:BD119)</f>
        <v>0</v>
      </c>
      <c r="BH119" s="1735">
        <f>SUM(AY119:AZ119)</f>
        <v>0</v>
      </c>
      <c r="BI119" s="2419">
        <f>SUM(BE119:BF119)</f>
        <v>0</v>
      </c>
      <c r="BJ119" s="1735">
        <f>SUM(BA119:BB119)</f>
        <v>0</v>
      </c>
      <c r="BK119" s="1735" t="str">
        <f>IF(BH119&gt;=$BG119,"","&lt;")</f>
        <v/>
      </c>
      <c r="BL119" s="2359">
        <f>IF(BK119="",BH119,(IF(AY119=0,BC119,0)+IF(AZ119=0,BD119,0)+BH119))</f>
        <v>0</v>
      </c>
      <c r="BM119" s="1735" t="str">
        <f>IF(BJ119&gt;=BI119,"","&lt;")</f>
        <v/>
      </c>
      <c r="BN119" s="2359">
        <f>IF(BM119="",BJ119,(IF(BA119=0,BE119,0)+IF(BB119=0,BF119,0)+BJ119))</f>
        <v>0</v>
      </c>
      <c r="BO119" s="1690" t="str">
        <f>IF(OR(AZ119&gt;(0.2*AY119),BB119&gt;(0.2*BA119)),"Breakthrough","")</f>
        <v/>
      </c>
      <c r="BP119" s="1690"/>
      <c r="BQ119" s="1690"/>
      <c r="BR119" s="1690"/>
      <c r="BS119" s="1690"/>
      <c r="BT119" s="1690"/>
    </row>
    <row r="120" spans="1:79 16365:16368">
      <c r="A120" s="1713" t="b">
        <f t="shared" si="393"/>
        <v>0</v>
      </c>
      <c r="O120" s="2361"/>
      <c r="P120" s="2361"/>
      <c r="S120" s="1690"/>
      <c r="AG120" s="1728"/>
      <c r="AH120" s="1728"/>
      <c r="AI120" s="1690"/>
      <c r="AJ120" s="1841"/>
      <c r="AK120" s="1841"/>
      <c r="AL120" s="1841"/>
      <c r="AM120" s="1841"/>
      <c r="AN120" s="1841"/>
      <c r="AO120" s="1841"/>
      <c r="AP120" s="1841"/>
      <c r="AQ120" s="1841"/>
      <c r="AR120" s="1841"/>
      <c r="AS120" s="1841"/>
      <c r="AT120" s="1841"/>
      <c r="AU120" s="1841"/>
      <c r="AV120" s="1841"/>
      <c r="AW120" s="1841"/>
      <c r="AX120" s="1841"/>
      <c r="AY120" s="1841"/>
      <c r="AZ120" s="1841"/>
      <c r="BA120" s="1841"/>
      <c r="BB120" s="1841"/>
      <c r="BC120" s="1841"/>
      <c r="BD120" s="1841"/>
      <c r="BE120" s="1841"/>
      <c r="BF120" s="1841"/>
      <c r="BG120" s="1841"/>
      <c r="BH120" s="1841"/>
      <c r="BI120" s="1841"/>
      <c r="BJ120" s="1841"/>
      <c r="BK120" s="1841"/>
      <c r="BM120" s="1690"/>
      <c r="BN120" s="1690"/>
      <c r="BO120" s="1690"/>
      <c r="BP120" s="1690"/>
      <c r="BQ120" s="1690"/>
      <c r="BR120" s="1690"/>
      <c r="BS120" s="1690"/>
      <c r="BT120" s="1699"/>
      <c r="BV120" s="1699"/>
      <c r="BY120" s="1841"/>
      <c r="CA120" s="1841"/>
    </row>
    <row r="121" spans="1:79 16365:16368">
      <c r="A121" s="1713" t="b">
        <f t="shared" si="393"/>
        <v>0</v>
      </c>
      <c r="O121" s="2361"/>
      <c r="P121" s="2361"/>
      <c r="S121" s="1690"/>
      <c r="AG121" s="1728"/>
      <c r="AH121" s="1728"/>
      <c r="AI121" s="1690"/>
      <c r="AJ121" s="1841"/>
      <c r="AK121" s="1841"/>
      <c r="AL121" s="1841"/>
      <c r="AM121" s="1841"/>
      <c r="AN121" s="1841"/>
      <c r="AO121" s="1841"/>
      <c r="AP121" s="1841"/>
      <c r="AQ121" s="1841"/>
      <c r="AR121" s="1841"/>
      <c r="AS121" s="1841"/>
      <c r="AT121" s="1841"/>
      <c r="AU121" s="1841"/>
      <c r="AV121" s="1841"/>
      <c r="AW121" s="1841"/>
      <c r="AX121" s="1841"/>
      <c r="AY121" s="1841"/>
      <c r="AZ121" s="1841"/>
      <c r="BA121" s="1841"/>
      <c r="BB121" s="1841"/>
      <c r="BC121" s="1841"/>
      <c r="BD121" s="1841"/>
      <c r="BE121" s="1841"/>
      <c r="BF121" s="1841"/>
      <c r="BG121" s="1841"/>
      <c r="BH121" s="1841"/>
      <c r="BI121" s="1841"/>
      <c r="BJ121" s="1841"/>
      <c r="BK121" s="1841"/>
      <c r="BM121" s="1690"/>
      <c r="BN121" s="1690"/>
      <c r="BO121" s="1690"/>
      <c r="BP121" s="1690"/>
      <c r="BQ121" s="1690"/>
      <c r="BR121" s="1690"/>
      <c r="BS121" s="1690"/>
      <c r="BT121" s="1699"/>
      <c r="BV121" s="1699"/>
      <c r="BY121" s="1841"/>
      <c r="CA121" s="1841"/>
    </row>
    <row r="122" spans="1:79 16365:16368" ht="12.75" customHeight="1">
      <c r="A122" s="1713" t="b">
        <f>IF(COUNTIF(A123:A126,TRUE)&gt;0,TRUE,FALSE)</f>
        <v>0</v>
      </c>
      <c r="B122" s="1712"/>
      <c r="C122" s="1713"/>
      <c r="D122" s="1713"/>
      <c r="E122" s="1713"/>
      <c r="F122" s="1713"/>
      <c r="G122" s="1713"/>
      <c r="H122" s="1713"/>
      <c r="I122" s="1713"/>
      <c r="J122" s="1713"/>
      <c r="K122" s="1713"/>
      <c r="L122" s="1714"/>
      <c r="U122" s="2810" t="s">
        <v>1814</v>
      </c>
      <c r="V122" s="2805"/>
      <c r="W122" s="2805"/>
      <c r="X122" s="2805"/>
      <c r="Y122" s="2805"/>
      <c r="Z122" s="2805"/>
      <c r="AA122" s="2805"/>
      <c r="AB122" s="2805"/>
      <c r="AC122" s="2806"/>
      <c r="AD122" s="2810" t="s">
        <v>1836</v>
      </c>
      <c r="AE122" s="2805"/>
      <c r="AF122" s="2805"/>
      <c r="AG122" s="2805"/>
      <c r="AH122" s="2805"/>
      <c r="AI122" s="2806"/>
      <c r="AJ122" s="1698"/>
      <c r="BK122" s="1698"/>
      <c r="BL122" s="1698"/>
      <c r="BS122" s="1690"/>
      <c r="BT122" s="1690"/>
      <c r="XEK122" s="1713"/>
      <c r="XEL122" s="1713"/>
      <c r="XEM122" s="1713"/>
      <c r="XEN122" s="1713"/>
    </row>
    <row r="123" spans="1:79 16365:16368">
      <c r="A123" s="1690" t="b">
        <f>IF(COUNTIF(A124:A127,TRUE)&gt;0,TRUE,FALSE)</f>
        <v>0</v>
      </c>
      <c r="B123" s="1727" t="s">
        <v>1804</v>
      </c>
      <c r="F123" s="2818" t="s">
        <v>1705</v>
      </c>
      <c r="G123" s="2818"/>
      <c r="H123" s="2818" t="s">
        <v>1703</v>
      </c>
      <c r="I123" s="2818"/>
      <c r="K123" s="2818" t="s">
        <v>1830</v>
      </c>
      <c r="L123" s="2848"/>
      <c r="O123" s="2821" t="s">
        <v>1779</v>
      </c>
      <c r="P123" s="2820" t="s">
        <v>1780</v>
      </c>
      <c r="Q123" s="1783"/>
      <c r="U123" s="2810" t="s">
        <v>1719</v>
      </c>
      <c r="V123" s="2805"/>
      <c r="W123" s="2806"/>
      <c r="X123" s="2810" t="s">
        <v>1720</v>
      </c>
      <c r="Y123" s="2805"/>
      <c r="Z123" s="2806"/>
      <c r="AA123" s="2810" t="s">
        <v>1242</v>
      </c>
      <c r="AB123" s="2805"/>
      <c r="AC123" s="2806"/>
      <c r="AD123" s="2810" t="s">
        <v>1719</v>
      </c>
      <c r="AE123" s="2806"/>
      <c r="AF123" s="2810" t="s">
        <v>1720</v>
      </c>
      <c r="AG123" s="2806"/>
      <c r="AH123" s="2805" t="s">
        <v>1242</v>
      </c>
      <c r="AI123" s="2806"/>
      <c r="AJ123" s="1690"/>
      <c r="AS123" s="1696"/>
      <c r="BA123" s="2810" t="s">
        <v>1811</v>
      </c>
      <c r="BB123" s="2805"/>
      <c r="BC123" s="2805"/>
      <c r="BD123" s="2806"/>
      <c r="BE123" s="2810" t="s">
        <v>1812</v>
      </c>
      <c r="BF123" s="2805"/>
      <c r="BG123" s="2805"/>
      <c r="BH123" s="2806"/>
      <c r="BI123" s="1689"/>
      <c r="BM123" s="1690"/>
      <c r="BN123" s="1690"/>
      <c r="BO123" s="1690"/>
      <c r="BP123" s="1690"/>
      <c r="BU123" s="1698"/>
      <c r="BV123" s="1698"/>
      <c r="BW123" s="1698"/>
      <c r="BX123" s="1698"/>
    </row>
    <row r="124" spans="1:79 16365:16368" ht="12" customHeight="1">
      <c r="A124" s="1690" t="b">
        <f>IF(COUNTIF(A125:A128,TRUE)&gt;0,TRUE,FALSE)</f>
        <v>0</v>
      </c>
      <c r="B124" s="2855" t="s">
        <v>2139</v>
      </c>
      <c r="C124" s="2856"/>
      <c r="E124" s="1783" t="s">
        <v>1803</v>
      </c>
      <c r="F124" s="1798" t="str">
        <f>IF('Flows &amp; Isokinetics'!J$2="","",'Flows &amp; Isokinetics'!J$2)</f>
        <v/>
      </c>
      <c r="G124" s="1800" t="str">
        <f>IF('PM10 &amp; 2.5'!G2="","",'PM10 &amp; 2.5'!G2)</f>
        <v/>
      </c>
      <c r="H124" s="1799" t="str">
        <f>IF('Flows &amp; Isokinetics'!K$2="","",'Flows &amp; Isokinetics'!K$2)</f>
        <v/>
      </c>
      <c r="I124" s="1800" t="str">
        <f>IF('PM10 &amp; 2.5'!H2="","",'PM10 &amp; 2.5'!H2)</f>
        <v/>
      </c>
      <c r="K124" s="1798" t="str">
        <f>IF(Details!$N13=TRUE,F124,"")</f>
        <v/>
      </c>
      <c r="L124" s="1800" t="str">
        <f>IF(Details!$N13=TRUE,H124,"")</f>
        <v/>
      </c>
      <c r="O124" s="2821"/>
      <c r="P124" s="2820"/>
      <c r="Q124" s="1783"/>
      <c r="U124" s="2835" t="str">
        <f>CU</f>
        <v>mg/m³</v>
      </c>
      <c r="V124" s="2836"/>
      <c r="W124" s="1739" t="s">
        <v>97</v>
      </c>
      <c r="X124" s="2835" t="str">
        <f>CU</f>
        <v>mg/m³</v>
      </c>
      <c r="Y124" s="2836"/>
      <c r="Z124" s="1739" t="s">
        <v>97</v>
      </c>
      <c r="AA124" s="2835" t="str">
        <f>CU</f>
        <v>mg/m³</v>
      </c>
      <c r="AB124" s="2836"/>
      <c r="AC124" s="1739" t="s">
        <v>97</v>
      </c>
      <c r="AD124" s="2853" t="str">
        <f>MRU</f>
        <v>g/min</v>
      </c>
      <c r="AE124" s="2838"/>
      <c r="AF124" s="2853" t="str">
        <f>MRU</f>
        <v>g/min</v>
      </c>
      <c r="AG124" s="2838"/>
      <c r="AH124" s="2837" t="str">
        <f>MRU</f>
        <v>g/min</v>
      </c>
      <c r="AI124" s="2838"/>
      <c r="AJ124" s="1690"/>
      <c r="AL124" s="2829" t="s">
        <v>1810</v>
      </c>
      <c r="AM124" s="2816" t="s">
        <v>1743</v>
      </c>
      <c r="AN124" s="2816"/>
      <c r="AO124" s="2816"/>
      <c r="AP124" s="2816"/>
      <c r="AQ124" s="2822" t="s">
        <v>1808</v>
      </c>
      <c r="AR124" s="2823"/>
      <c r="AS124" s="2823"/>
      <c r="AT124" s="2824"/>
      <c r="AU124" s="2816" t="s">
        <v>1809</v>
      </c>
      <c r="AV124" s="2816"/>
      <c r="AW124" s="2816"/>
      <c r="AX124" s="2816"/>
      <c r="AY124" s="1697"/>
      <c r="AZ124" s="1697"/>
      <c r="BA124" s="1732" t="s">
        <v>1741</v>
      </c>
      <c r="BB124" s="1736" t="s">
        <v>1740</v>
      </c>
      <c r="BC124" s="1808" t="s">
        <v>1742</v>
      </c>
      <c r="BD124" s="1809"/>
      <c r="BE124" s="1732" t="s">
        <v>1741</v>
      </c>
      <c r="BF124" s="1736" t="s">
        <v>1740</v>
      </c>
      <c r="BG124" s="1808" t="s">
        <v>1742</v>
      </c>
      <c r="BH124" s="1809"/>
      <c r="BM124" s="1690"/>
      <c r="BN124" s="1690"/>
      <c r="BO124" s="1690"/>
      <c r="BU124" s="1698"/>
      <c r="BV124" s="1698"/>
      <c r="BW124" s="1698"/>
    </row>
    <row r="125" spans="1:79 16365:16368" ht="12.75" customHeight="1">
      <c r="A125" s="1690" t="b">
        <f>IF(COUNTIF(A126:A129,TRUE)&gt;0,TRUE,FALSE)</f>
        <v>0</v>
      </c>
      <c r="B125" s="2827" t="s">
        <v>1815</v>
      </c>
      <c r="C125" s="2828"/>
      <c r="D125" s="1750" t="s">
        <v>1807</v>
      </c>
      <c r="E125" s="1750" t="str">
        <f>"PQL "&amp;D126</f>
        <v>PQL mg</v>
      </c>
      <c r="F125" s="2336" t="s">
        <v>553</v>
      </c>
      <c r="G125" s="2338" t="s">
        <v>1802</v>
      </c>
      <c r="H125" s="2337" t="s">
        <v>553</v>
      </c>
      <c r="I125" s="2338" t="s">
        <v>1802</v>
      </c>
      <c r="K125" s="2336" t="s">
        <v>8</v>
      </c>
      <c r="L125" s="2338" t="s">
        <v>9</v>
      </c>
      <c r="P125" s="1697" t="s">
        <v>1708</v>
      </c>
      <c r="U125" s="2851">
        <f>VLOOKUP(U124,ConcTable,2,FALSE)</f>
        <v>1000000</v>
      </c>
      <c r="V125" s="2852"/>
      <c r="W125" s="1740" t="s">
        <v>1377</v>
      </c>
      <c r="X125" s="2851">
        <f>VLOOKUP(X124,ConcTable,2,FALSE)</f>
        <v>1000000</v>
      </c>
      <c r="Y125" s="2852"/>
      <c r="Z125" s="1740" t="s">
        <v>1377</v>
      </c>
      <c r="AA125" s="2851">
        <f>VLOOKUP(AA124,ConcTable,2,FALSE)</f>
        <v>1000000</v>
      </c>
      <c r="AB125" s="2852"/>
      <c r="AC125" s="1740" t="s">
        <v>1377</v>
      </c>
      <c r="AD125" s="2854">
        <f>VLOOKUP(AD124,MassRateTable,2,FALSE)</f>
        <v>60</v>
      </c>
      <c r="AE125" s="2840"/>
      <c r="AF125" s="2854">
        <f>VLOOKUP(AF124,MassRateTable,2,FALSE)</f>
        <v>60</v>
      </c>
      <c r="AG125" s="2840"/>
      <c r="AH125" s="2839"/>
      <c r="AI125" s="2840"/>
      <c r="AJ125" s="1690"/>
      <c r="AL125" s="2830"/>
      <c r="AM125" s="1803" t="s">
        <v>1805</v>
      </c>
      <c r="AN125" s="1735" t="s">
        <v>1663</v>
      </c>
      <c r="AO125" s="1735" t="s">
        <v>1806</v>
      </c>
      <c r="AP125" s="1735" t="s">
        <v>1664</v>
      </c>
      <c r="AQ125" s="1804" t="s">
        <v>1805</v>
      </c>
      <c r="AR125" s="1735" t="s">
        <v>1663</v>
      </c>
      <c r="AS125" s="1735" t="s">
        <v>1806</v>
      </c>
      <c r="AT125" s="1735" t="s">
        <v>1664</v>
      </c>
      <c r="AU125" s="1803" t="s">
        <v>1805</v>
      </c>
      <c r="AV125" s="1735" t="s">
        <v>1663</v>
      </c>
      <c r="AW125" s="1735" t="s">
        <v>1806</v>
      </c>
      <c r="AX125" s="1735" t="s">
        <v>1664</v>
      </c>
      <c r="BA125" s="1738" t="s">
        <v>1427</v>
      </c>
      <c r="BB125" s="1738" t="s">
        <v>1427</v>
      </c>
      <c r="BC125" s="1734" t="s">
        <v>819</v>
      </c>
      <c r="BD125" s="1734" t="s">
        <v>1427</v>
      </c>
      <c r="BE125" s="1738" t="s">
        <v>1427</v>
      </c>
      <c r="BF125" s="1738" t="s">
        <v>1427</v>
      </c>
      <c r="BG125" s="1751" t="s">
        <v>819</v>
      </c>
      <c r="BH125" s="1734" t="s">
        <v>1427</v>
      </c>
      <c r="BM125" s="1690"/>
      <c r="BN125" s="1690"/>
      <c r="BO125" s="1690"/>
      <c r="BP125" s="1690"/>
      <c r="BQ125" s="1690"/>
      <c r="BU125" s="1698"/>
      <c r="BV125" s="1698"/>
      <c r="BW125" s="1698"/>
      <c r="BX125" s="1698"/>
      <c r="BY125" s="1698"/>
    </row>
    <row r="126" spans="1:79 16365:16368">
      <c r="A126" s="1690" t="b">
        <f>IF(B126=0,FALSE,TRUE)</f>
        <v>0</v>
      </c>
      <c r="B126" s="2841">
        <f>IF(COUNTIF(F$124:I$124,"")=4,0,"Filter Weight")</f>
        <v>0</v>
      </c>
      <c r="C126" s="2842"/>
      <c r="D126" s="1771" t="s">
        <v>1355</v>
      </c>
      <c r="E126" s="1801">
        <v>1</v>
      </c>
      <c r="F126" s="1782"/>
      <c r="G126" s="1758"/>
      <c r="H126" s="1756"/>
      <c r="I126" s="1758"/>
      <c r="J126" s="1783" t="s">
        <v>1832</v>
      </c>
      <c r="K126" s="1828"/>
      <c r="L126" s="1829"/>
      <c r="O126" s="1692" t="str">
        <f>IF(B126=0,"",IF(SUM(V126,Y126)=0,"no result",IF(COUNT(V126:Y126)=1,"Single Result","")))</f>
        <v/>
      </c>
      <c r="P126" s="1692">
        <f>IF(OR(V126="",Y126=""),0,ABS((MAX(V126:Y126)-MIN(V126:Y126))/AVERAGE(V126:Y126)))</f>
        <v>0</v>
      </c>
      <c r="Q126" s="1690" t="s">
        <v>553</v>
      </c>
      <c r="U126" s="2272" t="str">
        <f>IF(BC126="&lt;","&lt;","")</f>
        <v/>
      </c>
      <c r="V126" s="1904" t="str">
        <f>IF(BD126=0,"",BD126/VolumeNTP1/1000000/VoF*CF)</f>
        <v/>
      </c>
      <c r="W126" s="1739" t="str">
        <f>IF(V126="","",V126*CorrFactor)</f>
        <v/>
      </c>
      <c r="X126" s="1909" t="str">
        <f>IF(BG126="&lt;","&lt;","")</f>
        <v/>
      </c>
      <c r="Y126" s="1904" t="str">
        <f>IF(BH126=0,"",BH126/VolumeNTP2/1000000/VoF*CF)</f>
        <v/>
      </c>
      <c r="Z126" s="1739" t="str">
        <f>IF(Y126="","",Y126*CorrFactor)</f>
        <v/>
      </c>
      <c r="AA126" s="1909" t="str">
        <f>IF(AND(U126="",X126=""),"",IF(OR(U126="",X126=""),"≤",""))</f>
        <v/>
      </c>
      <c r="AB126" s="1904" t="str">
        <f>IF(OR(V126="",Y126=""),"",AVERAGE(V126,Y126))</f>
        <v/>
      </c>
      <c r="AC126" s="1739" t="str">
        <f>IF(AB126="","",AB126*CorrFactor)</f>
        <v/>
      </c>
      <c r="AD126" s="1912" t="str">
        <f>IF(OR(U126="&lt;",VND="&lt;"),"&lt;","")</f>
        <v/>
      </c>
      <c r="AE126" s="1901" t="str">
        <f>IF(ISNUMBER(V126),V126*AverageFlowDry1/CF/FF*MRF*1000,"")</f>
        <v/>
      </c>
      <c r="AF126" s="1912" t="str">
        <f>IF(OR(X126="&lt;",VND="&lt;"),"&lt;","")</f>
        <v/>
      </c>
      <c r="AG126" s="1901" t="str">
        <f>IF(ISNUMBER(Y126),Y126*AverageFlowDry2/CF/FF*MRF*1000,"")</f>
        <v/>
      </c>
      <c r="AH126" s="1842" t="str">
        <f>IF(AND(AD126="",AF126=""),"",IF(OR(AD126="",AF126=""),"≤",""))</f>
        <v/>
      </c>
      <c r="AI126" s="1901" t="str">
        <f>IF(OR(AE126="",AG126=""),"",AVERAGE(AE126,AG126))</f>
        <v/>
      </c>
      <c r="AJ126" s="1690"/>
      <c r="AL126" s="1810">
        <f>VLOOKUP(D126,MassTable,2,FALSE)</f>
        <v>1000</v>
      </c>
      <c r="AM126" s="1718" t="str">
        <f t="shared" ref="AM126:AP129" si="394">LEFT(F126,(LEFT(F126)="&lt;"))</f>
        <v/>
      </c>
      <c r="AN126" s="1718" t="str">
        <f t="shared" si="394"/>
        <v/>
      </c>
      <c r="AO126" s="1718" t="str">
        <f t="shared" si="394"/>
        <v/>
      </c>
      <c r="AP126" s="1718" t="str">
        <f t="shared" si="394"/>
        <v/>
      </c>
      <c r="AQ126" s="1738">
        <f t="shared" ref="AQ126:AT127" si="395">IF(OR(AM126="&lt;",F126=""),0,VALUE(RIGHT(F126,LEN(F126)-(LEFT(F126)="&lt;")))/$AL126*1000000)</f>
        <v>0</v>
      </c>
      <c r="AR126" s="1738">
        <f t="shared" si="395"/>
        <v>0</v>
      </c>
      <c r="AS126" s="1738">
        <f t="shared" si="395"/>
        <v>0</v>
      </c>
      <c r="AT126" s="1738">
        <f t="shared" si="395"/>
        <v>0</v>
      </c>
      <c r="AU126" s="1718">
        <f t="shared" ref="AU126:AX127" si="396">IF(F126="",0,$E126/$AL126*1000000)</f>
        <v>0</v>
      </c>
      <c r="AV126" s="1718">
        <f t="shared" si="396"/>
        <v>0</v>
      </c>
      <c r="AW126" s="1718">
        <f t="shared" si="396"/>
        <v>0</v>
      </c>
      <c r="AX126" s="1738">
        <f t="shared" si="396"/>
        <v>0</v>
      </c>
      <c r="AY126" s="1697"/>
      <c r="AZ126" s="1697" t="s">
        <v>553</v>
      </c>
      <c r="BA126" s="1805">
        <f>SUM(AU126:AU129)</f>
        <v>0</v>
      </c>
      <c r="BB126" s="1720">
        <f>SUM(AQ126:AQ129)</f>
        <v>0</v>
      </c>
      <c r="BC126" s="1719" t="str">
        <f>IF(BB126&gt;=BA126,"","&lt;")</f>
        <v/>
      </c>
      <c r="BD126" s="1720">
        <f>IF(BC126="",BB126,(IF(AQ126=0,AU126,0)+IF(AQ127=0,AU127,0)+BB126))</f>
        <v>0</v>
      </c>
      <c r="BE126" s="1805">
        <f>SUM(AW126:AW129)</f>
        <v>0</v>
      </c>
      <c r="BF126" s="1720">
        <f>SUM(AS126:AS129)</f>
        <v>0</v>
      </c>
      <c r="BG126" s="1719" t="str">
        <f>IF(BF126&gt;=BE126,"","&lt;")</f>
        <v/>
      </c>
      <c r="BH126" s="1738">
        <f>IF(BG126="",BF126,(IF(AS126=0,AW126,0)+IF(AS127=0,AW127,0)+BF126))</f>
        <v>0</v>
      </c>
      <c r="BM126" s="1690"/>
      <c r="BN126" s="1690"/>
      <c r="BO126" s="1690"/>
      <c r="BP126" s="1690"/>
      <c r="BQ126" s="1690"/>
      <c r="BR126" s="1690"/>
      <c r="BS126" s="1690"/>
      <c r="BT126" s="1690"/>
    </row>
    <row r="127" spans="1:79 16365:16368">
      <c r="A127" s="1690" t="b">
        <f>IF(B127=0,FALSE,TRUE)</f>
        <v>0</v>
      </c>
      <c r="B127" s="2843">
        <f>IF(COUNTIF(F$124:I$124,"")=4,0,"TPM Probewash")</f>
        <v>0</v>
      </c>
      <c r="C127" s="2844"/>
      <c r="D127" s="1753" t="str">
        <f>D126</f>
        <v>mg</v>
      </c>
      <c r="E127" s="1753">
        <v>1</v>
      </c>
      <c r="F127" s="1759"/>
      <c r="G127" s="1769"/>
      <c r="H127" s="1759"/>
      <c r="I127" s="1760"/>
      <c r="J127" s="1783" t="s">
        <v>1833</v>
      </c>
      <c r="K127" s="1830"/>
      <c r="L127" s="1831"/>
      <c r="O127" s="1692" t="str">
        <f>IF(B127=0,"",IF(SUM(V127,Y127)=0,"no result",IF(COUNT(V127:Y127)=1,"Single Result","")))</f>
        <v/>
      </c>
      <c r="P127" s="1692">
        <f>IF(OR(V127="",Y127=""),0,ABS((MAX(V127:Y127)-MIN(V127:Y127))/AVERAGE(V127:Y127)))</f>
        <v>0</v>
      </c>
      <c r="Q127" s="1690" t="s">
        <v>1831</v>
      </c>
      <c r="U127" s="2272" t="str">
        <f>IF(BC127="&lt;","&lt;","")</f>
        <v/>
      </c>
      <c r="V127" s="1904" t="str">
        <f>IF(BD127=0,"",BD127/VolumeNTP3/1000000/VoF*CF)</f>
        <v/>
      </c>
      <c r="W127" s="1739" t="str">
        <f>IF(V127="","",V127*CorrFactor)</f>
        <v/>
      </c>
      <c r="X127" s="1909" t="str">
        <f>IF(BG127="&lt;","&lt;","")</f>
        <v/>
      </c>
      <c r="Y127" s="1904" t="str">
        <f>IF(BH127=0,"",BH127/VolumeNTP4/1000000/VoF*CF)</f>
        <v/>
      </c>
      <c r="Z127" s="1739" t="str">
        <f>IF(Y127="","",Y127*CorrFactor)</f>
        <v/>
      </c>
      <c r="AA127" s="1909" t="str">
        <f>IF(AND(U127="",X127=""),"",IF(OR(U127="",X127=""),"≤",""))</f>
        <v/>
      </c>
      <c r="AB127" s="1904" t="str">
        <f>IF(OR(V127="",Y127=""),"",AVERAGE(V127,Y127))</f>
        <v/>
      </c>
      <c r="AC127" s="1739" t="str">
        <f>IF(AB127="","",AB127*CorrFactor)</f>
        <v/>
      </c>
      <c r="AD127" s="1912" t="str">
        <f>IF(OR(U127="&lt;",VND="&lt;"),"&lt;","")</f>
        <v/>
      </c>
      <c r="AE127" s="1901" t="str">
        <f>IF(ISNUMBER(V127),V127*AverageFlowDry3/CF/FF*MRF*1000,"")</f>
        <v/>
      </c>
      <c r="AF127" s="1912" t="str">
        <f>IF(OR(X127="&lt;",VND="&lt;"),"&lt;","")</f>
        <v/>
      </c>
      <c r="AG127" s="1901" t="str">
        <f>IF(ISNUMBER(Y127),Y127*AverageFlowDry4/CF/FF*MRF*1000,"")</f>
        <v/>
      </c>
      <c r="AH127" s="1842"/>
      <c r="AI127" s="1901" t="str">
        <f>IF(OR(AE127="",AG127=""),"",AVERAGE(AE127,AG127))</f>
        <v/>
      </c>
      <c r="AJ127" s="1690"/>
      <c r="AL127" s="1811">
        <f>VLOOKUP(D127,MassTable,2,FALSE)</f>
        <v>1000</v>
      </c>
      <c r="AM127" s="1721" t="str">
        <f t="shared" si="394"/>
        <v/>
      </c>
      <c r="AN127" s="1721" t="str">
        <f t="shared" si="394"/>
        <v/>
      </c>
      <c r="AO127" s="1721" t="str">
        <f t="shared" si="394"/>
        <v/>
      </c>
      <c r="AP127" s="1721" t="str">
        <f t="shared" si="394"/>
        <v/>
      </c>
      <c r="AQ127" s="1739">
        <f t="shared" si="395"/>
        <v>0</v>
      </c>
      <c r="AR127" s="1697">
        <f t="shared" si="395"/>
        <v>0</v>
      </c>
      <c r="AS127" s="1721">
        <f t="shared" si="395"/>
        <v>0</v>
      </c>
      <c r="AT127" s="1739">
        <f t="shared" si="395"/>
        <v>0</v>
      </c>
      <c r="AU127" s="1721">
        <f t="shared" si="396"/>
        <v>0</v>
      </c>
      <c r="AV127" s="1721">
        <f t="shared" si="396"/>
        <v>0</v>
      </c>
      <c r="AW127" s="1721">
        <f t="shared" si="396"/>
        <v>0</v>
      </c>
      <c r="AX127" s="1739">
        <f t="shared" si="396"/>
        <v>0</v>
      </c>
      <c r="AY127" s="1697"/>
      <c r="AZ127" s="1697" t="s">
        <v>1813</v>
      </c>
      <c r="BA127" s="1806">
        <f>SUM(AV126:AV129)</f>
        <v>0</v>
      </c>
      <c r="BB127" s="1722">
        <f>SUM(AR126:AR129)</f>
        <v>0</v>
      </c>
      <c r="BC127" s="1697" t="str">
        <f>IF(BB127&gt;=BA127,"","&lt;")</f>
        <v/>
      </c>
      <c r="BD127" s="1722">
        <f>IF(BC127="",BB$127,(IF(AR$126=0,AV$126,0)+IF(AR$127=0,AV$127,0)+IF(AR$128=0,AV$128,0)+IF(AR$129=0,AV$129,0)+BB127))</f>
        <v>0</v>
      </c>
      <c r="BE127" s="1806">
        <f>SUM(AX126:AX129)</f>
        <v>0</v>
      </c>
      <c r="BF127" s="1722">
        <f>SUM(AT126:AT129)</f>
        <v>0</v>
      </c>
      <c r="BG127" s="1697" t="str">
        <f>IF(BF127&gt;=BE127,"","&lt;")</f>
        <v/>
      </c>
      <c r="BH127" s="1739">
        <f>IF(BG127="",BF$127,(IF(AT$126=0,AX$126,0)+IF(AT$127=0,AX$127,0)+IF(AT$128=0,AX$128,0)+IF(AT$129=0,AX$129,0)+BF127))</f>
        <v>0</v>
      </c>
      <c r="BM127" s="1690"/>
      <c r="BN127" s="1690"/>
      <c r="BO127" s="1690"/>
      <c r="BP127" s="1690"/>
      <c r="BQ127" s="1690"/>
      <c r="BR127" s="1690"/>
      <c r="BS127" s="1690"/>
      <c r="BT127" s="1690"/>
    </row>
    <row r="128" spans="1:79 16365:16368">
      <c r="A128" s="1690" t="b">
        <f>IF(B128=0,FALSE,TRUE)</f>
        <v>0</v>
      </c>
      <c r="B128" s="2843">
        <f>IF(AND(G$124="",I$124=""),0,"PM10 Probewash")</f>
        <v>0</v>
      </c>
      <c r="C128" s="2844"/>
      <c r="D128" s="1753" t="str">
        <f>D126</f>
        <v>mg</v>
      </c>
      <c r="E128" s="1753">
        <v>1</v>
      </c>
      <c r="F128" s="2390"/>
      <c r="G128" s="1769"/>
      <c r="H128" s="2390"/>
      <c r="I128" s="1760"/>
      <c r="K128" s="1826"/>
      <c r="L128" s="2289"/>
      <c r="O128" s="1692" t="str">
        <f>IF(B128=0,"",IF(SUM(V128,Y128)=0,"no result",IF(COUNT(V128:Y128)=1,"Single Result","")))</f>
        <v/>
      </c>
      <c r="P128" s="1692">
        <f>IF(OR(V128="",Y128=""),0,ABS((MAX(V128:Y128)-MIN(V128:Y128))/AVERAGE(V128:Y128)))</f>
        <v>0</v>
      </c>
      <c r="Q128" s="1690" t="str">
        <f>IF(Details!$N$13=FALSE,"PM10","PM10 (PSA)")</f>
        <v>PM10</v>
      </c>
      <c r="U128" s="2272" t="str">
        <f>IF(BC128="&lt;","&lt;","")</f>
        <v/>
      </c>
      <c r="V128" s="1904" t="str">
        <f>IF(PSACheck=TRUE,K126*V$126,IF(BD128=0,"",BD128/VolumeNTP3/1000000/VoF*CF))</f>
        <v/>
      </c>
      <c r="W128" s="1739" t="str">
        <f>IF(V128="","",V128*CorrFactor)</f>
        <v/>
      </c>
      <c r="X128" s="1909" t="str">
        <f>IF(BG128="&lt;","&lt;","")</f>
        <v/>
      </c>
      <c r="Y128" s="1904" t="str">
        <f>IF(PSACheck=TRUE,L126*Y$126,IF(BH128=0,"",BH128/VolumeNTP4/1000000/VoF*CF))</f>
        <v/>
      </c>
      <c r="Z128" s="1739" t="str">
        <f>IF(Y128="","",Y128*CorrFactor)</f>
        <v/>
      </c>
      <c r="AA128" s="1909" t="str">
        <f>IF(AND(U128="",X128=""),"",IF(OR(U128="",X128=""),"≤",""))</f>
        <v/>
      </c>
      <c r="AB128" s="1904" t="str">
        <f>IF(OR(V128="",Y128=""),"",AVERAGE(V128,Y128))</f>
        <v/>
      </c>
      <c r="AC128" s="1739" t="str">
        <f>IF(AB128="","",AB128*CorrFactor)</f>
        <v/>
      </c>
      <c r="AD128" s="2272"/>
      <c r="AE128" s="1901" t="str">
        <f>IF(ISNUMBER(V128),V128*IF(PSACheck=TRUE,AverageFlowDry1,AverageFlowDry3)/CF/FF*MRF*1000,"")</f>
        <v/>
      </c>
      <c r="AF128" s="1912" t="str">
        <f>IF(OR(X128="&lt;",VND="&lt;"),"&lt;","")</f>
        <v/>
      </c>
      <c r="AG128" s="1901" t="str">
        <f>IF(ISNUMBER(Y128),Y128*IF(PSACheck=TRUE,AverageFlowDry2,AverageFlowDry4)/CF/FF*MRF*1000,"")</f>
        <v/>
      </c>
      <c r="AH128" s="1842"/>
      <c r="AI128" s="1901" t="str">
        <f>IF(OR(AE128="",AG128=""),"",AVERAGE(AE128,AG128))</f>
        <v/>
      </c>
      <c r="AJ128" s="1690"/>
      <c r="AL128" s="1811">
        <f>VLOOKUP(D128,MassTable,2,FALSE)</f>
        <v>1000</v>
      </c>
      <c r="AM128" s="1721" t="str">
        <f t="shared" si="394"/>
        <v/>
      </c>
      <c r="AN128" s="1721" t="str">
        <f t="shared" si="394"/>
        <v/>
      </c>
      <c r="AO128" s="1721" t="str">
        <f t="shared" si="394"/>
        <v/>
      </c>
      <c r="AP128" s="1721" t="str">
        <f t="shared" si="394"/>
        <v/>
      </c>
      <c r="AQ128" s="1739"/>
      <c r="AR128" s="1697">
        <f>IF(OR(AN128="&lt;",G128=""),0,VALUE(RIGHT(G128,LEN(G128)-(LEFT(G128)="&lt;")))/$AL128*1000000)</f>
        <v>0</v>
      </c>
      <c r="AS128" s="1721"/>
      <c r="AT128" s="1739">
        <f>IF(OR(AP128="&lt;",I128=""),0,VALUE(RIGHT(I128,LEN(I128)-(LEFT(I128)="&lt;")))/$AL128*1000000)</f>
        <v>0</v>
      </c>
      <c r="AU128" s="1721"/>
      <c r="AV128" s="1721">
        <f>IF(G128="",0,$E128/$AL128*1000000)</f>
        <v>0</v>
      </c>
      <c r="AW128" s="1721"/>
      <c r="AX128" s="1739">
        <f>IF(I128="",0,$E128/$AL128*1000000)</f>
        <v>0</v>
      </c>
      <c r="AY128" s="1697"/>
      <c r="AZ128" s="1697" t="s">
        <v>1243</v>
      </c>
      <c r="BA128" s="1806">
        <f>SUM(AV126,AV128:AV129)</f>
        <v>0</v>
      </c>
      <c r="BB128" s="1722">
        <f>SUM(AR126,AR128:AR129)</f>
        <v>0</v>
      </c>
      <c r="BC128" s="1697" t="str">
        <f>IF(BB128&gt;=BA128,"","&lt;")</f>
        <v/>
      </c>
      <c r="BD128" s="1722">
        <f>IF(BC128="",BB$128,(IF(AR$126=0,AV$126,0)+IF(AR$128=0,AV$128,0)+IF(AR$129=0,AV$129,0)+BB128))</f>
        <v>0</v>
      </c>
      <c r="BE128" s="1806">
        <f>SUM(AX126,AX128:AX129)</f>
        <v>0</v>
      </c>
      <c r="BF128" s="1722">
        <f>SUM(AT126,AT128:AT129)</f>
        <v>0</v>
      </c>
      <c r="BG128" s="1697" t="str">
        <f>IF(BF128&gt;=BE128,"","&lt;")</f>
        <v/>
      </c>
      <c r="BH128" s="1739">
        <f>IF(BG128="",BF$128,(IF(AT$126=0,AX$126,0)+IF(AT$128=0,AX$128,0)+IF(AT$129=0,AX$129,0)+BF128))</f>
        <v>0</v>
      </c>
      <c r="BM128" s="1690"/>
      <c r="BN128" s="1690"/>
      <c r="BO128" s="1690"/>
      <c r="BP128" s="1690"/>
      <c r="BQ128" s="1690"/>
      <c r="BR128" s="1690"/>
      <c r="BS128" s="1690"/>
      <c r="BT128" s="1690"/>
    </row>
    <row r="129" spans="1:81">
      <c r="A129" s="1690" t="b">
        <f>IF(B129=0,FALSE,TRUE)</f>
        <v>0</v>
      </c>
      <c r="B129" s="2831">
        <f>IF(AND(G$124="",I$124=""),0,"PM2.5 Probewash")</f>
        <v>0</v>
      </c>
      <c r="C129" s="2832"/>
      <c r="D129" s="1754" t="str">
        <f>D126</f>
        <v>mg</v>
      </c>
      <c r="E129" s="1754">
        <v>1</v>
      </c>
      <c r="F129" s="1797"/>
      <c r="G129" s="1770"/>
      <c r="H129" s="1797"/>
      <c r="I129" s="1763"/>
      <c r="J129" s="2391"/>
      <c r="K129" s="2392"/>
      <c r="L129" s="2393"/>
      <c r="O129" s="1692" t="str">
        <f>IF(B129=0,"",IF(SUM(V129,Y129)=0,"no result",IF(COUNT(V129:Y129)=1,"Single Result","")))</f>
        <v/>
      </c>
      <c r="P129" s="1692">
        <f>IF(OR(V129="",Y129=""),0,ABS((MAX(V129:Y129)-MIN(V129:Y129))/AVERAGE(V129:Y129)))</f>
        <v>0</v>
      </c>
      <c r="Q129" s="1690" t="str">
        <f>IF(Details!$N$13=FALSE,"PM2.5","PM2.5 (PSA)")</f>
        <v>PM2.5</v>
      </c>
      <c r="U129" s="1716" t="str">
        <f>IF(BC129="&lt;","&lt;","")</f>
        <v/>
      </c>
      <c r="V129" s="1725" t="str">
        <f>IF(PSACheck=TRUE,K127*V$126,IF(BD129=0,"",BD129/VolumeNTP3/1000000/VoF*CF))</f>
        <v/>
      </c>
      <c r="W129" s="1740" t="str">
        <f>IF(V129="","",V129*CorrFactor)</f>
        <v/>
      </c>
      <c r="X129" s="1723" t="str">
        <f>IF(BG129="&lt;","&lt;","")</f>
        <v/>
      </c>
      <c r="Y129" s="1725" t="str">
        <f>IF(PSACheck=TRUE,L127*Y$126,IF(BH129=0,"",BH129/VolumeNTP4/1000000/VoF*CF))</f>
        <v/>
      </c>
      <c r="Z129" s="1740" t="str">
        <f>IF(Y129="","",Y129*CorrFactor)</f>
        <v/>
      </c>
      <c r="AA129" s="1723" t="str">
        <f>IF(AND(U129="",X129=""),"",IF(OR(U129="",X129=""),"≤",""))</f>
        <v/>
      </c>
      <c r="AB129" s="1725" t="str">
        <f>IF(OR(V129="",Y129=""),"",AVERAGE(V129,Y129))</f>
        <v/>
      </c>
      <c r="AC129" s="1740" t="str">
        <f>IF(AB129="","",AB129*CorrFactor)</f>
        <v/>
      </c>
      <c r="AD129" s="1716"/>
      <c r="AE129" s="1903" t="str">
        <f>IF(ISNUMBER(V129),V129*IF(PSACheck=TRUE,AverageFlowDry1,AverageFlowDry3)/CF/FF*MRF*1000,"")</f>
        <v/>
      </c>
      <c r="AF129" s="1913" t="str">
        <f>IF(OR(X129="&lt;",VND="&lt;"),"&lt;","")</f>
        <v/>
      </c>
      <c r="AG129" s="1903" t="str">
        <f>IF(ISNUMBER(Y129),Y129*IF(PSACheck=TRUE,AverageFlowDry2,AverageFlowDry4)/CF/FF*MRF*1000,"")</f>
        <v/>
      </c>
      <c r="AH129" s="2263"/>
      <c r="AI129" s="1903" t="str">
        <f>IF(OR(AE129="",AG129=""),"",AVERAGE(AE129,AG129))</f>
        <v/>
      </c>
      <c r="AJ129" s="1690"/>
      <c r="AL129" s="1812">
        <f>VLOOKUP(D129,MassTable,2,FALSE)</f>
        <v>1000</v>
      </c>
      <c r="AM129" s="1723" t="str">
        <f t="shared" si="394"/>
        <v/>
      </c>
      <c r="AN129" s="1723" t="str">
        <f t="shared" si="394"/>
        <v/>
      </c>
      <c r="AO129" s="1723" t="str">
        <f t="shared" si="394"/>
        <v/>
      </c>
      <c r="AP129" s="1723" t="str">
        <f t="shared" si="394"/>
        <v/>
      </c>
      <c r="AQ129" s="1740"/>
      <c r="AR129" s="1724">
        <f>IF(OR(AN129="&lt;",G129=""),0,VALUE(RIGHT(G129,LEN(G129)-(LEFT(G129)="&lt;")))/$AL129*1000000)</f>
        <v>0</v>
      </c>
      <c r="AS129" s="1723"/>
      <c r="AT129" s="1740">
        <f>IF(OR(AP129="&lt;",I129=""),0,VALUE(RIGHT(I129,LEN(I129)-(LEFT(I129)="&lt;")))/$AL129*1000000)</f>
        <v>0</v>
      </c>
      <c r="AU129" s="1723"/>
      <c r="AV129" s="1723">
        <f>IF(G129="",0,$E129/$AL129*1000000)</f>
        <v>0</v>
      </c>
      <c r="AW129" s="1723"/>
      <c r="AX129" s="1740">
        <f>IF(I129="",0,$E129/$AL129*1000000)</f>
        <v>0</v>
      </c>
      <c r="AY129" s="1697"/>
      <c r="AZ129" s="1697" t="s">
        <v>1244</v>
      </c>
      <c r="BA129" s="1807">
        <f>SUM(AV126,AV129)</f>
        <v>0</v>
      </c>
      <c r="BB129" s="1725">
        <f>SUM(AR126,AR129)</f>
        <v>0</v>
      </c>
      <c r="BC129" s="1724" t="str">
        <f>IF(BB129&gt;=BA129,"","&lt;")</f>
        <v/>
      </c>
      <c r="BD129" s="1725">
        <f>IF(BC129="",BB$129,(IF(AR$126=0,AV$126,0)+IF(AR$129=0,AV$129,0)+BB129))</f>
        <v>0</v>
      </c>
      <c r="BE129" s="1807">
        <f>SUM(AX126,AX129)</f>
        <v>0</v>
      </c>
      <c r="BF129" s="1725">
        <f>SUM(AT126,AT129)</f>
        <v>0</v>
      </c>
      <c r="BG129" s="1724" t="str">
        <f>IF(BF129&gt;=BE129,"","&lt;")</f>
        <v/>
      </c>
      <c r="BH129" s="1740">
        <f>IF(BG129="",BF$129,(IF(AT$126=0,AX$126,0)+IF(AT$129=0,AX$129,0)+BF129))</f>
        <v>0</v>
      </c>
      <c r="BM129" s="1690"/>
      <c r="BN129" s="1690"/>
      <c r="BO129" s="1690"/>
      <c r="BP129" s="1690"/>
      <c r="BQ129" s="1690"/>
      <c r="BR129" s="1690"/>
      <c r="BS129" s="1690"/>
      <c r="BT129" s="1690"/>
    </row>
    <row r="130" spans="1:81">
      <c r="A130" s="1690" t="b">
        <f>IF(COUNTIF(A137:A172,TRUE)&gt;0,TRUE,FALSE)</f>
        <v>0</v>
      </c>
      <c r="O130" s="1696"/>
      <c r="S130" s="1690"/>
      <c r="AB130" s="1697"/>
      <c r="AC130" s="1836"/>
      <c r="AD130" s="1836"/>
      <c r="AE130" s="1841"/>
      <c r="AF130" s="1841"/>
      <c r="AG130" s="1836"/>
      <c r="AH130" s="1698"/>
      <c r="AI130" s="1690"/>
      <c r="AJ130" s="1690"/>
      <c r="AK130" s="1697"/>
      <c r="AL130" s="1697"/>
      <c r="AM130" s="1697"/>
      <c r="BI130" s="1698"/>
      <c r="BJ130" s="1698"/>
      <c r="BK130" s="1698"/>
      <c r="BL130" s="1698"/>
      <c r="BQ130" s="1690"/>
      <c r="BR130" s="1690"/>
      <c r="BS130" s="1690"/>
      <c r="BT130" s="1690"/>
    </row>
    <row r="131" spans="1:81" ht="12.75" customHeight="1">
      <c r="A131" s="1690" t="b">
        <f>IF(COUNTIF(A138:A173,TRUE)&gt;0,TRUE,FALSE)</f>
        <v>0</v>
      </c>
      <c r="B131" s="2387"/>
      <c r="C131" s="1731"/>
      <c r="D131" s="1731"/>
      <c r="E131" s="1731"/>
      <c r="F131" s="1731"/>
      <c r="G131" s="1893" t="s">
        <v>1705</v>
      </c>
      <c r="H131" s="1893"/>
      <c r="I131" s="1893"/>
      <c r="J131" s="1893"/>
      <c r="K131" s="1893"/>
      <c r="L131" s="1893"/>
      <c r="M131" s="1893"/>
      <c r="N131" s="2812" t="s">
        <v>1704</v>
      </c>
      <c r="O131" s="2812"/>
      <c r="P131" s="2813"/>
      <c r="Q131" s="1697"/>
      <c r="R131" s="1697"/>
      <c r="S131" s="1697"/>
      <c r="T131" s="1841"/>
      <c r="AB131" s="1694"/>
      <c r="AC131" s="1694"/>
      <c r="AD131" s="1697"/>
      <c r="AE131" s="1841"/>
      <c r="AF131" s="1841"/>
      <c r="AG131" s="1836"/>
      <c r="AH131" s="1836"/>
      <c r="AI131" s="1836"/>
      <c r="AJ131" s="1692"/>
      <c r="AK131" s="1692"/>
      <c r="BM131" s="1690"/>
      <c r="BN131" s="1690"/>
      <c r="BO131" s="1690"/>
      <c r="BP131" s="1690"/>
      <c r="BQ131" s="1690"/>
      <c r="BR131" s="1690"/>
      <c r="BS131" s="1690"/>
      <c r="BT131" s="1690"/>
    </row>
    <row r="132" spans="1:81" ht="15">
      <c r="A132" s="1690" t="b">
        <f>IF(COUNTIF(A138:A173,TRUE)&gt;0,TRUE,FALSE)</f>
        <v>0</v>
      </c>
      <c r="B132" s="2388" t="s">
        <v>1790</v>
      </c>
      <c r="C132" s="1693"/>
      <c r="D132" s="1688"/>
      <c r="E132" s="1688"/>
      <c r="F132" s="1688"/>
      <c r="G132" s="1841" t="s">
        <v>1435</v>
      </c>
      <c r="H132" s="1841" t="s">
        <v>1428</v>
      </c>
      <c r="I132" s="1841" t="s">
        <v>1702</v>
      </c>
      <c r="J132" s="1841" t="s">
        <v>1431</v>
      </c>
      <c r="K132" s="1841" t="s">
        <v>1432</v>
      </c>
      <c r="L132" s="1841" t="s">
        <v>1433</v>
      </c>
      <c r="M132" s="1841" t="s">
        <v>1434</v>
      </c>
      <c r="N132" s="1841" t="s">
        <v>1791</v>
      </c>
      <c r="O132" s="1729" t="s">
        <v>1799</v>
      </c>
      <c r="P132" s="2340" t="s">
        <v>1798</v>
      </c>
      <c r="S132" s="1690"/>
      <c r="AC132" s="1695"/>
      <c r="AD132" s="1695"/>
      <c r="AE132" s="2219"/>
      <c r="AF132" s="2219"/>
      <c r="AG132" s="1695"/>
      <c r="AH132" s="1695"/>
      <c r="AI132" s="1697"/>
      <c r="AJ132" s="1697"/>
      <c r="BM132" s="1690"/>
      <c r="BN132" s="1690"/>
      <c r="BO132" s="1690"/>
      <c r="BP132" s="1690"/>
      <c r="BQ132" s="1690"/>
      <c r="BR132" s="1690"/>
      <c r="BS132" s="1690"/>
      <c r="BT132" s="1690"/>
    </row>
    <row r="133" spans="1:81" ht="13.5" customHeight="1">
      <c r="A133" s="1690" t="b">
        <f>IF(COUNTIF(A138:A173,TRUE)&gt;0,TRUE,FALSE)</f>
        <v>0</v>
      </c>
      <c r="B133" s="2389"/>
      <c r="C133" s="1748"/>
      <c r="E133" s="1749"/>
      <c r="F133" s="1749" t="s">
        <v>1766</v>
      </c>
      <c r="G133" s="1782">
        <f>Filter1</f>
        <v>0</v>
      </c>
      <c r="H133" s="1778"/>
      <c r="I133" s="1778"/>
      <c r="J133" s="1778"/>
      <c r="K133" s="1778"/>
      <c r="L133" s="1778"/>
      <c r="M133" s="1780"/>
      <c r="N133" s="1782"/>
      <c r="O133" s="1757"/>
      <c r="P133" s="1787"/>
      <c r="S133" s="1690"/>
      <c r="U133" s="1894"/>
      <c r="V133" s="1894"/>
      <c r="W133" s="1894"/>
      <c r="X133" s="1894"/>
      <c r="Y133" s="1894"/>
      <c r="Z133" s="1894"/>
      <c r="AA133" s="1894"/>
      <c r="AC133" s="1695"/>
      <c r="AD133" s="1695"/>
      <c r="AE133" s="2219"/>
      <c r="AF133" s="2219"/>
      <c r="AG133" s="1695"/>
      <c r="AH133" s="1695"/>
      <c r="AI133" s="1697"/>
      <c r="AJ133" s="1697"/>
      <c r="BM133" s="1690"/>
      <c r="BN133" s="1690"/>
      <c r="BO133" s="1690"/>
      <c r="BP133" s="1690"/>
      <c r="BQ133" s="1690"/>
      <c r="BR133" s="1690"/>
      <c r="BS133" s="1690"/>
      <c r="BT133" s="1690"/>
    </row>
    <row r="134" spans="1:81" ht="13.5" customHeight="1">
      <c r="A134" s="1690" t="b">
        <f>IF(COUNTIF(A138:A173,TRUE)&gt;0,TRUE,FALSE)</f>
        <v>0</v>
      </c>
      <c r="B134" s="1727" t="s">
        <v>2026</v>
      </c>
      <c r="C134" s="1748"/>
      <c r="E134" s="1749"/>
      <c r="F134" s="1749" t="s">
        <v>1765</v>
      </c>
      <c r="G134" s="1794">
        <v>1000</v>
      </c>
      <c r="H134" s="1779">
        <f>IF(K136="µg",1000,"")</f>
        <v>1000</v>
      </c>
      <c r="I134" s="1779">
        <f>IF(K136="µg",1000,"")</f>
        <v>1000</v>
      </c>
      <c r="J134" s="1779">
        <f>IF(K136="µg",1000,"")</f>
        <v>1000</v>
      </c>
      <c r="K134" s="1779">
        <f>IF(K136="µg",1000,"")</f>
        <v>1000</v>
      </c>
      <c r="L134" s="1779">
        <f>IF(K136="µg",1000,"")</f>
        <v>1000</v>
      </c>
      <c r="M134" s="1781">
        <f>IF(K136="µg",1000,"")</f>
        <v>1000</v>
      </c>
      <c r="N134" s="1794">
        <v>1000</v>
      </c>
      <c r="O134" s="1779">
        <f>IF(K136="µg",1000,"")</f>
        <v>1000</v>
      </c>
      <c r="P134" s="1760">
        <f>IF(K136="µg",1000,"")</f>
        <v>1000</v>
      </c>
      <c r="Q134" s="2821" t="s">
        <v>1779</v>
      </c>
      <c r="R134" s="2820" t="s">
        <v>1780</v>
      </c>
      <c r="S134" s="2820" t="s">
        <v>1781</v>
      </c>
      <c r="T134" s="1840"/>
      <c r="U134" s="2810" t="s">
        <v>1705</v>
      </c>
      <c r="V134" s="2805"/>
      <c r="W134" s="2805"/>
      <c r="X134" s="2805"/>
      <c r="Y134" s="2806"/>
      <c r="Z134" s="2810" t="s">
        <v>1242</v>
      </c>
      <c r="AA134" s="2805"/>
      <c r="AB134" s="2805"/>
      <c r="AC134" s="2805"/>
      <c r="AD134" s="2806"/>
      <c r="AE134" s="2219"/>
      <c r="AF134" s="2219"/>
      <c r="AG134" s="1695"/>
      <c r="AH134" s="1695"/>
      <c r="AI134" s="1697"/>
      <c r="AJ134" s="1697"/>
      <c r="AL134" s="2822" t="s">
        <v>1743</v>
      </c>
      <c r="AM134" s="2823"/>
      <c r="AN134" s="2823"/>
      <c r="AO134" s="2823"/>
      <c r="AP134" s="2823"/>
      <c r="AQ134" s="2823"/>
      <c r="AR134" s="2823"/>
      <c r="AS134" s="2823"/>
      <c r="AT134" s="2823"/>
      <c r="AU134" s="2824"/>
      <c r="AV134" s="1732" t="str">
        <f>"Lab result (concentration - analysed compound) "&amp;K136</f>
        <v>Lab result (concentration - analysed compound) µg</v>
      </c>
      <c r="AW134" s="1732"/>
      <c r="AX134" s="1732"/>
      <c r="AY134" s="1732"/>
      <c r="AZ134" s="1732"/>
      <c r="BA134" s="1732"/>
      <c r="BB134" s="1732"/>
      <c r="BC134" s="1732"/>
      <c r="BD134" s="1732"/>
      <c r="BE134" s="1734"/>
      <c r="BF134" s="2822" t="s">
        <v>1772</v>
      </c>
      <c r="BG134" s="2823"/>
      <c r="BH134" s="2823"/>
      <c r="BI134" s="2823"/>
      <c r="BJ134" s="2823"/>
      <c r="BK134" s="2823"/>
      <c r="BL134" s="2824"/>
      <c r="BM134" s="2822" t="s">
        <v>1774</v>
      </c>
      <c r="BN134" s="2823"/>
      <c r="BO134" s="2823"/>
      <c r="BP134" s="2823"/>
      <c r="BQ134" s="2823"/>
      <c r="BR134" s="2823"/>
      <c r="BS134" s="2824"/>
      <c r="BT134" s="2816" t="s">
        <v>1705</v>
      </c>
      <c r="BU134" s="2816"/>
      <c r="BV134" s="2825" t="s">
        <v>1742</v>
      </c>
      <c r="BW134" s="2826"/>
    </row>
    <row r="135" spans="1:81" ht="13.5" customHeight="1">
      <c r="A135" s="1690" t="b">
        <f>IF(COUNTIF(A138:A173,TRUE)&gt;0,TRUE,FALSE)</f>
        <v>0</v>
      </c>
      <c r="B135" s="2389" t="s">
        <v>2109</v>
      </c>
      <c r="C135" s="1748"/>
      <c r="E135" s="1749"/>
      <c r="F135" s="1749" t="s">
        <v>1764</v>
      </c>
      <c r="G135" s="1795">
        <v>1</v>
      </c>
      <c r="H135" s="1784">
        <v>1</v>
      </c>
      <c r="I135" s="1784">
        <v>1</v>
      </c>
      <c r="J135" s="1784">
        <v>1</v>
      </c>
      <c r="K135" s="1784">
        <v>1</v>
      </c>
      <c r="L135" s="1784">
        <v>1</v>
      </c>
      <c r="M135" s="1792">
        <v>1</v>
      </c>
      <c r="N135" s="1795">
        <v>1</v>
      </c>
      <c r="O135" s="1784">
        <v>1</v>
      </c>
      <c r="P135" s="1785">
        <v>1</v>
      </c>
      <c r="Q135" s="2821"/>
      <c r="R135" s="2820"/>
      <c r="S135" s="2820"/>
      <c r="T135" s="1840"/>
      <c r="U135" s="2810" t="s">
        <v>1718</v>
      </c>
      <c r="V135" s="2805"/>
      <c r="W135" s="2806"/>
      <c r="X135" s="2849" t="s">
        <v>1836</v>
      </c>
      <c r="Y135" s="2850"/>
      <c r="Z135" s="2810" t="s">
        <v>1718</v>
      </c>
      <c r="AA135" s="2805"/>
      <c r="AB135" s="2806"/>
      <c r="AC135" s="2849" t="s">
        <v>1836</v>
      </c>
      <c r="AD135" s="2850"/>
      <c r="AE135" s="2217"/>
      <c r="AF135" s="2217"/>
      <c r="AG135" s="1835"/>
      <c r="AH135" s="2815" t="s">
        <v>1707</v>
      </c>
      <c r="AK135" s="2815" t="s">
        <v>1767</v>
      </c>
      <c r="AL135" s="2810" t="s">
        <v>1705</v>
      </c>
      <c r="AM135" s="2805"/>
      <c r="AN135" s="2805"/>
      <c r="AO135" s="2805"/>
      <c r="AP135" s="2805"/>
      <c r="AQ135" s="2805"/>
      <c r="AR135" s="2806"/>
      <c r="AS135" s="2810" t="s">
        <v>1704</v>
      </c>
      <c r="AT135" s="2805"/>
      <c r="AU135" s="2806"/>
      <c r="AV135" s="2810" t="s">
        <v>1705</v>
      </c>
      <c r="AW135" s="2805"/>
      <c r="AX135" s="2805"/>
      <c r="AY135" s="2805"/>
      <c r="AZ135" s="2805"/>
      <c r="BA135" s="2805"/>
      <c r="BB135" s="2806"/>
      <c r="BC135" s="2810" t="s">
        <v>1704</v>
      </c>
      <c r="BD135" s="2805"/>
      <c r="BE135" s="2806"/>
      <c r="BF135" s="2822" t="s">
        <v>1705</v>
      </c>
      <c r="BG135" s="2823"/>
      <c r="BH135" s="2823"/>
      <c r="BI135" s="2823"/>
      <c r="BJ135" s="2823"/>
      <c r="BK135" s="2823"/>
      <c r="BL135" s="2824"/>
      <c r="BM135" s="2822" t="s">
        <v>1800</v>
      </c>
      <c r="BN135" s="2823"/>
      <c r="BO135" s="2823"/>
      <c r="BP135" s="2823"/>
      <c r="BQ135" s="2823"/>
      <c r="BR135" s="2823"/>
      <c r="BS135" s="2824"/>
      <c r="BT135" s="1732" t="s">
        <v>1741</v>
      </c>
      <c r="BU135" s="1736" t="s">
        <v>1740</v>
      </c>
      <c r="BV135" s="2817" t="s">
        <v>1738</v>
      </c>
      <c r="BW135" s="2817"/>
    </row>
    <row r="136" spans="1:81" ht="12.75" customHeight="1">
      <c r="A136" s="1690" t="b">
        <f>IF(COUNTIF(A138:A173,TRUE)&gt;0,TRUE,FALSE)</f>
        <v>0</v>
      </c>
      <c r="B136" s="2052" t="s">
        <v>2085</v>
      </c>
      <c r="C136" s="1748"/>
      <c r="E136" s="2833" t="s">
        <v>1912</v>
      </c>
      <c r="F136" s="2834" t="s">
        <v>2090</v>
      </c>
      <c r="G136" s="1789" t="s">
        <v>1795</v>
      </c>
      <c r="H136" s="1771" t="s">
        <v>1427</v>
      </c>
      <c r="I136" s="1790">
        <f>VLOOKUP(H136,MassTable,2,FALSE)</f>
        <v>1000000</v>
      </c>
      <c r="J136" s="1791" t="s">
        <v>1794</v>
      </c>
      <c r="K136" s="1771" t="s">
        <v>1427</v>
      </c>
      <c r="L136" s="1790">
        <f>VLOOKUP(K136,$C$1:$D$5,2,FALSE)</f>
        <v>1000000</v>
      </c>
      <c r="M136" s="1776"/>
      <c r="N136" s="1788"/>
      <c r="O136" s="1776" t="s">
        <v>2119</v>
      </c>
      <c r="P136" s="1714"/>
      <c r="Q136" s="1692"/>
      <c r="R136" s="1697" t="s">
        <v>1708</v>
      </c>
      <c r="S136" s="1697"/>
      <c r="T136" s="1841"/>
      <c r="U136" s="1898"/>
      <c r="V136" s="2280" t="str">
        <f>CU</f>
        <v>mg/m³</v>
      </c>
      <c r="W136" s="2261" t="str">
        <f>V136</f>
        <v>mg/m³</v>
      </c>
      <c r="X136" s="2285"/>
      <c r="Y136" s="2286" t="str">
        <f>MRU</f>
        <v>g/min</v>
      </c>
      <c r="Z136" s="2811" t="str">
        <f>CU</f>
        <v>mg/m³</v>
      </c>
      <c r="AA136" s="2813"/>
      <c r="AB136" s="2261" t="str">
        <f>Z136</f>
        <v>mg/m³</v>
      </c>
      <c r="AC136" s="2291"/>
      <c r="AD136" s="2286" t="str">
        <f>MRU</f>
        <v>g/min</v>
      </c>
      <c r="AE136" s="2219"/>
      <c r="AF136" s="2219"/>
      <c r="AG136" s="1835" t="s">
        <v>1706</v>
      </c>
      <c r="AH136" s="2815"/>
      <c r="AK136" s="2815"/>
      <c r="AL136" s="1734" t="s">
        <v>1435</v>
      </c>
      <c r="AM136" s="1734" t="s">
        <v>1428</v>
      </c>
      <c r="AN136" s="1734" t="s">
        <v>1702</v>
      </c>
      <c r="AO136" s="1734" t="s">
        <v>1431</v>
      </c>
      <c r="AP136" s="1734" t="s">
        <v>1432</v>
      </c>
      <c r="AQ136" s="1734" t="s">
        <v>1433</v>
      </c>
      <c r="AR136" s="1734" t="s">
        <v>1434</v>
      </c>
      <c r="AS136" s="1734" t="s">
        <v>1791</v>
      </c>
      <c r="AT136" s="1734" t="s">
        <v>1792</v>
      </c>
      <c r="AU136" s="1734" t="s">
        <v>1793</v>
      </c>
      <c r="AV136" s="1734" t="s">
        <v>1435</v>
      </c>
      <c r="AW136" s="1734" t="s">
        <v>1428</v>
      </c>
      <c r="AX136" s="1734" t="s">
        <v>1702</v>
      </c>
      <c r="AY136" s="1734" t="s">
        <v>1431</v>
      </c>
      <c r="AZ136" s="1734" t="s">
        <v>1432</v>
      </c>
      <c r="BA136" s="1734" t="s">
        <v>1433</v>
      </c>
      <c r="BB136" s="1734" t="s">
        <v>1434</v>
      </c>
      <c r="BC136" s="1734" t="s">
        <v>1791</v>
      </c>
      <c r="BD136" s="1734" t="s">
        <v>1796</v>
      </c>
      <c r="BE136" s="1734" t="s">
        <v>1797</v>
      </c>
      <c r="BF136" s="1734" t="s">
        <v>1435</v>
      </c>
      <c r="BG136" s="1734" t="s">
        <v>1393</v>
      </c>
      <c r="BH136" s="1734" t="s">
        <v>1702</v>
      </c>
      <c r="BI136" s="1734" t="s">
        <v>1431</v>
      </c>
      <c r="BJ136" s="1734" t="s">
        <v>1432</v>
      </c>
      <c r="BK136" s="1734" t="s">
        <v>1433</v>
      </c>
      <c r="BL136" s="1734" t="s">
        <v>1434</v>
      </c>
      <c r="BM136" s="1734" t="s">
        <v>1435</v>
      </c>
      <c r="BN136" s="1734" t="s">
        <v>1393</v>
      </c>
      <c r="BO136" s="1734" t="s">
        <v>1702</v>
      </c>
      <c r="BP136" s="1734" t="s">
        <v>1431</v>
      </c>
      <c r="BQ136" s="1734" t="s">
        <v>1432</v>
      </c>
      <c r="BR136" s="1734" t="s">
        <v>1433</v>
      </c>
      <c r="BS136" s="1734" t="s">
        <v>1434</v>
      </c>
      <c r="BT136" s="1734" t="s">
        <v>1427</v>
      </c>
      <c r="BU136" s="1734" t="s">
        <v>1427</v>
      </c>
      <c r="BV136" s="1734" t="s">
        <v>819</v>
      </c>
      <c r="BW136" s="1734" t="s">
        <v>1427</v>
      </c>
    </row>
    <row r="137" spans="1:81" ht="10.5" customHeight="1">
      <c r="A137" s="1690" t="b">
        <f>IF(COUNTIF(A138:A173,TRUE)&gt;0,TRUE,FALSE)</f>
        <v>0</v>
      </c>
      <c r="B137" s="2389" t="s">
        <v>1284</v>
      </c>
      <c r="C137" s="1750" t="s">
        <v>1776</v>
      </c>
      <c r="D137" s="1750" t="s">
        <v>1437</v>
      </c>
      <c r="E137" s="2833"/>
      <c r="F137" s="2834"/>
      <c r="G137" s="2334" t="s">
        <v>1435</v>
      </c>
      <c r="H137" s="1729" t="s">
        <v>1428</v>
      </c>
      <c r="I137" s="1729" t="s">
        <v>1702</v>
      </c>
      <c r="J137" s="1729" t="s">
        <v>1431</v>
      </c>
      <c r="K137" s="1729" t="s">
        <v>1432</v>
      </c>
      <c r="L137" s="1729" t="s">
        <v>1433</v>
      </c>
      <c r="M137" s="1729" t="s">
        <v>1434</v>
      </c>
      <c r="N137" s="2385" t="s">
        <v>1791</v>
      </c>
      <c r="O137" s="1729" t="s">
        <v>1799</v>
      </c>
      <c r="P137" s="2335" t="s">
        <v>1798</v>
      </c>
      <c r="Q137" s="1692"/>
      <c r="R137" s="1697"/>
      <c r="S137" s="1697"/>
      <c r="T137" s="1841"/>
      <c r="U137" s="1902"/>
      <c r="V137" s="2283">
        <f>VLOOKUP(V136,ConcTable,2,FALSE)</f>
        <v>1000000</v>
      </c>
      <c r="W137" s="2284" t="s">
        <v>97</v>
      </c>
      <c r="X137" s="2282"/>
      <c r="Y137" s="2287"/>
      <c r="Z137" s="1902"/>
      <c r="AA137" s="2288"/>
      <c r="AB137" s="2284" t="s">
        <v>97</v>
      </c>
      <c r="AC137" s="2292"/>
      <c r="AD137" s="2287"/>
      <c r="AE137" s="1692"/>
      <c r="AF137" s="1692"/>
      <c r="AG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M137" s="1690"/>
      <c r="BN137" s="1690"/>
      <c r="BO137" s="1690"/>
      <c r="BP137" s="1690"/>
      <c r="BQ137" s="1690"/>
      <c r="BR137" s="1690"/>
      <c r="BS137" s="1690"/>
      <c r="BT137" s="1690"/>
    </row>
    <row r="138" spans="1:81">
      <c r="A138" s="1690" t="b">
        <f t="shared" ref="A138:A173" si="397">IF(B138=0,FALSE,TRUE)</f>
        <v>0</v>
      </c>
      <c r="B138" s="2386">
        <f t="array" ref="B138">IF(ISERROR(INDEX(PQLs!$B$3:$B$87, SMALL(IF(IsoAnalysis=PQLs!$A$3:$A$87, ROW($A$3:$A$86)-ROW($A$3)+1), ROW(1:1)))),0,INDEX(PQLs!$B$3:$B$87, SMALL(IF(IsoAnalysis=PQLs!$A$3:$A$87, ROW($A$3:$A$86)-ROW($A$3)+1), ROW(1:1))))</f>
        <v>0</v>
      </c>
      <c r="C138" s="1888" t="e">
        <f t="shared" ref="C138:C173" si="398">VLOOKUP(B138,AnalyteTable,5,FALSE)</f>
        <v>#N/A</v>
      </c>
      <c r="D138" s="1752" t="e">
        <f t="shared" ref="D138:D173" si="399">VLOOKUP(B138,AnalyteTable,7,FALSE)</f>
        <v>#N/A</v>
      </c>
      <c r="E138" s="1801" t="e">
        <f t="shared" ref="E138:E173" si="400">VLOOKUP(D138,PQLTable,7,FALSE)</f>
        <v>#N/A</v>
      </c>
      <c r="F138" s="1869" t="e">
        <f t="shared" ref="F138:F173" si="401">VLOOKUP(D138,PQLTable,8,FALSE)</f>
        <v>#N/A</v>
      </c>
      <c r="G138" s="1886"/>
      <c r="H138" s="1767"/>
      <c r="I138" s="1767"/>
      <c r="J138" s="1767"/>
      <c r="K138" s="1767"/>
      <c r="L138" s="1767"/>
      <c r="M138" s="1793"/>
      <c r="N138" s="1786"/>
      <c r="O138" s="1767"/>
      <c r="P138" s="1787"/>
      <c r="Q138" s="1692" t="str">
        <f t="shared" ref="Q138:Q173" si="402">IF(B185=0,"",IF(SUM(V185,V138)=0,"no result",IF(OR(V185=0,V138=0),"Single Result","")))</f>
        <v/>
      </c>
      <c r="R138" s="1692" t="str">
        <f t="shared" ref="R138:R173" si="403">IF(B138=0,"",IF(OR(V138=0,V185=0),0,ABS((MAX(V138,V185)-MIN(V138,V185))/AVERAGE(V138,V185))))</f>
        <v/>
      </c>
      <c r="S138" s="1692" t="str">
        <f t="shared" ref="S138:S173" si="404">IF(OR(BJ138&gt;(0.2*BI138),BL138&gt;(0.2*BK138)),"Breakthrough?","")</f>
        <v/>
      </c>
      <c r="T138" s="1692"/>
      <c r="U138" s="1898" t="str">
        <f t="shared" ref="U138:U173" si="405">BV138</f>
        <v/>
      </c>
      <c r="V138" s="1719" t="str">
        <f>IF($B138=0,"",Conc1(BW138,VolumeNTP1,$AG138,MolVol,Pitots!$E$49,Pitots!$F$49,V$136,V$137,VoF))</f>
        <v/>
      </c>
      <c r="W138" s="2333" t="str">
        <f t="shared" ref="W138:W173" si="406">IF(B138=0,"",V138*CorrFactor)</f>
        <v/>
      </c>
      <c r="X138" s="2370" t="str">
        <f t="shared" ref="X138:X171" si="407">IF(OR(U138="&lt;",VND="&lt;"),"&lt;","")</f>
        <v/>
      </c>
      <c r="Y138" s="1899" t="str">
        <f>IF(V138="","",MassRate(V138,$AG138,MolVol,V$136,V$137,MRU,MRF,AverageFlowDry1,FF))</f>
        <v/>
      </c>
      <c r="Z138" s="1718" t="str">
        <f t="shared" ref="Z138:Z172" si="408">IF(AND(U138="",U185=""),"",IF(OR(U138="",U138=""),"≤","&lt;"))</f>
        <v/>
      </c>
      <c r="AA138" s="1714" t="str">
        <f t="shared" ref="AA138:AA172" si="409">IF(OR(B138=0,V138=0,V185=0),"",AVERAGE(V138,V185))</f>
        <v/>
      </c>
      <c r="AB138" s="1871" t="str">
        <f t="shared" ref="AB138:AB172" si="410">IF(AA138="","",AVERAGE(W138,W185))</f>
        <v/>
      </c>
      <c r="AC138" s="1718" t="str">
        <f t="shared" ref="AC138:AC172" si="411">IF(AND(X138="",X185=""),"",IF(OR(X138="",X138=""),"≤","&lt;"))</f>
        <v/>
      </c>
      <c r="AD138" s="1714" t="str">
        <f t="shared" ref="AD138:AD172" si="412">IF(AA138="","",AVERAGE(Y138,Y185))</f>
        <v/>
      </c>
      <c r="AE138" s="1842"/>
      <c r="AF138" s="1842"/>
      <c r="AG138" s="1752" t="e">
        <f t="shared" ref="AG138:AG173" si="413">VLOOKUP(C138,PQLTable,4,FALSE)</f>
        <v>#N/A</v>
      </c>
      <c r="AH138" s="1869" t="e">
        <f t="shared" ref="AH138:AH173" si="414">VLOOKUP(D138,PQLTable,6,FALSE)</f>
        <v>#N/A</v>
      </c>
      <c r="AK138" s="1871" t="e">
        <f t="shared" ref="AK138:AK173" si="415">AG138/AH138</f>
        <v>#N/A</v>
      </c>
      <c r="AL138" s="1718" t="str">
        <f t="shared" ref="AL138:AL173" si="416">LEFT(G138,(LEFT(G138)="&lt;"))</f>
        <v/>
      </c>
      <c r="AM138" s="1718" t="str">
        <f t="shared" ref="AM138:AM173" si="417">LEFT(H138,(LEFT(H138)="&lt;"))</f>
        <v/>
      </c>
      <c r="AN138" s="1718" t="str">
        <f t="shared" ref="AN138:AN173" si="418">LEFT(I138,(LEFT(I138)="&lt;"))</f>
        <v/>
      </c>
      <c r="AO138" s="1718" t="str">
        <f t="shared" ref="AO138:AO173" si="419">LEFT(J138,(LEFT(J138)="&lt;"))</f>
        <v/>
      </c>
      <c r="AP138" s="1718" t="str">
        <f t="shared" ref="AP138:AP173" si="420">LEFT(K138,(LEFT(K138)="&lt;"))</f>
        <v/>
      </c>
      <c r="AQ138" s="1718" t="str">
        <f t="shared" ref="AQ138:AQ173" si="421">LEFT(L138,(LEFT(L138)="&lt;"))</f>
        <v/>
      </c>
      <c r="AR138" s="1718" t="str">
        <f t="shared" ref="AR138:AR173" si="422">LEFT(M138,(LEFT(M138)="&lt;"))</f>
        <v/>
      </c>
      <c r="AS138" s="1718" t="str">
        <f t="shared" ref="AS138:AS173" si="423">LEFT(N138,(LEFT(N138)="&lt;"))</f>
        <v/>
      </c>
      <c r="AT138" s="1718" t="str">
        <f t="shared" ref="AT138:AT173" si="424">LEFT(O138,(LEFT(O138)="&lt;"))</f>
        <v/>
      </c>
      <c r="AU138" s="1718" t="str">
        <f t="shared" ref="AU138:AU173" si="425">LEFT(P138,(LEFT(P138)="&lt;"))</f>
        <v/>
      </c>
      <c r="AV138" s="1718" t="str">
        <f t="shared" ref="AV138:AV173" si="426">IF(G138="","",VALUE(RIGHT(G138,LEN(G138)-(LEFT(G138)="&lt;"))))</f>
        <v/>
      </c>
      <c r="AW138" s="1718" t="str">
        <f t="shared" ref="AW138:AW173" si="427">IF(H138="","",VALUE(RIGHT(H138,LEN(H138)-(LEFT(H138)="&lt;"))))</f>
        <v/>
      </c>
      <c r="AX138" s="1718" t="str">
        <f t="shared" ref="AX138:AX173" si="428">IF(I138="","",VALUE(RIGHT(I138,LEN(I138)-(LEFT(I138)="&lt;"))))</f>
        <v/>
      </c>
      <c r="AY138" s="1718" t="str">
        <f t="shared" ref="AY138:AY173" si="429">IF(J138="","",VALUE(RIGHT(J138,LEN(J138)-(LEFT(J138)="&lt;"))))</f>
        <v/>
      </c>
      <c r="AZ138" s="1718" t="str">
        <f t="shared" ref="AZ138:AZ173" si="430">IF(K138="","",VALUE(RIGHT(K138,LEN(K138)-(LEFT(K138)="&lt;"))))</f>
        <v/>
      </c>
      <c r="BA138" s="1718" t="str">
        <f t="shared" ref="BA138:BA173" si="431">IF(L138="","",VALUE(RIGHT(L138,LEN(L138)-(LEFT(L138)="&lt;"))))</f>
        <v/>
      </c>
      <c r="BB138" s="1718" t="str">
        <f t="shared" ref="BB138:BB173" si="432">IF(M138="","",VALUE(RIGHT(M138,LEN(M138)-(LEFT(M138)="&lt;"))))</f>
        <v/>
      </c>
      <c r="BC138" s="1738">
        <f t="shared" ref="BC138:BC173" si="433">IF(OR(AS138="&lt;",N138=""),0,VALUE(RIGHT(N138,LEN(N138)-(LEFT(N138)="&lt;"))))</f>
        <v>0</v>
      </c>
      <c r="BD138" s="1738">
        <f t="shared" ref="BD138:BD173" si="434">IF(OR(AT138="&lt;",O138=""),0,VALUE(RIGHT(O138,LEN(O138)-(LEFT(O138)="&lt;"))))</f>
        <v>0</v>
      </c>
      <c r="BE138" s="1738">
        <f t="shared" ref="BE138:BE173" si="435">IF(OR(AU138="&lt;",P138=""),0,VALUE(RIGHT(P138,LEN(P138)-(LEFT(P138)="&lt;"))))</f>
        <v>0</v>
      </c>
      <c r="BF138" s="1718">
        <f t="shared" ref="BF138:BF173" si="436">IF(G138="",0,IF(OR((AV138-BC138)&lt;BM138,AL138="&lt;"),0,AV138-$BC138)*$AK138*1000/G$134/I$136*1000000)</f>
        <v>0</v>
      </c>
      <c r="BG138" s="1718">
        <f t="shared" ref="BG138:BG173" si="437">IF(H138="",0,IF(OR((AW138-$BD138)&lt;BN138,AM138="&lt;"),0,AW138-$BD138)*$AK138*1000/H$134/$L$136*1000000)</f>
        <v>0</v>
      </c>
      <c r="BH138" s="1718">
        <f t="shared" ref="BH138:BH173" si="438">IF(I138="",0,IF(OR((AX138-$BD138)&lt;BO138,AN138="&lt;"),0,AX138-$BD138)*$AK138*1000/I$134/$L$136*1000000)</f>
        <v>0</v>
      </c>
      <c r="BI138" s="1718">
        <f t="shared" ref="BI138:BI173" si="439">IF(J138="",0,IF(OR((AY138-$BD138)&lt;BP138,AO138="&lt;"),0,AY138-$BD138)*$AK138*1000/J$134/$L$136*1000000)</f>
        <v>0</v>
      </c>
      <c r="BJ138" s="1718">
        <f t="shared" ref="BJ138:BJ173" si="440">IF(K138="",0,IF(OR((AZ138-$BD138)&lt;BQ138,AP138="&lt;"),0,AZ138-$BD138)*$AK138*1000/K$134/$L$136*1000000)</f>
        <v>0</v>
      </c>
      <c r="BK138" s="1718">
        <f t="shared" ref="BK138:BK173" si="441">IF(L138="",0,IF(OR((BA138-$BE138)&lt;BR138,AQ138="&lt;"),0,BA138-$BE138)*$AK138*1000/L$134/$L$136*1000000)</f>
        <v>0</v>
      </c>
      <c r="BL138" s="1718">
        <f t="shared" ref="BL138:BL173" si="442">IF(M138="",0,IF(OR((BB138-$BE138)&lt;BS138,AR138="&lt;"),0,BB138-$BE138)*$AK138*1000/M$134/$L$136*1000000)</f>
        <v>0</v>
      </c>
      <c r="BM138" s="1712">
        <f t="shared" ref="BM138:BM173" si="443">IF(G138="",0,(E138)*$AK138*1000/G$134/$I$136*1000000)</f>
        <v>0</v>
      </c>
      <c r="BN138" s="1712">
        <f t="shared" ref="BN138:BN173" si="444">IF(H138="",0,($F138)*$AK138*1000/H$134/$L$136*1000000)</f>
        <v>0</v>
      </c>
      <c r="BO138" s="1712">
        <f t="shared" ref="BO138:BO173" si="445">IF(I138="",0,($F138)*$AK138*1000/I$134/$L$136*1000000)</f>
        <v>0</v>
      </c>
      <c r="BP138" s="1712">
        <f t="shared" ref="BP138:BP173" si="446">IF(J138="",0,($F138)*$AK138*1000/J$134/$L$136*1000000)</f>
        <v>0</v>
      </c>
      <c r="BQ138" s="1712">
        <f t="shared" ref="BQ138:BQ173" si="447">IF(K138="",0,($F138)*$AK138*1000/K$134/$L$136*1000000)</f>
        <v>0</v>
      </c>
      <c r="BR138" s="1712">
        <f t="shared" ref="BR138:BR173" si="448">IF(L138="",0,($F138)*$AK138*1000/L$134/$L$136*1000000)</f>
        <v>0</v>
      </c>
      <c r="BS138" s="1712">
        <f t="shared" ref="BS138:BS173" si="449">IF(M138="",0,($F138)*$AK138*1000/M$134/$L$136*1000000)</f>
        <v>0</v>
      </c>
      <c r="BT138" s="1741">
        <f t="shared" ref="BT138:BT173" si="450">SUM(BM138:BS138)</f>
        <v>0</v>
      </c>
      <c r="BU138" s="1713">
        <f t="shared" ref="BU138:BU173" si="451">SUM(BF138:BL138)</f>
        <v>0</v>
      </c>
      <c r="BV138" s="1712" t="str">
        <f t="shared" ref="BV138:BV173" si="452">IF(BU138&gt;=$BT138,"","&lt;")</f>
        <v/>
      </c>
      <c r="BW138" s="1720">
        <f t="shared" ref="BW138:BW173" si="453">IF(BV138="",BU138,(IF(BF138=0,BM138,0)+IF(BG138=0,BN138,0)+IF(BH138=0,BO138,0)+IF(BI138=0,BP138,0)+IF(BJ138=0,BQ138,0)+IF(BK138=0,BR138,0)+IF(BL138=0,BS138,0)+BU138))</f>
        <v>0</v>
      </c>
      <c r="BZ138" s="2009" t="s">
        <v>1966</v>
      </c>
      <c r="CA138" s="2800"/>
      <c r="CB138" s="2800"/>
      <c r="CC138" s="107"/>
    </row>
    <row r="139" spans="1:81">
      <c r="A139" s="1690" t="b">
        <f t="shared" si="397"/>
        <v>0</v>
      </c>
      <c r="B139" s="2386">
        <f t="array" ref="B139">IF(ISERROR(INDEX(PQLs!$B$3:$B$87, SMALL(IF(IsoAnalysis=PQLs!$A$3:$A$87, ROW($A$3:$A$86)-ROW($A$3)+1), ROW(2:2)))),0,INDEX(PQLs!$B$3:$B$87, SMALL(IF(IsoAnalysis=PQLs!$A$3:$A$87, ROW($A$3:$A$86)-ROW($A$3)+1), ROW(2:2))))</f>
        <v>0</v>
      </c>
      <c r="C139" s="1884" t="e">
        <f t="shared" si="398"/>
        <v>#N/A</v>
      </c>
      <c r="D139" s="1753" t="e">
        <f t="shared" si="399"/>
        <v>#N/A</v>
      </c>
      <c r="E139" s="1891" t="e">
        <f t="shared" si="400"/>
        <v>#N/A</v>
      </c>
      <c r="F139" s="1889" t="e">
        <f t="shared" si="401"/>
        <v>#N/A</v>
      </c>
      <c r="G139" s="1779"/>
      <c r="H139" s="1755"/>
      <c r="I139" s="1755"/>
      <c r="J139" s="1755"/>
      <c r="K139" s="1755"/>
      <c r="L139" s="1755"/>
      <c r="M139" s="1765"/>
      <c r="N139" s="1759"/>
      <c r="O139" s="1755"/>
      <c r="P139" s="1760"/>
      <c r="Q139" s="1692" t="str">
        <f t="shared" si="402"/>
        <v/>
      </c>
      <c r="R139" s="1692" t="str">
        <f t="shared" si="403"/>
        <v/>
      </c>
      <c r="S139" s="1692" t="str">
        <f t="shared" si="404"/>
        <v/>
      </c>
      <c r="T139" s="1692"/>
      <c r="U139" s="1900" t="str">
        <f t="shared" si="405"/>
        <v/>
      </c>
      <c r="V139" s="1841" t="str">
        <f>IF($B139=0,"",Conc1(BW139,VolumeNTP1,$AG139,MolVol,Pitots!$E$49,Pitots!$F$49,V$136,V$137,VoF))</f>
        <v/>
      </c>
      <c r="W139" s="1739" t="str">
        <f t="shared" si="406"/>
        <v/>
      </c>
      <c r="X139" s="1843" t="str">
        <f t="shared" si="407"/>
        <v/>
      </c>
      <c r="Y139" s="1901" t="str">
        <f>IF(V139="","",MassRate(V139,$AG139,MolVol,V$136,V$137,MRU,MRF,AverageFlowDry1,FF))</f>
        <v/>
      </c>
      <c r="Z139" s="2334" t="str">
        <f t="shared" si="408"/>
        <v/>
      </c>
      <c r="AA139" s="2289" t="str">
        <f t="shared" si="409"/>
        <v/>
      </c>
      <c r="AB139" s="1872" t="str">
        <f t="shared" si="410"/>
        <v/>
      </c>
      <c r="AC139" s="2334" t="str">
        <f t="shared" si="411"/>
        <v/>
      </c>
      <c r="AD139" s="2289" t="str">
        <f t="shared" si="412"/>
        <v/>
      </c>
      <c r="AE139" s="1842"/>
      <c r="AF139" s="1842"/>
      <c r="AG139" s="1753" t="e">
        <f t="shared" si="413"/>
        <v>#N/A</v>
      </c>
      <c r="AH139" s="1870" t="e">
        <f t="shared" si="414"/>
        <v>#N/A</v>
      </c>
      <c r="AK139" s="1872" t="e">
        <f t="shared" si="415"/>
        <v>#N/A</v>
      </c>
      <c r="AL139" s="1721" t="str">
        <f t="shared" si="416"/>
        <v/>
      </c>
      <c r="AM139" s="1721" t="str">
        <f t="shared" si="417"/>
        <v/>
      </c>
      <c r="AN139" s="1721" t="str">
        <f t="shared" si="418"/>
        <v/>
      </c>
      <c r="AO139" s="1721" t="str">
        <f t="shared" si="419"/>
        <v/>
      </c>
      <c r="AP139" s="1721" t="str">
        <f t="shared" si="420"/>
        <v/>
      </c>
      <c r="AQ139" s="1721" t="str">
        <f t="shared" si="421"/>
        <v/>
      </c>
      <c r="AR139" s="1721" t="str">
        <f t="shared" si="422"/>
        <v/>
      </c>
      <c r="AS139" s="1721" t="str">
        <f t="shared" si="423"/>
        <v/>
      </c>
      <c r="AT139" s="1721" t="str">
        <f t="shared" si="424"/>
        <v/>
      </c>
      <c r="AU139" s="1721" t="str">
        <f t="shared" si="425"/>
        <v/>
      </c>
      <c r="AV139" s="1721" t="str">
        <f t="shared" si="426"/>
        <v/>
      </c>
      <c r="AW139" s="1721" t="str">
        <f t="shared" si="427"/>
        <v/>
      </c>
      <c r="AX139" s="1721" t="str">
        <f t="shared" si="428"/>
        <v/>
      </c>
      <c r="AY139" s="1721" t="str">
        <f t="shared" si="429"/>
        <v/>
      </c>
      <c r="AZ139" s="1721" t="str">
        <f t="shared" si="430"/>
        <v/>
      </c>
      <c r="BA139" s="1721" t="str">
        <f t="shared" si="431"/>
        <v/>
      </c>
      <c r="BB139" s="1721" t="str">
        <f t="shared" si="432"/>
        <v/>
      </c>
      <c r="BC139" s="1739">
        <f t="shared" si="433"/>
        <v>0</v>
      </c>
      <c r="BD139" s="1739">
        <f t="shared" si="434"/>
        <v>0</v>
      </c>
      <c r="BE139" s="1739">
        <f t="shared" si="435"/>
        <v>0</v>
      </c>
      <c r="BF139" s="1721">
        <f t="shared" si="436"/>
        <v>0</v>
      </c>
      <c r="BG139" s="1721">
        <f t="shared" si="437"/>
        <v>0</v>
      </c>
      <c r="BH139" s="1721">
        <f t="shared" si="438"/>
        <v>0</v>
      </c>
      <c r="BI139" s="1721">
        <f t="shared" si="439"/>
        <v>0</v>
      </c>
      <c r="BJ139" s="1721">
        <f t="shared" si="440"/>
        <v>0</v>
      </c>
      <c r="BK139" s="1721">
        <f t="shared" si="441"/>
        <v>0</v>
      </c>
      <c r="BL139" s="1721">
        <f t="shared" si="442"/>
        <v>0</v>
      </c>
      <c r="BM139" s="1715">
        <f t="shared" si="443"/>
        <v>0</v>
      </c>
      <c r="BN139" s="1715">
        <f t="shared" si="444"/>
        <v>0</v>
      </c>
      <c r="BO139" s="1715">
        <f t="shared" si="445"/>
        <v>0</v>
      </c>
      <c r="BP139" s="1715">
        <f t="shared" si="446"/>
        <v>0</v>
      </c>
      <c r="BQ139" s="1715">
        <f t="shared" si="447"/>
        <v>0</v>
      </c>
      <c r="BR139" s="1715">
        <f t="shared" si="448"/>
        <v>0</v>
      </c>
      <c r="BS139" s="1715">
        <f t="shared" si="449"/>
        <v>0</v>
      </c>
      <c r="BT139" s="1742">
        <f t="shared" si="450"/>
        <v>0</v>
      </c>
      <c r="BU139" s="1690">
        <f t="shared" si="451"/>
        <v>0</v>
      </c>
      <c r="BV139" s="1715" t="str">
        <f t="shared" si="452"/>
        <v/>
      </c>
      <c r="BW139" s="1722">
        <f t="shared" si="453"/>
        <v>0</v>
      </c>
      <c r="BZ139" s="670"/>
      <c r="CA139" s="2800"/>
      <c r="CB139" s="2800"/>
      <c r="CC139" s="107"/>
    </row>
    <row r="140" spans="1:81">
      <c r="A140" s="1690" t="b">
        <f t="shared" si="397"/>
        <v>0</v>
      </c>
      <c r="B140" s="2386">
        <f t="array" ref="B140">IF(ISERROR(INDEX(PQLs!$B$3:$B$87, SMALL(IF(IsoAnalysis=PQLs!$A$3:$A$87, ROW($A$3:$A$86)-ROW($A$3)+1), ROW(3:3)))),0,INDEX(PQLs!$B$3:$B$87, SMALL(IF(IsoAnalysis=PQLs!$A$3:$A$87, ROW($A$3:$A$86)-ROW($A$3)+1), ROW(3:3))))</f>
        <v>0</v>
      </c>
      <c r="C140" s="1884" t="e">
        <f t="shared" si="398"/>
        <v>#N/A</v>
      </c>
      <c r="D140" s="1753" t="e">
        <f t="shared" si="399"/>
        <v>#N/A</v>
      </c>
      <c r="E140" s="1891" t="e">
        <f t="shared" si="400"/>
        <v>#N/A</v>
      </c>
      <c r="F140" s="1889" t="e">
        <f t="shared" si="401"/>
        <v>#N/A</v>
      </c>
      <c r="G140" s="1779"/>
      <c r="H140" s="1755"/>
      <c r="I140" s="1755"/>
      <c r="J140" s="1755"/>
      <c r="K140" s="1755"/>
      <c r="L140" s="1755"/>
      <c r="M140" s="1765"/>
      <c r="N140" s="1759"/>
      <c r="O140" s="1755"/>
      <c r="P140" s="1760"/>
      <c r="Q140" s="1692" t="str">
        <f t="shared" si="402"/>
        <v/>
      </c>
      <c r="R140" s="1692" t="str">
        <f t="shared" si="403"/>
        <v/>
      </c>
      <c r="S140" s="1692" t="str">
        <f t="shared" si="404"/>
        <v/>
      </c>
      <c r="T140" s="1692"/>
      <c r="U140" s="1900" t="str">
        <f t="shared" si="405"/>
        <v/>
      </c>
      <c r="V140" s="1841" t="str">
        <f>IF($B140=0,"",Conc1(BW140,VolumeNTP1,$AG140,MolVol,Pitots!$E$49,Pitots!$F$49,V$136,V$137,VoF))</f>
        <v/>
      </c>
      <c r="W140" s="1739" t="str">
        <f t="shared" si="406"/>
        <v/>
      </c>
      <c r="X140" s="1843" t="str">
        <f t="shared" si="407"/>
        <v/>
      </c>
      <c r="Y140" s="1901" t="str">
        <f>IF(V140="","",MassRate(V140,$AG140,MolVol,V$136,V$137,MRU,MRF,AverageFlowDry1,FF))</f>
        <v/>
      </c>
      <c r="Z140" s="2334" t="str">
        <f t="shared" si="408"/>
        <v/>
      </c>
      <c r="AA140" s="2289" t="str">
        <f t="shared" si="409"/>
        <v/>
      </c>
      <c r="AB140" s="1872" t="str">
        <f t="shared" si="410"/>
        <v/>
      </c>
      <c r="AC140" s="2334" t="str">
        <f t="shared" si="411"/>
        <v/>
      </c>
      <c r="AD140" s="2289" t="str">
        <f t="shared" si="412"/>
        <v/>
      </c>
      <c r="AE140" s="1842"/>
      <c r="AF140" s="1842"/>
      <c r="AG140" s="1753" t="e">
        <f t="shared" si="413"/>
        <v>#N/A</v>
      </c>
      <c r="AH140" s="1870" t="e">
        <f t="shared" si="414"/>
        <v>#N/A</v>
      </c>
      <c r="AK140" s="1872" t="e">
        <f t="shared" si="415"/>
        <v>#N/A</v>
      </c>
      <c r="AL140" s="1721" t="str">
        <f t="shared" si="416"/>
        <v/>
      </c>
      <c r="AM140" s="1721" t="str">
        <f t="shared" si="417"/>
        <v/>
      </c>
      <c r="AN140" s="1721" t="str">
        <f t="shared" si="418"/>
        <v/>
      </c>
      <c r="AO140" s="1721" t="str">
        <f t="shared" si="419"/>
        <v/>
      </c>
      <c r="AP140" s="1721" t="str">
        <f t="shared" si="420"/>
        <v/>
      </c>
      <c r="AQ140" s="1721" t="str">
        <f t="shared" si="421"/>
        <v/>
      </c>
      <c r="AR140" s="1721" t="str">
        <f t="shared" si="422"/>
        <v/>
      </c>
      <c r="AS140" s="1721" t="str">
        <f t="shared" si="423"/>
        <v/>
      </c>
      <c r="AT140" s="1721" t="str">
        <f t="shared" si="424"/>
        <v/>
      </c>
      <c r="AU140" s="1721" t="str">
        <f t="shared" si="425"/>
        <v/>
      </c>
      <c r="AV140" s="1721" t="str">
        <f t="shared" si="426"/>
        <v/>
      </c>
      <c r="AW140" s="1721" t="str">
        <f t="shared" si="427"/>
        <v/>
      </c>
      <c r="AX140" s="1721" t="str">
        <f t="shared" si="428"/>
        <v/>
      </c>
      <c r="AY140" s="1721" t="str">
        <f t="shared" si="429"/>
        <v/>
      </c>
      <c r="AZ140" s="1721" t="str">
        <f t="shared" si="430"/>
        <v/>
      </c>
      <c r="BA140" s="1721" t="str">
        <f t="shared" si="431"/>
        <v/>
      </c>
      <c r="BB140" s="1721" t="str">
        <f t="shared" si="432"/>
        <v/>
      </c>
      <c r="BC140" s="1739">
        <f t="shared" si="433"/>
        <v>0</v>
      </c>
      <c r="BD140" s="1739">
        <f t="shared" si="434"/>
        <v>0</v>
      </c>
      <c r="BE140" s="1739">
        <f t="shared" si="435"/>
        <v>0</v>
      </c>
      <c r="BF140" s="1721">
        <f t="shared" si="436"/>
        <v>0</v>
      </c>
      <c r="BG140" s="1721">
        <f t="shared" si="437"/>
        <v>0</v>
      </c>
      <c r="BH140" s="1721">
        <f t="shared" si="438"/>
        <v>0</v>
      </c>
      <c r="BI140" s="1721">
        <f t="shared" si="439"/>
        <v>0</v>
      </c>
      <c r="BJ140" s="1721">
        <f t="shared" si="440"/>
        <v>0</v>
      </c>
      <c r="BK140" s="1721">
        <f t="shared" si="441"/>
        <v>0</v>
      </c>
      <c r="BL140" s="1721">
        <f t="shared" si="442"/>
        <v>0</v>
      </c>
      <c r="BM140" s="1715">
        <f t="shared" si="443"/>
        <v>0</v>
      </c>
      <c r="BN140" s="1715">
        <f t="shared" si="444"/>
        <v>0</v>
      </c>
      <c r="BO140" s="1715">
        <f t="shared" si="445"/>
        <v>0</v>
      </c>
      <c r="BP140" s="1715">
        <f t="shared" si="446"/>
        <v>0</v>
      </c>
      <c r="BQ140" s="1715">
        <f t="shared" si="447"/>
        <v>0</v>
      </c>
      <c r="BR140" s="1715">
        <f t="shared" si="448"/>
        <v>0</v>
      </c>
      <c r="BS140" s="1715">
        <f t="shared" si="449"/>
        <v>0</v>
      </c>
      <c r="BT140" s="1742">
        <f t="shared" si="450"/>
        <v>0</v>
      </c>
      <c r="BU140" s="1690">
        <f t="shared" si="451"/>
        <v>0</v>
      </c>
      <c r="BV140" s="1715" t="str">
        <f t="shared" si="452"/>
        <v/>
      </c>
      <c r="BW140" s="1722">
        <f t="shared" si="453"/>
        <v>0</v>
      </c>
      <c r="BZ140" s="2009" t="s">
        <v>1949</v>
      </c>
      <c r="CA140" s="2371"/>
      <c r="CB140" s="2371"/>
      <c r="CC140" s="2371"/>
    </row>
    <row r="141" spans="1:81">
      <c r="A141" s="1690" t="b">
        <f t="shared" si="397"/>
        <v>0</v>
      </c>
      <c r="B141" s="2386">
        <f t="array" ref="B141">IF(ISERROR(INDEX(PQLs!$B$3:$B$87, SMALL(IF(IsoAnalysis=PQLs!$A$3:$A$87, ROW($A$3:$A$86)-ROW($A$3)+1), ROW(4:4)))),0,INDEX(PQLs!$B$3:$B$87, SMALL(IF(IsoAnalysis=PQLs!$A$3:$A$87, ROW($A$3:$A$86)-ROW($A$3)+1), ROW(4:4))))</f>
        <v>0</v>
      </c>
      <c r="C141" s="1884" t="e">
        <f t="shared" si="398"/>
        <v>#N/A</v>
      </c>
      <c r="D141" s="1753" t="e">
        <f t="shared" si="399"/>
        <v>#N/A</v>
      </c>
      <c r="E141" s="1891" t="e">
        <f t="shared" si="400"/>
        <v>#N/A</v>
      </c>
      <c r="F141" s="1889" t="e">
        <f t="shared" si="401"/>
        <v>#N/A</v>
      </c>
      <c r="G141" s="1779"/>
      <c r="H141" s="1755"/>
      <c r="I141" s="1755"/>
      <c r="J141" s="1755"/>
      <c r="K141" s="1755"/>
      <c r="L141" s="1755"/>
      <c r="M141" s="1765"/>
      <c r="N141" s="1759"/>
      <c r="O141" s="1755"/>
      <c r="P141" s="1760"/>
      <c r="Q141" s="1692" t="str">
        <f t="shared" si="402"/>
        <v/>
      </c>
      <c r="R141" s="1692" t="str">
        <f t="shared" si="403"/>
        <v/>
      </c>
      <c r="S141" s="1692" t="str">
        <f t="shared" si="404"/>
        <v/>
      </c>
      <c r="T141" s="1692"/>
      <c r="U141" s="1900" t="str">
        <f t="shared" si="405"/>
        <v/>
      </c>
      <c r="V141" s="1841" t="str">
        <f>IF($B141=0,"",Conc1(BW141,VolumeNTP1,$AG141,MolVol,Pitots!$E$49,Pitots!$F$49,V$136,V$137,VoF))</f>
        <v/>
      </c>
      <c r="W141" s="1739" t="str">
        <f t="shared" si="406"/>
        <v/>
      </c>
      <c r="X141" s="1843" t="str">
        <f t="shared" si="407"/>
        <v/>
      </c>
      <c r="Y141" s="1901" t="str">
        <f>IF(V141="","",MassRate(V141,$AG141,MolVol,V$136,V$137,MRU,MRF,AverageFlowDry1,FF))</f>
        <v/>
      </c>
      <c r="Z141" s="2334" t="str">
        <f t="shared" si="408"/>
        <v/>
      </c>
      <c r="AA141" s="2289" t="str">
        <f t="shared" si="409"/>
        <v/>
      </c>
      <c r="AB141" s="1872" t="str">
        <f t="shared" si="410"/>
        <v/>
      </c>
      <c r="AC141" s="2334" t="str">
        <f t="shared" si="411"/>
        <v/>
      </c>
      <c r="AD141" s="2289" t="str">
        <f t="shared" si="412"/>
        <v/>
      </c>
      <c r="AE141" s="1842"/>
      <c r="AF141" s="1842"/>
      <c r="AG141" s="1753" t="e">
        <f t="shared" si="413"/>
        <v>#N/A</v>
      </c>
      <c r="AH141" s="1870" t="e">
        <f t="shared" si="414"/>
        <v>#N/A</v>
      </c>
      <c r="AK141" s="1872" t="e">
        <f t="shared" si="415"/>
        <v>#N/A</v>
      </c>
      <c r="AL141" s="1721" t="str">
        <f t="shared" si="416"/>
        <v/>
      </c>
      <c r="AM141" s="1721" t="str">
        <f t="shared" si="417"/>
        <v/>
      </c>
      <c r="AN141" s="1721" t="str">
        <f t="shared" si="418"/>
        <v/>
      </c>
      <c r="AO141" s="1721" t="str">
        <f t="shared" si="419"/>
        <v/>
      </c>
      <c r="AP141" s="1721" t="str">
        <f t="shared" si="420"/>
        <v/>
      </c>
      <c r="AQ141" s="1721" t="str">
        <f t="shared" si="421"/>
        <v/>
      </c>
      <c r="AR141" s="1721" t="str">
        <f t="shared" si="422"/>
        <v/>
      </c>
      <c r="AS141" s="1721" t="str">
        <f t="shared" si="423"/>
        <v/>
      </c>
      <c r="AT141" s="1721" t="str">
        <f t="shared" si="424"/>
        <v/>
      </c>
      <c r="AU141" s="1721" t="str">
        <f t="shared" si="425"/>
        <v/>
      </c>
      <c r="AV141" s="1721" t="str">
        <f t="shared" si="426"/>
        <v/>
      </c>
      <c r="AW141" s="1721" t="str">
        <f t="shared" si="427"/>
        <v/>
      </c>
      <c r="AX141" s="1721" t="str">
        <f t="shared" si="428"/>
        <v/>
      </c>
      <c r="AY141" s="1721" t="str">
        <f t="shared" si="429"/>
        <v/>
      </c>
      <c r="AZ141" s="1721" t="str">
        <f t="shared" si="430"/>
        <v/>
      </c>
      <c r="BA141" s="1721" t="str">
        <f t="shared" si="431"/>
        <v/>
      </c>
      <c r="BB141" s="1721" t="str">
        <f t="shared" si="432"/>
        <v/>
      </c>
      <c r="BC141" s="1739">
        <f t="shared" si="433"/>
        <v>0</v>
      </c>
      <c r="BD141" s="1739">
        <f t="shared" si="434"/>
        <v>0</v>
      </c>
      <c r="BE141" s="1739">
        <f t="shared" si="435"/>
        <v>0</v>
      </c>
      <c r="BF141" s="1721">
        <f t="shared" si="436"/>
        <v>0</v>
      </c>
      <c r="BG141" s="1721">
        <f t="shared" si="437"/>
        <v>0</v>
      </c>
      <c r="BH141" s="1721">
        <f t="shared" si="438"/>
        <v>0</v>
      </c>
      <c r="BI141" s="1721">
        <f t="shared" si="439"/>
        <v>0</v>
      </c>
      <c r="BJ141" s="1721">
        <f t="shared" si="440"/>
        <v>0</v>
      </c>
      <c r="BK141" s="1721">
        <f t="shared" si="441"/>
        <v>0</v>
      </c>
      <c r="BL141" s="1721">
        <f t="shared" si="442"/>
        <v>0</v>
      </c>
      <c r="BM141" s="1715">
        <f t="shared" si="443"/>
        <v>0</v>
      </c>
      <c r="BN141" s="1715">
        <f t="shared" si="444"/>
        <v>0</v>
      </c>
      <c r="BO141" s="1715">
        <f t="shared" si="445"/>
        <v>0</v>
      </c>
      <c r="BP141" s="1715">
        <f t="shared" si="446"/>
        <v>0</v>
      </c>
      <c r="BQ141" s="1715">
        <f t="shared" si="447"/>
        <v>0</v>
      </c>
      <c r="BR141" s="1715">
        <f t="shared" si="448"/>
        <v>0</v>
      </c>
      <c r="BS141" s="1715">
        <f t="shared" si="449"/>
        <v>0</v>
      </c>
      <c r="BT141" s="1742">
        <f t="shared" si="450"/>
        <v>0</v>
      </c>
      <c r="BU141" s="1690">
        <f t="shared" si="451"/>
        <v>0</v>
      </c>
      <c r="BV141" s="1715" t="str">
        <f t="shared" si="452"/>
        <v/>
      </c>
      <c r="BW141" s="1722">
        <f t="shared" si="453"/>
        <v>0</v>
      </c>
      <c r="BZ141" s="2030"/>
      <c r="CA141" s="2595" t="s">
        <v>819</v>
      </c>
      <c r="CB141" s="2595"/>
      <c r="CC141" s="2016" t="s">
        <v>1950</v>
      </c>
    </row>
    <row r="142" spans="1:81">
      <c r="A142" s="1690" t="b">
        <f t="shared" si="397"/>
        <v>0</v>
      </c>
      <c r="B142" s="2386">
        <f t="array" ref="B142">IF(ISERROR(INDEX(PQLs!$B$3:$B$87, SMALL(IF(IsoAnalysis=PQLs!$A$3:$A$87, ROW($A$3:$A$86)-ROW($A$3)+1), ROW(5:5)))),0,INDEX(PQLs!$B$3:$B$87, SMALL(IF(IsoAnalysis=PQLs!$A$3:$A$87, ROW($A$3:$A$86)-ROW($A$3)+1), ROW(5:5))))</f>
        <v>0</v>
      </c>
      <c r="C142" s="1884" t="e">
        <f t="shared" si="398"/>
        <v>#N/A</v>
      </c>
      <c r="D142" s="1753" t="e">
        <f t="shared" si="399"/>
        <v>#N/A</v>
      </c>
      <c r="E142" s="1891" t="e">
        <f t="shared" si="400"/>
        <v>#N/A</v>
      </c>
      <c r="F142" s="1889" t="e">
        <f t="shared" si="401"/>
        <v>#N/A</v>
      </c>
      <c r="G142" s="1779"/>
      <c r="H142" s="1755"/>
      <c r="I142" s="1755"/>
      <c r="J142" s="1755"/>
      <c r="K142" s="1755"/>
      <c r="L142" s="1755"/>
      <c r="M142" s="1765"/>
      <c r="N142" s="1759"/>
      <c r="O142" s="1755"/>
      <c r="P142" s="1760"/>
      <c r="Q142" s="1692" t="str">
        <f t="shared" si="402"/>
        <v/>
      </c>
      <c r="R142" s="1692" t="str">
        <f t="shared" si="403"/>
        <v/>
      </c>
      <c r="S142" s="1692" t="str">
        <f t="shared" si="404"/>
        <v/>
      </c>
      <c r="T142" s="1692"/>
      <c r="U142" s="1900" t="str">
        <f t="shared" si="405"/>
        <v/>
      </c>
      <c r="V142" s="1841" t="str">
        <f>IF($B142=0,"",Conc1(BW142,VolumeNTP1,$AG142,MolVol,Pitots!$E$49,Pitots!$F$49,V$136,V$137,VoF))</f>
        <v/>
      </c>
      <c r="W142" s="1739" t="str">
        <f t="shared" si="406"/>
        <v/>
      </c>
      <c r="X142" s="1843" t="str">
        <f t="shared" si="407"/>
        <v/>
      </c>
      <c r="Y142" s="1901" t="str">
        <f>IF(V142="","",MassRate(V142,$AG142,MolVol,V$136,V$137,MRU,MRF,AverageFlowDry1,FF))</f>
        <v/>
      </c>
      <c r="Z142" s="2334" t="str">
        <f t="shared" si="408"/>
        <v/>
      </c>
      <c r="AA142" s="2289" t="str">
        <f t="shared" si="409"/>
        <v/>
      </c>
      <c r="AB142" s="1872" t="str">
        <f t="shared" si="410"/>
        <v/>
      </c>
      <c r="AC142" s="2334" t="str">
        <f t="shared" si="411"/>
        <v/>
      </c>
      <c r="AD142" s="2289" t="str">
        <f t="shared" si="412"/>
        <v/>
      </c>
      <c r="AE142" s="1842"/>
      <c r="AF142" s="1842"/>
      <c r="AG142" s="1753" t="e">
        <f t="shared" si="413"/>
        <v>#N/A</v>
      </c>
      <c r="AH142" s="1870" t="e">
        <f t="shared" si="414"/>
        <v>#N/A</v>
      </c>
      <c r="AK142" s="1872" t="e">
        <f t="shared" si="415"/>
        <v>#N/A</v>
      </c>
      <c r="AL142" s="1721" t="str">
        <f t="shared" si="416"/>
        <v/>
      </c>
      <c r="AM142" s="1721" t="str">
        <f t="shared" si="417"/>
        <v/>
      </c>
      <c r="AN142" s="1721" t="str">
        <f t="shared" si="418"/>
        <v/>
      </c>
      <c r="AO142" s="1721" t="str">
        <f t="shared" si="419"/>
        <v/>
      </c>
      <c r="AP142" s="1721" t="str">
        <f t="shared" si="420"/>
        <v/>
      </c>
      <c r="AQ142" s="1721" t="str">
        <f t="shared" si="421"/>
        <v/>
      </c>
      <c r="AR142" s="1721" t="str">
        <f t="shared" si="422"/>
        <v/>
      </c>
      <c r="AS142" s="1721" t="str">
        <f t="shared" si="423"/>
        <v/>
      </c>
      <c r="AT142" s="1721" t="str">
        <f t="shared" si="424"/>
        <v/>
      </c>
      <c r="AU142" s="1721" t="str">
        <f t="shared" si="425"/>
        <v/>
      </c>
      <c r="AV142" s="1721" t="str">
        <f t="shared" si="426"/>
        <v/>
      </c>
      <c r="AW142" s="1721" t="str">
        <f t="shared" si="427"/>
        <v/>
      </c>
      <c r="AX142" s="1721" t="str">
        <f t="shared" si="428"/>
        <v/>
      </c>
      <c r="AY142" s="1721" t="str">
        <f t="shared" si="429"/>
        <v/>
      </c>
      <c r="AZ142" s="1721" t="str">
        <f t="shared" si="430"/>
        <v/>
      </c>
      <c r="BA142" s="1721" t="str">
        <f t="shared" si="431"/>
        <v/>
      </c>
      <c r="BB142" s="1721" t="str">
        <f t="shared" si="432"/>
        <v/>
      </c>
      <c r="BC142" s="1739">
        <f t="shared" si="433"/>
        <v>0</v>
      </c>
      <c r="BD142" s="1739">
        <f t="shared" si="434"/>
        <v>0</v>
      </c>
      <c r="BE142" s="1739">
        <f t="shared" si="435"/>
        <v>0</v>
      </c>
      <c r="BF142" s="1721">
        <f t="shared" si="436"/>
        <v>0</v>
      </c>
      <c r="BG142" s="1721">
        <f t="shared" si="437"/>
        <v>0</v>
      </c>
      <c r="BH142" s="1721">
        <f t="shared" si="438"/>
        <v>0</v>
      </c>
      <c r="BI142" s="1721">
        <f t="shared" si="439"/>
        <v>0</v>
      </c>
      <c r="BJ142" s="1721">
        <f t="shared" si="440"/>
        <v>0</v>
      </c>
      <c r="BK142" s="1721">
        <f t="shared" si="441"/>
        <v>0</v>
      </c>
      <c r="BL142" s="1721">
        <f t="shared" si="442"/>
        <v>0</v>
      </c>
      <c r="BM142" s="1715">
        <f t="shared" si="443"/>
        <v>0</v>
      </c>
      <c r="BN142" s="1715">
        <f t="shared" si="444"/>
        <v>0</v>
      </c>
      <c r="BO142" s="1715">
        <f t="shared" si="445"/>
        <v>0</v>
      </c>
      <c r="BP142" s="1715">
        <f t="shared" si="446"/>
        <v>0</v>
      </c>
      <c r="BQ142" s="1715">
        <f t="shared" si="447"/>
        <v>0</v>
      </c>
      <c r="BR142" s="1715">
        <f t="shared" si="448"/>
        <v>0</v>
      </c>
      <c r="BS142" s="1715">
        <f t="shared" si="449"/>
        <v>0</v>
      </c>
      <c r="BT142" s="1742">
        <f t="shared" si="450"/>
        <v>0</v>
      </c>
      <c r="BU142" s="1690">
        <f t="shared" si="451"/>
        <v>0</v>
      </c>
      <c r="BV142" s="1715" t="str">
        <f t="shared" si="452"/>
        <v/>
      </c>
      <c r="BW142" s="1722">
        <f t="shared" si="453"/>
        <v>0</v>
      </c>
      <c r="BZ142" s="2021" t="s">
        <v>2121</v>
      </c>
      <c r="CA142" s="2804" t="e">
        <f>IF(VLOOKUP($BZ142,$B$138:$AA$173,20,FALSE)="&lt;",1,0)</f>
        <v>#N/A</v>
      </c>
      <c r="CB142" s="2804"/>
      <c r="CC142" s="2372" t="str">
        <f>IF(ISNA(VLOOKUP($BZ142,$B$138:$AA$173,21,FALSE)),"",(VLOOKUP($BZ142,$B$138:$AA$173,21,FALSE)))</f>
        <v/>
      </c>
    </row>
    <row r="143" spans="1:81">
      <c r="A143" s="1690" t="b">
        <f t="shared" si="397"/>
        <v>0</v>
      </c>
      <c r="B143" s="2386">
        <f t="array" ref="B143">IF(ISERROR(INDEX(PQLs!$B$3:$B$87, SMALL(IF(IsoAnalysis=PQLs!$A$3:$A$87, ROW($A$3:$A$86)-ROW($A$3)+1), ROW(6:6)))),0,INDEX(PQLs!$B$3:$B$87, SMALL(IF(IsoAnalysis=PQLs!$A$3:$A$87, ROW($A$3:$A$86)-ROW($A$3)+1), ROW(6:6))))</f>
        <v>0</v>
      </c>
      <c r="C143" s="1884" t="e">
        <f t="shared" si="398"/>
        <v>#N/A</v>
      </c>
      <c r="D143" s="1753" t="e">
        <f t="shared" si="399"/>
        <v>#N/A</v>
      </c>
      <c r="E143" s="1891" t="e">
        <f t="shared" si="400"/>
        <v>#N/A</v>
      </c>
      <c r="F143" s="1889" t="e">
        <f t="shared" si="401"/>
        <v>#N/A</v>
      </c>
      <c r="G143" s="1779"/>
      <c r="H143" s="1755"/>
      <c r="I143" s="1755"/>
      <c r="J143" s="1755"/>
      <c r="K143" s="1755"/>
      <c r="L143" s="1755"/>
      <c r="M143" s="1765"/>
      <c r="N143" s="1759"/>
      <c r="O143" s="1755"/>
      <c r="P143" s="1760"/>
      <c r="Q143" s="1692" t="str">
        <f t="shared" si="402"/>
        <v/>
      </c>
      <c r="R143" s="1692" t="str">
        <f t="shared" si="403"/>
        <v/>
      </c>
      <c r="S143" s="1692" t="str">
        <f t="shared" si="404"/>
        <v/>
      </c>
      <c r="T143" s="1692"/>
      <c r="U143" s="1900" t="str">
        <f t="shared" si="405"/>
        <v/>
      </c>
      <c r="V143" s="1841" t="str">
        <f>IF($B143=0,"",Conc1(BW143,VolumeNTP1,$AG143,MolVol,Pitots!$E$49,Pitots!$F$49,V$136,V$137,VoF))</f>
        <v/>
      </c>
      <c r="W143" s="1739" t="str">
        <f t="shared" si="406"/>
        <v/>
      </c>
      <c r="X143" s="1843" t="str">
        <f t="shared" si="407"/>
        <v/>
      </c>
      <c r="Y143" s="1901" t="str">
        <f>IF(V143="","",MassRate(V143,$AG143,MolVol,V$136,V$137,MRU,MRF,AverageFlowDry1,FF))</f>
        <v/>
      </c>
      <c r="Z143" s="2334" t="str">
        <f t="shared" si="408"/>
        <v/>
      </c>
      <c r="AA143" s="2289" t="str">
        <f t="shared" si="409"/>
        <v/>
      </c>
      <c r="AB143" s="1872" t="str">
        <f t="shared" si="410"/>
        <v/>
      </c>
      <c r="AC143" s="2334" t="str">
        <f t="shared" si="411"/>
        <v/>
      </c>
      <c r="AD143" s="2289" t="str">
        <f t="shared" si="412"/>
        <v/>
      </c>
      <c r="AE143" s="1842"/>
      <c r="AF143" s="1842"/>
      <c r="AG143" s="1753" t="e">
        <f t="shared" si="413"/>
        <v>#N/A</v>
      </c>
      <c r="AH143" s="1870" t="e">
        <f t="shared" si="414"/>
        <v>#N/A</v>
      </c>
      <c r="AK143" s="1872" t="e">
        <f t="shared" si="415"/>
        <v>#N/A</v>
      </c>
      <c r="AL143" s="1721" t="str">
        <f t="shared" si="416"/>
        <v/>
      </c>
      <c r="AM143" s="1721" t="str">
        <f t="shared" si="417"/>
        <v/>
      </c>
      <c r="AN143" s="1721" t="str">
        <f t="shared" si="418"/>
        <v/>
      </c>
      <c r="AO143" s="1721" t="str">
        <f t="shared" si="419"/>
        <v/>
      </c>
      <c r="AP143" s="1721" t="str">
        <f t="shared" si="420"/>
        <v/>
      </c>
      <c r="AQ143" s="1721" t="str">
        <f t="shared" si="421"/>
        <v/>
      </c>
      <c r="AR143" s="1721" t="str">
        <f t="shared" si="422"/>
        <v/>
      </c>
      <c r="AS143" s="1721" t="str">
        <f t="shared" si="423"/>
        <v/>
      </c>
      <c r="AT143" s="1721" t="str">
        <f t="shared" si="424"/>
        <v/>
      </c>
      <c r="AU143" s="1721" t="str">
        <f t="shared" si="425"/>
        <v/>
      </c>
      <c r="AV143" s="1721" t="str">
        <f t="shared" si="426"/>
        <v/>
      </c>
      <c r="AW143" s="1721" t="str">
        <f t="shared" si="427"/>
        <v/>
      </c>
      <c r="AX143" s="1721" t="str">
        <f t="shared" si="428"/>
        <v/>
      </c>
      <c r="AY143" s="1721" t="str">
        <f t="shared" si="429"/>
        <v/>
      </c>
      <c r="AZ143" s="1721" t="str">
        <f t="shared" si="430"/>
        <v/>
      </c>
      <c r="BA143" s="1721" t="str">
        <f t="shared" si="431"/>
        <v/>
      </c>
      <c r="BB143" s="1721" t="str">
        <f t="shared" si="432"/>
        <v/>
      </c>
      <c r="BC143" s="1739">
        <f t="shared" si="433"/>
        <v>0</v>
      </c>
      <c r="BD143" s="1739">
        <f t="shared" si="434"/>
        <v>0</v>
      </c>
      <c r="BE143" s="1739">
        <f t="shared" si="435"/>
        <v>0</v>
      </c>
      <c r="BF143" s="1721">
        <f t="shared" si="436"/>
        <v>0</v>
      </c>
      <c r="BG143" s="1721">
        <f t="shared" si="437"/>
        <v>0</v>
      </c>
      <c r="BH143" s="1721">
        <f t="shared" si="438"/>
        <v>0</v>
      </c>
      <c r="BI143" s="1721">
        <f t="shared" si="439"/>
        <v>0</v>
      </c>
      <c r="BJ143" s="1721">
        <f t="shared" si="440"/>
        <v>0</v>
      </c>
      <c r="BK143" s="1721">
        <f t="shared" si="441"/>
        <v>0</v>
      </c>
      <c r="BL143" s="1721">
        <f t="shared" si="442"/>
        <v>0</v>
      </c>
      <c r="BM143" s="1715">
        <f t="shared" si="443"/>
        <v>0</v>
      </c>
      <c r="BN143" s="1715">
        <f t="shared" si="444"/>
        <v>0</v>
      </c>
      <c r="BO143" s="1715">
        <f t="shared" si="445"/>
        <v>0</v>
      </c>
      <c r="BP143" s="1715">
        <f t="shared" si="446"/>
        <v>0</v>
      </c>
      <c r="BQ143" s="1715">
        <f t="shared" si="447"/>
        <v>0</v>
      </c>
      <c r="BR143" s="1715">
        <f t="shared" si="448"/>
        <v>0</v>
      </c>
      <c r="BS143" s="1715">
        <f t="shared" si="449"/>
        <v>0</v>
      </c>
      <c r="BT143" s="1742">
        <f t="shared" si="450"/>
        <v>0</v>
      </c>
      <c r="BU143" s="1690">
        <f t="shared" si="451"/>
        <v>0</v>
      </c>
      <c r="BV143" s="1715" t="str">
        <f t="shared" si="452"/>
        <v/>
      </c>
      <c r="BW143" s="1722">
        <f t="shared" si="453"/>
        <v>0</v>
      </c>
      <c r="BZ143" s="2024" t="s">
        <v>2122</v>
      </c>
      <c r="CA143" s="2801" t="e">
        <f>IF(VLOOKUP($BZ143,$B$138:$AA$173,20,FALSE)="&lt;",1,0)</f>
        <v>#N/A</v>
      </c>
      <c r="CB143" s="2801"/>
      <c r="CC143" s="2373" t="str">
        <f>IF(ISNA(VLOOKUP($BZ143,$B$138:$AA$173,21,FALSE)),"",(VLOOKUP($BZ143,$B$138:$AA$173,21,FALSE)))</f>
        <v/>
      </c>
    </row>
    <row r="144" spans="1:81">
      <c r="A144" s="1690" t="b">
        <f t="shared" si="397"/>
        <v>0</v>
      </c>
      <c r="B144" s="2386">
        <f t="array" ref="B144">IF(ISERROR(INDEX(PQLs!$B$3:$B$87, SMALL(IF(IsoAnalysis=PQLs!$A$3:$A$87, ROW($A$3:$A$86)-ROW($A$3)+1), ROW(7:7)))),0,INDEX(PQLs!$B$3:$B$87, SMALL(IF(IsoAnalysis=PQLs!$A$3:$A$87, ROW($A$3:$A$86)-ROW($A$3)+1), ROW(7:7))))</f>
        <v>0</v>
      </c>
      <c r="C144" s="1884" t="e">
        <f t="shared" si="398"/>
        <v>#N/A</v>
      </c>
      <c r="D144" s="1753" t="e">
        <f t="shared" si="399"/>
        <v>#N/A</v>
      </c>
      <c r="E144" s="1891" t="e">
        <f t="shared" si="400"/>
        <v>#N/A</v>
      </c>
      <c r="F144" s="1889" t="e">
        <f t="shared" si="401"/>
        <v>#N/A</v>
      </c>
      <c r="G144" s="1779"/>
      <c r="H144" s="1755"/>
      <c r="I144" s="1755"/>
      <c r="J144" s="1755"/>
      <c r="K144" s="1755"/>
      <c r="L144" s="1755"/>
      <c r="M144" s="1765"/>
      <c r="N144" s="1759"/>
      <c r="O144" s="1755"/>
      <c r="P144" s="1760"/>
      <c r="Q144" s="1692" t="str">
        <f t="shared" si="402"/>
        <v/>
      </c>
      <c r="R144" s="1692" t="str">
        <f t="shared" si="403"/>
        <v/>
      </c>
      <c r="S144" s="1692" t="str">
        <f t="shared" si="404"/>
        <v/>
      </c>
      <c r="T144" s="1692"/>
      <c r="U144" s="1900" t="str">
        <f t="shared" si="405"/>
        <v/>
      </c>
      <c r="V144" s="1841" t="str">
        <f>IF($B144=0,"",Conc1(BW144,VolumeNTP1,$AG144,MolVol,Pitots!$E$49,Pitots!$F$49,V$136,V$137,VoF))</f>
        <v/>
      </c>
      <c r="W144" s="1739" t="str">
        <f t="shared" si="406"/>
        <v/>
      </c>
      <c r="X144" s="1843" t="str">
        <f t="shared" si="407"/>
        <v/>
      </c>
      <c r="Y144" s="1901" t="str">
        <f>IF(V144="","",MassRate(V144,$AG144,MolVol,V$136,V$137,MRU,MRF,AverageFlowDry1,FF))</f>
        <v/>
      </c>
      <c r="Z144" s="2334" t="str">
        <f t="shared" si="408"/>
        <v/>
      </c>
      <c r="AA144" s="2289" t="str">
        <f t="shared" si="409"/>
        <v/>
      </c>
      <c r="AB144" s="1872" t="str">
        <f t="shared" si="410"/>
        <v/>
      </c>
      <c r="AC144" s="2334" t="str">
        <f t="shared" si="411"/>
        <v/>
      </c>
      <c r="AD144" s="2289" t="str">
        <f t="shared" si="412"/>
        <v/>
      </c>
      <c r="AE144" s="1842"/>
      <c r="AF144" s="1842"/>
      <c r="AG144" s="1753" t="e">
        <f t="shared" si="413"/>
        <v>#N/A</v>
      </c>
      <c r="AH144" s="1870" t="e">
        <f t="shared" si="414"/>
        <v>#N/A</v>
      </c>
      <c r="AK144" s="1872" t="e">
        <f t="shared" si="415"/>
        <v>#N/A</v>
      </c>
      <c r="AL144" s="1721" t="str">
        <f t="shared" si="416"/>
        <v/>
      </c>
      <c r="AM144" s="1721" t="str">
        <f t="shared" si="417"/>
        <v/>
      </c>
      <c r="AN144" s="1721" t="str">
        <f t="shared" si="418"/>
        <v/>
      </c>
      <c r="AO144" s="1721" t="str">
        <f t="shared" si="419"/>
        <v/>
      </c>
      <c r="AP144" s="1721" t="str">
        <f t="shared" si="420"/>
        <v/>
      </c>
      <c r="AQ144" s="1721" t="str">
        <f t="shared" si="421"/>
        <v/>
      </c>
      <c r="AR144" s="1721" t="str">
        <f t="shared" si="422"/>
        <v/>
      </c>
      <c r="AS144" s="1721" t="str">
        <f t="shared" si="423"/>
        <v/>
      </c>
      <c r="AT144" s="1721" t="str">
        <f t="shared" si="424"/>
        <v/>
      </c>
      <c r="AU144" s="1721" t="str">
        <f t="shared" si="425"/>
        <v/>
      </c>
      <c r="AV144" s="1721" t="str">
        <f t="shared" si="426"/>
        <v/>
      </c>
      <c r="AW144" s="1721" t="str">
        <f t="shared" si="427"/>
        <v/>
      </c>
      <c r="AX144" s="1721" t="str">
        <f t="shared" si="428"/>
        <v/>
      </c>
      <c r="AY144" s="1721" t="str">
        <f t="shared" si="429"/>
        <v/>
      </c>
      <c r="AZ144" s="1721" t="str">
        <f t="shared" si="430"/>
        <v/>
      </c>
      <c r="BA144" s="1721" t="str">
        <f t="shared" si="431"/>
        <v/>
      </c>
      <c r="BB144" s="1721" t="str">
        <f t="shared" si="432"/>
        <v/>
      </c>
      <c r="BC144" s="1739">
        <f t="shared" si="433"/>
        <v>0</v>
      </c>
      <c r="BD144" s="1739">
        <f t="shared" si="434"/>
        <v>0</v>
      </c>
      <c r="BE144" s="1739">
        <f t="shared" si="435"/>
        <v>0</v>
      </c>
      <c r="BF144" s="1721">
        <f t="shared" si="436"/>
        <v>0</v>
      </c>
      <c r="BG144" s="1721">
        <f t="shared" si="437"/>
        <v>0</v>
      </c>
      <c r="BH144" s="1721">
        <f t="shared" si="438"/>
        <v>0</v>
      </c>
      <c r="BI144" s="1721">
        <f t="shared" si="439"/>
        <v>0</v>
      </c>
      <c r="BJ144" s="1721">
        <f t="shared" si="440"/>
        <v>0</v>
      </c>
      <c r="BK144" s="1721">
        <f t="shared" si="441"/>
        <v>0</v>
      </c>
      <c r="BL144" s="1721">
        <f t="shared" si="442"/>
        <v>0</v>
      </c>
      <c r="BM144" s="1715">
        <f t="shared" si="443"/>
        <v>0</v>
      </c>
      <c r="BN144" s="1715">
        <f t="shared" si="444"/>
        <v>0</v>
      </c>
      <c r="BO144" s="1715">
        <f t="shared" si="445"/>
        <v>0</v>
      </c>
      <c r="BP144" s="1715">
        <f t="shared" si="446"/>
        <v>0</v>
      </c>
      <c r="BQ144" s="1715">
        <f t="shared" si="447"/>
        <v>0</v>
      </c>
      <c r="BR144" s="1715">
        <f t="shared" si="448"/>
        <v>0</v>
      </c>
      <c r="BS144" s="1715">
        <f t="shared" si="449"/>
        <v>0</v>
      </c>
      <c r="BT144" s="1742">
        <f t="shared" si="450"/>
        <v>0</v>
      </c>
      <c r="BU144" s="1690">
        <f t="shared" si="451"/>
        <v>0</v>
      </c>
      <c r="BV144" s="1715" t="str">
        <f t="shared" si="452"/>
        <v/>
      </c>
      <c r="BW144" s="1722">
        <f t="shared" si="453"/>
        <v>0</v>
      </c>
      <c r="BZ144" s="2024" t="s">
        <v>2125</v>
      </c>
      <c r="CA144" s="2801" t="e">
        <f>IF(VLOOKUP($BZ144,$B$138:$AA$173,20,FALSE)="&lt;",1,0)</f>
        <v>#N/A</v>
      </c>
      <c r="CB144" s="2801"/>
      <c r="CC144" s="2373" t="str">
        <f>IF(ISNA(VLOOKUP($BZ144,$B$138:$AA$173,21,FALSE)),"",(VLOOKUP($BZ144,$B$138:$AA$173,21,FALSE)))</f>
        <v/>
      </c>
    </row>
    <row r="145" spans="1:81">
      <c r="A145" s="1690" t="b">
        <f t="shared" si="397"/>
        <v>0</v>
      </c>
      <c r="B145" s="2386">
        <f t="array" ref="B145">IF(ISERROR(INDEX(PQLs!$B$3:$B$87, SMALL(IF(IsoAnalysis=PQLs!$A$3:$A$87, ROW($A$3:$A$86)-ROW($A$3)+1), ROW(8:8)))),0,INDEX(PQLs!$B$3:$B$87, SMALL(IF(IsoAnalysis=PQLs!$A$3:$A$87, ROW($A$3:$A$86)-ROW($A$3)+1), ROW(8:8))))</f>
        <v>0</v>
      </c>
      <c r="C145" s="1884" t="e">
        <f t="shared" si="398"/>
        <v>#N/A</v>
      </c>
      <c r="D145" s="1753" t="e">
        <f t="shared" si="399"/>
        <v>#N/A</v>
      </c>
      <c r="E145" s="1891" t="e">
        <f t="shared" si="400"/>
        <v>#N/A</v>
      </c>
      <c r="F145" s="1889" t="e">
        <f t="shared" si="401"/>
        <v>#N/A</v>
      </c>
      <c r="G145" s="1779"/>
      <c r="H145" s="1755"/>
      <c r="I145" s="1755"/>
      <c r="J145" s="1755"/>
      <c r="K145" s="1755"/>
      <c r="L145" s="1755"/>
      <c r="M145" s="1765"/>
      <c r="N145" s="1759"/>
      <c r="O145" s="1755"/>
      <c r="P145" s="1760"/>
      <c r="Q145" s="1692" t="str">
        <f t="shared" si="402"/>
        <v/>
      </c>
      <c r="R145" s="1692" t="str">
        <f t="shared" si="403"/>
        <v/>
      </c>
      <c r="S145" s="1692" t="str">
        <f t="shared" si="404"/>
        <v/>
      </c>
      <c r="T145" s="1692"/>
      <c r="U145" s="1900" t="str">
        <f t="shared" si="405"/>
        <v/>
      </c>
      <c r="V145" s="1841" t="str">
        <f>IF($B145=0,"",Conc1(BW145,VolumeNTP1,$AG145,MolVol,Pitots!$E$49,Pitots!$F$49,V$136,V$137,VoF))</f>
        <v/>
      </c>
      <c r="W145" s="1739" t="str">
        <f t="shared" si="406"/>
        <v/>
      </c>
      <c r="X145" s="1843" t="str">
        <f t="shared" si="407"/>
        <v/>
      </c>
      <c r="Y145" s="1901" t="str">
        <f>IF(V145="","",MassRate(V145,$AG145,MolVol,V$136,V$137,MRU,MRF,AverageFlowDry1,FF))</f>
        <v/>
      </c>
      <c r="Z145" s="2334" t="str">
        <f t="shared" si="408"/>
        <v/>
      </c>
      <c r="AA145" s="2289" t="str">
        <f t="shared" si="409"/>
        <v/>
      </c>
      <c r="AB145" s="1872" t="str">
        <f t="shared" si="410"/>
        <v/>
      </c>
      <c r="AC145" s="2334" t="str">
        <f t="shared" si="411"/>
        <v/>
      </c>
      <c r="AD145" s="2289" t="str">
        <f t="shared" si="412"/>
        <v/>
      </c>
      <c r="AE145" s="1842"/>
      <c r="AF145" s="1842"/>
      <c r="AG145" s="1753" t="e">
        <f t="shared" si="413"/>
        <v>#N/A</v>
      </c>
      <c r="AH145" s="1870" t="e">
        <f t="shared" si="414"/>
        <v>#N/A</v>
      </c>
      <c r="AK145" s="1872" t="e">
        <f t="shared" si="415"/>
        <v>#N/A</v>
      </c>
      <c r="AL145" s="1721" t="str">
        <f t="shared" si="416"/>
        <v/>
      </c>
      <c r="AM145" s="1721" t="str">
        <f t="shared" si="417"/>
        <v/>
      </c>
      <c r="AN145" s="1721" t="str">
        <f t="shared" si="418"/>
        <v/>
      </c>
      <c r="AO145" s="1721" t="str">
        <f t="shared" si="419"/>
        <v/>
      </c>
      <c r="AP145" s="1721" t="str">
        <f t="shared" si="420"/>
        <v/>
      </c>
      <c r="AQ145" s="1721" t="str">
        <f t="shared" si="421"/>
        <v/>
      </c>
      <c r="AR145" s="1721" t="str">
        <f t="shared" si="422"/>
        <v/>
      </c>
      <c r="AS145" s="1721" t="str">
        <f t="shared" si="423"/>
        <v/>
      </c>
      <c r="AT145" s="1721" t="str">
        <f t="shared" si="424"/>
        <v/>
      </c>
      <c r="AU145" s="1721" t="str">
        <f t="shared" si="425"/>
        <v/>
      </c>
      <c r="AV145" s="1721" t="str">
        <f t="shared" si="426"/>
        <v/>
      </c>
      <c r="AW145" s="1721" t="str">
        <f t="shared" si="427"/>
        <v/>
      </c>
      <c r="AX145" s="1721" t="str">
        <f t="shared" si="428"/>
        <v/>
      </c>
      <c r="AY145" s="1721" t="str">
        <f t="shared" si="429"/>
        <v/>
      </c>
      <c r="AZ145" s="1721" t="str">
        <f t="shared" si="430"/>
        <v/>
      </c>
      <c r="BA145" s="1721" t="str">
        <f t="shared" si="431"/>
        <v/>
      </c>
      <c r="BB145" s="1721" t="str">
        <f t="shared" si="432"/>
        <v/>
      </c>
      <c r="BC145" s="1739">
        <f t="shared" si="433"/>
        <v>0</v>
      </c>
      <c r="BD145" s="1739">
        <f t="shared" si="434"/>
        <v>0</v>
      </c>
      <c r="BE145" s="1739">
        <f t="shared" si="435"/>
        <v>0</v>
      </c>
      <c r="BF145" s="1721">
        <f t="shared" si="436"/>
        <v>0</v>
      </c>
      <c r="BG145" s="1721">
        <f t="shared" si="437"/>
        <v>0</v>
      </c>
      <c r="BH145" s="1721">
        <f t="shared" si="438"/>
        <v>0</v>
      </c>
      <c r="BI145" s="1721">
        <f t="shared" si="439"/>
        <v>0</v>
      </c>
      <c r="BJ145" s="1721">
        <f t="shared" si="440"/>
        <v>0</v>
      </c>
      <c r="BK145" s="1721">
        <f t="shared" si="441"/>
        <v>0</v>
      </c>
      <c r="BL145" s="1721">
        <f t="shared" si="442"/>
        <v>0</v>
      </c>
      <c r="BM145" s="1715">
        <f t="shared" si="443"/>
        <v>0</v>
      </c>
      <c r="BN145" s="1715">
        <f t="shared" si="444"/>
        <v>0</v>
      </c>
      <c r="BO145" s="1715">
        <f t="shared" si="445"/>
        <v>0</v>
      </c>
      <c r="BP145" s="1715">
        <f t="shared" si="446"/>
        <v>0</v>
      </c>
      <c r="BQ145" s="1715">
        <f t="shared" si="447"/>
        <v>0</v>
      </c>
      <c r="BR145" s="1715">
        <f t="shared" si="448"/>
        <v>0</v>
      </c>
      <c r="BS145" s="1715">
        <f t="shared" si="449"/>
        <v>0</v>
      </c>
      <c r="BT145" s="1742">
        <f t="shared" si="450"/>
        <v>0</v>
      </c>
      <c r="BU145" s="1690">
        <f t="shared" si="451"/>
        <v>0</v>
      </c>
      <c r="BV145" s="1715" t="str">
        <f t="shared" si="452"/>
        <v/>
      </c>
      <c r="BW145" s="1722">
        <f t="shared" si="453"/>
        <v>0</v>
      </c>
      <c r="BZ145" s="2024" t="s">
        <v>2129</v>
      </c>
      <c r="CA145" s="2801" t="e">
        <f>IF(VLOOKUP($BZ145,$B$138:$AA$173,20,FALSE)="&lt;",1,0)</f>
        <v>#N/A</v>
      </c>
      <c r="CB145" s="2801"/>
      <c r="CC145" s="2373" t="str">
        <f>IF(ISNA(VLOOKUP($BZ145,$B$138:$AA$173,21,FALSE)),"",(VLOOKUP($BZ145,$B$138:$AA$173,21,FALSE)))</f>
        <v/>
      </c>
    </row>
    <row r="146" spans="1:81">
      <c r="A146" s="1690" t="b">
        <f t="shared" si="397"/>
        <v>0</v>
      </c>
      <c r="B146" s="2386">
        <f t="array" ref="B146">IF(ISERROR(INDEX(PQLs!$B$3:$B$87, SMALL(IF(IsoAnalysis=PQLs!$A$3:$A$87, ROW($A$3:$A$86)-ROW($A$3)+1), ROW(#REF!)))),0,INDEX(PQLs!$B$3:$B$87, SMALL(IF(IsoAnalysis=PQLs!$A$3:$A$87, ROW($A$3:$A$86)-ROW($A$3)+1), ROW(#REF!))))</f>
        <v>0</v>
      </c>
      <c r="C146" s="1884" t="e">
        <f t="shared" si="398"/>
        <v>#N/A</v>
      </c>
      <c r="D146" s="1753" t="e">
        <f t="shared" si="399"/>
        <v>#N/A</v>
      </c>
      <c r="E146" s="1891" t="e">
        <f t="shared" si="400"/>
        <v>#N/A</v>
      </c>
      <c r="F146" s="1889" t="e">
        <f t="shared" si="401"/>
        <v>#N/A</v>
      </c>
      <c r="G146" s="1779"/>
      <c r="H146" s="1755"/>
      <c r="I146" s="1755"/>
      <c r="J146" s="1755"/>
      <c r="K146" s="1755"/>
      <c r="L146" s="1755"/>
      <c r="M146" s="1765"/>
      <c r="N146" s="1759"/>
      <c r="O146" s="1755"/>
      <c r="P146" s="1760"/>
      <c r="Q146" s="1692" t="str">
        <f t="shared" si="402"/>
        <v/>
      </c>
      <c r="R146" s="1692" t="str">
        <f t="shared" si="403"/>
        <v/>
      </c>
      <c r="S146" s="1692" t="str">
        <f t="shared" si="404"/>
        <v/>
      </c>
      <c r="T146" s="1692"/>
      <c r="U146" s="1900" t="str">
        <f t="shared" si="405"/>
        <v/>
      </c>
      <c r="V146" s="1841" t="str">
        <f>IF($B146=0,"",Conc1(BW146,VolumeNTP1,$AG146,MolVol,Pitots!$E$49,Pitots!$F$49,V$136,V$137,VoF))</f>
        <v/>
      </c>
      <c r="W146" s="1739" t="str">
        <f t="shared" si="406"/>
        <v/>
      </c>
      <c r="X146" s="1843" t="str">
        <f t="shared" si="407"/>
        <v/>
      </c>
      <c r="Y146" s="1901" t="str">
        <f>IF(V146="","",MassRate(V146,$AG146,MolVol,V$136,V$137,MRU,MRF,AverageFlowDry1,FF))</f>
        <v/>
      </c>
      <c r="Z146" s="2334" t="str">
        <f t="shared" si="408"/>
        <v/>
      </c>
      <c r="AA146" s="2289" t="str">
        <f t="shared" si="409"/>
        <v/>
      </c>
      <c r="AB146" s="1872" t="str">
        <f t="shared" si="410"/>
        <v/>
      </c>
      <c r="AC146" s="2334" t="str">
        <f t="shared" si="411"/>
        <v/>
      </c>
      <c r="AD146" s="2289" t="str">
        <f t="shared" si="412"/>
        <v/>
      </c>
      <c r="AE146" s="1842"/>
      <c r="AF146" s="1842"/>
      <c r="AG146" s="1753" t="e">
        <f t="shared" si="413"/>
        <v>#N/A</v>
      </c>
      <c r="AH146" s="1870" t="e">
        <f t="shared" si="414"/>
        <v>#N/A</v>
      </c>
      <c r="AK146" s="1872" t="e">
        <f t="shared" si="415"/>
        <v>#N/A</v>
      </c>
      <c r="AL146" s="1721" t="str">
        <f t="shared" si="416"/>
        <v/>
      </c>
      <c r="AM146" s="1721" t="str">
        <f t="shared" si="417"/>
        <v/>
      </c>
      <c r="AN146" s="1721" t="str">
        <f t="shared" si="418"/>
        <v/>
      </c>
      <c r="AO146" s="1721" t="str">
        <f t="shared" si="419"/>
        <v/>
      </c>
      <c r="AP146" s="1721" t="str">
        <f t="shared" si="420"/>
        <v/>
      </c>
      <c r="AQ146" s="1721" t="str">
        <f t="shared" si="421"/>
        <v/>
      </c>
      <c r="AR146" s="1721" t="str">
        <f t="shared" si="422"/>
        <v/>
      </c>
      <c r="AS146" s="1721" t="str">
        <f t="shared" si="423"/>
        <v/>
      </c>
      <c r="AT146" s="1721" t="str">
        <f t="shared" si="424"/>
        <v/>
      </c>
      <c r="AU146" s="1721" t="str">
        <f t="shared" si="425"/>
        <v/>
      </c>
      <c r="AV146" s="1721" t="str">
        <f t="shared" si="426"/>
        <v/>
      </c>
      <c r="AW146" s="1721" t="str">
        <f t="shared" si="427"/>
        <v/>
      </c>
      <c r="AX146" s="1721" t="str">
        <f t="shared" si="428"/>
        <v/>
      </c>
      <c r="AY146" s="1721" t="str">
        <f t="shared" si="429"/>
        <v/>
      </c>
      <c r="AZ146" s="1721" t="str">
        <f t="shared" si="430"/>
        <v/>
      </c>
      <c r="BA146" s="1721" t="str">
        <f t="shared" si="431"/>
        <v/>
      </c>
      <c r="BB146" s="1721" t="str">
        <f t="shared" si="432"/>
        <v/>
      </c>
      <c r="BC146" s="1739">
        <f t="shared" si="433"/>
        <v>0</v>
      </c>
      <c r="BD146" s="1739">
        <f t="shared" si="434"/>
        <v>0</v>
      </c>
      <c r="BE146" s="1739">
        <f t="shared" si="435"/>
        <v>0</v>
      </c>
      <c r="BF146" s="1721">
        <f t="shared" si="436"/>
        <v>0</v>
      </c>
      <c r="BG146" s="1721">
        <f t="shared" si="437"/>
        <v>0</v>
      </c>
      <c r="BH146" s="1721">
        <f t="shared" si="438"/>
        <v>0</v>
      </c>
      <c r="BI146" s="1721">
        <f t="shared" si="439"/>
        <v>0</v>
      </c>
      <c r="BJ146" s="1721">
        <f t="shared" si="440"/>
        <v>0</v>
      </c>
      <c r="BK146" s="1721">
        <f t="shared" si="441"/>
        <v>0</v>
      </c>
      <c r="BL146" s="1721">
        <f t="shared" si="442"/>
        <v>0</v>
      </c>
      <c r="BM146" s="1715">
        <f t="shared" si="443"/>
        <v>0</v>
      </c>
      <c r="BN146" s="1715">
        <f t="shared" si="444"/>
        <v>0</v>
      </c>
      <c r="BO146" s="1715">
        <f t="shared" si="445"/>
        <v>0</v>
      </c>
      <c r="BP146" s="1715">
        <f t="shared" si="446"/>
        <v>0</v>
      </c>
      <c r="BQ146" s="1715">
        <f t="shared" si="447"/>
        <v>0</v>
      </c>
      <c r="BR146" s="1715">
        <f t="shared" si="448"/>
        <v>0</v>
      </c>
      <c r="BS146" s="1715">
        <f t="shared" si="449"/>
        <v>0</v>
      </c>
      <c r="BT146" s="1742">
        <f t="shared" si="450"/>
        <v>0</v>
      </c>
      <c r="BU146" s="1690">
        <f t="shared" si="451"/>
        <v>0</v>
      </c>
      <c r="BV146" s="1715" t="str">
        <f t="shared" si="452"/>
        <v/>
      </c>
      <c r="BW146" s="1722">
        <f t="shared" si="453"/>
        <v>0</v>
      </c>
      <c r="BZ146" s="2024" t="s">
        <v>2132</v>
      </c>
      <c r="CA146" s="2801" t="e">
        <f>IF(VLOOKUP($BZ146,$B$138:$AA$173,20,FALSE)="&lt;",1,0)</f>
        <v>#N/A</v>
      </c>
      <c r="CB146" s="2801"/>
      <c r="CC146" s="2373" t="str">
        <f>IF(ISNA(VLOOKUP($BZ146,$B$138:$AA$173,21,FALSE)),"",(VLOOKUP($BZ146,$B$138:$AA$173,21,FALSE)))</f>
        <v/>
      </c>
    </row>
    <row r="147" spans="1:81">
      <c r="A147" s="1690" t="b">
        <f t="shared" si="397"/>
        <v>0</v>
      </c>
      <c r="B147" s="2386">
        <f t="array" ref="B147">IF(ISERROR(INDEX(PQLs!$B$3:$B$87, SMALL(IF(IsoAnalysis=PQLs!$A$3:$A$87, ROW($A$3:$A$86)-ROW($A$3)+1), ROW(9:9)))),0,INDEX(PQLs!$B$3:$B$87, SMALL(IF(IsoAnalysis=PQLs!$A$3:$A$87, ROW($A$3:$A$86)-ROW($A$3)+1), ROW(9:9))))</f>
        <v>0</v>
      </c>
      <c r="C147" s="1884" t="e">
        <f t="shared" si="398"/>
        <v>#N/A</v>
      </c>
      <c r="D147" s="1753" t="e">
        <f t="shared" si="399"/>
        <v>#N/A</v>
      </c>
      <c r="E147" s="1891" t="e">
        <f t="shared" si="400"/>
        <v>#N/A</v>
      </c>
      <c r="F147" s="1889" t="e">
        <f t="shared" si="401"/>
        <v>#N/A</v>
      </c>
      <c r="G147" s="1779"/>
      <c r="H147" s="1755"/>
      <c r="I147" s="1755"/>
      <c r="J147" s="1755"/>
      <c r="K147" s="1755"/>
      <c r="L147" s="1755"/>
      <c r="M147" s="1765"/>
      <c r="N147" s="1759"/>
      <c r="O147" s="1755"/>
      <c r="P147" s="1760"/>
      <c r="Q147" s="1692" t="str">
        <f t="shared" si="402"/>
        <v/>
      </c>
      <c r="R147" s="1692" t="str">
        <f t="shared" si="403"/>
        <v/>
      </c>
      <c r="S147" s="1692" t="str">
        <f t="shared" si="404"/>
        <v/>
      </c>
      <c r="T147" s="1692"/>
      <c r="U147" s="1900" t="str">
        <f t="shared" si="405"/>
        <v/>
      </c>
      <c r="V147" s="1841" t="str">
        <f>IF($B147=0,"",Conc1(BW147,VolumeNTP1,$AG147,MolVol,Pitots!$E$49,Pitots!$F$49,V$136,V$137,VoF))</f>
        <v/>
      </c>
      <c r="W147" s="1739" t="str">
        <f t="shared" si="406"/>
        <v/>
      </c>
      <c r="X147" s="1843" t="str">
        <f t="shared" si="407"/>
        <v/>
      </c>
      <c r="Y147" s="1901" t="str">
        <f>IF(V147="","",MassRate(V147,$AG147,MolVol,V$136,V$137,MRU,MRF,AverageFlowDry1,FF))</f>
        <v/>
      </c>
      <c r="Z147" s="2334" t="str">
        <f t="shared" si="408"/>
        <v/>
      </c>
      <c r="AA147" s="2289" t="str">
        <f t="shared" si="409"/>
        <v/>
      </c>
      <c r="AB147" s="1872" t="str">
        <f t="shared" si="410"/>
        <v/>
      </c>
      <c r="AC147" s="2334" t="str">
        <f t="shared" si="411"/>
        <v/>
      </c>
      <c r="AD147" s="2289" t="str">
        <f t="shared" si="412"/>
        <v/>
      </c>
      <c r="AE147" s="1842"/>
      <c r="AF147" s="1842"/>
      <c r="AG147" s="1753" t="e">
        <f t="shared" si="413"/>
        <v>#N/A</v>
      </c>
      <c r="AH147" s="1870" t="e">
        <f t="shared" si="414"/>
        <v>#N/A</v>
      </c>
      <c r="AK147" s="1872" t="e">
        <f t="shared" si="415"/>
        <v>#N/A</v>
      </c>
      <c r="AL147" s="1721" t="str">
        <f t="shared" si="416"/>
        <v/>
      </c>
      <c r="AM147" s="1721" t="str">
        <f t="shared" si="417"/>
        <v/>
      </c>
      <c r="AN147" s="1721" t="str">
        <f t="shared" si="418"/>
        <v/>
      </c>
      <c r="AO147" s="1721" t="str">
        <f t="shared" si="419"/>
        <v/>
      </c>
      <c r="AP147" s="1721" t="str">
        <f t="shared" si="420"/>
        <v/>
      </c>
      <c r="AQ147" s="1721" t="str">
        <f t="shared" si="421"/>
        <v/>
      </c>
      <c r="AR147" s="1721" t="str">
        <f t="shared" si="422"/>
        <v/>
      </c>
      <c r="AS147" s="1721" t="str">
        <f t="shared" si="423"/>
        <v/>
      </c>
      <c r="AT147" s="1721" t="str">
        <f t="shared" si="424"/>
        <v/>
      </c>
      <c r="AU147" s="1721" t="str">
        <f t="shared" si="425"/>
        <v/>
      </c>
      <c r="AV147" s="1721" t="str">
        <f t="shared" si="426"/>
        <v/>
      </c>
      <c r="AW147" s="1721" t="str">
        <f t="shared" si="427"/>
        <v/>
      </c>
      <c r="AX147" s="1721" t="str">
        <f t="shared" si="428"/>
        <v/>
      </c>
      <c r="AY147" s="1721" t="str">
        <f t="shared" si="429"/>
        <v/>
      </c>
      <c r="AZ147" s="1721" t="str">
        <f t="shared" si="430"/>
        <v/>
      </c>
      <c r="BA147" s="1721" t="str">
        <f t="shared" si="431"/>
        <v/>
      </c>
      <c r="BB147" s="1721" t="str">
        <f t="shared" si="432"/>
        <v/>
      </c>
      <c r="BC147" s="1739">
        <f t="shared" si="433"/>
        <v>0</v>
      </c>
      <c r="BD147" s="1739">
        <f t="shared" si="434"/>
        <v>0</v>
      </c>
      <c r="BE147" s="1739">
        <f t="shared" si="435"/>
        <v>0</v>
      </c>
      <c r="BF147" s="1721">
        <f t="shared" si="436"/>
        <v>0</v>
      </c>
      <c r="BG147" s="1721">
        <f t="shared" si="437"/>
        <v>0</v>
      </c>
      <c r="BH147" s="1721">
        <f t="shared" si="438"/>
        <v>0</v>
      </c>
      <c r="BI147" s="1721">
        <f t="shared" si="439"/>
        <v>0</v>
      </c>
      <c r="BJ147" s="1721">
        <f t="shared" si="440"/>
        <v>0</v>
      </c>
      <c r="BK147" s="1721">
        <f t="shared" si="441"/>
        <v>0</v>
      </c>
      <c r="BL147" s="1721">
        <f t="shared" si="442"/>
        <v>0</v>
      </c>
      <c r="BM147" s="1715">
        <f t="shared" si="443"/>
        <v>0</v>
      </c>
      <c r="BN147" s="1715">
        <f t="shared" si="444"/>
        <v>0</v>
      </c>
      <c r="BO147" s="1715">
        <f t="shared" si="445"/>
        <v>0</v>
      </c>
      <c r="BP147" s="1715">
        <f t="shared" si="446"/>
        <v>0</v>
      </c>
      <c r="BQ147" s="1715">
        <f t="shared" si="447"/>
        <v>0</v>
      </c>
      <c r="BR147" s="1715">
        <f t="shared" si="448"/>
        <v>0</v>
      </c>
      <c r="BS147" s="1715">
        <f t="shared" si="449"/>
        <v>0</v>
      </c>
      <c r="BT147" s="1742">
        <f t="shared" si="450"/>
        <v>0</v>
      </c>
      <c r="BU147" s="1690">
        <f t="shared" si="451"/>
        <v>0</v>
      </c>
      <c r="BV147" s="1715" t="str">
        <f t="shared" si="452"/>
        <v/>
      </c>
      <c r="BW147" s="1722">
        <f t="shared" si="453"/>
        <v>0</v>
      </c>
      <c r="BZ147" s="2032" t="s">
        <v>1452</v>
      </c>
      <c r="CA147" s="2802">
        <f>IF(ISNA(SUM(CA142:CA146)),0,SUM(CA142:CA146))</f>
        <v>0</v>
      </c>
      <c r="CB147" s="2802"/>
      <c r="CC147" s="2374" t="str">
        <f>IF(OR(CC142="",CC143="",CC144="",CC145="",CC146=""),"",SUM(CC142:CC146))</f>
        <v/>
      </c>
    </row>
    <row r="148" spans="1:81">
      <c r="A148" s="1690" t="b">
        <f t="shared" si="397"/>
        <v>0</v>
      </c>
      <c r="B148" s="2386">
        <f t="array" ref="B148">IF(ISERROR(INDEX(PQLs!$B$3:$B$87, SMALL(IF(IsoAnalysis=PQLs!$A$3:$A$87, ROW($A$3:$A$86)-ROW($A$3)+1), ROW(10:10)))),0,INDEX(PQLs!$B$3:$B$87, SMALL(IF(IsoAnalysis=PQLs!$A$3:$A$87, ROW($A$3:$A$86)-ROW($A$3)+1), ROW(10:10))))</f>
        <v>0</v>
      </c>
      <c r="C148" s="1884" t="e">
        <f t="shared" si="398"/>
        <v>#N/A</v>
      </c>
      <c r="D148" s="1753" t="e">
        <f t="shared" si="399"/>
        <v>#N/A</v>
      </c>
      <c r="E148" s="1891" t="e">
        <f t="shared" si="400"/>
        <v>#N/A</v>
      </c>
      <c r="F148" s="1889" t="e">
        <f t="shared" si="401"/>
        <v>#N/A</v>
      </c>
      <c r="G148" s="1779"/>
      <c r="H148" s="1755"/>
      <c r="I148" s="1755"/>
      <c r="J148" s="1755"/>
      <c r="K148" s="1755"/>
      <c r="L148" s="1755"/>
      <c r="M148" s="1765"/>
      <c r="N148" s="1759"/>
      <c r="O148" s="1755"/>
      <c r="P148" s="1760"/>
      <c r="Q148" s="1692" t="str">
        <f t="shared" si="402"/>
        <v/>
      </c>
      <c r="R148" s="1692" t="str">
        <f t="shared" si="403"/>
        <v/>
      </c>
      <c r="S148" s="1692" t="str">
        <f t="shared" si="404"/>
        <v/>
      </c>
      <c r="T148" s="1692"/>
      <c r="U148" s="1900" t="str">
        <f t="shared" si="405"/>
        <v/>
      </c>
      <c r="V148" s="1841" t="str">
        <f>IF($B148=0,"",Conc1(BW148,VolumeNTP1,$AG148,MolVol,Pitots!$E$49,Pitots!$F$49,V$136,V$137,VoF))</f>
        <v/>
      </c>
      <c r="W148" s="1739" t="str">
        <f t="shared" si="406"/>
        <v/>
      </c>
      <c r="X148" s="1843" t="str">
        <f t="shared" si="407"/>
        <v/>
      </c>
      <c r="Y148" s="1901" t="str">
        <f>IF(V148="","",MassRate(V148,$AG148,MolVol,V$136,V$137,MRU,MRF,AverageFlowDry1,FF))</f>
        <v/>
      </c>
      <c r="Z148" s="2334" t="str">
        <f t="shared" si="408"/>
        <v/>
      </c>
      <c r="AA148" s="2289" t="str">
        <f t="shared" si="409"/>
        <v/>
      </c>
      <c r="AB148" s="1872" t="str">
        <f t="shared" si="410"/>
        <v/>
      </c>
      <c r="AC148" s="2334" t="str">
        <f t="shared" si="411"/>
        <v/>
      </c>
      <c r="AD148" s="2289" t="str">
        <f t="shared" si="412"/>
        <v/>
      </c>
      <c r="AE148" s="1842"/>
      <c r="AF148" s="1842"/>
      <c r="AG148" s="1753" t="e">
        <f t="shared" si="413"/>
        <v>#N/A</v>
      </c>
      <c r="AH148" s="1870" t="e">
        <f t="shared" si="414"/>
        <v>#N/A</v>
      </c>
      <c r="AK148" s="1872" t="e">
        <f t="shared" si="415"/>
        <v>#N/A</v>
      </c>
      <c r="AL148" s="1721" t="str">
        <f t="shared" si="416"/>
        <v/>
      </c>
      <c r="AM148" s="1721" t="str">
        <f t="shared" si="417"/>
        <v/>
      </c>
      <c r="AN148" s="1721" t="str">
        <f t="shared" si="418"/>
        <v/>
      </c>
      <c r="AO148" s="1721" t="str">
        <f t="shared" si="419"/>
        <v/>
      </c>
      <c r="AP148" s="1721" t="str">
        <f t="shared" si="420"/>
        <v/>
      </c>
      <c r="AQ148" s="1721" t="str">
        <f t="shared" si="421"/>
        <v/>
      </c>
      <c r="AR148" s="1721" t="str">
        <f t="shared" si="422"/>
        <v/>
      </c>
      <c r="AS148" s="1721" t="str">
        <f t="shared" si="423"/>
        <v/>
      </c>
      <c r="AT148" s="1721" t="str">
        <f t="shared" si="424"/>
        <v/>
      </c>
      <c r="AU148" s="1721" t="str">
        <f t="shared" si="425"/>
        <v/>
      </c>
      <c r="AV148" s="1721" t="str">
        <f t="shared" si="426"/>
        <v/>
      </c>
      <c r="AW148" s="1721" t="str">
        <f t="shared" si="427"/>
        <v/>
      </c>
      <c r="AX148" s="1721" t="str">
        <f t="shared" si="428"/>
        <v/>
      </c>
      <c r="AY148" s="1721" t="str">
        <f t="shared" si="429"/>
        <v/>
      </c>
      <c r="AZ148" s="1721" t="str">
        <f t="shared" si="430"/>
        <v/>
      </c>
      <c r="BA148" s="1721" t="str">
        <f t="shared" si="431"/>
        <v/>
      </c>
      <c r="BB148" s="1721" t="str">
        <f t="shared" si="432"/>
        <v/>
      </c>
      <c r="BC148" s="1739">
        <f t="shared" si="433"/>
        <v>0</v>
      </c>
      <c r="BD148" s="1739">
        <f t="shared" si="434"/>
        <v>0</v>
      </c>
      <c r="BE148" s="1739">
        <f t="shared" si="435"/>
        <v>0</v>
      </c>
      <c r="BF148" s="1721">
        <f t="shared" si="436"/>
        <v>0</v>
      </c>
      <c r="BG148" s="1721">
        <f t="shared" si="437"/>
        <v>0</v>
      </c>
      <c r="BH148" s="1721">
        <f t="shared" si="438"/>
        <v>0</v>
      </c>
      <c r="BI148" s="1721">
        <f t="shared" si="439"/>
        <v>0</v>
      </c>
      <c r="BJ148" s="1721">
        <f t="shared" si="440"/>
        <v>0</v>
      </c>
      <c r="BK148" s="1721">
        <f t="shared" si="441"/>
        <v>0</v>
      </c>
      <c r="BL148" s="1721">
        <f t="shared" si="442"/>
        <v>0</v>
      </c>
      <c r="BM148" s="1715">
        <f t="shared" si="443"/>
        <v>0</v>
      </c>
      <c r="BN148" s="1715">
        <f t="shared" si="444"/>
        <v>0</v>
      </c>
      <c r="BO148" s="1715">
        <f t="shared" si="445"/>
        <v>0</v>
      </c>
      <c r="BP148" s="1715">
        <f t="shared" si="446"/>
        <v>0</v>
      </c>
      <c r="BQ148" s="1715">
        <f t="shared" si="447"/>
        <v>0</v>
      </c>
      <c r="BR148" s="1715">
        <f t="shared" si="448"/>
        <v>0</v>
      </c>
      <c r="BS148" s="1715">
        <f t="shared" si="449"/>
        <v>0</v>
      </c>
      <c r="BT148" s="1742">
        <f t="shared" si="450"/>
        <v>0</v>
      </c>
      <c r="BU148" s="1690">
        <f t="shared" si="451"/>
        <v>0</v>
      </c>
      <c r="BV148" s="1715" t="str">
        <f t="shared" si="452"/>
        <v/>
      </c>
      <c r="BW148" s="1722">
        <f t="shared" si="453"/>
        <v>0</v>
      </c>
      <c r="BZ148" s="670"/>
      <c r="CA148" s="2800"/>
      <c r="CB148" s="2800"/>
      <c r="CC148" s="107"/>
    </row>
    <row r="149" spans="1:81">
      <c r="A149" s="1690" t="b">
        <f t="shared" si="397"/>
        <v>0</v>
      </c>
      <c r="B149" s="2386">
        <f t="array" ref="B149">IF(ISERROR(INDEX(PQLs!$B$3:$B$87, SMALL(IF(IsoAnalysis=PQLs!$A$3:$A$87, ROW($A$3:$A$86)-ROW($A$3)+1), ROW(11:11)))),0,INDEX(PQLs!$B$3:$B$87, SMALL(IF(IsoAnalysis=PQLs!$A$3:$A$87, ROW($A$3:$A$86)-ROW($A$3)+1), ROW(11:11))))</f>
        <v>0</v>
      </c>
      <c r="C149" s="1884" t="e">
        <f t="shared" si="398"/>
        <v>#N/A</v>
      </c>
      <c r="D149" s="1753" t="e">
        <f t="shared" si="399"/>
        <v>#N/A</v>
      </c>
      <c r="E149" s="1891" t="e">
        <f t="shared" si="400"/>
        <v>#N/A</v>
      </c>
      <c r="F149" s="1889" t="e">
        <f t="shared" si="401"/>
        <v>#N/A</v>
      </c>
      <c r="G149" s="1779"/>
      <c r="H149" s="1755"/>
      <c r="I149" s="1755"/>
      <c r="J149" s="1755"/>
      <c r="K149" s="1755"/>
      <c r="L149" s="1755"/>
      <c r="M149" s="1765"/>
      <c r="N149" s="1759"/>
      <c r="O149" s="1755"/>
      <c r="P149" s="1760"/>
      <c r="Q149" s="1692" t="str">
        <f t="shared" si="402"/>
        <v/>
      </c>
      <c r="R149" s="1692" t="str">
        <f t="shared" si="403"/>
        <v/>
      </c>
      <c r="S149" s="1692" t="str">
        <f t="shared" si="404"/>
        <v/>
      </c>
      <c r="T149" s="1692"/>
      <c r="U149" s="1900" t="str">
        <f t="shared" si="405"/>
        <v/>
      </c>
      <c r="V149" s="1841" t="str">
        <f>IF($B149=0,"",Conc1(BW149,VolumeNTP1,$AG149,MolVol,Pitots!$E$49,Pitots!$F$49,V$136,V$137,VoF))</f>
        <v/>
      </c>
      <c r="W149" s="1739" t="str">
        <f t="shared" si="406"/>
        <v/>
      </c>
      <c r="X149" s="1843" t="str">
        <f t="shared" si="407"/>
        <v/>
      </c>
      <c r="Y149" s="1901" t="str">
        <f>IF(V149="","",MassRate(V149,$AG149,MolVol,V$136,V$137,MRU,MRF,AverageFlowDry1,FF))</f>
        <v/>
      </c>
      <c r="Z149" s="2334" t="str">
        <f t="shared" si="408"/>
        <v/>
      </c>
      <c r="AA149" s="2289" t="str">
        <f t="shared" si="409"/>
        <v/>
      </c>
      <c r="AB149" s="1872" t="str">
        <f t="shared" si="410"/>
        <v/>
      </c>
      <c r="AC149" s="2334" t="str">
        <f t="shared" si="411"/>
        <v/>
      </c>
      <c r="AD149" s="2289" t="str">
        <f t="shared" si="412"/>
        <v/>
      </c>
      <c r="AE149" s="1842"/>
      <c r="AF149" s="1842"/>
      <c r="AG149" s="1753" t="e">
        <f t="shared" si="413"/>
        <v>#N/A</v>
      </c>
      <c r="AH149" s="1870" t="e">
        <f t="shared" si="414"/>
        <v>#N/A</v>
      </c>
      <c r="AK149" s="1872" t="e">
        <f t="shared" si="415"/>
        <v>#N/A</v>
      </c>
      <c r="AL149" s="1721" t="str">
        <f t="shared" si="416"/>
        <v/>
      </c>
      <c r="AM149" s="1721" t="str">
        <f t="shared" si="417"/>
        <v/>
      </c>
      <c r="AN149" s="1721" t="str">
        <f t="shared" si="418"/>
        <v/>
      </c>
      <c r="AO149" s="1721" t="str">
        <f t="shared" si="419"/>
        <v/>
      </c>
      <c r="AP149" s="1721" t="str">
        <f t="shared" si="420"/>
        <v/>
      </c>
      <c r="AQ149" s="1721" t="str">
        <f t="shared" si="421"/>
        <v/>
      </c>
      <c r="AR149" s="1721" t="str">
        <f t="shared" si="422"/>
        <v/>
      </c>
      <c r="AS149" s="1721" t="str">
        <f t="shared" si="423"/>
        <v/>
      </c>
      <c r="AT149" s="1721" t="str">
        <f t="shared" si="424"/>
        <v/>
      </c>
      <c r="AU149" s="1721" t="str">
        <f t="shared" si="425"/>
        <v/>
      </c>
      <c r="AV149" s="1721" t="str">
        <f t="shared" si="426"/>
        <v/>
      </c>
      <c r="AW149" s="1721" t="str">
        <f t="shared" si="427"/>
        <v/>
      </c>
      <c r="AX149" s="1721" t="str">
        <f t="shared" si="428"/>
        <v/>
      </c>
      <c r="AY149" s="1721" t="str">
        <f t="shared" si="429"/>
        <v/>
      </c>
      <c r="AZ149" s="1721" t="str">
        <f t="shared" si="430"/>
        <v/>
      </c>
      <c r="BA149" s="1721" t="str">
        <f t="shared" si="431"/>
        <v/>
      </c>
      <c r="BB149" s="1721" t="str">
        <f t="shared" si="432"/>
        <v/>
      </c>
      <c r="BC149" s="1739">
        <f t="shared" si="433"/>
        <v>0</v>
      </c>
      <c r="BD149" s="1739">
        <f t="shared" si="434"/>
        <v>0</v>
      </c>
      <c r="BE149" s="1739">
        <f t="shared" si="435"/>
        <v>0</v>
      </c>
      <c r="BF149" s="1721">
        <f t="shared" si="436"/>
        <v>0</v>
      </c>
      <c r="BG149" s="1721">
        <f t="shared" si="437"/>
        <v>0</v>
      </c>
      <c r="BH149" s="1721">
        <f t="shared" si="438"/>
        <v>0</v>
      </c>
      <c r="BI149" s="1721">
        <f t="shared" si="439"/>
        <v>0</v>
      </c>
      <c r="BJ149" s="1721">
        <f t="shared" si="440"/>
        <v>0</v>
      </c>
      <c r="BK149" s="1721">
        <f t="shared" si="441"/>
        <v>0</v>
      </c>
      <c r="BL149" s="1721">
        <f t="shared" si="442"/>
        <v>0</v>
      </c>
      <c r="BM149" s="1715">
        <f t="shared" si="443"/>
        <v>0</v>
      </c>
      <c r="BN149" s="1715">
        <f t="shared" si="444"/>
        <v>0</v>
      </c>
      <c r="BO149" s="1715">
        <f t="shared" si="445"/>
        <v>0</v>
      </c>
      <c r="BP149" s="1715">
        <f t="shared" si="446"/>
        <v>0</v>
      </c>
      <c r="BQ149" s="1715">
        <f t="shared" si="447"/>
        <v>0</v>
      </c>
      <c r="BR149" s="1715">
        <f t="shared" si="448"/>
        <v>0</v>
      </c>
      <c r="BS149" s="1715">
        <f t="shared" si="449"/>
        <v>0</v>
      </c>
      <c r="BT149" s="1742">
        <f t="shared" si="450"/>
        <v>0</v>
      </c>
      <c r="BU149" s="1690">
        <f t="shared" si="451"/>
        <v>0</v>
      </c>
      <c r="BV149" s="1715" t="str">
        <f t="shared" si="452"/>
        <v/>
      </c>
      <c r="BW149" s="1722">
        <f t="shared" si="453"/>
        <v>0</v>
      </c>
      <c r="BZ149" s="2030"/>
      <c r="CA149" s="2803"/>
      <c r="CB149" s="2803"/>
      <c r="CC149" s="2375"/>
    </row>
    <row r="150" spans="1:81">
      <c r="A150" s="1690" t="b">
        <f t="shared" si="397"/>
        <v>0</v>
      </c>
      <c r="B150" s="2386">
        <f t="array" ref="B150">IF(ISERROR(INDEX(PQLs!$B$3:$B$87, SMALL(IF(IsoAnalysis=PQLs!$A$3:$A$87, ROW($A$3:$A$86)-ROW($A$3)+1), ROW(12:12)))),0,INDEX(PQLs!$B$3:$B$87, SMALL(IF(IsoAnalysis=PQLs!$A$3:$A$87, ROW($A$3:$A$86)-ROW($A$3)+1), ROW(12:12))))</f>
        <v>0</v>
      </c>
      <c r="C150" s="1884" t="e">
        <f t="shared" si="398"/>
        <v>#N/A</v>
      </c>
      <c r="D150" s="1753" t="e">
        <f t="shared" si="399"/>
        <v>#N/A</v>
      </c>
      <c r="E150" s="1891" t="e">
        <f t="shared" si="400"/>
        <v>#N/A</v>
      </c>
      <c r="F150" s="1889" t="e">
        <f t="shared" si="401"/>
        <v>#N/A</v>
      </c>
      <c r="G150" s="1779"/>
      <c r="H150" s="1755"/>
      <c r="I150" s="1755"/>
      <c r="J150" s="1755"/>
      <c r="K150" s="1755"/>
      <c r="L150" s="1755"/>
      <c r="M150" s="1765"/>
      <c r="N150" s="1759"/>
      <c r="O150" s="1755"/>
      <c r="P150" s="1760"/>
      <c r="Q150" s="1692" t="str">
        <f t="shared" si="402"/>
        <v/>
      </c>
      <c r="R150" s="1692" t="str">
        <f t="shared" si="403"/>
        <v/>
      </c>
      <c r="S150" s="1692" t="str">
        <f t="shared" si="404"/>
        <v/>
      </c>
      <c r="T150" s="1692"/>
      <c r="U150" s="1900" t="str">
        <f t="shared" si="405"/>
        <v/>
      </c>
      <c r="V150" s="1841" t="str">
        <f>IF($B150=0,"",Conc1(BW150,VolumeNTP1,$AG150,MolVol,Pitots!$E$49,Pitots!$F$49,V$136,V$137,VoF))</f>
        <v/>
      </c>
      <c r="W150" s="1739" t="str">
        <f t="shared" si="406"/>
        <v/>
      </c>
      <c r="X150" s="1843" t="str">
        <f t="shared" si="407"/>
        <v/>
      </c>
      <c r="Y150" s="1901" t="str">
        <f>IF(V150="","",MassRate(V150,$AG150,MolVol,V$136,V$137,MRU,MRF,AverageFlowDry1,FF))</f>
        <v/>
      </c>
      <c r="Z150" s="2334" t="str">
        <f t="shared" si="408"/>
        <v/>
      </c>
      <c r="AA150" s="2289" t="str">
        <f t="shared" si="409"/>
        <v/>
      </c>
      <c r="AB150" s="1872" t="str">
        <f t="shared" si="410"/>
        <v/>
      </c>
      <c r="AC150" s="2334" t="str">
        <f t="shared" si="411"/>
        <v/>
      </c>
      <c r="AD150" s="2289" t="str">
        <f t="shared" si="412"/>
        <v/>
      </c>
      <c r="AE150" s="1842"/>
      <c r="AF150" s="1842"/>
      <c r="AG150" s="1753" t="e">
        <f t="shared" si="413"/>
        <v>#N/A</v>
      </c>
      <c r="AH150" s="1870" t="e">
        <f t="shared" si="414"/>
        <v>#N/A</v>
      </c>
      <c r="AK150" s="1872" t="e">
        <f t="shared" si="415"/>
        <v>#N/A</v>
      </c>
      <c r="AL150" s="1721" t="str">
        <f t="shared" si="416"/>
        <v/>
      </c>
      <c r="AM150" s="1721" t="str">
        <f t="shared" si="417"/>
        <v/>
      </c>
      <c r="AN150" s="1721" t="str">
        <f t="shared" si="418"/>
        <v/>
      </c>
      <c r="AO150" s="1721" t="str">
        <f t="shared" si="419"/>
        <v/>
      </c>
      <c r="AP150" s="1721" t="str">
        <f t="shared" si="420"/>
        <v/>
      </c>
      <c r="AQ150" s="1721" t="str">
        <f t="shared" si="421"/>
        <v/>
      </c>
      <c r="AR150" s="1721" t="str">
        <f t="shared" si="422"/>
        <v/>
      </c>
      <c r="AS150" s="1721" t="str">
        <f t="shared" si="423"/>
        <v/>
      </c>
      <c r="AT150" s="1721" t="str">
        <f t="shared" si="424"/>
        <v/>
      </c>
      <c r="AU150" s="1721" t="str">
        <f t="shared" si="425"/>
        <v/>
      </c>
      <c r="AV150" s="1721" t="str">
        <f t="shared" si="426"/>
        <v/>
      </c>
      <c r="AW150" s="1721" t="str">
        <f t="shared" si="427"/>
        <v/>
      </c>
      <c r="AX150" s="1721" t="str">
        <f t="shared" si="428"/>
        <v/>
      </c>
      <c r="AY150" s="1721" t="str">
        <f t="shared" si="429"/>
        <v/>
      </c>
      <c r="AZ150" s="1721" t="str">
        <f t="shared" si="430"/>
        <v/>
      </c>
      <c r="BA150" s="1721" t="str">
        <f t="shared" si="431"/>
        <v/>
      </c>
      <c r="BB150" s="1721" t="str">
        <f t="shared" si="432"/>
        <v/>
      </c>
      <c r="BC150" s="1739">
        <f t="shared" si="433"/>
        <v>0</v>
      </c>
      <c r="BD150" s="1739">
        <f t="shared" si="434"/>
        <v>0</v>
      </c>
      <c r="BE150" s="1739">
        <f t="shared" si="435"/>
        <v>0</v>
      </c>
      <c r="BF150" s="1721">
        <f t="shared" si="436"/>
        <v>0</v>
      </c>
      <c r="BG150" s="1721">
        <f t="shared" si="437"/>
        <v>0</v>
      </c>
      <c r="BH150" s="1721">
        <f t="shared" si="438"/>
        <v>0</v>
      </c>
      <c r="BI150" s="1721">
        <f t="shared" si="439"/>
        <v>0</v>
      </c>
      <c r="BJ150" s="1721">
        <f t="shared" si="440"/>
        <v>0</v>
      </c>
      <c r="BK150" s="1721">
        <f t="shared" si="441"/>
        <v>0</v>
      </c>
      <c r="BL150" s="1721">
        <f t="shared" si="442"/>
        <v>0</v>
      </c>
      <c r="BM150" s="1715">
        <f t="shared" si="443"/>
        <v>0</v>
      </c>
      <c r="BN150" s="1715">
        <f t="shared" si="444"/>
        <v>0</v>
      </c>
      <c r="BO150" s="1715">
        <f t="shared" si="445"/>
        <v>0</v>
      </c>
      <c r="BP150" s="1715">
        <f t="shared" si="446"/>
        <v>0</v>
      </c>
      <c r="BQ150" s="1715">
        <f t="shared" si="447"/>
        <v>0</v>
      </c>
      <c r="BR150" s="1715">
        <f t="shared" si="448"/>
        <v>0</v>
      </c>
      <c r="BS150" s="1715">
        <f t="shared" si="449"/>
        <v>0</v>
      </c>
      <c r="BT150" s="1742">
        <f t="shared" si="450"/>
        <v>0</v>
      </c>
      <c r="BU150" s="1690">
        <f t="shared" si="451"/>
        <v>0</v>
      </c>
      <c r="BV150" s="1715" t="str">
        <f t="shared" si="452"/>
        <v/>
      </c>
      <c r="BW150" s="1722">
        <f t="shared" si="453"/>
        <v>0</v>
      </c>
      <c r="BZ150" s="2009" t="s">
        <v>1951</v>
      </c>
      <c r="CA150" s="2375"/>
      <c r="CB150" s="2375"/>
      <c r="CC150" s="2375"/>
    </row>
    <row r="151" spans="1:81">
      <c r="A151" s="1690" t="b">
        <f t="shared" si="397"/>
        <v>0</v>
      </c>
      <c r="B151" s="2386">
        <f t="array" ref="B151">IF(ISERROR(INDEX(PQLs!$B$3:$B$87, SMALL(IF(IsoAnalysis=PQLs!$A$3:$A$87, ROW($A$3:$A$86)-ROW($A$3)+1), ROW(13:13)))),0,INDEX(PQLs!$B$3:$B$87, SMALL(IF(IsoAnalysis=PQLs!$A$3:$A$87, ROW($A$3:$A$86)-ROW($A$3)+1), ROW(13:13))))</f>
        <v>0</v>
      </c>
      <c r="C151" s="1884" t="e">
        <f t="shared" si="398"/>
        <v>#N/A</v>
      </c>
      <c r="D151" s="1753" t="e">
        <f t="shared" si="399"/>
        <v>#N/A</v>
      </c>
      <c r="E151" s="1891" t="e">
        <f t="shared" si="400"/>
        <v>#N/A</v>
      </c>
      <c r="F151" s="1889" t="e">
        <f t="shared" si="401"/>
        <v>#N/A</v>
      </c>
      <c r="G151" s="1779"/>
      <c r="H151" s="1755"/>
      <c r="I151" s="1755"/>
      <c r="J151" s="1755"/>
      <c r="K151" s="1755"/>
      <c r="L151" s="1755"/>
      <c r="M151" s="1765"/>
      <c r="N151" s="1759"/>
      <c r="O151" s="1755"/>
      <c r="P151" s="1760"/>
      <c r="Q151" s="1692" t="str">
        <f t="shared" si="402"/>
        <v/>
      </c>
      <c r="R151" s="1692" t="str">
        <f t="shared" si="403"/>
        <v/>
      </c>
      <c r="S151" s="1692" t="str">
        <f t="shared" si="404"/>
        <v/>
      </c>
      <c r="T151" s="1692"/>
      <c r="U151" s="1900" t="str">
        <f t="shared" si="405"/>
        <v/>
      </c>
      <c r="V151" s="1841" t="str">
        <f>IF($B151=0,"",Conc1(BW151,VolumeNTP1,$AG151,MolVol,Pitots!$E$49,Pitots!$F$49,V$136,V$137,VoF))</f>
        <v/>
      </c>
      <c r="W151" s="1739" t="str">
        <f t="shared" si="406"/>
        <v/>
      </c>
      <c r="X151" s="1843" t="str">
        <f t="shared" si="407"/>
        <v/>
      </c>
      <c r="Y151" s="1901" t="str">
        <f>IF(V151="","",MassRate(V151,$AG151,MolVol,V$136,V$137,MRU,MRF,AverageFlowDry1,FF))</f>
        <v/>
      </c>
      <c r="Z151" s="2334" t="str">
        <f t="shared" si="408"/>
        <v/>
      </c>
      <c r="AA151" s="2289" t="str">
        <f t="shared" si="409"/>
        <v/>
      </c>
      <c r="AB151" s="1872" t="str">
        <f t="shared" si="410"/>
        <v/>
      </c>
      <c r="AC151" s="2334" t="str">
        <f t="shared" si="411"/>
        <v/>
      </c>
      <c r="AD151" s="2289" t="str">
        <f t="shared" si="412"/>
        <v/>
      </c>
      <c r="AE151" s="1842"/>
      <c r="AF151" s="1842"/>
      <c r="AG151" s="1753" t="e">
        <f t="shared" si="413"/>
        <v>#N/A</v>
      </c>
      <c r="AH151" s="1870" t="e">
        <f t="shared" si="414"/>
        <v>#N/A</v>
      </c>
      <c r="AK151" s="1872" t="e">
        <f t="shared" si="415"/>
        <v>#N/A</v>
      </c>
      <c r="AL151" s="1721" t="str">
        <f t="shared" si="416"/>
        <v/>
      </c>
      <c r="AM151" s="1721" t="str">
        <f t="shared" si="417"/>
        <v/>
      </c>
      <c r="AN151" s="1721" t="str">
        <f t="shared" si="418"/>
        <v/>
      </c>
      <c r="AO151" s="1721" t="str">
        <f t="shared" si="419"/>
        <v/>
      </c>
      <c r="AP151" s="1721" t="str">
        <f t="shared" si="420"/>
        <v/>
      </c>
      <c r="AQ151" s="1721" t="str">
        <f t="shared" si="421"/>
        <v/>
      </c>
      <c r="AR151" s="1721" t="str">
        <f t="shared" si="422"/>
        <v/>
      </c>
      <c r="AS151" s="1721" t="str">
        <f t="shared" si="423"/>
        <v/>
      </c>
      <c r="AT151" s="1721" t="str">
        <f t="shared" si="424"/>
        <v/>
      </c>
      <c r="AU151" s="1721" t="str">
        <f t="shared" si="425"/>
        <v/>
      </c>
      <c r="AV151" s="1721" t="str">
        <f t="shared" si="426"/>
        <v/>
      </c>
      <c r="AW151" s="1721" t="str">
        <f t="shared" si="427"/>
        <v/>
      </c>
      <c r="AX151" s="1721" t="str">
        <f t="shared" si="428"/>
        <v/>
      </c>
      <c r="AY151" s="1721" t="str">
        <f t="shared" si="429"/>
        <v/>
      </c>
      <c r="AZ151" s="1721" t="str">
        <f t="shared" si="430"/>
        <v/>
      </c>
      <c r="BA151" s="1721" t="str">
        <f t="shared" si="431"/>
        <v/>
      </c>
      <c r="BB151" s="1721" t="str">
        <f t="shared" si="432"/>
        <v/>
      </c>
      <c r="BC151" s="1739">
        <f t="shared" si="433"/>
        <v>0</v>
      </c>
      <c r="BD151" s="1739">
        <f t="shared" si="434"/>
        <v>0</v>
      </c>
      <c r="BE151" s="1739">
        <f t="shared" si="435"/>
        <v>0</v>
      </c>
      <c r="BF151" s="1721">
        <f t="shared" si="436"/>
        <v>0</v>
      </c>
      <c r="BG151" s="1721">
        <f t="shared" si="437"/>
        <v>0</v>
      </c>
      <c r="BH151" s="1721">
        <f t="shared" si="438"/>
        <v>0</v>
      </c>
      <c r="BI151" s="1721">
        <f t="shared" si="439"/>
        <v>0</v>
      </c>
      <c r="BJ151" s="1721">
        <f t="shared" si="440"/>
        <v>0</v>
      </c>
      <c r="BK151" s="1721">
        <f t="shared" si="441"/>
        <v>0</v>
      </c>
      <c r="BL151" s="1721">
        <f t="shared" si="442"/>
        <v>0</v>
      </c>
      <c r="BM151" s="1715">
        <f t="shared" si="443"/>
        <v>0</v>
      </c>
      <c r="BN151" s="1715">
        <f t="shared" si="444"/>
        <v>0</v>
      </c>
      <c r="BO151" s="1715">
        <f t="shared" si="445"/>
        <v>0</v>
      </c>
      <c r="BP151" s="1715">
        <f t="shared" si="446"/>
        <v>0</v>
      </c>
      <c r="BQ151" s="1715">
        <f t="shared" si="447"/>
        <v>0</v>
      </c>
      <c r="BR151" s="1715">
        <f t="shared" si="448"/>
        <v>0</v>
      </c>
      <c r="BS151" s="1715">
        <f t="shared" si="449"/>
        <v>0</v>
      </c>
      <c r="BT151" s="1742">
        <f t="shared" si="450"/>
        <v>0</v>
      </c>
      <c r="BU151" s="1690">
        <f t="shared" si="451"/>
        <v>0</v>
      </c>
      <c r="BV151" s="1715" t="str">
        <f t="shared" si="452"/>
        <v/>
      </c>
      <c r="BW151" s="1722">
        <f t="shared" si="453"/>
        <v>0</v>
      </c>
      <c r="BZ151" s="2031"/>
      <c r="CA151" s="2595" t="s">
        <v>819</v>
      </c>
      <c r="CB151" s="2595"/>
      <c r="CC151" s="2016" t="s">
        <v>1950</v>
      </c>
    </row>
    <row r="152" spans="1:81">
      <c r="A152" s="1690" t="b">
        <f t="shared" si="397"/>
        <v>0</v>
      </c>
      <c r="B152" s="2386">
        <f t="array" ref="B152">IF(ISERROR(INDEX(PQLs!$B$3:$B$87, SMALL(IF(IsoAnalysis=PQLs!$A$3:$A$87, ROW($A$3:$A$86)-ROW($A$3)+1), ROW(14:14)))),0,INDEX(PQLs!$B$3:$B$87, SMALL(IF(IsoAnalysis=PQLs!$A$3:$A$87, ROW($A$3:$A$86)-ROW($A$3)+1), ROW(14:14))))</f>
        <v>0</v>
      </c>
      <c r="C152" s="1884" t="e">
        <f t="shared" si="398"/>
        <v>#N/A</v>
      </c>
      <c r="D152" s="1753" t="e">
        <f t="shared" si="399"/>
        <v>#N/A</v>
      </c>
      <c r="E152" s="1891" t="e">
        <f t="shared" si="400"/>
        <v>#N/A</v>
      </c>
      <c r="F152" s="1889" t="e">
        <f t="shared" si="401"/>
        <v>#N/A</v>
      </c>
      <c r="G152" s="1779"/>
      <c r="H152" s="1755"/>
      <c r="I152" s="1755"/>
      <c r="J152" s="1755"/>
      <c r="K152" s="1755"/>
      <c r="L152" s="1755"/>
      <c r="M152" s="1765"/>
      <c r="N152" s="1759"/>
      <c r="O152" s="1755"/>
      <c r="P152" s="1760"/>
      <c r="Q152" s="1692" t="str">
        <f t="shared" si="402"/>
        <v/>
      </c>
      <c r="R152" s="1692" t="str">
        <f t="shared" si="403"/>
        <v/>
      </c>
      <c r="S152" s="1692" t="str">
        <f t="shared" si="404"/>
        <v/>
      </c>
      <c r="T152" s="1692"/>
      <c r="U152" s="1900" t="str">
        <f t="shared" si="405"/>
        <v/>
      </c>
      <c r="V152" s="1841" t="str">
        <f>IF($B152=0,"",Conc1(BW152,VolumeNTP1,$AG152,MolVol,Pitots!$E$49,Pitots!$F$49,V$136,V$137,VoF))</f>
        <v/>
      </c>
      <c r="W152" s="1739" t="str">
        <f t="shared" si="406"/>
        <v/>
      </c>
      <c r="X152" s="1843" t="str">
        <f t="shared" si="407"/>
        <v/>
      </c>
      <c r="Y152" s="1901" t="str">
        <f>IF(V152="","",MassRate(V152,$AG152,MolVol,V$136,V$137,MRU,MRF,AverageFlowDry1,FF))</f>
        <v/>
      </c>
      <c r="Z152" s="2334" t="str">
        <f t="shared" si="408"/>
        <v/>
      </c>
      <c r="AA152" s="2289" t="str">
        <f t="shared" si="409"/>
        <v/>
      </c>
      <c r="AB152" s="1872" t="str">
        <f t="shared" si="410"/>
        <v/>
      </c>
      <c r="AC152" s="2334" t="str">
        <f t="shared" si="411"/>
        <v/>
      </c>
      <c r="AD152" s="2289" t="str">
        <f t="shared" si="412"/>
        <v/>
      </c>
      <c r="AE152" s="1842"/>
      <c r="AF152" s="1842"/>
      <c r="AG152" s="1753" t="e">
        <f t="shared" si="413"/>
        <v>#N/A</v>
      </c>
      <c r="AH152" s="1870" t="e">
        <f t="shared" si="414"/>
        <v>#N/A</v>
      </c>
      <c r="AK152" s="1872" t="e">
        <f t="shared" si="415"/>
        <v>#N/A</v>
      </c>
      <c r="AL152" s="1721" t="str">
        <f t="shared" si="416"/>
        <v/>
      </c>
      <c r="AM152" s="1721" t="str">
        <f t="shared" si="417"/>
        <v/>
      </c>
      <c r="AN152" s="1721" t="str">
        <f t="shared" si="418"/>
        <v/>
      </c>
      <c r="AO152" s="1721" t="str">
        <f t="shared" si="419"/>
        <v/>
      </c>
      <c r="AP152" s="1721" t="str">
        <f t="shared" si="420"/>
        <v/>
      </c>
      <c r="AQ152" s="1721" t="str">
        <f t="shared" si="421"/>
        <v/>
      </c>
      <c r="AR152" s="1721" t="str">
        <f t="shared" si="422"/>
        <v/>
      </c>
      <c r="AS152" s="1721" t="str">
        <f t="shared" si="423"/>
        <v/>
      </c>
      <c r="AT152" s="1721" t="str">
        <f t="shared" si="424"/>
        <v/>
      </c>
      <c r="AU152" s="1721" t="str">
        <f t="shared" si="425"/>
        <v/>
      </c>
      <c r="AV152" s="1721" t="str">
        <f t="shared" si="426"/>
        <v/>
      </c>
      <c r="AW152" s="1721" t="str">
        <f t="shared" si="427"/>
        <v/>
      </c>
      <c r="AX152" s="1721" t="str">
        <f t="shared" si="428"/>
        <v/>
      </c>
      <c r="AY152" s="1721" t="str">
        <f t="shared" si="429"/>
        <v/>
      </c>
      <c r="AZ152" s="1721" t="str">
        <f t="shared" si="430"/>
        <v/>
      </c>
      <c r="BA152" s="1721" t="str">
        <f t="shared" si="431"/>
        <v/>
      </c>
      <c r="BB152" s="1721" t="str">
        <f t="shared" si="432"/>
        <v/>
      </c>
      <c r="BC152" s="1739">
        <f t="shared" si="433"/>
        <v>0</v>
      </c>
      <c r="BD152" s="1739">
        <f t="shared" si="434"/>
        <v>0</v>
      </c>
      <c r="BE152" s="1739">
        <f t="shared" si="435"/>
        <v>0</v>
      </c>
      <c r="BF152" s="1721">
        <f t="shared" si="436"/>
        <v>0</v>
      </c>
      <c r="BG152" s="1721">
        <f t="shared" si="437"/>
        <v>0</v>
      </c>
      <c r="BH152" s="1721">
        <f t="shared" si="438"/>
        <v>0</v>
      </c>
      <c r="BI152" s="1721">
        <f t="shared" si="439"/>
        <v>0</v>
      </c>
      <c r="BJ152" s="1721">
        <f t="shared" si="440"/>
        <v>0</v>
      </c>
      <c r="BK152" s="1721">
        <f t="shared" si="441"/>
        <v>0</v>
      </c>
      <c r="BL152" s="1721">
        <f t="shared" si="442"/>
        <v>0</v>
      </c>
      <c r="BM152" s="1715">
        <f t="shared" si="443"/>
        <v>0</v>
      </c>
      <c r="BN152" s="1715">
        <f t="shared" si="444"/>
        <v>0</v>
      </c>
      <c r="BO152" s="1715">
        <f t="shared" si="445"/>
        <v>0</v>
      </c>
      <c r="BP152" s="1715">
        <f t="shared" si="446"/>
        <v>0</v>
      </c>
      <c r="BQ152" s="1715">
        <f t="shared" si="447"/>
        <v>0</v>
      </c>
      <c r="BR152" s="1715">
        <f t="shared" si="448"/>
        <v>0</v>
      </c>
      <c r="BS152" s="1715">
        <f t="shared" si="449"/>
        <v>0</v>
      </c>
      <c r="BT152" s="1742">
        <f t="shared" si="450"/>
        <v>0</v>
      </c>
      <c r="BU152" s="1690">
        <f t="shared" si="451"/>
        <v>0</v>
      </c>
      <c r="BV152" s="1715" t="str">
        <f t="shared" si="452"/>
        <v/>
      </c>
      <c r="BW152" s="1722">
        <f t="shared" si="453"/>
        <v>0</v>
      </c>
      <c r="BZ152" s="2021" t="s">
        <v>2124</v>
      </c>
      <c r="CA152" s="2804" t="e">
        <f t="shared" ref="CA152:CA159" si="454">IF(VLOOKUP($BZ152,$B$138:$AA$173,20,FALSE)="&lt;",1,0)</f>
        <v>#N/A</v>
      </c>
      <c r="CB152" s="2804"/>
      <c r="CC152" s="2372" t="str">
        <f t="shared" ref="CC152:CC159" si="455">IF(ISNA(VLOOKUP($BZ152,$B$138:$AA$173,21,FALSE)),"",(VLOOKUP($BZ152,$B$138:$AA$173,21,FALSE)))</f>
        <v/>
      </c>
    </row>
    <row r="153" spans="1:81">
      <c r="A153" s="1690" t="b">
        <f t="shared" si="397"/>
        <v>0</v>
      </c>
      <c r="B153" s="2386">
        <f t="array" ref="B153">IF(ISERROR(INDEX(PQLs!$B$3:$B$87, SMALL(IF(IsoAnalysis=PQLs!$A$3:$A$87, ROW($A$3:$A$86)-ROW($A$3)+1), ROW(15:15)))),0,INDEX(PQLs!$B$3:$B$87, SMALL(IF(IsoAnalysis=PQLs!$A$3:$A$87, ROW($A$3:$A$86)-ROW($A$3)+1), ROW(15:15))))</f>
        <v>0</v>
      </c>
      <c r="C153" s="1884" t="e">
        <f t="shared" si="398"/>
        <v>#N/A</v>
      </c>
      <c r="D153" s="1753" t="e">
        <f t="shared" si="399"/>
        <v>#N/A</v>
      </c>
      <c r="E153" s="1891" t="e">
        <f t="shared" si="400"/>
        <v>#N/A</v>
      </c>
      <c r="F153" s="1889" t="e">
        <f t="shared" si="401"/>
        <v>#N/A</v>
      </c>
      <c r="G153" s="1779"/>
      <c r="H153" s="1755"/>
      <c r="I153" s="1755"/>
      <c r="J153" s="1755"/>
      <c r="K153" s="1755"/>
      <c r="L153" s="1755"/>
      <c r="M153" s="1765"/>
      <c r="N153" s="1759"/>
      <c r="O153" s="1755"/>
      <c r="P153" s="1760"/>
      <c r="Q153" s="1692" t="str">
        <f t="shared" si="402"/>
        <v/>
      </c>
      <c r="R153" s="1692" t="str">
        <f t="shared" si="403"/>
        <v/>
      </c>
      <c r="S153" s="1692" t="str">
        <f t="shared" si="404"/>
        <v/>
      </c>
      <c r="T153" s="1692"/>
      <c r="U153" s="1900" t="str">
        <f t="shared" si="405"/>
        <v/>
      </c>
      <c r="V153" s="1841" t="str">
        <f>IF($B153=0,"",Conc1(BW153,VolumeNTP1,$AG153,MolVol,Pitots!$E$49,Pitots!$F$49,V$136,V$137,VoF))</f>
        <v/>
      </c>
      <c r="W153" s="1739" t="str">
        <f t="shared" si="406"/>
        <v/>
      </c>
      <c r="X153" s="1843" t="str">
        <f t="shared" si="407"/>
        <v/>
      </c>
      <c r="Y153" s="1901" t="str">
        <f>IF(V153="","",MassRate(V153,$AG153,MolVol,V$136,V$137,MRU,MRF,AverageFlowDry1,FF))</f>
        <v/>
      </c>
      <c r="Z153" s="2334" t="str">
        <f t="shared" si="408"/>
        <v/>
      </c>
      <c r="AA153" s="2289" t="str">
        <f t="shared" si="409"/>
        <v/>
      </c>
      <c r="AB153" s="1872" t="str">
        <f t="shared" si="410"/>
        <v/>
      </c>
      <c r="AC153" s="2334" t="str">
        <f t="shared" si="411"/>
        <v/>
      </c>
      <c r="AD153" s="2289" t="str">
        <f t="shared" si="412"/>
        <v/>
      </c>
      <c r="AE153" s="1842"/>
      <c r="AF153" s="1842"/>
      <c r="AG153" s="1753" t="e">
        <f t="shared" si="413"/>
        <v>#N/A</v>
      </c>
      <c r="AH153" s="1870" t="e">
        <f t="shared" si="414"/>
        <v>#N/A</v>
      </c>
      <c r="AK153" s="1872" t="e">
        <f t="shared" si="415"/>
        <v>#N/A</v>
      </c>
      <c r="AL153" s="1721" t="str">
        <f t="shared" si="416"/>
        <v/>
      </c>
      <c r="AM153" s="1721" t="str">
        <f t="shared" si="417"/>
        <v/>
      </c>
      <c r="AN153" s="1721" t="str">
        <f t="shared" si="418"/>
        <v/>
      </c>
      <c r="AO153" s="1721" t="str">
        <f t="shared" si="419"/>
        <v/>
      </c>
      <c r="AP153" s="1721" t="str">
        <f t="shared" si="420"/>
        <v/>
      </c>
      <c r="AQ153" s="1721" t="str">
        <f t="shared" si="421"/>
        <v/>
      </c>
      <c r="AR153" s="1721" t="str">
        <f t="shared" si="422"/>
        <v/>
      </c>
      <c r="AS153" s="1721" t="str">
        <f t="shared" si="423"/>
        <v/>
      </c>
      <c r="AT153" s="1721" t="str">
        <f t="shared" si="424"/>
        <v/>
      </c>
      <c r="AU153" s="1721" t="str">
        <f t="shared" si="425"/>
        <v/>
      </c>
      <c r="AV153" s="1721" t="str">
        <f t="shared" si="426"/>
        <v/>
      </c>
      <c r="AW153" s="1721" t="str">
        <f t="shared" si="427"/>
        <v/>
      </c>
      <c r="AX153" s="1721" t="str">
        <f t="shared" si="428"/>
        <v/>
      </c>
      <c r="AY153" s="1721" t="str">
        <f t="shared" si="429"/>
        <v/>
      </c>
      <c r="AZ153" s="1721" t="str">
        <f t="shared" si="430"/>
        <v/>
      </c>
      <c r="BA153" s="1721" t="str">
        <f t="shared" si="431"/>
        <v/>
      </c>
      <c r="BB153" s="1721" t="str">
        <f t="shared" si="432"/>
        <v/>
      </c>
      <c r="BC153" s="1739">
        <f t="shared" si="433"/>
        <v>0</v>
      </c>
      <c r="BD153" s="1739">
        <f t="shared" si="434"/>
        <v>0</v>
      </c>
      <c r="BE153" s="1739">
        <f t="shared" si="435"/>
        <v>0</v>
      </c>
      <c r="BF153" s="1721">
        <f t="shared" si="436"/>
        <v>0</v>
      </c>
      <c r="BG153" s="1721">
        <f t="shared" si="437"/>
        <v>0</v>
      </c>
      <c r="BH153" s="1721">
        <f t="shared" si="438"/>
        <v>0</v>
      </c>
      <c r="BI153" s="1721">
        <f t="shared" si="439"/>
        <v>0</v>
      </c>
      <c r="BJ153" s="1721">
        <f t="shared" si="440"/>
        <v>0</v>
      </c>
      <c r="BK153" s="1721">
        <f t="shared" si="441"/>
        <v>0</v>
      </c>
      <c r="BL153" s="1721">
        <f t="shared" si="442"/>
        <v>0</v>
      </c>
      <c r="BM153" s="1715">
        <f t="shared" si="443"/>
        <v>0</v>
      </c>
      <c r="BN153" s="1715">
        <f t="shared" si="444"/>
        <v>0</v>
      </c>
      <c r="BO153" s="1715">
        <f t="shared" si="445"/>
        <v>0</v>
      </c>
      <c r="BP153" s="1715">
        <f t="shared" si="446"/>
        <v>0</v>
      </c>
      <c r="BQ153" s="1715">
        <f t="shared" si="447"/>
        <v>0</v>
      </c>
      <c r="BR153" s="1715">
        <f t="shared" si="448"/>
        <v>0</v>
      </c>
      <c r="BS153" s="1715">
        <f t="shared" si="449"/>
        <v>0</v>
      </c>
      <c r="BT153" s="1742">
        <f t="shared" si="450"/>
        <v>0</v>
      </c>
      <c r="BU153" s="1690">
        <f t="shared" si="451"/>
        <v>0</v>
      </c>
      <c r="BV153" s="1715" t="str">
        <f t="shared" si="452"/>
        <v/>
      </c>
      <c r="BW153" s="1722">
        <f t="shared" si="453"/>
        <v>0</v>
      </c>
      <c r="BZ153" s="2024" t="s">
        <v>2126</v>
      </c>
      <c r="CA153" s="2801" t="e">
        <f t="shared" si="454"/>
        <v>#N/A</v>
      </c>
      <c r="CB153" s="2801"/>
      <c r="CC153" s="2373" t="str">
        <f t="shared" si="455"/>
        <v/>
      </c>
    </row>
    <row r="154" spans="1:81">
      <c r="A154" s="1690" t="b">
        <f t="shared" si="397"/>
        <v>0</v>
      </c>
      <c r="B154" s="2386">
        <f t="array" ref="B154">IF(ISERROR(INDEX(PQLs!$B$3:$B$87, SMALL(IF(IsoAnalysis=PQLs!$A$3:$A$87, ROW($A$3:$A$86)-ROW($A$3)+1), ROW(16:16)))),0,INDEX(PQLs!$B$3:$B$87, SMALL(IF(IsoAnalysis=PQLs!$A$3:$A$87, ROW($A$3:$A$86)-ROW($A$3)+1), ROW(16:16))))</f>
        <v>0</v>
      </c>
      <c r="C154" s="1884" t="e">
        <f t="shared" si="398"/>
        <v>#N/A</v>
      </c>
      <c r="D154" s="1753" t="e">
        <f t="shared" si="399"/>
        <v>#N/A</v>
      </c>
      <c r="E154" s="1891" t="e">
        <f t="shared" si="400"/>
        <v>#N/A</v>
      </c>
      <c r="F154" s="1889" t="e">
        <f t="shared" si="401"/>
        <v>#N/A</v>
      </c>
      <c r="G154" s="1779"/>
      <c r="H154" s="1755"/>
      <c r="I154" s="1755"/>
      <c r="J154" s="1755"/>
      <c r="K154" s="1755"/>
      <c r="L154" s="1755"/>
      <c r="M154" s="1765"/>
      <c r="N154" s="1759"/>
      <c r="O154" s="1755"/>
      <c r="P154" s="1760"/>
      <c r="Q154" s="1692" t="str">
        <f t="shared" si="402"/>
        <v/>
      </c>
      <c r="R154" s="1692" t="str">
        <f t="shared" si="403"/>
        <v/>
      </c>
      <c r="S154" s="1692" t="str">
        <f t="shared" si="404"/>
        <v/>
      </c>
      <c r="T154" s="1692"/>
      <c r="U154" s="1900" t="str">
        <f t="shared" si="405"/>
        <v/>
      </c>
      <c r="V154" s="1841" t="str">
        <f>IF($B154=0,"",Conc1(BW154,VolumeNTP1,$AG154,MolVol,Pitots!$E$49,Pitots!$F$49,V$136,V$137,VoF))</f>
        <v/>
      </c>
      <c r="W154" s="1739" t="str">
        <f t="shared" si="406"/>
        <v/>
      </c>
      <c r="X154" s="1843" t="str">
        <f t="shared" si="407"/>
        <v/>
      </c>
      <c r="Y154" s="1901" t="str">
        <f>IF(V154="","",MassRate(V154,$AG154,MolVol,V$136,V$137,MRU,MRF,AverageFlowDry1,FF))</f>
        <v/>
      </c>
      <c r="Z154" s="2334" t="str">
        <f t="shared" si="408"/>
        <v/>
      </c>
      <c r="AA154" s="2289" t="str">
        <f t="shared" si="409"/>
        <v/>
      </c>
      <c r="AB154" s="1872" t="str">
        <f t="shared" si="410"/>
        <v/>
      </c>
      <c r="AC154" s="2334" t="str">
        <f t="shared" si="411"/>
        <v/>
      </c>
      <c r="AD154" s="2289" t="str">
        <f t="shared" si="412"/>
        <v/>
      </c>
      <c r="AE154" s="1842"/>
      <c r="AF154" s="1842"/>
      <c r="AG154" s="1753" t="e">
        <f t="shared" si="413"/>
        <v>#N/A</v>
      </c>
      <c r="AH154" s="1870" t="e">
        <f t="shared" si="414"/>
        <v>#N/A</v>
      </c>
      <c r="AK154" s="1872" t="e">
        <f t="shared" si="415"/>
        <v>#N/A</v>
      </c>
      <c r="AL154" s="1721" t="str">
        <f t="shared" si="416"/>
        <v/>
      </c>
      <c r="AM154" s="1721" t="str">
        <f t="shared" si="417"/>
        <v/>
      </c>
      <c r="AN154" s="1721" t="str">
        <f t="shared" si="418"/>
        <v/>
      </c>
      <c r="AO154" s="1721" t="str">
        <f t="shared" si="419"/>
        <v/>
      </c>
      <c r="AP154" s="1721" t="str">
        <f t="shared" si="420"/>
        <v/>
      </c>
      <c r="AQ154" s="1721" t="str">
        <f t="shared" si="421"/>
        <v/>
      </c>
      <c r="AR154" s="1721" t="str">
        <f t="shared" si="422"/>
        <v/>
      </c>
      <c r="AS154" s="1721" t="str">
        <f t="shared" si="423"/>
        <v/>
      </c>
      <c r="AT154" s="1721" t="str">
        <f t="shared" si="424"/>
        <v/>
      </c>
      <c r="AU154" s="1721" t="str">
        <f t="shared" si="425"/>
        <v/>
      </c>
      <c r="AV154" s="1721" t="str">
        <f t="shared" si="426"/>
        <v/>
      </c>
      <c r="AW154" s="1721" t="str">
        <f t="shared" si="427"/>
        <v/>
      </c>
      <c r="AX154" s="1721" t="str">
        <f t="shared" si="428"/>
        <v/>
      </c>
      <c r="AY154" s="1721" t="str">
        <f t="shared" si="429"/>
        <v/>
      </c>
      <c r="AZ154" s="1721" t="str">
        <f t="shared" si="430"/>
        <v/>
      </c>
      <c r="BA154" s="1721" t="str">
        <f t="shared" si="431"/>
        <v/>
      </c>
      <c r="BB154" s="1721" t="str">
        <f t="shared" si="432"/>
        <v/>
      </c>
      <c r="BC154" s="1739">
        <f t="shared" si="433"/>
        <v>0</v>
      </c>
      <c r="BD154" s="1739">
        <f t="shared" si="434"/>
        <v>0</v>
      </c>
      <c r="BE154" s="1739">
        <f t="shared" si="435"/>
        <v>0</v>
      </c>
      <c r="BF154" s="1721">
        <f t="shared" si="436"/>
        <v>0</v>
      </c>
      <c r="BG154" s="1721">
        <f t="shared" si="437"/>
        <v>0</v>
      </c>
      <c r="BH154" s="1721">
        <f t="shared" si="438"/>
        <v>0</v>
      </c>
      <c r="BI154" s="1721">
        <f t="shared" si="439"/>
        <v>0</v>
      </c>
      <c r="BJ154" s="1721">
        <f t="shared" si="440"/>
        <v>0</v>
      </c>
      <c r="BK154" s="1721">
        <f t="shared" si="441"/>
        <v>0</v>
      </c>
      <c r="BL154" s="1721">
        <f t="shared" si="442"/>
        <v>0</v>
      </c>
      <c r="BM154" s="1715">
        <f t="shared" si="443"/>
        <v>0</v>
      </c>
      <c r="BN154" s="1715">
        <f t="shared" si="444"/>
        <v>0</v>
      </c>
      <c r="BO154" s="1715">
        <f t="shared" si="445"/>
        <v>0</v>
      </c>
      <c r="BP154" s="1715">
        <f t="shared" si="446"/>
        <v>0</v>
      </c>
      <c r="BQ154" s="1715">
        <f t="shared" si="447"/>
        <v>0</v>
      </c>
      <c r="BR154" s="1715">
        <f t="shared" si="448"/>
        <v>0</v>
      </c>
      <c r="BS154" s="1715">
        <f t="shared" si="449"/>
        <v>0</v>
      </c>
      <c r="BT154" s="1742">
        <f t="shared" si="450"/>
        <v>0</v>
      </c>
      <c r="BU154" s="1690">
        <f t="shared" si="451"/>
        <v>0</v>
      </c>
      <c r="BV154" s="1715" t="str">
        <f t="shared" si="452"/>
        <v/>
      </c>
      <c r="BW154" s="1722">
        <f t="shared" si="453"/>
        <v>0</v>
      </c>
      <c r="BZ154" s="2024" t="s">
        <v>2127</v>
      </c>
      <c r="CA154" s="2801" t="e">
        <f t="shared" si="454"/>
        <v>#N/A</v>
      </c>
      <c r="CB154" s="2801"/>
      <c r="CC154" s="2373" t="str">
        <f t="shared" si="455"/>
        <v/>
      </c>
    </row>
    <row r="155" spans="1:81">
      <c r="A155" s="1690" t="b">
        <f t="shared" si="397"/>
        <v>0</v>
      </c>
      <c r="B155" s="2386">
        <f t="array" ref="B155">IF(ISERROR(INDEX(PQLs!$B$3:$B$87, SMALL(IF(IsoAnalysis=PQLs!$A$3:$A$87, ROW($A$3:$A$86)-ROW($A$3)+1), ROW(17:17)))),0,INDEX(PQLs!$B$3:$B$87, SMALL(IF(IsoAnalysis=PQLs!$A$3:$A$87, ROW($A$3:$A$86)-ROW($A$3)+1), ROW(17:17))))</f>
        <v>0</v>
      </c>
      <c r="C155" s="1884" t="e">
        <f t="shared" si="398"/>
        <v>#N/A</v>
      </c>
      <c r="D155" s="1753" t="e">
        <f t="shared" si="399"/>
        <v>#N/A</v>
      </c>
      <c r="E155" s="1891" t="e">
        <f t="shared" si="400"/>
        <v>#N/A</v>
      </c>
      <c r="F155" s="1889" t="e">
        <f t="shared" si="401"/>
        <v>#N/A</v>
      </c>
      <c r="G155" s="1779"/>
      <c r="H155" s="1755"/>
      <c r="I155" s="1755"/>
      <c r="J155" s="1755"/>
      <c r="K155" s="1755"/>
      <c r="L155" s="1755"/>
      <c r="M155" s="1765"/>
      <c r="N155" s="1759"/>
      <c r="O155" s="1755"/>
      <c r="P155" s="1760"/>
      <c r="Q155" s="1692" t="str">
        <f t="shared" si="402"/>
        <v/>
      </c>
      <c r="R155" s="1692" t="str">
        <f t="shared" si="403"/>
        <v/>
      </c>
      <c r="S155" s="1692" t="str">
        <f t="shared" si="404"/>
        <v/>
      </c>
      <c r="T155" s="1692"/>
      <c r="U155" s="1900" t="str">
        <f t="shared" si="405"/>
        <v/>
      </c>
      <c r="V155" s="1841" t="str">
        <f>IF($B155=0,"",Conc1(BW155,VolumeNTP1,$AG155,MolVol,Pitots!$E$49,Pitots!$F$49,V$136,V$137,VoF))</f>
        <v/>
      </c>
      <c r="W155" s="1739" t="str">
        <f t="shared" si="406"/>
        <v/>
      </c>
      <c r="X155" s="1843" t="str">
        <f t="shared" si="407"/>
        <v/>
      </c>
      <c r="Y155" s="1901" t="str">
        <f>IF(V155="","",MassRate(V155,$AG155,MolVol,V$136,V$137,MRU,MRF,AverageFlowDry1,FF))</f>
        <v/>
      </c>
      <c r="Z155" s="2334" t="str">
        <f t="shared" si="408"/>
        <v/>
      </c>
      <c r="AA155" s="2289" t="str">
        <f t="shared" si="409"/>
        <v/>
      </c>
      <c r="AB155" s="1872" t="str">
        <f t="shared" si="410"/>
        <v/>
      </c>
      <c r="AC155" s="2334" t="str">
        <f t="shared" si="411"/>
        <v/>
      </c>
      <c r="AD155" s="2289" t="str">
        <f t="shared" si="412"/>
        <v/>
      </c>
      <c r="AE155" s="1842"/>
      <c r="AF155" s="1842"/>
      <c r="AG155" s="1753" t="e">
        <f t="shared" si="413"/>
        <v>#N/A</v>
      </c>
      <c r="AH155" s="1870" t="e">
        <f t="shared" si="414"/>
        <v>#N/A</v>
      </c>
      <c r="AK155" s="1872" t="e">
        <f t="shared" si="415"/>
        <v>#N/A</v>
      </c>
      <c r="AL155" s="1721" t="str">
        <f t="shared" si="416"/>
        <v/>
      </c>
      <c r="AM155" s="1721" t="str">
        <f t="shared" si="417"/>
        <v/>
      </c>
      <c r="AN155" s="1721" t="str">
        <f t="shared" si="418"/>
        <v/>
      </c>
      <c r="AO155" s="1721" t="str">
        <f t="shared" si="419"/>
        <v/>
      </c>
      <c r="AP155" s="1721" t="str">
        <f t="shared" si="420"/>
        <v/>
      </c>
      <c r="AQ155" s="1721" t="str">
        <f t="shared" si="421"/>
        <v/>
      </c>
      <c r="AR155" s="1721" t="str">
        <f t="shared" si="422"/>
        <v/>
      </c>
      <c r="AS155" s="1721" t="str">
        <f t="shared" si="423"/>
        <v/>
      </c>
      <c r="AT155" s="1721" t="str">
        <f t="shared" si="424"/>
        <v/>
      </c>
      <c r="AU155" s="1721" t="str">
        <f t="shared" si="425"/>
        <v/>
      </c>
      <c r="AV155" s="1721" t="str">
        <f t="shared" si="426"/>
        <v/>
      </c>
      <c r="AW155" s="1721" t="str">
        <f t="shared" si="427"/>
        <v/>
      </c>
      <c r="AX155" s="1721" t="str">
        <f t="shared" si="428"/>
        <v/>
      </c>
      <c r="AY155" s="1721" t="str">
        <f t="shared" si="429"/>
        <v/>
      </c>
      <c r="AZ155" s="1721" t="str">
        <f t="shared" si="430"/>
        <v/>
      </c>
      <c r="BA155" s="1721" t="str">
        <f t="shared" si="431"/>
        <v/>
      </c>
      <c r="BB155" s="1721" t="str">
        <f t="shared" si="432"/>
        <v/>
      </c>
      <c r="BC155" s="1739">
        <f t="shared" si="433"/>
        <v>0</v>
      </c>
      <c r="BD155" s="1739">
        <f t="shared" si="434"/>
        <v>0</v>
      </c>
      <c r="BE155" s="1739">
        <f t="shared" si="435"/>
        <v>0</v>
      </c>
      <c r="BF155" s="1721">
        <f t="shared" si="436"/>
        <v>0</v>
      </c>
      <c r="BG155" s="1721">
        <f t="shared" si="437"/>
        <v>0</v>
      </c>
      <c r="BH155" s="1721">
        <f t="shared" si="438"/>
        <v>0</v>
      </c>
      <c r="BI155" s="1721">
        <f t="shared" si="439"/>
        <v>0</v>
      </c>
      <c r="BJ155" s="1721">
        <f t="shared" si="440"/>
        <v>0</v>
      </c>
      <c r="BK155" s="1721">
        <f t="shared" si="441"/>
        <v>0</v>
      </c>
      <c r="BL155" s="1721">
        <f t="shared" si="442"/>
        <v>0</v>
      </c>
      <c r="BM155" s="1715">
        <f t="shared" si="443"/>
        <v>0</v>
      </c>
      <c r="BN155" s="1715">
        <f t="shared" si="444"/>
        <v>0</v>
      </c>
      <c r="BO155" s="1715">
        <f t="shared" si="445"/>
        <v>0</v>
      </c>
      <c r="BP155" s="1715">
        <f t="shared" si="446"/>
        <v>0</v>
      </c>
      <c r="BQ155" s="1715">
        <f t="shared" si="447"/>
        <v>0</v>
      </c>
      <c r="BR155" s="1715">
        <f t="shared" si="448"/>
        <v>0</v>
      </c>
      <c r="BS155" s="1715">
        <f t="shared" si="449"/>
        <v>0</v>
      </c>
      <c r="BT155" s="1742">
        <f t="shared" si="450"/>
        <v>0</v>
      </c>
      <c r="BU155" s="1690">
        <f t="shared" si="451"/>
        <v>0</v>
      </c>
      <c r="BV155" s="1715" t="str">
        <f t="shared" si="452"/>
        <v/>
      </c>
      <c r="BW155" s="1722">
        <f t="shared" si="453"/>
        <v>0</v>
      </c>
      <c r="BZ155" s="2024" t="s">
        <v>2131</v>
      </c>
      <c r="CA155" s="2801" t="e">
        <f t="shared" si="454"/>
        <v>#N/A</v>
      </c>
      <c r="CB155" s="2801"/>
      <c r="CC155" s="2373" t="str">
        <f t="shared" si="455"/>
        <v/>
      </c>
    </row>
    <row r="156" spans="1:81">
      <c r="A156" s="1690" t="b">
        <f t="shared" si="397"/>
        <v>0</v>
      </c>
      <c r="B156" s="2386">
        <f t="array" ref="B156">IF(ISERROR(INDEX(PQLs!$B$3:$B$87, SMALL(IF(IsoAnalysis=PQLs!$A$3:$A$87, ROW($A$3:$A$86)-ROW($A$3)+1), ROW(18:18)))),0,INDEX(PQLs!$B$3:$B$87, SMALL(IF(IsoAnalysis=PQLs!$A$3:$A$87, ROW($A$3:$A$86)-ROW($A$3)+1), ROW(18:18))))</f>
        <v>0</v>
      </c>
      <c r="C156" s="1884" t="e">
        <f t="shared" si="398"/>
        <v>#N/A</v>
      </c>
      <c r="D156" s="1753" t="e">
        <f t="shared" si="399"/>
        <v>#N/A</v>
      </c>
      <c r="E156" s="1891" t="e">
        <f t="shared" si="400"/>
        <v>#N/A</v>
      </c>
      <c r="F156" s="1889" t="e">
        <f t="shared" si="401"/>
        <v>#N/A</v>
      </c>
      <c r="G156" s="1779"/>
      <c r="H156" s="1755"/>
      <c r="I156" s="1755"/>
      <c r="J156" s="1755"/>
      <c r="K156" s="1755"/>
      <c r="L156" s="1755"/>
      <c r="M156" s="1765"/>
      <c r="N156" s="1759"/>
      <c r="O156" s="1755"/>
      <c r="P156" s="1760"/>
      <c r="Q156" s="1692" t="str">
        <f t="shared" si="402"/>
        <v/>
      </c>
      <c r="R156" s="1692" t="str">
        <f t="shared" si="403"/>
        <v/>
      </c>
      <c r="S156" s="1692" t="str">
        <f t="shared" si="404"/>
        <v/>
      </c>
      <c r="T156" s="1692"/>
      <c r="U156" s="1900" t="str">
        <f t="shared" si="405"/>
        <v/>
      </c>
      <c r="V156" s="1841" t="str">
        <f>IF($B156=0,"",Conc1(BW156,VolumeNTP1,$AG156,MolVol,Pitots!$E$49,Pitots!$F$49,V$136,V$137,VoF))</f>
        <v/>
      </c>
      <c r="W156" s="1739" t="str">
        <f t="shared" si="406"/>
        <v/>
      </c>
      <c r="X156" s="1843" t="str">
        <f t="shared" si="407"/>
        <v/>
      </c>
      <c r="Y156" s="1901" t="str">
        <f>IF(V156="","",MassRate(V156,$AG156,MolVol,V$136,V$137,MRU,MRF,AverageFlowDry1,FF))</f>
        <v/>
      </c>
      <c r="Z156" s="2334" t="str">
        <f t="shared" si="408"/>
        <v/>
      </c>
      <c r="AA156" s="2289" t="str">
        <f t="shared" si="409"/>
        <v/>
      </c>
      <c r="AB156" s="1872" t="str">
        <f t="shared" si="410"/>
        <v/>
      </c>
      <c r="AC156" s="2334" t="str">
        <f t="shared" si="411"/>
        <v/>
      </c>
      <c r="AD156" s="2289" t="str">
        <f t="shared" si="412"/>
        <v/>
      </c>
      <c r="AE156" s="1842"/>
      <c r="AF156" s="1842"/>
      <c r="AG156" s="1753" t="e">
        <f t="shared" si="413"/>
        <v>#N/A</v>
      </c>
      <c r="AH156" s="1870" t="e">
        <f t="shared" si="414"/>
        <v>#N/A</v>
      </c>
      <c r="AK156" s="1872" t="e">
        <f t="shared" si="415"/>
        <v>#N/A</v>
      </c>
      <c r="AL156" s="1721" t="str">
        <f t="shared" si="416"/>
        <v/>
      </c>
      <c r="AM156" s="1721" t="str">
        <f t="shared" si="417"/>
        <v/>
      </c>
      <c r="AN156" s="1721" t="str">
        <f t="shared" si="418"/>
        <v/>
      </c>
      <c r="AO156" s="1721" t="str">
        <f t="shared" si="419"/>
        <v/>
      </c>
      <c r="AP156" s="1721" t="str">
        <f t="shared" si="420"/>
        <v/>
      </c>
      <c r="AQ156" s="1721" t="str">
        <f t="shared" si="421"/>
        <v/>
      </c>
      <c r="AR156" s="1721" t="str">
        <f t="shared" si="422"/>
        <v/>
      </c>
      <c r="AS156" s="1721" t="str">
        <f t="shared" si="423"/>
        <v/>
      </c>
      <c r="AT156" s="1721" t="str">
        <f t="shared" si="424"/>
        <v/>
      </c>
      <c r="AU156" s="1721" t="str">
        <f t="shared" si="425"/>
        <v/>
      </c>
      <c r="AV156" s="1721" t="str">
        <f t="shared" si="426"/>
        <v/>
      </c>
      <c r="AW156" s="1721" t="str">
        <f t="shared" si="427"/>
        <v/>
      </c>
      <c r="AX156" s="1721" t="str">
        <f t="shared" si="428"/>
        <v/>
      </c>
      <c r="AY156" s="1721" t="str">
        <f t="shared" si="429"/>
        <v/>
      </c>
      <c r="AZ156" s="1721" t="str">
        <f t="shared" si="430"/>
        <v/>
      </c>
      <c r="BA156" s="1721" t="str">
        <f t="shared" si="431"/>
        <v/>
      </c>
      <c r="BB156" s="1721" t="str">
        <f t="shared" si="432"/>
        <v/>
      </c>
      <c r="BC156" s="1739">
        <f t="shared" si="433"/>
        <v>0</v>
      </c>
      <c r="BD156" s="1739">
        <f t="shared" si="434"/>
        <v>0</v>
      </c>
      <c r="BE156" s="1739">
        <f t="shared" si="435"/>
        <v>0</v>
      </c>
      <c r="BF156" s="1721">
        <f t="shared" si="436"/>
        <v>0</v>
      </c>
      <c r="BG156" s="1721">
        <f t="shared" si="437"/>
        <v>0</v>
      </c>
      <c r="BH156" s="1721">
        <f t="shared" si="438"/>
        <v>0</v>
      </c>
      <c r="BI156" s="1721">
        <f t="shared" si="439"/>
        <v>0</v>
      </c>
      <c r="BJ156" s="1721">
        <f t="shared" si="440"/>
        <v>0</v>
      </c>
      <c r="BK156" s="1721">
        <f t="shared" si="441"/>
        <v>0</v>
      </c>
      <c r="BL156" s="1721">
        <f t="shared" si="442"/>
        <v>0</v>
      </c>
      <c r="BM156" s="1715">
        <f t="shared" si="443"/>
        <v>0</v>
      </c>
      <c r="BN156" s="1715">
        <f t="shared" si="444"/>
        <v>0</v>
      </c>
      <c r="BO156" s="1715">
        <f t="shared" si="445"/>
        <v>0</v>
      </c>
      <c r="BP156" s="1715">
        <f t="shared" si="446"/>
        <v>0</v>
      </c>
      <c r="BQ156" s="1715">
        <f t="shared" si="447"/>
        <v>0</v>
      </c>
      <c r="BR156" s="1715">
        <f t="shared" si="448"/>
        <v>0</v>
      </c>
      <c r="BS156" s="1715">
        <f t="shared" si="449"/>
        <v>0</v>
      </c>
      <c r="BT156" s="1742">
        <f t="shared" si="450"/>
        <v>0</v>
      </c>
      <c r="BU156" s="1690">
        <f t="shared" si="451"/>
        <v>0</v>
      </c>
      <c r="BV156" s="1715" t="str">
        <f t="shared" si="452"/>
        <v/>
      </c>
      <c r="BW156" s="1722">
        <f t="shared" si="453"/>
        <v>0</v>
      </c>
      <c r="BZ156" s="2024" t="s">
        <v>2133</v>
      </c>
      <c r="CA156" s="2801" t="e">
        <f t="shared" si="454"/>
        <v>#N/A</v>
      </c>
      <c r="CB156" s="2801"/>
      <c r="CC156" s="2373" t="str">
        <f t="shared" si="455"/>
        <v/>
      </c>
    </row>
    <row r="157" spans="1:81">
      <c r="A157" s="1690" t="b">
        <f t="shared" si="397"/>
        <v>0</v>
      </c>
      <c r="B157" s="2386">
        <f t="array" ref="B157">IF(ISERROR(INDEX(PQLs!$B$3:$B$87, SMALL(IF(IsoAnalysis=PQLs!$A$3:$A$87, ROW($A$3:$A$86)-ROW($A$3)+1), ROW(19:19)))),0,INDEX(PQLs!$B$3:$B$87, SMALL(IF(IsoAnalysis=PQLs!$A$3:$A$87, ROW($A$3:$A$86)-ROW($A$3)+1), ROW(19:19))))</f>
        <v>0</v>
      </c>
      <c r="C157" s="1884" t="e">
        <f t="shared" si="398"/>
        <v>#N/A</v>
      </c>
      <c r="D157" s="1753" t="e">
        <f t="shared" si="399"/>
        <v>#N/A</v>
      </c>
      <c r="E157" s="1891" t="e">
        <f t="shared" si="400"/>
        <v>#N/A</v>
      </c>
      <c r="F157" s="1889" t="e">
        <f t="shared" si="401"/>
        <v>#N/A</v>
      </c>
      <c r="G157" s="1779"/>
      <c r="H157" s="1755"/>
      <c r="I157" s="1755"/>
      <c r="J157" s="1755"/>
      <c r="K157" s="1755"/>
      <c r="L157" s="1755"/>
      <c r="M157" s="1765"/>
      <c r="N157" s="1759"/>
      <c r="O157" s="1755"/>
      <c r="P157" s="1760"/>
      <c r="Q157" s="1692" t="str">
        <f t="shared" si="402"/>
        <v/>
      </c>
      <c r="R157" s="1692" t="str">
        <f t="shared" si="403"/>
        <v/>
      </c>
      <c r="S157" s="1692" t="str">
        <f t="shared" si="404"/>
        <v/>
      </c>
      <c r="T157" s="1692"/>
      <c r="U157" s="1900" t="str">
        <f t="shared" si="405"/>
        <v/>
      </c>
      <c r="V157" s="1841" t="str">
        <f>IF($B157=0,"",Conc1(BW157,VolumeNTP1,$AG157,MolVol,Pitots!$E$49,Pitots!$F$49,V$136,V$137,VoF))</f>
        <v/>
      </c>
      <c r="W157" s="1739" t="str">
        <f t="shared" si="406"/>
        <v/>
      </c>
      <c r="X157" s="1843" t="str">
        <f t="shared" si="407"/>
        <v/>
      </c>
      <c r="Y157" s="1901" t="str">
        <f>IF(V157="","",MassRate(V157,$AG157,MolVol,V$136,V$137,MRU,MRF,AverageFlowDry1,FF))</f>
        <v/>
      </c>
      <c r="Z157" s="2334" t="str">
        <f t="shared" si="408"/>
        <v/>
      </c>
      <c r="AA157" s="2289" t="str">
        <f t="shared" si="409"/>
        <v/>
      </c>
      <c r="AB157" s="1872" t="str">
        <f t="shared" si="410"/>
        <v/>
      </c>
      <c r="AC157" s="2334" t="str">
        <f t="shared" si="411"/>
        <v/>
      </c>
      <c r="AD157" s="2289" t="str">
        <f t="shared" si="412"/>
        <v/>
      </c>
      <c r="AE157" s="1842"/>
      <c r="AF157" s="1842"/>
      <c r="AG157" s="1753" t="e">
        <f t="shared" si="413"/>
        <v>#N/A</v>
      </c>
      <c r="AH157" s="1870" t="e">
        <f t="shared" si="414"/>
        <v>#N/A</v>
      </c>
      <c r="AK157" s="1872" t="e">
        <f t="shared" si="415"/>
        <v>#N/A</v>
      </c>
      <c r="AL157" s="1721" t="str">
        <f t="shared" si="416"/>
        <v/>
      </c>
      <c r="AM157" s="1721" t="str">
        <f t="shared" si="417"/>
        <v/>
      </c>
      <c r="AN157" s="1721" t="str">
        <f t="shared" si="418"/>
        <v/>
      </c>
      <c r="AO157" s="1721" t="str">
        <f t="shared" si="419"/>
        <v/>
      </c>
      <c r="AP157" s="1721" t="str">
        <f t="shared" si="420"/>
        <v/>
      </c>
      <c r="AQ157" s="1721" t="str">
        <f t="shared" si="421"/>
        <v/>
      </c>
      <c r="AR157" s="1721" t="str">
        <f t="shared" si="422"/>
        <v/>
      </c>
      <c r="AS157" s="1721" t="str">
        <f t="shared" si="423"/>
        <v/>
      </c>
      <c r="AT157" s="1721" t="str">
        <f t="shared" si="424"/>
        <v/>
      </c>
      <c r="AU157" s="1721" t="str">
        <f t="shared" si="425"/>
        <v/>
      </c>
      <c r="AV157" s="1721" t="str">
        <f t="shared" si="426"/>
        <v/>
      </c>
      <c r="AW157" s="1721" t="str">
        <f t="shared" si="427"/>
        <v/>
      </c>
      <c r="AX157" s="1721" t="str">
        <f t="shared" si="428"/>
        <v/>
      </c>
      <c r="AY157" s="1721" t="str">
        <f t="shared" si="429"/>
        <v/>
      </c>
      <c r="AZ157" s="1721" t="str">
        <f t="shared" si="430"/>
        <v/>
      </c>
      <c r="BA157" s="1721" t="str">
        <f t="shared" si="431"/>
        <v/>
      </c>
      <c r="BB157" s="1721" t="str">
        <f t="shared" si="432"/>
        <v/>
      </c>
      <c r="BC157" s="1739">
        <f t="shared" si="433"/>
        <v>0</v>
      </c>
      <c r="BD157" s="1739">
        <f t="shared" si="434"/>
        <v>0</v>
      </c>
      <c r="BE157" s="1739">
        <f t="shared" si="435"/>
        <v>0</v>
      </c>
      <c r="BF157" s="1721">
        <f t="shared" si="436"/>
        <v>0</v>
      </c>
      <c r="BG157" s="1721">
        <f t="shared" si="437"/>
        <v>0</v>
      </c>
      <c r="BH157" s="1721">
        <f t="shared" si="438"/>
        <v>0</v>
      </c>
      <c r="BI157" s="1721">
        <f t="shared" si="439"/>
        <v>0</v>
      </c>
      <c r="BJ157" s="1721">
        <f t="shared" si="440"/>
        <v>0</v>
      </c>
      <c r="BK157" s="1721">
        <f t="shared" si="441"/>
        <v>0</v>
      </c>
      <c r="BL157" s="1721">
        <f t="shared" si="442"/>
        <v>0</v>
      </c>
      <c r="BM157" s="1715">
        <f t="shared" si="443"/>
        <v>0</v>
      </c>
      <c r="BN157" s="1715">
        <f t="shared" si="444"/>
        <v>0</v>
      </c>
      <c r="BO157" s="1715">
        <f t="shared" si="445"/>
        <v>0</v>
      </c>
      <c r="BP157" s="1715">
        <f t="shared" si="446"/>
        <v>0</v>
      </c>
      <c r="BQ157" s="1715">
        <f t="shared" si="447"/>
        <v>0</v>
      </c>
      <c r="BR157" s="1715">
        <f t="shared" si="448"/>
        <v>0</v>
      </c>
      <c r="BS157" s="1715">
        <f t="shared" si="449"/>
        <v>0</v>
      </c>
      <c r="BT157" s="1742">
        <f t="shared" si="450"/>
        <v>0</v>
      </c>
      <c r="BU157" s="1690">
        <f t="shared" si="451"/>
        <v>0</v>
      </c>
      <c r="BV157" s="1715" t="str">
        <f t="shared" si="452"/>
        <v/>
      </c>
      <c r="BW157" s="1722">
        <f t="shared" si="453"/>
        <v>0</v>
      </c>
      <c r="BZ157" s="2024" t="s">
        <v>2135</v>
      </c>
      <c r="CA157" s="2801" t="e">
        <f t="shared" si="454"/>
        <v>#N/A</v>
      </c>
      <c r="CB157" s="2801"/>
      <c r="CC157" s="2373" t="str">
        <f t="shared" si="455"/>
        <v/>
      </c>
    </row>
    <row r="158" spans="1:81">
      <c r="A158" s="1690" t="b">
        <f t="shared" si="397"/>
        <v>0</v>
      </c>
      <c r="B158" s="2386">
        <f t="array" ref="B158">IF(ISERROR(INDEX(PQLs!$B$3:$B$87, SMALL(IF(IsoAnalysis=PQLs!$A$3:$A$87, ROW($A$3:$A$86)-ROW($A$3)+1), ROW(20:20)))),0,INDEX(PQLs!$B$3:$B$87, SMALL(IF(IsoAnalysis=PQLs!$A$3:$A$87, ROW($A$3:$A$86)-ROW($A$3)+1), ROW(20:20))))</f>
        <v>0</v>
      </c>
      <c r="C158" s="1884" t="e">
        <f t="shared" si="398"/>
        <v>#N/A</v>
      </c>
      <c r="D158" s="1753" t="e">
        <f t="shared" si="399"/>
        <v>#N/A</v>
      </c>
      <c r="E158" s="1891" t="e">
        <f t="shared" si="400"/>
        <v>#N/A</v>
      </c>
      <c r="F158" s="1889" t="e">
        <f t="shared" si="401"/>
        <v>#N/A</v>
      </c>
      <c r="G158" s="1779"/>
      <c r="H158" s="1755"/>
      <c r="I158" s="1755"/>
      <c r="J158" s="1755"/>
      <c r="K158" s="1755"/>
      <c r="L158" s="1755"/>
      <c r="M158" s="1765"/>
      <c r="N158" s="1759"/>
      <c r="O158" s="1755"/>
      <c r="P158" s="1760"/>
      <c r="Q158" s="1692" t="str">
        <f t="shared" si="402"/>
        <v/>
      </c>
      <c r="R158" s="1692" t="str">
        <f t="shared" si="403"/>
        <v/>
      </c>
      <c r="S158" s="1692" t="str">
        <f t="shared" si="404"/>
        <v/>
      </c>
      <c r="T158" s="1692"/>
      <c r="U158" s="1900" t="str">
        <f t="shared" si="405"/>
        <v/>
      </c>
      <c r="V158" s="1841" t="str">
        <f>IF($B158=0,"",Conc1(BW158,VolumeNTP1,$AG158,MolVol,Pitots!$E$49,Pitots!$F$49,V$136,V$137,VoF))</f>
        <v/>
      </c>
      <c r="W158" s="1739" t="str">
        <f t="shared" si="406"/>
        <v/>
      </c>
      <c r="X158" s="1843" t="str">
        <f t="shared" si="407"/>
        <v/>
      </c>
      <c r="Y158" s="1901" t="str">
        <f>IF(V158="","",MassRate(V158,$AG158,MolVol,V$136,V$137,MRU,MRF,AverageFlowDry1,FF))</f>
        <v/>
      </c>
      <c r="Z158" s="2334" t="str">
        <f t="shared" si="408"/>
        <v/>
      </c>
      <c r="AA158" s="2289" t="str">
        <f t="shared" si="409"/>
        <v/>
      </c>
      <c r="AB158" s="1872" t="str">
        <f t="shared" si="410"/>
        <v/>
      </c>
      <c r="AC158" s="2334" t="str">
        <f t="shared" si="411"/>
        <v/>
      </c>
      <c r="AD158" s="2289" t="str">
        <f t="shared" si="412"/>
        <v/>
      </c>
      <c r="AE158" s="1842"/>
      <c r="AF158" s="1842"/>
      <c r="AG158" s="1753" t="e">
        <f t="shared" si="413"/>
        <v>#N/A</v>
      </c>
      <c r="AH158" s="1870" t="e">
        <f t="shared" si="414"/>
        <v>#N/A</v>
      </c>
      <c r="AK158" s="1872" t="e">
        <f t="shared" si="415"/>
        <v>#N/A</v>
      </c>
      <c r="AL158" s="1721" t="str">
        <f t="shared" si="416"/>
        <v/>
      </c>
      <c r="AM158" s="1721" t="str">
        <f t="shared" si="417"/>
        <v/>
      </c>
      <c r="AN158" s="1721" t="str">
        <f t="shared" si="418"/>
        <v/>
      </c>
      <c r="AO158" s="1721" t="str">
        <f t="shared" si="419"/>
        <v/>
      </c>
      <c r="AP158" s="1721" t="str">
        <f t="shared" si="420"/>
        <v/>
      </c>
      <c r="AQ158" s="1721" t="str">
        <f t="shared" si="421"/>
        <v/>
      </c>
      <c r="AR158" s="1721" t="str">
        <f t="shared" si="422"/>
        <v/>
      </c>
      <c r="AS158" s="1721" t="str">
        <f t="shared" si="423"/>
        <v/>
      </c>
      <c r="AT158" s="1721" t="str">
        <f t="shared" si="424"/>
        <v/>
      </c>
      <c r="AU158" s="1721" t="str">
        <f t="shared" si="425"/>
        <v/>
      </c>
      <c r="AV158" s="1721" t="str">
        <f t="shared" si="426"/>
        <v/>
      </c>
      <c r="AW158" s="1721" t="str">
        <f t="shared" si="427"/>
        <v/>
      </c>
      <c r="AX158" s="1721" t="str">
        <f t="shared" si="428"/>
        <v/>
      </c>
      <c r="AY158" s="1721" t="str">
        <f t="shared" si="429"/>
        <v/>
      </c>
      <c r="AZ158" s="1721" t="str">
        <f t="shared" si="430"/>
        <v/>
      </c>
      <c r="BA158" s="1721" t="str">
        <f t="shared" si="431"/>
        <v/>
      </c>
      <c r="BB158" s="1721" t="str">
        <f t="shared" si="432"/>
        <v/>
      </c>
      <c r="BC158" s="1739">
        <f t="shared" si="433"/>
        <v>0</v>
      </c>
      <c r="BD158" s="1739">
        <f t="shared" si="434"/>
        <v>0</v>
      </c>
      <c r="BE158" s="1739">
        <f t="shared" si="435"/>
        <v>0</v>
      </c>
      <c r="BF158" s="1721">
        <f t="shared" si="436"/>
        <v>0</v>
      </c>
      <c r="BG158" s="1721">
        <f t="shared" si="437"/>
        <v>0</v>
      </c>
      <c r="BH158" s="1721">
        <f t="shared" si="438"/>
        <v>0</v>
      </c>
      <c r="BI158" s="1721">
        <f t="shared" si="439"/>
        <v>0</v>
      </c>
      <c r="BJ158" s="1721">
        <f t="shared" si="440"/>
        <v>0</v>
      </c>
      <c r="BK158" s="1721">
        <f t="shared" si="441"/>
        <v>0</v>
      </c>
      <c r="BL158" s="1721">
        <f t="shared" si="442"/>
        <v>0</v>
      </c>
      <c r="BM158" s="1715">
        <f t="shared" si="443"/>
        <v>0</v>
      </c>
      <c r="BN158" s="1715">
        <f t="shared" si="444"/>
        <v>0</v>
      </c>
      <c r="BO158" s="1715">
        <f t="shared" si="445"/>
        <v>0</v>
      </c>
      <c r="BP158" s="1715">
        <f t="shared" si="446"/>
        <v>0</v>
      </c>
      <c r="BQ158" s="1715">
        <f t="shared" si="447"/>
        <v>0</v>
      </c>
      <c r="BR158" s="1715">
        <f t="shared" si="448"/>
        <v>0</v>
      </c>
      <c r="BS158" s="1715">
        <f t="shared" si="449"/>
        <v>0</v>
      </c>
      <c r="BT158" s="1742">
        <f t="shared" si="450"/>
        <v>0</v>
      </c>
      <c r="BU158" s="1690">
        <f t="shared" si="451"/>
        <v>0</v>
      </c>
      <c r="BV158" s="1715" t="str">
        <f t="shared" si="452"/>
        <v/>
      </c>
      <c r="BW158" s="1722">
        <f t="shared" si="453"/>
        <v>0</v>
      </c>
      <c r="BZ158" s="2027" t="s">
        <v>2137</v>
      </c>
      <c r="CA158" s="2801" t="e">
        <f t="shared" si="454"/>
        <v>#N/A</v>
      </c>
      <c r="CB158" s="2801"/>
      <c r="CC158" s="2373" t="str">
        <f t="shared" si="455"/>
        <v/>
      </c>
    </row>
    <row r="159" spans="1:81">
      <c r="A159" s="1690" t="b">
        <f t="shared" si="397"/>
        <v>0</v>
      </c>
      <c r="B159" s="2386">
        <f t="array" ref="B159">IF(ISERROR(INDEX(PQLs!$B$3:$B$87, SMALL(IF(IsoAnalysis=PQLs!$A$3:$A$87, ROW($A$3:$A$86)-ROW($A$3)+1), ROW(21:21)))),0,INDEX(PQLs!$B$3:$B$87, SMALL(IF(IsoAnalysis=PQLs!$A$3:$A$87, ROW($A$3:$A$86)-ROW($A$3)+1), ROW(21:21))))</f>
        <v>0</v>
      </c>
      <c r="C159" s="1884" t="e">
        <f t="shared" si="398"/>
        <v>#N/A</v>
      </c>
      <c r="D159" s="1753" t="e">
        <f t="shared" si="399"/>
        <v>#N/A</v>
      </c>
      <c r="E159" s="1891" t="e">
        <f t="shared" si="400"/>
        <v>#N/A</v>
      </c>
      <c r="F159" s="1889" t="e">
        <f t="shared" si="401"/>
        <v>#N/A</v>
      </c>
      <c r="G159" s="1779"/>
      <c r="H159" s="1755"/>
      <c r="I159" s="1755"/>
      <c r="J159" s="1755"/>
      <c r="K159" s="1755"/>
      <c r="L159" s="1755"/>
      <c r="M159" s="1765"/>
      <c r="N159" s="1759"/>
      <c r="O159" s="1755"/>
      <c r="P159" s="1760"/>
      <c r="Q159" s="1692" t="str">
        <f t="shared" si="402"/>
        <v/>
      </c>
      <c r="R159" s="1692" t="str">
        <f t="shared" si="403"/>
        <v/>
      </c>
      <c r="S159" s="1692" t="str">
        <f t="shared" si="404"/>
        <v/>
      </c>
      <c r="T159" s="1692"/>
      <c r="U159" s="1900" t="str">
        <f t="shared" si="405"/>
        <v/>
      </c>
      <c r="V159" s="1841" t="str">
        <f>IF($B159=0,"",Conc1(BW159,VolumeNTP1,$AG159,MolVol,Pitots!$E$49,Pitots!$F$49,V$136,V$137,VoF))</f>
        <v/>
      </c>
      <c r="W159" s="1739" t="str">
        <f t="shared" si="406"/>
        <v/>
      </c>
      <c r="X159" s="1843" t="str">
        <f t="shared" si="407"/>
        <v/>
      </c>
      <c r="Y159" s="1901" t="str">
        <f>IF(V159="","",MassRate(V159,$AG159,MolVol,V$136,V$137,MRU,MRF,AverageFlowDry1,FF))</f>
        <v/>
      </c>
      <c r="Z159" s="2334" t="str">
        <f t="shared" si="408"/>
        <v/>
      </c>
      <c r="AA159" s="2289" t="str">
        <f t="shared" si="409"/>
        <v/>
      </c>
      <c r="AB159" s="1872" t="str">
        <f t="shared" si="410"/>
        <v/>
      </c>
      <c r="AC159" s="2334" t="str">
        <f t="shared" si="411"/>
        <v/>
      </c>
      <c r="AD159" s="2289" t="str">
        <f t="shared" si="412"/>
        <v/>
      </c>
      <c r="AE159" s="1842"/>
      <c r="AF159" s="1842"/>
      <c r="AG159" s="1753" t="e">
        <f t="shared" si="413"/>
        <v>#N/A</v>
      </c>
      <c r="AH159" s="1870" t="e">
        <f t="shared" si="414"/>
        <v>#N/A</v>
      </c>
      <c r="AK159" s="1872" t="e">
        <f t="shared" si="415"/>
        <v>#N/A</v>
      </c>
      <c r="AL159" s="1721" t="str">
        <f t="shared" si="416"/>
        <v/>
      </c>
      <c r="AM159" s="1721" t="str">
        <f t="shared" si="417"/>
        <v/>
      </c>
      <c r="AN159" s="1721" t="str">
        <f t="shared" si="418"/>
        <v/>
      </c>
      <c r="AO159" s="1721" t="str">
        <f t="shared" si="419"/>
        <v/>
      </c>
      <c r="AP159" s="1721" t="str">
        <f t="shared" si="420"/>
        <v/>
      </c>
      <c r="AQ159" s="1721" t="str">
        <f t="shared" si="421"/>
        <v/>
      </c>
      <c r="AR159" s="1721" t="str">
        <f t="shared" si="422"/>
        <v/>
      </c>
      <c r="AS159" s="1721" t="str">
        <f t="shared" si="423"/>
        <v/>
      </c>
      <c r="AT159" s="1721" t="str">
        <f t="shared" si="424"/>
        <v/>
      </c>
      <c r="AU159" s="1721" t="str">
        <f t="shared" si="425"/>
        <v/>
      </c>
      <c r="AV159" s="1721" t="str">
        <f t="shared" si="426"/>
        <v/>
      </c>
      <c r="AW159" s="1721" t="str">
        <f t="shared" si="427"/>
        <v/>
      </c>
      <c r="AX159" s="1721" t="str">
        <f t="shared" si="428"/>
        <v/>
      </c>
      <c r="AY159" s="1721" t="str">
        <f t="shared" si="429"/>
        <v/>
      </c>
      <c r="AZ159" s="1721" t="str">
        <f t="shared" si="430"/>
        <v/>
      </c>
      <c r="BA159" s="1721" t="str">
        <f t="shared" si="431"/>
        <v/>
      </c>
      <c r="BB159" s="1721" t="str">
        <f t="shared" si="432"/>
        <v/>
      </c>
      <c r="BC159" s="1739">
        <f t="shared" si="433"/>
        <v>0</v>
      </c>
      <c r="BD159" s="1739">
        <f t="shared" si="434"/>
        <v>0</v>
      </c>
      <c r="BE159" s="1739">
        <f t="shared" si="435"/>
        <v>0</v>
      </c>
      <c r="BF159" s="1721">
        <f t="shared" si="436"/>
        <v>0</v>
      </c>
      <c r="BG159" s="1721">
        <f t="shared" si="437"/>
        <v>0</v>
      </c>
      <c r="BH159" s="1721">
        <f t="shared" si="438"/>
        <v>0</v>
      </c>
      <c r="BI159" s="1721">
        <f t="shared" si="439"/>
        <v>0</v>
      </c>
      <c r="BJ159" s="1721">
        <f t="shared" si="440"/>
        <v>0</v>
      </c>
      <c r="BK159" s="1721">
        <f t="shared" si="441"/>
        <v>0</v>
      </c>
      <c r="BL159" s="1721">
        <f t="shared" si="442"/>
        <v>0</v>
      </c>
      <c r="BM159" s="1715">
        <f t="shared" si="443"/>
        <v>0</v>
      </c>
      <c r="BN159" s="1715">
        <f t="shared" si="444"/>
        <v>0</v>
      </c>
      <c r="BO159" s="1715">
        <f t="shared" si="445"/>
        <v>0</v>
      </c>
      <c r="BP159" s="1715">
        <f t="shared" si="446"/>
        <v>0</v>
      </c>
      <c r="BQ159" s="1715">
        <f t="shared" si="447"/>
        <v>0</v>
      </c>
      <c r="BR159" s="1715">
        <f t="shared" si="448"/>
        <v>0</v>
      </c>
      <c r="BS159" s="1715">
        <f t="shared" si="449"/>
        <v>0</v>
      </c>
      <c r="BT159" s="1742">
        <f t="shared" si="450"/>
        <v>0</v>
      </c>
      <c r="BU159" s="1690">
        <f t="shared" si="451"/>
        <v>0</v>
      </c>
      <c r="BV159" s="1715" t="str">
        <f t="shared" si="452"/>
        <v/>
      </c>
      <c r="BW159" s="1722">
        <f t="shared" si="453"/>
        <v>0</v>
      </c>
      <c r="BZ159" s="2027" t="s">
        <v>2034</v>
      </c>
      <c r="CA159" s="2801" t="e">
        <f t="shared" si="454"/>
        <v>#N/A</v>
      </c>
      <c r="CB159" s="2801"/>
      <c r="CC159" s="2373" t="str">
        <f t="shared" si="455"/>
        <v/>
      </c>
    </row>
    <row r="160" spans="1:81">
      <c r="A160" s="1690" t="b">
        <f t="shared" si="397"/>
        <v>0</v>
      </c>
      <c r="B160" s="2386">
        <f t="array" ref="B160">IF(ISERROR(INDEX(PQLs!$B$3:$B$87, SMALL(IF(IsoAnalysis=PQLs!$A$3:$A$87, ROW($A$3:$A$86)-ROW($A$3)+1), ROW(22:22)))),0,INDEX(PQLs!$B$3:$B$87, SMALL(IF(IsoAnalysis=PQLs!$A$3:$A$87, ROW($A$3:$A$86)-ROW($A$3)+1), ROW(22:22))))</f>
        <v>0</v>
      </c>
      <c r="C160" s="1884" t="e">
        <f t="shared" si="398"/>
        <v>#N/A</v>
      </c>
      <c r="D160" s="1753" t="e">
        <f t="shared" si="399"/>
        <v>#N/A</v>
      </c>
      <c r="E160" s="1891" t="e">
        <f t="shared" si="400"/>
        <v>#N/A</v>
      </c>
      <c r="F160" s="1889" t="e">
        <f t="shared" si="401"/>
        <v>#N/A</v>
      </c>
      <c r="G160" s="1779"/>
      <c r="H160" s="1755"/>
      <c r="I160" s="1755"/>
      <c r="J160" s="1755"/>
      <c r="K160" s="1755"/>
      <c r="L160" s="1755"/>
      <c r="M160" s="1765"/>
      <c r="N160" s="1759"/>
      <c r="O160" s="1755"/>
      <c r="P160" s="1760"/>
      <c r="Q160" s="1692" t="str">
        <f t="shared" si="402"/>
        <v/>
      </c>
      <c r="R160" s="1692" t="str">
        <f t="shared" si="403"/>
        <v/>
      </c>
      <c r="S160" s="1692" t="str">
        <f t="shared" si="404"/>
        <v/>
      </c>
      <c r="T160" s="1692"/>
      <c r="U160" s="1900" t="str">
        <f t="shared" si="405"/>
        <v/>
      </c>
      <c r="V160" s="1841" t="str">
        <f>IF($B160=0,"",Conc1(BW160,VolumeNTP1,$AG160,MolVol,Pitots!$E$49,Pitots!$F$49,V$136,V$137,VoF))</f>
        <v/>
      </c>
      <c r="W160" s="1739" t="str">
        <f t="shared" si="406"/>
        <v/>
      </c>
      <c r="X160" s="1843" t="str">
        <f t="shared" si="407"/>
        <v/>
      </c>
      <c r="Y160" s="1901" t="str">
        <f>IF(V160="","",MassRate(V160,$AG160,MolVol,V$136,V$137,MRU,MRF,AverageFlowDry1,FF))</f>
        <v/>
      </c>
      <c r="Z160" s="2334" t="str">
        <f t="shared" si="408"/>
        <v/>
      </c>
      <c r="AA160" s="2289" t="str">
        <f t="shared" si="409"/>
        <v/>
      </c>
      <c r="AB160" s="1872" t="str">
        <f t="shared" si="410"/>
        <v/>
      </c>
      <c r="AC160" s="2334" t="str">
        <f t="shared" si="411"/>
        <v/>
      </c>
      <c r="AD160" s="2289" t="str">
        <f t="shared" si="412"/>
        <v/>
      </c>
      <c r="AE160" s="1842"/>
      <c r="AF160" s="1842"/>
      <c r="AG160" s="1753" t="e">
        <f t="shared" si="413"/>
        <v>#N/A</v>
      </c>
      <c r="AH160" s="1870" t="e">
        <f t="shared" si="414"/>
        <v>#N/A</v>
      </c>
      <c r="AK160" s="1872" t="e">
        <f t="shared" si="415"/>
        <v>#N/A</v>
      </c>
      <c r="AL160" s="1721" t="str">
        <f t="shared" si="416"/>
        <v/>
      </c>
      <c r="AM160" s="1721" t="str">
        <f t="shared" si="417"/>
        <v/>
      </c>
      <c r="AN160" s="1721" t="str">
        <f t="shared" si="418"/>
        <v/>
      </c>
      <c r="AO160" s="1721" t="str">
        <f t="shared" si="419"/>
        <v/>
      </c>
      <c r="AP160" s="1721" t="str">
        <f t="shared" si="420"/>
        <v/>
      </c>
      <c r="AQ160" s="1721" t="str">
        <f t="shared" si="421"/>
        <v/>
      </c>
      <c r="AR160" s="1721" t="str">
        <f t="shared" si="422"/>
        <v/>
      </c>
      <c r="AS160" s="1721" t="str">
        <f t="shared" si="423"/>
        <v/>
      </c>
      <c r="AT160" s="1721" t="str">
        <f t="shared" si="424"/>
        <v/>
      </c>
      <c r="AU160" s="1721" t="str">
        <f t="shared" si="425"/>
        <v/>
      </c>
      <c r="AV160" s="1721" t="str">
        <f t="shared" si="426"/>
        <v/>
      </c>
      <c r="AW160" s="1721" t="str">
        <f t="shared" si="427"/>
        <v/>
      </c>
      <c r="AX160" s="1721" t="str">
        <f t="shared" si="428"/>
        <v/>
      </c>
      <c r="AY160" s="1721" t="str">
        <f t="shared" si="429"/>
        <v/>
      </c>
      <c r="AZ160" s="1721" t="str">
        <f t="shared" si="430"/>
        <v/>
      </c>
      <c r="BA160" s="1721" t="str">
        <f t="shared" si="431"/>
        <v/>
      </c>
      <c r="BB160" s="1721" t="str">
        <f t="shared" si="432"/>
        <v/>
      </c>
      <c r="BC160" s="1739">
        <f t="shared" si="433"/>
        <v>0</v>
      </c>
      <c r="BD160" s="1739">
        <f t="shared" si="434"/>
        <v>0</v>
      </c>
      <c r="BE160" s="1739">
        <f t="shared" si="435"/>
        <v>0</v>
      </c>
      <c r="BF160" s="1721">
        <f t="shared" si="436"/>
        <v>0</v>
      </c>
      <c r="BG160" s="1721">
        <f t="shared" si="437"/>
        <v>0</v>
      </c>
      <c r="BH160" s="1721">
        <f t="shared" si="438"/>
        <v>0</v>
      </c>
      <c r="BI160" s="1721">
        <f t="shared" si="439"/>
        <v>0</v>
      </c>
      <c r="BJ160" s="1721">
        <f t="shared" si="440"/>
        <v>0</v>
      </c>
      <c r="BK160" s="1721">
        <f t="shared" si="441"/>
        <v>0</v>
      </c>
      <c r="BL160" s="1721">
        <f t="shared" si="442"/>
        <v>0</v>
      </c>
      <c r="BM160" s="1715">
        <f t="shared" si="443"/>
        <v>0</v>
      </c>
      <c r="BN160" s="1715">
        <f t="shared" si="444"/>
        <v>0</v>
      </c>
      <c r="BO160" s="1715">
        <f t="shared" si="445"/>
        <v>0</v>
      </c>
      <c r="BP160" s="1715">
        <f t="shared" si="446"/>
        <v>0</v>
      </c>
      <c r="BQ160" s="1715">
        <f t="shared" si="447"/>
        <v>0</v>
      </c>
      <c r="BR160" s="1715">
        <f t="shared" si="448"/>
        <v>0</v>
      </c>
      <c r="BS160" s="1715">
        <f t="shared" si="449"/>
        <v>0</v>
      </c>
      <c r="BT160" s="1742">
        <f t="shared" si="450"/>
        <v>0</v>
      </c>
      <c r="BU160" s="1690">
        <f t="shared" si="451"/>
        <v>0</v>
      </c>
      <c r="BV160" s="1715" t="str">
        <f t="shared" si="452"/>
        <v/>
      </c>
      <c r="BW160" s="1722">
        <f t="shared" si="453"/>
        <v>0</v>
      </c>
      <c r="BZ160" s="2032" t="s">
        <v>1452</v>
      </c>
      <c r="CA160" s="2802">
        <f>IF(ISNA(SUM(CA152:CA159)),0,SUM(CA152:CA159))</f>
        <v>0</v>
      </c>
      <c r="CB160" s="2802"/>
      <c r="CC160" s="2374" t="str">
        <f>IF(OR(CC152="",CC153="",CC154="",CC155="",CC156="",CC157="",CC158="",CC159=""),"",SUM(CC152:CC159))</f>
        <v/>
      </c>
    </row>
    <row r="161" spans="1:75">
      <c r="A161" s="1690" t="b">
        <f t="shared" si="397"/>
        <v>0</v>
      </c>
      <c r="B161" s="2386">
        <f t="array" ref="B161">IF(ISERROR(INDEX(PQLs!$B$3:$B$87, SMALL(IF(IsoAnalysis=PQLs!$A$3:$A$87, ROW($A$3:$A$86)-ROW($A$3)+1), ROW(23:23)))),0,INDEX(PQLs!$B$3:$B$87, SMALL(IF(IsoAnalysis=PQLs!$A$3:$A$87, ROW($A$3:$A$86)-ROW($A$3)+1), ROW(23:23))))</f>
        <v>0</v>
      </c>
      <c r="C161" s="1884" t="e">
        <f t="shared" si="398"/>
        <v>#N/A</v>
      </c>
      <c r="D161" s="1753" t="e">
        <f t="shared" si="399"/>
        <v>#N/A</v>
      </c>
      <c r="E161" s="1891" t="e">
        <f t="shared" si="400"/>
        <v>#N/A</v>
      </c>
      <c r="F161" s="1889" t="e">
        <f t="shared" si="401"/>
        <v>#N/A</v>
      </c>
      <c r="G161" s="1779"/>
      <c r="H161" s="1755"/>
      <c r="I161" s="1755"/>
      <c r="J161" s="1755"/>
      <c r="K161" s="1755"/>
      <c r="L161" s="1755"/>
      <c r="M161" s="1765"/>
      <c r="N161" s="1759"/>
      <c r="O161" s="1755"/>
      <c r="P161" s="1760"/>
      <c r="Q161" s="1692" t="str">
        <f t="shared" si="402"/>
        <v/>
      </c>
      <c r="R161" s="1692" t="str">
        <f t="shared" si="403"/>
        <v/>
      </c>
      <c r="S161" s="1692" t="str">
        <f t="shared" si="404"/>
        <v/>
      </c>
      <c r="T161" s="1692"/>
      <c r="U161" s="1900" t="str">
        <f t="shared" si="405"/>
        <v/>
      </c>
      <c r="V161" s="1841" t="str">
        <f>IF($B161=0,"",Conc1(BW161,VolumeNTP1,$AG161,MolVol,Pitots!$E$49,Pitots!$F$49,V$136,V$137,VoF))</f>
        <v/>
      </c>
      <c r="W161" s="1739" t="str">
        <f t="shared" si="406"/>
        <v/>
      </c>
      <c r="X161" s="1843" t="str">
        <f t="shared" si="407"/>
        <v/>
      </c>
      <c r="Y161" s="1901" t="str">
        <f>IF(V161="","",MassRate(V161,$AG161,MolVol,V$136,V$137,MRU,MRF,AverageFlowDry1,FF))</f>
        <v/>
      </c>
      <c r="Z161" s="2334" t="str">
        <f t="shared" si="408"/>
        <v/>
      </c>
      <c r="AA161" s="2289" t="str">
        <f t="shared" si="409"/>
        <v/>
      </c>
      <c r="AB161" s="1872" t="str">
        <f t="shared" si="410"/>
        <v/>
      </c>
      <c r="AC161" s="2334" t="str">
        <f t="shared" si="411"/>
        <v/>
      </c>
      <c r="AD161" s="2289" t="str">
        <f t="shared" si="412"/>
        <v/>
      </c>
      <c r="AE161" s="1842"/>
      <c r="AF161" s="1842"/>
      <c r="AG161" s="1753" t="e">
        <f t="shared" si="413"/>
        <v>#N/A</v>
      </c>
      <c r="AH161" s="1870" t="e">
        <f t="shared" si="414"/>
        <v>#N/A</v>
      </c>
      <c r="AK161" s="1872" t="e">
        <f t="shared" si="415"/>
        <v>#N/A</v>
      </c>
      <c r="AL161" s="1721" t="str">
        <f t="shared" si="416"/>
        <v/>
      </c>
      <c r="AM161" s="1721" t="str">
        <f t="shared" si="417"/>
        <v/>
      </c>
      <c r="AN161" s="1721" t="str">
        <f t="shared" si="418"/>
        <v/>
      </c>
      <c r="AO161" s="1721" t="str">
        <f t="shared" si="419"/>
        <v/>
      </c>
      <c r="AP161" s="1721" t="str">
        <f t="shared" si="420"/>
        <v/>
      </c>
      <c r="AQ161" s="1721" t="str">
        <f t="shared" si="421"/>
        <v/>
      </c>
      <c r="AR161" s="1721" t="str">
        <f t="shared" si="422"/>
        <v/>
      </c>
      <c r="AS161" s="1721" t="str">
        <f t="shared" si="423"/>
        <v/>
      </c>
      <c r="AT161" s="1721" t="str">
        <f t="shared" si="424"/>
        <v/>
      </c>
      <c r="AU161" s="1721" t="str">
        <f t="shared" si="425"/>
        <v/>
      </c>
      <c r="AV161" s="1721" t="str">
        <f t="shared" si="426"/>
        <v/>
      </c>
      <c r="AW161" s="1721" t="str">
        <f t="shared" si="427"/>
        <v/>
      </c>
      <c r="AX161" s="1721" t="str">
        <f t="shared" si="428"/>
        <v/>
      </c>
      <c r="AY161" s="1721" t="str">
        <f t="shared" si="429"/>
        <v/>
      </c>
      <c r="AZ161" s="1721" t="str">
        <f t="shared" si="430"/>
        <v/>
      </c>
      <c r="BA161" s="1721" t="str">
        <f t="shared" si="431"/>
        <v/>
      </c>
      <c r="BB161" s="1721" t="str">
        <f t="shared" si="432"/>
        <v/>
      </c>
      <c r="BC161" s="1739">
        <f t="shared" si="433"/>
        <v>0</v>
      </c>
      <c r="BD161" s="1739">
        <f t="shared" si="434"/>
        <v>0</v>
      </c>
      <c r="BE161" s="1739">
        <f t="shared" si="435"/>
        <v>0</v>
      </c>
      <c r="BF161" s="1721">
        <f t="shared" si="436"/>
        <v>0</v>
      </c>
      <c r="BG161" s="1721">
        <f t="shared" si="437"/>
        <v>0</v>
      </c>
      <c r="BH161" s="1721">
        <f t="shared" si="438"/>
        <v>0</v>
      </c>
      <c r="BI161" s="1721">
        <f t="shared" si="439"/>
        <v>0</v>
      </c>
      <c r="BJ161" s="1721">
        <f t="shared" si="440"/>
        <v>0</v>
      </c>
      <c r="BK161" s="1721">
        <f t="shared" si="441"/>
        <v>0</v>
      </c>
      <c r="BL161" s="1721">
        <f t="shared" si="442"/>
        <v>0</v>
      </c>
      <c r="BM161" s="1715">
        <f t="shared" si="443"/>
        <v>0</v>
      </c>
      <c r="BN161" s="1715">
        <f t="shared" si="444"/>
        <v>0</v>
      </c>
      <c r="BO161" s="1715">
        <f t="shared" si="445"/>
        <v>0</v>
      </c>
      <c r="BP161" s="1715">
        <f t="shared" si="446"/>
        <v>0</v>
      </c>
      <c r="BQ161" s="1715">
        <f t="shared" si="447"/>
        <v>0</v>
      </c>
      <c r="BR161" s="1715">
        <f t="shared" si="448"/>
        <v>0</v>
      </c>
      <c r="BS161" s="1715">
        <f t="shared" si="449"/>
        <v>0</v>
      </c>
      <c r="BT161" s="1742">
        <f t="shared" si="450"/>
        <v>0</v>
      </c>
      <c r="BU161" s="1690">
        <f t="shared" si="451"/>
        <v>0</v>
      </c>
      <c r="BV161" s="1715" t="str">
        <f t="shared" si="452"/>
        <v/>
      </c>
      <c r="BW161" s="1722">
        <f t="shared" si="453"/>
        <v>0</v>
      </c>
    </row>
    <row r="162" spans="1:75">
      <c r="A162" s="1690" t="b">
        <f t="shared" si="397"/>
        <v>0</v>
      </c>
      <c r="B162" s="2386">
        <f t="array" ref="B162">IF(ISERROR(INDEX(PQLs!$B$3:$B$87, SMALL(IF(IsoAnalysis=PQLs!$A$3:$A$87, ROW($A$3:$A$86)-ROW($A$3)+1), ROW(24:24)))),0,INDEX(PQLs!$B$3:$B$87, SMALL(IF(IsoAnalysis=PQLs!$A$3:$A$87, ROW($A$3:$A$86)-ROW($A$3)+1), ROW(24:24))))</f>
        <v>0</v>
      </c>
      <c r="C162" s="1884" t="e">
        <f t="shared" si="398"/>
        <v>#N/A</v>
      </c>
      <c r="D162" s="1753" t="e">
        <f t="shared" si="399"/>
        <v>#N/A</v>
      </c>
      <c r="E162" s="1891" t="e">
        <f t="shared" si="400"/>
        <v>#N/A</v>
      </c>
      <c r="F162" s="1889" t="e">
        <f t="shared" si="401"/>
        <v>#N/A</v>
      </c>
      <c r="G162" s="1779"/>
      <c r="H162" s="1755"/>
      <c r="I162" s="1755"/>
      <c r="J162" s="1755"/>
      <c r="K162" s="1755"/>
      <c r="L162" s="1755"/>
      <c r="M162" s="1765"/>
      <c r="N162" s="1759"/>
      <c r="O162" s="1755"/>
      <c r="P162" s="1760"/>
      <c r="Q162" s="1692" t="str">
        <f t="shared" si="402"/>
        <v/>
      </c>
      <c r="R162" s="1692" t="str">
        <f t="shared" si="403"/>
        <v/>
      </c>
      <c r="S162" s="1692" t="str">
        <f t="shared" si="404"/>
        <v/>
      </c>
      <c r="T162" s="1692"/>
      <c r="U162" s="1900" t="str">
        <f t="shared" si="405"/>
        <v/>
      </c>
      <c r="V162" s="1841" t="str">
        <f>IF($B162=0,"",Conc1(BW162,VolumeNTP1,$AG162,MolVol,Pitots!$E$49,Pitots!$F$49,V$136,V$137,VoF))</f>
        <v/>
      </c>
      <c r="W162" s="1739" t="str">
        <f t="shared" si="406"/>
        <v/>
      </c>
      <c r="X162" s="1843" t="str">
        <f t="shared" si="407"/>
        <v/>
      </c>
      <c r="Y162" s="1901" t="str">
        <f>IF(V162="","",MassRate(V162,$AG162,MolVol,V$136,V$137,MRU,MRF,AverageFlowDry1,FF))</f>
        <v/>
      </c>
      <c r="Z162" s="2334" t="str">
        <f t="shared" si="408"/>
        <v/>
      </c>
      <c r="AA162" s="2289" t="str">
        <f t="shared" si="409"/>
        <v/>
      </c>
      <c r="AB162" s="1872" t="str">
        <f t="shared" si="410"/>
        <v/>
      </c>
      <c r="AC162" s="2334" t="str">
        <f t="shared" si="411"/>
        <v/>
      </c>
      <c r="AD162" s="2289" t="str">
        <f t="shared" si="412"/>
        <v/>
      </c>
      <c r="AE162" s="1842"/>
      <c r="AF162" s="1842"/>
      <c r="AG162" s="1753" t="e">
        <f t="shared" si="413"/>
        <v>#N/A</v>
      </c>
      <c r="AH162" s="1870" t="e">
        <f t="shared" si="414"/>
        <v>#N/A</v>
      </c>
      <c r="AK162" s="1872" t="e">
        <f t="shared" si="415"/>
        <v>#N/A</v>
      </c>
      <c r="AL162" s="1721" t="str">
        <f t="shared" si="416"/>
        <v/>
      </c>
      <c r="AM162" s="1721" t="str">
        <f t="shared" si="417"/>
        <v/>
      </c>
      <c r="AN162" s="1721" t="str">
        <f t="shared" si="418"/>
        <v/>
      </c>
      <c r="AO162" s="1721" t="str">
        <f t="shared" si="419"/>
        <v/>
      </c>
      <c r="AP162" s="1721" t="str">
        <f t="shared" si="420"/>
        <v/>
      </c>
      <c r="AQ162" s="1721" t="str">
        <f t="shared" si="421"/>
        <v/>
      </c>
      <c r="AR162" s="1721" t="str">
        <f t="shared" si="422"/>
        <v/>
      </c>
      <c r="AS162" s="1721" t="str">
        <f t="shared" si="423"/>
        <v/>
      </c>
      <c r="AT162" s="1721" t="str">
        <f t="shared" si="424"/>
        <v/>
      </c>
      <c r="AU162" s="1721" t="str">
        <f t="shared" si="425"/>
        <v/>
      </c>
      <c r="AV162" s="1721" t="str">
        <f t="shared" si="426"/>
        <v/>
      </c>
      <c r="AW162" s="1721" t="str">
        <f t="shared" si="427"/>
        <v/>
      </c>
      <c r="AX162" s="1721" t="str">
        <f t="shared" si="428"/>
        <v/>
      </c>
      <c r="AY162" s="1721" t="str">
        <f t="shared" si="429"/>
        <v/>
      </c>
      <c r="AZ162" s="1721" t="str">
        <f t="shared" si="430"/>
        <v/>
      </c>
      <c r="BA162" s="1721" t="str">
        <f t="shared" si="431"/>
        <v/>
      </c>
      <c r="BB162" s="1721" t="str">
        <f t="shared" si="432"/>
        <v/>
      </c>
      <c r="BC162" s="1739">
        <f t="shared" si="433"/>
        <v>0</v>
      </c>
      <c r="BD162" s="1739">
        <f t="shared" si="434"/>
        <v>0</v>
      </c>
      <c r="BE162" s="1739">
        <f t="shared" si="435"/>
        <v>0</v>
      </c>
      <c r="BF162" s="1721">
        <f t="shared" si="436"/>
        <v>0</v>
      </c>
      <c r="BG162" s="1721">
        <f t="shared" si="437"/>
        <v>0</v>
      </c>
      <c r="BH162" s="1721">
        <f t="shared" si="438"/>
        <v>0</v>
      </c>
      <c r="BI162" s="1721">
        <f t="shared" si="439"/>
        <v>0</v>
      </c>
      <c r="BJ162" s="1721">
        <f t="shared" si="440"/>
        <v>0</v>
      </c>
      <c r="BK162" s="1721">
        <f t="shared" si="441"/>
        <v>0</v>
      </c>
      <c r="BL162" s="1721">
        <f t="shared" si="442"/>
        <v>0</v>
      </c>
      <c r="BM162" s="1715">
        <f t="shared" si="443"/>
        <v>0</v>
      </c>
      <c r="BN162" s="1715">
        <f t="shared" si="444"/>
        <v>0</v>
      </c>
      <c r="BO162" s="1715">
        <f t="shared" si="445"/>
        <v>0</v>
      </c>
      <c r="BP162" s="1715">
        <f t="shared" si="446"/>
        <v>0</v>
      </c>
      <c r="BQ162" s="1715">
        <f t="shared" si="447"/>
        <v>0</v>
      </c>
      <c r="BR162" s="1715">
        <f t="shared" si="448"/>
        <v>0</v>
      </c>
      <c r="BS162" s="1715">
        <f t="shared" si="449"/>
        <v>0</v>
      </c>
      <c r="BT162" s="1742">
        <f t="shared" si="450"/>
        <v>0</v>
      </c>
      <c r="BU162" s="1690">
        <f t="shared" si="451"/>
        <v>0</v>
      </c>
      <c r="BV162" s="1715" t="str">
        <f t="shared" si="452"/>
        <v/>
      </c>
      <c r="BW162" s="1722">
        <f t="shared" si="453"/>
        <v>0</v>
      </c>
    </row>
    <row r="163" spans="1:75">
      <c r="A163" s="1690" t="b">
        <f t="shared" si="397"/>
        <v>0</v>
      </c>
      <c r="B163" s="2386">
        <f t="array" ref="B163">IF(ISERROR(INDEX(PQLs!$B$3:$B$87, SMALL(IF(IsoAnalysis=PQLs!$A$3:$A$87, ROW($A$3:$A$86)-ROW($A$3)+1), ROW(25:25)))),0,INDEX(PQLs!$B$3:$B$87, SMALL(IF(IsoAnalysis=PQLs!$A$3:$A$87, ROW($A$3:$A$86)-ROW($A$3)+1), ROW(25:25))))</f>
        <v>0</v>
      </c>
      <c r="C163" s="1884" t="e">
        <f t="shared" si="398"/>
        <v>#N/A</v>
      </c>
      <c r="D163" s="1753" t="e">
        <f t="shared" si="399"/>
        <v>#N/A</v>
      </c>
      <c r="E163" s="1891" t="e">
        <f t="shared" si="400"/>
        <v>#N/A</v>
      </c>
      <c r="F163" s="1889" t="e">
        <f t="shared" si="401"/>
        <v>#N/A</v>
      </c>
      <c r="G163" s="1779"/>
      <c r="H163" s="1755"/>
      <c r="I163" s="1755"/>
      <c r="J163" s="1755"/>
      <c r="K163" s="1755"/>
      <c r="L163" s="1755"/>
      <c r="M163" s="1765"/>
      <c r="N163" s="1759"/>
      <c r="O163" s="1755"/>
      <c r="P163" s="1760"/>
      <c r="Q163" s="1692" t="str">
        <f t="shared" si="402"/>
        <v/>
      </c>
      <c r="R163" s="1692" t="str">
        <f t="shared" si="403"/>
        <v/>
      </c>
      <c r="S163" s="1692" t="str">
        <f t="shared" si="404"/>
        <v/>
      </c>
      <c r="T163" s="1692"/>
      <c r="U163" s="1900" t="str">
        <f t="shared" si="405"/>
        <v/>
      </c>
      <c r="V163" s="1841" t="str">
        <f>IF($B163=0,"",Conc1(BW163,VolumeNTP1,$AG163,MolVol,Pitots!$E$49,Pitots!$F$49,V$136,V$137,VoF))</f>
        <v/>
      </c>
      <c r="W163" s="1739" t="str">
        <f t="shared" si="406"/>
        <v/>
      </c>
      <c r="X163" s="1843" t="str">
        <f t="shared" si="407"/>
        <v/>
      </c>
      <c r="Y163" s="1901" t="str">
        <f>IF(V163="","",MassRate(V163,$AG163,MolVol,V$136,V$137,MRU,MRF,AverageFlowDry1,FF))</f>
        <v/>
      </c>
      <c r="Z163" s="2334" t="str">
        <f t="shared" si="408"/>
        <v/>
      </c>
      <c r="AA163" s="2289" t="str">
        <f t="shared" si="409"/>
        <v/>
      </c>
      <c r="AB163" s="1872" t="str">
        <f t="shared" si="410"/>
        <v/>
      </c>
      <c r="AC163" s="2334" t="str">
        <f t="shared" si="411"/>
        <v/>
      </c>
      <c r="AD163" s="2289" t="str">
        <f t="shared" si="412"/>
        <v/>
      </c>
      <c r="AE163" s="1842"/>
      <c r="AF163" s="1842"/>
      <c r="AG163" s="1753" t="e">
        <f t="shared" si="413"/>
        <v>#N/A</v>
      </c>
      <c r="AH163" s="1870" t="e">
        <f t="shared" si="414"/>
        <v>#N/A</v>
      </c>
      <c r="AK163" s="1872" t="e">
        <f t="shared" si="415"/>
        <v>#N/A</v>
      </c>
      <c r="AL163" s="1721" t="str">
        <f t="shared" si="416"/>
        <v/>
      </c>
      <c r="AM163" s="1721" t="str">
        <f t="shared" si="417"/>
        <v/>
      </c>
      <c r="AN163" s="1721" t="str">
        <f t="shared" si="418"/>
        <v/>
      </c>
      <c r="AO163" s="1721" t="str">
        <f t="shared" si="419"/>
        <v/>
      </c>
      <c r="AP163" s="1721" t="str">
        <f t="shared" si="420"/>
        <v/>
      </c>
      <c r="AQ163" s="1721" t="str">
        <f t="shared" si="421"/>
        <v/>
      </c>
      <c r="AR163" s="1721" t="str">
        <f t="shared" si="422"/>
        <v/>
      </c>
      <c r="AS163" s="1721" t="str">
        <f t="shared" si="423"/>
        <v/>
      </c>
      <c r="AT163" s="1721" t="str">
        <f t="shared" si="424"/>
        <v/>
      </c>
      <c r="AU163" s="1721" t="str">
        <f t="shared" si="425"/>
        <v/>
      </c>
      <c r="AV163" s="1721" t="str">
        <f t="shared" si="426"/>
        <v/>
      </c>
      <c r="AW163" s="1721" t="str">
        <f t="shared" si="427"/>
        <v/>
      </c>
      <c r="AX163" s="1721" t="str">
        <f t="shared" si="428"/>
        <v/>
      </c>
      <c r="AY163" s="1721" t="str">
        <f t="shared" si="429"/>
        <v/>
      </c>
      <c r="AZ163" s="1721" t="str">
        <f t="shared" si="430"/>
        <v/>
      </c>
      <c r="BA163" s="1721" t="str">
        <f t="shared" si="431"/>
        <v/>
      </c>
      <c r="BB163" s="1721" t="str">
        <f t="shared" si="432"/>
        <v/>
      </c>
      <c r="BC163" s="1739">
        <f t="shared" si="433"/>
        <v>0</v>
      </c>
      <c r="BD163" s="1739">
        <f t="shared" si="434"/>
        <v>0</v>
      </c>
      <c r="BE163" s="1739">
        <f t="shared" si="435"/>
        <v>0</v>
      </c>
      <c r="BF163" s="1721">
        <f t="shared" si="436"/>
        <v>0</v>
      </c>
      <c r="BG163" s="1721">
        <f t="shared" si="437"/>
        <v>0</v>
      </c>
      <c r="BH163" s="1721">
        <f t="shared" si="438"/>
        <v>0</v>
      </c>
      <c r="BI163" s="1721">
        <f t="shared" si="439"/>
        <v>0</v>
      </c>
      <c r="BJ163" s="1721">
        <f t="shared" si="440"/>
        <v>0</v>
      </c>
      <c r="BK163" s="1721">
        <f t="shared" si="441"/>
        <v>0</v>
      </c>
      <c r="BL163" s="1721">
        <f t="shared" si="442"/>
        <v>0</v>
      </c>
      <c r="BM163" s="1715">
        <f t="shared" si="443"/>
        <v>0</v>
      </c>
      <c r="BN163" s="1715">
        <f t="shared" si="444"/>
        <v>0</v>
      </c>
      <c r="BO163" s="1715">
        <f t="shared" si="445"/>
        <v>0</v>
      </c>
      <c r="BP163" s="1715">
        <f t="shared" si="446"/>
        <v>0</v>
      </c>
      <c r="BQ163" s="1715">
        <f t="shared" si="447"/>
        <v>0</v>
      </c>
      <c r="BR163" s="1715">
        <f t="shared" si="448"/>
        <v>0</v>
      </c>
      <c r="BS163" s="1715">
        <f t="shared" si="449"/>
        <v>0</v>
      </c>
      <c r="BT163" s="1742">
        <f t="shared" si="450"/>
        <v>0</v>
      </c>
      <c r="BU163" s="1690">
        <f t="shared" si="451"/>
        <v>0</v>
      </c>
      <c r="BV163" s="1715" t="str">
        <f t="shared" si="452"/>
        <v/>
      </c>
      <c r="BW163" s="1722">
        <f t="shared" si="453"/>
        <v>0</v>
      </c>
    </row>
    <row r="164" spans="1:75">
      <c r="A164" s="1690" t="b">
        <f t="shared" si="397"/>
        <v>0</v>
      </c>
      <c r="B164" s="2386">
        <f t="array" ref="B164">IF(ISERROR(INDEX(PQLs!$B$3:$B$87, SMALL(IF(IsoAnalysis=PQLs!$A$3:$A$87, ROW($A$3:$A$86)-ROW($A$3)+1), ROW(26:26)))),0,INDEX(PQLs!$B$3:$B$87, SMALL(IF(IsoAnalysis=PQLs!$A$3:$A$87, ROW($A$3:$A$86)-ROW($A$3)+1), ROW(26:26))))</f>
        <v>0</v>
      </c>
      <c r="C164" s="1884" t="e">
        <f t="shared" si="398"/>
        <v>#N/A</v>
      </c>
      <c r="D164" s="1753" t="e">
        <f t="shared" si="399"/>
        <v>#N/A</v>
      </c>
      <c r="E164" s="1891" t="e">
        <f t="shared" si="400"/>
        <v>#N/A</v>
      </c>
      <c r="F164" s="1889" t="e">
        <f t="shared" si="401"/>
        <v>#N/A</v>
      </c>
      <c r="G164" s="1779"/>
      <c r="H164" s="1755"/>
      <c r="I164" s="1755"/>
      <c r="J164" s="1755"/>
      <c r="K164" s="1755"/>
      <c r="L164" s="1755"/>
      <c r="M164" s="1765"/>
      <c r="N164" s="1759"/>
      <c r="O164" s="1755"/>
      <c r="P164" s="1760"/>
      <c r="Q164" s="1692" t="str">
        <f t="shared" si="402"/>
        <v/>
      </c>
      <c r="R164" s="1692" t="str">
        <f t="shared" si="403"/>
        <v/>
      </c>
      <c r="S164" s="1692" t="str">
        <f t="shared" si="404"/>
        <v/>
      </c>
      <c r="T164" s="1692"/>
      <c r="U164" s="1900" t="str">
        <f t="shared" si="405"/>
        <v/>
      </c>
      <c r="V164" s="1841" t="str">
        <f>IF($B164=0,"",Conc1(BW164,VolumeNTP1,$AG164,MolVol,Pitots!$E$49,Pitots!$F$49,V$136,V$137,VoF))</f>
        <v/>
      </c>
      <c r="W164" s="1739" t="str">
        <f t="shared" si="406"/>
        <v/>
      </c>
      <c r="X164" s="1843" t="str">
        <f t="shared" si="407"/>
        <v/>
      </c>
      <c r="Y164" s="1901" t="str">
        <f>IF(V164="","",MassRate(V164,$AG164,MolVol,V$136,V$137,MRU,MRF,AverageFlowDry1,FF))</f>
        <v/>
      </c>
      <c r="Z164" s="2334" t="str">
        <f t="shared" si="408"/>
        <v/>
      </c>
      <c r="AA164" s="2289" t="str">
        <f t="shared" si="409"/>
        <v/>
      </c>
      <c r="AB164" s="1872" t="str">
        <f t="shared" si="410"/>
        <v/>
      </c>
      <c r="AC164" s="2334" t="str">
        <f t="shared" si="411"/>
        <v/>
      </c>
      <c r="AD164" s="2289" t="str">
        <f t="shared" si="412"/>
        <v/>
      </c>
      <c r="AE164" s="1842"/>
      <c r="AF164" s="1842"/>
      <c r="AG164" s="1753" t="e">
        <f t="shared" si="413"/>
        <v>#N/A</v>
      </c>
      <c r="AH164" s="1870" t="e">
        <f t="shared" si="414"/>
        <v>#N/A</v>
      </c>
      <c r="AK164" s="1872" t="e">
        <f t="shared" si="415"/>
        <v>#N/A</v>
      </c>
      <c r="AL164" s="1721" t="str">
        <f t="shared" si="416"/>
        <v/>
      </c>
      <c r="AM164" s="1721" t="str">
        <f t="shared" si="417"/>
        <v/>
      </c>
      <c r="AN164" s="1721" t="str">
        <f t="shared" si="418"/>
        <v/>
      </c>
      <c r="AO164" s="1721" t="str">
        <f t="shared" si="419"/>
        <v/>
      </c>
      <c r="AP164" s="1721" t="str">
        <f t="shared" si="420"/>
        <v/>
      </c>
      <c r="AQ164" s="1721" t="str">
        <f t="shared" si="421"/>
        <v/>
      </c>
      <c r="AR164" s="1721" t="str">
        <f t="shared" si="422"/>
        <v/>
      </c>
      <c r="AS164" s="1721" t="str">
        <f t="shared" si="423"/>
        <v/>
      </c>
      <c r="AT164" s="1721" t="str">
        <f t="shared" si="424"/>
        <v/>
      </c>
      <c r="AU164" s="1721" t="str">
        <f t="shared" si="425"/>
        <v/>
      </c>
      <c r="AV164" s="1721" t="str">
        <f t="shared" si="426"/>
        <v/>
      </c>
      <c r="AW164" s="1721" t="str">
        <f t="shared" si="427"/>
        <v/>
      </c>
      <c r="AX164" s="1721" t="str">
        <f t="shared" si="428"/>
        <v/>
      </c>
      <c r="AY164" s="1721" t="str">
        <f t="shared" si="429"/>
        <v/>
      </c>
      <c r="AZ164" s="1721" t="str">
        <f t="shared" si="430"/>
        <v/>
      </c>
      <c r="BA164" s="1721" t="str">
        <f t="shared" si="431"/>
        <v/>
      </c>
      <c r="BB164" s="1721" t="str">
        <f t="shared" si="432"/>
        <v/>
      </c>
      <c r="BC164" s="1739">
        <f t="shared" si="433"/>
        <v>0</v>
      </c>
      <c r="BD164" s="1739">
        <f t="shared" si="434"/>
        <v>0</v>
      </c>
      <c r="BE164" s="1739">
        <f t="shared" si="435"/>
        <v>0</v>
      </c>
      <c r="BF164" s="1721">
        <f t="shared" si="436"/>
        <v>0</v>
      </c>
      <c r="BG164" s="1721">
        <f t="shared" si="437"/>
        <v>0</v>
      </c>
      <c r="BH164" s="1721">
        <f t="shared" si="438"/>
        <v>0</v>
      </c>
      <c r="BI164" s="1721">
        <f t="shared" si="439"/>
        <v>0</v>
      </c>
      <c r="BJ164" s="1721">
        <f t="shared" si="440"/>
        <v>0</v>
      </c>
      <c r="BK164" s="1721">
        <f t="shared" si="441"/>
        <v>0</v>
      </c>
      <c r="BL164" s="1721">
        <f t="shared" si="442"/>
        <v>0</v>
      </c>
      <c r="BM164" s="1715">
        <f t="shared" si="443"/>
        <v>0</v>
      </c>
      <c r="BN164" s="1715">
        <f t="shared" si="444"/>
        <v>0</v>
      </c>
      <c r="BO164" s="1715">
        <f t="shared" si="445"/>
        <v>0</v>
      </c>
      <c r="BP164" s="1715">
        <f t="shared" si="446"/>
        <v>0</v>
      </c>
      <c r="BQ164" s="1715">
        <f t="shared" si="447"/>
        <v>0</v>
      </c>
      <c r="BR164" s="1715">
        <f t="shared" si="448"/>
        <v>0</v>
      </c>
      <c r="BS164" s="1715">
        <f t="shared" si="449"/>
        <v>0</v>
      </c>
      <c r="BT164" s="1742">
        <f t="shared" si="450"/>
        <v>0</v>
      </c>
      <c r="BU164" s="1690">
        <f t="shared" si="451"/>
        <v>0</v>
      </c>
      <c r="BV164" s="1715" t="str">
        <f t="shared" si="452"/>
        <v/>
      </c>
      <c r="BW164" s="1722">
        <f t="shared" si="453"/>
        <v>0</v>
      </c>
    </row>
    <row r="165" spans="1:75">
      <c r="A165" s="1690" t="b">
        <f t="shared" si="397"/>
        <v>0</v>
      </c>
      <c r="B165" s="2386">
        <f t="array" ref="B165">IF(ISERROR(INDEX(PQLs!$B$3:$B$87, SMALL(IF(IsoAnalysis=PQLs!$A$3:$A$87, ROW($A$3:$A$86)-ROW($A$3)+1), ROW(27:27)))),0,INDEX(PQLs!$B$3:$B$87, SMALL(IF(IsoAnalysis=PQLs!$A$3:$A$87, ROW($A$3:$A$86)-ROW($A$3)+1), ROW(27:27))))</f>
        <v>0</v>
      </c>
      <c r="C165" s="1884" t="e">
        <f t="shared" si="398"/>
        <v>#N/A</v>
      </c>
      <c r="D165" s="1753" t="e">
        <f t="shared" si="399"/>
        <v>#N/A</v>
      </c>
      <c r="E165" s="1891" t="e">
        <f t="shared" si="400"/>
        <v>#N/A</v>
      </c>
      <c r="F165" s="1889" t="e">
        <f t="shared" si="401"/>
        <v>#N/A</v>
      </c>
      <c r="G165" s="1779"/>
      <c r="H165" s="1755"/>
      <c r="I165" s="1755"/>
      <c r="J165" s="1755"/>
      <c r="K165" s="1755"/>
      <c r="L165" s="1755"/>
      <c r="M165" s="1765"/>
      <c r="N165" s="1759"/>
      <c r="O165" s="1755"/>
      <c r="P165" s="1760"/>
      <c r="Q165" s="1692" t="str">
        <f t="shared" si="402"/>
        <v/>
      </c>
      <c r="R165" s="1692" t="str">
        <f t="shared" si="403"/>
        <v/>
      </c>
      <c r="S165" s="1692" t="str">
        <f t="shared" si="404"/>
        <v/>
      </c>
      <c r="T165" s="1692"/>
      <c r="U165" s="1900" t="str">
        <f t="shared" si="405"/>
        <v/>
      </c>
      <c r="V165" s="1841" t="str">
        <f>IF($B165=0,"",Conc1(BW165,VolumeNTP1,$AG165,MolVol,Pitots!$E$49,Pitots!$F$49,V$136,V$137,VoF))</f>
        <v/>
      </c>
      <c r="W165" s="1739" t="str">
        <f t="shared" si="406"/>
        <v/>
      </c>
      <c r="X165" s="1843" t="str">
        <f t="shared" si="407"/>
        <v/>
      </c>
      <c r="Y165" s="1901" t="str">
        <f>IF(V165="","",MassRate(V165,$AG165,MolVol,V$136,V$137,MRU,MRF,AverageFlowDry1,FF))</f>
        <v/>
      </c>
      <c r="Z165" s="2334" t="str">
        <f t="shared" si="408"/>
        <v/>
      </c>
      <c r="AA165" s="2289" t="str">
        <f t="shared" si="409"/>
        <v/>
      </c>
      <c r="AB165" s="1872" t="str">
        <f t="shared" si="410"/>
        <v/>
      </c>
      <c r="AC165" s="2334" t="str">
        <f t="shared" si="411"/>
        <v/>
      </c>
      <c r="AD165" s="2289" t="str">
        <f t="shared" si="412"/>
        <v/>
      </c>
      <c r="AE165" s="1842"/>
      <c r="AF165" s="1842"/>
      <c r="AG165" s="1753" t="e">
        <f t="shared" si="413"/>
        <v>#N/A</v>
      </c>
      <c r="AH165" s="1870" t="e">
        <f t="shared" si="414"/>
        <v>#N/A</v>
      </c>
      <c r="AK165" s="1872" t="e">
        <f t="shared" si="415"/>
        <v>#N/A</v>
      </c>
      <c r="AL165" s="1721" t="str">
        <f t="shared" si="416"/>
        <v/>
      </c>
      <c r="AM165" s="1721" t="str">
        <f t="shared" si="417"/>
        <v/>
      </c>
      <c r="AN165" s="1721" t="str">
        <f t="shared" si="418"/>
        <v/>
      </c>
      <c r="AO165" s="1721" t="str">
        <f t="shared" si="419"/>
        <v/>
      </c>
      <c r="AP165" s="1721" t="str">
        <f t="shared" si="420"/>
        <v/>
      </c>
      <c r="AQ165" s="1721" t="str">
        <f t="shared" si="421"/>
        <v/>
      </c>
      <c r="AR165" s="1721" t="str">
        <f t="shared" si="422"/>
        <v/>
      </c>
      <c r="AS165" s="1721" t="str">
        <f t="shared" si="423"/>
        <v/>
      </c>
      <c r="AT165" s="1721" t="str">
        <f t="shared" si="424"/>
        <v/>
      </c>
      <c r="AU165" s="1721" t="str">
        <f t="shared" si="425"/>
        <v/>
      </c>
      <c r="AV165" s="1721" t="str">
        <f t="shared" si="426"/>
        <v/>
      </c>
      <c r="AW165" s="1721" t="str">
        <f t="shared" si="427"/>
        <v/>
      </c>
      <c r="AX165" s="1721" t="str">
        <f t="shared" si="428"/>
        <v/>
      </c>
      <c r="AY165" s="1721" t="str">
        <f t="shared" si="429"/>
        <v/>
      </c>
      <c r="AZ165" s="1721" t="str">
        <f t="shared" si="430"/>
        <v/>
      </c>
      <c r="BA165" s="1721" t="str">
        <f t="shared" si="431"/>
        <v/>
      </c>
      <c r="BB165" s="1721" t="str">
        <f t="shared" si="432"/>
        <v/>
      </c>
      <c r="BC165" s="1739">
        <f t="shared" si="433"/>
        <v>0</v>
      </c>
      <c r="BD165" s="1739">
        <f t="shared" si="434"/>
        <v>0</v>
      </c>
      <c r="BE165" s="1739">
        <f t="shared" si="435"/>
        <v>0</v>
      </c>
      <c r="BF165" s="1721">
        <f t="shared" si="436"/>
        <v>0</v>
      </c>
      <c r="BG165" s="1721">
        <f t="shared" si="437"/>
        <v>0</v>
      </c>
      <c r="BH165" s="1721">
        <f t="shared" si="438"/>
        <v>0</v>
      </c>
      <c r="BI165" s="1721">
        <f t="shared" si="439"/>
        <v>0</v>
      </c>
      <c r="BJ165" s="1721">
        <f t="shared" si="440"/>
        <v>0</v>
      </c>
      <c r="BK165" s="1721">
        <f t="shared" si="441"/>
        <v>0</v>
      </c>
      <c r="BL165" s="1721">
        <f t="shared" si="442"/>
        <v>0</v>
      </c>
      <c r="BM165" s="1715">
        <f t="shared" si="443"/>
        <v>0</v>
      </c>
      <c r="BN165" s="1715">
        <f t="shared" si="444"/>
        <v>0</v>
      </c>
      <c r="BO165" s="1715">
        <f t="shared" si="445"/>
        <v>0</v>
      </c>
      <c r="BP165" s="1715">
        <f t="shared" si="446"/>
        <v>0</v>
      </c>
      <c r="BQ165" s="1715">
        <f t="shared" si="447"/>
        <v>0</v>
      </c>
      <c r="BR165" s="1715">
        <f t="shared" si="448"/>
        <v>0</v>
      </c>
      <c r="BS165" s="1715">
        <f t="shared" si="449"/>
        <v>0</v>
      </c>
      <c r="BT165" s="1742">
        <f t="shared" si="450"/>
        <v>0</v>
      </c>
      <c r="BU165" s="1690">
        <f t="shared" si="451"/>
        <v>0</v>
      </c>
      <c r="BV165" s="1715" t="str">
        <f t="shared" si="452"/>
        <v/>
      </c>
      <c r="BW165" s="1722">
        <f t="shared" si="453"/>
        <v>0</v>
      </c>
    </row>
    <row r="166" spans="1:75">
      <c r="A166" s="1690" t="b">
        <f t="shared" si="397"/>
        <v>0</v>
      </c>
      <c r="B166" s="2386">
        <f t="array" ref="B166">IF(ISERROR(INDEX(PQLs!$B$3:$B$87, SMALL(IF(IsoAnalysis=PQLs!$A$3:$A$87, ROW($A$3:$A$86)-ROW($A$3)+1), ROW(28:28)))),0,INDEX(PQLs!$B$3:$B$87, SMALL(IF(IsoAnalysis=PQLs!$A$3:$A$87, ROW($A$3:$A$86)-ROW($A$3)+1), ROW(28:28))))</f>
        <v>0</v>
      </c>
      <c r="C166" s="1884" t="e">
        <f t="shared" si="398"/>
        <v>#N/A</v>
      </c>
      <c r="D166" s="1753" t="e">
        <f t="shared" si="399"/>
        <v>#N/A</v>
      </c>
      <c r="E166" s="1891" t="e">
        <f t="shared" si="400"/>
        <v>#N/A</v>
      </c>
      <c r="F166" s="1889" t="e">
        <f t="shared" si="401"/>
        <v>#N/A</v>
      </c>
      <c r="G166" s="1779"/>
      <c r="H166" s="1755"/>
      <c r="I166" s="1755"/>
      <c r="J166" s="1755"/>
      <c r="K166" s="1755"/>
      <c r="L166" s="1755"/>
      <c r="M166" s="1765"/>
      <c r="N166" s="1759"/>
      <c r="O166" s="1755"/>
      <c r="P166" s="1760"/>
      <c r="Q166" s="1692" t="str">
        <f t="shared" si="402"/>
        <v/>
      </c>
      <c r="R166" s="1692" t="str">
        <f t="shared" si="403"/>
        <v/>
      </c>
      <c r="S166" s="1692" t="str">
        <f t="shared" si="404"/>
        <v/>
      </c>
      <c r="T166" s="1692"/>
      <c r="U166" s="1900" t="str">
        <f t="shared" si="405"/>
        <v/>
      </c>
      <c r="V166" s="1841" t="str">
        <f>IF($B166=0,"",Conc1(BW166,VolumeNTP1,$AG166,MolVol,Pitots!$E$49,Pitots!$F$49,V$136,V$137,VoF))</f>
        <v/>
      </c>
      <c r="W166" s="1739" t="str">
        <f t="shared" si="406"/>
        <v/>
      </c>
      <c r="X166" s="1843" t="str">
        <f t="shared" si="407"/>
        <v/>
      </c>
      <c r="Y166" s="1901" t="str">
        <f>IF(V166="","",MassRate(V166,$AG166,MolVol,V$136,V$137,MRU,MRF,AverageFlowDry1,FF))</f>
        <v/>
      </c>
      <c r="Z166" s="2334" t="str">
        <f t="shared" si="408"/>
        <v/>
      </c>
      <c r="AA166" s="2289" t="str">
        <f t="shared" si="409"/>
        <v/>
      </c>
      <c r="AB166" s="1872" t="str">
        <f t="shared" si="410"/>
        <v/>
      </c>
      <c r="AC166" s="2334" t="str">
        <f t="shared" si="411"/>
        <v/>
      </c>
      <c r="AD166" s="2289" t="str">
        <f t="shared" si="412"/>
        <v/>
      </c>
      <c r="AE166" s="1842"/>
      <c r="AF166" s="1842"/>
      <c r="AG166" s="1753" t="e">
        <f t="shared" si="413"/>
        <v>#N/A</v>
      </c>
      <c r="AH166" s="1870" t="e">
        <f t="shared" si="414"/>
        <v>#N/A</v>
      </c>
      <c r="AK166" s="1872" t="e">
        <f t="shared" si="415"/>
        <v>#N/A</v>
      </c>
      <c r="AL166" s="1721" t="str">
        <f t="shared" si="416"/>
        <v/>
      </c>
      <c r="AM166" s="1721" t="str">
        <f t="shared" si="417"/>
        <v/>
      </c>
      <c r="AN166" s="1721" t="str">
        <f t="shared" si="418"/>
        <v/>
      </c>
      <c r="AO166" s="1721" t="str">
        <f t="shared" si="419"/>
        <v/>
      </c>
      <c r="AP166" s="1721" t="str">
        <f t="shared" si="420"/>
        <v/>
      </c>
      <c r="AQ166" s="1721" t="str">
        <f t="shared" si="421"/>
        <v/>
      </c>
      <c r="AR166" s="1721" t="str">
        <f t="shared" si="422"/>
        <v/>
      </c>
      <c r="AS166" s="1721" t="str">
        <f t="shared" si="423"/>
        <v/>
      </c>
      <c r="AT166" s="1721" t="str">
        <f t="shared" si="424"/>
        <v/>
      </c>
      <c r="AU166" s="1721" t="str">
        <f t="shared" si="425"/>
        <v/>
      </c>
      <c r="AV166" s="1721" t="str">
        <f t="shared" si="426"/>
        <v/>
      </c>
      <c r="AW166" s="1721" t="str">
        <f t="shared" si="427"/>
        <v/>
      </c>
      <c r="AX166" s="1721" t="str">
        <f t="shared" si="428"/>
        <v/>
      </c>
      <c r="AY166" s="1721" t="str">
        <f t="shared" si="429"/>
        <v/>
      </c>
      <c r="AZ166" s="1721" t="str">
        <f t="shared" si="430"/>
        <v/>
      </c>
      <c r="BA166" s="1721" t="str">
        <f t="shared" si="431"/>
        <v/>
      </c>
      <c r="BB166" s="1721" t="str">
        <f t="shared" si="432"/>
        <v/>
      </c>
      <c r="BC166" s="1739">
        <f t="shared" si="433"/>
        <v>0</v>
      </c>
      <c r="BD166" s="1739">
        <f t="shared" si="434"/>
        <v>0</v>
      </c>
      <c r="BE166" s="1739">
        <f t="shared" si="435"/>
        <v>0</v>
      </c>
      <c r="BF166" s="1721">
        <f t="shared" si="436"/>
        <v>0</v>
      </c>
      <c r="BG166" s="1721">
        <f t="shared" si="437"/>
        <v>0</v>
      </c>
      <c r="BH166" s="1721">
        <f t="shared" si="438"/>
        <v>0</v>
      </c>
      <c r="BI166" s="1721">
        <f t="shared" si="439"/>
        <v>0</v>
      </c>
      <c r="BJ166" s="1721">
        <f t="shared" si="440"/>
        <v>0</v>
      </c>
      <c r="BK166" s="1721">
        <f t="shared" si="441"/>
        <v>0</v>
      </c>
      <c r="BL166" s="1721">
        <f t="shared" si="442"/>
        <v>0</v>
      </c>
      <c r="BM166" s="1715">
        <f t="shared" si="443"/>
        <v>0</v>
      </c>
      <c r="BN166" s="1715">
        <f t="shared" si="444"/>
        <v>0</v>
      </c>
      <c r="BO166" s="1715">
        <f t="shared" si="445"/>
        <v>0</v>
      </c>
      <c r="BP166" s="1715">
        <f t="shared" si="446"/>
        <v>0</v>
      </c>
      <c r="BQ166" s="1715">
        <f t="shared" si="447"/>
        <v>0</v>
      </c>
      <c r="BR166" s="1715">
        <f t="shared" si="448"/>
        <v>0</v>
      </c>
      <c r="BS166" s="1715">
        <f t="shared" si="449"/>
        <v>0</v>
      </c>
      <c r="BT166" s="1742">
        <f t="shared" si="450"/>
        <v>0</v>
      </c>
      <c r="BU166" s="1690">
        <f t="shared" si="451"/>
        <v>0</v>
      </c>
      <c r="BV166" s="1715" t="str">
        <f t="shared" si="452"/>
        <v/>
      </c>
      <c r="BW166" s="1722">
        <f t="shared" si="453"/>
        <v>0</v>
      </c>
    </row>
    <row r="167" spans="1:75">
      <c r="A167" s="1690" t="b">
        <f t="shared" si="397"/>
        <v>0</v>
      </c>
      <c r="B167" s="2386">
        <f t="array" ref="B167">IF(ISERROR(INDEX(PQLs!$B$3:$B$87, SMALL(IF(IsoAnalysis=PQLs!$A$3:$A$87, ROW($A$3:$A$86)-ROW($A$3)+1), ROW(29:29)))),0,INDEX(PQLs!$B$3:$B$87, SMALL(IF(IsoAnalysis=PQLs!$A$3:$A$87, ROW($A$3:$A$86)-ROW($A$3)+1), ROW(29:29))))</f>
        <v>0</v>
      </c>
      <c r="C167" s="1884" t="e">
        <f t="shared" si="398"/>
        <v>#N/A</v>
      </c>
      <c r="D167" s="1753" t="e">
        <f t="shared" si="399"/>
        <v>#N/A</v>
      </c>
      <c r="E167" s="1891" t="e">
        <f t="shared" si="400"/>
        <v>#N/A</v>
      </c>
      <c r="F167" s="1889" t="e">
        <f t="shared" si="401"/>
        <v>#N/A</v>
      </c>
      <c r="G167" s="1779"/>
      <c r="H167" s="1755"/>
      <c r="I167" s="1755"/>
      <c r="J167" s="1755"/>
      <c r="K167" s="1755"/>
      <c r="L167" s="1755"/>
      <c r="M167" s="1765"/>
      <c r="N167" s="1759"/>
      <c r="O167" s="1755"/>
      <c r="P167" s="1760"/>
      <c r="Q167" s="1692" t="str">
        <f t="shared" si="402"/>
        <v/>
      </c>
      <c r="R167" s="1692" t="str">
        <f t="shared" si="403"/>
        <v/>
      </c>
      <c r="S167" s="1692" t="str">
        <f t="shared" si="404"/>
        <v/>
      </c>
      <c r="T167" s="1692"/>
      <c r="U167" s="1900" t="str">
        <f t="shared" si="405"/>
        <v/>
      </c>
      <c r="V167" s="1841" t="str">
        <f>IF($B167=0,"",Conc1(BW167,VolumeNTP1,$AG167,MolVol,Pitots!$E$49,Pitots!$F$49,V$136,V$137,VoF))</f>
        <v/>
      </c>
      <c r="W167" s="1739" t="str">
        <f t="shared" si="406"/>
        <v/>
      </c>
      <c r="X167" s="1843" t="str">
        <f t="shared" si="407"/>
        <v/>
      </c>
      <c r="Y167" s="1901" t="str">
        <f>IF(V167="","",MassRate(V167,$AG167,MolVol,V$136,V$137,MRU,MRF,AverageFlowDry1,FF))</f>
        <v/>
      </c>
      <c r="Z167" s="2334" t="str">
        <f t="shared" si="408"/>
        <v/>
      </c>
      <c r="AA167" s="2289" t="str">
        <f t="shared" si="409"/>
        <v/>
      </c>
      <c r="AB167" s="1872" t="str">
        <f t="shared" si="410"/>
        <v/>
      </c>
      <c r="AC167" s="2334" t="str">
        <f t="shared" si="411"/>
        <v/>
      </c>
      <c r="AD167" s="2289" t="str">
        <f t="shared" si="412"/>
        <v/>
      </c>
      <c r="AE167" s="1842"/>
      <c r="AF167" s="1842"/>
      <c r="AG167" s="1753" t="e">
        <f t="shared" si="413"/>
        <v>#N/A</v>
      </c>
      <c r="AH167" s="1870" t="e">
        <f t="shared" si="414"/>
        <v>#N/A</v>
      </c>
      <c r="AK167" s="1872" t="e">
        <f t="shared" si="415"/>
        <v>#N/A</v>
      </c>
      <c r="AL167" s="1721" t="str">
        <f t="shared" si="416"/>
        <v/>
      </c>
      <c r="AM167" s="1721" t="str">
        <f t="shared" si="417"/>
        <v/>
      </c>
      <c r="AN167" s="1721" t="str">
        <f t="shared" si="418"/>
        <v/>
      </c>
      <c r="AO167" s="1721" t="str">
        <f t="shared" si="419"/>
        <v/>
      </c>
      <c r="AP167" s="1721" t="str">
        <f t="shared" si="420"/>
        <v/>
      </c>
      <c r="AQ167" s="1721" t="str">
        <f t="shared" si="421"/>
        <v/>
      </c>
      <c r="AR167" s="1721" t="str">
        <f t="shared" si="422"/>
        <v/>
      </c>
      <c r="AS167" s="1721" t="str">
        <f t="shared" si="423"/>
        <v/>
      </c>
      <c r="AT167" s="1721" t="str">
        <f t="shared" si="424"/>
        <v/>
      </c>
      <c r="AU167" s="1721" t="str">
        <f t="shared" si="425"/>
        <v/>
      </c>
      <c r="AV167" s="1721" t="str">
        <f t="shared" si="426"/>
        <v/>
      </c>
      <c r="AW167" s="1721" t="str">
        <f t="shared" si="427"/>
        <v/>
      </c>
      <c r="AX167" s="1721" t="str">
        <f t="shared" si="428"/>
        <v/>
      </c>
      <c r="AY167" s="1721" t="str">
        <f t="shared" si="429"/>
        <v/>
      </c>
      <c r="AZ167" s="1721" t="str">
        <f t="shared" si="430"/>
        <v/>
      </c>
      <c r="BA167" s="1721" t="str">
        <f t="shared" si="431"/>
        <v/>
      </c>
      <c r="BB167" s="1721" t="str">
        <f t="shared" si="432"/>
        <v/>
      </c>
      <c r="BC167" s="1739">
        <f t="shared" si="433"/>
        <v>0</v>
      </c>
      <c r="BD167" s="1739">
        <f t="shared" si="434"/>
        <v>0</v>
      </c>
      <c r="BE167" s="1739">
        <f t="shared" si="435"/>
        <v>0</v>
      </c>
      <c r="BF167" s="1721">
        <f t="shared" si="436"/>
        <v>0</v>
      </c>
      <c r="BG167" s="1721">
        <f t="shared" si="437"/>
        <v>0</v>
      </c>
      <c r="BH167" s="1721">
        <f t="shared" si="438"/>
        <v>0</v>
      </c>
      <c r="BI167" s="1721">
        <f t="shared" si="439"/>
        <v>0</v>
      </c>
      <c r="BJ167" s="1721">
        <f t="shared" si="440"/>
        <v>0</v>
      </c>
      <c r="BK167" s="1721">
        <f t="shared" si="441"/>
        <v>0</v>
      </c>
      <c r="BL167" s="1721">
        <f t="shared" si="442"/>
        <v>0</v>
      </c>
      <c r="BM167" s="1715">
        <f t="shared" si="443"/>
        <v>0</v>
      </c>
      <c r="BN167" s="1715">
        <f t="shared" si="444"/>
        <v>0</v>
      </c>
      <c r="BO167" s="1715">
        <f t="shared" si="445"/>
        <v>0</v>
      </c>
      <c r="BP167" s="1715">
        <f t="shared" si="446"/>
        <v>0</v>
      </c>
      <c r="BQ167" s="1715">
        <f t="shared" si="447"/>
        <v>0</v>
      </c>
      <c r="BR167" s="1715">
        <f t="shared" si="448"/>
        <v>0</v>
      </c>
      <c r="BS167" s="1715">
        <f t="shared" si="449"/>
        <v>0</v>
      </c>
      <c r="BT167" s="1742">
        <f t="shared" si="450"/>
        <v>0</v>
      </c>
      <c r="BU167" s="1690">
        <f t="shared" si="451"/>
        <v>0</v>
      </c>
      <c r="BV167" s="1715" t="str">
        <f t="shared" si="452"/>
        <v/>
      </c>
      <c r="BW167" s="1722">
        <f t="shared" si="453"/>
        <v>0</v>
      </c>
    </row>
    <row r="168" spans="1:75">
      <c r="A168" s="1690" t="b">
        <f t="shared" si="397"/>
        <v>0</v>
      </c>
      <c r="B168" s="2386">
        <f t="array" ref="B168">IF(ISERROR(INDEX(PQLs!$B$3:$B$87, SMALL(IF(IsoAnalysis=PQLs!$A$3:$A$87, ROW($A$3:$A$86)-ROW($A$3)+1), ROW(30:30)))),0,INDEX(PQLs!$B$3:$B$87, SMALL(IF(IsoAnalysis=PQLs!$A$3:$A$87, ROW($A$3:$A$86)-ROW($A$3)+1), ROW(30:30))))</f>
        <v>0</v>
      </c>
      <c r="C168" s="1884" t="e">
        <f t="shared" si="398"/>
        <v>#N/A</v>
      </c>
      <c r="D168" s="1753" t="e">
        <f t="shared" si="399"/>
        <v>#N/A</v>
      </c>
      <c r="E168" s="1891" t="e">
        <f t="shared" si="400"/>
        <v>#N/A</v>
      </c>
      <c r="F168" s="1889" t="e">
        <f t="shared" si="401"/>
        <v>#N/A</v>
      </c>
      <c r="G168" s="1779"/>
      <c r="H168" s="1755"/>
      <c r="I168" s="1755"/>
      <c r="J168" s="1755"/>
      <c r="K168" s="1755"/>
      <c r="L168" s="1755"/>
      <c r="M168" s="1765"/>
      <c r="N168" s="1759"/>
      <c r="O168" s="1755"/>
      <c r="P168" s="1760"/>
      <c r="Q168" s="1692" t="str">
        <f t="shared" si="402"/>
        <v/>
      </c>
      <c r="R168" s="1692" t="str">
        <f t="shared" si="403"/>
        <v/>
      </c>
      <c r="S168" s="1692" t="str">
        <f t="shared" si="404"/>
        <v/>
      </c>
      <c r="T168" s="1692"/>
      <c r="U168" s="1900" t="str">
        <f t="shared" si="405"/>
        <v/>
      </c>
      <c r="V168" s="1841" t="str">
        <f>IF($B168=0,"",Conc1(BW168,VolumeNTP1,$AG168,MolVol,Pitots!$E$49,Pitots!$F$49,V$136,V$137,VoF))</f>
        <v/>
      </c>
      <c r="W168" s="1739" t="str">
        <f t="shared" si="406"/>
        <v/>
      </c>
      <c r="X168" s="1843" t="str">
        <f t="shared" si="407"/>
        <v/>
      </c>
      <c r="Y168" s="1901" t="str">
        <f>IF(V168="","",MassRate(V168,$AG168,MolVol,V$136,V$137,MRU,MRF,AverageFlowDry1,FF))</f>
        <v/>
      </c>
      <c r="Z168" s="2334" t="str">
        <f t="shared" si="408"/>
        <v/>
      </c>
      <c r="AA168" s="2289" t="str">
        <f t="shared" si="409"/>
        <v/>
      </c>
      <c r="AB168" s="1872" t="str">
        <f t="shared" si="410"/>
        <v/>
      </c>
      <c r="AC168" s="2334" t="str">
        <f t="shared" si="411"/>
        <v/>
      </c>
      <c r="AD168" s="2289" t="str">
        <f t="shared" si="412"/>
        <v/>
      </c>
      <c r="AE168" s="1842"/>
      <c r="AF168" s="1842"/>
      <c r="AG168" s="1753" t="e">
        <f t="shared" si="413"/>
        <v>#N/A</v>
      </c>
      <c r="AH168" s="1870" t="e">
        <f t="shared" si="414"/>
        <v>#N/A</v>
      </c>
      <c r="AK168" s="1872" t="e">
        <f t="shared" si="415"/>
        <v>#N/A</v>
      </c>
      <c r="AL168" s="1721" t="str">
        <f t="shared" si="416"/>
        <v/>
      </c>
      <c r="AM168" s="1721" t="str">
        <f t="shared" si="417"/>
        <v/>
      </c>
      <c r="AN168" s="1721" t="str">
        <f t="shared" si="418"/>
        <v/>
      </c>
      <c r="AO168" s="1721" t="str">
        <f t="shared" si="419"/>
        <v/>
      </c>
      <c r="AP168" s="1721" t="str">
        <f t="shared" si="420"/>
        <v/>
      </c>
      <c r="AQ168" s="1721" t="str">
        <f t="shared" si="421"/>
        <v/>
      </c>
      <c r="AR168" s="1721" t="str">
        <f t="shared" si="422"/>
        <v/>
      </c>
      <c r="AS168" s="1721" t="str">
        <f t="shared" si="423"/>
        <v/>
      </c>
      <c r="AT168" s="1721" t="str">
        <f t="shared" si="424"/>
        <v/>
      </c>
      <c r="AU168" s="1721" t="str">
        <f t="shared" si="425"/>
        <v/>
      </c>
      <c r="AV168" s="1721" t="str">
        <f t="shared" si="426"/>
        <v/>
      </c>
      <c r="AW168" s="1721" t="str">
        <f t="shared" si="427"/>
        <v/>
      </c>
      <c r="AX168" s="1721" t="str">
        <f t="shared" si="428"/>
        <v/>
      </c>
      <c r="AY168" s="1721" t="str">
        <f t="shared" si="429"/>
        <v/>
      </c>
      <c r="AZ168" s="1721" t="str">
        <f t="shared" si="430"/>
        <v/>
      </c>
      <c r="BA168" s="1721" t="str">
        <f t="shared" si="431"/>
        <v/>
      </c>
      <c r="BB168" s="1721" t="str">
        <f t="shared" si="432"/>
        <v/>
      </c>
      <c r="BC168" s="1739">
        <f t="shared" si="433"/>
        <v>0</v>
      </c>
      <c r="BD168" s="1739">
        <f t="shared" si="434"/>
        <v>0</v>
      </c>
      <c r="BE168" s="1739">
        <f t="shared" si="435"/>
        <v>0</v>
      </c>
      <c r="BF168" s="1721">
        <f t="shared" si="436"/>
        <v>0</v>
      </c>
      <c r="BG168" s="1721">
        <f t="shared" si="437"/>
        <v>0</v>
      </c>
      <c r="BH168" s="1721">
        <f t="shared" si="438"/>
        <v>0</v>
      </c>
      <c r="BI168" s="1721">
        <f t="shared" si="439"/>
        <v>0</v>
      </c>
      <c r="BJ168" s="1721">
        <f t="shared" si="440"/>
        <v>0</v>
      </c>
      <c r="BK168" s="1721">
        <f t="shared" si="441"/>
        <v>0</v>
      </c>
      <c r="BL168" s="1721">
        <f t="shared" si="442"/>
        <v>0</v>
      </c>
      <c r="BM168" s="1715">
        <f t="shared" si="443"/>
        <v>0</v>
      </c>
      <c r="BN168" s="1715">
        <f t="shared" si="444"/>
        <v>0</v>
      </c>
      <c r="BO168" s="1715">
        <f t="shared" si="445"/>
        <v>0</v>
      </c>
      <c r="BP168" s="1715">
        <f t="shared" si="446"/>
        <v>0</v>
      </c>
      <c r="BQ168" s="1715">
        <f t="shared" si="447"/>
        <v>0</v>
      </c>
      <c r="BR168" s="1715">
        <f t="shared" si="448"/>
        <v>0</v>
      </c>
      <c r="BS168" s="1715">
        <f t="shared" si="449"/>
        <v>0</v>
      </c>
      <c r="BT168" s="1742">
        <f t="shared" si="450"/>
        <v>0</v>
      </c>
      <c r="BU168" s="1690">
        <f t="shared" si="451"/>
        <v>0</v>
      </c>
      <c r="BV168" s="1715" t="str">
        <f t="shared" si="452"/>
        <v/>
      </c>
      <c r="BW168" s="1722">
        <f t="shared" si="453"/>
        <v>0</v>
      </c>
    </row>
    <row r="169" spans="1:75">
      <c r="A169" s="1690" t="b">
        <f t="shared" si="397"/>
        <v>0</v>
      </c>
      <c r="B169" s="2386">
        <f t="array" ref="B169">IF(ISERROR(INDEX(PQLs!$B$3:$B$87, SMALL(IF(IsoAnalysis=PQLs!$A$3:$A$87, ROW($A$3:$A$86)-ROW($A$3)+1), ROW(31:31)))),0,INDEX(PQLs!$B$3:$B$87, SMALL(IF(IsoAnalysis=PQLs!$A$3:$A$87, ROW($A$3:$A$86)-ROW($A$3)+1), ROW(31:31))))</f>
        <v>0</v>
      </c>
      <c r="C169" s="1884" t="e">
        <f t="shared" si="398"/>
        <v>#N/A</v>
      </c>
      <c r="D169" s="1753" t="e">
        <f t="shared" si="399"/>
        <v>#N/A</v>
      </c>
      <c r="E169" s="1891" t="e">
        <f t="shared" si="400"/>
        <v>#N/A</v>
      </c>
      <c r="F169" s="1889" t="e">
        <f t="shared" si="401"/>
        <v>#N/A</v>
      </c>
      <c r="G169" s="1779"/>
      <c r="H169" s="1755"/>
      <c r="I169" s="1755"/>
      <c r="J169" s="1755"/>
      <c r="K169" s="1755"/>
      <c r="L169" s="1755"/>
      <c r="M169" s="1765"/>
      <c r="N169" s="1759"/>
      <c r="O169" s="1755"/>
      <c r="P169" s="1760"/>
      <c r="Q169" s="1692" t="str">
        <f t="shared" si="402"/>
        <v/>
      </c>
      <c r="R169" s="1692" t="str">
        <f t="shared" si="403"/>
        <v/>
      </c>
      <c r="S169" s="1692" t="str">
        <f t="shared" si="404"/>
        <v/>
      </c>
      <c r="T169" s="1692"/>
      <c r="U169" s="1900" t="str">
        <f t="shared" si="405"/>
        <v/>
      </c>
      <c r="V169" s="1841" t="str">
        <f>IF($B169=0,"",Conc1(BW169,VolumeNTP1,$AG169,MolVol,Pitots!$E$49,Pitots!$F$49,V$136,V$137,VoF))</f>
        <v/>
      </c>
      <c r="W169" s="1739" t="str">
        <f t="shared" si="406"/>
        <v/>
      </c>
      <c r="X169" s="1843" t="str">
        <f t="shared" si="407"/>
        <v/>
      </c>
      <c r="Y169" s="1901" t="str">
        <f>IF(V169="","",MassRate(V169,$AG169,MolVol,V$136,V$137,MRU,MRF,AverageFlowDry1,FF))</f>
        <v/>
      </c>
      <c r="Z169" s="2334" t="str">
        <f t="shared" si="408"/>
        <v/>
      </c>
      <c r="AA169" s="2289" t="str">
        <f t="shared" si="409"/>
        <v/>
      </c>
      <c r="AB169" s="1872" t="str">
        <f t="shared" si="410"/>
        <v/>
      </c>
      <c r="AC169" s="2334" t="str">
        <f t="shared" si="411"/>
        <v/>
      </c>
      <c r="AD169" s="2289" t="str">
        <f t="shared" si="412"/>
        <v/>
      </c>
      <c r="AE169" s="1842"/>
      <c r="AF169" s="1842"/>
      <c r="AG169" s="1753" t="e">
        <f t="shared" si="413"/>
        <v>#N/A</v>
      </c>
      <c r="AH169" s="1870" t="e">
        <f t="shared" si="414"/>
        <v>#N/A</v>
      </c>
      <c r="AK169" s="1872" t="e">
        <f t="shared" si="415"/>
        <v>#N/A</v>
      </c>
      <c r="AL169" s="1721" t="str">
        <f t="shared" si="416"/>
        <v/>
      </c>
      <c r="AM169" s="1721" t="str">
        <f t="shared" si="417"/>
        <v/>
      </c>
      <c r="AN169" s="1721" t="str">
        <f t="shared" si="418"/>
        <v/>
      </c>
      <c r="AO169" s="1721" t="str">
        <f t="shared" si="419"/>
        <v/>
      </c>
      <c r="AP169" s="1721" t="str">
        <f t="shared" si="420"/>
        <v/>
      </c>
      <c r="AQ169" s="1721" t="str">
        <f t="shared" si="421"/>
        <v/>
      </c>
      <c r="AR169" s="1721" t="str">
        <f t="shared" si="422"/>
        <v/>
      </c>
      <c r="AS169" s="1721" t="str">
        <f t="shared" si="423"/>
        <v/>
      </c>
      <c r="AT169" s="1721" t="str">
        <f t="shared" si="424"/>
        <v/>
      </c>
      <c r="AU169" s="1721" t="str">
        <f t="shared" si="425"/>
        <v/>
      </c>
      <c r="AV169" s="1721" t="str">
        <f t="shared" si="426"/>
        <v/>
      </c>
      <c r="AW169" s="1721" t="str">
        <f t="shared" si="427"/>
        <v/>
      </c>
      <c r="AX169" s="1721" t="str">
        <f t="shared" si="428"/>
        <v/>
      </c>
      <c r="AY169" s="1721" t="str">
        <f t="shared" si="429"/>
        <v/>
      </c>
      <c r="AZ169" s="1721" t="str">
        <f t="shared" si="430"/>
        <v/>
      </c>
      <c r="BA169" s="1721" t="str">
        <f t="shared" si="431"/>
        <v/>
      </c>
      <c r="BB169" s="1721" t="str">
        <f t="shared" si="432"/>
        <v/>
      </c>
      <c r="BC169" s="1739">
        <f t="shared" si="433"/>
        <v>0</v>
      </c>
      <c r="BD169" s="1739">
        <f t="shared" si="434"/>
        <v>0</v>
      </c>
      <c r="BE169" s="1739">
        <f t="shared" si="435"/>
        <v>0</v>
      </c>
      <c r="BF169" s="1721">
        <f t="shared" si="436"/>
        <v>0</v>
      </c>
      <c r="BG169" s="1721">
        <f t="shared" si="437"/>
        <v>0</v>
      </c>
      <c r="BH169" s="1721">
        <f t="shared" si="438"/>
        <v>0</v>
      </c>
      <c r="BI169" s="1721">
        <f t="shared" si="439"/>
        <v>0</v>
      </c>
      <c r="BJ169" s="1721">
        <f t="shared" si="440"/>
        <v>0</v>
      </c>
      <c r="BK169" s="1721">
        <f t="shared" si="441"/>
        <v>0</v>
      </c>
      <c r="BL169" s="1721">
        <f t="shared" si="442"/>
        <v>0</v>
      </c>
      <c r="BM169" s="1715">
        <f t="shared" si="443"/>
        <v>0</v>
      </c>
      <c r="BN169" s="1715">
        <f t="shared" si="444"/>
        <v>0</v>
      </c>
      <c r="BO169" s="1715">
        <f t="shared" si="445"/>
        <v>0</v>
      </c>
      <c r="BP169" s="1715">
        <f t="shared" si="446"/>
        <v>0</v>
      </c>
      <c r="BQ169" s="1715">
        <f t="shared" si="447"/>
        <v>0</v>
      </c>
      <c r="BR169" s="1715">
        <f t="shared" si="448"/>
        <v>0</v>
      </c>
      <c r="BS169" s="1715">
        <f t="shared" si="449"/>
        <v>0</v>
      </c>
      <c r="BT169" s="1742">
        <f t="shared" si="450"/>
        <v>0</v>
      </c>
      <c r="BU169" s="1690">
        <f t="shared" si="451"/>
        <v>0</v>
      </c>
      <c r="BV169" s="1715" t="str">
        <f t="shared" si="452"/>
        <v/>
      </c>
      <c r="BW169" s="1722">
        <f t="shared" si="453"/>
        <v>0</v>
      </c>
    </row>
    <row r="170" spans="1:75">
      <c r="A170" s="1690" t="b">
        <f t="shared" si="397"/>
        <v>0</v>
      </c>
      <c r="B170" s="2386">
        <f t="array" ref="B170">IF(ISERROR(INDEX(PQLs!$B$3:$B$87, SMALL(IF(IsoAnalysis=PQLs!$A$3:$A$87, ROW($A$3:$A$86)-ROW($A$3)+1), ROW(32:32)))),0,INDEX(PQLs!$B$3:$B$87, SMALL(IF(IsoAnalysis=PQLs!$A$3:$A$87, ROW($A$3:$A$86)-ROW($A$3)+1), ROW(32:32))))</f>
        <v>0</v>
      </c>
      <c r="C170" s="1884" t="e">
        <f t="shared" si="398"/>
        <v>#N/A</v>
      </c>
      <c r="D170" s="1753" t="e">
        <f t="shared" si="399"/>
        <v>#N/A</v>
      </c>
      <c r="E170" s="1891" t="e">
        <f t="shared" si="400"/>
        <v>#N/A</v>
      </c>
      <c r="F170" s="1889" t="e">
        <f t="shared" si="401"/>
        <v>#N/A</v>
      </c>
      <c r="G170" s="1779"/>
      <c r="H170" s="1755"/>
      <c r="I170" s="1755"/>
      <c r="J170" s="1755"/>
      <c r="K170" s="1755"/>
      <c r="L170" s="1755"/>
      <c r="M170" s="1765"/>
      <c r="N170" s="1759"/>
      <c r="O170" s="1755"/>
      <c r="P170" s="1760"/>
      <c r="Q170" s="1692" t="str">
        <f t="shared" si="402"/>
        <v/>
      </c>
      <c r="R170" s="1692" t="str">
        <f t="shared" si="403"/>
        <v/>
      </c>
      <c r="S170" s="1692" t="str">
        <f t="shared" si="404"/>
        <v/>
      </c>
      <c r="T170" s="1692"/>
      <c r="U170" s="1900" t="str">
        <f t="shared" si="405"/>
        <v/>
      </c>
      <c r="V170" s="1841" t="str">
        <f>IF($B170=0,"",Conc1(BW170,VolumeNTP1,$AG170,MolVol,Pitots!$E$49,Pitots!$F$49,V$136,V$137,VoF))</f>
        <v/>
      </c>
      <c r="W170" s="1739" t="str">
        <f t="shared" si="406"/>
        <v/>
      </c>
      <c r="X170" s="1843" t="str">
        <f t="shared" si="407"/>
        <v/>
      </c>
      <c r="Y170" s="1901" t="str">
        <f>IF(V170="","",MassRate(V170,$AG170,MolVol,V$136,V$137,MRU,MRF,AverageFlowDry1,FF))</f>
        <v/>
      </c>
      <c r="Z170" s="2334" t="str">
        <f t="shared" si="408"/>
        <v/>
      </c>
      <c r="AA170" s="2289" t="str">
        <f t="shared" si="409"/>
        <v/>
      </c>
      <c r="AB170" s="1872" t="str">
        <f t="shared" si="410"/>
        <v/>
      </c>
      <c r="AC170" s="2334" t="str">
        <f t="shared" si="411"/>
        <v/>
      </c>
      <c r="AD170" s="2289" t="str">
        <f t="shared" si="412"/>
        <v/>
      </c>
      <c r="AE170" s="1842"/>
      <c r="AF170" s="1842"/>
      <c r="AG170" s="1753" t="e">
        <f t="shared" si="413"/>
        <v>#N/A</v>
      </c>
      <c r="AH170" s="1870" t="e">
        <f t="shared" si="414"/>
        <v>#N/A</v>
      </c>
      <c r="AK170" s="1872" t="e">
        <f t="shared" si="415"/>
        <v>#N/A</v>
      </c>
      <c r="AL170" s="1721" t="str">
        <f t="shared" si="416"/>
        <v/>
      </c>
      <c r="AM170" s="1721" t="str">
        <f t="shared" si="417"/>
        <v/>
      </c>
      <c r="AN170" s="1721" t="str">
        <f t="shared" si="418"/>
        <v/>
      </c>
      <c r="AO170" s="1721" t="str">
        <f t="shared" si="419"/>
        <v/>
      </c>
      <c r="AP170" s="1721" t="str">
        <f t="shared" si="420"/>
        <v/>
      </c>
      <c r="AQ170" s="1721" t="str">
        <f t="shared" si="421"/>
        <v/>
      </c>
      <c r="AR170" s="1721" t="str">
        <f t="shared" si="422"/>
        <v/>
      </c>
      <c r="AS170" s="1721" t="str">
        <f t="shared" si="423"/>
        <v/>
      </c>
      <c r="AT170" s="1721" t="str">
        <f t="shared" si="424"/>
        <v/>
      </c>
      <c r="AU170" s="1721" t="str">
        <f t="shared" si="425"/>
        <v/>
      </c>
      <c r="AV170" s="1721" t="str">
        <f t="shared" si="426"/>
        <v/>
      </c>
      <c r="AW170" s="1721" t="str">
        <f t="shared" si="427"/>
        <v/>
      </c>
      <c r="AX170" s="1721" t="str">
        <f t="shared" si="428"/>
        <v/>
      </c>
      <c r="AY170" s="1721" t="str">
        <f t="shared" si="429"/>
        <v/>
      </c>
      <c r="AZ170" s="1721" t="str">
        <f t="shared" si="430"/>
        <v/>
      </c>
      <c r="BA170" s="1721" t="str">
        <f t="shared" si="431"/>
        <v/>
      </c>
      <c r="BB170" s="1721" t="str">
        <f t="shared" si="432"/>
        <v/>
      </c>
      <c r="BC170" s="1739">
        <f t="shared" si="433"/>
        <v>0</v>
      </c>
      <c r="BD170" s="1739">
        <f t="shared" si="434"/>
        <v>0</v>
      </c>
      <c r="BE170" s="1739">
        <f t="shared" si="435"/>
        <v>0</v>
      </c>
      <c r="BF170" s="1721">
        <f t="shared" si="436"/>
        <v>0</v>
      </c>
      <c r="BG170" s="1721">
        <f t="shared" si="437"/>
        <v>0</v>
      </c>
      <c r="BH170" s="1721">
        <f t="shared" si="438"/>
        <v>0</v>
      </c>
      <c r="BI170" s="1721">
        <f t="shared" si="439"/>
        <v>0</v>
      </c>
      <c r="BJ170" s="1721">
        <f t="shared" si="440"/>
        <v>0</v>
      </c>
      <c r="BK170" s="1721">
        <f t="shared" si="441"/>
        <v>0</v>
      </c>
      <c r="BL170" s="1721">
        <f t="shared" si="442"/>
        <v>0</v>
      </c>
      <c r="BM170" s="1715">
        <f t="shared" si="443"/>
        <v>0</v>
      </c>
      <c r="BN170" s="1715">
        <f t="shared" si="444"/>
        <v>0</v>
      </c>
      <c r="BO170" s="1715">
        <f t="shared" si="445"/>
        <v>0</v>
      </c>
      <c r="BP170" s="1715">
        <f t="shared" si="446"/>
        <v>0</v>
      </c>
      <c r="BQ170" s="1715">
        <f t="shared" si="447"/>
        <v>0</v>
      </c>
      <c r="BR170" s="1715">
        <f t="shared" si="448"/>
        <v>0</v>
      </c>
      <c r="BS170" s="1715">
        <f t="shared" si="449"/>
        <v>0</v>
      </c>
      <c r="BT170" s="1742">
        <f t="shared" si="450"/>
        <v>0</v>
      </c>
      <c r="BU170" s="1690">
        <f t="shared" si="451"/>
        <v>0</v>
      </c>
      <c r="BV170" s="1715" t="str">
        <f t="shared" si="452"/>
        <v/>
      </c>
      <c r="BW170" s="1722">
        <f t="shared" si="453"/>
        <v>0</v>
      </c>
    </row>
    <row r="171" spans="1:75">
      <c r="A171" s="1690" t="b">
        <f t="shared" si="397"/>
        <v>0</v>
      </c>
      <c r="B171" s="2386">
        <f t="array" ref="B171">IF(ISERROR(INDEX(PQLs!$B$3:$B$87, SMALL(IF(IsoAnalysis=PQLs!$A$3:$A$87, ROW($A$3:$A$86)-ROW($A$3)+1), ROW(33:33)))),0,INDEX(PQLs!$B$3:$B$87, SMALL(IF(IsoAnalysis=PQLs!$A$3:$A$87, ROW($A$3:$A$86)-ROW($A$3)+1), ROW(33:33))))</f>
        <v>0</v>
      </c>
      <c r="C171" s="1884" t="e">
        <f t="shared" si="398"/>
        <v>#N/A</v>
      </c>
      <c r="D171" s="1753" t="e">
        <f t="shared" si="399"/>
        <v>#N/A</v>
      </c>
      <c r="E171" s="1891" t="e">
        <f t="shared" si="400"/>
        <v>#N/A</v>
      </c>
      <c r="F171" s="1889" t="e">
        <f t="shared" si="401"/>
        <v>#N/A</v>
      </c>
      <c r="G171" s="1779"/>
      <c r="H171" s="1755"/>
      <c r="I171" s="1755"/>
      <c r="J171" s="1755"/>
      <c r="K171" s="1755"/>
      <c r="L171" s="1755"/>
      <c r="M171" s="1765"/>
      <c r="N171" s="1759"/>
      <c r="O171" s="1755"/>
      <c r="P171" s="1760"/>
      <c r="Q171" s="1692" t="str">
        <f t="shared" si="402"/>
        <v/>
      </c>
      <c r="R171" s="1692" t="str">
        <f t="shared" si="403"/>
        <v/>
      </c>
      <c r="S171" s="1692" t="str">
        <f t="shared" si="404"/>
        <v/>
      </c>
      <c r="T171" s="1692"/>
      <c r="U171" s="1900" t="str">
        <f t="shared" si="405"/>
        <v/>
      </c>
      <c r="V171" s="1841" t="str">
        <f>IF($B171=0,"",Conc1(BW171,VolumeNTP1,$AG171,MolVol,Pitots!$E$49,Pitots!$F$49,V$136,V$137,VoF))</f>
        <v/>
      </c>
      <c r="W171" s="1739" t="str">
        <f t="shared" si="406"/>
        <v/>
      </c>
      <c r="X171" s="1843" t="str">
        <f t="shared" si="407"/>
        <v/>
      </c>
      <c r="Y171" s="1901" t="str">
        <f>IF(V171="","",MassRate(V171,$AG171,MolVol,V$136,V$137,MRU,MRF,AverageFlowDry1,FF))</f>
        <v/>
      </c>
      <c r="Z171" s="2334" t="str">
        <f t="shared" si="408"/>
        <v/>
      </c>
      <c r="AA171" s="2289" t="str">
        <f t="shared" si="409"/>
        <v/>
      </c>
      <c r="AB171" s="1872" t="str">
        <f t="shared" si="410"/>
        <v/>
      </c>
      <c r="AC171" s="2334" t="str">
        <f t="shared" si="411"/>
        <v/>
      </c>
      <c r="AD171" s="2289" t="str">
        <f t="shared" si="412"/>
        <v/>
      </c>
      <c r="AE171" s="1842"/>
      <c r="AF171" s="1842"/>
      <c r="AG171" s="1753" t="e">
        <f t="shared" si="413"/>
        <v>#N/A</v>
      </c>
      <c r="AH171" s="1870" t="e">
        <f t="shared" si="414"/>
        <v>#N/A</v>
      </c>
      <c r="AK171" s="1872" t="e">
        <f t="shared" si="415"/>
        <v>#N/A</v>
      </c>
      <c r="AL171" s="1721" t="str">
        <f t="shared" si="416"/>
        <v/>
      </c>
      <c r="AM171" s="1721" t="str">
        <f t="shared" si="417"/>
        <v/>
      </c>
      <c r="AN171" s="1721" t="str">
        <f t="shared" si="418"/>
        <v/>
      </c>
      <c r="AO171" s="1721" t="str">
        <f t="shared" si="419"/>
        <v/>
      </c>
      <c r="AP171" s="1721" t="str">
        <f t="shared" si="420"/>
        <v/>
      </c>
      <c r="AQ171" s="1721" t="str">
        <f t="shared" si="421"/>
        <v/>
      </c>
      <c r="AR171" s="1721" t="str">
        <f t="shared" si="422"/>
        <v/>
      </c>
      <c r="AS171" s="1721" t="str">
        <f t="shared" si="423"/>
        <v/>
      </c>
      <c r="AT171" s="1721" t="str">
        <f t="shared" si="424"/>
        <v/>
      </c>
      <c r="AU171" s="1721" t="str">
        <f t="shared" si="425"/>
        <v/>
      </c>
      <c r="AV171" s="1721" t="str">
        <f t="shared" si="426"/>
        <v/>
      </c>
      <c r="AW171" s="1721" t="str">
        <f t="shared" si="427"/>
        <v/>
      </c>
      <c r="AX171" s="1721" t="str">
        <f t="shared" si="428"/>
        <v/>
      </c>
      <c r="AY171" s="1721" t="str">
        <f t="shared" si="429"/>
        <v/>
      </c>
      <c r="AZ171" s="1721" t="str">
        <f t="shared" si="430"/>
        <v/>
      </c>
      <c r="BA171" s="1721" t="str">
        <f t="shared" si="431"/>
        <v/>
      </c>
      <c r="BB171" s="1721" t="str">
        <f t="shared" si="432"/>
        <v/>
      </c>
      <c r="BC171" s="1739">
        <f t="shared" si="433"/>
        <v>0</v>
      </c>
      <c r="BD171" s="1739">
        <f t="shared" si="434"/>
        <v>0</v>
      </c>
      <c r="BE171" s="1739">
        <f t="shared" si="435"/>
        <v>0</v>
      </c>
      <c r="BF171" s="1721">
        <f t="shared" si="436"/>
        <v>0</v>
      </c>
      <c r="BG171" s="1721">
        <f t="shared" si="437"/>
        <v>0</v>
      </c>
      <c r="BH171" s="1721">
        <f t="shared" si="438"/>
        <v>0</v>
      </c>
      <c r="BI171" s="1721">
        <f t="shared" si="439"/>
        <v>0</v>
      </c>
      <c r="BJ171" s="1721">
        <f t="shared" si="440"/>
        <v>0</v>
      </c>
      <c r="BK171" s="1721">
        <f t="shared" si="441"/>
        <v>0</v>
      </c>
      <c r="BL171" s="1721">
        <f t="shared" si="442"/>
        <v>0</v>
      </c>
      <c r="BM171" s="1715">
        <f t="shared" si="443"/>
        <v>0</v>
      </c>
      <c r="BN171" s="1715">
        <f t="shared" si="444"/>
        <v>0</v>
      </c>
      <c r="BO171" s="1715">
        <f t="shared" si="445"/>
        <v>0</v>
      </c>
      <c r="BP171" s="1715">
        <f t="shared" si="446"/>
        <v>0</v>
      </c>
      <c r="BQ171" s="1715">
        <f t="shared" si="447"/>
        <v>0</v>
      </c>
      <c r="BR171" s="1715">
        <f t="shared" si="448"/>
        <v>0</v>
      </c>
      <c r="BS171" s="1715">
        <f t="shared" si="449"/>
        <v>0</v>
      </c>
      <c r="BT171" s="1742">
        <f t="shared" si="450"/>
        <v>0</v>
      </c>
      <c r="BU171" s="1690">
        <f t="shared" si="451"/>
        <v>0</v>
      </c>
      <c r="BV171" s="1715" t="str">
        <f t="shared" si="452"/>
        <v/>
      </c>
      <c r="BW171" s="1722">
        <f t="shared" si="453"/>
        <v>0</v>
      </c>
    </row>
    <row r="172" spans="1:75">
      <c r="A172" s="1690" t="b">
        <f t="shared" si="397"/>
        <v>0</v>
      </c>
      <c r="B172" s="2386">
        <f t="array" ref="B172">IF(ISERROR(INDEX(PQLs!$B$3:$B$87, SMALL(IF(IsoAnalysis=PQLs!$A$3:$A$87, ROW($A$3:$A$86)-ROW($A$3)+1), ROW(34:34)))),0,INDEX(PQLs!$B$3:$B$87, SMALL(IF(IsoAnalysis=PQLs!$A$3:$A$87, ROW($A$3:$A$86)-ROW($A$3)+1), ROW(34:34))))</f>
        <v>0</v>
      </c>
      <c r="C172" s="1884" t="e">
        <f t="shared" si="398"/>
        <v>#N/A</v>
      </c>
      <c r="D172" s="1753" t="e">
        <f t="shared" si="399"/>
        <v>#N/A</v>
      </c>
      <c r="E172" s="1891" t="e">
        <f t="shared" si="400"/>
        <v>#N/A</v>
      </c>
      <c r="F172" s="1889" t="e">
        <f t="shared" si="401"/>
        <v>#N/A</v>
      </c>
      <c r="G172" s="1779"/>
      <c r="H172" s="1755"/>
      <c r="I172" s="1755"/>
      <c r="J172" s="1755"/>
      <c r="K172" s="1755"/>
      <c r="L172" s="1755"/>
      <c r="M172" s="1765"/>
      <c r="N172" s="1759"/>
      <c r="O172" s="1755"/>
      <c r="P172" s="1760"/>
      <c r="Q172" s="1692" t="str">
        <f t="shared" si="402"/>
        <v/>
      </c>
      <c r="R172" s="1692" t="str">
        <f t="shared" si="403"/>
        <v/>
      </c>
      <c r="S172" s="1692" t="str">
        <f t="shared" si="404"/>
        <v/>
      </c>
      <c r="T172" s="1692"/>
      <c r="U172" s="1900" t="str">
        <f t="shared" si="405"/>
        <v/>
      </c>
      <c r="V172" s="1841" t="str">
        <f>IF($B172=0,"",Conc1(BW172,VolumeNTP1,$AG172,MolVol,Pitots!$E$49,Pitots!$F$49,V$136,V$137,VoF))</f>
        <v/>
      </c>
      <c r="W172" s="1739" t="str">
        <f t="shared" si="406"/>
        <v/>
      </c>
      <c r="X172" s="1843" t="str">
        <f>IF(OR(U172="&lt;",VND="&lt;"),"&lt;","")</f>
        <v/>
      </c>
      <c r="Y172" s="1901" t="str">
        <f>IF(V172="","",MassRate(V172,$AG172,MolVol,V$136,V$137,MRU,MRF,AverageFlowDry1,FF))</f>
        <v/>
      </c>
      <c r="Z172" s="2334" t="str">
        <f t="shared" si="408"/>
        <v/>
      </c>
      <c r="AA172" s="2289" t="str">
        <f t="shared" si="409"/>
        <v/>
      </c>
      <c r="AB172" s="1872" t="str">
        <f t="shared" si="410"/>
        <v/>
      </c>
      <c r="AC172" s="2334" t="str">
        <f t="shared" si="411"/>
        <v/>
      </c>
      <c r="AD172" s="2289" t="str">
        <f t="shared" si="412"/>
        <v/>
      </c>
      <c r="AE172" s="1842"/>
      <c r="AF172" s="1842"/>
      <c r="AG172" s="1753" t="e">
        <f t="shared" si="413"/>
        <v>#N/A</v>
      </c>
      <c r="AH172" s="1870" t="e">
        <f t="shared" si="414"/>
        <v>#N/A</v>
      </c>
      <c r="AK172" s="1872" t="e">
        <f t="shared" si="415"/>
        <v>#N/A</v>
      </c>
      <c r="AL172" s="1721" t="str">
        <f t="shared" si="416"/>
        <v/>
      </c>
      <c r="AM172" s="1721" t="str">
        <f t="shared" si="417"/>
        <v/>
      </c>
      <c r="AN172" s="1721" t="str">
        <f t="shared" si="418"/>
        <v/>
      </c>
      <c r="AO172" s="1721" t="str">
        <f t="shared" si="419"/>
        <v/>
      </c>
      <c r="AP172" s="1721" t="str">
        <f t="shared" si="420"/>
        <v/>
      </c>
      <c r="AQ172" s="1721" t="str">
        <f t="shared" si="421"/>
        <v/>
      </c>
      <c r="AR172" s="1721" t="str">
        <f t="shared" si="422"/>
        <v/>
      </c>
      <c r="AS172" s="1721" t="str">
        <f t="shared" si="423"/>
        <v/>
      </c>
      <c r="AT172" s="1721" t="str">
        <f t="shared" si="424"/>
        <v/>
      </c>
      <c r="AU172" s="1721" t="str">
        <f t="shared" si="425"/>
        <v/>
      </c>
      <c r="AV172" s="1721" t="str">
        <f t="shared" si="426"/>
        <v/>
      </c>
      <c r="AW172" s="1721" t="str">
        <f t="shared" si="427"/>
        <v/>
      </c>
      <c r="AX172" s="1721" t="str">
        <f t="shared" si="428"/>
        <v/>
      </c>
      <c r="AY172" s="1721" t="str">
        <f t="shared" si="429"/>
        <v/>
      </c>
      <c r="AZ172" s="1721" t="str">
        <f t="shared" si="430"/>
        <v/>
      </c>
      <c r="BA172" s="1721" t="str">
        <f t="shared" si="431"/>
        <v/>
      </c>
      <c r="BB172" s="1721" t="str">
        <f t="shared" si="432"/>
        <v/>
      </c>
      <c r="BC172" s="1739">
        <f t="shared" si="433"/>
        <v>0</v>
      </c>
      <c r="BD172" s="1739">
        <f t="shared" si="434"/>
        <v>0</v>
      </c>
      <c r="BE172" s="1739">
        <f t="shared" si="435"/>
        <v>0</v>
      </c>
      <c r="BF172" s="1721">
        <f t="shared" si="436"/>
        <v>0</v>
      </c>
      <c r="BG172" s="1721">
        <f t="shared" si="437"/>
        <v>0</v>
      </c>
      <c r="BH172" s="1721">
        <f t="shared" si="438"/>
        <v>0</v>
      </c>
      <c r="BI172" s="1721">
        <f t="shared" si="439"/>
        <v>0</v>
      </c>
      <c r="BJ172" s="1721">
        <f t="shared" si="440"/>
        <v>0</v>
      </c>
      <c r="BK172" s="1721">
        <f t="shared" si="441"/>
        <v>0</v>
      </c>
      <c r="BL172" s="1721">
        <f t="shared" si="442"/>
        <v>0</v>
      </c>
      <c r="BM172" s="1715">
        <f t="shared" si="443"/>
        <v>0</v>
      </c>
      <c r="BN172" s="1715">
        <f t="shared" si="444"/>
        <v>0</v>
      </c>
      <c r="BO172" s="1715">
        <f t="shared" si="445"/>
        <v>0</v>
      </c>
      <c r="BP172" s="1715">
        <f t="shared" si="446"/>
        <v>0</v>
      </c>
      <c r="BQ172" s="1715">
        <f t="shared" si="447"/>
        <v>0</v>
      </c>
      <c r="BR172" s="1715">
        <f t="shared" si="448"/>
        <v>0</v>
      </c>
      <c r="BS172" s="1715">
        <f t="shared" si="449"/>
        <v>0</v>
      </c>
      <c r="BT172" s="1742">
        <f t="shared" si="450"/>
        <v>0</v>
      </c>
      <c r="BU172" s="1690">
        <f t="shared" si="451"/>
        <v>0</v>
      </c>
      <c r="BV172" s="1715" t="str">
        <f t="shared" si="452"/>
        <v/>
      </c>
      <c r="BW172" s="1722">
        <f t="shared" si="453"/>
        <v>0</v>
      </c>
    </row>
    <row r="173" spans="1:75">
      <c r="A173" s="1690" t="b">
        <f t="shared" si="397"/>
        <v>0</v>
      </c>
      <c r="B173" s="2220">
        <f t="array" ref="B173">IF(ISERROR(INDEX(PQLs!$B$3:$B$87, SMALL(IF(IsoAnalysis=PQLs!$A$3:$A$87, ROW($A$3:$A$86)-ROW($A$3)+1), ROW(35:35)))),0,INDEX(PQLs!$B$3:$B$87, SMALL(IF(IsoAnalysis=PQLs!$A$3:$A$87, ROW($A$3:$A$86)-ROW($A$3)+1), ROW(35:35))))</f>
        <v>0</v>
      </c>
      <c r="C173" s="1885" t="e">
        <f t="shared" si="398"/>
        <v>#N/A</v>
      </c>
      <c r="D173" s="1754" t="e">
        <f t="shared" si="399"/>
        <v>#N/A</v>
      </c>
      <c r="E173" s="1892" t="e">
        <f t="shared" si="400"/>
        <v>#N/A</v>
      </c>
      <c r="F173" s="1890" t="e">
        <f t="shared" si="401"/>
        <v>#N/A</v>
      </c>
      <c r="G173" s="1887"/>
      <c r="H173" s="1762"/>
      <c r="I173" s="1762"/>
      <c r="J173" s="1762"/>
      <c r="K173" s="1762"/>
      <c r="L173" s="1762"/>
      <c r="M173" s="1766"/>
      <c r="N173" s="1761"/>
      <c r="O173" s="1762"/>
      <c r="P173" s="1763"/>
      <c r="Q173" s="1692" t="str">
        <f t="shared" si="402"/>
        <v/>
      </c>
      <c r="R173" s="1692" t="str">
        <f t="shared" si="403"/>
        <v/>
      </c>
      <c r="S173" s="1692" t="str">
        <f t="shared" si="404"/>
        <v/>
      </c>
      <c r="T173" s="1692"/>
      <c r="U173" s="1900" t="str">
        <f t="shared" si="405"/>
        <v/>
      </c>
      <c r="V173" s="1841" t="str">
        <f>IF($B173=0,"",Conc1(BW173,VolumeNTP1,$AG173,MolVol,Pitots!$E$49,Pitots!$F$49,V$136,V$137,VoF))</f>
        <v/>
      </c>
      <c r="W173" s="1739" t="str">
        <f t="shared" si="406"/>
        <v/>
      </c>
      <c r="X173" s="1843" t="str">
        <f>IF(OR(U173="&lt;",VND="&lt;"),"&lt;","")</f>
        <v/>
      </c>
      <c r="Y173" s="1901" t="str">
        <f>IF(V173="","",MassRate(V173,$AG173,MolVol,V$136,V$137,MRU,MRF,AverageFlowDry1,FF))</f>
        <v/>
      </c>
      <c r="Z173" s="2334" t="str">
        <f>IF(AND(U173="",U220=""),"",IF(OR(U173="",U173=""),"≤","&lt;"))</f>
        <v/>
      </c>
      <c r="AA173" s="2289" t="str">
        <f>IF(OR(B173=0,V173=0,V220=0),"",AVERAGE(V173,V220))</f>
        <v/>
      </c>
      <c r="AB173" s="1872" t="str">
        <f>IF(AA173="","",AVERAGE(W173,W220))</f>
        <v/>
      </c>
      <c r="AC173" s="2334" t="str">
        <f>IF(AND(X173="",X220=""),"",IF(OR(X173="",X173=""),"≤","&lt;"))</f>
        <v/>
      </c>
      <c r="AD173" s="2289" t="str">
        <f>IF(AA173="","",AVERAGE(Y173,Y220))</f>
        <v/>
      </c>
      <c r="AE173" s="1842"/>
      <c r="AF173" s="1842"/>
      <c r="AG173" s="1754" t="e">
        <f t="shared" si="413"/>
        <v>#N/A</v>
      </c>
      <c r="AH173" s="1706" t="e">
        <f t="shared" si="414"/>
        <v>#N/A</v>
      </c>
      <c r="AK173" s="1873" t="e">
        <f t="shared" si="415"/>
        <v>#N/A</v>
      </c>
      <c r="AL173" s="1723" t="str">
        <f t="shared" si="416"/>
        <v/>
      </c>
      <c r="AM173" s="1723" t="str">
        <f t="shared" si="417"/>
        <v/>
      </c>
      <c r="AN173" s="1723" t="str">
        <f t="shared" si="418"/>
        <v/>
      </c>
      <c r="AO173" s="1723" t="str">
        <f t="shared" si="419"/>
        <v/>
      </c>
      <c r="AP173" s="1723" t="str">
        <f t="shared" si="420"/>
        <v/>
      </c>
      <c r="AQ173" s="1723" t="str">
        <f t="shared" si="421"/>
        <v/>
      </c>
      <c r="AR173" s="1723" t="str">
        <f t="shared" si="422"/>
        <v/>
      </c>
      <c r="AS173" s="1723" t="str">
        <f t="shared" si="423"/>
        <v/>
      </c>
      <c r="AT173" s="1723" t="str">
        <f t="shared" si="424"/>
        <v/>
      </c>
      <c r="AU173" s="1723" t="str">
        <f t="shared" si="425"/>
        <v/>
      </c>
      <c r="AV173" s="1723" t="str">
        <f t="shared" si="426"/>
        <v/>
      </c>
      <c r="AW173" s="1723" t="str">
        <f t="shared" si="427"/>
        <v/>
      </c>
      <c r="AX173" s="1723" t="str">
        <f t="shared" si="428"/>
        <v/>
      </c>
      <c r="AY173" s="1723" t="str">
        <f t="shared" si="429"/>
        <v/>
      </c>
      <c r="AZ173" s="1723" t="str">
        <f t="shared" si="430"/>
        <v/>
      </c>
      <c r="BA173" s="1723" t="str">
        <f t="shared" si="431"/>
        <v/>
      </c>
      <c r="BB173" s="1723" t="str">
        <f t="shared" si="432"/>
        <v/>
      </c>
      <c r="BC173" s="1740">
        <f t="shared" si="433"/>
        <v>0</v>
      </c>
      <c r="BD173" s="1740">
        <f t="shared" si="434"/>
        <v>0</v>
      </c>
      <c r="BE173" s="1740">
        <f t="shared" si="435"/>
        <v>0</v>
      </c>
      <c r="BF173" s="1723">
        <f t="shared" si="436"/>
        <v>0</v>
      </c>
      <c r="BG173" s="1723">
        <f t="shared" si="437"/>
        <v>0</v>
      </c>
      <c r="BH173" s="1723">
        <f t="shared" si="438"/>
        <v>0</v>
      </c>
      <c r="BI173" s="1723">
        <f t="shared" si="439"/>
        <v>0</v>
      </c>
      <c r="BJ173" s="1723">
        <f t="shared" si="440"/>
        <v>0</v>
      </c>
      <c r="BK173" s="1723">
        <f t="shared" si="441"/>
        <v>0</v>
      </c>
      <c r="BL173" s="1723">
        <f t="shared" si="442"/>
        <v>0</v>
      </c>
      <c r="BM173" s="1716">
        <f t="shared" si="443"/>
        <v>0</v>
      </c>
      <c r="BN173" s="1716">
        <f t="shared" si="444"/>
        <v>0</v>
      </c>
      <c r="BO173" s="1716">
        <f t="shared" si="445"/>
        <v>0</v>
      </c>
      <c r="BP173" s="1716">
        <f t="shared" si="446"/>
        <v>0</v>
      </c>
      <c r="BQ173" s="1716">
        <f t="shared" si="447"/>
        <v>0</v>
      </c>
      <c r="BR173" s="1716">
        <f t="shared" si="448"/>
        <v>0</v>
      </c>
      <c r="BS173" s="1716">
        <f t="shared" si="449"/>
        <v>0</v>
      </c>
      <c r="BT173" s="1743">
        <f t="shared" si="450"/>
        <v>0</v>
      </c>
      <c r="BU173" s="1717">
        <f t="shared" si="451"/>
        <v>0</v>
      </c>
      <c r="BV173" s="1716" t="str">
        <f t="shared" si="452"/>
        <v/>
      </c>
      <c r="BW173" s="1725">
        <f t="shared" si="453"/>
        <v>0</v>
      </c>
    </row>
    <row r="174" spans="1:75">
      <c r="A174" s="1690" t="b">
        <f>IF(A137=TRUE,TRUE,FALSE)</f>
        <v>0</v>
      </c>
      <c r="B174" s="1713"/>
      <c r="C174" s="1713"/>
      <c r="D174" s="1713"/>
      <c r="E174" s="1713"/>
      <c r="F174" s="1713"/>
      <c r="G174" s="1713"/>
      <c r="H174" s="1713"/>
      <c r="I174" s="1713"/>
      <c r="J174" s="1713"/>
      <c r="K174" s="1713"/>
      <c r="L174" s="1713"/>
      <c r="M174" s="1713"/>
      <c r="N174" s="1713"/>
      <c r="O174" s="1713"/>
      <c r="P174" s="1713"/>
      <c r="R174" s="2377"/>
      <c r="S174" s="2378"/>
      <c r="T174" s="2382" t="s">
        <v>1967</v>
      </c>
      <c r="U174" s="1898" t="str">
        <f>IF('Results Entry'!CA147=5,"&lt;",IF('Results Entry'!CA147=0,"","≤"))</f>
        <v/>
      </c>
      <c r="V174" s="1719" t="str">
        <f>'Results Entry'!CC147</f>
        <v/>
      </c>
      <c r="W174" s="2333" t="str">
        <f>IF(V174="","",V174*O2correction*CO2correction)</f>
        <v/>
      </c>
      <c r="X174" s="2370" t="str">
        <f>IF(OR(U174="&lt;",VND="&lt;"),"&lt;","")</f>
        <v/>
      </c>
      <c r="Y174" s="1899" t="str">
        <f>IF(V174="","",MassRate(V174,$AG174,MolVol,V$136,V$137,MRU,MRF,AverageFlowDry1,FF))</f>
        <v/>
      </c>
      <c r="Z174" s="1718" t="str">
        <f>IF(AND(U174="",U221=""),"",IF(OR(U174="",U174=""),"≤","&lt;"))</f>
        <v/>
      </c>
      <c r="AA174" s="1714" t="str">
        <f>IF(OR(B174=0,V174=0,V221=0),"",AVERAGE(V174,V221))</f>
        <v/>
      </c>
      <c r="AB174" s="1871" t="str">
        <f>IF(AA174="","",AVERAGE(W174,W221))</f>
        <v/>
      </c>
      <c r="AC174" s="1718" t="str">
        <f>IF(AND(X174="",X221=""),"",IF(OR(X174="",X174=""),"≤","&lt;"))</f>
        <v/>
      </c>
      <c r="AD174" s="1714" t="str">
        <f>IF(AA174="","",AVERAGE(Y174,Y221))</f>
        <v/>
      </c>
      <c r="AG174" s="1700"/>
      <c r="AH174" s="1690"/>
      <c r="BL174" s="1698"/>
      <c r="BT174" s="1690"/>
    </row>
    <row r="175" spans="1:75">
      <c r="A175" s="1690" t="b">
        <f>A174</f>
        <v>0</v>
      </c>
      <c r="R175" s="2379"/>
      <c r="S175" s="2376"/>
      <c r="T175" s="2383" t="s">
        <v>1968</v>
      </c>
      <c r="U175" s="1900" t="str">
        <f>IF('Results Entry'!CA160=8,"&lt;",IF('Results Entry'!CA160=0,"","≤"))</f>
        <v/>
      </c>
      <c r="V175" s="1841" t="str">
        <f>'Results Entry'!CC160</f>
        <v/>
      </c>
      <c r="W175" s="1739" t="str">
        <f>IF(V175="","",V175*O2correction*CO2correction)</f>
        <v/>
      </c>
      <c r="X175" s="1843" t="str">
        <f>IF(OR(U175="&lt;",VND="&lt;"),"&lt;","")</f>
        <v/>
      </c>
      <c r="Y175" s="1901" t="str">
        <f>IF(V175="","",MassRate(V175,$AG175,MolVol,V$136,V$137,MRU,MRF,AverageFlowDry1,FF))</f>
        <v/>
      </c>
      <c r="Z175" s="2334" t="str">
        <f>IF(AND(U175="",U222=""),"",IF(OR(U175="",U175=""),"≤","&lt;"))</f>
        <v/>
      </c>
      <c r="AA175" s="2289" t="str">
        <f>IF(OR(B175=0,V175=0,V222=0),"",AVERAGE(V175,V222))</f>
        <v/>
      </c>
      <c r="AB175" s="1872" t="str">
        <f>IF(AA175="","",AVERAGE(W175,W222))</f>
        <v/>
      </c>
      <c r="AC175" s="2334" t="str">
        <f>IF(AND(X175="",X222=""),"",IF(OR(X175="",X175=""),"≤","&lt;"))</f>
        <v/>
      </c>
      <c r="AD175" s="2289" t="str">
        <f>IF(AA175="","",AVERAGE(Y175,Y222))</f>
        <v/>
      </c>
      <c r="AG175" s="1700"/>
      <c r="AH175" s="1690"/>
      <c r="BL175" s="1698"/>
      <c r="BT175" s="1690"/>
    </row>
    <row r="176" spans="1:75">
      <c r="A176" s="1690" t="b">
        <f>A174</f>
        <v>0</v>
      </c>
      <c r="R176" s="2380"/>
      <c r="S176" s="2381"/>
      <c r="T176" s="2384" t="s">
        <v>1969</v>
      </c>
      <c r="U176" s="1902" t="str">
        <f>IF(SUM('Results Entry'!CN254,'Results Entry'!CN267)=0,"",IF(SUM('Results Entry'!CN254,'Results Entry'!CN267)=13,"&lt;","≤"))</f>
        <v/>
      </c>
      <c r="V176" s="2271" t="str">
        <f>IF(SUM(V174:V175)=0,"",SUM(V174:V175))</f>
        <v/>
      </c>
      <c r="W176" s="1740" t="str">
        <f>IF(V176="","",V176*O2correction*CO2correction)</f>
        <v/>
      </c>
      <c r="X176" s="2281"/>
      <c r="Y176" s="2332" t="str">
        <f>IF(V176="","",MassRate(V176,$AG176,MolVol,V$136,V$137,MRU,MRF,AverageFlowDry1,FF))</f>
        <v/>
      </c>
      <c r="Z176" s="2339" t="str">
        <f>IF(AND(U176="",U223=""),"",IF(OR(U176="",U176=""),"≤","&lt;"))</f>
        <v/>
      </c>
      <c r="AA176" s="2290" t="str">
        <f>IF(OR(B176=0,V176=0,V223=0),"",AVERAGE(V176,V223))</f>
        <v/>
      </c>
      <c r="AB176" s="1873" t="str">
        <f>IF(AA176="","",AVERAGE(W176,W223))</f>
        <v/>
      </c>
      <c r="AC176" s="2339" t="str">
        <f>IF(AND(X176="",X223=""),"",IF(OR(X176="",X176=""),"≤","&lt;"))</f>
        <v/>
      </c>
      <c r="AD176" s="2290" t="str">
        <f>IF(AA176="","",AVERAGE(Y176,Y223))</f>
        <v/>
      </c>
      <c r="AG176" s="1700"/>
      <c r="AH176" s="1690"/>
      <c r="BL176" s="1698"/>
      <c r="BT176" s="1690"/>
    </row>
    <row r="177" spans="1:81">
      <c r="A177" s="1690" t="b">
        <f>A174</f>
        <v>0</v>
      </c>
      <c r="R177" s="1696"/>
      <c r="S177" s="1690"/>
      <c r="AG177" s="1700"/>
      <c r="AH177" s="1690"/>
      <c r="BL177" s="1698"/>
      <c r="BT177" s="1690"/>
    </row>
    <row r="178" spans="1:81" ht="12.75" customHeight="1">
      <c r="A178" s="1690" t="b">
        <f>IF(COUNTIF(A185:A220,TRUE)&gt;0,TRUE,FALSE)</f>
        <v>0</v>
      </c>
      <c r="B178" s="1730"/>
      <c r="C178" s="1731"/>
      <c r="D178" s="1731"/>
      <c r="E178" s="1731"/>
      <c r="F178" s="1731"/>
      <c r="G178" s="1893" t="s">
        <v>1703</v>
      </c>
      <c r="H178" s="1893"/>
      <c r="I178" s="1893"/>
      <c r="J178" s="1893"/>
      <c r="K178" s="1893"/>
      <c r="L178" s="1893"/>
      <c r="M178" s="1893"/>
      <c r="N178" s="2845" t="s">
        <v>1704</v>
      </c>
      <c r="O178" s="2846"/>
      <c r="P178" s="2847"/>
      <c r="Q178" s="1697"/>
      <c r="R178" s="1697"/>
      <c r="S178" s="1697"/>
      <c r="T178" s="1841"/>
      <c r="U178" s="1696"/>
      <c r="X178" s="1697"/>
      <c r="Y178" s="1836"/>
      <c r="AA178" s="1694"/>
      <c r="AB178" s="1694"/>
      <c r="AE178" s="1841"/>
      <c r="AF178" s="1841"/>
      <c r="AG178" s="1692"/>
      <c r="AH178" s="1692"/>
      <c r="BM178" s="1690"/>
      <c r="BN178" s="1690"/>
      <c r="BO178" s="1690"/>
      <c r="BP178" s="1690"/>
      <c r="BQ178" s="1690"/>
      <c r="BR178" s="1690"/>
      <c r="BS178" s="1690"/>
      <c r="BT178" s="1690"/>
    </row>
    <row r="179" spans="1:81" ht="15">
      <c r="A179" s="1690" t="b">
        <f>IF(COUNTIF(A185:A220,TRUE)&gt;0,TRUE,FALSE)</f>
        <v>0</v>
      </c>
      <c r="B179" s="1726" t="s">
        <v>1801</v>
      </c>
      <c r="C179" s="1693"/>
      <c r="D179" s="1688"/>
      <c r="E179" s="1688"/>
      <c r="F179" s="1688"/>
      <c r="G179" s="1697" t="s">
        <v>1435</v>
      </c>
      <c r="H179" s="1697" t="s">
        <v>1428</v>
      </c>
      <c r="I179" s="1697" t="s">
        <v>1702</v>
      </c>
      <c r="J179" s="1697" t="s">
        <v>1431</v>
      </c>
      <c r="K179" s="1697" t="s">
        <v>1432</v>
      </c>
      <c r="L179" s="1697" t="s">
        <v>1433</v>
      </c>
      <c r="M179" s="1697" t="s">
        <v>1434</v>
      </c>
      <c r="N179" s="1844" t="s">
        <v>1791</v>
      </c>
      <c r="O179" s="1845" t="s">
        <v>1799</v>
      </c>
      <c r="P179" s="1846" t="s">
        <v>1798</v>
      </c>
      <c r="S179" s="1690"/>
      <c r="U179" s="1696"/>
      <c r="X179" s="1695"/>
      <c r="Y179" s="1695"/>
      <c r="AE179" s="2219"/>
      <c r="AF179" s="2219"/>
      <c r="AG179" s="1697"/>
      <c r="BM179" s="1690"/>
      <c r="BN179" s="1690"/>
      <c r="BO179" s="1690"/>
      <c r="BP179" s="1690"/>
      <c r="BQ179" s="1690"/>
      <c r="BR179" s="1690"/>
      <c r="BS179" s="1690"/>
      <c r="BT179" s="1690"/>
    </row>
    <row r="180" spans="1:81" ht="13.5" customHeight="1">
      <c r="A180" s="1690" t="b">
        <f>IF(COUNTIF(A185:A220,TRUE)&gt;0,TRUE,FALSE)</f>
        <v>0</v>
      </c>
      <c r="B180" s="1691"/>
      <c r="C180" s="1748"/>
      <c r="D180" s="1749"/>
      <c r="E180" s="1749"/>
      <c r="F180" s="1749" t="s">
        <v>1766</v>
      </c>
      <c r="G180" s="1782">
        <f>Filter1</f>
        <v>0</v>
      </c>
      <c r="H180" s="1778"/>
      <c r="I180" s="1778"/>
      <c r="J180" s="1778"/>
      <c r="K180" s="1778"/>
      <c r="L180" s="1778"/>
      <c r="M180" s="1780"/>
      <c r="N180" s="1847" t="str">
        <f t="shared" ref="N180:P199" si="456">IF(N133="","",N133)</f>
        <v/>
      </c>
      <c r="O180" s="1848" t="str">
        <f t="shared" si="456"/>
        <v/>
      </c>
      <c r="P180" s="1849" t="str">
        <f t="shared" si="456"/>
        <v/>
      </c>
      <c r="S180" s="1690"/>
      <c r="U180" s="1894"/>
      <c r="V180" s="1894"/>
      <c r="W180" s="1836" t="s">
        <v>2106</v>
      </c>
      <c r="X180" s="1695"/>
      <c r="Y180" s="1695"/>
      <c r="Z180" s="1841"/>
      <c r="AE180" s="2219"/>
      <c r="AF180" s="2219"/>
      <c r="AG180" s="1697"/>
      <c r="BM180" s="1690"/>
      <c r="BN180" s="1690"/>
      <c r="BO180" s="1690"/>
      <c r="BP180" s="1690"/>
      <c r="BQ180" s="1690"/>
      <c r="BR180" s="1690"/>
      <c r="BS180" s="1690"/>
      <c r="BT180" s="1690"/>
    </row>
    <row r="181" spans="1:81" ht="13.5" customHeight="1">
      <c r="A181" s="1690" t="b">
        <f>IF(COUNTIF(A185:A220,TRUE)&gt;0,TRUE,FALSE)</f>
        <v>0</v>
      </c>
      <c r="B181" s="1727" t="s">
        <v>2026</v>
      </c>
      <c r="C181" s="1748"/>
      <c r="D181" s="1749"/>
      <c r="E181" s="1749"/>
      <c r="F181" s="1749" t="s">
        <v>1765</v>
      </c>
      <c r="G181" s="1794">
        <v>1000</v>
      </c>
      <c r="H181" s="1779">
        <f>IF(K183="µg",1000,"")</f>
        <v>1000</v>
      </c>
      <c r="I181" s="1779">
        <f>IF(K183="µg",1000,"")</f>
        <v>1000</v>
      </c>
      <c r="J181" s="1779">
        <f>IF(K183="µg",1000,"")</f>
        <v>1000</v>
      </c>
      <c r="K181" s="1779">
        <f>IF(K183="µg",1000,"")</f>
        <v>1000</v>
      </c>
      <c r="L181" s="1779">
        <f>IF(K183="µg",1000,"")</f>
        <v>1000</v>
      </c>
      <c r="M181" s="1781">
        <f>IF(K183="µg",1000,"")</f>
        <v>1000</v>
      </c>
      <c r="N181" s="1850">
        <f t="shared" si="456"/>
        <v>1000</v>
      </c>
      <c r="O181" s="1851">
        <f t="shared" si="456"/>
        <v>1000</v>
      </c>
      <c r="P181" s="1852">
        <f t="shared" si="456"/>
        <v>1000</v>
      </c>
      <c r="Q181" s="2821" t="s">
        <v>1779</v>
      </c>
      <c r="R181" s="2820" t="s">
        <v>1780</v>
      </c>
      <c r="S181" s="2820" t="s">
        <v>1781</v>
      </c>
      <c r="T181" s="1840"/>
      <c r="U181" s="2810" t="s">
        <v>1718</v>
      </c>
      <c r="V181" s="2805"/>
      <c r="W181" s="2806"/>
      <c r="X181" s="2849" t="s">
        <v>1836</v>
      </c>
      <c r="Y181" s="2850"/>
      <c r="Z181" s="1694"/>
      <c r="AA181" s="1694"/>
      <c r="AE181" s="2219"/>
      <c r="AF181" s="2219"/>
      <c r="AG181" s="1697"/>
      <c r="AL181" s="2822" t="s">
        <v>1743</v>
      </c>
      <c r="AM181" s="2823"/>
      <c r="AN181" s="2823"/>
      <c r="AO181" s="2823"/>
      <c r="AP181" s="2823"/>
      <c r="AQ181" s="2823"/>
      <c r="AR181" s="2823"/>
      <c r="AS181" s="2823"/>
      <c r="AT181" s="2823"/>
      <c r="AU181" s="2824"/>
      <c r="AV181" s="1732" t="str">
        <f>"Lab result (concentration - analysed compound) "&amp;K183</f>
        <v>Lab result (concentration - analysed compound) µg</v>
      </c>
      <c r="AW181" s="1732"/>
      <c r="AX181" s="1732"/>
      <c r="AY181" s="1732"/>
      <c r="AZ181" s="1732"/>
      <c r="BA181" s="1732"/>
      <c r="BB181" s="1732"/>
      <c r="BC181" s="1732"/>
      <c r="BD181" s="1732"/>
      <c r="BE181" s="1734"/>
      <c r="BF181" s="2822" t="s">
        <v>1772</v>
      </c>
      <c r="BG181" s="2823"/>
      <c r="BH181" s="2823"/>
      <c r="BI181" s="2823"/>
      <c r="BJ181" s="2823"/>
      <c r="BK181" s="2823"/>
      <c r="BL181" s="2824"/>
      <c r="BM181" s="2822" t="s">
        <v>1774</v>
      </c>
      <c r="BN181" s="2823"/>
      <c r="BO181" s="2823"/>
      <c r="BP181" s="2823"/>
      <c r="BQ181" s="2823"/>
      <c r="BR181" s="2823"/>
      <c r="BS181" s="2824"/>
      <c r="BT181" s="2816" t="s">
        <v>1703</v>
      </c>
      <c r="BU181" s="2816"/>
      <c r="BV181" s="2825" t="s">
        <v>1742</v>
      </c>
      <c r="BW181" s="2826"/>
    </row>
    <row r="182" spans="1:81" ht="13.5" customHeight="1">
      <c r="A182" s="1690" t="b">
        <f>IF(COUNTIF(A185:A220,TRUE)&gt;0,TRUE,FALSE)</f>
        <v>0</v>
      </c>
      <c r="B182" s="1691"/>
      <c r="C182" s="1748"/>
      <c r="D182" s="1749"/>
      <c r="E182" s="1749"/>
      <c r="F182" s="1749" t="s">
        <v>1764</v>
      </c>
      <c r="G182" s="1795">
        <v>1</v>
      </c>
      <c r="H182" s="1784">
        <v>1</v>
      </c>
      <c r="I182" s="1784">
        <v>1</v>
      </c>
      <c r="J182" s="1784">
        <v>1</v>
      </c>
      <c r="K182" s="1784">
        <v>1</v>
      </c>
      <c r="L182" s="1784">
        <v>1</v>
      </c>
      <c r="M182" s="1792">
        <v>1</v>
      </c>
      <c r="N182" s="1853">
        <f t="shared" si="456"/>
        <v>1</v>
      </c>
      <c r="O182" s="1854">
        <f t="shared" si="456"/>
        <v>1</v>
      </c>
      <c r="P182" s="1855">
        <f t="shared" si="456"/>
        <v>1</v>
      </c>
      <c r="Q182" s="2821"/>
      <c r="R182" s="2820"/>
      <c r="S182" s="2820"/>
      <c r="T182" s="1840"/>
      <c r="U182" s="2811" t="s">
        <v>1703</v>
      </c>
      <c r="V182" s="2812"/>
      <c r="W182" s="2813"/>
      <c r="X182" s="2810" t="s">
        <v>1703</v>
      </c>
      <c r="Y182" s="2806"/>
      <c r="Z182" s="1694"/>
      <c r="AA182" s="1694"/>
      <c r="AE182" s="2217"/>
      <c r="AF182" s="2217"/>
      <c r="AG182" s="1835"/>
      <c r="AH182" s="2815" t="s">
        <v>1707</v>
      </c>
      <c r="AK182" s="2815" t="s">
        <v>1767</v>
      </c>
      <c r="AL182" s="2810" t="s">
        <v>1705</v>
      </c>
      <c r="AM182" s="2805"/>
      <c r="AN182" s="2805"/>
      <c r="AO182" s="2805"/>
      <c r="AP182" s="2805"/>
      <c r="AQ182" s="2805"/>
      <c r="AR182" s="2806"/>
      <c r="AS182" s="2810" t="s">
        <v>1704</v>
      </c>
      <c r="AT182" s="2805"/>
      <c r="AU182" s="2806"/>
      <c r="AV182" s="2810" t="s">
        <v>1705</v>
      </c>
      <c r="AW182" s="2805"/>
      <c r="AX182" s="2805"/>
      <c r="AY182" s="2805"/>
      <c r="AZ182" s="2805"/>
      <c r="BA182" s="2805"/>
      <c r="BB182" s="2806"/>
      <c r="BC182" s="2810" t="s">
        <v>1704</v>
      </c>
      <c r="BD182" s="2805"/>
      <c r="BE182" s="2806"/>
      <c r="BF182" s="2822" t="s">
        <v>1705</v>
      </c>
      <c r="BG182" s="2823"/>
      <c r="BH182" s="2823"/>
      <c r="BI182" s="2823"/>
      <c r="BJ182" s="2823"/>
      <c r="BK182" s="2823"/>
      <c r="BL182" s="2824"/>
      <c r="BM182" s="2822" t="s">
        <v>1800</v>
      </c>
      <c r="BN182" s="2823"/>
      <c r="BO182" s="2823"/>
      <c r="BP182" s="2823"/>
      <c r="BQ182" s="2823"/>
      <c r="BR182" s="2823"/>
      <c r="BS182" s="2824"/>
      <c r="BT182" s="1732" t="s">
        <v>1741</v>
      </c>
      <c r="BU182" s="1736" t="s">
        <v>1740</v>
      </c>
      <c r="BV182" s="2817" t="s">
        <v>1739</v>
      </c>
      <c r="BW182" s="2817"/>
    </row>
    <row r="183" spans="1:81">
      <c r="A183" s="1690" t="b">
        <f>IF(COUNTIF(A185:A220,TRUE)&gt;0,TRUE,FALSE)</f>
        <v>0</v>
      </c>
      <c r="B183" s="1691" t="s">
        <v>1284</v>
      </c>
      <c r="C183" s="1748"/>
      <c r="D183" s="1749"/>
      <c r="E183" s="2833" t="s">
        <v>1912</v>
      </c>
      <c r="F183" s="2834" t="s">
        <v>1913</v>
      </c>
      <c r="G183" s="1789" t="s">
        <v>1795</v>
      </c>
      <c r="H183" s="1771" t="s">
        <v>1427</v>
      </c>
      <c r="I183" s="1790">
        <f>VLOOKUP(H183,MassTable,2,FALSE)</f>
        <v>1000000</v>
      </c>
      <c r="J183" s="1791" t="s">
        <v>1794</v>
      </c>
      <c r="K183" s="1771" t="s">
        <v>1427</v>
      </c>
      <c r="L183" s="1790">
        <f>VLOOKUP(K183,$C$1:$D$5,2,FALSE)</f>
        <v>1000000</v>
      </c>
      <c r="M183" s="1776"/>
      <c r="N183" s="1856" t="str">
        <f t="shared" si="456"/>
        <v/>
      </c>
      <c r="O183" s="1857" t="str">
        <f t="shared" si="456"/>
        <v>P/w</v>
      </c>
      <c r="P183" s="1858" t="str">
        <f t="shared" si="456"/>
        <v/>
      </c>
      <c r="Q183" s="1692"/>
      <c r="R183" s="1697" t="s">
        <v>1708</v>
      </c>
      <c r="S183" s="1697"/>
      <c r="T183" s="1841"/>
      <c r="U183" s="1898"/>
      <c r="V183" s="2280" t="str">
        <f>CU</f>
        <v>mg/m³</v>
      </c>
      <c r="W183" s="2261" t="str">
        <f>V183</f>
        <v>mg/m³</v>
      </c>
      <c r="X183" s="2285"/>
      <c r="Y183" s="2286" t="str">
        <f>MRU</f>
        <v>g/min</v>
      </c>
      <c r="Z183" s="2217"/>
      <c r="AE183" s="1692"/>
      <c r="AF183" s="1692"/>
      <c r="AG183" s="1835" t="s">
        <v>1706</v>
      </c>
      <c r="AH183" s="2815"/>
      <c r="AK183" s="2815"/>
      <c r="AL183" s="1734" t="s">
        <v>1435</v>
      </c>
      <c r="AM183" s="1734" t="s">
        <v>1428</v>
      </c>
      <c r="AN183" s="1734" t="s">
        <v>1702</v>
      </c>
      <c r="AO183" s="1734" t="s">
        <v>1431</v>
      </c>
      <c r="AP183" s="1734" t="s">
        <v>1432</v>
      </c>
      <c r="AQ183" s="1734" t="s">
        <v>1433</v>
      </c>
      <c r="AR183" s="1734" t="s">
        <v>1434</v>
      </c>
      <c r="AS183" s="1734" t="s">
        <v>1791</v>
      </c>
      <c r="AT183" s="1734" t="s">
        <v>1792</v>
      </c>
      <c r="AU183" s="1734" t="s">
        <v>1793</v>
      </c>
      <c r="AV183" s="1734" t="s">
        <v>1435</v>
      </c>
      <c r="AW183" s="1734" t="s">
        <v>1428</v>
      </c>
      <c r="AX183" s="1734" t="s">
        <v>1702</v>
      </c>
      <c r="AY183" s="1734" t="s">
        <v>1431</v>
      </c>
      <c r="AZ183" s="1734" t="s">
        <v>1432</v>
      </c>
      <c r="BA183" s="1734" t="s">
        <v>1433</v>
      </c>
      <c r="BB183" s="1734" t="s">
        <v>1434</v>
      </c>
      <c r="BC183" s="1734" t="s">
        <v>1791</v>
      </c>
      <c r="BD183" s="1734" t="s">
        <v>1796</v>
      </c>
      <c r="BE183" s="1734" t="s">
        <v>1797</v>
      </c>
      <c r="BF183" s="1734" t="s">
        <v>1435</v>
      </c>
      <c r="BG183" s="1734" t="s">
        <v>1393</v>
      </c>
      <c r="BH183" s="1734" t="s">
        <v>1702</v>
      </c>
      <c r="BI183" s="1734" t="s">
        <v>1431</v>
      </c>
      <c r="BJ183" s="1734" t="s">
        <v>1432</v>
      </c>
      <c r="BK183" s="1734" t="s">
        <v>1433</v>
      </c>
      <c r="BL183" s="1734" t="s">
        <v>1434</v>
      </c>
      <c r="BM183" s="1734" t="s">
        <v>1435</v>
      </c>
      <c r="BN183" s="1734" t="s">
        <v>1393</v>
      </c>
      <c r="BO183" s="1734" t="s">
        <v>1702</v>
      </c>
      <c r="BP183" s="1734" t="s">
        <v>1431</v>
      </c>
      <c r="BQ183" s="1734" t="s">
        <v>1432</v>
      </c>
      <c r="BR183" s="1734" t="s">
        <v>1433</v>
      </c>
      <c r="BS183" s="1734" t="s">
        <v>1434</v>
      </c>
      <c r="BT183" s="1734" t="s">
        <v>1427</v>
      </c>
      <c r="BU183" s="1734" t="s">
        <v>1427</v>
      </c>
      <c r="BV183" s="1734" t="s">
        <v>819</v>
      </c>
      <c r="BW183" s="1734" t="s">
        <v>1427</v>
      </c>
    </row>
    <row r="184" spans="1:81" ht="10.5" customHeight="1">
      <c r="A184" s="1690" t="b">
        <f>IF(COUNTIF(A185:A220,TRUE)&gt;0,TRUE,FALSE)</f>
        <v>0</v>
      </c>
      <c r="B184" s="1691"/>
      <c r="C184" s="1750" t="s">
        <v>1776</v>
      </c>
      <c r="D184" s="1750" t="s">
        <v>1437</v>
      </c>
      <c r="E184" s="2833"/>
      <c r="F184" s="2834"/>
      <c r="G184" s="1721" t="s">
        <v>1435</v>
      </c>
      <c r="H184" s="1729" t="s">
        <v>1428</v>
      </c>
      <c r="I184" s="1729" t="s">
        <v>1702</v>
      </c>
      <c r="J184" s="1729" t="s">
        <v>1431</v>
      </c>
      <c r="K184" s="1729" t="s">
        <v>1432</v>
      </c>
      <c r="L184" s="1729" t="s">
        <v>1433</v>
      </c>
      <c r="M184" s="1729" t="s">
        <v>1434</v>
      </c>
      <c r="N184" s="1859" t="str">
        <f t="shared" si="456"/>
        <v>Filter Blank</v>
      </c>
      <c r="O184" s="1860" t="str">
        <f t="shared" si="456"/>
        <v>A&amp;B Blank</v>
      </c>
      <c r="P184" s="1861" t="str">
        <f t="shared" si="456"/>
        <v>C&amp;D Blank</v>
      </c>
      <c r="Q184" s="1692"/>
      <c r="R184" s="1697"/>
      <c r="S184" s="1697"/>
      <c r="T184" s="1841"/>
      <c r="U184" s="1902"/>
      <c r="V184" s="2283">
        <f>VLOOKUP(V183,ConcTable,2,FALSE)</f>
        <v>1000000</v>
      </c>
      <c r="W184" s="2284" t="s">
        <v>97</v>
      </c>
      <c r="X184" s="2282"/>
      <c r="Y184" s="2287"/>
      <c r="Z184" s="2217"/>
      <c r="AE184" s="1692"/>
      <c r="AF184" s="1692"/>
      <c r="AG184" s="1697"/>
      <c r="AL184" s="1697"/>
      <c r="AM184" s="1697"/>
      <c r="AN184" s="1697"/>
      <c r="AO184" s="1697"/>
      <c r="AP184" s="1697"/>
      <c r="AQ184" s="1697"/>
      <c r="AR184" s="1697"/>
      <c r="AS184" s="1697"/>
      <c r="AT184" s="1697"/>
      <c r="AU184" s="1697"/>
      <c r="AV184" s="1697"/>
      <c r="AW184" s="1697"/>
      <c r="AX184" s="1697"/>
      <c r="AY184" s="1697"/>
      <c r="AZ184" s="1697"/>
      <c r="BA184" s="1697"/>
      <c r="BB184" s="1697"/>
      <c r="BC184" s="1697"/>
      <c r="BD184" s="1697"/>
      <c r="BE184" s="1697"/>
      <c r="BM184" s="1690"/>
      <c r="BN184" s="1690"/>
      <c r="BO184" s="1690"/>
      <c r="BP184" s="1690"/>
      <c r="BQ184" s="1690"/>
      <c r="BR184" s="1690"/>
      <c r="BS184" s="1690"/>
      <c r="BT184" s="1690"/>
    </row>
    <row r="185" spans="1:81">
      <c r="A185" s="1690" t="b">
        <f t="shared" ref="A185:A220" si="457">IF(B185=0,FALSE,TRUE)</f>
        <v>0</v>
      </c>
      <c r="B185" s="1701">
        <f>B138</f>
        <v>0</v>
      </c>
      <c r="C185" s="1888" t="e">
        <f t="shared" ref="C185:C220" si="458">VLOOKUP(B185,AnalyteTable,5,FALSE)</f>
        <v>#N/A</v>
      </c>
      <c r="D185" s="1752" t="e">
        <f t="shared" ref="D185:D220" si="459">VLOOKUP(B185,AnalyteTable,7,FALSE)</f>
        <v>#N/A</v>
      </c>
      <c r="E185" s="1801" t="e">
        <f t="shared" ref="E185:E220" si="460">VLOOKUP(D185,PQLTable,7,FALSE)</f>
        <v>#N/A</v>
      </c>
      <c r="F185" s="1869" t="e">
        <f t="shared" ref="F185:F220" si="461">VLOOKUP(D185,PQLTable,8,FALSE)</f>
        <v>#N/A</v>
      </c>
      <c r="G185" s="1786"/>
      <c r="H185" s="1767"/>
      <c r="I185" s="1767"/>
      <c r="J185" s="1767"/>
      <c r="K185" s="1767"/>
      <c r="L185" s="1767"/>
      <c r="M185" s="1793"/>
      <c r="N185" s="1862" t="str">
        <f t="shared" si="456"/>
        <v/>
      </c>
      <c r="O185" s="1863" t="str">
        <f t="shared" si="456"/>
        <v/>
      </c>
      <c r="P185" s="1849" t="str">
        <f t="shared" si="456"/>
        <v/>
      </c>
      <c r="Q185" s="1692" t="str">
        <f>IF(B185=0,"",IF(SUM(V185,V138)=0,"no result",IF(OR(V185=0,V138=0),"Single Result","")))</f>
        <v/>
      </c>
      <c r="R185" s="1692" t="str">
        <f t="shared" ref="R185:R205" si="462">IF(B185=0,"",IF(OR(V185="",V231=""),0,ABS((MAX(V185:Z185)-MIN(V185:Z185))/AVERAGE(V185:Z185))))</f>
        <v/>
      </c>
      <c r="S185" s="1692" t="str">
        <f t="shared" ref="S185:S220" si="463">IF(OR(BJ185&gt;(0.2*BI185),BL185&gt;(0.2*BK185)),"Breakthrough?","")</f>
        <v/>
      </c>
      <c r="T185" s="1692"/>
      <c r="U185" s="1900" t="str">
        <f t="shared" ref="U185:U220" si="464">BV185</f>
        <v/>
      </c>
      <c r="V185" s="1841" t="str">
        <f>IF($B185=0,"",Conc1(BW185,VolumeNTP2,$AG185,MolVol,Pitots!$E$49,Pitots!$F$49,V$183,V$184,VoF))</f>
        <v/>
      </c>
      <c r="W185" s="1739" t="str">
        <f t="shared" ref="W185:W220" si="465">IF(B185=0,"",V185*CorrFactor)</f>
        <v/>
      </c>
      <c r="X185" s="1843" t="str">
        <f>IF(OR(U185="&lt;",VND="&lt;"),"&lt;","")</f>
        <v/>
      </c>
      <c r="Y185" s="1901" t="str">
        <f>IF(V185="","",MassRate(V185,$AG185,MolVol,V$183,V$184,MRU,MRF,AverageFlowDry2,FF))</f>
        <v/>
      </c>
      <c r="Z185" s="1841"/>
      <c r="AE185" s="1842"/>
      <c r="AF185" s="1842"/>
      <c r="AG185" s="1752" t="e">
        <f t="shared" ref="AG185:AG220" si="466">VLOOKUP(C185,PQLTable,4,FALSE)</f>
        <v>#N/A</v>
      </c>
      <c r="AH185" s="1796" t="e">
        <f t="shared" ref="AH185:AH220" si="467">VLOOKUP(D185,PQLTable,6,FALSE)</f>
        <v>#N/A</v>
      </c>
      <c r="AK185" s="1871" t="e">
        <f t="shared" ref="AK185:AK220" si="468">AG185/AH185</f>
        <v>#N/A</v>
      </c>
      <c r="AL185" s="1718" t="str">
        <f t="shared" ref="AL185:AL220" si="469">LEFT(G185,(LEFT(G185)="&lt;"))</f>
        <v/>
      </c>
      <c r="AM185" s="1718" t="str">
        <f t="shared" ref="AM185:AM220" si="470">LEFT(H185,(LEFT(H185)="&lt;"))</f>
        <v/>
      </c>
      <c r="AN185" s="1718" t="str">
        <f t="shared" ref="AN185:AN220" si="471">LEFT(I185,(LEFT(I185)="&lt;"))</f>
        <v/>
      </c>
      <c r="AO185" s="1718" t="str">
        <f t="shared" ref="AO185:AO220" si="472">LEFT(J185,(LEFT(J185)="&lt;"))</f>
        <v/>
      </c>
      <c r="AP185" s="1718" t="str">
        <f t="shared" ref="AP185:AP220" si="473">LEFT(K185,(LEFT(K185)="&lt;"))</f>
        <v/>
      </c>
      <c r="AQ185" s="1718" t="str">
        <f t="shared" ref="AQ185:AQ220" si="474">LEFT(L185,(LEFT(L185)="&lt;"))</f>
        <v/>
      </c>
      <c r="AR185" s="1718" t="str">
        <f t="shared" ref="AR185:AR220" si="475">LEFT(M185,(LEFT(M185)="&lt;"))</f>
        <v/>
      </c>
      <c r="AS185" s="1718" t="str">
        <f t="shared" ref="AS185:AS220" si="476">LEFT(N185,(LEFT(N185)="&lt;"))</f>
        <v/>
      </c>
      <c r="AT185" s="1718" t="str">
        <f t="shared" ref="AT185:AT220" si="477">LEFT(O185,(LEFT(O185)="&lt;"))</f>
        <v/>
      </c>
      <c r="AU185" s="1718" t="str">
        <f t="shared" ref="AU185:AU220" si="478">LEFT(P185,(LEFT(P185)="&lt;"))</f>
        <v/>
      </c>
      <c r="AV185" s="1718" t="str">
        <f t="shared" ref="AV185:AV220" si="479">IF(G185="","",VALUE(RIGHT(G185,LEN(G185)-(LEFT(G185)="&lt;"))))</f>
        <v/>
      </c>
      <c r="AW185" s="1718" t="str">
        <f t="shared" ref="AW185:AW220" si="480">IF(H185="","",VALUE(RIGHT(H185,LEN(H185)-(LEFT(H185)="&lt;"))))</f>
        <v/>
      </c>
      <c r="AX185" s="1718" t="str">
        <f t="shared" ref="AX185:AX220" si="481">IF(I185="","",VALUE(RIGHT(I185,LEN(I185)-(LEFT(I185)="&lt;"))))</f>
        <v/>
      </c>
      <c r="AY185" s="1718" t="str">
        <f t="shared" ref="AY185:AY220" si="482">IF(J185="","",VALUE(RIGHT(J185,LEN(J185)-(LEFT(J185)="&lt;"))))</f>
        <v/>
      </c>
      <c r="AZ185" s="1718" t="str">
        <f t="shared" ref="AZ185:AZ220" si="483">IF(K185="","",VALUE(RIGHT(K185,LEN(K185)-(LEFT(K185)="&lt;"))))</f>
        <v/>
      </c>
      <c r="BA185" s="1718" t="str">
        <f t="shared" ref="BA185:BA220" si="484">IF(L185="","",VALUE(RIGHT(L185,LEN(L185)-(LEFT(L185)="&lt;"))))</f>
        <v/>
      </c>
      <c r="BB185" s="1718" t="str">
        <f t="shared" ref="BB185:BB220" si="485">IF(M185="","",VALUE(RIGHT(M185,LEN(M185)-(LEFT(M185)="&lt;"))))</f>
        <v/>
      </c>
      <c r="BC185" s="1738">
        <f t="shared" ref="BC185:BC220" si="486">IF(OR(AS185="&lt;",N185=""),0,VALUE(RIGHT(N185,LEN(N185)-(LEFT(N185)="&lt;"))))</f>
        <v>0</v>
      </c>
      <c r="BD185" s="1738">
        <f t="shared" ref="BD185:BD220" si="487">IF(OR(AT185="&lt;",O185=""),0,VALUE(RIGHT(O185,LEN(O185)-(LEFT(O185)="&lt;"))))</f>
        <v>0</v>
      </c>
      <c r="BE185" s="1738">
        <f t="shared" ref="BE185:BE220" si="488">IF(OR(AU185="&lt;",P185=""),0,VALUE(RIGHT(P185,LEN(P185)-(LEFT(P185)="&lt;"))))</f>
        <v>0</v>
      </c>
      <c r="BF185" s="1718">
        <f>IF(G185="",0,IF(OR((AW185-BC185)&lt;BM185,AL185="&lt;"),0,AW185-$BC185)*$AK185*1000/G$181/I$183*1000000)</f>
        <v>0</v>
      </c>
      <c r="BG185" s="1718">
        <f t="shared" ref="BG185:BG220" si="489">IF(H185="",0,IF(OR((AW185-$BD185)&lt;BN185,AM185="&lt;"),0,AW185-$BD185)*$AK185*1000/H$181/$L$183*1000000)</f>
        <v>0</v>
      </c>
      <c r="BH185" s="1718">
        <f t="shared" ref="BH185:BH220" si="490">IF(I185="",0,IF(OR((AX185-$BD185)&lt;BO185,AN185="&lt;"),0,AX185-$BD185)*$AK185*1000/I$181/$L$183*1000000)</f>
        <v>0</v>
      </c>
      <c r="BI185" s="1718">
        <f t="shared" ref="BI185:BI220" si="491">IF(J185="",0,IF(OR((AY185-$BD185)&lt;BP185,AO185="&lt;"),0,AY185-$BD185)*$AK185*1000/J$181/$L$183*1000000)</f>
        <v>0</v>
      </c>
      <c r="BJ185" s="1718">
        <f t="shared" ref="BJ185:BJ220" si="492">IF(K185="",0,IF(OR((AZ185-$BD185)&lt;BQ185,AP185="&lt;"),0,AZ185-$BD185)*$AK185*1000/K$181/$L$183*1000000)</f>
        <v>0</v>
      </c>
      <c r="BK185" s="1718">
        <f t="shared" ref="BK185:BK220" si="493">IF(L185="",0,IF(OR((BA185-$BE185)&lt;BR185,AQ185="&lt;"),0,BA185-$BE185)*$AK185*1000/L$181/$L$183*1000000)</f>
        <v>0</v>
      </c>
      <c r="BL185" s="1718">
        <f t="shared" ref="BL185:BL220" si="494">IF(M185="",0,IF(OR((BB185-$BE185)&lt;BS185,AR185="&lt;"),0,BB185-$BE185)*$AK185*1000/M$181/$L$183*1000000)</f>
        <v>0</v>
      </c>
      <c r="BM185" s="1712">
        <f t="shared" ref="BM185:BM220" si="495">IF(G185="",0,(E185)*$AK185*1000/G$181/$I$183*1000000)</f>
        <v>0</v>
      </c>
      <c r="BN185" s="1712">
        <f t="shared" ref="BN185:BN220" si="496">IF(H185="",0,($F185)*$AK185*1000/H$181/$L$183*1000000)</f>
        <v>0</v>
      </c>
      <c r="BO185" s="1712">
        <f t="shared" ref="BO185:BO220" si="497">IF(I185="",0,($F185)*$AK185*1000/I$181/$L$183*1000000)</f>
        <v>0</v>
      </c>
      <c r="BP185" s="1712">
        <f t="shared" ref="BP185:BP220" si="498">IF(J185="",0,($F185)*$AK185*1000/J$181/$L$183*1000000)</f>
        <v>0</v>
      </c>
      <c r="BQ185" s="1712">
        <f t="shared" ref="BQ185:BQ220" si="499">IF(K185="",0,($F185)*$AK185*1000/K$181/$L$183*1000000)</f>
        <v>0</v>
      </c>
      <c r="BR185" s="1712">
        <f t="shared" ref="BR185:BR220" si="500">IF(L185="",0,($F185)*$AK185*1000/L$181/$L$183*1000000)</f>
        <v>0</v>
      </c>
      <c r="BS185" s="1712">
        <f t="shared" ref="BS185:BS220" si="501">IF(M185="",0,($F185)*$AK185*1000/M$181/$L$183*1000000)</f>
        <v>0</v>
      </c>
      <c r="BT185" s="1741">
        <f t="shared" ref="BT185:BT220" si="502">SUM(BM185:BS185)</f>
        <v>0</v>
      </c>
      <c r="BU185" s="1713">
        <f t="shared" ref="BU185:BU220" si="503">SUM(BF185:BL185)</f>
        <v>0</v>
      </c>
      <c r="BV185" s="1712" t="str">
        <f t="shared" ref="BV185:BV220" si="504">IF(BU185&gt;=$BT185,"","&lt;")</f>
        <v/>
      </c>
      <c r="BW185" s="1720">
        <f t="shared" ref="BW185:BW220" si="505">IF(BV185="",BU185,(IF(BF185=0,BM185,0)+IF(BG185=0,BN185,0)+IF(BH185=0,BO185,0)+IF(BI185=0,BP185,0)+IF(BJ185=0,BQ185,0)+IF(BK185=0,BR185,0)+IF(BL185=0,BS185,0)+BU185))</f>
        <v>0</v>
      </c>
      <c r="BZ185" s="2009" t="s">
        <v>1965</v>
      </c>
      <c r="CA185" s="2800"/>
      <c r="CB185" s="2800"/>
      <c r="CC185" s="107"/>
    </row>
    <row r="186" spans="1:81">
      <c r="A186" s="1690" t="b">
        <f t="shared" si="457"/>
        <v>0</v>
      </c>
      <c r="B186" s="1702">
        <f>B139</f>
        <v>0</v>
      </c>
      <c r="C186" s="1884" t="e">
        <f t="shared" si="458"/>
        <v>#N/A</v>
      </c>
      <c r="D186" s="1753" t="e">
        <f t="shared" si="459"/>
        <v>#N/A</v>
      </c>
      <c r="E186" s="1891" t="e">
        <f t="shared" si="460"/>
        <v>#N/A</v>
      </c>
      <c r="F186" s="1889" t="e">
        <f t="shared" si="461"/>
        <v>#N/A</v>
      </c>
      <c r="G186" s="1759"/>
      <c r="H186" s="1755"/>
      <c r="I186" s="1755"/>
      <c r="J186" s="1755"/>
      <c r="K186" s="1755"/>
      <c r="L186" s="1755"/>
      <c r="M186" s="1765"/>
      <c r="N186" s="1864" t="str">
        <f t="shared" si="456"/>
        <v/>
      </c>
      <c r="O186" s="1865" t="str">
        <f t="shared" si="456"/>
        <v/>
      </c>
      <c r="P186" s="1852" t="str">
        <f t="shared" si="456"/>
        <v/>
      </c>
      <c r="Q186" s="1692" t="str">
        <f t="shared" ref="Q186:Q205" si="506">IF(B186=0,"",IF(SUM(V186,V232)=0,"no result",IF(COUNT(V186:Z186)=1,"Single Result","")))</f>
        <v/>
      </c>
      <c r="R186" s="1692" t="str">
        <f t="shared" si="462"/>
        <v/>
      </c>
      <c r="S186" s="1692" t="str">
        <f t="shared" si="463"/>
        <v/>
      </c>
      <c r="T186" s="1692"/>
      <c r="U186" s="1900" t="str">
        <f t="shared" si="464"/>
        <v/>
      </c>
      <c r="V186" s="1841" t="str">
        <f>IF($B186=0,"",Conc1(BW186,VolumeNTP2,$AG186,MolVol,Pitots!$E$49,Pitots!$F$49,V$183,V$184,VoF))</f>
        <v/>
      </c>
      <c r="W186" s="1739" t="str">
        <f t="shared" si="465"/>
        <v/>
      </c>
      <c r="X186" s="1843"/>
      <c r="Y186" s="1901" t="str">
        <f>IF(V186="","",MassRate(V186,$AG186,MolVol,V$183,V$184,MRU,MRF,AverageFlowDry2,FF))</f>
        <v/>
      </c>
      <c r="Z186" s="1841"/>
      <c r="AE186" s="1842"/>
      <c r="AF186" s="1842"/>
      <c r="AG186" s="1753" t="e">
        <f t="shared" si="466"/>
        <v>#N/A</v>
      </c>
      <c r="AH186" s="1744" t="e">
        <f t="shared" si="467"/>
        <v>#N/A</v>
      </c>
      <c r="AK186" s="1872" t="e">
        <f t="shared" si="468"/>
        <v>#N/A</v>
      </c>
      <c r="AL186" s="1721" t="str">
        <f t="shared" si="469"/>
        <v/>
      </c>
      <c r="AM186" s="1721" t="str">
        <f t="shared" si="470"/>
        <v/>
      </c>
      <c r="AN186" s="1721" t="str">
        <f t="shared" si="471"/>
        <v/>
      </c>
      <c r="AO186" s="1721" t="str">
        <f t="shared" si="472"/>
        <v/>
      </c>
      <c r="AP186" s="1721" t="str">
        <f t="shared" si="473"/>
        <v/>
      </c>
      <c r="AQ186" s="1721" t="str">
        <f t="shared" si="474"/>
        <v/>
      </c>
      <c r="AR186" s="1721" t="str">
        <f t="shared" si="475"/>
        <v/>
      </c>
      <c r="AS186" s="1721" t="str">
        <f t="shared" si="476"/>
        <v/>
      </c>
      <c r="AT186" s="1721" t="str">
        <f t="shared" si="477"/>
        <v/>
      </c>
      <c r="AU186" s="1721" t="str">
        <f t="shared" si="478"/>
        <v/>
      </c>
      <c r="AV186" s="1721" t="str">
        <f t="shared" si="479"/>
        <v/>
      </c>
      <c r="AW186" s="1721" t="str">
        <f t="shared" si="480"/>
        <v/>
      </c>
      <c r="AX186" s="1721" t="str">
        <f t="shared" si="481"/>
        <v/>
      </c>
      <c r="AY186" s="1721" t="str">
        <f t="shared" si="482"/>
        <v/>
      </c>
      <c r="AZ186" s="1721" t="str">
        <f t="shared" si="483"/>
        <v/>
      </c>
      <c r="BA186" s="1721" t="str">
        <f t="shared" si="484"/>
        <v/>
      </c>
      <c r="BB186" s="1721" t="str">
        <f t="shared" si="485"/>
        <v/>
      </c>
      <c r="BC186" s="1739">
        <f t="shared" si="486"/>
        <v>0</v>
      </c>
      <c r="BD186" s="1739">
        <f t="shared" si="487"/>
        <v>0</v>
      </c>
      <c r="BE186" s="1739">
        <f t="shared" si="488"/>
        <v>0</v>
      </c>
      <c r="BF186" s="1721">
        <f t="shared" ref="BF186:BF220" si="507">IF(G186="",0,IF(OR((AV186-BC186)&lt;BM186,AL186="&lt;"),0,AV186-$BC186)*$AK186*1000/G$134/I$136*1000000)</f>
        <v>0</v>
      </c>
      <c r="BG186" s="1721">
        <f t="shared" si="489"/>
        <v>0</v>
      </c>
      <c r="BH186" s="1721">
        <f t="shared" si="490"/>
        <v>0</v>
      </c>
      <c r="BI186" s="1721">
        <f t="shared" si="491"/>
        <v>0</v>
      </c>
      <c r="BJ186" s="1721">
        <f t="shared" si="492"/>
        <v>0</v>
      </c>
      <c r="BK186" s="1721">
        <f t="shared" si="493"/>
        <v>0</v>
      </c>
      <c r="BL186" s="1721">
        <f t="shared" si="494"/>
        <v>0</v>
      </c>
      <c r="BM186" s="1715">
        <f t="shared" si="495"/>
        <v>0</v>
      </c>
      <c r="BN186" s="1715">
        <f t="shared" si="496"/>
        <v>0</v>
      </c>
      <c r="BO186" s="1715">
        <f t="shared" si="497"/>
        <v>0</v>
      </c>
      <c r="BP186" s="1715">
        <f t="shared" si="498"/>
        <v>0</v>
      </c>
      <c r="BQ186" s="1715">
        <f t="shared" si="499"/>
        <v>0</v>
      </c>
      <c r="BR186" s="1715">
        <f t="shared" si="500"/>
        <v>0</v>
      </c>
      <c r="BS186" s="1715">
        <f t="shared" si="501"/>
        <v>0</v>
      </c>
      <c r="BT186" s="1742">
        <f t="shared" si="502"/>
        <v>0</v>
      </c>
      <c r="BU186" s="1690">
        <f t="shared" si="503"/>
        <v>0</v>
      </c>
      <c r="BV186" s="1715" t="str">
        <f t="shared" si="504"/>
        <v/>
      </c>
      <c r="BW186" s="1722">
        <f t="shared" si="505"/>
        <v>0</v>
      </c>
      <c r="BZ186" s="670"/>
      <c r="CA186" s="2800"/>
      <c r="CB186" s="2800"/>
      <c r="CC186" s="107"/>
    </row>
    <row r="187" spans="1:81">
      <c r="A187" s="1690" t="b">
        <f t="shared" si="457"/>
        <v>0</v>
      </c>
      <c r="B187" s="2193">
        <f t="shared" ref="B187:B220" si="508">B140</f>
        <v>0</v>
      </c>
      <c r="C187" s="1884" t="e">
        <f t="shared" si="458"/>
        <v>#N/A</v>
      </c>
      <c r="D187" s="1753" t="e">
        <f t="shared" si="459"/>
        <v>#N/A</v>
      </c>
      <c r="E187" s="1891" t="e">
        <f t="shared" si="460"/>
        <v>#N/A</v>
      </c>
      <c r="F187" s="1889" t="e">
        <f t="shared" si="461"/>
        <v>#N/A</v>
      </c>
      <c r="G187" s="1759"/>
      <c r="H187" s="1755"/>
      <c r="I187" s="1755"/>
      <c r="J187" s="1755"/>
      <c r="K187" s="1755"/>
      <c r="L187" s="1755"/>
      <c r="M187" s="1765"/>
      <c r="N187" s="1864" t="str">
        <f t="shared" si="456"/>
        <v/>
      </c>
      <c r="O187" s="1865" t="str">
        <f t="shared" si="456"/>
        <v/>
      </c>
      <c r="P187" s="1852" t="str">
        <f t="shared" si="456"/>
        <v/>
      </c>
      <c r="Q187" s="1692" t="str">
        <f t="shared" si="506"/>
        <v/>
      </c>
      <c r="R187" s="1692" t="str">
        <f t="shared" si="462"/>
        <v/>
      </c>
      <c r="S187" s="1692" t="str">
        <f t="shared" si="463"/>
        <v/>
      </c>
      <c r="T187" s="1692"/>
      <c r="U187" s="1900" t="str">
        <f t="shared" si="464"/>
        <v/>
      </c>
      <c r="V187" s="1841" t="str">
        <f>IF($B187=0,"",Conc1(BW187,VolumeNTP2,$AG187,MolVol,Pitots!$E$49,Pitots!$F$49,V$183,V$184,VoF))</f>
        <v/>
      </c>
      <c r="W187" s="1739" t="str">
        <f t="shared" si="465"/>
        <v/>
      </c>
      <c r="X187" s="1843"/>
      <c r="Y187" s="1901" t="str">
        <f>IF(V187="","",MassRate(V187,$AG187,MolVol,V$183,V$184,MRU,MRF,AverageFlowDry2,FF))</f>
        <v/>
      </c>
      <c r="Z187" s="1841"/>
      <c r="AE187" s="1842"/>
      <c r="AF187" s="1842"/>
      <c r="AG187" s="1753" t="e">
        <f t="shared" si="466"/>
        <v>#N/A</v>
      </c>
      <c r="AH187" s="1744" t="e">
        <f t="shared" si="467"/>
        <v>#N/A</v>
      </c>
      <c r="AK187" s="1872" t="e">
        <f t="shared" si="468"/>
        <v>#N/A</v>
      </c>
      <c r="AL187" s="1721" t="str">
        <f t="shared" si="469"/>
        <v/>
      </c>
      <c r="AM187" s="1721" t="str">
        <f t="shared" si="470"/>
        <v/>
      </c>
      <c r="AN187" s="1721" t="str">
        <f t="shared" si="471"/>
        <v/>
      </c>
      <c r="AO187" s="1721" t="str">
        <f t="shared" si="472"/>
        <v/>
      </c>
      <c r="AP187" s="1721" t="str">
        <f t="shared" si="473"/>
        <v/>
      </c>
      <c r="AQ187" s="1721" t="str">
        <f t="shared" si="474"/>
        <v/>
      </c>
      <c r="AR187" s="1721" t="str">
        <f t="shared" si="475"/>
        <v/>
      </c>
      <c r="AS187" s="1721" t="str">
        <f t="shared" si="476"/>
        <v/>
      </c>
      <c r="AT187" s="1721" t="str">
        <f t="shared" si="477"/>
        <v/>
      </c>
      <c r="AU187" s="1721" t="str">
        <f t="shared" si="478"/>
        <v/>
      </c>
      <c r="AV187" s="1721" t="str">
        <f t="shared" si="479"/>
        <v/>
      </c>
      <c r="AW187" s="1721" t="str">
        <f t="shared" si="480"/>
        <v/>
      </c>
      <c r="AX187" s="1721" t="str">
        <f t="shared" si="481"/>
        <v/>
      </c>
      <c r="AY187" s="1721" t="str">
        <f t="shared" si="482"/>
        <v/>
      </c>
      <c r="AZ187" s="1721" t="str">
        <f t="shared" si="483"/>
        <v/>
      </c>
      <c r="BA187" s="1721" t="str">
        <f t="shared" si="484"/>
        <v/>
      </c>
      <c r="BB187" s="1721" t="str">
        <f t="shared" si="485"/>
        <v/>
      </c>
      <c r="BC187" s="1739">
        <f t="shared" si="486"/>
        <v>0</v>
      </c>
      <c r="BD187" s="1739">
        <f t="shared" si="487"/>
        <v>0</v>
      </c>
      <c r="BE187" s="1739">
        <f t="shared" si="488"/>
        <v>0</v>
      </c>
      <c r="BF187" s="1721">
        <f t="shared" si="507"/>
        <v>0</v>
      </c>
      <c r="BG187" s="1721">
        <f t="shared" si="489"/>
        <v>0</v>
      </c>
      <c r="BH187" s="1721">
        <f t="shared" si="490"/>
        <v>0</v>
      </c>
      <c r="BI187" s="1721">
        <f t="shared" si="491"/>
        <v>0</v>
      </c>
      <c r="BJ187" s="1721">
        <f t="shared" si="492"/>
        <v>0</v>
      </c>
      <c r="BK187" s="1721">
        <f t="shared" si="493"/>
        <v>0</v>
      </c>
      <c r="BL187" s="1721">
        <f t="shared" si="494"/>
        <v>0</v>
      </c>
      <c r="BM187" s="1715">
        <f t="shared" si="495"/>
        <v>0</v>
      </c>
      <c r="BN187" s="1715">
        <f t="shared" si="496"/>
        <v>0</v>
      </c>
      <c r="BO187" s="1715">
        <f t="shared" si="497"/>
        <v>0</v>
      </c>
      <c r="BP187" s="1715">
        <f t="shared" si="498"/>
        <v>0</v>
      </c>
      <c r="BQ187" s="1715">
        <f t="shared" si="499"/>
        <v>0</v>
      </c>
      <c r="BR187" s="1715">
        <f t="shared" si="500"/>
        <v>0</v>
      </c>
      <c r="BS187" s="1715">
        <f t="shared" si="501"/>
        <v>0</v>
      </c>
      <c r="BT187" s="1742">
        <f t="shared" si="502"/>
        <v>0</v>
      </c>
      <c r="BU187" s="1690">
        <f t="shared" si="503"/>
        <v>0</v>
      </c>
      <c r="BV187" s="1715" t="str">
        <f t="shared" si="504"/>
        <v/>
      </c>
      <c r="BW187" s="1722">
        <f t="shared" si="505"/>
        <v>0</v>
      </c>
      <c r="BZ187" s="2009" t="s">
        <v>1949</v>
      </c>
      <c r="CA187" s="2371"/>
      <c r="CB187" s="2371"/>
      <c r="CC187" s="2371"/>
    </row>
    <row r="188" spans="1:81">
      <c r="A188" s="1690" t="b">
        <f t="shared" si="457"/>
        <v>0</v>
      </c>
      <c r="B188" s="2193">
        <f t="shared" si="508"/>
        <v>0</v>
      </c>
      <c r="C188" s="1884" t="e">
        <f t="shared" si="458"/>
        <v>#N/A</v>
      </c>
      <c r="D188" s="1753" t="e">
        <f t="shared" si="459"/>
        <v>#N/A</v>
      </c>
      <c r="E188" s="1891" t="e">
        <f t="shared" si="460"/>
        <v>#N/A</v>
      </c>
      <c r="F188" s="1889" t="e">
        <f t="shared" si="461"/>
        <v>#N/A</v>
      </c>
      <c r="G188" s="1759"/>
      <c r="H188" s="1755"/>
      <c r="I188" s="1755"/>
      <c r="J188" s="1755"/>
      <c r="K188" s="1755"/>
      <c r="L188" s="1755"/>
      <c r="M188" s="1765"/>
      <c r="N188" s="1864" t="str">
        <f t="shared" si="456"/>
        <v/>
      </c>
      <c r="O188" s="1865" t="str">
        <f t="shared" si="456"/>
        <v/>
      </c>
      <c r="P188" s="1852" t="str">
        <f t="shared" si="456"/>
        <v/>
      </c>
      <c r="Q188" s="1692" t="str">
        <f t="shared" si="506"/>
        <v/>
      </c>
      <c r="R188" s="1692" t="str">
        <f t="shared" si="462"/>
        <v/>
      </c>
      <c r="S188" s="1692" t="str">
        <f t="shared" si="463"/>
        <v/>
      </c>
      <c r="T188" s="1692"/>
      <c r="U188" s="1900" t="str">
        <f t="shared" si="464"/>
        <v/>
      </c>
      <c r="V188" s="1841" t="str">
        <f>IF($B188=0,"",Conc1(BW188,VolumeNTP2,$AG188,MolVol,Pitots!$E$49,Pitots!$F$49,V$183,V$184,VoF))</f>
        <v/>
      </c>
      <c r="W188" s="1739" t="str">
        <f t="shared" si="465"/>
        <v/>
      </c>
      <c r="X188" s="1843"/>
      <c r="Y188" s="1901" t="str">
        <f>IF(V188="","",MassRate(V188,$AG188,MolVol,V$183,V$184,MRU,MRF,AverageFlowDry2,FF))</f>
        <v/>
      </c>
      <c r="Z188" s="1841"/>
      <c r="AE188" s="1842"/>
      <c r="AF188" s="1842"/>
      <c r="AG188" s="1753" t="e">
        <f t="shared" si="466"/>
        <v>#N/A</v>
      </c>
      <c r="AH188" s="1744" t="e">
        <f t="shared" si="467"/>
        <v>#N/A</v>
      </c>
      <c r="AK188" s="1872" t="e">
        <f t="shared" si="468"/>
        <v>#N/A</v>
      </c>
      <c r="AL188" s="1721" t="str">
        <f t="shared" si="469"/>
        <v/>
      </c>
      <c r="AM188" s="1721" t="str">
        <f t="shared" si="470"/>
        <v/>
      </c>
      <c r="AN188" s="1721" t="str">
        <f t="shared" si="471"/>
        <v/>
      </c>
      <c r="AO188" s="1721" t="str">
        <f t="shared" si="472"/>
        <v/>
      </c>
      <c r="AP188" s="1721" t="str">
        <f t="shared" si="473"/>
        <v/>
      </c>
      <c r="AQ188" s="1721" t="str">
        <f t="shared" si="474"/>
        <v/>
      </c>
      <c r="AR188" s="1721" t="str">
        <f t="shared" si="475"/>
        <v/>
      </c>
      <c r="AS188" s="1721" t="str">
        <f t="shared" si="476"/>
        <v/>
      </c>
      <c r="AT188" s="1721" t="str">
        <f t="shared" si="477"/>
        <v/>
      </c>
      <c r="AU188" s="1721" t="str">
        <f t="shared" si="478"/>
        <v/>
      </c>
      <c r="AV188" s="1721" t="str">
        <f t="shared" si="479"/>
        <v/>
      </c>
      <c r="AW188" s="1721" t="str">
        <f t="shared" si="480"/>
        <v/>
      </c>
      <c r="AX188" s="1721" t="str">
        <f t="shared" si="481"/>
        <v/>
      </c>
      <c r="AY188" s="1721" t="str">
        <f t="shared" si="482"/>
        <v/>
      </c>
      <c r="AZ188" s="1721" t="str">
        <f t="shared" si="483"/>
        <v/>
      </c>
      <c r="BA188" s="1721" t="str">
        <f t="shared" si="484"/>
        <v/>
      </c>
      <c r="BB188" s="1721" t="str">
        <f t="shared" si="485"/>
        <v/>
      </c>
      <c r="BC188" s="1739">
        <f t="shared" si="486"/>
        <v>0</v>
      </c>
      <c r="BD188" s="1739">
        <f t="shared" si="487"/>
        <v>0</v>
      </c>
      <c r="BE188" s="1739">
        <f t="shared" si="488"/>
        <v>0</v>
      </c>
      <c r="BF188" s="1721">
        <f t="shared" si="507"/>
        <v>0</v>
      </c>
      <c r="BG188" s="1721">
        <f t="shared" si="489"/>
        <v>0</v>
      </c>
      <c r="BH188" s="1721">
        <f t="shared" si="490"/>
        <v>0</v>
      </c>
      <c r="BI188" s="1721">
        <f t="shared" si="491"/>
        <v>0</v>
      </c>
      <c r="BJ188" s="1721">
        <f t="shared" si="492"/>
        <v>0</v>
      </c>
      <c r="BK188" s="1721">
        <f t="shared" si="493"/>
        <v>0</v>
      </c>
      <c r="BL188" s="1721">
        <f t="shared" si="494"/>
        <v>0</v>
      </c>
      <c r="BM188" s="1715">
        <f t="shared" si="495"/>
        <v>0</v>
      </c>
      <c r="BN188" s="1715">
        <f t="shared" si="496"/>
        <v>0</v>
      </c>
      <c r="BO188" s="1715">
        <f t="shared" si="497"/>
        <v>0</v>
      </c>
      <c r="BP188" s="1715">
        <f t="shared" si="498"/>
        <v>0</v>
      </c>
      <c r="BQ188" s="1715">
        <f t="shared" si="499"/>
        <v>0</v>
      </c>
      <c r="BR188" s="1715">
        <f t="shared" si="500"/>
        <v>0</v>
      </c>
      <c r="BS188" s="1715">
        <f t="shared" si="501"/>
        <v>0</v>
      </c>
      <c r="BT188" s="1742">
        <f t="shared" si="502"/>
        <v>0</v>
      </c>
      <c r="BU188" s="1690">
        <f t="shared" si="503"/>
        <v>0</v>
      </c>
      <c r="BV188" s="1715" t="str">
        <f t="shared" si="504"/>
        <v/>
      </c>
      <c r="BW188" s="1722">
        <f t="shared" si="505"/>
        <v>0</v>
      </c>
      <c r="BZ188" s="2030"/>
      <c r="CA188" s="2595" t="s">
        <v>819</v>
      </c>
      <c r="CB188" s="2595"/>
      <c r="CC188" s="2016" t="s">
        <v>1950</v>
      </c>
    </row>
    <row r="189" spans="1:81">
      <c r="A189" s="1690" t="b">
        <f t="shared" si="457"/>
        <v>0</v>
      </c>
      <c r="B189" s="2193">
        <f t="shared" si="508"/>
        <v>0</v>
      </c>
      <c r="C189" s="1884" t="e">
        <f t="shared" si="458"/>
        <v>#N/A</v>
      </c>
      <c r="D189" s="1753" t="e">
        <f t="shared" si="459"/>
        <v>#N/A</v>
      </c>
      <c r="E189" s="1891" t="e">
        <f t="shared" si="460"/>
        <v>#N/A</v>
      </c>
      <c r="F189" s="1889" t="e">
        <f t="shared" si="461"/>
        <v>#N/A</v>
      </c>
      <c r="G189" s="1759"/>
      <c r="H189" s="1755"/>
      <c r="I189" s="1755"/>
      <c r="J189" s="1755"/>
      <c r="K189" s="1755"/>
      <c r="L189" s="1755"/>
      <c r="M189" s="1765"/>
      <c r="N189" s="1864" t="str">
        <f t="shared" si="456"/>
        <v/>
      </c>
      <c r="O189" s="1865" t="str">
        <f t="shared" si="456"/>
        <v/>
      </c>
      <c r="P189" s="1852" t="str">
        <f t="shared" si="456"/>
        <v/>
      </c>
      <c r="Q189" s="1692" t="str">
        <f t="shared" si="506"/>
        <v/>
      </c>
      <c r="R189" s="1692" t="str">
        <f t="shared" si="462"/>
        <v/>
      </c>
      <c r="S189" s="1692" t="str">
        <f t="shared" si="463"/>
        <v/>
      </c>
      <c r="T189" s="1692"/>
      <c r="U189" s="1900" t="str">
        <f t="shared" si="464"/>
        <v/>
      </c>
      <c r="V189" s="1841" t="str">
        <f>IF($B189=0,"",Conc1(BW189,VolumeNTP2,$AG189,MolVol,Pitots!$E$49,Pitots!$F$49,V$183,V$184,VoF))</f>
        <v/>
      </c>
      <c r="W189" s="1739" t="str">
        <f t="shared" si="465"/>
        <v/>
      </c>
      <c r="X189" s="1843"/>
      <c r="Y189" s="1901" t="str">
        <f>IF(V189="","",MassRate(V189,$AG189,MolVol,V$183,V$184,MRU,MRF,AverageFlowDry2,FF))</f>
        <v/>
      </c>
      <c r="Z189" s="1841"/>
      <c r="AE189" s="1842"/>
      <c r="AF189" s="1842"/>
      <c r="AG189" s="1753" t="e">
        <f t="shared" si="466"/>
        <v>#N/A</v>
      </c>
      <c r="AH189" s="1744" t="e">
        <f t="shared" si="467"/>
        <v>#N/A</v>
      </c>
      <c r="AK189" s="1872" t="e">
        <f t="shared" si="468"/>
        <v>#N/A</v>
      </c>
      <c r="AL189" s="1721" t="str">
        <f t="shared" si="469"/>
        <v/>
      </c>
      <c r="AM189" s="1721" t="str">
        <f t="shared" si="470"/>
        <v/>
      </c>
      <c r="AN189" s="1721" t="str">
        <f t="shared" si="471"/>
        <v/>
      </c>
      <c r="AO189" s="1721" t="str">
        <f t="shared" si="472"/>
        <v/>
      </c>
      <c r="AP189" s="1721" t="str">
        <f t="shared" si="473"/>
        <v/>
      </c>
      <c r="AQ189" s="1721" t="str">
        <f t="shared" si="474"/>
        <v/>
      </c>
      <c r="AR189" s="1721" t="str">
        <f t="shared" si="475"/>
        <v/>
      </c>
      <c r="AS189" s="1721" t="str">
        <f t="shared" si="476"/>
        <v/>
      </c>
      <c r="AT189" s="1721" t="str">
        <f t="shared" si="477"/>
        <v/>
      </c>
      <c r="AU189" s="1721" t="str">
        <f t="shared" si="478"/>
        <v/>
      </c>
      <c r="AV189" s="1721" t="str">
        <f t="shared" si="479"/>
        <v/>
      </c>
      <c r="AW189" s="1721" t="str">
        <f t="shared" si="480"/>
        <v/>
      </c>
      <c r="AX189" s="1721" t="str">
        <f t="shared" si="481"/>
        <v/>
      </c>
      <c r="AY189" s="1721" t="str">
        <f t="shared" si="482"/>
        <v/>
      </c>
      <c r="AZ189" s="1721" t="str">
        <f t="shared" si="483"/>
        <v/>
      </c>
      <c r="BA189" s="1721" t="str">
        <f t="shared" si="484"/>
        <v/>
      </c>
      <c r="BB189" s="1721" t="str">
        <f t="shared" si="485"/>
        <v/>
      </c>
      <c r="BC189" s="1739">
        <f t="shared" si="486"/>
        <v>0</v>
      </c>
      <c r="BD189" s="1739">
        <f t="shared" si="487"/>
        <v>0</v>
      </c>
      <c r="BE189" s="1739">
        <f t="shared" si="488"/>
        <v>0</v>
      </c>
      <c r="BF189" s="1721">
        <f t="shared" si="507"/>
        <v>0</v>
      </c>
      <c r="BG189" s="1721">
        <f t="shared" si="489"/>
        <v>0</v>
      </c>
      <c r="BH189" s="1721">
        <f t="shared" si="490"/>
        <v>0</v>
      </c>
      <c r="BI189" s="1721">
        <f t="shared" si="491"/>
        <v>0</v>
      </c>
      <c r="BJ189" s="1721">
        <f t="shared" si="492"/>
        <v>0</v>
      </c>
      <c r="BK189" s="1721">
        <f t="shared" si="493"/>
        <v>0</v>
      </c>
      <c r="BL189" s="1721">
        <f t="shared" si="494"/>
        <v>0</v>
      </c>
      <c r="BM189" s="1715">
        <f t="shared" si="495"/>
        <v>0</v>
      </c>
      <c r="BN189" s="1715">
        <f t="shared" si="496"/>
        <v>0</v>
      </c>
      <c r="BO189" s="1715">
        <f t="shared" si="497"/>
        <v>0</v>
      </c>
      <c r="BP189" s="1715">
        <f t="shared" si="498"/>
        <v>0</v>
      </c>
      <c r="BQ189" s="1715">
        <f t="shared" si="499"/>
        <v>0</v>
      </c>
      <c r="BR189" s="1715">
        <f t="shared" si="500"/>
        <v>0</v>
      </c>
      <c r="BS189" s="1715">
        <f t="shared" si="501"/>
        <v>0</v>
      </c>
      <c r="BT189" s="1742">
        <f t="shared" si="502"/>
        <v>0</v>
      </c>
      <c r="BU189" s="1690">
        <f t="shared" si="503"/>
        <v>0</v>
      </c>
      <c r="BV189" s="1715" t="str">
        <f t="shared" si="504"/>
        <v/>
      </c>
      <c r="BW189" s="1722">
        <f t="shared" si="505"/>
        <v>0</v>
      </c>
      <c r="BZ189" s="2021" t="s">
        <v>2121</v>
      </c>
      <c r="CA189" s="2804" t="e">
        <f>IF(VLOOKUP($BZ189,$B$185:$AA$220,20,FALSE)="&lt;",1,0)</f>
        <v>#N/A</v>
      </c>
      <c r="CB189" s="2804"/>
      <c r="CC189" s="2372" t="str">
        <f>IF(ISNA(VLOOKUP($BZ189,$B$185:$AA$220,21,FALSE)),"",(VLOOKUP($BZ189,$B$185:$AA$220,21,FALSE)))</f>
        <v/>
      </c>
    </row>
    <row r="190" spans="1:81">
      <c r="A190" s="1690" t="b">
        <f t="shared" si="457"/>
        <v>0</v>
      </c>
      <c r="B190" s="2193">
        <f t="shared" si="508"/>
        <v>0</v>
      </c>
      <c r="C190" s="1884" t="e">
        <f t="shared" si="458"/>
        <v>#N/A</v>
      </c>
      <c r="D190" s="1753" t="e">
        <f t="shared" si="459"/>
        <v>#N/A</v>
      </c>
      <c r="E190" s="1891" t="e">
        <f t="shared" si="460"/>
        <v>#N/A</v>
      </c>
      <c r="F190" s="1889" t="e">
        <f t="shared" si="461"/>
        <v>#N/A</v>
      </c>
      <c r="G190" s="1759"/>
      <c r="H190" s="1755"/>
      <c r="I190" s="1755"/>
      <c r="J190" s="1755"/>
      <c r="K190" s="1755"/>
      <c r="L190" s="1755"/>
      <c r="M190" s="1765"/>
      <c r="N190" s="1864" t="str">
        <f t="shared" si="456"/>
        <v/>
      </c>
      <c r="O190" s="1865" t="str">
        <f t="shared" si="456"/>
        <v/>
      </c>
      <c r="P190" s="1852" t="str">
        <f t="shared" si="456"/>
        <v/>
      </c>
      <c r="Q190" s="1692" t="str">
        <f t="shared" si="506"/>
        <v/>
      </c>
      <c r="R190" s="1692" t="str">
        <f t="shared" si="462"/>
        <v/>
      </c>
      <c r="S190" s="1692" t="str">
        <f t="shared" si="463"/>
        <v/>
      </c>
      <c r="T190" s="1692"/>
      <c r="U190" s="1900" t="str">
        <f t="shared" si="464"/>
        <v/>
      </c>
      <c r="V190" s="1841" t="str">
        <f>IF($B190=0,"",Conc1(BW190,VolumeNTP2,$AG190,MolVol,Pitots!$E$49,Pitots!$F$49,V$183,V$184,VoF))</f>
        <v/>
      </c>
      <c r="W190" s="1739" t="str">
        <f t="shared" si="465"/>
        <v/>
      </c>
      <c r="X190" s="1843"/>
      <c r="Y190" s="1901" t="str">
        <f>IF(V190="","",MassRate(V190,$AG190,MolVol,V$183,V$184,MRU,MRF,AverageFlowDry2,FF))</f>
        <v/>
      </c>
      <c r="Z190" s="1841"/>
      <c r="AE190" s="1842"/>
      <c r="AF190" s="1842"/>
      <c r="AG190" s="1753" t="e">
        <f t="shared" si="466"/>
        <v>#N/A</v>
      </c>
      <c r="AH190" s="1744" t="e">
        <f t="shared" si="467"/>
        <v>#N/A</v>
      </c>
      <c r="AK190" s="1872" t="e">
        <f t="shared" si="468"/>
        <v>#N/A</v>
      </c>
      <c r="AL190" s="1721" t="str">
        <f t="shared" si="469"/>
        <v/>
      </c>
      <c r="AM190" s="1721" t="str">
        <f t="shared" si="470"/>
        <v/>
      </c>
      <c r="AN190" s="1721" t="str">
        <f t="shared" si="471"/>
        <v/>
      </c>
      <c r="AO190" s="1721" t="str">
        <f t="shared" si="472"/>
        <v/>
      </c>
      <c r="AP190" s="1721" t="str">
        <f t="shared" si="473"/>
        <v/>
      </c>
      <c r="AQ190" s="1721" t="str">
        <f t="shared" si="474"/>
        <v/>
      </c>
      <c r="AR190" s="1721" t="str">
        <f t="shared" si="475"/>
        <v/>
      </c>
      <c r="AS190" s="1721" t="str">
        <f t="shared" si="476"/>
        <v/>
      </c>
      <c r="AT190" s="1721" t="str">
        <f t="shared" si="477"/>
        <v/>
      </c>
      <c r="AU190" s="1721" t="str">
        <f t="shared" si="478"/>
        <v/>
      </c>
      <c r="AV190" s="1721" t="str">
        <f t="shared" si="479"/>
        <v/>
      </c>
      <c r="AW190" s="1721" t="str">
        <f t="shared" si="480"/>
        <v/>
      </c>
      <c r="AX190" s="1721" t="str">
        <f t="shared" si="481"/>
        <v/>
      </c>
      <c r="AY190" s="1721" t="str">
        <f t="shared" si="482"/>
        <v/>
      </c>
      <c r="AZ190" s="1721" t="str">
        <f t="shared" si="483"/>
        <v/>
      </c>
      <c r="BA190" s="1721" t="str">
        <f t="shared" si="484"/>
        <v/>
      </c>
      <c r="BB190" s="1721" t="str">
        <f t="shared" si="485"/>
        <v/>
      </c>
      <c r="BC190" s="1739">
        <f t="shared" si="486"/>
        <v>0</v>
      </c>
      <c r="BD190" s="1739">
        <f t="shared" si="487"/>
        <v>0</v>
      </c>
      <c r="BE190" s="1739">
        <f t="shared" si="488"/>
        <v>0</v>
      </c>
      <c r="BF190" s="1721">
        <f t="shared" si="507"/>
        <v>0</v>
      </c>
      <c r="BG190" s="1721">
        <f t="shared" si="489"/>
        <v>0</v>
      </c>
      <c r="BH190" s="1721">
        <f t="shared" si="490"/>
        <v>0</v>
      </c>
      <c r="BI190" s="1721">
        <f t="shared" si="491"/>
        <v>0</v>
      </c>
      <c r="BJ190" s="1721">
        <f t="shared" si="492"/>
        <v>0</v>
      </c>
      <c r="BK190" s="1721">
        <f t="shared" si="493"/>
        <v>0</v>
      </c>
      <c r="BL190" s="1721">
        <f t="shared" si="494"/>
        <v>0</v>
      </c>
      <c r="BM190" s="1715">
        <f t="shared" si="495"/>
        <v>0</v>
      </c>
      <c r="BN190" s="1715">
        <f t="shared" si="496"/>
        <v>0</v>
      </c>
      <c r="BO190" s="1715">
        <f t="shared" si="497"/>
        <v>0</v>
      </c>
      <c r="BP190" s="1715">
        <f t="shared" si="498"/>
        <v>0</v>
      </c>
      <c r="BQ190" s="1715">
        <f t="shared" si="499"/>
        <v>0</v>
      </c>
      <c r="BR190" s="1715">
        <f t="shared" si="500"/>
        <v>0</v>
      </c>
      <c r="BS190" s="1715">
        <f t="shared" si="501"/>
        <v>0</v>
      </c>
      <c r="BT190" s="1742">
        <f t="shared" si="502"/>
        <v>0</v>
      </c>
      <c r="BU190" s="1690">
        <f t="shared" si="503"/>
        <v>0</v>
      </c>
      <c r="BV190" s="1715" t="str">
        <f t="shared" si="504"/>
        <v/>
      </c>
      <c r="BW190" s="1722">
        <f t="shared" si="505"/>
        <v>0</v>
      </c>
      <c r="BZ190" s="2024" t="s">
        <v>2122</v>
      </c>
      <c r="CA190" s="2801" t="e">
        <f>IF(VLOOKUP($BZ190,$B$185:$AA$220,20,FALSE)="&lt;",1,0)</f>
        <v>#N/A</v>
      </c>
      <c r="CB190" s="2801"/>
      <c r="CC190" s="2373" t="str">
        <f>IF(ISNA(VLOOKUP($BZ190,$B$185:$AA$220,21,FALSE)),"",(VLOOKUP($BZ190,$B$185:$AA$220,21,FALSE)))</f>
        <v/>
      </c>
    </row>
    <row r="191" spans="1:81">
      <c r="A191" s="1690" t="b">
        <f t="shared" si="457"/>
        <v>0</v>
      </c>
      <c r="B191" s="2193">
        <f t="shared" si="508"/>
        <v>0</v>
      </c>
      <c r="C191" s="1884" t="e">
        <f t="shared" si="458"/>
        <v>#N/A</v>
      </c>
      <c r="D191" s="1753" t="e">
        <f t="shared" si="459"/>
        <v>#N/A</v>
      </c>
      <c r="E191" s="1891" t="e">
        <f t="shared" si="460"/>
        <v>#N/A</v>
      </c>
      <c r="F191" s="1889" t="e">
        <f t="shared" si="461"/>
        <v>#N/A</v>
      </c>
      <c r="G191" s="1759"/>
      <c r="H191" s="1755"/>
      <c r="I191" s="1755"/>
      <c r="J191" s="1755"/>
      <c r="K191" s="1755"/>
      <c r="L191" s="1755"/>
      <c r="M191" s="1765"/>
      <c r="N191" s="1864" t="str">
        <f t="shared" si="456"/>
        <v/>
      </c>
      <c r="O191" s="1865" t="str">
        <f t="shared" si="456"/>
        <v/>
      </c>
      <c r="P191" s="1852" t="str">
        <f t="shared" si="456"/>
        <v/>
      </c>
      <c r="Q191" s="1692" t="str">
        <f t="shared" si="506"/>
        <v/>
      </c>
      <c r="R191" s="1692" t="str">
        <f t="shared" si="462"/>
        <v/>
      </c>
      <c r="S191" s="1692" t="str">
        <f t="shared" si="463"/>
        <v/>
      </c>
      <c r="T191" s="1692"/>
      <c r="U191" s="1900" t="str">
        <f t="shared" si="464"/>
        <v/>
      </c>
      <c r="V191" s="1841" t="str">
        <f>IF($B191=0,"",Conc1(BW191,VolumeNTP2,$AG191,MolVol,Pitots!$E$49,Pitots!$F$49,V$183,V$184,VoF))</f>
        <v/>
      </c>
      <c r="W191" s="1739" t="str">
        <f t="shared" si="465"/>
        <v/>
      </c>
      <c r="X191" s="1843"/>
      <c r="Y191" s="1901" t="str">
        <f>IF(V191="","",MassRate(V191,$AG191,MolVol,V$183,V$184,MRU,MRF,AverageFlowDry2,FF))</f>
        <v/>
      </c>
      <c r="Z191" s="1841"/>
      <c r="AE191" s="1842"/>
      <c r="AF191" s="1842"/>
      <c r="AG191" s="1753" t="e">
        <f t="shared" si="466"/>
        <v>#N/A</v>
      </c>
      <c r="AH191" s="1744" t="e">
        <f t="shared" si="467"/>
        <v>#N/A</v>
      </c>
      <c r="AK191" s="1872" t="e">
        <f t="shared" si="468"/>
        <v>#N/A</v>
      </c>
      <c r="AL191" s="1721" t="str">
        <f t="shared" si="469"/>
        <v/>
      </c>
      <c r="AM191" s="1721" t="str">
        <f t="shared" si="470"/>
        <v/>
      </c>
      <c r="AN191" s="1721" t="str">
        <f t="shared" si="471"/>
        <v/>
      </c>
      <c r="AO191" s="1721" t="str">
        <f t="shared" si="472"/>
        <v/>
      </c>
      <c r="AP191" s="1721" t="str">
        <f t="shared" si="473"/>
        <v/>
      </c>
      <c r="AQ191" s="1721" t="str">
        <f t="shared" si="474"/>
        <v/>
      </c>
      <c r="AR191" s="1721" t="str">
        <f t="shared" si="475"/>
        <v/>
      </c>
      <c r="AS191" s="1721" t="str">
        <f t="shared" si="476"/>
        <v/>
      </c>
      <c r="AT191" s="1721" t="str">
        <f t="shared" si="477"/>
        <v/>
      </c>
      <c r="AU191" s="1721" t="str">
        <f t="shared" si="478"/>
        <v/>
      </c>
      <c r="AV191" s="1721" t="str">
        <f t="shared" si="479"/>
        <v/>
      </c>
      <c r="AW191" s="1721" t="str">
        <f t="shared" si="480"/>
        <v/>
      </c>
      <c r="AX191" s="1721" t="str">
        <f t="shared" si="481"/>
        <v/>
      </c>
      <c r="AY191" s="1721" t="str">
        <f t="shared" si="482"/>
        <v/>
      </c>
      <c r="AZ191" s="1721" t="str">
        <f t="shared" si="483"/>
        <v/>
      </c>
      <c r="BA191" s="1721" t="str">
        <f t="shared" si="484"/>
        <v/>
      </c>
      <c r="BB191" s="1721" t="str">
        <f t="shared" si="485"/>
        <v/>
      </c>
      <c r="BC191" s="1739">
        <f t="shared" si="486"/>
        <v>0</v>
      </c>
      <c r="BD191" s="1739">
        <f t="shared" si="487"/>
        <v>0</v>
      </c>
      <c r="BE191" s="1739">
        <f t="shared" si="488"/>
        <v>0</v>
      </c>
      <c r="BF191" s="1721">
        <f t="shared" si="507"/>
        <v>0</v>
      </c>
      <c r="BG191" s="1721">
        <f t="shared" si="489"/>
        <v>0</v>
      </c>
      <c r="BH191" s="1721">
        <f t="shared" si="490"/>
        <v>0</v>
      </c>
      <c r="BI191" s="1721">
        <f t="shared" si="491"/>
        <v>0</v>
      </c>
      <c r="BJ191" s="1721">
        <f t="shared" si="492"/>
        <v>0</v>
      </c>
      <c r="BK191" s="1721">
        <f t="shared" si="493"/>
        <v>0</v>
      </c>
      <c r="BL191" s="1721">
        <f t="shared" si="494"/>
        <v>0</v>
      </c>
      <c r="BM191" s="1715">
        <f t="shared" si="495"/>
        <v>0</v>
      </c>
      <c r="BN191" s="1715">
        <f t="shared" si="496"/>
        <v>0</v>
      </c>
      <c r="BO191" s="1715">
        <f t="shared" si="497"/>
        <v>0</v>
      </c>
      <c r="BP191" s="1715">
        <f t="shared" si="498"/>
        <v>0</v>
      </c>
      <c r="BQ191" s="1715">
        <f t="shared" si="499"/>
        <v>0</v>
      </c>
      <c r="BR191" s="1715">
        <f t="shared" si="500"/>
        <v>0</v>
      </c>
      <c r="BS191" s="1715">
        <f t="shared" si="501"/>
        <v>0</v>
      </c>
      <c r="BT191" s="1742">
        <f t="shared" si="502"/>
        <v>0</v>
      </c>
      <c r="BU191" s="1690">
        <f t="shared" si="503"/>
        <v>0</v>
      </c>
      <c r="BV191" s="1715" t="str">
        <f t="shared" si="504"/>
        <v/>
      </c>
      <c r="BW191" s="1722">
        <f t="shared" si="505"/>
        <v>0</v>
      </c>
      <c r="BZ191" s="2024" t="s">
        <v>2125</v>
      </c>
      <c r="CA191" s="2801" t="e">
        <f>IF(VLOOKUP($BZ191,$B$185:$AA$220,20,FALSE)="&lt;",1,0)</f>
        <v>#N/A</v>
      </c>
      <c r="CB191" s="2801"/>
      <c r="CC191" s="2373" t="str">
        <f>IF(ISNA(VLOOKUP($BZ191,$B$185:$AA$220,21,FALSE)),"",(VLOOKUP($BZ191,$B$185:$AA$220,21,FALSE)))</f>
        <v/>
      </c>
    </row>
    <row r="192" spans="1:81">
      <c r="A192" s="1690" t="b">
        <f t="shared" si="457"/>
        <v>0</v>
      </c>
      <c r="B192" s="2193">
        <f t="shared" si="508"/>
        <v>0</v>
      </c>
      <c r="C192" s="1884" t="e">
        <f t="shared" si="458"/>
        <v>#N/A</v>
      </c>
      <c r="D192" s="1753" t="e">
        <f t="shared" si="459"/>
        <v>#N/A</v>
      </c>
      <c r="E192" s="1891" t="e">
        <f t="shared" si="460"/>
        <v>#N/A</v>
      </c>
      <c r="F192" s="1889" t="e">
        <f t="shared" si="461"/>
        <v>#N/A</v>
      </c>
      <c r="G192" s="1759"/>
      <c r="H192" s="1755"/>
      <c r="I192" s="1755"/>
      <c r="J192" s="1755"/>
      <c r="K192" s="1755"/>
      <c r="L192" s="1755"/>
      <c r="M192" s="1765"/>
      <c r="N192" s="1864" t="str">
        <f t="shared" si="456"/>
        <v/>
      </c>
      <c r="O192" s="1865" t="str">
        <f t="shared" si="456"/>
        <v/>
      </c>
      <c r="P192" s="1852" t="str">
        <f t="shared" si="456"/>
        <v/>
      </c>
      <c r="Q192" s="1692" t="str">
        <f t="shared" si="506"/>
        <v/>
      </c>
      <c r="R192" s="1692" t="str">
        <f t="shared" si="462"/>
        <v/>
      </c>
      <c r="S192" s="1692" t="str">
        <f t="shared" si="463"/>
        <v/>
      </c>
      <c r="T192" s="1692"/>
      <c r="U192" s="1900" t="str">
        <f t="shared" si="464"/>
        <v/>
      </c>
      <c r="V192" s="1841" t="str">
        <f>IF($B192=0,"",Conc1(BW192,VolumeNTP2,$AG192,MolVol,Pitots!$E$49,Pitots!$F$49,V$183,V$184,VoF))</f>
        <v/>
      </c>
      <c r="W192" s="1739" t="str">
        <f t="shared" si="465"/>
        <v/>
      </c>
      <c r="X192" s="1843"/>
      <c r="Y192" s="1901" t="str">
        <f>IF(V192="","",MassRate(V192,$AG192,MolVol,V$183,V$184,MRU,MRF,AverageFlowDry2,FF))</f>
        <v/>
      </c>
      <c r="Z192" s="1841"/>
      <c r="AE192" s="1842"/>
      <c r="AF192" s="1842"/>
      <c r="AG192" s="1753" t="e">
        <f t="shared" si="466"/>
        <v>#N/A</v>
      </c>
      <c r="AH192" s="1744" t="e">
        <f t="shared" si="467"/>
        <v>#N/A</v>
      </c>
      <c r="AK192" s="1872" t="e">
        <f t="shared" si="468"/>
        <v>#N/A</v>
      </c>
      <c r="AL192" s="1721" t="str">
        <f t="shared" si="469"/>
        <v/>
      </c>
      <c r="AM192" s="1721" t="str">
        <f t="shared" si="470"/>
        <v/>
      </c>
      <c r="AN192" s="1721" t="str">
        <f t="shared" si="471"/>
        <v/>
      </c>
      <c r="AO192" s="1721" t="str">
        <f t="shared" si="472"/>
        <v/>
      </c>
      <c r="AP192" s="1721" t="str">
        <f t="shared" si="473"/>
        <v/>
      </c>
      <c r="AQ192" s="1721" t="str">
        <f t="shared" si="474"/>
        <v/>
      </c>
      <c r="AR192" s="1721" t="str">
        <f t="shared" si="475"/>
        <v/>
      </c>
      <c r="AS192" s="1721" t="str">
        <f t="shared" si="476"/>
        <v/>
      </c>
      <c r="AT192" s="1721" t="str">
        <f t="shared" si="477"/>
        <v/>
      </c>
      <c r="AU192" s="1721" t="str">
        <f t="shared" si="478"/>
        <v/>
      </c>
      <c r="AV192" s="1721" t="str">
        <f t="shared" si="479"/>
        <v/>
      </c>
      <c r="AW192" s="1721" t="str">
        <f t="shared" si="480"/>
        <v/>
      </c>
      <c r="AX192" s="1721" t="str">
        <f t="shared" si="481"/>
        <v/>
      </c>
      <c r="AY192" s="1721" t="str">
        <f t="shared" si="482"/>
        <v/>
      </c>
      <c r="AZ192" s="1721" t="str">
        <f t="shared" si="483"/>
        <v/>
      </c>
      <c r="BA192" s="1721" t="str">
        <f t="shared" si="484"/>
        <v/>
      </c>
      <c r="BB192" s="1721" t="str">
        <f t="shared" si="485"/>
        <v/>
      </c>
      <c r="BC192" s="1739">
        <f t="shared" si="486"/>
        <v>0</v>
      </c>
      <c r="BD192" s="1739">
        <f t="shared" si="487"/>
        <v>0</v>
      </c>
      <c r="BE192" s="1739">
        <f t="shared" si="488"/>
        <v>0</v>
      </c>
      <c r="BF192" s="1721">
        <f t="shared" si="507"/>
        <v>0</v>
      </c>
      <c r="BG192" s="1721">
        <f t="shared" si="489"/>
        <v>0</v>
      </c>
      <c r="BH192" s="1721">
        <f t="shared" si="490"/>
        <v>0</v>
      </c>
      <c r="BI192" s="1721">
        <f t="shared" si="491"/>
        <v>0</v>
      </c>
      <c r="BJ192" s="1721">
        <f t="shared" si="492"/>
        <v>0</v>
      </c>
      <c r="BK192" s="1721">
        <f t="shared" si="493"/>
        <v>0</v>
      </c>
      <c r="BL192" s="1721">
        <f t="shared" si="494"/>
        <v>0</v>
      </c>
      <c r="BM192" s="1715">
        <f t="shared" si="495"/>
        <v>0</v>
      </c>
      <c r="BN192" s="1715">
        <f t="shared" si="496"/>
        <v>0</v>
      </c>
      <c r="BO192" s="1715">
        <f t="shared" si="497"/>
        <v>0</v>
      </c>
      <c r="BP192" s="1715">
        <f t="shared" si="498"/>
        <v>0</v>
      </c>
      <c r="BQ192" s="1715">
        <f t="shared" si="499"/>
        <v>0</v>
      </c>
      <c r="BR192" s="1715">
        <f t="shared" si="500"/>
        <v>0</v>
      </c>
      <c r="BS192" s="1715">
        <f t="shared" si="501"/>
        <v>0</v>
      </c>
      <c r="BT192" s="1742">
        <f t="shared" si="502"/>
        <v>0</v>
      </c>
      <c r="BU192" s="1690">
        <f t="shared" si="503"/>
        <v>0</v>
      </c>
      <c r="BV192" s="1715" t="str">
        <f t="shared" si="504"/>
        <v/>
      </c>
      <c r="BW192" s="1722">
        <f t="shared" si="505"/>
        <v>0</v>
      </c>
      <c r="BZ192" s="2024" t="s">
        <v>2129</v>
      </c>
      <c r="CA192" s="2801" t="e">
        <f>IF(VLOOKUP($BZ192,$B$185:$AA$220,20,FALSE)="&lt;",1,0)</f>
        <v>#N/A</v>
      </c>
      <c r="CB192" s="2801"/>
      <c r="CC192" s="2373" t="str">
        <f>IF(ISNA(VLOOKUP($BZ192,$B$185:$AA$220,21,FALSE)),"",(VLOOKUP($BZ192,$B$185:$AA$220,21,FALSE)))</f>
        <v/>
      </c>
    </row>
    <row r="193" spans="1:81">
      <c r="A193" s="1690" t="b">
        <f t="shared" si="457"/>
        <v>0</v>
      </c>
      <c r="B193" s="2193">
        <f t="shared" si="508"/>
        <v>0</v>
      </c>
      <c r="C193" s="1884" t="e">
        <f t="shared" si="458"/>
        <v>#N/A</v>
      </c>
      <c r="D193" s="1753" t="e">
        <f t="shared" si="459"/>
        <v>#N/A</v>
      </c>
      <c r="E193" s="1891" t="e">
        <f t="shared" si="460"/>
        <v>#N/A</v>
      </c>
      <c r="F193" s="1889" t="e">
        <f t="shared" si="461"/>
        <v>#N/A</v>
      </c>
      <c r="G193" s="1759"/>
      <c r="H193" s="1755"/>
      <c r="I193" s="1755"/>
      <c r="J193" s="1755"/>
      <c r="K193" s="1755"/>
      <c r="L193" s="1755"/>
      <c r="M193" s="1765"/>
      <c r="N193" s="1864" t="str">
        <f t="shared" si="456"/>
        <v/>
      </c>
      <c r="O193" s="1865" t="str">
        <f t="shared" si="456"/>
        <v/>
      </c>
      <c r="P193" s="1852" t="str">
        <f t="shared" si="456"/>
        <v/>
      </c>
      <c r="Q193" s="1692" t="str">
        <f t="shared" si="506"/>
        <v/>
      </c>
      <c r="R193" s="1692" t="str">
        <f t="shared" si="462"/>
        <v/>
      </c>
      <c r="S193" s="1692" t="str">
        <f t="shared" si="463"/>
        <v/>
      </c>
      <c r="T193" s="1692"/>
      <c r="U193" s="1900" t="str">
        <f t="shared" si="464"/>
        <v/>
      </c>
      <c r="V193" s="1841" t="str">
        <f>IF($B193=0,"",Conc1(BW193,VolumeNTP2,$AG193,MolVol,Pitots!$E$49,Pitots!$F$49,V$183,V$184,VoF))</f>
        <v/>
      </c>
      <c r="W193" s="1739" t="str">
        <f t="shared" si="465"/>
        <v/>
      </c>
      <c r="X193" s="1843"/>
      <c r="Y193" s="1901" t="str">
        <f>IF(V193="","",MassRate(V193,$AG193,MolVol,V$183,V$184,MRU,MRF,AverageFlowDry2,FF))</f>
        <v/>
      </c>
      <c r="Z193" s="1841"/>
      <c r="AE193" s="1842"/>
      <c r="AF193" s="1842"/>
      <c r="AG193" s="1753" t="e">
        <f t="shared" si="466"/>
        <v>#N/A</v>
      </c>
      <c r="AH193" s="1744" t="e">
        <f t="shared" si="467"/>
        <v>#N/A</v>
      </c>
      <c r="AK193" s="1872" t="e">
        <f t="shared" si="468"/>
        <v>#N/A</v>
      </c>
      <c r="AL193" s="1721" t="str">
        <f t="shared" si="469"/>
        <v/>
      </c>
      <c r="AM193" s="1721" t="str">
        <f t="shared" si="470"/>
        <v/>
      </c>
      <c r="AN193" s="1721" t="str">
        <f t="shared" si="471"/>
        <v/>
      </c>
      <c r="AO193" s="1721" t="str">
        <f t="shared" si="472"/>
        <v/>
      </c>
      <c r="AP193" s="1721" t="str">
        <f t="shared" si="473"/>
        <v/>
      </c>
      <c r="AQ193" s="1721" t="str">
        <f t="shared" si="474"/>
        <v/>
      </c>
      <c r="AR193" s="1721" t="str">
        <f t="shared" si="475"/>
        <v/>
      </c>
      <c r="AS193" s="1721" t="str">
        <f t="shared" si="476"/>
        <v/>
      </c>
      <c r="AT193" s="1721" t="str">
        <f t="shared" si="477"/>
        <v/>
      </c>
      <c r="AU193" s="1721" t="str">
        <f t="shared" si="478"/>
        <v/>
      </c>
      <c r="AV193" s="1721" t="str">
        <f t="shared" si="479"/>
        <v/>
      </c>
      <c r="AW193" s="1721" t="str">
        <f t="shared" si="480"/>
        <v/>
      </c>
      <c r="AX193" s="1721" t="str">
        <f t="shared" si="481"/>
        <v/>
      </c>
      <c r="AY193" s="1721" t="str">
        <f t="shared" si="482"/>
        <v/>
      </c>
      <c r="AZ193" s="1721" t="str">
        <f t="shared" si="483"/>
        <v/>
      </c>
      <c r="BA193" s="1721" t="str">
        <f t="shared" si="484"/>
        <v/>
      </c>
      <c r="BB193" s="1721" t="str">
        <f t="shared" si="485"/>
        <v/>
      </c>
      <c r="BC193" s="1739">
        <f t="shared" si="486"/>
        <v>0</v>
      </c>
      <c r="BD193" s="1739">
        <f t="shared" si="487"/>
        <v>0</v>
      </c>
      <c r="BE193" s="1739">
        <f t="shared" si="488"/>
        <v>0</v>
      </c>
      <c r="BF193" s="1721">
        <f t="shared" si="507"/>
        <v>0</v>
      </c>
      <c r="BG193" s="1721">
        <f t="shared" si="489"/>
        <v>0</v>
      </c>
      <c r="BH193" s="1721">
        <f t="shared" si="490"/>
        <v>0</v>
      </c>
      <c r="BI193" s="1721">
        <f t="shared" si="491"/>
        <v>0</v>
      </c>
      <c r="BJ193" s="1721">
        <f t="shared" si="492"/>
        <v>0</v>
      </c>
      <c r="BK193" s="1721">
        <f t="shared" si="493"/>
        <v>0</v>
      </c>
      <c r="BL193" s="1721">
        <f t="shared" si="494"/>
        <v>0</v>
      </c>
      <c r="BM193" s="1715">
        <f t="shared" si="495"/>
        <v>0</v>
      </c>
      <c r="BN193" s="1715">
        <f t="shared" si="496"/>
        <v>0</v>
      </c>
      <c r="BO193" s="1715">
        <f t="shared" si="497"/>
        <v>0</v>
      </c>
      <c r="BP193" s="1715">
        <f t="shared" si="498"/>
        <v>0</v>
      </c>
      <c r="BQ193" s="1715">
        <f t="shared" si="499"/>
        <v>0</v>
      </c>
      <c r="BR193" s="1715">
        <f t="shared" si="500"/>
        <v>0</v>
      </c>
      <c r="BS193" s="1715">
        <f t="shared" si="501"/>
        <v>0</v>
      </c>
      <c r="BT193" s="1742">
        <f t="shared" si="502"/>
        <v>0</v>
      </c>
      <c r="BU193" s="1690">
        <f t="shared" si="503"/>
        <v>0</v>
      </c>
      <c r="BV193" s="1715" t="str">
        <f t="shared" si="504"/>
        <v/>
      </c>
      <c r="BW193" s="1722">
        <f t="shared" si="505"/>
        <v>0</v>
      </c>
      <c r="BZ193" s="2024" t="s">
        <v>2132</v>
      </c>
      <c r="CA193" s="2801" t="e">
        <f>IF(VLOOKUP($BZ193,$B$185:$AA$220,20,FALSE)="&lt;",1,0)</f>
        <v>#N/A</v>
      </c>
      <c r="CB193" s="2801"/>
      <c r="CC193" s="2373" t="str">
        <f>IF(ISNA(VLOOKUP($BZ193,$B$185:$AA$220,21,FALSE)),"",(VLOOKUP($BZ193,$B$185:$AA$220,21,FALSE)))</f>
        <v/>
      </c>
    </row>
    <row r="194" spans="1:81">
      <c r="A194" s="1690" t="b">
        <f t="shared" si="457"/>
        <v>0</v>
      </c>
      <c r="B194" s="2193">
        <f t="shared" si="508"/>
        <v>0</v>
      </c>
      <c r="C194" s="1884" t="e">
        <f t="shared" si="458"/>
        <v>#N/A</v>
      </c>
      <c r="D194" s="1753" t="e">
        <f t="shared" si="459"/>
        <v>#N/A</v>
      </c>
      <c r="E194" s="1891" t="e">
        <f t="shared" si="460"/>
        <v>#N/A</v>
      </c>
      <c r="F194" s="1889" t="e">
        <f t="shared" si="461"/>
        <v>#N/A</v>
      </c>
      <c r="G194" s="1759"/>
      <c r="H194" s="1755"/>
      <c r="I194" s="1755"/>
      <c r="J194" s="1755"/>
      <c r="K194" s="1755"/>
      <c r="L194" s="1755"/>
      <c r="M194" s="1765"/>
      <c r="N194" s="1864" t="str">
        <f t="shared" si="456"/>
        <v/>
      </c>
      <c r="O194" s="1865" t="str">
        <f t="shared" si="456"/>
        <v/>
      </c>
      <c r="P194" s="1852" t="str">
        <f t="shared" si="456"/>
        <v/>
      </c>
      <c r="Q194" s="1692" t="str">
        <f t="shared" si="506"/>
        <v/>
      </c>
      <c r="R194" s="1692" t="str">
        <f t="shared" si="462"/>
        <v/>
      </c>
      <c r="S194" s="1692" t="str">
        <f t="shared" si="463"/>
        <v/>
      </c>
      <c r="T194" s="1692"/>
      <c r="U194" s="1900" t="str">
        <f t="shared" si="464"/>
        <v/>
      </c>
      <c r="V194" s="1841" t="str">
        <f>IF($B194=0,"",Conc1(BW194,VolumeNTP2,$AG194,MolVol,Pitots!$E$49,Pitots!$F$49,V$183,V$184,VoF))</f>
        <v/>
      </c>
      <c r="W194" s="1739" t="str">
        <f t="shared" si="465"/>
        <v/>
      </c>
      <c r="X194" s="1843"/>
      <c r="Y194" s="1901" t="str">
        <f>IF(V194="","",MassRate(V194,$AG194,MolVol,V$183,V$184,MRU,MRF,AverageFlowDry2,FF))</f>
        <v/>
      </c>
      <c r="Z194" s="1841"/>
      <c r="AE194" s="1842"/>
      <c r="AF194" s="1842"/>
      <c r="AG194" s="1753" t="e">
        <f t="shared" si="466"/>
        <v>#N/A</v>
      </c>
      <c r="AH194" s="1744" t="e">
        <f t="shared" si="467"/>
        <v>#N/A</v>
      </c>
      <c r="AK194" s="1872" t="e">
        <f t="shared" si="468"/>
        <v>#N/A</v>
      </c>
      <c r="AL194" s="1721" t="str">
        <f t="shared" si="469"/>
        <v/>
      </c>
      <c r="AM194" s="1721" t="str">
        <f t="shared" si="470"/>
        <v/>
      </c>
      <c r="AN194" s="1721" t="str">
        <f t="shared" si="471"/>
        <v/>
      </c>
      <c r="AO194" s="1721" t="str">
        <f t="shared" si="472"/>
        <v/>
      </c>
      <c r="AP194" s="1721" t="str">
        <f t="shared" si="473"/>
        <v/>
      </c>
      <c r="AQ194" s="1721" t="str">
        <f t="shared" si="474"/>
        <v/>
      </c>
      <c r="AR194" s="1721" t="str">
        <f t="shared" si="475"/>
        <v/>
      </c>
      <c r="AS194" s="1721" t="str">
        <f t="shared" si="476"/>
        <v/>
      </c>
      <c r="AT194" s="1721" t="str">
        <f t="shared" si="477"/>
        <v/>
      </c>
      <c r="AU194" s="1721" t="str">
        <f t="shared" si="478"/>
        <v/>
      </c>
      <c r="AV194" s="1721" t="str">
        <f t="shared" si="479"/>
        <v/>
      </c>
      <c r="AW194" s="1721" t="str">
        <f t="shared" si="480"/>
        <v/>
      </c>
      <c r="AX194" s="1721" t="str">
        <f t="shared" si="481"/>
        <v/>
      </c>
      <c r="AY194" s="1721" t="str">
        <f t="shared" si="482"/>
        <v/>
      </c>
      <c r="AZ194" s="1721" t="str">
        <f t="shared" si="483"/>
        <v/>
      </c>
      <c r="BA194" s="1721" t="str">
        <f t="shared" si="484"/>
        <v/>
      </c>
      <c r="BB194" s="1721" t="str">
        <f t="shared" si="485"/>
        <v/>
      </c>
      <c r="BC194" s="1739">
        <f t="shared" si="486"/>
        <v>0</v>
      </c>
      <c r="BD194" s="1739">
        <f t="shared" si="487"/>
        <v>0</v>
      </c>
      <c r="BE194" s="1739">
        <f t="shared" si="488"/>
        <v>0</v>
      </c>
      <c r="BF194" s="1721">
        <f t="shared" si="507"/>
        <v>0</v>
      </c>
      <c r="BG194" s="1721">
        <f t="shared" si="489"/>
        <v>0</v>
      </c>
      <c r="BH194" s="1721">
        <f t="shared" si="490"/>
        <v>0</v>
      </c>
      <c r="BI194" s="1721">
        <f t="shared" si="491"/>
        <v>0</v>
      </c>
      <c r="BJ194" s="1721">
        <f t="shared" si="492"/>
        <v>0</v>
      </c>
      <c r="BK194" s="1721">
        <f t="shared" si="493"/>
        <v>0</v>
      </c>
      <c r="BL194" s="1721">
        <f t="shared" si="494"/>
        <v>0</v>
      </c>
      <c r="BM194" s="1715">
        <f t="shared" si="495"/>
        <v>0</v>
      </c>
      <c r="BN194" s="1715">
        <f t="shared" si="496"/>
        <v>0</v>
      </c>
      <c r="BO194" s="1715">
        <f t="shared" si="497"/>
        <v>0</v>
      </c>
      <c r="BP194" s="1715">
        <f t="shared" si="498"/>
        <v>0</v>
      </c>
      <c r="BQ194" s="1715">
        <f t="shared" si="499"/>
        <v>0</v>
      </c>
      <c r="BR194" s="1715">
        <f t="shared" si="500"/>
        <v>0</v>
      </c>
      <c r="BS194" s="1715">
        <f t="shared" si="501"/>
        <v>0</v>
      </c>
      <c r="BT194" s="1742">
        <f t="shared" si="502"/>
        <v>0</v>
      </c>
      <c r="BU194" s="1690">
        <f t="shared" si="503"/>
        <v>0</v>
      </c>
      <c r="BV194" s="1715" t="str">
        <f t="shared" si="504"/>
        <v/>
      </c>
      <c r="BW194" s="1722">
        <f t="shared" si="505"/>
        <v>0</v>
      </c>
      <c r="BZ194" s="2032" t="s">
        <v>1452</v>
      </c>
      <c r="CA194" s="2802">
        <f>IF(ISNA(SUM(CA189:CA193)),0,SUM(CA189:CA193))</f>
        <v>0</v>
      </c>
      <c r="CB194" s="2802"/>
      <c r="CC194" s="2374" t="str">
        <f>IF(OR(CC189="",CC190="",CC191="",CC192="",CC193=""),"",SUM(CC189:CC193))</f>
        <v/>
      </c>
    </row>
    <row r="195" spans="1:81">
      <c r="A195" s="1690" t="b">
        <f t="shared" si="457"/>
        <v>0</v>
      </c>
      <c r="B195" s="2193">
        <f t="shared" si="508"/>
        <v>0</v>
      </c>
      <c r="C195" s="1884" t="e">
        <f t="shared" si="458"/>
        <v>#N/A</v>
      </c>
      <c r="D195" s="1753" t="e">
        <f t="shared" si="459"/>
        <v>#N/A</v>
      </c>
      <c r="E195" s="1891" t="e">
        <f t="shared" si="460"/>
        <v>#N/A</v>
      </c>
      <c r="F195" s="1889" t="e">
        <f t="shared" si="461"/>
        <v>#N/A</v>
      </c>
      <c r="G195" s="1759"/>
      <c r="H195" s="1755"/>
      <c r="I195" s="1755"/>
      <c r="J195" s="1755"/>
      <c r="K195" s="1755"/>
      <c r="L195" s="1755"/>
      <c r="M195" s="1765"/>
      <c r="N195" s="1864" t="str">
        <f t="shared" si="456"/>
        <v/>
      </c>
      <c r="O195" s="1865" t="str">
        <f t="shared" si="456"/>
        <v/>
      </c>
      <c r="P195" s="1852" t="str">
        <f t="shared" si="456"/>
        <v/>
      </c>
      <c r="Q195" s="1692" t="str">
        <f t="shared" si="506"/>
        <v/>
      </c>
      <c r="R195" s="1692" t="str">
        <f t="shared" si="462"/>
        <v/>
      </c>
      <c r="S195" s="1692" t="str">
        <f t="shared" si="463"/>
        <v/>
      </c>
      <c r="T195" s="1692"/>
      <c r="U195" s="1900" t="str">
        <f t="shared" si="464"/>
        <v/>
      </c>
      <c r="V195" s="1841" t="str">
        <f>IF($B195=0,"",Conc1(BW195,VolumeNTP2,$AG195,MolVol,Pitots!$E$49,Pitots!$F$49,V$183,V$184,VoF))</f>
        <v/>
      </c>
      <c r="W195" s="1739" t="str">
        <f t="shared" si="465"/>
        <v/>
      </c>
      <c r="X195" s="1843"/>
      <c r="Y195" s="1901" t="str">
        <f>IF(V195="","",MassRate(V195,$AG195,MolVol,V$183,V$184,MRU,MRF,AverageFlowDry2,FF))</f>
        <v/>
      </c>
      <c r="Z195" s="1841"/>
      <c r="AE195" s="1842"/>
      <c r="AF195" s="1842"/>
      <c r="AG195" s="1753" t="e">
        <f t="shared" si="466"/>
        <v>#N/A</v>
      </c>
      <c r="AH195" s="1744" t="e">
        <f t="shared" si="467"/>
        <v>#N/A</v>
      </c>
      <c r="AK195" s="1872" t="e">
        <f t="shared" si="468"/>
        <v>#N/A</v>
      </c>
      <c r="AL195" s="1721" t="str">
        <f t="shared" si="469"/>
        <v/>
      </c>
      <c r="AM195" s="1721" t="str">
        <f t="shared" si="470"/>
        <v/>
      </c>
      <c r="AN195" s="1721" t="str">
        <f t="shared" si="471"/>
        <v/>
      </c>
      <c r="AO195" s="1721" t="str">
        <f t="shared" si="472"/>
        <v/>
      </c>
      <c r="AP195" s="1721" t="str">
        <f t="shared" si="473"/>
        <v/>
      </c>
      <c r="AQ195" s="1721" t="str">
        <f t="shared" si="474"/>
        <v/>
      </c>
      <c r="AR195" s="1721" t="str">
        <f t="shared" si="475"/>
        <v/>
      </c>
      <c r="AS195" s="1721" t="str">
        <f t="shared" si="476"/>
        <v/>
      </c>
      <c r="AT195" s="1721" t="str">
        <f t="shared" si="477"/>
        <v/>
      </c>
      <c r="AU195" s="1721" t="str">
        <f t="shared" si="478"/>
        <v/>
      </c>
      <c r="AV195" s="1721" t="str">
        <f t="shared" si="479"/>
        <v/>
      </c>
      <c r="AW195" s="1721" t="str">
        <f t="shared" si="480"/>
        <v/>
      </c>
      <c r="AX195" s="1721" t="str">
        <f t="shared" si="481"/>
        <v/>
      </c>
      <c r="AY195" s="1721" t="str">
        <f t="shared" si="482"/>
        <v/>
      </c>
      <c r="AZ195" s="1721" t="str">
        <f t="shared" si="483"/>
        <v/>
      </c>
      <c r="BA195" s="1721" t="str">
        <f t="shared" si="484"/>
        <v/>
      </c>
      <c r="BB195" s="1721" t="str">
        <f t="shared" si="485"/>
        <v/>
      </c>
      <c r="BC195" s="1739">
        <f t="shared" si="486"/>
        <v>0</v>
      </c>
      <c r="BD195" s="1739">
        <f t="shared" si="487"/>
        <v>0</v>
      </c>
      <c r="BE195" s="1739">
        <f t="shared" si="488"/>
        <v>0</v>
      </c>
      <c r="BF195" s="1721">
        <f t="shared" si="507"/>
        <v>0</v>
      </c>
      <c r="BG195" s="1721">
        <f t="shared" si="489"/>
        <v>0</v>
      </c>
      <c r="BH195" s="1721">
        <f t="shared" si="490"/>
        <v>0</v>
      </c>
      <c r="BI195" s="1721">
        <f t="shared" si="491"/>
        <v>0</v>
      </c>
      <c r="BJ195" s="1721">
        <f t="shared" si="492"/>
        <v>0</v>
      </c>
      <c r="BK195" s="1721">
        <f t="shared" si="493"/>
        <v>0</v>
      </c>
      <c r="BL195" s="1721">
        <f t="shared" si="494"/>
        <v>0</v>
      </c>
      <c r="BM195" s="1715">
        <f t="shared" si="495"/>
        <v>0</v>
      </c>
      <c r="BN195" s="1715">
        <f t="shared" si="496"/>
        <v>0</v>
      </c>
      <c r="BO195" s="1715">
        <f t="shared" si="497"/>
        <v>0</v>
      </c>
      <c r="BP195" s="1715">
        <f t="shared" si="498"/>
        <v>0</v>
      </c>
      <c r="BQ195" s="1715">
        <f t="shared" si="499"/>
        <v>0</v>
      </c>
      <c r="BR195" s="1715">
        <f t="shared" si="500"/>
        <v>0</v>
      </c>
      <c r="BS195" s="1715">
        <f t="shared" si="501"/>
        <v>0</v>
      </c>
      <c r="BT195" s="1742">
        <f t="shared" si="502"/>
        <v>0</v>
      </c>
      <c r="BU195" s="1690">
        <f t="shared" si="503"/>
        <v>0</v>
      </c>
      <c r="BV195" s="1715" t="str">
        <f t="shared" si="504"/>
        <v/>
      </c>
      <c r="BW195" s="1722">
        <f t="shared" si="505"/>
        <v>0</v>
      </c>
      <c r="BZ195" s="670"/>
      <c r="CA195" s="2800"/>
      <c r="CB195" s="2800"/>
      <c r="CC195" s="107"/>
    </row>
    <row r="196" spans="1:81">
      <c r="A196" s="1690" t="b">
        <f t="shared" si="457"/>
        <v>0</v>
      </c>
      <c r="B196" s="2193">
        <f t="shared" si="508"/>
        <v>0</v>
      </c>
      <c r="C196" s="1884" t="e">
        <f t="shared" si="458"/>
        <v>#N/A</v>
      </c>
      <c r="D196" s="1753" t="e">
        <f t="shared" si="459"/>
        <v>#N/A</v>
      </c>
      <c r="E196" s="1891" t="e">
        <f t="shared" si="460"/>
        <v>#N/A</v>
      </c>
      <c r="F196" s="1889" t="e">
        <f t="shared" si="461"/>
        <v>#N/A</v>
      </c>
      <c r="G196" s="1759"/>
      <c r="H196" s="1755"/>
      <c r="I196" s="1755"/>
      <c r="J196" s="1755"/>
      <c r="K196" s="1755"/>
      <c r="L196" s="1755"/>
      <c r="M196" s="1765"/>
      <c r="N196" s="1864" t="str">
        <f t="shared" si="456"/>
        <v/>
      </c>
      <c r="O196" s="1865" t="str">
        <f t="shared" si="456"/>
        <v/>
      </c>
      <c r="P196" s="1852" t="str">
        <f t="shared" si="456"/>
        <v/>
      </c>
      <c r="Q196" s="1692" t="str">
        <f t="shared" si="506"/>
        <v/>
      </c>
      <c r="R196" s="1692" t="str">
        <f t="shared" si="462"/>
        <v/>
      </c>
      <c r="S196" s="1692" t="str">
        <f t="shared" si="463"/>
        <v/>
      </c>
      <c r="T196" s="1692"/>
      <c r="U196" s="1900" t="str">
        <f t="shared" si="464"/>
        <v/>
      </c>
      <c r="V196" s="1841" t="str">
        <f>IF($B196=0,"",Conc1(BW196,VolumeNTP2,$AG196,MolVol,Pitots!$E$49,Pitots!$F$49,V$183,V$184,VoF))</f>
        <v/>
      </c>
      <c r="W196" s="1739" t="str">
        <f t="shared" si="465"/>
        <v/>
      </c>
      <c r="X196" s="1843"/>
      <c r="Y196" s="1901" t="str">
        <f>IF(V196="","",MassRate(V196,$AG196,MolVol,V$183,V$184,MRU,MRF,AverageFlowDry2,FF))</f>
        <v/>
      </c>
      <c r="Z196" s="1841"/>
      <c r="AE196" s="1842"/>
      <c r="AF196" s="1842"/>
      <c r="AG196" s="1753" t="e">
        <f t="shared" si="466"/>
        <v>#N/A</v>
      </c>
      <c r="AH196" s="1744" t="e">
        <f t="shared" si="467"/>
        <v>#N/A</v>
      </c>
      <c r="AK196" s="1872" t="e">
        <f t="shared" si="468"/>
        <v>#N/A</v>
      </c>
      <c r="AL196" s="1721" t="str">
        <f t="shared" si="469"/>
        <v/>
      </c>
      <c r="AM196" s="1721" t="str">
        <f t="shared" si="470"/>
        <v/>
      </c>
      <c r="AN196" s="1721" t="str">
        <f t="shared" si="471"/>
        <v/>
      </c>
      <c r="AO196" s="1721" t="str">
        <f t="shared" si="472"/>
        <v/>
      </c>
      <c r="AP196" s="1721" t="str">
        <f t="shared" si="473"/>
        <v/>
      </c>
      <c r="AQ196" s="1721" t="str">
        <f t="shared" si="474"/>
        <v/>
      </c>
      <c r="AR196" s="1721" t="str">
        <f t="shared" si="475"/>
        <v/>
      </c>
      <c r="AS196" s="1721" t="str">
        <f t="shared" si="476"/>
        <v/>
      </c>
      <c r="AT196" s="1721" t="str">
        <f t="shared" si="477"/>
        <v/>
      </c>
      <c r="AU196" s="1721" t="str">
        <f t="shared" si="478"/>
        <v/>
      </c>
      <c r="AV196" s="1721" t="str">
        <f t="shared" si="479"/>
        <v/>
      </c>
      <c r="AW196" s="1721" t="str">
        <f t="shared" si="480"/>
        <v/>
      </c>
      <c r="AX196" s="1721" t="str">
        <f t="shared" si="481"/>
        <v/>
      </c>
      <c r="AY196" s="1721" t="str">
        <f t="shared" si="482"/>
        <v/>
      </c>
      <c r="AZ196" s="1721" t="str">
        <f t="shared" si="483"/>
        <v/>
      </c>
      <c r="BA196" s="1721" t="str">
        <f t="shared" si="484"/>
        <v/>
      </c>
      <c r="BB196" s="1721" t="str">
        <f t="shared" si="485"/>
        <v/>
      </c>
      <c r="BC196" s="1739">
        <f t="shared" si="486"/>
        <v>0</v>
      </c>
      <c r="BD196" s="1739">
        <f t="shared" si="487"/>
        <v>0</v>
      </c>
      <c r="BE196" s="1739">
        <f t="shared" si="488"/>
        <v>0</v>
      </c>
      <c r="BF196" s="1721">
        <f t="shared" si="507"/>
        <v>0</v>
      </c>
      <c r="BG196" s="1721">
        <f t="shared" si="489"/>
        <v>0</v>
      </c>
      <c r="BH196" s="1721">
        <f t="shared" si="490"/>
        <v>0</v>
      </c>
      <c r="BI196" s="1721">
        <f t="shared" si="491"/>
        <v>0</v>
      </c>
      <c r="BJ196" s="1721">
        <f t="shared" si="492"/>
        <v>0</v>
      </c>
      <c r="BK196" s="1721">
        <f t="shared" si="493"/>
        <v>0</v>
      </c>
      <c r="BL196" s="1721">
        <f t="shared" si="494"/>
        <v>0</v>
      </c>
      <c r="BM196" s="1715">
        <f t="shared" si="495"/>
        <v>0</v>
      </c>
      <c r="BN196" s="1715">
        <f t="shared" si="496"/>
        <v>0</v>
      </c>
      <c r="BO196" s="1715">
        <f t="shared" si="497"/>
        <v>0</v>
      </c>
      <c r="BP196" s="1715">
        <f t="shared" si="498"/>
        <v>0</v>
      </c>
      <c r="BQ196" s="1715">
        <f t="shared" si="499"/>
        <v>0</v>
      </c>
      <c r="BR196" s="1715">
        <f t="shared" si="500"/>
        <v>0</v>
      </c>
      <c r="BS196" s="1715">
        <f t="shared" si="501"/>
        <v>0</v>
      </c>
      <c r="BT196" s="1742">
        <f t="shared" si="502"/>
        <v>0</v>
      </c>
      <c r="BU196" s="1690">
        <f t="shared" si="503"/>
        <v>0</v>
      </c>
      <c r="BV196" s="1715" t="str">
        <f t="shared" si="504"/>
        <v/>
      </c>
      <c r="BW196" s="1722">
        <f t="shared" si="505"/>
        <v>0</v>
      </c>
      <c r="BZ196" s="2030"/>
      <c r="CA196" s="2803"/>
      <c r="CB196" s="2803"/>
      <c r="CC196" s="2375"/>
    </row>
    <row r="197" spans="1:81">
      <c r="A197" s="1690" t="b">
        <f t="shared" si="457"/>
        <v>0</v>
      </c>
      <c r="B197" s="2193">
        <f t="shared" si="508"/>
        <v>0</v>
      </c>
      <c r="C197" s="1884" t="e">
        <f t="shared" si="458"/>
        <v>#N/A</v>
      </c>
      <c r="D197" s="1753" t="e">
        <f t="shared" si="459"/>
        <v>#N/A</v>
      </c>
      <c r="E197" s="1891" t="e">
        <f t="shared" si="460"/>
        <v>#N/A</v>
      </c>
      <c r="F197" s="1889" t="e">
        <f t="shared" si="461"/>
        <v>#N/A</v>
      </c>
      <c r="G197" s="1759"/>
      <c r="H197" s="1755"/>
      <c r="I197" s="1755"/>
      <c r="J197" s="1755"/>
      <c r="K197" s="1755"/>
      <c r="L197" s="1755"/>
      <c r="M197" s="1765"/>
      <c r="N197" s="1864" t="str">
        <f t="shared" si="456"/>
        <v/>
      </c>
      <c r="O197" s="1865" t="str">
        <f t="shared" si="456"/>
        <v/>
      </c>
      <c r="P197" s="1852" t="str">
        <f t="shared" si="456"/>
        <v/>
      </c>
      <c r="Q197" s="1692" t="str">
        <f t="shared" si="506"/>
        <v/>
      </c>
      <c r="R197" s="1692" t="str">
        <f t="shared" si="462"/>
        <v/>
      </c>
      <c r="S197" s="1692" t="str">
        <f t="shared" si="463"/>
        <v/>
      </c>
      <c r="T197" s="1692"/>
      <c r="U197" s="1900" t="str">
        <f t="shared" si="464"/>
        <v/>
      </c>
      <c r="V197" s="1841" t="str">
        <f>IF($B197=0,"",Conc1(BW197,VolumeNTP2,$AG197,MolVol,Pitots!$E$49,Pitots!$F$49,V$183,V$184,VoF))</f>
        <v/>
      </c>
      <c r="W197" s="1739" t="str">
        <f t="shared" si="465"/>
        <v/>
      </c>
      <c r="X197" s="1843"/>
      <c r="Y197" s="1901" t="str">
        <f>IF(V197="","",MassRate(V197,$AG197,MolVol,V$183,V$184,MRU,MRF,AverageFlowDry2,FF))</f>
        <v/>
      </c>
      <c r="Z197" s="1841"/>
      <c r="AE197" s="1842"/>
      <c r="AF197" s="1842"/>
      <c r="AG197" s="1753" t="e">
        <f t="shared" si="466"/>
        <v>#N/A</v>
      </c>
      <c r="AH197" s="1744" t="e">
        <f t="shared" si="467"/>
        <v>#N/A</v>
      </c>
      <c r="AK197" s="1872" t="e">
        <f t="shared" si="468"/>
        <v>#N/A</v>
      </c>
      <c r="AL197" s="1721" t="str">
        <f t="shared" si="469"/>
        <v/>
      </c>
      <c r="AM197" s="1721" t="str">
        <f t="shared" si="470"/>
        <v/>
      </c>
      <c r="AN197" s="1721" t="str">
        <f t="shared" si="471"/>
        <v/>
      </c>
      <c r="AO197" s="1721" t="str">
        <f t="shared" si="472"/>
        <v/>
      </c>
      <c r="AP197" s="1721" t="str">
        <f t="shared" si="473"/>
        <v/>
      </c>
      <c r="AQ197" s="1721" t="str">
        <f t="shared" si="474"/>
        <v/>
      </c>
      <c r="AR197" s="1721" t="str">
        <f t="shared" si="475"/>
        <v/>
      </c>
      <c r="AS197" s="1721" t="str">
        <f t="shared" si="476"/>
        <v/>
      </c>
      <c r="AT197" s="1721" t="str">
        <f t="shared" si="477"/>
        <v/>
      </c>
      <c r="AU197" s="1721" t="str">
        <f t="shared" si="478"/>
        <v/>
      </c>
      <c r="AV197" s="1721" t="str">
        <f t="shared" si="479"/>
        <v/>
      </c>
      <c r="AW197" s="1721" t="str">
        <f t="shared" si="480"/>
        <v/>
      </c>
      <c r="AX197" s="1721" t="str">
        <f t="shared" si="481"/>
        <v/>
      </c>
      <c r="AY197" s="1721" t="str">
        <f t="shared" si="482"/>
        <v/>
      </c>
      <c r="AZ197" s="1721" t="str">
        <f t="shared" si="483"/>
        <v/>
      </c>
      <c r="BA197" s="1721" t="str">
        <f t="shared" si="484"/>
        <v/>
      </c>
      <c r="BB197" s="1721" t="str">
        <f t="shared" si="485"/>
        <v/>
      </c>
      <c r="BC197" s="1739">
        <f t="shared" si="486"/>
        <v>0</v>
      </c>
      <c r="BD197" s="1739">
        <f t="shared" si="487"/>
        <v>0</v>
      </c>
      <c r="BE197" s="1739">
        <f t="shared" si="488"/>
        <v>0</v>
      </c>
      <c r="BF197" s="1721">
        <f t="shared" si="507"/>
        <v>0</v>
      </c>
      <c r="BG197" s="1721">
        <f t="shared" si="489"/>
        <v>0</v>
      </c>
      <c r="BH197" s="1721">
        <f t="shared" si="490"/>
        <v>0</v>
      </c>
      <c r="BI197" s="1721">
        <f t="shared" si="491"/>
        <v>0</v>
      </c>
      <c r="BJ197" s="1721">
        <f t="shared" si="492"/>
        <v>0</v>
      </c>
      <c r="BK197" s="1721">
        <f t="shared" si="493"/>
        <v>0</v>
      </c>
      <c r="BL197" s="1721">
        <f t="shared" si="494"/>
        <v>0</v>
      </c>
      <c r="BM197" s="1715">
        <f t="shared" si="495"/>
        <v>0</v>
      </c>
      <c r="BN197" s="1715">
        <f t="shared" si="496"/>
        <v>0</v>
      </c>
      <c r="BO197" s="1715">
        <f t="shared" si="497"/>
        <v>0</v>
      </c>
      <c r="BP197" s="1715">
        <f t="shared" si="498"/>
        <v>0</v>
      </c>
      <c r="BQ197" s="1715">
        <f t="shared" si="499"/>
        <v>0</v>
      </c>
      <c r="BR197" s="1715">
        <f t="shared" si="500"/>
        <v>0</v>
      </c>
      <c r="BS197" s="1715">
        <f t="shared" si="501"/>
        <v>0</v>
      </c>
      <c r="BT197" s="1742">
        <f t="shared" si="502"/>
        <v>0</v>
      </c>
      <c r="BU197" s="1690">
        <f t="shared" si="503"/>
        <v>0</v>
      </c>
      <c r="BV197" s="1715" t="str">
        <f t="shared" si="504"/>
        <v/>
      </c>
      <c r="BW197" s="1722">
        <f t="shared" si="505"/>
        <v>0</v>
      </c>
      <c r="BZ197" s="2009" t="s">
        <v>1951</v>
      </c>
      <c r="CA197" s="2375"/>
      <c r="CB197" s="2375"/>
      <c r="CC197" s="2375"/>
    </row>
    <row r="198" spans="1:81">
      <c r="A198" s="1690" t="b">
        <f t="shared" si="457"/>
        <v>0</v>
      </c>
      <c r="B198" s="2193">
        <f t="shared" si="508"/>
        <v>0</v>
      </c>
      <c r="C198" s="1884" t="e">
        <f t="shared" si="458"/>
        <v>#N/A</v>
      </c>
      <c r="D198" s="1753" t="e">
        <f t="shared" si="459"/>
        <v>#N/A</v>
      </c>
      <c r="E198" s="1891" t="e">
        <f t="shared" si="460"/>
        <v>#N/A</v>
      </c>
      <c r="F198" s="1889" t="e">
        <f t="shared" si="461"/>
        <v>#N/A</v>
      </c>
      <c r="G198" s="1759"/>
      <c r="H198" s="1755"/>
      <c r="I198" s="1755"/>
      <c r="J198" s="1755"/>
      <c r="K198" s="1755"/>
      <c r="L198" s="1755"/>
      <c r="M198" s="1765"/>
      <c r="N198" s="1864" t="str">
        <f t="shared" si="456"/>
        <v/>
      </c>
      <c r="O198" s="1865" t="str">
        <f t="shared" si="456"/>
        <v/>
      </c>
      <c r="P198" s="1852" t="str">
        <f t="shared" si="456"/>
        <v/>
      </c>
      <c r="Q198" s="1692" t="str">
        <f t="shared" si="506"/>
        <v/>
      </c>
      <c r="R198" s="1692" t="str">
        <f t="shared" si="462"/>
        <v/>
      </c>
      <c r="S198" s="1692" t="str">
        <f t="shared" si="463"/>
        <v/>
      </c>
      <c r="T198" s="1692"/>
      <c r="U198" s="1900" t="str">
        <f t="shared" si="464"/>
        <v/>
      </c>
      <c r="V198" s="1841" t="str">
        <f>IF($B198=0,"",Conc1(BW198,VolumeNTP2,$AG198,MolVol,Pitots!$E$49,Pitots!$F$49,V$183,V$184,VoF))</f>
        <v/>
      </c>
      <c r="W198" s="1739" t="str">
        <f t="shared" si="465"/>
        <v/>
      </c>
      <c r="X198" s="1843"/>
      <c r="Y198" s="1901" t="str">
        <f>IF(V198="","",MassRate(V198,$AG198,MolVol,V$183,V$184,MRU,MRF,AverageFlowDry2,FF))</f>
        <v/>
      </c>
      <c r="Z198" s="1841"/>
      <c r="AE198" s="1842"/>
      <c r="AF198" s="1842"/>
      <c r="AG198" s="1753" t="e">
        <f t="shared" si="466"/>
        <v>#N/A</v>
      </c>
      <c r="AH198" s="1744" t="e">
        <f t="shared" si="467"/>
        <v>#N/A</v>
      </c>
      <c r="AK198" s="1872" t="e">
        <f t="shared" si="468"/>
        <v>#N/A</v>
      </c>
      <c r="AL198" s="1721" t="str">
        <f t="shared" si="469"/>
        <v/>
      </c>
      <c r="AM198" s="1721" t="str">
        <f t="shared" si="470"/>
        <v/>
      </c>
      <c r="AN198" s="1721" t="str">
        <f t="shared" si="471"/>
        <v/>
      </c>
      <c r="AO198" s="1721" t="str">
        <f t="shared" si="472"/>
        <v/>
      </c>
      <c r="AP198" s="1721" t="str">
        <f t="shared" si="473"/>
        <v/>
      </c>
      <c r="AQ198" s="1721" t="str">
        <f t="shared" si="474"/>
        <v/>
      </c>
      <c r="AR198" s="1721" t="str">
        <f t="shared" si="475"/>
        <v/>
      </c>
      <c r="AS198" s="1721" t="str">
        <f t="shared" si="476"/>
        <v/>
      </c>
      <c r="AT198" s="1721" t="str">
        <f t="shared" si="477"/>
        <v/>
      </c>
      <c r="AU198" s="1721" t="str">
        <f t="shared" si="478"/>
        <v/>
      </c>
      <c r="AV198" s="1721" t="str">
        <f t="shared" si="479"/>
        <v/>
      </c>
      <c r="AW198" s="1721" t="str">
        <f t="shared" si="480"/>
        <v/>
      </c>
      <c r="AX198" s="1721" t="str">
        <f t="shared" si="481"/>
        <v/>
      </c>
      <c r="AY198" s="1721" t="str">
        <f t="shared" si="482"/>
        <v/>
      </c>
      <c r="AZ198" s="1721" t="str">
        <f t="shared" si="483"/>
        <v/>
      </c>
      <c r="BA198" s="1721" t="str">
        <f t="shared" si="484"/>
        <v/>
      </c>
      <c r="BB198" s="1721" t="str">
        <f t="shared" si="485"/>
        <v/>
      </c>
      <c r="BC198" s="1739">
        <f t="shared" si="486"/>
        <v>0</v>
      </c>
      <c r="BD198" s="1739">
        <f t="shared" si="487"/>
        <v>0</v>
      </c>
      <c r="BE198" s="1739">
        <f t="shared" si="488"/>
        <v>0</v>
      </c>
      <c r="BF198" s="1721">
        <f t="shared" si="507"/>
        <v>0</v>
      </c>
      <c r="BG198" s="1721">
        <f t="shared" si="489"/>
        <v>0</v>
      </c>
      <c r="BH198" s="1721">
        <f t="shared" si="490"/>
        <v>0</v>
      </c>
      <c r="BI198" s="1721">
        <f t="shared" si="491"/>
        <v>0</v>
      </c>
      <c r="BJ198" s="1721">
        <f t="shared" si="492"/>
        <v>0</v>
      </c>
      <c r="BK198" s="1721">
        <f t="shared" si="493"/>
        <v>0</v>
      </c>
      <c r="BL198" s="1721">
        <f t="shared" si="494"/>
        <v>0</v>
      </c>
      <c r="BM198" s="1715">
        <f t="shared" si="495"/>
        <v>0</v>
      </c>
      <c r="BN198" s="1715">
        <f t="shared" si="496"/>
        <v>0</v>
      </c>
      <c r="BO198" s="1715">
        <f t="shared" si="497"/>
        <v>0</v>
      </c>
      <c r="BP198" s="1715">
        <f t="shared" si="498"/>
        <v>0</v>
      </c>
      <c r="BQ198" s="1715">
        <f t="shared" si="499"/>
        <v>0</v>
      </c>
      <c r="BR198" s="1715">
        <f t="shared" si="500"/>
        <v>0</v>
      </c>
      <c r="BS198" s="1715">
        <f t="shared" si="501"/>
        <v>0</v>
      </c>
      <c r="BT198" s="1742">
        <f t="shared" si="502"/>
        <v>0</v>
      </c>
      <c r="BU198" s="1690">
        <f t="shared" si="503"/>
        <v>0</v>
      </c>
      <c r="BV198" s="1715" t="str">
        <f t="shared" si="504"/>
        <v/>
      </c>
      <c r="BW198" s="1722">
        <f t="shared" si="505"/>
        <v>0</v>
      </c>
      <c r="BZ198" s="2031"/>
      <c r="CA198" s="2595" t="s">
        <v>819</v>
      </c>
      <c r="CB198" s="2595"/>
      <c r="CC198" s="2016" t="s">
        <v>1950</v>
      </c>
    </row>
    <row r="199" spans="1:81">
      <c r="A199" s="1690" t="b">
        <f t="shared" si="457"/>
        <v>0</v>
      </c>
      <c r="B199" s="2193">
        <f t="shared" si="508"/>
        <v>0</v>
      </c>
      <c r="C199" s="1884" t="e">
        <f t="shared" si="458"/>
        <v>#N/A</v>
      </c>
      <c r="D199" s="1753" t="e">
        <f t="shared" si="459"/>
        <v>#N/A</v>
      </c>
      <c r="E199" s="1891" t="e">
        <f t="shared" si="460"/>
        <v>#N/A</v>
      </c>
      <c r="F199" s="1889" t="e">
        <f t="shared" si="461"/>
        <v>#N/A</v>
      </c>
      <c r="G199" s="1759"/>
      <c r="H199" s="1755"/>
      <c r="I199" s="1755"/>
      <c r="J199" s="1755"/>
      <c r="K199" s="1755"/>
      <c r="L199" s="1755"/>
      <c r="M199" s="1765"/>
      <c r="N199" s="1864" t="str">
        <f t="shared" si="456"/>
        <v/>
      </c>
      <c r="O199" s="1865" t="str">
        <f t="shared" si="456"/>
        <v/>
      </c>
      <c r="P199" s="1852" t="str">
        <f t="shared" si="456"/>
        <v/>
      </c>
      <c r="Q199" s="1692" t="str">
        <f t="shared" si="506"/>
        <v/>
      </c>
      <c r="R199" s="1692" t="str">
        <f t="shared" si="462"/>
        <v/>
      </c>
      <c r="S199" s="1692" t="str">
        <f t="shared" si="463"/>
        <v/>
      </c>
      <c r="T199" s="1692"/>
      <c r="U199" s="1900" t="str">
        <f t="shared" si="464"/>
        <v/>
      </c>
      <c r="V199" s="1841" t="str">
        <f>IF($B199=0,"",Conc1(BW199,VolumeNTP2,$AG199,MolVol,Pitots!$E$49,Pitots!$F$49,V$183,V$184,VoF))</f>
        <v/>
      </c>
      <c r="W199" s="1739" t="str">
        <f t="shared" si="465"/>
        <v/>
      </c>
      <c r="X199" s="1843"/>
      <c r="Y199" s="1901" t="str">
        <f>IF(V199="","",MassRate(V199,$AG199,MolVol,V$183,V$184,MRU,MRF,AverageFlowDry2,FF))</f>
        <v/>
      </c>
      <c r="Z199" s="1841"/>
      <c r="AE199" s="1842"/>
      <c r="AF199" s="1842"/>
      <c r="AG199" s="1753" t="e">
        <f t="shared" si="466"/>
        <v>#N/A</v>
      </c>
      <c r="AH199" s="1744" t="e">
        <f t="shared" si="467"/>
        <v>#N/A</v>
      </c>
      <c r="AK199" s="1872" t="e">
        <f t="shared" si="468"/>
        <v>#N/A</v>
      </c>
      <c r="AL199" s="1721" t="str">
        <f t="shared" si="469"/>
        <v/>
      </c>
      <c r="AM199" s="1721" t="str">
        <f t="shared" si="470"/>
        <v/>
      </c>
      <c r="AN199" s="1721" t="str">
        <f t="shared" si="471"/>
        <v/>
      </c>
      <c r="AO199" s="1721" t="str">
        <f t="shared" si="472"/>
        <v/>
      </c>
      <c r="AP199" s="1721" t="str">
        <f t="shared" si="473"/>
        <v/>
      </c>
      <c r="AQ199" s="1721" t="str">
        <f t="shared" si="474"/>
        <v/>
      </c>
      <c r="AR199" s="1721" t="str">
        <f t="shared" si="475"/>
        <v/>
      </c>
      <c r="AS199" s="1721" t="str">
        <f t="shared" si="476"/>
        <v/>
      </c>
      <c r="AT199" s="1721" t="str">
        <f t="shared" si="477"/>
        <v/>
      </c>
      <c r="AU199" s="1721" t="str">
        <f t="shared" si="478"/>
        <v/>
      </c>
      <c r="AV199" s="1721" t="str">
        <f t="shared" si="479"/>
        <v/>
      </c>
      <c r="AW199" s="1721" t="str">
        <f t="shared" si="480"/>
        <v/>
      </c>
      <c r="AX199" s="1721" t="str">
        <f t="shared" si="481"/>
        <v/>
      </c>
      <c r="AY199" s="1721" t="str">
        <f t="shared" si="482"/>
        <v/>
      </c>
      <c r="AZ199" s="1721" t="str">
        <f t="shared" si="483"/>
        <v/>
      </c>
      <c r="BA199" s="1721" t="str">
        <f t="shared" si="484"/>
        <v/>
      </c>
      <c r="BB199" s="1721" t="str">
        <f t="shared" si="485"/>
        <v/>
      </c>
      <c r="BC199" s="1739">
        <f t="shared" si="486"/>
        <v>0</v>
      </c>
      <c r="BD199" s="1739">
        <f t="shared" si="487"/>
        <v>0</v>
      </c>
      <c r="BE199" s="1739">
        <f t="shared" si="488"/>
        <v>0</v>
      </c>
      <c r="BF199" s="1721">
        <f t="shared" si="507"/>
        <v>0</v>
      </c>
      <c r="BG199" s="1721">
        <f t="shared" si="489"/>
        <v>0</v>
      </c>
      <c r="BH199" s="1721">
        <f t="shared" si="490"/>
        <v>0</v>
      </c>
      <c r="BI199" s="1721">
        <f t="shared" si="491"/>
        <v>0</v>
      </c>
      <c r="BJ199" s="1721">
        <f t="shared" si="492"/>
        <v>0</v>
      </c>
      <c r="BK199" s="1721">
        <f t="shared" si="493"/>
        <v>0</v>
      </c>
      <c r="BL199" s="1721">
        <f t="shared" si="494"/>
        <v>0</v>
      </c>
      <c r="BM199" s="1715">
        <f t="shared" si="495"/>
        <v>0</v>
      </c>
      <c r="BN199" s="1715">
        <f t="shared" si="496"/>
        <v>0</v>
      </c>
      <c r="BO199" s="1715">
        <f t="shared" si="497"/>
        <v>0</v>
      </c>
      <c r="BP199" s="1715">
        <f t="shared" si="498"/>
        <v>0</v>
      </c>
      <c r="BQ199" s="1715">
        <f t="shared" si="499"/>
        <v>0</v>
      </c>
      <c r="BR199" s="1715">
        <f t="shared" si="500"/>
        <v>0</v>
      </c>
      <c r="BS199" s="1715">
        <f t="shared" si="501"/>
        <v>0</v>
      </c>
      <c r="BT199" s="1742">
        <f t="shared" si="502"/>
        <v>0</v>
      </c>
      <c r="BU199" s="1690">
        <f t="shared" si="503"/>
        <v>0</v>
      </c>
      <c r="BV199" s="1715" t="str">
        <f t="shared" si="504"/>
        <v/>
      </c>
      <c r="BW199" s="1722">
        <f t="shared" si="505"/>
        <v>0</v>
      </c>
      <c r="BZ199" s="2021" t="s">
        <v>2124</v>
      </c>
      <c r="CA199" s="2804" t="e">
        <f t="shared" ref="CA199:CA206" si="509">IF(VLOOKUP($BZ199,$B$185:$AA$220,20,FALSE)="&lt;",1,0)</f>
        <v>#N/A</v>
      </c>
      <c r="CB199" s="2804"/>
      <c r="CC199" s="2372" t="str">
        <f t="shared" ref="CC199:CC206" si="510">IF(ISNA(VLOOKUP($BZ199,$B$185:$AA$220,21,FALSE)),"",(VLOOKUP($BZ199,$B$185:$AA$220,21,FALSE)))</f>
        <v/>
      </c>
    </row>
    <row r="200" spans="1:81">
      <c r="A200" s="1690" t="b">
        <f t="shared" si="457"/>
        <v>0</v>
      </c>
      <c r="B200" s="2193">
        <f t="shared" si="508"/>
        <v>0</v>
      </c>
      <c r="C200" s="1884" t="e">
        <f t="shared" si="458"/>
        <v>#N/A</v>
      </c>
      <c r="D200" s="1753" t="e">
        <f t="shared" si="459"/>
        <v>#N/A</v>
      </c>
      <c r="E200" s="1891" t="e">
        <f t="shared" si="460"/>
        <v>#N/A</v>
      </c>
      <c r="F200" s="1889" t="e">
        <f t="shared" si="461"/>
        <v>#N/A</v>
      </c>
      <c r="G200" s="1759"/>
      <c r="H200" s="1755"/>
      <c r="I200" s="1755"/>
      <c r="J200" s="1755"/>
      <c r="K200" s="1755"/>
      <c r="L200" s="1755"/>
      <c r="M200" s="1765"/>
      <c r="N200" s="1864" t="str">
        <f t="shared" ref="N200:P219" si="511">IF(N153="","",N153)</f>
        <v/>
      </c>
      <c r="O200" s="1865" t="str">
        <f t="shared" si="511"/>
        <v/>
      </c>
      <c r="P200" s="1852" t="str">
        <f t="shared" si="511"/>
        <v/>
      </c>
      <c r="Q200" s="1692" t="str">
        <f t="shared" si="506"/>
        <v/>
      </c>
      <c r="R200" s="1692" t="str">
        <f t="shared" si="462"/>
        <v/>
      </c>
      <c r="S200" s="1692" t="str">
        <f t="shared" si="463"/>
        <v/>
      </c>
      <c r="T200" s="1692"/>
      <c r="U200" s="1900" t="str">
        <f t="shared" si="464"/>
        <v/>
      </c>
      <c r="V200" s="1841" t="str">
        <f>IF($B200=0,"",Conc1(BW200,VolumeNTP2,$AG200,MolVol,Pitots!$E$49,Pitots!$F$49,V$183,V$184,VoF))</f>
        <v/>
      </c>
      <c r="W200" s="1739" t="str">
        <f t="shared" si="465"/>
        <v/>
      </c>
      <c r="X200" s="1843"/>
      <c r="Y200" s="1901" t="str">
        <f>IF(V200="","",MassRate(V200,$AG200,MolVol,V$183,V$184,MRU,MRF,AverageFlowDry2,FF))</f>
        <v/>
      </c>
      <c r="Z200" s="1841"/>
      <c r="AE200" s="1842"/>
      <c r="AF200" s="1842"/>
      <c r="AG200" s="1753" t="e">
        <f t="shared" si="466"/>
        <v>#N/A</v>
      </c>
      <c r="AH200" s="1744" t="e">
        <f t="shared" si="467"/>
        <v>#N/A</v>
      </c>
      <c r="AK200" s="1872" t="e">
        <f t="shared" si="468"/>
        <v>#N/A</v>
      </c>
      <c r="AL200" s="1721" t="str">
        <f t="shared" si="469"/>
        <v/>
      </c>
      <c r="AM200" s="1721" t="str">
        <f t="shared" si="470"/>
        <v/>
      </c>
      <c r="AN200" s="1721" t="str">
        <f t="shared" si="471"/>
        <v/>
      </c>
      <c r="AO200" s="1721" t="str">
        <f t="shared" si="472"/>
        <v/>
      </c>
      <c r="AP200" s="1721" t="str">
        <f t="shared" si="473"/>
        <v/>
      </c>
      <c r="AQ200" s="1721" t="str">
        <f t="shared" si="474"/>
        <v/>
      </c>
      <c r="AR200" s="1721" t="str">
        <f t="shared" si="475"/>
        <v/>
      </c>
      <c r="AS200" s="1721" t="str">
        <f t="shared" si="476"/>
        <v/>
      </c>
      <c r="AT200" s="1721" t="str">
        <f t="shared" si="477"/>
        <v/>
      </c>
      <c r="AU200" s="1721" t="str">
        <f t="shared" si="478"/>
        <v/>
      </c>
      <c r="AV200" s="1721" t="str">
        <f t="shared" si="479"/>
        <v/>
      </c>
      <c r="AW200" s="1721" t="str">
        <f t="shared" si="480"/>
        <v/>
      </c>
      <c r="AX200" s="1721" t="str">
        <f t="shared" si="481"/>
        <v/>
      </c>
      <c r="AY200" s="1721" t="str">
        <f t="shared" si="482"/>
        <v/>
      </c>
      <c r="AZ200" s="1721" t="str">
        <f t="shared" si="483"/>
        <v/>
      </c>
      <c r="BA200" s="1721" t="str">
        <f t="shared" si="484"/>
        <v/>
      </c>
      <c r="BB200" s="1721" t="str">
        <f t="shared" si="485"/>
        <v/>
      </c>
      <c r="BC200" s="1739">
        <f t="shared" si="486"/>
        <v>0</v>
      </c>
      <c r="BD200" s="1739">
        <f t="shared" si="487"/>
        <v>0</v>
      </c>
      <c r="BE200" s="1739">
        <f t="shared" si="488"/>
        <v>0</v>
      </c>
      <c r="BF200" s="1721">
        <f t="shared" si="507"/>
        <v>0</v>
      </c>
      <c r="BG200" s="1721">
        <f t="shared" si="489"/>
        <v>0</v>
      </c>
      <c r="BH200" s="1721">
        <f t="shared" si="490"/>
        <v>0</v>
      </c>
      <c r="BI200" s="1721">
        <f t="shared" si="491"/>
        <v>0</v>
      </c>
      <c r="BJ200" s="1721">
        <f t="shared" si="492"/>
        <v>0</v>
      </c>
      <c r="BK200" s="1721">
        <f t="shared" si="493"/>
        <v>0</v>
      </c>
      <c r="BL200" s="1721">
        <f t="shared" si="494"/>
        <v>0</v>
      </c>
      <c r="BM200" s="1715">
        <f t="shared" si="495"/>
        <v>0</v>
      </c>
      <c r="BN200" s="1715">
        <f t="shared" si="496"/>
        <v>0</v>
      </c>
      <c r="BO200" s="1715">
        <f t="shared" si="497"/>
        <v>0</v>
      </c>
      <c r="BP200" s="1715">
        <f t="shared" si="498"/>
        <v>0</v>
      </c>
      <c r="BQ200" s="1715">
        <f t="shared" si="499"/>
        <v>0</v>
      </c>
      <c r="BR200" s="1715">
        <f t="shared" si="500"/>
        <v>0</v>
      </c>
      <c r="BS200" s="1715">
        <f t="shared" si="501"/>
        <v>0</v>
      </c>
      <c r="BT200" s="1742">
        <f t="shared" si="502"/>
        <v>0</v>
      </c>
      <c r="BU200" s="1690">
        <f t="shared" si="503"/>
        <v>0</v>
      </c>
      <c r="BV200" s="1715" t="str">
        <f t="shared" si="504"/>
        <v/>
      </c>
      <c r="BW200" s="1722">
        <f t="shared" si="505"/>
        <v>0</v>
      </c>
      <c r="BZ200" s="2024" t="s">
        <v>2126</v>
      </c>
      <c r="CA200" s="2801" t="e">
        <f t="shared" si="509"/>
        <v>#N/A</v>
      </c>
      <c r="CB200" s="2801"/>
      <c r="CC200" s="2373" t="str">
        <f t="shared" si="510"/>
        <v/>
      </c>
    </row>
    <row r="201" spans="1:81">
      <c r="A201" s="1690" t="b">
        <f t="shared" si="457"/>
        <v>0</v>
      </c>
      <c r="B201" s="2193">
        <f t="shared" si="508"/>
        <v>0</v>
      </c>
      <c r="C201" s="1884" t="e">
        <f t="shared" si="458"/>
        <v>#N/A</v>
      </c>
      <c r="D201" s="1753" t="e">
        <f t="shared" si="459"/>
        <v>#N/A</v>
      </c>
      <c r="E201" s="1891" t="e">
        <f t="shared" si="460"/>
        <v>#N/A</v>
      </c>
      <c r="F201" s="1889" t="e">
        <f t="shared" si="461"/>
        <v>#N/A</v>
      </c>
      <c r="G201" s="1759"/>
      <c r="H201" s="1755"/>
      <c r="I201" s="1755"/>
      <c r="J201" s="1755"/>
      <c r="K201" s="1755"/>
      <c r="L201" s="1755"/>
      <c r="M201" s="1765"/>
      <c r="N201" s="1864" t="str">
        <f t="shared" si="511"/>
        <v/>
      </c>
      <c r="O201" s="1865" t="str">
        <f t="shared" si="511"/>
        <v/>
      </c>
      <c r="P201" s="1852" t="str">
        <f t="shared" si="511"/>
        <v/>
      </c>
      <c r="Q201" s="1692" t="str">
        <f t="shared" si="506"/>
        <v/>
      </c>
      <c r="R201" s="1692" t="str">
        <f t="shared" si="462"/>
        <v/>
      </c>
      <c r="S201" s="1692" t="str">
        <f t="shared" si="463"/>
        <v/>
      </c>
      <c r="T201" s="1692"/>
      <c r="U201" s="1900" t="str">
        <f t="shared" si="464"/>
        <v/>
      </c>
      <c r="V201" s="1841" t="str">
        <f>IF($B201=0,"",Conc1(BW201,VolumeNTP2,$AG201,MolVol,Pitots!$E$49,Pitots!$F$49,V$183,V$184,VoF))</f>
        <v/>
      </c>
      <c r="W201" s="1739" t="str">
        <f t="shared" si="465"/>
        <v/>
      </c>
      <c r="X201" s="1843"/>
      <c r="Y201" s="1901" t="str">
        <f>IF(V201="","",MassRate(V201,$AG201,MolVol,V$183,V$184,MRU,MRF,AverageFlowDry2,FF))</f>
        <v/>
      </c>
      <c r="Z201" s="1841"/>
      <c r="AE201" s="1842"/>
      <c r="AF201" s="1842"/>
      <c r="AG201" s="1753" t="e">
        <f t="shared" si="466"/>
        <v>#N/A</v>
      </c>
      <c r="AH201" s="1744" t="e">
        <f t="shared" si="467"/>
        <v>#N/A</v>
      </c>
      <c r="AK201" s="1872" t="e">
        <f t="shared" si="468"/>
        <v>#N/A</v>
      </c>
      <c r="AL201" s="1721" t="str">
        <f t="shared" si="469"/>
        <v/>
      </c>
      <c r="AM201" s="1721" t="str">
        <f t="shared" si="470"/>
        <v/>
      </c>
      <c r="AN201" s="1721" t="str">
        <f t="shared" si="471"/>
        <v/>
      </c>
      <c r="AO201" s="1721" t="str">
        <f t="shared" si="472"/>
        <v/>
      </c>
      <c r="AP201" s="1721" t="str">
        <f t="shared" si="473"/>
        <v/>
      </c>
      <c r="AQ201" s="1721" t="str">
        <f t="shared" si="474"/>
        <v/>
      </c>
      <c r="AR201" s="1721" t="str">
        <f t="shared" si="475"/>
        <v/>
      </c>
      <c r="AS201" s="1721" t="str">
        <f t="shared" si="476"/>
        <v/>
      </c>
      <c r="AT201" s="1721" t="str">
        <f t="shared" si="477"/>
        <v/>
      </c>
      <c r="AU201" s="1721" t="str">
        <f t="shared" si="478"/>
        <v/>
      </c>
      <c r="AV201" s="1721" t="str">
        <f t="shared" si="479"/>
        <v/>
      </c>
      <c r="AW201" s="1721" t="str">
        <f t="shared" si="480"/>
        <v/>
      </c>
      <c r="AX201" s="1721" t="str">
        <f t="shared" si="481"/>
        <v/>
      </c>
      <c r="AY201" s="1721" t="str">
        <f t="shared" si="482"/>
        <v/>
      </c>
      <c r="AZ201" s="1721" t="str">
        <f t="shared" si="483"/>
        <v/>
      </c>
      <c r="BA201" s="1721" t="str">
        <f t="shared" si="484"/>
        <v/>
      </c>
      <c r="BB201" s="1721" t="str">
        <f t="shared" si="485"/>
        <v/>
      </c>
      <c r="BC201" s="1739">
        <f t="shared" si="486"/>
        <v>0</v>
      </c>
      <c r="BD201" s="1739">
        <f t="shared" si="487"/>
        <v>0</v>
      </c>
      <c r="BE201" s="1739">
        <f t="shared" si="488"/>
        <v>0</v>
      </c>
      <c r="BF201" s="1721">
        <f t="shared" si="507"/>
        <v>0</v>
      </c>
      <c r="BG201" s="1721">
        <f t="shared" si="489"/>
        <v>0</v>
      </c>
      <c r="BH201" s="1721">
        <f t="shared" si="490"/>
        <v>0</v>
      </c>
      <c r="BI201" s="1721">
        <f t="shared" si="491"/>
        <v>0</v>
      </c>
      <c r="BJ201" s="1721">
        <f t="shared" si="492"/>
        <v>0</v>
      </c>
      <c r="BK201" s="1721">
        <f t="shared" si="493"/>
        <v>0</v>
      </c>
      <c r="BL201" s="1721">
        <f t="shared" si="494"/>
        <v>0</v>
      </c>
      <c r="BM201" s="1715">
        <f t="shared" si="495"/>
        <v>0</v>
      </c>
      <c r="BN201" s="1715">
        <f t="shared" si="496"/>
        <v>0</v>
      </c>
      <c r="BO201" s="1715">
        <f t="shared" si="497"/>
        <v>0</v>
      </c>
      <c r="BP201" s="1715">
        <f t="shared" si="498"/>
        <v>0</v>
      </c>
      <c r="BQ201" s="1715">
        <f t="shared" si="499"/>
        <v>0</v>
      </c>
      <c r="BR201" s="1715">
        <f t="shared" si="500"/>
        <v>0</v>
      </c>
      <c r="BS201" s="1715">
        <f t="shared" si="501"/>
        <v>0</v>
      </c>
      <c r="BT201" s="1742">
        <f t="shared" si="502"/>
        <v>0</v>
      </c>
      <c r="BU201" s="1690">
        <f t="shared" si="503"/>
        <v>0</v>
      </c>
      <c r="BV201" s="1715" t="str">
        <f t="shared" si="504"/>
        <v/>
      </c>
      <c r="BW201" s="1722">
        <f t="shared" si="505"/>
        <v>0</v>
      </c>
      <c r="BZ201" s="2024" t="s">
        <v>2127</v>
      </c>
      <c r="CA201" s="2801" t="e">
        <f t="shared" si="509"/>
        <v>#N/A</v>
      </c>
      <c r="CB201" s="2801"/>
      <c r="CC201" s="2373" t="str">
        <f t="shared" si="510"/>
        <v/>
      </c>
    </row>
    <row r="202" spans="1:81">
      <c r="A202" s="1690" t="b">
        <f t="shared" si="457"/>
        <v>0</v>
      </c>
      <c r="B202" s="2193">
        <f t="shared" si="508"/>
        <v>0</v>
      </c>
      <c r="C202" s="1884" t="e">
        <f t="shared" si="458"/>
        <v>#N/A</v>
      </c>
      <c r="D202" s="1753" t="e">
        <f t="shared" si="459"/>
        <v>#N/A</v>
      </c>
      <c r="E202" s="1891" t="e">
        <f t="shared" si="460"/>
        <v>#N/A</v>
      </c>
      <c r="F202" s="1889" t="e">
        <f t="shared" si="461"/>
        <v>#N/A</v>
      </c>
      <c r="G202" s="1759"/>
      <c r="H202" s="1755"/>
      <c r="I202" s="1755"/>
      <c r="J202" s="1755"/>
      <c r="K202" s="1755"/>
      <c r="L202" s="1755"/>
      <c r="M202" s="1765"/>
      <c r="N202" s="1864" t="str">
        <f t="shared" si="511"/>
        <v/>
      </c>
      <c r="O202" s="1865" t="str">
        <f t="shared" si="511"/>
        <v/>
      </c>
      <c r="P202" s="1852" t="str">
        <f t="shared" si="511"/>
        <v/>
      </c>
      <c r="Q202" s="1692" t="str">
        <f t="shared" si="506"/>
        <v/>
      </c>
      <c r="R202" s="1692" t="str">
        <f t="shared" si="462"/>
        <v/>
      </c>
      <c r="S202" s="1692" t="str">
        <f t="shared" si="463"/>
        <v/>
      </c>
      <c r="T202" s="1692"/>
      <c r="U202" s="1900" t="str">
        <f t="shared" si="464"/>
        <v/>
      </c>
      <c r="V202" s="1841" t="str">
        <f>IF($B202=0,"",Conc1(BW202,VolumeNTP2,$AG202,MolVol,Pitots!$E$49,Pitots!$F$49,V$183,V$184,VoF))</f>
        <v/>
      </c>
      <c r="W202" s="1739" t="str">
        <f t="shared" si="465"/>
        <v/>
      </c>
      <c r="X202" s="1843"/>
      <c r="Y202" s="1901" t="str">
        <f>IF(V202="","",MassRate(V202,$AG202,MolVol,V$183,V$184,MRU,MRF,AverageFlowDry2,FF))</f>
        <v/>
      </c>
      <c r="Z202" s="1841"/>
      <c r="AE202" s="1842"/>
      <c r="AF202" s="1842"/>
      <c r="AG202" s="1753" t="e">
        <f t="shared" si="466"/>
        <v>#N/A</v>
      </c>
      <c r="AH202" s="1744" t="e">
        <f t="shared" si="467"/>
        <v>#N/A</v>
      </c>
      <c r="AK202" s="1872" t="e">
        <f t="shared" si="468"/>
        <v>#N/A</v>
      </c>
      <c r="AL202" s="1721" t="str">
        <f t="shared" si="469"/>
        <v/>
      </c>
      <c r="AM202" s="1721" t="str">
        <f t="shared" si="470"/>
        <v/>
      </c>
      <c r="AN202" s="1721" t="str">
        <f t="shared" si="471"/>
        <v/>
      </c>
      <c r="AO202" s="1721" t="str">
        <f t="shared" si="472"/>
        <v/>
      </c>
      <c r="AP202" s="1721" t="str">
        <f t="shared" si="473"/>
        <v/>
      </c>
      <c r="AQ202" s="1721" t="str">
        <f t="shared" si="474"/>
        <v/>
      </c>
      <c r="AR202" s="1721" t="str">
        <f t="shared" si="475"/>
        <v/>
      </c>
      <c r="AS202" s="1721" t="str">
        <f t="shared" si="476"/>
        <v/>
      </c>
      <c r="AT202" s="1721" t="str">
        <f t="shared" si="477"/>
        <v/>
      </c>
      <c r="AU202" s="1721" t="str">
        <f t="shared" si="478"/>
        <v/>
      </c>
      <c r="AV202" s="1721" t="str">
        <f t="shared" si="479"/>
        <v/>
      </c>
      <c r="AW202" s="1721" t="str">
        <f t="shared" si="480"/>
        <v/>
      </c>
      <c r="AX202" s="1721" t="str">
        <f t="shared" si="481"/>
        <v/>
      </c>
      <c r="AY202" s="1721" t="str">
        <f t="shared" si="482"/>
        <v/>
      </c>
      <c r="AZ202" s="1721" t="str">
        <f t="shared" si="483"/>
        <v/>
      </c>
      <c r="BA202" s="1721" t="str">
        <f t="shared" si="484"/>
        <v/>
      </c>
      <c r="BB202" s="1721" t="str">
        <f t="shared" si="485"/>
        <v/>
      </c>
      <c r="BC202" s="1739">
        <f t="shared" si="486"/>
        <v>0</v>
      </c>
      <c r="BD202" s="1739">
        <f t="shared" si="487"/>
        <v>0</v>
      </c>
      <c r="BE202" s="1739">
        <f t="shared" si="488"/>
        <v>0</v>
      </c>
      <c r="BF202" s="1721">
        <f t="shared" si="507"/>
        <v>0</v>
      </c>
      <c r="BG202" s="1721">
        <f t="shared" si="489"/>
        <v>0</v>
      </c>
      <c r="BH202" s="1721">
        <f t="shared" si="490"/>
        <v>0</v>
      </c>
      <c r="BI202" s="1721">
        <f t="shared" si="491"/>
        <v>0</v>
      </c>
      <c r="BJ202" s="1721">
        <f t="shared" si="492"/>
        <v>0</v>
      </c>
      <c r="BK202" s="1721">
        <f t="shared" si="493"/>
        <v>0</v>
      </c>
      <c r="BL202" s="1721">
        <f t="shared" si="494"/>
        <v>0</v>
      </c>
      <c r="BM202" s="1715">
        <f t="shared" si="495"/>
        <v>0</v>
      </c>
      <c r="BN202" s="1715">
        <f t="shared" si="496"/>
        <v>0</v>
      </c>
      <c r="BO202" s="1715">
        <f t="shared" si="497"/>
        <v>0</v>
      </c>
      <c r="BP202" s="1715">
        <f t="shared" si="498"/>
        <v>0</v>
      </c>
      <c r="BQ202" s="1715">
        <f t="shared" si="499"/>
        <v>0</v>
      </c>
      <c r="BR202" s="1715">
        <f t="shared" si="500"/>
        <v>0</v>
      </c>
      <c r="BS202" s="1715">
        <f t="shared" si="501"/>
        <v>0</v>
      </c>
      <c r="BT202" s="1742">
        <f t="shared" si="502"/>
        <v>0</v>
      </c>
      <c r="BU202" s="1690">
        <f t="shared" si="503"/>
        <v>0</v>
      </c>
      <c r="BV202" s="1715" t="str">
        <f t="shared" si="504"/>
        <v/>
      </c>
      <c r="BW202" s="1722">
        <f t="shared" si="505"/>
        <v>0</v>
      </c>
      <c r="BZ202" s="2024" t="s">
        <v>2131</v>
      </c>
      <c r="CA202" s="2801" t="e">
        <f t="shared" si="509"/>
        <v>#N/A</v>
      </c>
      <c r="CB202" s="2801"/>
      <c r="CC202" s="2373" t="str">
        <f t="shared" si="510"/>
        <v/>
      </c>
    </row>
    <row r="203" spans="1:81">
      <c r="A203" s="1690" t="b">
        <f t="shared" si="457"/>
        <v>0</v>
      </c>
      <c r="B203" s="2193">
        <f t="shared" si="508"/>
        <v>0</v>
      </c>
      <c r="C203" s="1884" t="e">
        <f t="shared" si="458"/>
        <v>#N/A</v>
      </c>
      <c r="D203" s="1753" t="e">
        <f t="shared" si="459"/>
        <v>#N/A</v>
      </c>
      <c r="E203" s="1891" t="e">
        <f t="shared" si="460"/>
        <v>#N/A</v>
      </c>
      <c r="F203" s="1889" t="e">
        <f t="shared" si="461"/>
        <v>#N/A</v>
      </c>
      <c r="G203" s="1759"/>
      <c r="H203" s="1755"/>
      <c r="I203" s="1755"/>
      <c r="J203" s="1755"/>
      <c r="K203" s="1755"/>
      <c r="L203" s="1755"/>
      <c r="M203" s="1765"/>
      <c r="N203" s="1864" t="str">
        <f t="shared" si="511"/>
        <v/>
      </c>
      <c r="O203" s="1865" t="str">
        <f t="shared" si="511"/>
        <v/>
      </c>
      <c r="P203" s="1852" t="str">
        <f t="shared" si="511"/>
        <v/>
      </c>
      <c r="Q203" s="1692" t="str">
        <f t="shared" si="506"/>
        <v/>
      </c>
      <c r="R203" s="1692" t="str">
        <f t="shared" si="462"/>
        <v/>
      </c>
      <c r="S203" s="1692" t="str">
        <f t="shared" si="463"/>
        <v/>
      </c>
      <c r="T203" s="1692"/>
      <c r="U203" s="1900" t="str">
        <f t="shared" si="464"/>
        <v/>
      </c>
      <c r="V203" s="1841" t="str">
        <f>IF($B203=0,"",Conc1(BW203,VolumeNTP2,$AG203,MolVol,Pitots!$E$49,Pitots!$F$49,V$183,V$184,VoF))</f>
        <v/>
      </c>
      <c r="W203" s="1739" t="str">
        <f t="shared" si="465"/>
        <v/>
      </c>
      <c r="X203" s="1843"/>
      <c r="Y203" s="1901" t="str">
        <f>IF(V203="","",MassRate(V203,$AG203,MolVol,V$183,V$184,MRU,MRF,AverageFlowDry2,FF))</f>
        <v/>
      </c>
      <c r="Z203" s="1841"/>
      <c r="AE203" s="1842"/>
      <c r="AF203" s="1842"/>
      <c r="AG203" s="1753" t="e">
        <f t="shared" si="466"/>
        <v>#N/A</v>
      </c>
      <c r="AH203" s="1744" t="e">
        <f t="shared" si="467"/>
        <v>#N/A</v>
      </c>
      <c r="AK203" s="1872" t="e">
        <f t="shared" si="468"/>
        <v>#N/A</v>
      </c>
      <c r="AL203" s="1721" t="str">
        <f t="shared" si="469"/>
        <v/>
      </c>
      <c r="AM203" s="1721" t="str">
        <f t="shared" si="470"/>
        <v/>
      </c>
      <c r="AN203" s="1721" t="str">
        <f t="shared" si="471"/>
        <v/>
      </c>
      <c r="AO203" s="1721" t="str">
        <f t="shared" si="472"/>
        <v/>
      </c>
      <c r="AP203" s="1721" t="str">
        <f t="shared" si="473"/>
        <v/>
      </c>
      <c r="AQ203" s="1721" t="str">
        <f t="shared" si="474"/>
        <v/>
      </c>
      <c r="AR203" s="1721" t="str">
        <f t="shared" si="475"/>
        <v/>
      </c>
      <c r="AS203" s="1721" t="str">
        <f t="shared" si="476"/>
        <v/>
      </c>
      <c r="AT203" s="1721" t="str">
        <f t="shared" si="477"/>
        <v/>
      </c>
      <c r="AU203" s="1721" t="str">
        <f t="shared" si="478"/>
        <v/>
      </c>
      <c r="AV203" s="1721" t="str">
        <f t="shared" si="479"/>
        <v/>
      </c>
      <c r="AW203" s="1721" t="str">
        <f t="shared" si="480"/>
        <v/>
      </c>
      <c r="AX203" s="1721" t="str">
        <f t="shared" si="481"/>
        <v/>
      </c>
      <c r="AY203" s="1721" t="str">
        <f t="shared" si="482"/>
        <v/>
      </c>
      <c r="AZ203" s="1721" t="str">
        <f t="shared" si="483"/>
        <v/>
      </c>
      <c r="BA203" s="1721" t="str">
        <f t="shared" si="484"/>
        <v/>
      </c>
      <c r="BB203" s="1721" t="str">
        <f t="shared" si="485"/>
        <v/>
      </c>
      <c r="BC203" s="1739">
        <f t="shared" si="486"/>
        <v>0</v>
      </c>
      <c r="BD203" s="1739">
        <f t="shared" si="487"/>
        <v>0</v>
      </c>
      <c r="BE203" s="1739">
        <f t="shared" si="488"/>
        <v>0</v>
      </c>
      <c r="BF203" s="1721">
        <f t="shared" si="507"/>
        <v>0</v>
      </c>
      <c r="BG203" s="1721">
        <f t="shared" si="489"/>
        <v>0</v>
      </c>
      <c r="BH203" s="1721">
        <f t="shared" si="490"/>
        <v>0</v>
      </c>
      <c r="BI203" s="1721">
        <f t="shared" si="491"/>
        <v>0</v>
      </c>
      <c r="BJ203" s="1721">
        <f t="shared" si="492"/>
        <v>0</v>
      </c>
      <c r="BK203" s="1721">
        <f t="shared" si="493"/>
        <v>0</v>
      </c>
      <c r="BL203" s="1721">
        <f t="shared" si="494"/>
        <v>0</v>
      </c>
      <c r="BM203" s="1715">
        <f t="shared" si="495"/>
        <v>0</v>
      </c>
      <c r="BN203" s="1715">
        <f t="shared" si="496"/>
        <v>0</v>
      </c>
      <c r="BO203" s="1715">
        <f t="shared" si="497"/>
        <v>0</v>
      </c>
      <c r="BP203" s="1715">
        <f t="shared" si="498"/>
        <v>0</v>
      </c>
      <c r="BQ203" s="1715">
        <f t="shared" si="499"/>
        <v>0</v>
      </c>
      <c r="BR203" s="1715">
        <f t="shared" si="500"/>
        <v>0</v>
      </c>
      <c r="BS203" s="1715">
        <f t="shared" si="501"/>
        <v>0</v>
      </c>
      <c r="BT203" s="1742">
        <f t="shared" si="502"/>
        <v>0</v>
      </c>
      <c r="BU203" s="1690">
        <f t="shared" si="503"/>
        <v>0</v>
      </c>
      <c r="BV203" s="1715" t="str">
        <f t="shared" si="504"/>
        <v/>
      </c>
      <c r="BW203" s="1722">
        <f t="shared" si="505"/>
        <v>0</v>
      </c>
      <c r="BZ203" s="2024" t="s">
        <v>2133</v>
      </c>
      <c r="CA203" s="2801" t="e">
        <f t="shared" si="509"/>
        <v>#N/A</v>
      </c>
      <c r="CB203" s="2801"/>
      <c r="CC203" s="2373" t="str">
        <f t="shared" si="510"/>
        <v/>
      </c>
    </row>
    <row r="204" spans="1:81">
      <c r="A204" s="1690" t="b">
        <f t="shared" si="457"/>
        <v>0</v>
      </c>
      <c r="B204" s="2193">
        <f t="shared" si="508"/>
        <v>0</v>
      </c>
      <c r="C204" s="1884" t="e">
        <f t="shared" si="458"/>
        <v>#N/A</v>
      </c>
      <c r="D204" s="1753" t="e">
        <f t="shared" si="459"/>
        <v>#N/A</v>
      </c>
      <c r="E204" s="1891" t="e">
        <f t="shared" si="460"/>
        <v>#N/A</v>
      </c>
      <c r="F204" s="1889" t="e">
        <f t="shared" si="461"/>
        <v>#N/A</v>
      </c>
      <c r="G204" s="1759"/>
      <c r="H204" s="1755"/>
      <c r="I204" s="1755"/>
      <c r="J204" s="1755"/>
      <c r="K204" s="1755"/>
      <c r="L204" s="1755"/>
      <c r="M204" s="1765"/>
      <c r="N204" s="1864" t="str">
        <f t="shared" si="511"/>
        <v/>
      </c>
      <c r="O204" s="1865" t="str">
        <f t="shared" si="511"/>
        <v/>
      </c>
      <c r="P204" s="1852" t="str">
        <f t="shared" si="511"/>
        <v/>
      </c>
      <c r="Q204" s="1692" t="str">
        <f t="shared" si="506"/>
        <v/>
      </c>
      <c r="R204" s="1692" t="str">
        <f t="shared" si="462"/>
        <v/>
      </c>
      <c r="S204" s="1692" t="str">
        <f t="shared" si="463"/>
        <v/>
      </c>
      <c r="T204" s="1692"/>
      <c r="U204" s="1900" t="str">
        <f t="shared" si="464"/>
        <v/>
      </c>
      <c r="V204" s="1841" t="str">
        <f>IF($B204=0,"",Conc1(BW204,VolumeNTP2,$AG204,MolVol,Pitots!$E$49,Pitots!$F$49,V$183,V$184,VoF))</f>
        <v/>
      </c>
      <c r="W204" s="1739" t="str">
        <f t="shared" si="465"/>
        <v/>
      </c>
      <c r="X204" s="1843"/>
      <c r="Y204" s="1901" t="str">
        <f>IF(V204="","",MassRate(V204,$AG204,MolVol,V$183,V$184,MRU,MRF,AverageFlowDry2,FF))</f>
        <v/>
      </c>
      <c r="Z204" s="1841"/>
      <c r="AE204" s="1842"/>
      <c r="AF204" s="1842"/>
      <c r="AG204" s="1753" t="e">
        <f t="shared" si="466"/>
        <v>#N/A</v>
      </c>
      <c r="AH204" s="1744" t="e">
        <f t="shared" si="467"/>
        <v>#N/A</v>
      </c>
      <c r="AK204" s="1872" t="e">
        <f t="shared" si="468"/>
        <v>#N/A</v>
      </c>
      <c r="AL204" s="1721" t="str">
        <f t="shared" si="469"/>
        <v/>
      </c>
      <c r="AM204" s="1721" t="str">
        <f t="shared" si="470"/>
        <v/>
      </c>
      <c r="AN204" s="1721" t="str">
        <f t="shared" si="471"/>
        <v/>
      </c>
      <c r="AO204" s="1721" t="str">
        <f t="shared" si="472"/>
        <v/>
      </c>
      <c r="AP204" s="1721" t="str">
        <f t="shared" si="473"/>
        <v/>
      </c>
      <c r="AQ204" s="1721" t="str">
        <f t="shared" si="474"/>
        <v/>
      </c>
      <c r="AR204" s="1721" t="str">
        <f t="shared" si="475"/>
        <v/>
      </c>
      <c r="AS204" s="1721" t="str">
        <f t="shared" si="476"/>
        <v/>
      </c>
      <c r="AT204" s="1721" t="str">
        <f t="shared" si="477"/>
        <v/>
      </c>
      <c r="AU204" s="1721" t="str">
        <f t="shared" si="478"/>
        <v/>
      </c>
      <c r="AV204" s="1721" t="str">
        <f t="shared" si="479"/>
        <v/>
      </c>
      <c r="AW204" s="1721" t="str">
        <f t="shared" si="480"/>
        <v/>
      </c>
      <c r="AX204" s="1721" t="str">
        <f t="shared" si="481"/>
        <v/>
      </c>
      <c r="AY204" s="1721" t="str">
        <f t="shared" si="482"/>
        <v/>
      </c>
      <c r="AZ204" s="1721" t="str">
        <f t="shared" si="483"/>
        <v/>
      </c>
      <c r="BA204" s="1721" t="str">
        <f t="shared" si="484"/>
        <v/>
      </c>
      <c r="BB204" s="1721" t="str">
        <f t="shared" si="485"/>
        <v/>
      </c>
      <c r="BC204" s="1739">
        <f t="shared" si="486"/>
        <v>0</v>
      </c>
      <c r="BD204" s="1739">
        <f t="shared" si="487"/>
        <v>0</v>
      </c>
      <c r="BE204" s="1739">
        <f t="shared" si="488"/>
        <v>0</v>
      </c>
      <c r="BF204" s="1721">
        <f t="shared" si="507"/>
        <v>0</v>
      </c>
      <c r="BG204" s="1721">
        <f t="shared" si="489"/>
        <v>0</v>
      </c>
      <c r="BH204" s="1721">
        <f t="shared" si="490"/>
        <v>0</v>
      </c>
      <c r="BI204" s="1721">
        <f t="shared" si="491"/>
        <v>0</v>
      </c>
      <c r="BJ204" s="1721">
        <f t="shared" si="492"/>
        <v>0</v>
      </c>
      <c r="BK204" s="1721">
        <f t="shared" si="493"/>
        <v>0</v>
      </c>
      <c r="BL204" s="1721">
        <f t="shared" si="494"/>
        <v>0</v>
      </c>
      <c r="BM204" s="1715">
        <f t="shared" si="495"/>
        <v>0</v>
      </c>
      <c r="BN204" s="1715">
        <f t="shared" si="496"/>
        <v>0</v>
      </c>
      <c r="BO204" s="1715">
        <f t="shared" si="497"/>
        <v>0</v>
      </c>
      <c r="BP204" s="1715">
        <f t="shared" si="498"/>
        <v>0</v>
      </c>
      <c r="BQ204" s="1715">
        <f t="shared" si="499"/>
        <v>0</v>
      </c>
      <c r="BR204" s="1715">
        <f t="shared" si="500"/>
        <v>0</v>
      </c>
      <c r="BS204" s="1715">
        <f t="shared" si="501"/>
        <v>0</v>
      </c>
      <c r="BT204" s="1742">
        <f t="shared" si="502"/>
        <v>0</v>
      </c>
      <c r="BU204" s="1690">
        <f t="shared" si="503"/>
        <v>0</v>
      </c>
      <c r="BV204" s="1715" t="str">
        <f t="shared" si="504"/>
        <v/>
      </c>
      <c r="BW204" s="1722">
        <f t="shared" si="505"/>
        <v>0</v>
      </c>
      <c r="BZ204" s="2024" t="s">
        <v>2135</v>
      </c>
      <c r="CA204" s="2801" t="e">
        <f t="shared" si="509"/>
        <v>#N/A</v>
      </c>
      <c r="CB204" s="2801"/>
      <c r="CC204" s="2373" t="str">
        <f t="shared" si="510"/>
        <v/>
      </c>
    </row>
    <row r="205" spans="1:81">
      <c r="A205" s="1690" t="b">
        <f t="shared" si="457"/>
        <v>0</v>
      </c>
      <c r="B205" s="2193">
        <f t="shared" si="508"/>
        <v>0</v>
      </c>
      <c r="C205" s="1884" t="e">
        <f t="shared" si="458"/>
        <v>#N/A</v>
      </c>
      <c r="D205" s="1753" t="e">
        <f t="shared" si="459"/>
        <v>#N/A</v>
      </c>
      <c r="E205" s="1891" t="e">
        <f t="shared" si="460"/>
        <v>#N/A</v>
      </c>
      <c r="F205" s="1889" t="e">
        <f t="shared" si="461"/>
        <v>#N/A</v>
      </c>
      <c r="G205" s="1759"/>
      <c r="H205" s="1755"/>
      <c r="I205" s="1755"/>
      <c r="J205" s="1755"/>
      <c r="K205" s="1755"/>
      <c r="L205" s="1755"/>
      <c r="M205" s="1765"/>
      <c r="N205" s="1864" t="str">
        <f t="shared" si="511"/>
        <v/>
      </c>
      <c r="O205" s="1865" t="str">
        <f t="shared" si="511"/>
        <v/>
      </c>
      <c r="P205" s="1852" t="str">
        <f t="shared" si="511"/>
        <v/>
      </c>
      <c r="Q205" s="1692" t="str">
        <f t="shared" si="506"/>
        <v/>
      </c>
      <c r="R205" s="1692" t="str">
        <f t="shared" si="462"/>
        <v/>
      </c>
      <c r="S205" s="1692" t="str">
        <f t="shared" si="463"/>
        <v/>
      </c>
      <c r="T205" s="1692"/>
      <c r="U205" s="1900" t="str">
        <f t="shared" si="464"/>
        <v/>
      </c>
      <c r="V205" s="1841" t="str">
        <f>IF($B205=0,"",Conc1(BW205,VolumeNTP2,$AG205,MolVol,Pitots!$E$49,Pitots!$F$49,V$183,V$184,VoF))</f>
        <v/>
      </c>
      <c r="W205" s="1739" t="str">
        <f t="shared" si="465"/>
        <v/>
      </c>
      <c r="X205" s="1843"/>
      <c r="Y205" s="1901" t="str">
        <f>IF(V205="","",MassRate(V205,$AG205,MolVol,V$183,V$184,MRU,MRF,AverageFlowDry2,FF))</f>
        <v/>
      </c>
      <c r="Z205" s="1841"/>
      <c r="AE205" s="1842"/>
      <c r="AF205" s="1842"/>
      <c r="AG205" s="1753" t="e">
        <f t="shared" si="466"/>
        <v>#N/A</v>
      </c>
      <c r="AH205" s="1744" t="e">
        <f t="shared" si="467"/>
        <v>#N/A</v>
      </c>
      <c r="AK205" s="1872" t="e">
        <f t="shared" si="468"/>
        <v>#N/A</v>
      </c>
      <c r="AL205" s="1721" t="str">
        <f t="shared" si="469"/>
        <v/>
      </c>
      <c r="AM205" s="1721" t="str">
        <f t="shared" si="470"/>
        <v/>
      </c>
      <c r="AN205" s="1721" t="str">
        <f t="shared" si="471"/>
        <v/>
      </c>
      <c r="AO205" s="1721" t="str">
        <f t="shared" si="472"/>
        <v/>
      </c>
      <c r="AP205" s="1721" t="str">
        <f t="shared" si="473"/>
        <v/>
      </c>
      <c r="AQ205" s="1721" t="str">
        <f t="shared" si="474"/>
        <v/>
      </c>
      <c r="AR205" s="1721" t="str">
        <f t="shared" si="475"/>
        <v/>
      </c>
      <c r="AS205" s="1721" t="str">
        <f t="shared" si="476"/>
        <v/>
      </c>
      <c r="AT205" s="1721" t="str">
        <f t="shared" si="477"/>
        <v/>
      </c>
      <c r="AU205" s="1721" t="str">
        <f t="shared" si="478"/>
        <v/>
      </c>
      <c r="AV205" s="1721" t="str">
        <f t="shared" si="479"/>
        <v/>
      </c>
      <c r="AW205" s="1721" t="str">
        <f t="shared" si="480"/>
        <v/>
      </c>
      <c r="AX205" s="1721" t="str">
        <f t="shared" si="481"/>
        <v/>
      </c>
      <c r="AY205" s="1721" t="str">
        <f t="shared" si="482"/>
        <v/>
      </c>
      <c r="AZ205" s="1721" t="str">
        <f t="shared" si="483"/>
        <v/>
      </c>
      <c r="BA205" s="1721" t="str">
        <f t="shared" si="484"/>
        <v/>
      </c>
      <c r="BB205" s="1721" t="str">
        <f t="shared" si="485"/>
        <v/>
      </c>
      <c r="BC205" s="1739">
        <f t="shared" si="486"/>
        <v>0</v>
      </c>
      <c r="BD205" s="1739">
        <f t="shared" si="487"/>
        <v>0</v>
      </c>
      <c r="BE205" s="1739">
        <f t="shared" si="488"/>
        <v>0</v>
      </c>
      <c r="BF205" s="1721">
        <f t="shared" si="507"/>
        <v>0</v>
      </c>
      <c r="BG205" s="1721">
        <f t="shared" si="489"/>
        <v>0</v>
      </c>
      <c r="BH205" s="1721">
        <f t="shared" si="490"/>
        <v>0</v>
      </c>
      <c r="BI205" s="1721">
        <f t="shared" si="491"/>
        <v>0</v>
      </c>
      <c r="BJ205" s="1721">
        <f t="shared" si="492"/>
        <v>0</v>
      </c>
      <c r="BK205" s="1721">
        <f t="shared" si="493"/>
        <v>0</v>
      </c>
      <c r="BL205" s="1721">
        <f t="shared" si="494"/>
        <v>0</v>
      </c>
      <c r="BM205" s="1715">
        <f t="shared" si="495"/>
        <v>0</v>
      </c>
      <c r="BN205" s="1715">
        <f t="shared" si="496"/>
        <v>0</v>
      </c>
      <c r="BO205" s="1715">
        <f t="shared" si="497"/>
        <v>0</v>
      </c>
      <c r="BP205" s="1715">
        <f t="shared" si="498"/>
        <v>0</v>
      </c>
      <c r="BQ205" s="1715">
        <f t="shared" si="499"/>
        <v>0</v>
      </c>
      <c r="BR205" s="1715">
        <f t="shared" si="500"/>
        <v>0</v>
      </c>
      <c r="BS205" s="1715">
        <f t="shared" si="501"/>
        <v>0</v>
      </c>
      <c r="BT205" s="1742">
        <f t="shared" si="502"/>
        <v>0</v>
      </c>
      <c r="BU205" s="1690">
        <f t="shared" si="503"/>
        <v>0</v>
      </c>
      <c r="BV205" s="1715" t="str">
        <f t="shared" si="504"/>
        <v/>
      </c>
      <c r="BW205" s="1722">
        <f t="shared" si="505"/>
        <v>0</v>
      </c>
      <c r="BZ205" s="2027" t="s">
        <v>2137</v>
      </c>
      <c r="CA205" s="2801" t="e">
        <f t="shared" si="509"/>
        <v>#N/A</v>
      </c>
      <c r="CB205" s="2801"/>
      <c r="CC205" s="2373" t="str">
        <f t="shared" si="510"/>
        <v/>
      </c>
    </row>
    <row r="206" spans="1:81">
      <c r="A206" s="1690" t="b">
        <f t="shared" si="457"/>
        <v>0</v>
      </c>
      <c r="B206" s="2193">
        <f t="shared" si="508"/>
        <v>0</v>
      </c>
      <c r="C206" s="1884" t="e">
        <f t="shared" si="458"/>
        <v>#N/A</v>
      </c>
      <c r="D206" s="1753" t="e">
        <f t="shared" si="459"/>
        <v>#N/A</v>
      </c>
      <c r="E206" s="1891" t="e">
        <f t="shared" si="460"/>
        <v>#N/A</v>
      </c>
      <c r="F206" s="1889" t="e">
        <f t="shared" si="461"/>
        <v>#N/A</v>
      </c>
      <c r="G206" s="1759"/>
      <c r="H206" s="1755"/>
      <c r="I206" s="1755"/>
      <c r="J206" s="1755"/>
      <c r="K206" s="1755"/>
      <c r="L206" s="1755"/>
      <c r="M206" s="1765"/>
      <c r="N206" s="1864" t="str">
        <f t="shared" si="511"/>
        <v/>
      </c>
      <c r="O206" s="1865" t="str">
        <f t="shared" si="511"/>
        <v/>
      </c>
      <c r="P206" s="1852" t="str">
        <f t="shared" si="511"/>
        <v/>
      </c>
      <c r="Q206" s="1692" t="str">
        <f t="shared" ref="Q206:Q220" si="512">IF(B206=0,"",IF(SUM(V206,V252)=0,"no result",IF(COUNT(V206:AB206)=1,"Single Result","")))</f>
        <v/>
      </c>
      <c r="R206" s="1692" t="str">
        <f t="shared" ref="R206:R220" si="513">IF(B206=0,"",IF(OR(V206="",V252=""),0,ABS((MAX(V206:AB206)-MIN(V206:AB206))/AVERAGE(V206:AB206))))</f>
        <v/>
      </c>
      <c r="S206" s="1692" t="str">
        <f t="shared" si="463"/>
        <v/>
      </c>
      <c r="T206" s="1692"/>
      <c r="U206" s="1900" t="str">
        <f t="shared" si="464"/>
        <v/>
      </c>
      <c r="V206" s="1841" t="str">
        <f>IF($B206=0,"",Conc1(BW206,VolumeNTP2,$AG206,MolVol,Pitots!$E$49,Pitots!$F$49,V$183,V$184,VoF))</f>
        <v/>
      </c>
      <c r="W206" s="1739" t="str">
        <f t="shared" si="465"/>
        <v/>
      </c>
      <c r="X206" s="1843"/>
      <c r="Y206" s="1901" t="str">
        <f>IF(V206="","",MassRate(V206,$AG206,MolVol,V$183,V$184,MRU,MRF,AverageFlowDry2,FF))</f>
        <v/>
      </c>
      <c r="Z206" s="1841"/>
      <c r="AE206" s="1842"/>
      <c r="AF206" s="1842"/>
      <c r="AG206" s="1753" t="e">
        <f t="shared" si="466"/>
        <v>#N/A</v>
      </c>
      <c r="AH206" s="1744" t="e">
        <f t="shared" si="467"/>
        <v>#N/A</v>
      </c>
      <c r="AK206" s="1872" t="e">
        <f t="shared" si="468"/>
        <v>#N/A</v>
      </c>
      <c r="AL206" s="1721" t="str">
        <f t="shared" si="469"/>
        <v/>
      </c>
      <c r="AM206" s="1721" t="str">
        <f t="shared" si="470"/>
        <v/>
      </c>
      <c r="AN206" s="1721" t="str">
        <f t="shared" si="471"/>
        <v/>
      </c>
      <c r="AO206" s="1721" t="str">
        <f t="shared" si="472"/>
        <v/>
      </c>
      <c r="AP206" s="1721" t="str">
        <f t="shared" si="473"/>
        <v/>
      </c>
      <c r="AQ206" s="1721" t="str">
        <f t="shared" si="474"/>
        <v/>
      </c>
      <c r="AR206" s="1721" t="str">
        <f t="shared" si="475"/>
        <v/>
      </c>
      <c r="AS206" s="1721" t="str">
        <f t="shared" si="476"/>
        <v/>
      </c>
      <c r="AT206" s="1721" t="str">
        <f t="shared" si="477"/>
        <v/>
      </c>
      <c r="AU206" s="1721" t="str">
        <f t="shared" si="478"/>
        <v/>
      </c>
      <c r="AV206" s="1721" t="str">
        <f t="shared" si="479"/>
        <v/>
      </c>
      <c r="AW206" s="1721" t="str">
        <f t="shared" si="480"/>
        <v/>
      </c>
      <c r="AX206" s="1721" t="str">
        <f t="shared" si="481"/>
        <v/>
      </c>
      <c r="AY206" s="1721" t="str">
        <f t="shared" si="482"/>
        <v/>
      </c>
      <c r="AZ206" s="1721" t="str">
        <f t="shared" si="483"/>
        <v/>
      </c>
      <c r="BA206" s="1721" t="str">
        <f t="shared" si="484"/>
        <v/>
      </c>
      <c r="BB206" s="1721" t="str">
        <f t="shared" si="485"/>
        <v/>
      </c>
      <c r="BC206" s="1739">
        <f t="shared" si="486"/>
        <v>0</v>
      </c>
      <c r="BD206" s="1739">
        <f t="shared" si="487"/>
        <v>0</v>
      </c>
      <c r="BE206" s="1739">
        <f t="shared" si="488"/>
        <v>0</v>
      </c>
      <c r="BF206" s="1721">
        <f t="shared" si="507"/>
        <v>0</v>
      </c>
      <c r="BG206" s="1721">
        <f t="shared" si="489"/>
        <v>0</v>
      </c>
      <c r="BH206" s="1721">
        <f t="shared" si="490"/>
        <v>0</v>
      </c>
      <c r="BI206" s="1721">
        <f t="shared" si="491"/>
        <v>0</v>
      </c>
      <c r="BJ206" s="1721">
        <f t="shared" si="492"/>
        <v>0</v>
      </c>
      <c r="BK206" s="1721">
        <f t="shared" si="493"/>
        <v>0</v>
      </c>
      <c r="BL206" s="1721">
        <f t="shared" si="494"/>
        <v>0</v>
      </c>
      <c r="BM206" s="1715">
        <f t="shared" si="495"/>
        <v>0</v>
      </c>
      <c r="BN206" s="1715">
        <f t="shared" si="496"/>
        <v>0</v>
      </c>
      <c r="BO206" s="1715">
        <f t="shared" si="497"/>
        <v>0</v>
      </c>
      <c r="BP206" s="1715">
        <f t="shared" si="498"/>
        <v>0</v>
      </c>
      <c r="BQ206" s="1715">
        <f t="shared" si="499"/>
        <v>0</v>
      </c>
      <c r="BR206" s="1715">
        <f t="shared" si="500"/>
        <v>0</v>
      </c>
      <c r="BS206" s="1715">
        <f t="shared" si="501"/>
        <v>0</v>
      </c>
      <c r="BT206" s="1742">
        <f t="shared" si="502"/>
        <v>0</v>
      </c>
      <c r="BU206" s="1690">
        <f t="shared" si="503"/>
        <v>0</v>
      </c>
      <c r="BV206" s="1715" t="str">
        <f t="shared" si="504"/>
        <v/>
      </c>
      <c r="BW206" s="1722">
        <f t="shared" si="505"/>
        <v>0</v>
      </c>
      <c r="BZ206" s="2027" t="s">
        <v>2034</v>
      </c>
      <c r="CA206" s="2801" t="e">
        <f t="shared" si="509"/>
        <v>#N/A</v>
      </c>
      <c r="CB206" s="2801"/>
      <c r="CC206" s="2373" t="str">
        <f t="shared" si="510"/>
        <v/>
      </c>
    </row>
    <row r="207" spans="1:81">
      <c r="A207" s="1690" t="b">
        <f t="shared" si="457"/>
        <v>0</v>
      </c>
      <c r="B207" s="2193">
        <f t="shared" si="508"/>
        <v>0</v>
      </c>
      <c r="C207" s="1884" t="e">
        <f t="shared" si="458"/>
        <v>#N/A</v>
      </c>
      <c r="D207" s="1753" t="e">
        <f t="shared" si="459"/>
        <v>#N/A</v>
      </c>
      <c r="E207" s="1891" t="e">
        <f t="shared" si="460"/>
        <v>#N/A</v>
      </c>
      <c r="F207" s="1889" t="e">
        <f t="shared" si="461"/>
        <v>#N/A</v>
      </c>
      <c r="G207" s="1759"/>
      <c r="H207" s="1755"/>
      <c r="I207" s="1755"/>
      <c r="J207" s="1755"/>
      <c r="K207" s="1755"/>
      <c r="L207" s="1755"/>
      <c r="M207" s="1765"/>
      <c r="N207" s="1864" t="str">
        <f t="shared" si="511"/>
        <v/>
      </c>
      <c r="O207" s="1865" t="str">
        <f t="shared" si="511"/>
        <v/>
      </c>
      <c r="P207" s="1852" t="str">
        <f t="shared" si="511"/>
        <v/>
      </c>
      <c r="Q207" s="1692" t="str">
        <f t="shared" si="512"/>
        <v/>
      </c>
      <c r="R207" s="1692" t="str">
        <f t="shared" si="513"/>
        <v/>
      </c>
      <c r="S207" s="1692" t="str">
        <f t="shared" si="463"/>
        <v/>
      </c>
      <c r="T207" s="1692"/>
      <c r="U207" s="1900" t="str">
        <f t="shared" si="464"/>
        <v/>
      </c>
      <c r="V207" s="1841" t="str">
        <f>IF($B207=0,"",Conc1(BW207,VolumeNTP2,$AG207,MolVol,Pitots!$E$49,Pitots!$F$49,V$183,V$184,VoF))</f>
        <v/>
      </c>
      <c r="W207" s="1739" t="str">
        <f t="shared" si="465"/>
        <v/>
      </c>
      <c r="X207" s="1843"/>
      <c r="Y207" s="1901" t="str">
        <f>IF(V207="","",MassRate(V207,$AG207,MolVol,V$183,V$184,MRU,MRF,AverageFlowDry2,FF))</f>
        <v/>
      </c>
      <c r="Z207" s="1841"/>
      <c r="AE207" s="1842"/>
      <c r="AF207" s="1842"/>
      <c r="AG207" s="1753" t="e">
        <f t="shared" si="466"/>
        <v>#N/A</v>
      </c>
      <c r="AH207" s="1744" t="e">
        <f t="shared" si="467"/>
        <v>#N/A</v>
      </c>
      <c r="AK207" s="1872" t="e">
        <f t="shared" si="468"/>
        <v>#N/A</v>
      </c>
      <c r="AL207" s="1721" t="str">
        <f t="shared" si="469"/>
        <v/>
      </c>
      <c r="AM207" s="1721" t="str">
        <f t="shared" si="470"/>
        <v/>
      </c>
      <c r="AN207" s="1721" t="str">
        <f t="shared" si="471"/>
        <v/>
      </c>
      <c r="AO207" s="1721" t="str">
        <f t="shared" si="472"/>
        <v/>
      </c>
      <c r="AP207" s="1721" t="str">
        <f t="shared" si="473"/>
        <v/>
      </c>
      <c r="AQ207" s="1721" t="str">
        <f t="shared" si="474"/>
        <v/>
      </c>
      <c r="AR207" s="1721" t="str">
        <f t="shared" si="475"/>
        <v/>
      </c>
      <c r="AS207" s="1721" t="str">
        <f t="shared" si="476"/>
        <v/>
      </c>
      <c r="AT207" s="1721" t="str">
        <f t="shared" si="477"/>
        <v/>
      </c>
      <c r="AU207" s="1721" t="str">
        <f t="shared" si="478"/>
        <v/>
      </c>
      <c r="AV207" s="1721" t="str">
        <f t="shared" si="479"/>
        <v/>
      </c>
      <c r="AW207" s="1721" t="str">
        <f t="shared" si="480"/>
        <v/>
      </c>
      <c r="AX207" s="1721" t="str">
        <f t="shared" si="481"/>
        <v/>
      </c>
      <c r="AY207" s="1721" t="str">
        <f t="shared" si="482"/>
        <v/>
      </c>
      <c r="AZ207" s="1721" t="str">
        <f t="shared" si="483"/>
        <v/>
      </c>
      <c r="BA207" s="1721" t="str">
        <f t="shared" si="484"/>
        <v/>
      </c>
      <c r="BB207" s="1721" t="str">
        <f t="shared" si="485"/>
        <v/>
      </c>
      <c r="BC207" s="1739">
        <f t="shared" si="486"/>
        <v>0</v>
      </c>
      <c r="BD207" s="1739">
        <f t="shared" si="487"/>
        <v>0</v>
      </c>
      <c r="BE207" s="1739">
        <f t="shared" si="488"/>
        <v>0</v>
      </c>
      <c r="BF207" s="1721">
        <f t="shared" si="507"/>
        <v>0</v>
      </c>
      <c r="BG207" s="1721">
        <f t="shared" si="489"/>
        <v>0</v>
      </c>
      <c r="BH207" s="1721">
        <f t="shared" si="490"/>
        <v>0</v>
      </c>
      <c r="BI207" s="1721">
        <f t="shared" si="491"/>
        <v>0</v>
      </c>
      <c r="BJ207" s="1721">
        <f t="shared" si="492"/>
        <v>0</v>
      </c>
      <c r="BK207" s="1721">
        <f t="shared" si="493"/>
        <v>0</v>
      </c>
      <c r="BL207" s="1721">
        <f t="shared" si="494"/>
        <v>0</v>
      </c>
      <c r="BM207" s="1715">
        <f t="shared" si="495"/>
        <v>0</v>
      </c>
      <c r="BN207" s="1715">
        <f t="shared" si="496"/>
        <v>0</v>
      </c>
      <c r="BO207" s="1715">
        <f t="shared" si="497"/>
        <v>0</v>
      </c>
      <c r="BP207" s="1715">
        <f t="shared" si="498"/>
        <v>0</v>
      </c>
      <c r="BQ207" s="1715">
        <f t="shared" si="499"/>
        <v>0</v>
      </c>
      <c r="BR207" s="1715">
        <f t="shared" si="500"/>
        <v>0</v>
      </c>
      <c r="BS207" s="1715">
        <f t="shared" si="501"/>
        <v>0</v>
      </c>
      <c r="BT207" s="1742">
        <f t="shared" si="502"/>
        <v>0</v>
      </c>
      <c r="BU207" s="1690">
        <f t="shared" si="503"/>
        <v>0</v>
      </c>
      <c r="BV207" s="1715" t="str">
        <f t="shared" si="504"/>
        <v/>
      </c>
      <c r="BW207" s="1722">
        <f t="shared" si="505"/>
        <v>0</v>
      </c>
      <c r="BZ207" s="2032" t="s">
        <v>1452</v>
      </c>
      <c r="CA207" s="2802">
        <f>IF(ISNA(SUM(CA199:CA206)),0,SUM(CA199:CA206))</f>
        <v>0</v>
      </c>
      <c r="CB207" s="2802"/>
      <c r="CC207" s="2374" t="str">
        <f>IF(OR(CC199="",CC200="",CC201="",CC202="",CC203="",CC204="",CC205="",CC206=""),"",SUM(CC199:CC206))</f>
        <v/>
      </c>
    </row>
    <row r="208" spans="1:81">
      <c r="A208" s="1690" t="b">
        <f t="shared" si="457"/>
        <v>0</v>
      </c>
      <c r="B208" s="2193">
        <f t="shared" si="508"/>
        <v>0</v>
      </c>
      <c r="C208" s="1884" t="e">
        <f t="shared" si="458"/>
        <v>#N/A</v>
      </c>
      <c r="D208" s="1753" t="e">
        <f t="shared" si="459"/>
        <v>#N/A</v>
      </c>
      <c r="E208" s="1891" t="e">
        <f t="shared" si="460"/>
        <v>#N/A</v>
      </c>
      <c r="F208" s="1889" t="e">
        <f t="shared" si="461"/>
        <v>#N/A</v>
      </c>
      <c r="G208" s="1759"/>
      <c r="H208" s="1755"/>
      <c r="I208" s="1755"/>
      <c r="J208" s="1755"/>
      <c r="K208" s="1755"/>
      <c r="L208" s="1755"/>
      <c r="M208" s="1765"/>
      <c r="N208" s="1864" t="str">
        <f t="shared" si="511"/>
        <v/>
      </c>
      <c r="O208" s="1865" t="str">
        <f t="shared" si="511"/>
        <v/>
      </c>
      <c r="P208" s="1852" t="str">
        <f t="shared" si="511"/>
        <v/>
      </c>
      <c r="Q208" s="1692" t="str">
        <f t="shared" si="512"/>
        <v/>
      </c>
      <c r="R208" s="1692" t="str">
        <f t="shared" si="513"/>
        <v/>
      </c>
      <c r="S208" s="1692" t="str">
        <f t="shared" si="463"/>
        <v/>
      </c>
      <c r="T208" s="1692"/>
      <c r="U208" s="1900" t="str">
        <f t="shared" si="464"/>
        <v/>
      </c>
      <c r="V208" s="1841" t="str">
        <f>IF($B208=0,"",Conc1(BW208,VolumeNTP2,$AG208,MolVol,Pitots!$E$49,Pitots!$F$49,V$183,V$184,VoF))</f>
        <v/>
      </c>
      <c r="W208" s="1739" t="str">
        <f t="shared" si="465"/>
        <v/>
      </c>
      <c r="X208" s="1843"/>
      <c r="Y208" s="1901" t="str">
        <f>IF(V208="","",MassRate(V208,$AG208,MolVol,V$183,V$184,MRU,MRF,AverageFlowDry2,FF))</f>
        <v/>
      </c>
      <c r="Z208" s="1841"/>
      <c r="AE208" s="1842"/>
      <c r="AF208" s="1842"/>
      <c r="AG208" s="1753" t="e">
        <f t="shared" si="466"/>
        <v>#N/A</v>
      </c>
      <c r="AH208" s="1744" t="e">
        <f t="shared" si="467"/>
        <v>#N/A</v>
      </c>
      <c r="AK208" s="1872" t="e">
        <f t="shared" si="468"/>
        <v>#N/A</v>
      </c>
      <c r="AL208" s="1721" t="str">
        <f t="shared" si="469"/>
        <v/>
      </c>
      <c r="AM208" s="1721" t="str">
        <f t="shared" si="470"/>
        <v/>
      </c>
      <c r="AN208" s="1721" t="str">
        <f t="shared" si="471"/>
        <v/>
      </c>
      <c r="AO208" s="1721" t="str">
        <f t="shared" si="472"/>
        <v/>
      </c>
      <c r="AP208" s="1721" t="str">
        <f t="shared" si="473"/>
        <v/>
      </c>
      <c r="AQ208" s="1721" t="str">
        <f t="shared" si="474"/>
        <v/>
      </c>
      <c r="AR208" s="1721" t="str">
        <f t="shared" si="475"/>
        <v/>
      </c>
      <c r="AS208" s="1721" t="str">
        <f t="shared" si="476"/>
        <v/>
      </c>
      <c r="AT208" s="1721" t="str">
        <f t="shared" si="477"/>
        <v/>
      </c>
      <c r="AU208" s="1721" t="str">
        <f t="shared" si="478"/>
        <v/>
      </c>
      <c r="AV208" s="1721" t="str">
        <f t="shared" si="479"/>
        <v/>
      </c>
      <c r="AW208" s="1721" t="str">
        <f t="shared" si="480"/>
        <v/>
      </c>
      <c r="AX208" s="1721" t="str">
        <f t="shared" si="481"/>
        <v/>
      </c>
      <c r="AY208" s="1721" t="str">
        <f t="shared" si="482"/>
        <v/>
      </c>
      <c r="AZ208" s="1721" t="str">
        <f t="shared" si="483"/>
        <v/>
      </c>
      <c r="BA208" s="1721" t="str">
        <f t="shared" si="484"/>
        <v/>
      </c>
      <c r="BB208" s="1721" t="str">
        <f t="shared" si="485"/>
        <v/>
      </c>
      <c r="BC208" s="1739">
        <f t="shared" si="486"/>
        <v>0</v>
      </c>
      <c r="BD208" s="1739">
        <f t="shared" si="487"/>
        <v>0</v>
      </c>
      <c r="BE208" s="1739">
        <f t="shared" si="488"/>
        <v>0</v>
      </c>
      <c r="BF208" s="1721">
        <f t="shared" si="507"/>
        <v>0</v>
      </c>
      <c r="BG208" s="1721">
        <f t="shared" si="489"/>
        <v>0</v>
      </c>
      <c r="BH208" s="1721">
        <f t="shared" si="490"/>
        <v>0</v>
      </c>
      <c r="BI208" s="1721">
        <f t="shared" si="491"/>
        <v>0</v>
      </c>
      <c r="BJ208" s="1721">
        <f t="shared" si="492"/>
        <v>0</v>
      </c>
      <c r="BK208" s="1721">
        <f t="shared" si="493"/>
        <v>0</v>
      </c>
      <c r="BL208" s="1721">
        <f t="shared" si="494"/>
        <v>0</v>
      </c>
      <c r="BM208" s="1715">
        <f t="shared" si="495"/>
        <v>0</v>
      </c>
      <c r="BN208" s="1715">
        <f t="shared" si="496"/>
        <v>0</v>
      </c>
      <c r="BO208" s="1715">
        <f t="shared" si="497"/>
        <v>0</v>
      </c>
      <c r="BP208" s="1715">
        <f t="shared" si="498"/>
        <v>0</v>
      </c>
      <c r="BQ208" s="1715">
        <f t="shared" si="499"/>
        <v>0</v>
      </c>
      <c r="BR208" s="1715">
        <f t="shared" si="500"/>
        <v>0</v>
      </c>
      <c r="BS208" s="1715">
        <f t="shared" si="501"/>
        <v>0</v>
      </c>
      <c r="BT208" s="1742">
        <f t="shared" si="502"/>
        <v>0</v>
      </c>
      <c r="BU208" s="1690">
        <f t="shared" si="503"/>
        <v>0</v>
      </c>
      <c r="BV208" s="1715" t="str">
        <f t="shared" si="504"/>
        <v/>
      </c>
      <c r="BW208" s="1722">
        <f t="shared" si="505"/>
        <v>0</v>
      </c>
    </row>
    <row r="209" spans="1:75">
      <c r="A209" s="1690" t="b">
        <f t="shared" si="457"/>
        <v>0</v>
      </c>
      <c r="B209" s="2193">
        <f t="shared" si="508"/>
        <v>0</v>
      </c>
      <c r="C209" s="1884" t="e">
        <f t="shared" si="458"/>
        <v>#N/A</v>
      </c>
      <c r="D209" s="1753" t="e">
        <f t="shared" si="459"/>
        <v>#N/A</v>
      </c>
      <c r="E209" s="1891" t="e">
        <f t="shared" si="460"/>
        <v>#N/A</v>
      </c>
      <c r="F209" s="1889" t="e">
        <f t="shared" si="461"/>
        <v>#N/A</v>
      </c>
      <c r="G209" s="1759"/>
      <c r="H209" s="1755"/>
      <c r="I209" s="1755"/>
      <c r="J209" s="1755"/>
      <c r="K209" s="1755"/>
      <c r="L209" s="1755"/>
      <c r="M209" s="1765"/>
      <c r="N209" s="1864" t="str">
        <f t="shared" si="511"/>
        <v/>
      </c>
      <c r="O209" s="1865" t="str">
        <f t="shared" si="511"/>
        <v/>
      </c>
      <c r="P209" s="1852" t="str">
        <f t="shared" si="511"/>
        <v/>
      </c>
      <c r="Q209" s="1692" t="str">
        <f t="shared" si="512"/>
        <v/>
      </c>
      <c r="R209" s="1692" t="str">
        <f t="shared" si="513"/>
        <v/>
      </c>
      <c r="S209" s="1692" t="str">
        <f t="shared" si="463"/>
        <v/>
      </c>
      <c r="T209" s="1692"/>
      <c r="U209" s="1900" t="str">
        <f t="shared" si="464"/>
        <v/>
      </c>
      <c r="V209" s="1841" t="str">
        <f>IF($B209=0,"",Conc1(BW209,VolumeNTP2,$AG209,MolVol,Pitots!$E$49,Pitots!$F$49,V$183,V$184,VoF))</f>
        <v/>
      </c>
      <c r="W209" s="1739" t="str">
        <f t="shared" si="465"/>
        <v/>
      </c>
      <c r="X209" s="1843"/>
      <c r="Y209" s="1901" t="str">
        <f>IF(V209="","",MassRate(V209,$AG209,MolVol,V$183,V$184,MRU,MRF,AverageFlowDry2,FF))</f>
        <v/>
      </c>
      <c r="Z209" s="1841"/>
      <c r="AE209" s="1842"/>
      <c r="AF209" s="1842"/>
      <c r="AG209" s="1753" t="e">
        <f t="shared" si="466"/>
        <v>#N/A</v>
      </c>
      <c r="AH209" s="1744" t="e">
        <f t="shared" si="467"/>
        <v>#N/A</v>
      </c>
      <c r="AK209" s="1872" t="e">
        <f t="shared" si="468"/>
        <v>#N/A</v>
      </c>
      <c r="AL209" s="1721" t="str">
        <f t="shared" si="469"/>
        <v/>
      </c>
      <c r="AM209" s="1721" t="str">
        <f t="shared" si="470"/>
        <v/>
      </c>
      <c r="AN209" s="1721" t="str">
        <f t="shared" si="471"/>
        <v/>
      </c>
      <c r="AO209" s="1721" t="str">
        <f t="shared" si="472"/>
        <v/>
      </c>
      <c r="AP209" s="1721" t="str">
        <f t="shared" si="473"/>
        <v/>
      </c>
      <c r="AQ209" s="1721" t="str">
        <f t="shared" si="474"/>
        <v/>
      </c>
      <c r="AR209" s="1721" t="str">
        <f t="shared" si="475"/>
        <v/>
      </c>
      <c r="AS209" s="1721" t="str">
        <f t="shared" si="476"/>
        <v/>
      </c>
      <c r="AT209" s="1721" t="str">
        <f t="shared" si="477"/>
        <v/>
      </c>
      <c r="AU209" s="1721" t="str">
        <f t="shared" si="478"/>
        <v/>
      </c>
      <c r="AV209" s="1721" t="str">
        <f t="shared" si="479"/>
        <v/>
      </c>
      <c r="AW209" s="1721" t="str">
        <f t="shared" si="480"/>
        <v/>
      </c>
      <c r="AX209" s="1721" t="str">
        <f t="shared" si="481"/>
        <v/>
      </c>
      <c r="AY209" s="1721" t="str">
        <f t="shared" si="482"/>
        <v/>
      </c>
      <c r="AZ209" s="1721" t="str">
        <f t="shared" si="483"/>
        <v/>
      </c>
      <c r="BA209" s="1721" t="str">
        <f t="shared" si="484"/>
        <v/>
      </c>
      <c r="BB209" s="1721" t="str">
        <f t="shared" si="485"/>
        <v/>
      </c>
      <c r="BC209" s="1739">
        <f t="shared" si="486"/>
        <v>0</v>
      </c>
      <c r="BD209" s="1739">
        <f t="shared" si="487"/>
        <v>0</v>
      </c>
      <c r="BE209" s="1739">
        <f t="shared" si="488"/>
        <v>0</v>
      </c>
      <c r="BF209" s="1721">
        <f t="shared" si="507"/>
        <v>0</v>
      </c>
      <c r="BG209" s="1721">
        <f t="shared" si="489"/>
        <v>0</v>
      </c>
      <c r="BH209" s="1721">
        <f t="shared" si="490"/>
        <v>0</v>
      </c>
      <c r="BI209" s="1721">
        <f t="shared" si="491"/>
        <v>0</v>
      </c>
      <c r="BJ209" s="1721">
        <f t="shared" si="492"/>
        <v>0</v>
      </c>
      <c r="BK209" s="1721">
        <f t="shared" si="493"/>
        <v>0</v>
      </c>
      <c r="BL209" s="1721">
        <f t="shared" si="494"/>
        <v>0</v>
      </c>
      <c r="BM209" s="1715">
        <f t="shared" si="495"/>
        <v>0</v>
      </c>
      <c r="BN209" s="1715">
        <f t="shared" si="496"/>
        <v>0</v>
      </c>
      <c r="BO209" s="1715">
        <f t="shared" si="497"/>
        <v>0</v>
      </c>
      <c r="BP209" s="1715">
        <f t="shared" si="498"/>
        <v>0</v>
      </c>
      <c r="BQ209" s="1715">
        <f t="shared" si="499"/>
        <v>0</v>
      </c>
      <c r="BR209" s="1715">
        <f t="shared" si="500"/>
        <v>0</v>
      </c>
      <c r="BS209" s="1715">
        <f t="shared" si="501"/>
        <v>0</v>
      </c>
      <c r="BT209" s="1742">
        <f t="shared" si="502"/>
        <v>0</v>
      </c>
      <c r="BU209" s="1690">
        <f t="shared" si="503"/>
        <v>0</v>
      </c>
      <c r="BV209" s="1715" t="str">
        <f t="shared" si="504"/>
        <v/>
      </c>
      <c r="BW209" s="1722">
        <f t="shared" si="505"/>
        <v>0</v>
      </c>
    </row>
    <row r="210" spans="1:75">
      <c r="A210" s="1690" t="b">
        <f t="shared" si="457"/>
        <v>0</v>
      </c>
      <c r="B210" s="2193">
        <f t="shared" si="508"/>
        <v>0</v>
      </c>
      <c r="C210" s="1884" t="e">
        <f t="shared" si="458"/>
        <v>#N/A</v>
      </c>
      <c r="D210" s="1753" t="e">
        <f t="shared" si="459"/>
        <v>#N/A</v>
      </c>
      <c r="E210" s="1891" t="e">
        <f t="shared" si="460"/>
        <v>#N/A</v>
      </c>
      <c r="F210" s="1889" t="e">
        <f t="shared" si="461"/>
        <v>#N/A</v>
      </c>
      <c r="G210" s="1759"/>
      <c r="H210" s="1755"/>
      <c r="I210" s="1755"/>
      <c r="J210" s="1755"/>
      <c r="K210" s="1755"/>
      <c r="L210" s="1755"/>
      <c r="M210" s="1765"/>
      <c r="N210" s="1864" t="str">
        <f t="shared" si="511"/>
        <v/>
      </c>
      <c r="O210" s="1865" t="str">
        <f t="shared" si="511"/>
        <v/>
      </c>
      <c r="P210" s="1852" t="str">
        <f t="shared" si="511"/>
        <v/>
      </c>
      <c r="Q210" s="1692" t="str">
        <f t="shared" si="512"/>
        <v/>
      </c>
      <c r="R210" s="1692" t="str">
        <f t="shared" si="513"/>
        <v/>
      </c>
      <c r="S210" s="1692" t="str">
        <f t="shared" si="463"/>
        <v/>
      </c>
      <c r="T210" s="1692"/>
      <c r="U210" s="1900" t="str">
        <f t="shared" si="464"/>
        <v/>
      </c>
      <c r="V210" s="1841" t="str">
        <f>IF($B210=0,"",Conc1(BW210,VolumeNTP2,$AG210,MolVol,Pitots!$E$49,Pitots!$F$49,V$183,V$184,VoF))</f>
        <v/>
      </c>
      <c r="W210" s="1739" t="str">
        <f t="shared" si="465"/>
        <v/>
      </c>
      <c r="X210" s="1843"/>
      <c r="Y210" s="1901" t="str">
        <f>IF(V210="","",MassRate(V210,$AG210,MolVol,V$183,V$184,MRU,MRF,AverageFlowDry2,FF))</f>
        <v/>
      </c>
      <c r="Z210" s="1841"/>
      <c r="AE210" s="1842"/>
      <c r="AF210" s="1842"/>
      <c r="AG210" s="1753" t="e">
        <f t="shared" si="466"/>
        <v>#N/A</v>
      </c>
      <c r="AH210" s="1744" t="e">
        <f t="shared" si="467"/>
        <v>#N/A</v>
      </c>
      <c r="AK210" s="1872" t="e">
        <f t="shared" si="468"/>
        <v>#N/A</v>
      </c>
      <c r="AL210" s="1721" t="str">
        <f t="shared" si="469"/>
        <v/>
      </c>
      <c r="AM210" s="1721" t="str">
        <f t="shared" si="470"/>
        <v/>
      </c>
      <c r="AN210" s="1721" t="str">
        <f t="shared" si="471"/>
        <v/>
      </c>
      <c r="AO210" s="1721" t="str">
        <f t="shared" si="472"/>
        <v/>
      </c>
      <c r="AP210" s="1721" t="str">
        <f t="shared" si="473"/>
        <v/>
      </c>
      <c r="AQ210" s="1721" t="str">
        <f t="shared" si="474"/>
        <v/>
      </c>
      <c r="AR210" s="1721" t="str">
        <f t="shared" si="475"/>
        <v/>
      </c>
      <c r="AS210" s="1721" t="str">
        <f t="shared" si="476"/>
        <v/>
      </c>
      <c r="AT210" s="1721" t="str">
        <f t="shared" si="477"/>
        <v/>
      </c>
      <c r="AU210" s="1721" t="str">
        <f t="shared" si="478"/>
        <v/>
      </c>
      <c r="AV210" s="1721" t="str">
        <f t="shared" si="479"/>
        <v/>
      </c>
      <c r="AW210" s="1721" t="str">
        <f t="shared" si="480"/>
        <v/>
      </c>
      <c r="AX210" s="1721" t="str">
        <f t="shared" si="481"/>
        <v/>
      </c>
      <c r="AY210" s="1721" t="str">
        <f t="shared" si="482"/>
        <v/>
      </c>
      <c r="AZ210" s="1721" t="str">
        <f t="shared" si="483"/>
        <v/>
      </c>
      <c r="BA210" s="1721" t="str">
        <f t="shared" si="484"/>
        <v/>
      </c>
      <c r="BB210" s="1721" t="str">
        <f t="shared" si="485"/>
        <v/>
      </c>
      <c r="BC210" s="1739">
        <f t="shared" si="486"/>
        <v>0</v>
      </c>
      <c r="BD210" s="1739">
        <f t="shared" si="487"/>
        <v>0</v>
      </c>
      <c r="BE210" s="1739">
        <f t="shared" si="488"/>
        <v>0</v>
      </c>
      <c r="BF210" s="1721">
        <f t="shared" si="507"/>
        <v>0</v>
      </c>
      <c r="BG210" s="1721">
        <f t="shared" si="489"/>
        <v>0</v>
      </c>
      <c r="BH210" s="1721">
        <f t="shared" si="490"/>
        <v>0</v>
      </c>
      <c r="BI210" s="1721">
        <f t="shared" si="491"/>
        <v>0</v>
      </c>
      <c r="BJ210" s="1721">
        <f t="shared" si="492"/>
        <v>0</v>
      </c>
      <c r="BK210" s="1721">
        <f t="shared" si="493"/>
        <v>0</v>
      </c>
      <c r="BL210" s="1721">
        <f t="shared" si="494"/>
        <v>0</v>
      </c>
      <c r="BM210" s="1715">
        <f t="shared" si="495"/>
        <v>0</v>
      </c>
      <c r="BN210" s="1715">
        <f t="shared" si="496"/>
        <v>0</v>
      </c>
      <c r="BO210" s="1715">
        <f t="shared" si="497"/>
        <v>0</v>
      </c>
      <c r="BP210" s="1715">
        <f t="shared" si="498"/>
        <v>0</v>
      </c>
      <c r="BQ210" s="1715">
        <f t="shared" si="499"/>
        <v>0</v>
      </c>
      <c r="BR210" s="1715">
        <f t="shared" si="500"/>
        <v>0</v>
      </c>
      <c r="BS210" s="1715">
        <f t="shared" si="501"/>
        <v>0</v>
      </c>
      <c r="BT210" s="1742">
        <f t="shared" si="502"/>
        <v>0</v>
      </c>
      <c r="BU210" s="1690">
        <f t="shared" si="503"/>
        <v>0</v>
      </c>
      <c r="BV210" s="1715" t="str">
        <f t="shared" si="504"/>
        <v/>
      </c>
      <c r="BW210" s="1722">
        <f t="shared" si="505"/>
        <v>0</v>
      </c>
    </row>
    <row r="211" spans="1:75">
      <c r="A211" s="1690" t="b">
        <f t="shared" si="457"/>
        <v>0</v>
      </c>
      <c r="B211" s="2193">
        <f t="shared" si="508"/>
        <v>0</v>
      </c>
      <c r="C211" s="1884" t="e">
        <f t="shared" si="458"/>
        <v>#N/A</v>
      </c>
      <c r="D211" s="1753" t="e">
        <f t="shared" si="459"/>
        <v>#N/A</v>
      </c>
      <c r="E211" s="1891" t="e">
        <f t="shared" si="460"/>
        <v>#N/A</v>
      </c>
      <c r="F211" s="1889" t="e">
        <f t="shared" si="461"/>
        <v>#N/A</v>
      </c>
      <c r="G211" s="1759"/>
      <c r="H211" s="1755"/>
      <c r="I211" s="1755"/>
      <c r="J211" s="1755"/>
      <c r="K211" s="1755"/>
      <c r="L211" s="1755"/>
      <c r="M211" s="1765"/>
      <c r="N211" s="1864" t="str">
        <f t="shared" si="511"/>
        <v/>
      </c>
      <c r="O211" s="1865" t="str">
        <f t="shared" si="511"/>
        <v/>
      </c>
      <c r="P211" s="1852" t="str">
        <f t="shared" si="511"/>
        <v/>
      </c>
      <c r="Q211" s="1692" t="str">
        <f t="shared" si="512"/>
        <v/>
      </c>
      <c r="R211" s="1692" t="str">
        <f t="shared" si="513"/>
        <v/>
      </c>
      <c r="S211" s="1692" t="str">
        <f t="shared" si="463"/>
        <v/>
      </c>
      <c r="T211" s="1692"/>
      <c r="U211" s="1900" t="str">
        <f t="shared" si="464"/>
        <v/>
      </c>
      <c r="V211" s="1841" t="str">
        <f>IF($B211=0,"",Conc1(BW211,VolumeNTP2,$AG211,MolVol,Pitots!$E$49,Pitots!$F$49,V$183,V$184,VoF))</f>
        <v/>
      </c>
      <c r="W211" s="1739" t="str">
        <f t="shared" si="465"/>
        <v/>
      </c>
      <c r="X211" s="1843"/>
      <c r="Y211" s="1901" t="str">
        <f>IF(V211="","",MassRate(V211,$AG211,MolVol,V$183,V$184,MRU,MRF,AverageFlowDry2,FF))</f>
        <v/>
      </c>
      <c r="Z211" s="1841"/>
      <c r="AE211" s="1842"/>
      <c r="AF211" s="1842"/>
      <c r="AG211" s="1753" t="e">
        <f t="shared" si="466"/>
        <v>#N/A</v>
      </c>
      <c r="AH211" s="1744" t="e">
        <f t="shared" si="467"/>
        <v>#N/A</v>
      </c>
      <c r="AK211" s="1872" t="e">
        <f t="shared" si="468"/>
        <v>#N/A</v>
      </c>
      <c r="AL211" s="1721" t="str">
        <f t="shared" si="469"/>
        <v/>
      </c>
      <c r="AM211" s="1721" t="str">
        <f t="shared" si="470"/>
        <v/>
      </c>
      <c r="AN211" s="1721" t="str">
        <f t="shared" si="471"/>
        <v/>
      </c>
      <c r="AO211" s="1721" t="str">
        <f t="shared" si="472"/>
        <v/>
      </c>
      <c r="AP211" s="1721" t="str">
        <f t="shared" si="473"/>
        <v/>
      </c>
      <c r="AQ211" s="1721" t="str">
        <f t="shared" si="474"/>
        <v/>
      </c>
      <c r="AR211" s="1721" t="str">
        <f t="shared" si="475"/>
        <v/>
      </c>
      <c r="AS211" s="1721" t="str">
        <f t="shared" si="476"/>
        <v/>
      </c>
      <c r="AT211" s="1721" t="str">
        <f t="shared" si="477"/>
        <v/>
      </c>
      <c r="AU211" s="1721" t="str">
        <f t="shared" si="478"/>
        <v/>
      </c>
      <c r="AV211" s="1721" t="str">
        <f t="shared" si="479"/>
        <v/>
      </c>
      <c r="AW211" s="1721" t="str">
        <f t="shared" si="480"/>
        <v/>
      </c>
      <c r="AX211" s="1721" t="str">
        <f t="shared" si="481"/>
        <v/>
      </c>
      <c r="AY211" s="1721" t="str">
        <f t="shared" si="482"/>
        <v/>
      </c>
      <c r="AZ211" s="1721" t="str">
        <f t="shared" si="483"/>
        <v/>
      </c>
      <c r="BA211" s="1721" t="str">
        <f t="shared" si="484"/>
        <v/>
      </c>
      <c r="BB211" s="1721" t="str">
        <f t="shared" si="485"/>
        <v/>
      </c>
      <c r="BC211" s="1739">
        <f t="shared" si="486"/>
        <v>0</v>
      </c>
      <c r="BD211" s="1739">
        <f t="shared" si="487"/>
        <v>0</v>
      </c>
      <c r="BE211" s="1739">
        <f t="shared" si="488"/>
        <v>0</v>
      </c>
      <c r="BF211" s="1721">
        <f t="shared" si="507"/>
        <v>0</v>
      </c>
      <c r="BG211" s="1721">
        <f t="shared" si="489"/>
        <v>0</v>
      </c>
      <c r="BH211" s="1721">
        <f t="shared" si="490"/>
        <v>0</v>
      </c>
      <c r="BI211" s="1721">
        <f t="shared" si="491"/>
        <v>0</v>
      </c>
      <c r="BJ211" s="1721">
        <f t="shared" si="492"/>
        <v>0</v>
      </c>
      <c r="BK211" s="1721">
        <f t="shared" si="493"/>
        <v>0</v>
      </c>
      <c r="BL211" s="1721">
        <f t="shared" si="494"/>
        <v>0</v>
      </c>
      <c r="BM211" s="1715">
        <f t="shared" si="495"/>
        <v>0</v>
      </c>
      <c r="BN211" s="1715">
        <f t="shared" si="496"/>
        <v>0</v>
      </c>
      <c r="BO211" s="1715">
        <f t="shared" si="497"/>
        <v>0</v>
      </c>
      <c r="BP211" s="1715">
        <f t="shared" si="498"/>
        <v>0</v>
      </c>
      <c r="BQ211" s="1715">
        <f t="shared" si="499"/>
        <v>0</v>
      </c>
      <c r="BR211" s="1715">
        <f t="shared" si="500"/>
        <v>0</v>
      </c>
      <c r="BS211" s="1715">
        <f t="shared" si="501"/>
        <v>0</v>
      </c>
      <c r="BT211" s="1742">
        <f t="shared" si="502"/>
        <v>0</v>
      </c>
      <c r="BU211" s="1690">
        <f t="shared" si="503"/>
        <v>0</v>
      </c>
      <c r="BV211" s="1715" t="str">
        <f t="shared" si="504"/>
        <v/>
      </c>
      <c r="BW211" s="1722">
        <f t="shared" si="505"/>
        <v>0</v>
      </c>
    </row>
    <row r="212" spans="1:75">
      <c r="A212" s="1690" t="b">
        <f t="shared" si="457"/>
        <v>0</v>
      </c>
      <c r="B212" s="2193">
        <f t="shared" si="508"/>
        <v>0</v>
      </c>
      <c r="C212" s="1884" t="e">
        <f t="shared" si="458"/>
        <v>#N/A</v>
      </c>
      <c r="D212" s="1753" t="e">
        <f t="shared" si="459"/>
        <v>#N/A</v>
      </c>
      <c r="E212" s="1891" t="e">
        <f t="shared" si="460"/>
        <v>#N/A</v>
      </c>
      <c r="F212" s="1889" t="e">
        <f t="shared" si="461"/>
        <v>#N/A</v>
      </c>
      <c r="G212" s="1759"/>
      <c r="H212" s="1755"/>
      <c r="I212" s="1755"/>
      <c r="J212" s="1755"/>
      <c r="K212" s="1755"/>
      <c r="L212" s="1755"/>
      <c r="M212" s="1765"/>
      <c r="N212" s="1864" t="str">
        <f t="shared" si="511"/>
        <v/>
      </c>
      <c r="O212" s="1865" t="str">
        <f t="shared" si="511"/>
        <v/>
      </c>
      <c r="P212" s="1852" t="str">
        <f t="shared" si="511"/>
        <v/>
      </c>
      <c r="Q212" s="1692" t="str">
        <f t="shared" si="512"/>
        <v/>
      </c>
      <c r="R212" s="1692" t="str">
        <f t="shared" si="513"/>
        <v/>
      </c>
      <c r="S212" s="1692" t="str">
        <f t="shared" si="463"/>
        <v/>
      </c>
      <c r="T212" s="1692"/>
      <c r="U212" s="1900" t="str">
        <f t="shared" si="464"/>
        <v/>
      </c>
      <c r="V212" s="1841" t="str">
        <f>IF($B212=0,"",Conc1(BW212,VolumeNTP2,$AG212,MolVol,Pitots!$E$49,Pitots!$F$49,V$183,V$184,VoF))</f>
        <v/>
      </c>
      <c r="W212" s="1739" t="str">
        <f t="shared" si="465"/>
        <v/>
      </c>
      <c r="X212" s="1843"/>
      <c r="Y212" s="1901" t="str">
        <f>IF(V212="","",MassRate(V212,$AG212,MolVol,V$183,V$184,MRU,MRF,AverageFlowDry2,FF))</f>
        <v/>
      </c>
      <c r="Z212" s="1841"/>
      <c r="AE212" s="1842"/>
      <c r="AF212" s="1842"/>
      <c r="AG212" s="1753" t="e">
        <f t="shared" si="466"/>
        <v>#N/A</v>
      </c>
      <c r="AH212" s="1744" t="e">
        <f t="shared" si="467"/>
        <v>#N/A</v>
      </c>
      <c r="AK212" s="1872" t="e">
        <f t="shared" si="468"/>
        <v>#N/A</v>
      </c>
      <c r="AL212" s="1721" t="str">
        <f t="shared" si="469"/>
        <v/>
      </c>
      <c r="AM212" s="1721" t="str">
        <f t="shared" si="470"/>
        <v/>
      </c>
      <c r="AN212" s="1721" t="str">
        <f t="shared" si="471"/>
        <v/>
      </c>
      <c r="AO212" s="1721" t="str">
        <f t="shared" si="472"/>
        <v/>
      </c>
      <c r="AP212" s="1721" t="str">
        <f t="shared" si="473"/>
        <v/>
      </c>
      <c r="AQ212" s="1721" t="str">
        <f t="shared" si="474"/>
        <v/>
      </c>
      <c r="AR212" s="1721" t="str">
        <f t="shared" si="475"/>
        <v/>
      </c>
      <c r="AS212" s="1721" t="str">
        <f t="shared" si="476"/>
        <v/>
      </c>
      <c r="AT212" s="1721" t="str">
        <f t="shared" si="477"/>
        <v/>
      </c>
      <c r="AU212" s="1721" t="str">
        <f t="shared" si="478"/>
        <v/>
      </c>
      <c r="AV212" s="1721" t="str">
        <f t="shared" si="479"/>
        <v/>
      </c>
      <c r="AW212" s="1721" t="str">
        <f t="shared" si="480"/>
        <v/>
      </c>
      <c r="AX212" s="1721" t="str">
        <f t="shared" si="481"/>
        <v/>
      </c>
      <c r="AY212" s="1721" t="str">
        <f t="shared" si="482"/>
        <v/>
      </c>
      <c r="AZ212" s="1721" t="str">
        <f t="shared" si="483"/>
        <v/>
      </c>
      <c r="BA212" s="1721" t="str">
        <f t="shared" si="484"/>
        <v/>
      </c>
      <c r="BB212" s="1721" t="str">
        <f t="shared" si="485"/>
        <v/>
      </c>
      <c r="BC212" s="1739">
        <f t="shared" si="486"/>
        <v>0</v>
      </c>
      <c r="BD212" s="1739">
        <f t="shared" si="487"/>
        <v>0</v>
      </c>
      <c r="BE212" s="1739">
        <f t="shared" si="488"/>
        <v>0</v>
      </c>
      <c r="BF212" s="1721">
        <f t="shared" si="507"/>
        <v>0</v>
      </c>
      <c r="BG212" s="1721">
        <f t="shared" si="489"/>
        <v>0</v>
      </c>
      <c r="BH212" s="1721">
        <f t="shared" si="490"/>
        <v>0</v>
      </c>
      <c r="BI212" s="1721">
        <f t="shared" si="491"/>
        <v>0</v>
      </c>
      <c r="BJ212" s="1721">
        <f t="shared" si="492"/>
        <v>0</v>
      </c>
      <c r="BK212" s="1721">
        <f t="shared" si="493"/>
        <v>0</v>
      </c>
      <c r="BL212" s="1721">
        <f t="shared" si="494"/>
        <v>0</v>
      </c>
      <c r="BM212" s="1715">
        <f t="shared" si="495"/>
        <v>0</v>
      </c>
      <c r="BN212" s="1715">
        <f t="shared" si="496"/>
        <v>0</v>
      </c>
      <c r="BO212" s="1715">
        <f t="shared" si="497"/>
        <v>0</v>
      </c>
      <c r="BP212" s="1715">
        <f t="shared" si="498"/>
        <v>0</v>
      </c>
      <c r="BQ212" s="1715">
        <f t="shared" si="499"/>
        <v>0</v>
      </c>
      <c r="BR212" s="1715">
        <f t="shared" si="500"/>
        <v>0</v>
      </c>
      <c r="BS212" s="1715">
        <f t="shared" si="501"/>
        <v>0</v>
      </c>
      <c r="BT212" s="1742">
        <f t="shared" si="502"/>
        <v>0</v>
      </c>
      <c r="BU212" s="1690">
        <f t="shared" si="503"/>
        <v>0</v>
      </c>
      <c r="BV212" s="1715" t="str">
        <f t="shared" si="504"/>
        <v/>
      </c>
      <c r="BW212" s="1722">
        <f t="shared" si="505"/>
        <v>0</v>
      </c>
    </row>
    <row r="213" spans="1:75">
      <c r="A213" s="1690" t="b">
        <f t="shared" si="457"/>
        <v>0</v>
      </c>
      <c r="B213" s="2193">
        <f t="shared" si="508"/>
        <v>0</v>
      </c>
      <c r="C213" s="1884" t="e">
        <f t="shared" si="458"/>
        <v>#N/A</v>
      </c>
      <c r="D213" s="1753" t="e">
        <f t="shared" si="459"/>
        <v>#N/A</v>
      </c>
      <c r="E213" s="1891" t="e">
        <f t="shared" si="460"/>
        <v>#N/A</v>
      </c>
      <c r="F213" s="1889" t="e">
        <f t="shared" si="461"/>
        <v>#N/A</v>
      </c>
      <c r="G213" s="1759"/>
      <c r="H213" s="1755"/>
      <c r="I213" s="1755"/>
      <c r="J213" s="1755"/>
      <c r="K213" s="1755"/>
      <c r="L213" s="1755"/>
      <c r="M213" s="1765"/>
      <c r="N213" s="1864" t="str">
        <f t="shared" si="511"/>
        <v/>
      </c>
      <c r="O213" s="1865" t="str">
        <f t="shared" si="511"/>
        <v/>
      </c>
      <c r="P213" s="1852" t="str">
        <f t="shared" si="511"/>
        <v/>
      </c>
      <c r="Q213" s="1692" t="str">
        <f t="shared" si="512"/>
        <v/>
      </c>
      <c r="R213" s="1692" t="str">
        <f t="shared" si="513"/>
        <v/>
      </c>
      <c r="S213" s="1692" t="str">
        <f t="shared" si="463"/>
        <v/>
      </c>
      <c r="T213" s="1692"/>
      <c r="U213" s="1900" t="str">
        <f t="shared" si="464"/>
        <v/>
      </c>
      <c r="V213" s="1841" t="str">
        <f>IF($B213=0,"",Conc1(BW213,VolumeNTP2,$AG213,MolVol,Pitots!$E$49,Pitots!$F$49,V$183,V$184,VoF))</f>
        <v/>
      </c>
      <c r="W213" s="1739" t="str">
        <f t="shared" si="465"/>
        <v/>
      </c>
      <c r="X213" s="1843"/>
      <c r="Y213" s="1901" t="str">
        <f>IF(V213="","",MassRate(V213,$AG213,MolVol,V$183,V$184,MRU,MRF,AverageFlowDry2,FF))</f>
        <v/>
      </c>
      <c r="Z213" s="1841"/>
      <c r="AE213" s="1842"/>
      <c r="AF213" s="1842"/>
      <c r="AG213" s="1753" t="e">
        <f t="shared" si="466"/>
        <v>#N/A</v>
      </c>
      <c r="AH213" s="1744" t="e">
        <f t="shared" si="467"/>
        <v>#N/A</v>
      </c>
      <c r="AK213" s="1872" t="e">
        <f t="shared" si="468"/>
        <v>#N/A</v>
      </c>
      <c r="AL213" s="1721" t="str">
        <f t="shared" si="469"/>
        <v/>
      </c>
      <c r="AM213" s="1721" t="str">
        <f t="shared" si="470"/>
        <v/>
      </c>
      <c r="AN213" s="1721" t="str">
        <f t="shared" si="471"/>
        <v/>
      </c>
      <c r="AO213" s="1721" t="str">
        <f t="shared" si="472"/>
        <v/>
      </c>
      <c r="AP213" s="1721" t="str">
        <f t="shared" si="473"/>
        <v/>
      </c>
      <c r="AQ213" s="1721" t="str">
        <f t="shared" si="474"/>
        <v/>
      </c>
      <c r="AR213" s="1721" t="str">
        <f t="shared" si="475"/>
        <v/>
      </c>
      <c r="AS213" s="1721" t="str">
        <f t="shared" si="476"/>
        <v/>
      </c>
      <c r="AT213" s="1721" t="str">
        <f t="shared" si="477"/>
        <v/>
      </c>
      <c r="AU213" s="1721" t="str">
        <f t="shared" si="478"/>
        <v/>
      </c>
      <c r="AV213" s="1721" t="str">
        <f t="shared" si="479"/>
        <v/>
      </c>
      <c r="AW213" s="1721" t="str">
        <f t="shared" si="480"/>
        <v/>
      </c>
      <c r="AX213" s="1721" t="str">
        <f t="shared" si="481"/>
        <v/>
      </c>
      <c r="AY213" s="1721" t="str">
        <f t="shared" si="482"/>
        <v/>
      </c>
      <c r="AZ213" s="1721" t="str">
        <f t="shared" si="483"/>
        <v/>
      </c>
      <c r="BA213" s="1721" t="str">
        <f t="shared" si="484"/>
        <v/>
      </c>
      <c r="BB213" s="1721" t="str">
        <f t="shared" si="485"/>
        <v/>
      </c>
      <c r="BC213" s="1739">
        <f t="shared" si="486"/>
        <v>0</v>
      </c>
      <c r="BD213" s="1739">
        <f t="shared" si="487"/>
        <v>0</v>
      </c>
      <c r="BE213" s="1739">
        <f t="shared" si="488"/>
        <v>0</v>
      </c>
      <c r="BF213" s="1721">
        <f t="shared" si="507"/>
        <v>0</v>
      </c>
      <c r="BG213" s="1721">
        <f t="shared" si="489"/>
        <v>0</v>
      </c>
      <c r="BH213" s="1721">
        <f t="shared" si="490"/>
        <v>0</v>
      </c>
      <c r="BI213" s="1721">
        <f t="shared" si="491"/>
        <v>0</v>
      </c>
      <c r="BJ213" s="1721">
        <f t="shared" si="492"/>
        <v>0</v>
      </c>
      <c r="BK213" s="1721">
        <f t="shared" si="493"/>
        <v>0</v>
      </c>
      <c r="BL213" s="1721">
        <f t="shared" si="494"/>
        <v>0</v>
      </c>
      <c r="BM213" s="1715">
        <f t="shared" si="495"/>
        <v>0</v>
      </c>
      <c r="BN213" s="1715">
        <f t="shared" si="496"/>
        <v>0</v>
      </c>
      <c r="BO213" s="1715">
        <f t="shared" si="497"/>
        <v>0</v>
      </c>
      <c r="BP213" s="1715">
        <f t="shared" si="498"/>
        <v>0</v>
      </c>
      <c r="BQ213" s="1715">
        <f t="shared" si="499"/>
        <v>0</v>
      </c>
      <c r="BR213" s="1715">
        <f t="shared" si="500"/>
        <v>0</v>
      </c>
      <c r="BS213" s="1715">
        <f t="shared" si="501"/>
        <v>0</v>
      </c>
      <c r="BT213" s="1742">
        <f t="shared" si="502"/>
        <v>0</v>
      </c>
      <c r="BU213" s="1690">
        <f t="shared" si="503"/>
        <v>0</v>
      </c>
      <c r="BV213" s="1715" t="str">
        <f t="shared" si="504"/>
        <v/>
      </c>
      <c r="BW213" s="1722">
        <f t="shared" si="505"/>
        <v>0</v>
      </c>
    </row>
    <row r="214" spans="1:75">
      <c r="A214" s="1690" t="b">
        <f t="shared" si="457"/>
        <v>0</v>
      </c>
      <c r="B214" s="2193">
        <f t="shared" si="508"/>
        <v>0</v>
      </c>
      <c r="C214" s="1884" t="e">
        <f t="shared" si="458"/>
        <v>#N/A</v>
      </c>
      <c r="D214" s="1753" t="e">
        <f t="shared" si="459"/>
        <v>#N/A</v>
      </c>
      <c r="E214" s="1891" t="e">
        <f t="shared" si="460"/>
        <v>#N/A</v>
      </c>
      <c r="F214" s="1889" t="e">
        <f t="shared" si="461"/>
        <v>#N/A</v>
      </c>
      <c r="G214" s="1759"/>
      <c r="H214" s="1755"/>
      <c r="I214" s="1755"/>
      <c r="J214" s="1755"/>
      <c r="K214" s="1755"/>
      <c r="L214" s="1755"/>
      <c r="M214" s="1765"/>
      <c r="N214" s="1864" t="str">
        <f t="shared" si="511"/>
        <v/>
      </c>
      <c r="O214" s="1865" t="str">
        <f t="shared" si="511"/>
        <v/>
      </c>
      <c r="P214" s="1852" t="str">
        <f t="shared" si="511"/>
        <v/>
      </c>
      <c r="Q214" s="1692" t="str">
        <f t="shared" si="512"/>
        <v/>
      </c>
      <c r="R214" s="1692" t="str">
        <f t="shared" si="513"/>
        <v/>
      </c>
      <c r="S214" s="1692" t="str">
        <f t="shared" si="463"/>
        <v/>
      </c>
      <c r="T214" s="1692"/>
      <c r="U214" s="1900" t="str">
        <f t="shared" si="464"/>
        <v/>
      </c>
      <c r="V214" s="1841" t="str">
        <f>IF($B214=0,"",Conc1(BW214,VolumeNTP2,$AG214,MolVol,Pitots!$E$49,Pitots!$F$49,V$183,V$184,VoF))</f>
        <v/>
      </c>
      <c r="W214" s="1739" t="str">
        <f t="shared" si="465"/>
        <v/>
      </c>
      <c r="X214" s="1843"/>
      <c r="Y214" s="1901" t="str">
        <f>IF(V214="","",MassRate(V214,$AG214,MolVol,V$183,V$184,MRU,MRF,AverageFlowDry2,FF))</f>
        <v/>
      </c>
      <c r="Z214" s="1841"/>
      <c r="AE214" s="1842"/>
      <c r="AF214" s="1842"/>
      <c r="AG214" s="1753" t="e">
        <f t="shared" si="466"/>
        <v>#N/A</v>
      </c>
      <c r="AH214" s="1744" t="e">
        <f t="shared" si="467"/>
        <v>#N/A</v>
      </c>
      <c r="AK214" s="1872" t="e">
        <f t="shared" si="468"/>
        <v>#N/A</v>
      </c>
      <c r="AL214" s="1721" t="str">
        <f t="shared" si="469"/>
        <v/>
      </c>
      <c r="AM214" s="1721" t="str">
        <f t="shared" si="470"/>
        <v/>
      </c>
      <c r="AN214" s="1721" t="str">
        <f t="shared" si="471"/>
        <v/>
      </c>
      <c r="AO214" s="1721" t="str">
        <f t="shared" si="472"/>
        <v/>
      </c>
      <c r="AP214" s="1721" t="str">
        <f t="shared" si="473"/>
        <v/>
      </c>
      <c r="AQ214" s="1721" t="str">
        <f t="shared" si="474"/>
        <v/>
      </c>
      <c r="AR214" s="1721" t="str">
        <f t="shared" si="475"/>
        <v/>
      </c>
      <c r="AS214" s="1721" t="str">
        <f t="shared" si="476"/>
        <v/>
      </c>
      <c r="AT214" s="1721" t="str">
        <f t="shared" si="477"/>
        <v/>
      </c>
      <c r="AU214" s="1721" t="str">
        <f t="shared" si="478"/>
        <v/>
      </c>
      <c r="AV214" s="1721" t="str">
        <f t="shared" si="479"/>
        <v/>
      </c>
      <c r="AW214" s="1721" t="str">
        <f t="shared" si="480"/>
        <v/>
      </c>
      <c r="AX214" s="1721" t="str">
        <f t="shared" si="481"/>
        <v/>
      </c>
      <c r="AY214" s="1721" t="str">
        <f t="shared" si="482"/>
        <v/>
      </c>
      <c r="AZ214" s="1721" t="str">
        <f t="shared" si="483"/>
        <v/>
      </c>
      <c r="BA214" s="1721" t="str">
        <f t="shared" si="484"/>
        <v/>
      </c>
      <c r="BB214" s="1721" t="str">
        <f t="shared" si="485"/>
        <v/>
      </c>
      <c r="BC214" s="1739">
        <f t="shared" si="486"/>
        <v>0</v>
      </c>
      <c r="BD214" s="1739">
        <f t="shared" si="487"/>
        <v>0</v>
      </c>
      <c r="BE214" s="1739">
        <f t="shared" si="488"/>
        <v>0</v>
      </c>
      <c r="BF214" s="1721">
        <f t="shared" si="507"/>
        <v>0</v>
      </c>
      <c r="BG214" s="1721">
        <f t="shared" si="489"/>
        <v>0</v>
      </c>
      <c r="BH214" s="1721">
        <f t="shared" si="490"/>
        <v>0</v>
      </c>
      <c r="BI214" s="1721">
        <f t="shared" si="491"/>
        <v>0</v>
      </c>
      <c r="BJ214" s="1721">
        <f t="shared" si="492"/>
        <v>0</v>
      </c>
      <c r="BK214" s="1721">
        <f t="shared" si="493"/>
        <v>0</v>
      </c>
      <c r="BL214" s="1721">
        <f t="shared" si="494"/>
        <v>0</v>
      </c>
      <c r="BM214" s="1715">
        <f t="shared" si="495"/>
        <v>0</v>
      </c>
      <c r="BN214" s="1715">
        <f t="shared" si="496"/>
        <v>0</v>
      </c>
      <c r="BO214" s="1715">
        <f t="shared" si="497"/>
        <v>0</v>
      </c>
      <c r="BP214" s="1715">
        <f t="shared" si="498"/>
        <v>0</v>
      </c>
      <c r="BQ214" s="1715">
        <f t="shared" si="499"/>
        <v>0</v>
      </c>
      <c r="BR214" s="1715">
        <f t="shared" si="500"/>
        <v>0</v>
      </c>
      <c r="BS214" s="1715">
        <f t="shared" si="501"/>
        <v>0</v>
      </c>
      <c r="BT214" s="1742">
        <f t="shared" si="502"/>
        <v>0</v>
      </c>
      <c r="BU214" s="1690">
        <f t="shared" si="503"/>
        <v>0</v>
      </c>
      <c r="BV214" s="1715" t="str">
        <f t="shared" si="504"/>
        <v/>
      </c>
      <c r="BW214" s="1722">
        <f t="shared" si="505"/>
        <v>0</v>
      </c>
    </row>
    <row r="215" spans="1:75">
      <c r="A215" s="1690" t="b">
        <f t="shared" si="457"/>
        <v>0</v>
      </c>
      <c r="B215" s="2193">
        <f t="shared" si="508"/>
        <v>0</v>
      </c>
      <c r="C215" s="1884" t="e">
        <f t="shared" si="458"/>
        <v>#N/A</v>
      </c>
      <c r="D215" s="1753" t="e">
        <f t="shared" si="459"/>
        <v>#N/A</v>
      </c>
      <c r="E215" s="1891" t="e">
        <f t="shared" si="460"/>
        <v>#N/A</v>
      </c>
      <c r="F215" s="1889" t="e">
        <f t="shared" si="461"/>
        <v>#N/A</v>
      </c>
      <c r="G215" s="1759"/>
      <c r="H215" s="1755"/>
      <c r="I215" s="1755"/>
      <c r="J215" s="1755"/>
      <c r="K215" s="1755"/>
      <c r="L215" s="1755"/>
      <c r="M215" s="1765"/>
      <c r="N215" s="1864" t="str">
        <f t="shared" si="511"/>
        <v/>
      </c>
      <c r="O215" s="1865" t="str">
        <f t="shared" si="511"/>
        <v/>
      </c>
      <c r="P215" s="1852" t="str">
        <f t="shared" si="511"/>
        <v/>
      </c>
      <c r="Q215" s="1692" t="str">
        <f t="shared" si="512"/>
        <v/>
      </c>
      <c r="R215" s="1692" t="str">
        <f t="shared" si="513"/>
        <v/>
      </c>
      <c r="S215" s="1692" t="str">
        <f t="shared" si="463"/>
        <v/>
      </c>
      <c r="T215" s="1692"/>
      <c r="U215" s="1900" t="str">
        <f t="shared" si="464"/>
        <v/>
      </c>
      <c r="V215" s="1841" t="str">
        <f>IF($B215=0,"",Conc1(BW215,VolumeNTP2,$AG215,MolVol,Pitots!$E$49,Pitots!$F$49,V$183,V$184,VoF))</f>
        <v/>
      </c>
      <c r="W215" s="1739" t="str">
        <f t="shared" si="465"/>
        <v/>
      </c>
      <c r="X215" s="1843"/>
      <c r="Y215" s="1901" t="str">
        <f>IF(V215="","",MassRate(V215,$AG215,MolVol,V$183,V$184,MRU,MRF,AverageFlowDry2,FF))</f>
        <v/>
      </c>
      <c r="Z215" s="1841"/>
      <c r="AE215" s="1842"/>
      <c r="AF215" s="1842"/>
      <c r="AG215" s="1753" t="e">
        <f t="shared" si="466"/>
        <v>#N/A</v>
      </c>
      <c r="AH215" s="1744" t="e">
        <f t="shared" si="467"/>
        <v>#N/A</v>
      </c>
      <c r="AK215" s="1872" t="e">
        <f t="shared" si="468"/>
        <v>#N/A</v>
      </c>
      <c r="AL215" s="1721" t="str">
        <f t="shared" si="469"/>
        <v/>
      </c>
      <c r="AM215" s="1721" t="str">
        <f t="shared" si="470"/>
        <v/>
      </c>
      <c r="AN215" s="1721" t="str">
        <f t="shared" si="471"/>
        <v/>
      </c>
      <c r="AO215" s="1721" t="str">
        <f t="shared" si="472"/>
        <v/>
      </c>
      <c r="AP215" s="1721" t="str">
        <f t="shared" si="473"/>
        <v/>
      </c>
      <c r="AQ215" s="1721" t="str">
        <f t="shared" si="474"/>
        <v/>
      </c>
      <c r="AR215" s="1721" t="str">
        <f t="shared" si="475"/>
        <v/>
      </c>
      <c r="AS215" s="1721" t="str">
        <f t="shared" si="476"/>
        <v/>
      </c>
      <c r="AT215" s="1721" t="str">
        <f t="shared" si="477"/>
        <v/>
      </c>
      <c r="AU215" s="1721" t="str">
        <f t="shared" si="478"/>
        <v/>
      </c>
      <c r="AV215" s="1721" t="str">
        <f t="shared" si="479"/>
        <v/>
      </c>
      <c r="AW215" s="1721" t="str">
        <f t="shared" si="480"/>
        <v/>
      </c>
      <c r="AX215" s="1721" t="str">
        <f t="shared" si="481"/>
        <v/>
      </c>
      <c r="AY215" s="1721" t="str">
        <f t="shared" si="482"/>
        <v/>
      </c>
      <c r="AZ215" s="1721" t="str">
        <f t="shared" si="483"/>
        <v/>
      </c>
      <c r="BA215" s="1721" t="str">
        <f t="shared" si="484"/>
        <v/>
      </c>
      <c r="BB215" s="1721" t="str">
        <f t="shared" si="485"/>
        <v/>
      </c>
      <c r="BC215" s="1739">
        <f t="shared" si="486"/>
        <v>0</v>
      </c>
      <c r="BD215" s="1739">
        <f t="shared" si="487"/>
        <v>0</v>
      </c>
      <c r="BE215" s="1739">
        <f t="shared" si="488"/>
        <v>0</v>
      </c>
      <c r="BF215" s="1721">
        <f t="shared" si="507"/>
        <v>0</v>
      </c>
      <c r="BG215" s="1721">
        <f t="shared" si="489"/>
        <v>0</v>
      </c>
      <c r="BH215" s="1721">
        <f t="shared" si="490"/>
        <v>0</v>
      </c>
      <c r="BI215" s="1721">
        <f t="shared" si="491"/>
        <v>0</v>
      </c>
      <c r="BJ215" s="1721">
        <f t="shared" si="492"/>
        <v>0</v>
      </c>
      <c r="BK215" s="1721">
        <f t="shared" si="493"/>
        <v>0</v>
      </c>
      <c r="BL215" s="1721">
        <f t="shared" si="494"/>
        <v>0</v>
      </c>
      <c r="BM215" s="1715">
        <f t="shared" si="495"/>
        <v>0</v>
      </c>
      <c r="BN215" s="1715">
        <f t="shared" si="496"/>
        <v>0</v>
      </c>
      <c r="BO215" s="1715">
        <f t="shared" si="497"/>
        <v>0</v>
      </c>
      <c r="BP215" s="1715">
        <f t="shared" si="498"/>
        <v>0</v>
      </c>
      <c r="BQ215" s="1715">
        <f t="shared" si="499"/>
        <v>0</v>
      </c>
      <c r="BR215" s="1715">
        <f t="shared" si="500"/>
        <v>0</v>
      </c>
      <c r="BS215" s="1715">
        <f t="shared" si="501"/>
        <v>0</v>
      </c>
      <c r="BT215" s="1742">
        <f t="shared" si="502"/>
        <v>0</v>
      </c>
      <c r="BU215" s="1690">
        <f t="shared" si="503"/>
        <v>0</v>
      </c>
      <c r="BV215" s="1715" t="str">
        <f t="shared" si="504"/>
        <v/>
      </c>
      <c r="BW215" s="1722">
        <f t="shared" si="505"/>
        <v>0</v>
      </c>
    </row>
    <row r="216" spans="1:75">
      <c r="A216" s="1690" t="b">
        <f t="shared" si="457"/>
        <v>0</v>
      </c>
      <c r="B216" s="2193">
        <f t="shared" si="508"/>
        <v>0</v>
      </c>
      <c r="C216" s="1884" t="e">
        <f t="shared" si="458"/>
        <v>#N/A</v>
      </c>
      <c r="D216" s="1753" t="e">
        <f t="shared" si="459"/>
        <v>#N/A</v>
      </c>
      <c r="E216" s="1891" t="e">
        <f t="shared" si="460"/>
        <v>#N/A</v>
      </c>
      <c r="F216" s="1889" t="e">
        <f t="shared" si="461"/>
        <v>#N/A</v>
      </c>
      <c r="G216" s="1759"/>
      <c r="H216" s="1755"/>
      <c r="I216" s="1755"/>
      <c r="J216" s="1755"/>
      <c r="K216" s="1755"/>
      <c r="L216" s="1755"/>
      <c r="M216" s="1765"/>
      <c r="N216" s="1864" t="str">
        <f t="shared" si="511"/>
        <v/>
      </c>
      <c r="O216" s="1865" t="str">
        <f t="shared" si="511"/>
        <v/>
      </c>
      <c r="P216" s="1852" t="str">
        <f t="shared" si="511"/>
        <v/>
      </c>
      <c r="Q216" s="1692" t="str">
        <f t="shared" si="512"/>
        <v/>
      </c>
      <c r="R216" s="1692" t="str">
        <f t="shared" si="513"/>
        <v/>
      </c>
      <c r="S216" s="1692" t="str">
        <f t="shared" si="463"/>
        <v/>
      </c>
      <c r="T216" s="1692"/>
      <c r="U216" s="1900" t="str">
        <f t="shared" si="464"/>
        <v/>
      </c>
      <c r="V216" s="1841" t="str">
        <f>IF($B216=0,"",Conc1(BW216,VolumeNTP2,$AG216,MolVol,Pitots!$E$49,Pitots!$F$49,V$183,V$184,VoF))</f>
        <v/>
      </c>
      <c r="W216" s="1739" t="str">
        <f t="shared" si="465"/>
        <v/>
      </c>
      <c r="X216" s="1843"/>
      <c r="Y216" s="1901" t="str">
        <f>IF(V216="","",MassRate(V216,$AG216,MolVol,V$183,V$184,MRU,MRF,AverageFlowDry2,FF))</f>
        <v/>
      </c>
      <c r="Z216" s="1841"/>
      <c r="AE216" s="1842"/>
      <c r="AF216" s="1842"/>
      <c r="AG216" s="1753" t="e">
        <f t="shared" si="466"/>
        <v>#N/A</v>
      </c>
      <c r="AH216" s="1744" t="e">
        <f t="shared" si="467"/>
        <v>#N/A</v>
      </c>
      <c r="AK216" s="1872" t="e">
        <f t="shared" si="468"/>
        <v>#N/A</v>
      </c>
      <c r="AL216" s="1721" t="str">
        <f t="shared" si="469"/>
        <v/>
      </c>
      <c r="AM216" s="1721" t="str">
        <f t="shared" si="470"/>
        <v/>
      </c>
      <c r="AN216" s="1721" t="str">
        <f t="shared" si="471"/>
        <v/>
      </c>
      <c r="AO216" s="1721" t="str">
        <f t="shared" si="472"/>
        <v/>
      </c>
      <c r="AP216" s="1721" t="str">
        <f t="shared" si="473"/>
        <v/>
      </c>
      <c r="AQ216" s="1721" t="str">
        <f t="shared" si="474"/>
        <v/>
      </c>
      <c r="AR216" s="1721" t="str">
        <f t="shared" si="475"/>
        <v/>
      </c>
      <c r="AS216" s="1721" t="str">
        <f t="shared" si="476"/>
        <v/>
      </c>
      <c r="AT216" s="1721" t="str">
        <f t="shared" si="477"/>
        <v/>
      </c>
      <c r="AU216" s="1721" t="str">
        <f t="shared" si="478"/>
        <v/>
      </c>
      <c r="AV216" s="1721" t="str">
        <f t="shared" si="479"/>
        <v/>
      </c>
      <c r="AW216" s="1721" t="str">
        <f t="shared" si="480"/>
        <v/>
      </c>
      <c r="AX216" s="1721" t="str">
        <f t="shared" si="481"/>
        <v/>
      </c>
      <c r="AY216" s="1721" t="str">
        <f t="shared" si="482"/>
        <v/>
      </c>
      <c r="AZ216" s="1721" t="str">
        <f t="shared" si="483"/>
        <v/>
      </c>
      <c r="BA216" s="1721" t="str">
        <f t="shared" si="484"/>
        <v/>
      </c>
      <c r="BB216" s="1721" t="str">
        <f t="shared" si="485"/>
        <v/>
      </c>
      <c r="BC216" s="1739">
        <f t="shared" si="486"/>
        <v>0</v>
      </c>
      <c r="BD216" s="1739">
        <f t="shared" si="487"/>
        <v>0</v>
      </c>
      <c r="BE216" s="1739">
        <f t="shared" si="488"/>
        <v>0</v>
      </c>
      <c r="BF216" s="1721">
        <f t="shared" si="507"/>
        <v>0</v>
      </c>
      <c r="BG216" s="1721">
        <f t="shared" si="489"/>
        <v>0</v>
      </c>
      <c r="BH216" s="1721">
        <f t="shared" si="490"/>
        <v>0</v>
      </c>
      <c r="BI216" s="1721">
        <f t="shared" si="491"/>
        <v>0</v>
      </c>
      <c r="BJ216" s="1721">
        <f t="shared" si="492"/>
        <v>0</v>
      </c>
      <c r="BK216" s="1721">
        <f t="shared" si="493"/>
        <v>0</v>
      </c>
      <c r="BL216" s="1721">
        <f t="shared" si="494"/>
        <v>0</v>
      </c>
      <c r="BM216" s="1715">
        <f t="shared" si="495"/>
        <v>0</v>
      </c>
      <c r="BN216" s="1715">
        <f t="shared" si="496"/>
        <v>0</v>
      </c>
      <c r="BO216" s="1715">
        <f t="shared" si="497"/>
        <v>0</v>
      </c>
      <c r="BP216" s="1715">
        <f t="shared" si="498"/>
        <v>0</v>
      </c>
      <c r="BQ216" s="1715">
        <f t="shared" si="499"/>
        <v>0</v>
      </c>
      <c r="BR216" s="1715">
        <f t="shared" si="500"/>
        <v>0</v>
      </c>
      <c r="BS216" s="1715">
        <f t="shared" si="501"/>
        <v>0</v>
      </c>
      <c r="BT216" s="1742">
        <f t="shared" si="502"/>
        <v>0</v>
      </c>
      <c r="BU216" s="1690">
        <f t="shared" si="503"/>
        <v>0</v>
      </c>
      <c r="BV216" s="1715" t="str">
        <f t="shared" si="504"/>
        <v/>
      </c>
      <c r="BW216" s="1722">
        <f t="shared" si="505"/>
        <v>0</v>
      </c>
    </row>
    <row r="217" spans="1:75">
      <c r="A217" s="1690" t="b">
        <f t="shared" si="457"/>
        <v>0</v>
      </c>
      <c r="B217" s="2193">
        <f t="shared" si="508"/>
        <v>0</v>
      </c>
      <c r="C217" s="1884" t="e">
        <f t="shared" si="458"/>
        <v>#N/A</v>
      </c>
      <c r="D217" s="1753" t="e">
        <f t="shared" si="459"/>
        <v>#N/A</v>
      </c>
      <c r="E217" s="1891" t="e">
        <f t="shared" si="460"/>
        <v>#N/A</v>
      </c>
      <c r="F217" s="1889" t="e">
        <f t="shared" si="461"/>
        <v>#N/A</v>
      </c>
      <c r="G217" s="1759"/>
      <c r="H217" s="1755"/>
      <c r="I217" s="1755"/>
      <c r="J217" s="1755"/>
      <c r="K217" s="1755"/>
      <c r="L217" s="1755"/>
      <c r="M217" s="1765"/>
      <c r="N217" s="1864" t="str">
        <f t="shared" si="511"/>
        <v/>
      </c>
      <c r="O217" s="1865" t="str">
        <f t="shared" si="511"/>
        <v/>
      </c>
      <c r="P217" s="1852" t="str">
        <f t="shared" si="511"/>
        <v/>
      </c>
      <c r="Q217" s="1692" t="str">
        <f t="shared" si="512"/>
        <v/>
      </c>
      <c r="R217" s="1692" t="str">
        <f t="shared" si="513"/>
        <v/>
      </c>
      <c r="S217" s="1692" t="str">
        <f t="shared" si="463"/>
        <v/>
      </c>
      <c r="T217" s="1692"/>
      <c r="U217" s="1900" t="str">
        <f t="shared" si="464"/>
        <v/>
      </c>
      <c r="V217" s="1841" t="str">
        <f>IF($B217=0,"",Conc1(BW217,VolumeNTP2,$AG217,MolVol,Pitots!$E$49,Pitots!$F$49,V$183,V$184,VoF))</f>
        <v/>
      </c>
      <c r="W217" s="1739" t="str">
        <f t="shared" si="465"/>
        <v/>
      </c>
      <c r="X217" s="1843"/>
      <c r="Y217" s="1901" t="str">
        <f>IF(V217="","",MassRate(V217,$AG217,MolVol,V$183,V$184,MRU,MRF,AverageFlowDry2,FF))</f>
        <v/>
      </c>
      <c r="Z217" s="1841"/>
      <c r="AE217" s="1842"/>
      <c r="AF217" s="1842"/>
      <c r="AG217" s="1753" t="e">
        <f t="shared" si="466"/>
        <v>#N/A</v>
      </c>
      <c r="AH217" s="1744" t="e">
        <f t="shared" si="467"/>
        <v>#N/A</v>
      </c>
      <c r="AK217" s="1872" t="e">
        <f t="shared" si="468"/>
        <v>#N/A</v>
      </c>
      <c r="AL217" s="1721" t="str">
        <f t="shared" si="469"/>
        <v/>
      </c>
      <c r="AM217" s="1721" t="str">
        <f t="shared" si="470"/>
        <v/>
      </c>
      <c r="AN217" s="1721" t="str">
        <f t="shared" si="471"/>
        <v/>
      </c>
      <c r="AO217" s="1721" t="str">
        <f t="shared" si="472"/>
        <v/>
      </c>
      <c r="AP217" s="1721" t="str">
        <f t="shared" si="473"/>
        <v/>
      </c>
      <c r="AQ217" s="1721" t="str">
        <f t="shared" si="474"/>
        <v/>
      </c>
      <c r="AR217" s="1721" t="str">
        <f t="shared" si="475"/>
        <v/>
      </c>
      <c r="AS217" s="1721" t="str">
        <f t="shared" si="476"/>
        <v/>
      </c>
      <c r="AT217" s="1721" t="str">
        <f t="shared" si="477"/>
        <v/>
      </c>
      <c r="AU217" s="1721" t="str">
        <f t="shared" si="478"/>
        <v/>
      </c>
      <c r="AV217" s="1721" t="str">
        <f t="shared" si="479"/>
        <v/>
      </c>
      <c r="AW217" s="1721" t="str">
        <f t="shared" si="480"/>
        <v/>
      </c>
      <c r="AX217" s="1721" t="str">
        <f t="shared" si="481"/>
        <v/>
      </c>
      <c r="AY217" s="1721" t="str">
        <f t="shared" si="482"/>
        <v/>
      </c>
      <c r="AZ217" s="1721" t="str">
        <f t="shared" si="483"/>
        <v/>
      </c>
      <c r="BA217" s="1721" t="str">
        <f t="shared" si="484"/>
        <v/>
      </c>
      <c r="BB217" s="1721" t="str">
        <f t="shared" si="485"/>
        <v/>
      </c>
      <c r="BC217" s="1739">
        <f t="shared" si="486"/>
        <v>0</v>
      </c>
      <c r="BD217" s="1739">
        <f t="shared" si="487"/>
        <v>0</v>
      </c>
      <c r="BE217" s="1739">
        <f t="shared" si="488"/>
        <v>0</v>
      </c>
      <c r="BF217" s="1721">
        <f t="shared" si="507"/>
        <v>0</v>
      </c>
      <c r="BG217" s="1721">
        <f t="shared" si="489"/>
        <v>0</v>
      </c>
      <c r="BH217" s="1721">
        <f t="shared" si="490"/>
        <v>0</v>
      </c>
      <c r="BI217" s="1721">
        <f t="shared" si="491"/>
        <v>0</v>
      </c>
      <c r="BJ217" s="1721">
        <f t="shared" si="492"/>
        <v>0</v>
      </c>
      <c r="BK217" s="1721">
        <f t="shared" si="493"/>
        <v>0</v>
      </c>
      <c r="BL217" s="1721">
        <f t="shared" si="494"/>
        <v>0</v>
      </c>
      <c r="BM217" s="1715">
        <f t="shared" si="495"/>
        <v>0</v>
      </c>
      <c r="BN217" s="1715">
        <f t="shared" si="496"/>
        <v>0</v>
      </c>
      <c r="BO217" s="1715">
        <f t="shared" si="497"/>
        <v>0</v>
      </c>
      <c r="BP217" s="1715">
        <f t="shared" si="498"/>
        <v>0</v>
      </c>
      <c r="BQ217" s="1715">
        <f t="shared" si="499"/>
        <v>0</v>
      </c>
      <c r="BR217" s="1715">
        <f t="shared" si="500"/>
        <v>0</v>
      </c>
      <c r="BS217" s="1715">
        <f t="shared" si="501"/>
        <v>0</v>
      </c>
      <c r="BT217" s="1742">
        <f t="shared" si="502"/>
        <v>0</v>
      </c>
      <c r="BU217" s="1690">
        <f t="shared" si="503"/>
        <v>0</v>
      </c>
      <c r="BV217" s="1715" t="str">
        <f t="shared" si="504"/>
        <v/>
      </c>
      <c r="BW217" s="1722">
        <f t="shared" si="505"/>
        <v>0</v>
      </c>
    </row>
    <row r="218" spans="1:75">
      <c r="A218" s="1690" t="b">
        <f t="shared" si="457"/>
        <v>0</v>
      </c>
      <c r="B218" s="2193">
        <f t="shared" si="508"/>
        <v>0</v>
      </c>
      <c r="C218" s="1884" t="e">
        <f t="shared" si="458"/>
        <v>#N/A</v>
      </c>
      <c r="D218" s="1753" t="e">
        <f t="shared" si="459"/>
        <v>#N/A</v>
      </c>
      <c r="E218" s="1891" t="e">
        <f t="shared" si="460"/>
        <v>#N/A</v>
      </c>
      <c r="F218" s="1889" t="e">
        <f t="shared" si="461"/>
        <v>#N/A</v>
      </c>
      <c r="G218" s="1759"/>
      <c r="H218" s="1755"/>
      <c r="I218" s="1755"/>
      <c r="J218" s="1755"/>
      <c r="K218" s="1755"/>
      <c r="L218" s="1755"/>
      <c r="M218" s="1765"/>
      <c r="N218" s="1864" t="str">
        <f t="shared" si="511"/>
        <v/>
      </c>
      <c r="O218" s="1865" t="str">
        <f t="shared" si="511"/>
        <v/>
      </c>
      <c r="P218" s="1852" t="str">
        <f t="shared" si="511"/>
        <v/>
      </c>
      <c r="Q218" s="1692" t="str">
        <f t="shared" si="512"/>
        <v/>
      </c>
      <c r="R218" s="1692" t="str">
        <f t="shared" si="513"/>
        <v/>
      </c>
      <c r="S218" s="1692" t="str">
        <f t="shared" si="463"/>
        <v/>
      </c>
      <c r="T218" s="1692"/>
      <c r="U218" s="1900" t="str">
        <f t="shared" si="464"/>
        <v/>
      </c>
      <c r="V218" s="1841" t="str">
        <f>IF($B218=0,"",Conc1(BW218,VolumeNTP2,$AG218,MolVol,Pitots!$E$49,Pitots!$F$49,V$183,V$184,VoF))</f>
        <v/>
      </c>
      <c r="W218" s="1739" t="str">
        <f t="shared" si="465"/>
        <v/>
      </c>
      <c r="X218" s="1843"/>
      <c r="Y218" s="1901" t="str">
        <f>IF(V218="","",MassRate(V218,$AG218,MolVol,V$183,V$184,MRU,MRF,AverageFlowDry2,FF))</f>
        <v/>
      </c>
      <c r="Z218" s="1841"/>
      <c r="AE218" s="1842"/>
      <c r="AF218" s="1842"/>
      <c r="AG218" s="1753" t="e">
        <f t="shared" si="466"/>
        <v>#N/A</v>
      </c>
      <c r="AH218" s="1744" t="e">
        <f t="shared" si="467"/>
        <v>#N/A</v>
      </c>
      <c r="AK218" s="1872" t="e">
        <f t="shared" si="468"/>
        <v>#N/A</v>
      </c>
      <c r="AL218" s="1721" t="str">
        <f t="shared" si="469"/>
        <v/>
      </c>
      <c r="AM218" s="1721" t="str">
        <f t="shared" si="470"/>
        <v/>
      </c>
      <c r="AN218" s="1721" t="str">
        <f t="shared" si="471"/>
        <v/>
      </c>
      <c r="AO218" s="1721" t="str">
        <f t="shared" si="472"/>
        <v/>
      </c>
      <c r="AP218" s="1721" t="str">
        <f t="shared" si="473"/>
        <v/>
      </c>
      <c r="AQ218" s="1721" t="str">
        <f t="shared" si="474"/>
        <v/>
      </c>
      <c r="AR218" s="1721" t="str">
        <f t="shared" si="475"/>
        <v/>
      </c>
      <c r="AS218" s="1721" t="str">
        <f t="shared" si="476"/>
        <v/>
      </c>
      <c r="AT218" s="1721" t="str">
        <f t="shared" si="477"/>
        <v/>
      </c>
      <c r="AU218" s="1721" t="str">
        <f t="shared" si="478"/>
        <v/>
      </c>
      <c r="AV218" s="1721" t="str">
        <f t="shared" si="479"/>
        <v/>
      </c>
      <c r="AW218" s="1721" t="str">
        <f t="shared" si="480"/>
        <v/>
      </c>
      <c r="AX218" s="1721" t="str">
        <f t="shared" si="481"/>
        <v/>
      </c>
      <c r="AY218" s="1721" t="str">
        <f t="shared" si="482"/>
        <v/>
      </c>
      <c r="AZ218" s="1721" t="str">
        <f t="shared" si="483"/>
        <v/>
      </c>
      <c r="BA218" s="1721" t="str">
        <f t="shared" si="484"/>
        <v/>
      </c>
      <c r="BB218" s="1721" t="str">
        <f t="shared" si="485"/>
        <v/>
      </c>
      <c r="BC218" s="1739">
        <f t="shared" si="486"/>
        <v>0</v>
      </c>
      <c r="BD218" s="1739">
        <f t="shared" si="487"/>
        <v>0</v>
      </c>
      <c r="BE218" s="1739">
        <f t="shared" si="488"/>
        <v>0</v>
      </c>
      <c r="BF218" s="1721">
        <f t="shared" si="507"/>
        <v>0</v>
      </c>
      <c r="BG218" s="1721">
        <f t="shared" si="489"/>
        <v>0</v>
      </c>
      <c r="BH218" s="1721">
        <f t="shared" si="490"/>
        <v>0</v>
      </c>
      <c r="BI218" s="1721">
        <f t="shared" si="491"/>
        <v>0</v>
      </c>
      <c r="BJ218" s="1721">
        <f t="shared" si="492"/>
        <v>0</v>
      </c>
      <c r="BK218" s="1721">
        <f t="shared" si="493"/>
        <v>0</v>
      </c>
      <c r="BL218" s="1721">
        <f t="shared" si="494"/>
        <v>0</v>
      </c>
      <c r="BM218" s="1715">
        <f t="shared" si="495"/>
        <v>0</v>
      </c>
      <c r="BN218" s="1715">
        <f t="shared" si="496"/>
        <v>0</v>
      </c>
      <c r="BO218" s="1715">
        <f t="shared" si="497"/>
        <v>0</v>
      </c>
      <c r="BP218" s="1715">
        <f t="shared" si="498"/>
        <v>0</v>
      </c>
      <c r="BQ218" s="1715">
        <f t="shared" si="499"/>
        <v>0</v>
      </c>
      <c r="BR218" s="1715">
        <f t="shared" si="500"/>
        <v>0</v>
      </c>
      <c r="BS218" s="1715">
        <f t="shared" si="501"/>
        <v>0</v>
      </c>
      <c r="BT218" s="1742">
        <f t="shared" si="502"/>
        <v>0</v>
      </c>
      <c r="BU218" s="1690">
        <f t="shared" si="503"/>
        <v>0</v>
      </c>
      <c r="BV218" s="1715" t="str">
        <f t="shared" si="504"/>
        <v/>
      </c>
      <c r="BW218" s="1722">
        <f t="shared" si="505"/>
        <v>0</v>
      </c>
    </row>
    <row r="219" spans="1:75">
      <c r="A219" s="1690" t="b">
        <f t="shared" si="457"/>
        <v>0</v>
      </c>
      <c r="B219" s="2193">
        <f t="shared" si="508"/>
        <v>0</v>
      </c>
      <c r="C219" s="1884" t="e">
        <f t="shared" si="458"/>
        <v>#N/A</v>
      </c>
      <c r="D219" s="1753" t="e">
        <f t="shared" si="459"/>
        <v>#N/A</v>
      </c>
      <c r="E219" s="1891" t="e">
        <f t="shared" si="460"/>
        <v>#N/A</v>
      </c>
      <c r="F219" s="1889" t="e">
        <f t="shared" si="461"/>
        <v>#N/A</v>
      </c>
      <c r="G219" s="1759"/>
      <c r="H219" s="1755"/>
      <c r="I219" s="1755"/>
      <c r="J219" s="1755"/>
      <c r="K219" s="1755"/>
      <c r="L219" s="1755"/>
      <c r="M219" s="1765"/>
      <c r="N219" s="1864" t="str">
        <f t="shared" si="511"/>
        <v/>
      </c>
      <c r="O219" s="1865" t="str">
        <f t="shared" si="511"/>
        <v/>
      </c>
      <c r="P219" s="1852" t="str">
        <f t="shared" si="511"/>
        <v/>
      </c>
      <c r="Q219" s="1692" t="str">
        <f t="shared" si="512"/>
        <v/>
      </c>
      <c r="R219" s="1692" t="str">
        <f t="shared" si="513"/>
        <v/>
      </c>
      <c r="S219" s="1692" t="str">
        <f t="shared" si="463"/>
        <v/>
      </c>
      <c r="T219" s="1692"/>
      <c r="U219" s="1900" t="str">
        <f t="shared" si="464"/>
        <v/>
      </c>
      <c r="V219" s="1841" t="str">
        <f>IF($B219=0,"",Conc1(BW219,VolumeNTP2,$AG219,MolVol,Pitots!$E$49,Pitots!$F$49,V$183,V$184,VoF))</f>
        <v/>
      </c>
      <c r="W219" s="1739" t="str">
        <f t="shared" si="465"/>
        <v/>
      </c>
      <c r="X219" s="1843"/>
      <c r="Y219" s="1901" t="str">
        <f>IF(V219="","",MassRate(V219,$AG219,MolVol,V$183,V$184,MRU,MRF,AverageFlowDry2,FF))</f>
        <v/>
      </c>
      <c r="Z219" s="1841"/>
      <c r="AE219" s="1842"/>
      <c r="AF219" s="1842"/>
      <c r="AG219" s="1753" t="e">
        <f t="shared" si="466"/>
        <v>#N/A</v>
      </c>
      <c r="AH219" s="1744" t="e">
        <f t="shared" si="467"/>
        <v>#N/A</v>
      </c>
      <c r="AK219" s="1872" t="e">
        <f t="shared" si="468"/>
        <v>#N/A</v>
      </c>
      <c r="AL219" s="1721" t="str">
        <f t="shared" si="469"/>
        <v/>
      </c>
      <c r="AM219" s="1721" t="str">
        <f t="shared" si="470"/>
        <v/>
      </c>
      <c r="AN219" s="1721" t="str">
        <f t="shared" si="471"/>
        <v/>
      </c>
      <c r="AO219" s="1721" t="str">
        <f t="shared" si="472"/>
        <v/>
      </c>
      <c r="AP219" s="1721" t="str">
        <f t="shared" si="473"/>
        <v/>
      </c>
      <c r="AQ219" s="1721" t="str">
        <f t="shared" si="474"/>
        <v/>
      </c>
      <c r="AR219" s="1721" t="str">
        <f t="shared" si="475"/>
        <v/>
      </c>
      <c r="AS219" s="1721" t="str">
        <f t="shared" si="476"/>
        <v/>
      </c>
      <c r="AT219" s="1721" t="str">
        <f t="shared" si="477"/>
        <v/>
      </c>
      <c r="AU219" s="1721" t="str">
        <f t="shared" si="478"/>
        <v/>
      </c>
      <c r="AV219" s="1721" t="str">
        <f t="shared" si="479"/>
        <v/>
      </c>
      <c r="AW219" s="1721" t="str">
        <f t="shared" si="480"/>
        <v/>
      </c>
      <c r="AX219" s="1721" t="str">
        <f t="shared" si="481"/>
        <v/>
      </c>
      <c r="AY219" s="1721" t="str">
        <f t="shared" si="482"/>
        <v/>
      </c>
      <c r="AZ219" s="1721" t="str">
        <f t="shared" si="483"/>
        <v/>
      </c>
      <c r="BA219" s="1721" t="str">
        <f t="shared" si="484"/>
        <v/>
      </c>
      <c r="BB219" s="1721" t="str">
        <f t="shared" si="485"/>
        <v/>
      </c>
      <c r="BC219" s="1739">
        <f t="shared" si="486"/>
        <v>0</v>
      </c>
      <c r="BD219" s="1739">
        <f t="shared" si="487"/>
        <v>0</v>
      </c>
      <c r="BE219" s="1739">
        <f t="shared" si="488"/>
        <v>0</v>
      </c>
      <c r="BF219" s="1721">
        <f t="shared" si="507"/>
        <v>0</v>
      </c>
      <c r="BG219" s="1721">
        <f t="shared" si="489"/>
        <v>0</v>
      </c>
      <c r="BH219" s="1721">
        <f t="shared" si="490"/>
        <v>0</v>
      </c>
      <c r="BI219" s="1721">
        <f t="shared" si="491"/>
        <v>0</v>
      </c>
      <c r="BJ219" s="1721">
        <f t="shared" si="492"/>
        <v>0</v>
      </c>
      <c r="BK219" s="1721">
        <f t="shared" si="493"/>
        <v>0</v>
      </c>
      <c r="BL219" s="1721">
        <f t="shared" si="494"/>
        <v>0</v>
      </c>
      <c r="BM219" s="1715">
        <f t="shared" si="495"/>
        <v>0</v>
      </c>
      <c r="BN219" s="1715">
        <f t="shared" si="496"/>
        <v>0</v>
      </c>
      <c r="BO219" s="1715">
        <f t="shared" si="497"/>
        <v>0</v>
      </c>
      <c r="BP219" s="1715">
        <f t="shared" si="498"/>
        <v>0</v>
      </c>
      <c r="BQ219" s="1715">
        <f t="shared" si="499"/>
        <v>0</v>
      </c>
      <c r="BR219" s="1715">
        <f t="shared" si="500"/>
        <v>0</v>
      </c>
      <c r="BS219" s="1715">
        <f t="shared" si="501"/>
        <v>0</v>
      </c>
      <c r="BT219" s="1742">
        <f t="shared" si="502"/>
        <v>0</v>
      </c>
      <c r="BU219" s="1690">
        <f t="shared" si="503"/>
        <v>0</v>
      </c>
      <c r="BV219" s="1715" t="str">
        <f t="shared" si="504"/>
        <v/>
      </c>
      <c r="BW219" s="1722">
        <f t="shared" si="505"/>
        <v>0</v>
      </c>
    </row>
    <row r="220" spans="1:75">
      <c r="A220" s="1690" t="b">
        <f t="shared" si="457"/>
        <v>0</v>
      </c>
      <c r="B220" s="2193">
        <f t="shared" si="508"/>
        <v>0</v>
      </c>
      <c r="C220" s="1885" t="e">
        <f t="shared" si="458"/>
        <v>#N/A</v>
      </c>
      <c r="D220" s="1754" t="e">
        <f t="shared" si="459"/>
        <v>#N/A</v>
      </c>
      <c r="E220" s="1892" t="e">
        <f t="shared" si="460"/>
        <v>#N/A</v>
      </c>
      <c r="F220" s="1890" t="e">
        <f t="shared" si="461"/>
        <v>#N/A</v>
      </c>
      <c r="G220" s="1761"/>
      <c r="H220" s="1762"/>
      <c r="I220" s="1762"/>
      <c r="J220" s="1762"/>
      <c r="K220" s="1762"/>
      <c r="L220" s="1762"/>
      <c r="M220" s="1766"/>
      <c r="N220" s="1866" t="str">
        <f>IF(N173="","",N173)</f>
        <v/>
      </c>
      <c r="O220" s="1867" t="str">
        <f>IF(O173="","",O173)</f>
        <v/>
      </c>
      <c r="P220" s="1868" t="str">
        <f>IF(P173="","",P173)</f>
        <v/>
      </c>
      <c r="Q220" s="1692" t="str">
        <f t="shared" si="512"/>
        <v/>
      </c>
      <c r="R220" s="1692" t="str">
        <f t="shared" si="513"/>
        <v/>
      </c>
      <c r="S220" s="1692" t="str">
        <f t="shared" si="463"/>
        <v/>
      </c>
      <c r="T220" s="1692"/>
      <c r="U220" s="1900" t="str">
        <f t="shared" si="464"/>
        <v/>
      </c>
      <c r="V220" s="1841" t="str">
        <f>IF($B220=0,"",Conc1(BW220,VolumeNTP2,$AG220,MolVol,Pitots!$E$49,Pitots!$F$49,V$183,V$184,VoF))</f>
        <v/>
      </c>
      <c r="W220" s="1739" t="str">
        <f t="shared" si="465"/>
        <v/>
      </c>
      <c r="X220" s="1843"/>
      <c r="Y220" s="1901" t="str">
        <f>IF(V220="","",MassRate(V220,$AG220,MolVol,V$183,V$184,MRU,MRF,AverageFlowDry2,FF))</f>
        <v/>
      </c>
      <c r="Z220" s="1841"/>
      <c r="AE220" s="1842"/>
      <c r="AF220" s="1842"/>
      <c r="AG220" s="1754" t="e">
        <f t="shared" si="466"/>
        <v>#N/A</v>
      </c>
      <c r="AH220" s="1706" t="e">
        <f t="shared" si="467"/>
        <v>#N/A</v>
      </c>
      <c r="AK220" s="1873" t="e">
        <f t="shared" si="468"/>
        <v>#N/A</v>
      </c>
      <c r="AL220" s="1723" t="str">
        <f t="shared" si="469"/>
        <v/>
      </c>
      <c r="AM220" s="1723" t="str">
        <f t="shared" si="470"/>
        <v/>
      </c>
      <c r="AN220" s="1723" t="str">
        <f t="shared" si="471"/>
        <v/>
      </c>
      <c r="AO220" s="1723" t="str">
        <f t="shared" si="472"/>
        <v/>
      </c>
      <c r="AP220" s="1723" t="str">
        <f t="shared" si="473"/>
        <v/>
      </c>
      <c r="AQ220" s="1723" t="str">
        <f t="shared" si="474"/>
        <v/>
      </c>
      <c r="AR220" s="1723" t="str">
        <f t="shared" si="475"/>
        <v/>
      </c>
      <c r="AS220" s="1723" t="str">
        <f t="shared" si="476"/>
        <v/>
      </c>
      <c r="AT220" s="1723" t="str">
        <f t="shared" si="477"/>
        <v/>
      </c>
      <c r="AU220" s="1723" t="str">
        <f t="shared" si="478"/>
        <v/>
      </c>
      <c r="AV220" s="1723" t="str">
        <f t="shared" si="479"/>
        <v/>
      </c>
      <c r="AW220" s="1723" t="str">
        <f t="shared" si="480"/>
        <v/>
      </c>
      <c r="AX220" s="1723" t="str">
        <f t="shared" si="481"/>
        <v/>
      </c>
      <c r="AY220" s="1723" t="str">
        <f t="shared" si="482"/>
        <v/>
      </c>
      <c r="AZ220" s="1723" t="str">
        <f t="shared" si="483"/>
        <v/>
      </c>
      <c r="BA220" s="1723" t="str">
        <f t="shared" si="484"/>
        <v/>
      </c>
      <c r="BB220" s="1723" t="str">
        <f t="shared" si="485"/>
        <v/>
      </c>
      <c r="BC220" s="1740">
        <f t="shared" si="486"/>
        <v>0</v>
      </c>
      <c r="BD220" s="1740">
        <f t="shared" si="487"/>
        <v>0</v>
      </c>
      <c r="BE220" s="1740">
        <f t="shared" si="488"/>
        <v>0</v>
      </c>
      <c r="BF220" s="1723">
        <f t="shared" si="507"/>
        <v>0</v>
      </c>
      <c r="BG220" s="1723">
        <f t="shared" si="489"/>
        <v>0</v>
      </c>
      <c r="BH220" s="1723">
        <f t="shared" si="490"/>
        <v>0</v>
      </c>
      <c r="BI220" s="1723">
        <f t="shared" si="491"/>
        <v>0</v>
      </c>
      <c r="BJ220" s="1723">
        <f t="shared" si="492"/>
        <v>0</v>
      </c>
      <c r="BK220" s="1723">
        <f t="shared" si="493"/>
        <v>0</v>
      </c>
      <c r="BL220" s="1723">
        <f t="shared" si="494"/>
        <v>0</v>
      </c>
      <c r="BM220" s="1716">
        <f t="shared" si="495"/>
        <v>0</v>
      </c>
      <c r="BN220" s="1716">
        <f t="shared" si="496"/>
        <v>0</v>
      </c>
      <c r="BO220" s="1716">
        <f t="shared" si="497"/>
        <v>0</v>
      </c>
      <c r="BP220" s="1716">
        <f t="shared" si="498"/>
        <v>0</v>
      </c>
      <c r="BQ220" s="1716">
        <f t="shared" si="499"/>
        <v>0</v>
      </c>
      <c r="BR220" s="1716">
        <f t="shared" si="500"/>
        <v>0</v>
      </c>
      <c r="BS220" s="1716">
        <f t="shared" si="501"/>
        <v>0</v>
      </c>
      <c r="BT220" s="1743">
        <f t="shared" si="502"/>
        <v>0</v>
      </c>
      <c r="BU220" s="1717">
        <f t="shared" si="503"/>
        <v>0</v>
      </c>
      <c r="BV220" s="1716" t="str">
        <f t="shared" si="504"/>
        <v/>
      </c>
      <c r="BW220" s="1725">
        <f t="shared" si="505"/>
        <v>0</v>
      </c>
    </row>
    <row r="221" spans="1:75">
      <c r="A221" s="1690" t="b">
        <f>IF(A184=TRUE,TRUE,FALSE)</f>
        <v>0</v>
      </c>
      <c r="B221" s="1713"/>
      <c r="C221" s="1713"/>
      <c r="D221" s="1713"/>
      <c r="E221" s="1713"/>
      <c r="F221" s="1713"/>
      <c r="G221" s="1713"/>
      <c r="H221" s="1713"/>
      <c r="I221" s="1713"/>
      <c r="J221" s="1713"/>
      <c r="K221" s="1713"/>
      <c r="L221" s="1713"/>
      <c r="M221" s="1713"/>
      <c r="N221" s="1713"/>
      <c r="O221" s="1713"/>
      <c r="P221" s="1713"/>
      <c r="R221" s="2377"/>
      <c r="S221" s="2378"/>
      <c r="T221" s="2382" t="s">
        <v>1967</v>
      </c>
      <c r="U221" s="1898" t="str">
        <f>IF('Results Entry'!CA194=5,"&lt;",IF('Results Entry'!CA194=0,"","≤"))</f>
        <v/>
      </c>
      <c r="V221" s="1719" t="str">
        <f>'Results Entry'!CC194</f>
        <v/>
      </c>
      <c r="W221" s="2333" t="str">
        <f>IF(V221="","",V221*O2correction*CO2correction)</f>
        <v/>
      </c>
      <c r="X221" s="2370" t="str">
        <f>IF(OR(U221="&lt;",VND="&lt;"),"&lt;","")</f>
        <v/>
      </c>
      <c r="Y221" s="1899" t="str">
        <f>IF(V221="","",MassRate(V221,$AG221,MolVol,V$136,V$137,MRU,MRF,AverageFlowDry1,FF))</f>
        <v/>
      </c>
      <c r="AG221" s="1697"/>
      <c r="AH221" s="1698"/>
      <c r="AI221" s="1700"/>
      <c r="AJ221" s="1690"/>
      <c r="BL221" s="1698"/>
      <c r="BT221" s="1690"/>
    </row>
    <row r="222" spans="1:75">
      <c r="A222" s="1690" t="b">
        <f>A221</f>
        <v>0</v>
      </c>
      <c r="R222" s="2379"/>
      <c r="S222" s="2376"/>
      <c r="T222" s="2383" t="s">
        <v>1968</v>
      </c>
      <c r="U222" s="1900" t="str">
        <f>IF('Results Entry'!CA207=8,"&lt;",IF('Results Entry'!CA207=0,"","≤"))</f>
        <v/>
      </c>
      <c r="V222" s="1841" t="str">
        <f>'Results Entry'!CC207</f>
        <v/>
      </c>
      <c r="W222" s="1739" t="str">
        <f>IF(V222="","",V222*O2correction*CO2correction)</f>
        <v/>
      </c>
      <c r="X222" s="1843" t="str">
        <f>IF(OR(U222="&lt;",VND="&lt;"),"&lt;","")</f>
        <v/>
      </c>
      <c r="Y222" s="1901" t="str">
        <f>IF(V222="","",MassRate(V222,$AG222,MolVol,V$136,V$137,MRU,MRF,AverageFlowDry1,FF))</f>
        <v/>
      </c>
      <c r="AG222" s="1697"/>
      <c r="AH222" s="1698"/>
      <c r="AI222" s="1700"/>
      <c r="AJ222" s="1690"/>
      <c r="BL222" s="1698"/>
      <c r="BT222" s="1690"/>
    </row>
    <row r="223" spans="1:75">
      <c r="A223" s="1690" t="b">
        <f>A221</f>
        <v>0</v>
      </c>
      <c r="R223" s="2380"/>
      <c r="S223" s="2381"/>
      <c r="T223" s="2384" t="s">
        <v>1969</v>
      </c>
      <c r="U223" s="1902" t="str">
        <f>IF(SUM('Results Entry'!CN301,'Results Entry'!CN314)=0,"",IF(SUM('Results Entry'!CN301,'Results Entry'!CN314)=13,"&lt;","≤"))</f>
        <v/>
      </c>
      <c r="V223" s="2271" t="str">
        <f>IF(SUM(V221:V222)=0,"",SUM(V221:V222))</f>
        <v/>
      </c>
      <c r="W223" s="1740" t="str">
        <f>IF(V223="","",V223*O2correction*CO2correction)</f>
        <v/>
      </c>
      <c r="X223" s="2281"/>
      <c r="Y223" s="2332" t="str">
        <f>IF(V223="","",MassRate(V223,$AG223,MolVol,V$136,V$137,MRU,MRF,AverageFlowDry1,FF))</f>
        <v/>
      </c>
      <c r="AG223" s="1697"/>
      <c r="AH223" s="1698"/>
      <c r="AI223" s="1700"/>
      <c r="AJ223" s="1690"/>
      <c r="BL223" s="1698"/>
      <c r="BT223" s="1690"/>
    </row>
    <row r="224" spans="1:75">
      <c r="A224" s="1690" t="b">
        <f>A221</f>
        <v>0</v>
      </c>
      <c r="S224" s="1690"/>
      <c r="AA224" s="1697"/>
      <c r="AB224" s="1698"/>
      <c r="AC224" s="1700"/>
      <c r="AH224" s="1690"/>
      <c r="AI224" s="1690"/>
      <c r="AJ224" s="1690"/>
      <c r="BF224" s="1698"/>
      <c r="BG224" s="1698"/>
      <c r="BH224" s="1698"/>
      <c r="BI224" s="1698"/>
      <c r="BJ224" s="1698"/>
      <c r="BK224" s="1698"/>
      <c r="BL224" s="1698"/>
      <c r="BN224" s="1690"/>
      <c r="BO224" s="1690"/>
      <c r="BP224" s="1690"/>
      <c r="BQ224" s="1690"/>
      <c r="BR224" s="1690"/>
      <c r="BS224" s="1690"/>
      <c r="BT224" s="1690"/>
    </row>
    <row r="225" spans="19:72">
      <c r="S225" s="1690"/>
      <c r="AA225" s="1697"/>
      <c r="AB225" s="1698"/>
      <c r="AC225" s="1700"/>
      <c r="AH225" s="1690"/>
      <c r="AI225" s="1690"/>
      <c r="AJ225" s="1690"/>
      <c r="BF225" s="1698"/>
      <c r="BG225" s="1698"/>
      <c r="BH225" s="1698"/>
      <c r="BI225" s="1698"/>
      <c r="BJ225" s="1698"/>
      <c r="BK225" s="1698"/>
      <c r="BL225" s="1698"/>
      <c r="BN225" s="1690"/>
      <c r="BO225" s="1690"/>
      <c r="BP225" s="1690"/>
      <c r="BQ225" s="1690"/>
      <c r="BR225" s="1690"/>
      <c r="BS225" s="1690"/>
      <c r="BT225" s="1690"/>
    </row>
    <row r="226" spans="19:72">
      <c r="S226" s="1690"/>
      <c r="AA226" s="1697"/>
      <c r="AB226" s="1698"/>
      <c r="AC226" s="1700"/>
      <c r="AH226" s="1690"/>
      <c r="AI226" s="1690"/>
      <c r="AJ226" s="1690"/>
      <c r="BF226" s="1698"/>
      <c r="BG226" s="1698"/>
      <c r="BH226" s="1698"/>
      <c r="BI226" s="1698"/>
      <c r="BJ226" s="1698"/>
      <c r="BK226" s="1698"/>
      <c r="BL226" s="1698"/>
      <c r="BN226" s="1690"/>
      <c r="BO226" s="1690"/>
      <c r="BP226" s="1690"/>
      <c r="BQ226" s="1690"/>
      <c r="BR226" s="1690"/>
      <c r="BS226" s="1690"/>
      <c r="BT226" s="1690"/>
    </row>
  </sheetData>
  <sheetProtection sheet="1" objects="1" scenarios="1"/>
  <autoFilter ref="A8:A224"/>
  <mergeCells count="363">
    <mergeCell ref="BM116:BN116"/>
    <mergeCell ref="AK116:AK117"/>
    <mergeCell ref="AL116:AL117"/>
    <mergeCell ref="BG115:BH115"/>
    <mergeCell ref="BI115:BJ115"/>
    <mergeCell ref="BK115:BN115"/>
    <mergeCell ref="H112:I112"/>
    <mergeCell ref="F112:G112"/>
    <mergeCell ref="E183:E184"/>
    <mergeCell ref="F183:F184"/>
    <mergeCell ref="N131:P131"/>
    <mergeCell ref="X182:Y182"/>
    <mergeCell ref="U122:AC122"/>
    <mergeCell ref="AD122:AI122"/>
    <mergeCell ref="N116:N118"/>
    <mergeCell ref="O116:O118"/>
    <mergeCell ref="N115:P115"/>
    <mergeCell ref="P116:P118"/>
    <mergeCell ref="Q116:Q118"/>
    <mergeCell ref="R116:R118"/>
    <mergeCell ref="S116:S118"/>
    <mergeCell ref="Q115:S115"/>
    <mergeCell ref="BK116:BL116"/>
    <mergeCell ref="F94:I94"/>
    <mergeCell ref="J94:M94"/>
    <mergeCell ref="O95:O96"/>
    <mergeCell ref="X135:Y135"/>
    <mergeCell ref="AD95:AE95"/>
    <mergeCell ref="AF95:AG95"/>
    <mergeCell ref="U95:W95"/>
    <mergeCell ref="X95:Z95"/>
    <mergeCell ref="X181:Y181"/>
    <mergeCell ref="R134:R135"/>
    <mergeCell ref="Q134:Q135"/>
    <mergeCell ref="AD123:AE123"/>
    <mergeCell ref="AF123:AG123"/>
    <mergeCell ref="S181:S182"/>
    <mergeCell ref="F123:G123"/>
    <mergeCell ref="H123:I123"/>
    <mergeCell ref="U125:V125"/>
    <mergeCell ref="X124:Y124"/>
    <mergeCell ref="X125:Y125"/>
    <mergeCell ref="AA124:AB124"/>
    <mergeCell ref="U181:W181"/>
    <mergeCell ref="U182:W182"/>
    <mergeCell ref="AD94:AI94"/>
    <mergeCell ref="AH95:AI95"/>
    <mergeCell ref="B126:C126"/>
    <mergeCell ref="B127:C127"/>
    <mergeCell ref="B128:C128"/>
    <mergeCell ref="N178:P178"/>
    <mergeCell ref="Q181:Q182"/>
    <mergeCell ref="R181:R182"/>
    <mergeCell ref="Z134:AD134"/>
    <mergeCell ref="K123:L123"/>
    <mergeCell ref="BT134:BU134"/>
    <mergeCell ref="U135:W135"/>
    <mergeCell ref="U123:W123"/>
    <mergeCell ref="X123:Z123"/>
    <mergeCell ref="AA123:AC123"/>
    <mergeCell ref="U134:Y134"/>
    <mergeCell ref="Z135:AB135"/>
    <mergeCell ref="AC135:AD135"/>
    <mergeCell ref="AA125:AB125"/>
    <mergeCell ref="AD124:AE124"/>
    <mergeCell ref="AD125:AE125"/>
    <mergeCell ref="AF124:AG124"/>
    <mergeCell ref="AF125:AG125"/>
    <mergeCell ref="B124:C124"/>
    <mergeCell ref="BV134:BW134"/>
    <mergeCell ref="AH135:AH136"/>
    <mergeCell ref="AK135:AK136"/>
    <mergeCell ref="BV135:BW135"/>
    <mergeCell ref="BM134:BS134"/>
    <mergeCell ref="BM135:BS135"/>
    <mergeCell ref="B125:C125"/>
    <mergeCell ref="AL124:AL125"/>
    <mergeCell ref="AQ124:AT124"/>
    <mergeCell ref="O123:O124"/>
    <mergeCell ref="P123:P124"/>
    <mergeCell ref="B129:C129"/>
    <mergeCell ref="AM124:AP124"/>
    <mergeCell ref="E136:E137"/>
    <mergeCell ref="F136:F137"/>
    <mergeCell ref="BA123:BD123"/>
    <mergeCell ref="AU124:AX124"/>
    <mergeCell ref="S134:S135"/>
    <mergeCell ref="AH123:AI123"/>
    <mergeCell ref="U124:V124"/>
    <mergeCell ref="BE123:BH123"/>
    <mergeCell ref="Z136:AA136"/>
    <mergeCell ref="AH124:AI124"/>
    <mergeCell ref="AH125:AI125"/>
    <mergeCell ref="BV181:BW181"/>
    <mergeCell ref="AH182:AH183"/>
    <mergeCell ref="AK182:AK183"/>
    <mergeCell ref="AL182:AR182"/>
    <mergeCell ref="AS182:AU182"/>
    <mergeCell ref="AV182:BB182"/>
    <mergeCell ref="BC182:BE182"/>
    <mergeCell ref="BF182:BL182"/>
    <mergeCell ref="BM182:BS182"/>
    <mergeCell ref="BV182:BW182"/>
    <mergeCell ref="AD77:AI77"/>
    <mergeCell ref="AH78:AI78"/>
    <mergeCell ref="AL181:AU181"/>
    <mergeCell ref="BF181:BL181"/>
    <mergeCell ref="BM181:BS181"/>
    <mergeCell ref="BT181:BU181"/>
    <mergeCell ref="P95:P96"/>
    <mergeCell ref="Q95:Q96"/>
    <mergeCell ref="BA47:BD47"/>
    <mergeCell ref="BG47:BJ47"/>
    <mergeCell ref="BK47:BN47"/>
    <mergeCell ref="BO47:BR47"/>
    <mergeCell ref="U96:V96"/>
    <mergeCell ref="X96:Y96"/>
    <mergeCell ref="U97:V97"/>
    <mergeCell ref="X97:Y97"/>
    <mergeCell ref="AV135:BB135"/>
    <mergeCell ref="BC135:BE135"/>
    <mergeCell ref="BF134:BL134"/>
    <mergeCell ref="BF135:BL135"/>
    <mergeCell ref="AL135:AR135"/>
    <mergeCell ref="AS135:AU135"/>
    <mergeCell ref="AL134:AU134"/>
    <mergeCell ref="AM97:AU97"/>
    <mergeCell ref="CA97:CD97"/>
    <mergeCell ref="AK98:AK99"/>
    <mergeCell ref="AL98:AL99"/>
    <mergeCell ref="AM98:AP98"/>
    <mergeCell ref="AQ98:AT98"/>
    <mergeCell ref="AW98:AZ98"/>
    <mergeCell ref="BA98:BD98"/>
    <mergeCell ref="BG98:BJ98"/>
    <mergeCell ref="BK98:BN98"/>
    <mergeCell ref="BO98:BR98"/>
    <mergeCell ref="BS98:BV98"/>
    <mergeCell ref="CA98:CB98"/>
    <mergeCell ref="CC98:CD98"/>
    <mergeCell ref="AW97:BE97"/>
    <mergeCell ref="BG97:BN97"/>
    <mergeCell ref="BO97:BV97"/>
    <mergeCell ref="BW97:BX97"/>
    <mergeCell ref="BY97:BZ97"/>
    <mergeCell ref="CA80:CD80"/>
    <mergeCell ref="AK81:AK82"/>
    <mergeCell ref="AL81:AL82"/>
    <mergeCell ref="AM81:AP81"/>
    <mergeCell ref="AQ81:AT81"/>
    <mergeCell ref="AW81:AZ81"/>
    <mergeCell ref="BA81:BD81"/>
    <mergeCell ref="BG81:BJ81"/>
    <mergeCell ref="BK81:BN81"/>
    <mergeCell ref="BO81:BR81"/>
    <mergeCell ref="BS81:BV81"/>
    <mergeCell ref="CA81:CB81"/>
    <mergeCell ref="CC81:CD81"/>
    <mergeCell ref="AW80:BE80"/>
    <mergeCell ref="BG80:BN80"/>
    <mergeCell ref="BO80:BV80"/>
    <mergeCell ref="BW80:BX80"/>
    <mergeCell ref="BY80:BZ80"/>
    <mergeCell ref="BY63:BZ63"/>
    <mergeCell ref="CA63:CD63"/>
    <mergeCell ref="AK64:AK65"/>
    <mergeCell ref="AL64:AL65"/>
    <mergeCell ref="AM64:AP64"/>
    <mergeCell ref="AQ64:AT64"/>
    <mergeCell ref="AW64:AZ64"/>
    <mergeCell ref="BA64:BD64"/>
    <mergeCell ref="BG64:BJ64"/>
    <mergeCell ref="BK64:BN64"/>
    <mergeCell ref="BO64:BR64"/>
    <mergeCell ref="BS64:BV64"/>
    <mergeCell ref="CA64:CB64"/>
    <mergeCell ref="CC64:CD64"/>
    <mergeCell ref="AM63:AU63"/>
    <mergeCell ref="AW63:BE63"/>
    <mergeCell ref="BG63:BN63"/>
    <mergeCell ref="BO63:BV63"/>
    <mergeCell ref="BW63:BX63"/>
    <mergeCell ref="F60:I60"/>
    <mergeCell ref="J60:M60"/>
    <mergeCell ref="P61:P62"/>
    <mergeCell ref="Q61:Q62"/>
    <mergeCell ref="O61:O62"/>
    <mergeCell ref="U80:V80"/>
    <mergeCell ref="X80:Y80"/>
    <mergeCell ref="AM80:AU80"/>
    <mergeCell ref="F77:I77"/>
    <mergeCell ref="J77:M77"/>
    <mergeCell ref="U62:V62"/>
    <mergeCell ref="X62:Y62"/>
    <mergeCell ref="U63:V63"/>
    <mergeCell ref="X63:Y63"/>
    <mergeCell ref="U79:V79"/>
    <mergeCell ref="X79:Y79"/>
    <mergeCell ref="P78:P79"/>
    <mergeCell ref="Q78:Q79"/>
    <mergeCell ref="O78:O79"/>
    <mergeCell ref="AF78:AG78"/>
    <mergeCell ref="AD61:AE61"/>
    <mergeCell ref="AF61:AG61"/>
    <mergeCell ref="U78:W78"/>
    <mergeCell ref="X78:Z78"/>
    <mergeCell ref="F26:I26"/>
    <mergeCell ref="J26:M26"/>
    <mergeCell ref="BY29:BZ29"/>
    <mergeCell ref="U45:V45"/>
    <mergeCell ref="X45:Y45"/>
    <mergeCell ref="U46:V46"/>
    <mergeCell ref="X46:Y46"/>
    <mergeCell ref="AM46:AU46"/>
    <mergeCell ref="F43:I43"/>
    <mergeCell ref="J43:M43"/>
    <mergeCell ref="P44:P45"/>
    <mergeCell ref="Q44:Q45"/>
    <mergeCell ref="O44:O45"/>
    <mergeCell ref="X29:Y29"/>
    <mergeCell ref="AM29:AU29"/>
    <mergeCell ref="AW29:BE29"/>
    <mergeCell ref="O27:O28"/>
    <mergeCell ref="AH10:AI10"/>
    <mergeCell ref="U44:W44"/>
    <mergeCell ref="X44:Z44"/>
    <mergeCell ref="U27:W27"/>
    <mergeCell ref="X27:Z27"/>
    <mergeCell ref="X10:Z10"/>
    <mergeCell ref="CA47:CB47"/>
    <mergeCell ref="CC47:CD47"/>
    <mergeCell ref="AW46:BE46"/>
    <mergeCell ref="BG46:BN46"/>
    <mergeCell ref="BO46:BV46"/>
    <mergeCell ref="BW46:BX46"/>
    <mergeCell ref="BY46:BZ46"/>
    <mergeCell ref="BS47:BV47"/>
    <mergeCell ref="P27:P28"/>
    <mergeCell ref="Q27:Q28"/>
    <mergeCell ref="U28:V28"/>
    <mergeCell ref="X28:Y28"/>
    <mergeCell ref="U29:V29"/>
    <mergeCell ref="BK30:BN30"/>
    <mergeCell ref="BO30:BR30"/>
    <mergeCell ref="BS30:BV30"/>
    <mergeCell ref="AK30:AK31"/>
    <mergeCell ref="AL30:AL31"/>
    <mergeCell ref="AM30:AP30"/>
    <mergeCell ref="AQ30:AT30"/>
    <mergeCell ref="F9:I9"/>
    <mergeCell ref="J9:M9"/>
    <mergeCell ref="CA13:CB13"/>
    <mergeCell ref="CA12:CD12"/>
    <mergeCell ref="AM12:AU12"/>
    <mergeCell ref="AW12:BE12"/>
    <mergeCell ref="BG12:BN12"/>
    <mergeCell ref="BW12:BX12"/>
    <mergeCell ref="BY12:BZ12"/>
    <mergeCell ref="U11:V11"/>
    <mergeCell ref="U12:V12"/>
    <mergeCell ref="X11:Y11"/>
    <mergeCell ref="X12:Y12"/>
    <mergeCell ref="BO13:BR13"/>
    <mergeCell ref="BS13:BV13"/>
    <mergeCell ref="BO12:BV12"/>
    <mergeCell ref="AL13:AL14"/>
    <mergeCell ref="AK13:AK14"/>
    <mergeCell ref="BG13:BJ13"/>
    <mergeCell ref="BK13:BN13"/>
    <mergeCell ref="P10:P11"/>
    <mergeCell ref="Q10:Q11"/>
    <mergeCell ref="O10:O11"/>
    <mergeCell ref="U10:W10"/>
    <mergeCell ref="BA13:BD13"/>
    <mergeCell ref="AD27:AE27"/>
    <mergeCell ref="AF27:AG27"/>
    <mergeCell ref="AD44:AE44"/>
    <mergeCell ref="AF44:AG44"/>
    <mergeCell ref="CA29:CD29"/>
    <mergeCell ref="AW30:AZ30"/>
    <mergeCell ref="BA30:BD30"/>
    <mergeCell ref="BG30:BJ30"/>
    <mergeCell ref="CA30:CB30"/>
    <mergeCell ref="CC30:CD30"/>
    <mergeCell ref="BO29:BV29"/>
    <mergeCell ref="BW29:BX29"/>
    <mergeCell ref="BG29:BN29"/>
    <mergeCell ref="U61:W61"/>
    <mergeCell ref="X61:Z61"/>
    <mergeCell ref="U9:AC9"/>
    <mergeCell ref="AA10:AC10"/>
    <mergeCell ref="AA27:AC27"/>
    <mergeCell ref="AA44:AC44"/>
    <mergeCell ref="AA61:AC61"/>
    <mergeCell ref="AA78:AC78"/>
    <mergeCell ref="AA95:AC95"/>
    <mergeCell ref="U94:AC94"/>
    <mergeCell ref="U26:AC26"/>
    <mergeCell ref="U43:AC43"/>
    <mergeCell ref="U60:AC60"/>
    <mergeCell ref="U77:AC77"/>
    <mergeCell ref="CA158:CB158"/>
    <mergeCell ref="CA159:CB159"/>
    <mergeCell ref="CA160:CB160"/>
    <mergeCell ref="CA185:CB185"/>
    <mergeCell ref="AD9:AI9"/>
    <mergeCell ref="AD26:AI26"/>
    <mergeCell ref="AH27:AI27"/>
    <mergeCell ref="AD43:AI43"/>
    <mergeCell ref="AH44:AI44"/>
    <mergeCell ref="AD60:AI60"/>
    <mergeCell ref="AH61:AI61"/>
    <mergeCell ref="AD78:AE78"/>
    <mergeCell ref="CA46:CD46"/>
    <mergeCell ref="AK47:AK48"/>
    <mergeCell ref="AL47:AL48"/>
    <mergeCell ref="AM47:AP47"/>
    <mergeCell ref="AQ47:AT47"/>
    <mergeCell ref="AW47:AZ47"/>
    <mergeCell ref="AD10:AE10"/>
    <mergeCell ref="AF10:AG10"/>
    <mergeCell ref="CC13:CD13"/>
    <mergeCell ref="AM13:AP13"/>
    <mergeCell ref="AQ13:AT13"/>
    <mergeCell ref="AW13:AZ13"/>
    <mergeCell ref="CA148:CB148"/>
    <mergeCell ref="CA149:CB149"/>
    <mergeCell ref="CA151:CB151"/>
    <mergeCell ref="CA152:CB152"/>
    <mergeCell ref="CA153:CB153"/>
    <mergeCell ref="CA154:CB154"/>
    <mergeCell ref="CA155:CB155"/>
    <mergeCell ref="CA156:CB156"/>
    <mergeCell ref="CA157:CB157"/>
    <mergeCell ref="CA138:CB138"/>
    <mergeCell ref="CA139:CB139"/>
    <mergeCell ref="CA141:CB141"/>
    <mergeCell ref="CA142:CB142"/>
    <mergeCell ref="CA143:CB143"/>
    <mergeCell ref="CA144:CB144"/>
    <mergeCell ref="CA145:CB145"/>
    <mergeCell ref="CA146:CB146"/>
    <mergeCell ref="CA147:CB147"/>
    <mergeCell ref="CA186:CB186"/>
    <mergeCell ref="CA188:CB188"/>
    <mergeCell ref="CA201:CB201"/>
    <mergeCell ref="CA202:CB202"/>
    <mergeCell ref="CA203:CB203"/>
    <mergeCell ref="CA204:CB204"/>
    <mergeCell ref="CA205:CB205"/>
    <mergeCell ref="CA206:CB206"/>
    <mergeCell ref="CA207:CB207"/>
    <mergeCell ref="CA191:CB191"/>
    <mergeCell ref="CA192:CB192"/>
    <mergeCell ref="CA193:CB193"/>
    <mergeCell ref="CA194:CB194"/>
    <mergeCell ref="CA195:CB195"/>
    <mergeCell ref="CA196:CB196"/>
    <mergeCell ref="CA198:CB198"/>
    <mergeCell ref="CA199:CB199"/>
    <mergeCell ref="CA200:CB200"/>
    <mergeCell ref="CA189:CB189"/>
    <mergeCell ref="CA190:CB190"/>
  </mergeCells>
  <conditionalFormatting sqref="AK9 O10 O12:O24 AD124:AD125 AF124:AF125 AH124:AH125 AE179:AF180 X179:Y180 AE136:AF173 AE183:AF220 R110 O97:O109 Y176 X136:Y175 O111 O120:O121 K112:K118">
    <cfRule type="cellIs" dxfId="145" priority="188" operator="equal">
      <formula>"no result"</formula>
    </cfRule>
  </conditionalFormatting>
  <conditionalFormatting sqref="AJ9">
    <cfRule type="cellIs" dxfId="144" priority="190" operator="greaterThanOrEqual">
      <formula>0.2</formula>
    </cfRule>
  </conditionalFormatting>
  <conditionalFormatting sqref="P16:P24 S110 P101:P109 P111 P120:P121 L112:L118">
    <cfRule type="cellIs" dxfId="143" priority="189" operator="greaterThanOrEqual">
      <formula>0.3</formula>
    </cfRule>
  </conditionalFormatting>
  <conditionalFormatting sqref="AK43 O46:O58">
    <cfRule type="cellIs" dxfId="142" priority="183" operator="equal">
      <formula>"no result"</formula>
    </cfRule>
  </conditionalFormatting>
  <conditionalFormatting sqref="O16:O24 AE138:AF173 AE185:AF220 R110 O101:O109 Y176 X138:Y175 O111 O120:O121 K112:K118">
    <cfRule type="cellIs" dxfId="141" priority="187" operator="equal">
      <formula>"Single Result"</formula>
    </cfRule>
  </conditionalFormatting>
  <conditionalFormatting sqref="Q16:Q24 T138:T173 T185:T220 T110 Q101:Q109">
    <cfRule type="cellIs" dxfId="140" priority="186" operator="equal">
      <formula>"Breakthrough?"</formula>
    </cfRule>
  </conditionalFormatting>
  <conditionalFormatting sqref="AJ43">
    <cfRule type="cellIs" dxfId="139" priority="185" operator="greaterThanOrEqual">
      <formula>0.2</formula>
    </cfRule>
  </conditionalFormatting>
  <conditionalFormatting sqref="AD110:AI110">
    <cfRule type="cellIs" dxfId="138" priority="167" operator="equal">
      <formula>"Single Result"</formula>
    </cfRule>
  </conditionalFormatting>
  <conditionalFormatting sqref="O95">
    <cfRule type="cellIs" dxfId="137" priority="161" operator="equal">
      <formula>"no result"</formula>
    </cfRule>
  </conditionalFormatting>
  <conditionalFormatting sqref="AJ26">
    <cfRule type="cellIs" dxfId="136" priority="215" operator="greaterThanOrEqual">
      <formula>0.2</formula>
    </cfRule>
  </conditionalFormatting>
  <conditionalFormatting sqref="P33:P41">
    <cfRule type="cellIs" dxfId="135" priority="214" operator="greaterThanOrEqual">
      <formula>0.3</formula>
    </cfRule>
  </conditionalFormatting>
  <conditionalFormatting sqref="AK26 O29:O41">
    <cfRule type="cellIs" dxfId="134" priority="213" operator="equal">
      <formula>"no result"</formula>
    </cfRule>
  </conditionalFormatting>
  <conditionalFormatting sqref="O33:O41">
    <cfRule type="cellIs" dxfId="133" priority="212" operator="equal">
      <formula>"Single Result"</formula>
    </cfRule>
  </conditionalFormatting>
  <conditionalFormatting sqref="Q33:Q41">
    <cfRule type="cellIs" dxfId="132" priority="211" operator="equal">
      <formula>"Breakthrough?"</formula>
    </cfRule>
  </conditionalFormatting>
  <conditionalFormatting sqref="P50:P58">
    <cfRule type="cellIs" dxfId="131" priority="184" operator="greaterThanOrEqual">
      <formula>0.3</formula>
    </cfRule>
  </conditionalFormatting>
  <conditionalFormatting sqref="O50:O58">
    <cfRule type="cellIs" dxfId="130" priority="182" operator="equal">
      <formula>"Single Result"</formula>
    </cfRule>
  </conditionalFormatting>
  <conditionalFormatting sqref="Q50:Q58">
    <cfRule type="cellIs" dxfId="129" priority="181" operator="equal">
      <formula>"Breakthrough?"</formula>
    </cfRule>
  </conditionalFormatting>
  <conditionalFormatting sqref="AJ77">
    <cfRule type="cellIs" dxfId="128" priority="175" operator="greaterThanOrEqual">
      <formula>0.2</formula>
    </cfRule>
  </conditionalFormatting>
  <conditionalFormatting sqref="AK77 O80:O92">
    <cfRule type="cellIs" dxfId="127" priority="173" operator="equal">
      <formula>"no result"</formula>
    </cfRule>
  </conditionalFormatting>
  <conditionalFormatting sqref="AJ94">
    <cfRule type="cellIs" dxfId="126" priority="170" operator="greaterThanOrEqual">
      <formula>0.2</formula>
    </cfRule>
  </conditionalFormatting>
  <conditionalFormatting sqref="AK94 AD110:AI110">
    <cfRule type="cellIs" dxfId="125" priority="168" operator="equal">
      <formula>"no result"</formula>
    </cfRule>
  </conditionalFormatting>
  <conditionalFormatting sqref="AK60 O63:O75">
    <cfRule type="cellIs" dxfId="124" priority="178" operator="equal">
      <formula>"no result"</formula>
    </cfRule>
  </conditionalFormatting>
  <conditionalFormatting sqref="AJ60">
    <cfRule type="cellIs" dxfId="123" priority="180" operator="greaterThanOrEqual">
      <formula>0.2</formula>
    </cfRule>
  </conditionalFormatting>
  <conditionalFormatting sqref="P67:P75">
    <cfRule type="cellIs" dxfId="122" priority="179" operator="greaterThanOrEqual">
      <formula>0.3</formula>
    </cfRule>
  </conditionalFormatting>
  <conditionalFormatting sqref="O67:O75">
    <cfRule type="cellIs" dxfId="121" priority="177" operator="equal">
      <formula>"Single Result"</formula>
    </cfRule>
  </conditionalFormatting>
  <conditionalFormatting sqref="Q67:Q75">
    <cfRule type="cellIs" dxfId="120" priority="176" operator="equal">
      <formula>"Breakthrough?"</formula>
    </cfRule>
  </conditionalFormatting>
  <conditionalFormatting sqref="P84:P92">
    <cfRule type="cellIs" dxfId="119" priority="174" operator="greaterThanOrEqual">
      <formula>0.3</formula>
    </cfRule>
  </conditionalFormatting>
  <conditionalFormatting sqref="O84:O92">
    <cfRule type="cellIs" dxfId="118" priority="172" operator="equal">
      <formula>"Single Result"</formula>
    </cfRule>
  </conditionalFormatting>
  <conditionalFormatting sqref="Q84:Q92">
    <cfRule type="cellIs" dxfId="117" priority="171" operator="equal">
      <formula>"Breakthrough?"</formula>
    </cfRule>
  </conditionalFormatting>
  <conditionalFormatting sqref="O61">
    <cfRule type="cellIs" dxfId="116" priority="163" operator="equal">
      <formula>"no result"</formula>
    </cfRule>
  </conditionalFormatting>
  <conditionalFormatting sqref="O27">
    <cfRule type="cellIs" dxfId="115" priority="165" operator="equal">
      <formula>"no result"</formula>
    </cfRule>
  </conditionalFormatting>
  <conditionalFormatting sqref="O44">
    <cfRule type="cellIs" dxfId="114" priority="164" operator="equal">
      <formula>"no result"</formula>
    </cfRule>
  </conditionalFormatting>
  <conditionalFormatting sqref="O78">
    <cfRule type="cellIs" dxfId="113" priority="162" operator="equal">
      <formula>"no result"</formula>
    </cfRule>
  </conditionalFormatting>
  <conditionalFormatting sqref="AK131 Q134 AC132:AH133 Q136:Q173 X135 AG134:AH134">
    <cfRule type="cellIs" dxfId="112" priority="158" operator="equal">
      <formula>"no result"</formula>
    </cfRule>
  </conditionalFormatting>
  <conditionalFormatting sqref="AJ131">
    <cfRule type="cellIs" dxfId="111" priority="160" operator="greaterThanOrEqual">
      <formula>0.2</formula>
    </cfRule>
  </conditionalFormatting>
  <conditionalFormatting sqref="R138:R173">
    <cfRule type="cellIs" dxfId="110" priority="159" operator="greaterThanOrEqual">
      <formula>0.3</formula>
    </cfRule>
  </conditionalFormatting>
  <conditionalFormatting sqref="Q138:Q173">
    <cfRule type="cellIs" dxfId="109" priority="157" operator="equal">
      <formula>"Single Result"</formula>
    </cfRule>
  </conditionalFormatting>
  <conditionalFormatting sqref="S138:S173">
    <cfRule type="cellIs" dxfId="108" priority="156" operator="equal">
      <formula>"Breakthrough?"</formula>
    </cfRule>
  </conditionalFormatting>
  <conditionalFormatting sqref="S185:S220">
    <cfRule type="cellIs" dxfId="107" priority="151" operator="equal">
      <formula>"Breakthrough?"</formula>
    </cfRule>
  </conditionalFormatting>
  <conditionalFormatting sqref="AH178 Q181 Q183:Q184">
    <cfRule type="cellIs" dxfId="106" priority="153" operator="equal">
      <formula>"no result"</formula>
    </cfRule>
  </conditionalFormatting>
  <conditionalFormatting sqref="AG178">
    <cfRule type="cellIs" dxfId="105" priority="155" operator="greaterThanOrEqual">
      <formula>0.2</formula>
    </cfRule>
  </conditionalFormatting>
  <conditionalFormatting sqref="P126:P129">
    <cfRule type="cellIs" dxfId="104" priority="149" operator="greaterThanOrEqual">
      <formula>0.3</formula>
    </cfRule>
  </conditionalFormatting>
  <conditionalFormatting sqref="O126:O129">
    <cfRule type="cellIs" dxfId="103" priority="145" operator="equal">
      <formula>"Single Result"</formula>
    </cfRule>
  </conditionalFormatting>
  <conditionalFormatting sqref="O126:O129">
    <cfRule type="cellIs" dxfId="102" priority="146" operator="equal">
      <formula>"no result"</formula>
    </cfRule>
  </conditionalFormatting>
  <conditionalFormatting sqref="O123">
    <cfRule type="cellIs" dxfId="101" priority="144" operator="equal">
      <formula>"no result"</formula>
    </cfRule>
  </conditionalFormatting>
  <conditionalFormatting sqref="AD98:AG98 AD100:AG100">
    <cfRule type="cellIs" dxfId="100" priority="135" operator="equal">
      <formula>"no result"</formula>
    </cfRule>
  </conditionalFormatting>
  <conditionalFormatting sqref="Q185:Q220">
    <cfRule type="cellIs" dxfId="99" priority="120" operator="equal">
      <formula>"Single Result"</formula>
    </cfRule>
  </conditionalFormatting>
  <conditionalFormatting sqref="Q185:Q220">
    <cfRule type="cellIs" dxfId="98" priority="121" operator="equal">
      <formula>"no result"</formula>
    </cfRule>
  </conditionalFormatting>
  <conditionalFormatting sqref="AF82 AD82">
    <cfRule type="cellIs" dxfId="97" priority="114" operator="equal">
      <formula>"no result"</formula>
    </cfRule>
  </conditionalFormatting>
  <conditionalFormatting sqref="AD101:AG109">
    <cfRule type="cellIs" dxfId="96" priority="127" operator="equal">
      <formula>"no result"</formula>
    </cfRule>
  </conditionalFormatting>
  <conditionalFormatting sqref="AD101:AG109">
    <cfRule type="cellIs" dxfId="95" priority="126" operator="equal">
      <formula>"Single Result"</formula>
    </cfRule>
  </conditionalFormatting>
  <conditionalFormatting sqref="AD64:AG64 AD66:AG66">
    <cfRule type="cellIs" dxfId="94" priority="109" operator="equal">
      <formula>"no result"</formula>
    </cfRule>
  </conditionalFormatting>
  <conditionalFormatting sqref="AD126:AI126 AE128:AH129 AD127:AH127 AI127:AI129">
    <cfRule type="cellIs" dxfId="93" priority="124" operator="equal">
      <formula>"no result"</formula>
    </cfRule>
  </conditionalFormatting>
  <conditionalFormatting sqref="AD126:AI126 AE128:AH129 AD127:AH127 AI127:AI129">
    <cfRule type="cellIs" dxfId="92" priority="123" operator="equal">
      <formula>"Single Result"</formula>
    </cfRule>
  </conditionalFormatting>
  <conditionalFormatting sqref="AD84:AG92">
    <cfRule type="cellIs" dxfId="91" priority="111" operator="equal">
      <formula>"Single Result"</formula>
    </cfRule>
  </conditionalFormatting>
  <conditionalFormatting sqref="AD84:AG92">
    <cfRule type="cellIs" dxfId="90" priority="112" operator="equal">
      <formula>"no result"</formula>
    </cfRule>
  </conditionalFormatting>
  <conditionalFormatting sqref="AD81:AG81 AD83:AG83">
    <cfRule type="cellIs" dxfId="89" priority="113" operator="equal">
      <formula>"no result"</formula>
    </cfRule>
  </conditionalFormatting>
  <conditionalFormatting sqref="AD16:AI24">
    <cfRule type="cellIs" dxfId="88" priority="95" operator="equal">
      <formula>"Single Result"</formula>
    </cfRule>
  </conditionalFormatting>
  <conditionalFormatting sqref="AD67:AG75">
    <cfRule type="cellIs" dxfId="87" priority="107" operator="equal">
      <formula>"Single Result"</formula>
    </cfRule>
  </conditionalFormatting>
  <conditionalFormatting sqref="AF65 AD65">
    <cfRule type="cellIs" dxfId="86" priority="110" operator="equal">
      <formula>"no result"</formula>
    </cfRule>
  </conditionalFormatting>
  <conditionalFormatting sqref="AD67:AG75">
    <cfRule type="cellIs" dxfId="85" priority="108" operator="equal">
      <formula>"no result"</formula>
    </cfRule>
  </conditionalFormatting>
  <conditionalFormatting sqref="AD50:AG58">
    <cfRule type="cellIs" dxfId="84" priority="103" operator="equal">
      <formula>"Single Result"</formula>
    </cfRule>
  </conditionalFormatting>
  <conditionalFormatting sqref="AF48 AD48">
    <cfRule type="cellIs" dxfId="83" priority="106" operator="equal">
      <formula>"no result"</formula>
    </cfRule>
  </conditionalFormatting>
  <conditionalFormatting sqref="AD47:AG47 AD49:AG49">
    <cfRule type="cellIs" dxfId="82" priority="105" operator="equal">
      <formula>"no result"</formula>
    </cfRule>
  </conditionalFormatting>
  <conditionalFormatting sqref="AD50:AG58">
    <cfRule type="cellIs" dxfId="81" priority="104" operator="equal">
      <formula>"no result"</formula>
    </cfRule>
  </conditionalFormatting>
  <conditionalFormatting sqref="AD33:AG41">
    <cfRule type="cellIs" dxfId="80" priority="99" operator="equal">
      <formula>"Single Result"</formula>
    </cfRule>
  </conditionalFormatting>
  <conditionalFormatting sqref="AF31 AD31">
    <cfRule type="cellIs" dxfId="79" priority="102" operator="equal">
      <formula>"no result"</formula>
    </cfRule>
  </conditionalFormatting>
  <conditionalFormatting sqref="AD30:AG30 AD32:AG32">
    <cfRule type="cellIs" dxfId="78" priority="101" operator="equal">
      <formula>"no result"</formula>
    </cfRule>
  </conditionalFormatting>
  <conditionalFormatting sqref="AD33:AG41">
    <cfRule type="cellIs" dxfId="77" priority="100" operator="equal">
      <formula>"no result"</formula>
    </cfRule>
  </conditionalFormatting>
  <conditionalFormatting sqref="AF14 AD14">
    <cfRule type="cellIs" dxfId="76" priority="98" operator="equal">
      <formula>"no result"</formula>
    </cfRule>
  </conditionalFormatting>
  <conditionalFormatting sqref="AD15:AI15">
    <cfRule type="cellIs" dxfId="75" priority="97" operator="equal">
      <formula>"no result"</formula>
    </cfRule>
  </conditionalFormatting>
  <conditionalFormatting sqref="AD16:AI24">
    <cfRule type="cellIs" dxfId="74" priority="96" operator="equal">
      <formula>"no result"</formula>
    </cfRule>
  </conditionalFormatting>
  <conditionalFormatting sqref="AF99 AD99">
    <cfRule type="cellIs" dxfId="73" priority="94" operator="equal">
      <formula>"no result"</formula>
    </cfRule>
  </conditionalFormatting>
  <conditionalFormatting sqref="R138:R173">
    <cfRule type="cellIs" dxfId="72" priority="93" operator="equal">
      <formula>""</formula>
    </cfRule>
  </conditionalFormatting>
  <conditionalFormatting sqref="R185:R220">
    <cfRule type="cellIs" dxfId="71" priority="92" operator="greaterThanOrEqual">
      <formula>0.3</formula>
    </cfRule>
  </conditionalFormatting>
  <conditionalFormatting sqref="R185:R220">
    <cfRule type="cellIs" dxfId="70" priority="91" operator="equal">
      <formula>""</formula>
    </cfRule>
  </conditionalFormatting>
  <conditionalFormatting sqref="AD13:AG13">
    <cfRule type="cellIs" dxfId="69" priority="68" operator="equal">
      <formula>"no result"</formula>
    </cfRule>
  </conditionalFormatting>
  <conditionalFormatting sqref="AA16">
    <cfRule type="cellIs" dxfId="68" priority="70" operator="equal">
      <formula>"no result"</formula>
    </cfRule>
  </conditionalFormatting>
  <conditionalFormatting sqref="AA16">
    <cfRule type="cellIs" dxfId="67" priority="69" operator="equal">
      <formula>"Single Result"</formula>
    </cfRule>
  </conditionalFormatting>
  <conditionalFormatting sqref="AA13:AB13">
    <cfRule type="cellIs" dxfId="66" priority="71" operator="equal">
      <formula>"no result"</formula>
    </cfRule>
  </conditionalFormatting>
  <conditionalFormatting sqref="AH83:AI83">
    <cfRule type="cellIs" dxfId="65" priority="39" operator="equal">
      <formula>"no result"</formula>
    </cfRule>
  </conditionalFormatting>
  <conditionalFormatting sqref="AH84:AH92">
    <cfRule type="cellIs" dxfId="64" priority="37" operator="equal">
      <formula>"Single Result"</formula>
    </cfRule>
  </conditionalFormatting>
  <conditionalFormatting sqref="AH84:AH92">
    <cfRule type="cellIs" dxfId="63" priority="38" operator="equal">
      <formula>"no result"</formula>
    </cfRule>
  </conditionalFormatting>
  <conditionalFormatting sqref="AH13:AI13">
    <cfRule type="cellIs" dxfId="62" priority="67" operator="equal">
      <formula>"no result"</formula>
    </cfRule>
  </conditionalFormatting>
  <conditionalFormatting sqref="AA30:AB30">
    <cfRule type="cellIs" dxfId="61" priority="66" operator="equal">
      <formula>"no result"</formula>
    </cfRule>
  </conditionalFormatting>
  <conditionalFormatting sqref="AA33">
    <cfRule type="cellIs" dxfId="60" priority="64" operator="equal">
      <formula>"Single Result"</formula>
    </cfRule>
  </conditionalFormatting>
  <conditionalFormatting sqref="AA33">
    <cfRule type="cellIs" dxfId="59" priority="65" operator="equal">
      <formula>"no result"</formula>
    </cfRule>
  </conditionalFormatting>
  <conditionalFormatting sqref="AA47:AB47">
    <cfRule type="cellIs" dxfId="58" priority="63" operator="equal">
      <formula>"no result"</formula>
    </cfRule>
  </conditionalFormatting>
  <conditionalFormatting sqref="AA50">
    <cfRule type="cellIs" dxfId="57" priority="61" operator="equal">
      <formula>"Single Result"</formula>
    </cfRule>
  </conditionalFormatting>
  <conditionalFormatting sqref="AA50">
    <cfRule type="cellIs" dxfId="56" priority="62" operator="equal">
      <formula>"no result"</formula>
    </cfRule>
  </conditionalFormatting>
  <conditionalFormatting sqref="AA64:AB64">
    <cfRule type="cellIs" dxfId="55" priority="60" operator="equal">
      <formula>"no result"</formula>
    </cfRule>
  </conditionalFormatting>
  <conditionalFormatting sqref="AA67">
    <cfRule type="cellIs" dxfId="54" priority="58" operator="equal">
      <formula>"Single Result"</formula>
    </cfRule>
  </conditionalFormatting>
  <conditionalFormatting sqref="AA67">
    <cfRule type="cellIs" dxfId="53" priority="59" operator="equal">
      <formula>"no result"</formula>
    </cfRule>
  </conditionalFormatting>
  <conditionalFormatting sqref="AA81:AB81">
    <cfRule type="cellIs" dxfId="52" priority="57" operator="equal">
      <formula>"no result"</formula>
    </cfRule>
  </conditionalFormatting>
  <conditionalFormatting sqref="AA84">
    <cfRule type="cellIs" dxfId="51" priority="55" operator="equal">
      <formula>"Single Result"</formula>
    </cfRule>
  </conditionalFormatting>
  <conditionalFormatting sqref="AA84">
    <cfRule type="cellIs" dxfId="50" priority="56" operator="equal">
      <formula>"no result"</formula>
    </cfRule>
  </conditionalFormatting>
  <conditionalFormatting sqref="AA98:AB98">
    <cfRule type="cellIs" dxfId="49" priority="54" operator="equal">
      <formula>"no result"</formula>
    </cfRule>
  </conditionalFormatting>
  <conditionalFormatting sqref="AA101">
    <cfRule type="cellIs" dxfId="48" priority="52" operator="equal">
      <formula>"Single Result"</formula>
    </cfRule>
  </conditionalFormatting>
  <conditionalFormatting sqref="AA101">
    <cfRule type="cellIs" dxfId="47" priority="53" operator="equal">
      <formula>"no result"</formula>
    </cfRule>
  </conditionalFormatting>
  <conditionalFormatting sqref="AH33:AH41">
    <cfRule type="cellIs" dxfId="46" priority="49" operator="equal">
      <formula>"Single Result"</formula>
    </cfRule>
  </conditionalFormatting>
  <conditionalFormatting sqref="AH32:AI32">
    <cfRule type="cellIs" dxfId="45" priority="51" operator="equal">
      <formula>"no result"</formula>
    </cfRule>
  </conditionalFormatting>
  <conditionalFormatting sqref="AH33:AH41">
    <cfRule type="cellIs" dxfId="44" priority="50" operator="equal">
      <formula>"no result"</formula>
    </cfRule>
  </conditionalFormatting>
  <conditionalFormatting sqref="AH30:AI30">
    <cfRule type="cellIs" dxfId="43" priority="48" operator="equal">
      <formula>"no result"</formula>
    </cfRule>
  </conditionalFormatting>
  <conditionalFormatting sqref="AH50:AH58">
    <cfRule type="cellIs" dxfId="42" priority="45" operator="equal">
      <formula>"Single Result"</formula>
    </cfRule>
  </conditionalFormatting>
  <conditionalFormatting sqref="AH49:AI49">
    <cfRule type="cellIs" dxfId="41" priority="47" operator="equal">
      <formula>"no result"</formula>
    </cfRule>
  </conditionalFormatting>
  <conditionalFormatting sqref="AH50:AH58">
    <cfRule type="cellIs" dxfId="40" priority="46" operator="equal">
      <formula>"no result"</formula>
    </cfRule>
  </conditionalFormatting>
  <conditionalFormatting sqref="AH47:AI47">
    <cfRule type="cellIs" dxfId="39" priority="44" operator="equal">
      <formula>"no result"</formula>
    </cfRule>
  </conditionalFormatting>
  <conditionalFormatting sqref="AH67:AH75">
    <cfRule type="cellIs" dxfId="38" priority="41" operator="equal">
      <formula>"Single Result"</formula>
    </cfRule>
  </conditionalFormatting>
  <conditionalFormatting sqref="AH66:AI66">
    <cfRule type="cellIs" dxfId="37" priority="43" operator="equal">
      <formula>"no result"</formula>
    </cfRule>
  </conditionalFormatting>
  <conditionalFormatting sqref="AH67:AH75">
    <cfRule type="cellIs" dxfId="36" priority="42" operator="equal">
      <formula>"no result"</formula>
    </cfRule>
  </conditionalFormatting>
  <conditionalFormatting sqref="AH64:AI64">
    <cfRule type="cellIs" dxfId="35" priority="40" operator="equal">
      <formula>"no result"</formula>
    </cfRule>
  </conditionalFormatting>
  <conditionalFormatting sqref="AH81:AI81">
    <cfRule type="cellIs" dxfId="34" priority="36" operator="equal">
      <formula>"no result"</formula>
    </cfRule>
  </conditionalFormatting>
  <conditionalFormatting sqref="AH101:AH109">
    <cfRule type="cellIs" dxfId="33" priority="33" operator="equal">
      <formula>"Single Result"</formula>
    </cfRule>
  </conditionalFormatting>
  <conditionalFormatting sqref="AH100:AI100">
    <cfRule type="cellIs" dxfId="32" priority="35" operator="equal">
      <formula>"no result"</formula>
    </cfRule>
  </conditionalFormatting>
  <conditionalFormatting sqref="AH101:AH109">
    <cfRule type="cellIs" dxfId="31" priority="34" operator="equal">
      <formula>"no result"</formula>
    </cfRule>
  </conditionalFormatting>
  <conditionalFormatting sqref="AH98:AI98">
    <cfRule type="cellIs" dxfId="30" priority="32" operator="equal">
      <formula>"no result"</formula>
    </cfRule>
  </conditionalFormatting>
  <conditionalFormatting sqref="X181">
    <cfRule type="cellIs" dxfId="29" priority="29" operator="equal">
      <formula>"no result"</formula>
    </cfRule>
  </conditionalFormatting>
  <conditionalFormatting sqref="AC135">
    <cfRule type="cellIs" dxfId="28" priority="27" operator="equal">
      <formula>"no result"</formula>
    </cfRule>
  </conditionalFormatting>
  <conditionalFormatting sqref="X183:Y219">
    <cfRule type="cellIs" dxfId="27" priority="31" operator="equal">
      <formula>"no result"</formula>
    </cfRule>
  </conditionalFormatting>
  <conditionalFormatting sqref="X185:Y219">
    <cfRule type="cellIs" dxfId="26" priority="30" operator="equal">
      <formula>"Single Result"</formula>
    </cfRule>
  </conditionalFormatting>
  <conditionalFormatting sqref="AC136:AD137">
    <cfRule type="cellIs" dxfId="25" priority="28" operator="equal">
      <formula>"no result"</formula>
    </cfRule>
  </conditionalFormatting>
  <conditionalFormatting sqref="X220:Y220">
    <cfRule type="cellIs" dxfId="24" priority="20" operator="equal">
      <formula>"no result"</formula>
    </cfRule>
  </conditionalFormatting>
  <conditionalFormatting sqref="X220:Y220">
    <cfRule type="cellIs" dxfId="23" priority="19" operator="equal">
      <formula>"Single Result"</formula>
    </cfRule>
  </conditionalFormatting>
  <conditionalFormatting sqref="X176">
    <cfRule type="cellIs" dxfId="22" priority="24" operator="equal">
      <formula>"no result"</formula>
    </cfRule>
  </conditionalFormatting>
  <conditionalFormatting sqref="X176">
    <cfRule type="cellIs" dxfId="21" priority="23" operator="equal">
      <formula>"Single Result"</formula>
    </cfRule>
  </conditionalFormatting>
  <conditionalFormatting sqref="AI84:AI92">
    <cfRule type="cellIs" dxfId="20" priority="8" operator="equal">
      <formula>"no result"</formula>
    </cfRule>
  </conditionalFormatting>
  <conditionalFormatting sqref="AI84:AI92">
    <cfRule type="cellIs" dxfId="19" priority="7" operator="equal">
      <formula>"Single Result"</formula>
    </cfRule>
  </conditionalFormatting>
  <conditionalFormatting sqref="AI101:AI109">
    <cfRule type="cellIs" dxfId="18" priority="6" operator="equal">
      <formula>"no result"</formula>
    </cfRule>
  </conditionalFormatting>
  <conditionalFormatting sqref="AI101:AI109">
    <cfRule type="cellIs" dxfId="17" priority="5" operator="equal">
      <formula>"Single Result"</formula>
    </cfRule>
  </conditionalFormatting>
  <conditionalFormatting sqref="Y223 X221:Y222">
    <cfRule type="cellIs" dxfId="16" priority="18" operator="equal">
      <formula>"no result"</formula>
    </cfRule>
  </conditionalFormatting>
  <conditionalFormatting sqref="Y223 X221:Y222">
    <cfRule type="cellIs" dxfId="15" priority="17" operator="equal">
      <formula>"Single Result"</formula>
    </cfRule>
  </conditionalFormatting>
  <conditionalFormatting sqref="X223">
    <cfRule type="cellIs" dxfId="14" priority="16" operator="equal">
      <formula>"no result"</formula>
    </cfRule>
  </conditionalFormatting>
  <conditionalFormatting sqref="X223">
    <cfRule type="cellIs" dxfId="13" priority="15" operator="equal">
      <formula>"Single Result"</formula>
    </cfRule>
  </conditionalFormatting>
  <conditionalFormatting sqref="AI33:AI41">
    <cfRule type="cellIs" dxfId="12" priority="13" operator="equal">
      <formula>"Single Result"</formula>
    </cfRule>
  </conditionalFormatting>
  <conditionalFormatting sqref="AI33:AI41">
    <cfRule type="cellIs" dxfId="11" priority="14" operator="equal">
      <formula>"no result"</formula>
    </cfRule>
  </conditionalFormatting>
  <conditionalFormatting sqref="AI50:AI58">
    <cfRule type="cellIs" dxfId="10" priority="11" operator="equal">
      <formula>"Single Result"</formula>
    </cfRule>
  </conditionalFormatting>
  <conditionalFormatting sqref="AI50:AI58">
    <cfRule type="cellIs" dxfId="9" priority="12" operator="equal">
      <formula>"no result"</formula>
    </cfRule>
  </conditionalFormatting>
  <conditionalFormatting sqref="AI67:AI75">
    <cfRule type="cellIs" dxfId="8" priority="9" operator="equal">
      <formula>"Single Result"</formula>
    </cfRule>
  </conditionalFormatting>
  <conditionalFormatting sqref="AI67:AI75">
    <cfRule type="cellIs" dxfId="7" priority="10" operator="equal">
      <formula>"no result"</formula>
    </cfRule>
  </conditionalFormatting>
  <conditionalFormatting sqref="K119">
    <cfRule type="cellIs" dxfId="6" priority="3" operator="equal">
      <formula>"no result"</formula>
    </cfRule>
  </conditionalFormatting>
  <conditionalFormatting sqref="L119">
    <cfRule type="cellIs" dxfId="5" priority="4" operator="greaterThanOrEqual">
      <formula>0.3</formula>
    </cfRule>
  </conditionalFormatting>
  <conditionalFormatting sqref="K119">
    <cfRule type="cellIs" dxfId="4" priority="2" operator="equal">
      <formula>"Single Result"</formula>
    </cfRule>
  </conditionalFormatting>
  <conditionalFormatting sqref="M119">
    <cfRule type="cellIs" dxfId="3" priority="1" operator="equal">
      <formula>"Breakthrough?"</formula>
    </cfRule>
  </conditionalFormatting>
  <dataValidations count="2">
    <dataValidation type="list" allowBlank="1" showInputMessage="1" showErrorMessage="1" sqref="H136 H183 D126">
      <formula1>MassUnits</formula1>
    </dataValidation>
    <dataValidation type="list" allowBlank="1" showInputMessage="1" showErrorMessage="1" sqref="F14 K183 F31 F48 F65 F82 F99 K136 F117">
      <formula1>$C$1:$C$5</formula1>
    </dataValidation>
  </dataValidations>
  <pageMargins left="0.25" right="0.25" top="0.75" bottom="0.75" header="0.3" footer="0.3"/>
  <pageSetup paperSize="9" scale="61" fitToHeight="0" orientation="portrait" horizontalDpi="4294967293" verticalDpi="4294967295"/>
  <headerFooter>
    <oddHeader>&amp;C&amp;9&amp;K0000FF
&amp;"Arial,Regular"&amp;20&amp;K000000RESULTS DATA ENTRY&amp;R&amp;F</oddHeader>
    <oddFooter>&amp;CData Entered By: _________________ Date: ______________
Data Checked By: _________________ Date: ______________</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50187" r:id="rId3" name="Button 11">
              <controlPr defaultSize="0" print="0" autoFill="0" autoPict="0" macro="[0]!HideUnused">
                <anchor moveWithCells="1" sizeWithCells="1">
                  <from>
                    <xdr:col>9</xdr:col>
                    <xdr:colOff>177800</xdr:colOff>
                    <xdr:row>7</xdr:row>
                    <xdr:rowOff>101600</xdr:rowOff>
                  </from>
                  <to>
                    <xdr:col>12</xdr:col>
                    <xdr:colOff>88900</xdr:colOff>
                    <xdr:row>7</xdr:row>
                    <xdr:rowOff>368300</xdr:rowOff>
                  </to>
                </anchor>
              </controlPr>
            </control>
          </mc:Choice>
          <mc:Fallback/>
        </mc:AlternateContent>
        <mc:AlternateContent xmlns:mc="http://schemas.openxmlformats.org/markup-compatibility/2006">
          <mc:Choice Requires="x14">
            <control shapeId="50188" r:id="rId4" name="Button 12">
              <controlPr defaultSize="0" print="0" autoFill="0" autoPict="0" macro="[0]!RemoveFilters">
                <anchor moveWithCells="1" sizeWithCells="1">
                  <from>
                    <xdr:col>12</xdr:col>
                    <xdr:colOff>254000</xdr:colOff>
                    <xdr:row>7</xdr:row>
                    <xdr:rowOff>101600</xdr:rowOff>
                  </from>
                  <to>
                    <xdr:col>13</xdr:col>
                    <xdr:colOff>520700</xdr:colOff>
                    <xdr:row>7</xdr:row>
                    <xdr:rowOff>368300</xdr:rowOff>
                  </to>
                </anchor>
              </controlPr>
            </control>
          </mc:Choice>
          <mc:Fallback/>
        </mc:AlternateContent>
      </controls>
    </mc:Choice>
    <mc:Fallback/>
  </mc:AlternateContent>
  <extLst>
    <ext xmlns:x14="http://schemas.microsoft.com/office/spreadsheetml/2009/9/main" uri="{CCE6A557-97BC-4b89-ADB6-D9C93CAAB3DF}">
      <x14:dataValidations xmlns:xm="http://schemas.microsoft.com/office/excel/2006/main" count="1">
        <x14:dataValidation type="list" allowBlank="1">
          <x14:formula1>
            <xm:f>PQLs!$U$40:$U$41</xm:f>
          </x14:formula1>
          <xm:sqref>B136</xm:sqref>
        </x14:dataValidation>
      </x14:dataValidation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theme="5" tint="0.59999389629810485"/>
  </sheetPr>
  <dimension ref="A1:U87"/>
  <sheetViews>
    <sheetView topLeftCell="A22" workbookViewId="0">
      <selection activeCell="A37" sqref="A37:A39"/>
    </sheetView>
  </sheetViews>
  <sheetFormatPr baseColWidth="10" defaultColWidth="8.7109375" defaultRowHeight="13" x14ac:dyDescent="0"/>
  <cols>
    <col min="1" max="1" width="28.7109375" customWidth="1"/>
    <col min="2" max="2" width="24.7109375" customWidth="1"/>
    <col min="3" max="3" width="16.7109375" customWidth="1"/>
    <col min="4" max="4" width="9.28515625" customWidth="1"/>
    <col min="5" max="6" width="14" customWidth="1"/>
    <col min="7" max="7" width="11.5703125" style="661" customWidth="1"/>
    <col min="8" max="8" width="12.85546875" customWidth="1"/>
    <col min="9" max="9" width="10.7109375" customWidth="1"/>
    <col min="10" max="16" width="9.140625" customWidth="1"/>
    <col min="17" max="17" width="10.28515625" customWidth="1"/>
    <col min="18" max="18" width="10.140625" customWidth="1"/>
  </cols>
  <sheetData>
    <row r="1" spans="1:19" s="1882" customFormat="1" ht="12">
      <c r="A1" s="2859" t="s">
        <v>1209</v>
      </c>
      <c r="B1" s="2863" t="s">
        <v>1284</v>
      </c>
      <c r="C1" s="2860" t="s">
        <v>1787</v>
      </c>
      <c r="D1" s="2860" t="s">
        <v>1756</v>
      </c>
      <c r="E1" s="2860" t="s">
        <v>1282</v>
      </c>
      <c r="F1" s="2860" t="s">
        <v>1776</v>
      </c>
      <c r="G1" s="2860" t="s">
        <v>1789</v>
      </c>
      <c r="H1" s="2860" t="s">
        <v>1788</v>
      </c>
      <c r="I1" s="2860" t="s">
        <v>1911</v>
      </c>
      <c r="J1" s="2862" t="s">
        <v>1773</v>
      </c>
      <c r="K1" s="2862"/>
      <c r="L1" s="1880"/>
      <c r="M1" s="2230"/>
      <c r="N1" s="2231"/>
      <c r="O1" s="2232"/>
      <c r="P1" s="1881"/>
      <c r="Q1" s="1881"/>
      <c r="R1" s="1881"/>
      <c r="S1" s="1881"/>
    </row>
    <row r="2" spans="1:19" s="1882" customFormat="1" ht="12">
      <c r="A2" s="2859"/>
      <c r="B2" s="2864"/>
      <c r="C2" s="2861"/>
      <c r="D2" s="2861"/>
      <c r="E2" s="2861"/>
      <c r="F2" s="2861"/>
      <c r="G2" s="2861"/>
      <c r="H2" s="2861"/>
      <c r="I2" s="2861"/>
      <c r="J2" s="2194" t="s">
        <v>1435</v>
      </c>
      <c r="K2" s="2195" t="s">
        <v>1914</v>
      </c>
      <c r="L2" s="1883"/>
      <c r="M2" s="2233"/>
      <c r="N2" s="2234"/>
      <c r="O2" s="2235"/>
      <c r="P2" s="1881"/>
      <c r="Q2" s="1881"/>
      <c r="R2" s="1881"/>
      <c r="S2" s="1881"/>
    </row>
    <row r="3" spans="1:19">
      <c r="A3" t="s">
        <v>460</v>
      </c>
      <c r="B3" s="1708" t="s">
        <v>1687</v>
      </c>
      <c r="C3" s="2236" t="s">
        <v>1839</v>
      </c>
      <c r="D3" s="2237" t="s">
        <v>1840</v>
      </c>
      <c r="E3" s="1879">
        <v>44.052</v>
      </c>
      <c r="F3" s="2237" t="s">
        <v>1840</v>
      </c>
      <c r="G3" s="1879">
        <v>44.052</v>
      </c>
      <c r="H3" s="2237" t="s">
        <v>1840</v>
      </c>
      <c r="I3" s="1879">
        <v>44.052</v>
      </c>
      <c r="J3" s="1684" t="s">
        <v>1066</v>
      </c>
      <c r="K3" s="1709">
        <f>0.02*1000</f>
        <v>20</v>
      </c>
      <c r="L3" s="1680"/>
      <c r="M3" s="1680"/>
      <c r="N3" s="1680"/>
      <c r="O3" s="1681"/>
    </row>
    <row r="4" spans="1:19">
      <c r="A4" t="s">
        <v>460</v>
      </c>
      <c r="B4" s="1708" t="s">
        <v>764</v>
      </c>
      <c r="C4" s="2236" t="s">
        <v>1841</v>
      </c>
      <c r="D4" s="2237" t="s">
        <v>1842</v>
      </c>
      <c r="E4" s="1879">
        <v>56.063000000000002</v>
      </c>
      <c r="F4" s="2237" t="s">
        <v>1842</v>
      </c>
      <c r="G4" s="1879">
        <v>56.063000000000002</v>
      </c>
      <c r="H4" s="2237" t="s">
        <v>1842</v>
      </c>
      <c r="I4" s="1879">
        <v>56.063000000000002</v>
      </c>
      <c r="J4" s="1684" t="s">
        <v>1066</v>
      </c>
      <c r="K4" s="1709">
        <f>0.02*1000</f>
        <v>20</v>
      </c>
      <c r="L4" s="1680"/>
      <c r="M4" s="1680"/>
      <c r="N4" s="1680"/>
      <c r="O4" s="1681"/>
    </row>
    <row r="5" spans="1:19">
      <c r="A5" t="s">
        <v>360</v>
      </c>
      <c r="B5" s="1708" t="s">
        <v>360</v>
      </c>
      <c r="C5" s="2236" t="s">
        <v>1843</v>
      </c>
      <c r="D5" s="2237" t="s">
        <v>1844</v>
      </c>
      <c r="E5" s="1879">
        <v>17.030564999999999</v>
      </c>
      <c r="F5" s="2238" t="s">
        <v>1844</v>
      </c>
      <c r="G5" s="1879">
        <v>17.030564999999999</v>
      </c>
      <c r="H5" s="1684" t="s">
        <v>1309</v>
      </c>
      <c r="I5" s="1879">
        <v>14.006743</v>
      </c>
      <c r="J5" s="1684" t="s">
        <v>1066</v>
      </c>
      <c r="K5" s="1709">
        <v>5</v>
      </c>
      <c r="L5" s="1680"/>
      <c r="M5" s="1680"/>
      <c r="N5" s="1680"/>
      <c r="O5" s="1681"/>
    </row>
    <row r="6" spans="1:19">
      <c r="A6" t="s">
        <v>2096</v>
      </c>
      <c r="B6" s="1708" t="s">
        <v>1845</v>
      </c>
      <c r="C6" s="2236" t="s">
        <v>1846</v>
      </c>
      <c r="D6" s="2237" t="s">
        <v>1847</v>
      </c>
      <c r="E6" s="1879">
        <v>77.945419000000001</v>
      </c>
      <c r="F6" s="2237" t="s">
        <v>1847</v>
      </c>
      <c r="G6" s="1879">
        <v>77.945419000000001</v>
      </c>
      <c r="H6" s="1684" t="s">
        <v>1848</v>
      </c>
      <c r="I6" s="1879">
        <v>74.921595999999994</v>
      </c>
      <c r="J6" s="1684"/>
      <c r="K6" s="1709"/>
      <c r="L6" s="1680"/>
      <c r="M6" s="1680"/>
      <c r="N6" s="1680"/>
      <c r="O6" s="1681"/>
    </row>
    <row r="7" spans="1:19">
      <c r="A7" t="s">
        <v>2095</v>
      </c>
      <c r="B7" s="1708" t="s">
        <v>1744</v>
      </c>
      <c r="C7" s="2236" t="s">
        <v>1849</v>
      </c>
      <c r="D7" s="1684" t="s">
        <v>1710</v>
      </c>
      <c r="E7" s="1879">
        <v>79.903527999999994</v>
      </c>
      <c r="F7" s="1684" t="s">
        <v>1713</v>
      </c>
      <c r="G7" s="1879">
        <v>80.911468999999997</v>
      </c>
      <c r="H7" s="1684" t="s">
        <v>1710</v>
      </c>
      <c r="I7" s="1879">
        <v>79.903527999999994</v>
      </c>
      <c r="J7" s="1684" t="s">
        <v>1066</v>
      </c>
      <c r="K7" s="1709">
        <v>100</v>
      </c>
      <c r="L7" s="1680"/>
      <c r="M7" s="1680"/>
      <c r="N7" s="1680"/>
      <c r="O7" s="1681"/>
    </row>
    <row r="8" spans="1:19">
      <c r="A8" t="s">
        <v>2095</v>
      </c>
      <c r="B8" s="1708" t="s">
        <v>1745</v>
      </c>
      <c r="C8" s="2236" t="s">
        <v>1850</v>
      </c>
      <c r="D8" s="1684" t="s">
        <v>1851</v>
      </c>
      <c r="E8" s="1879">
        <v>79.903527999999994</v>
      </c>
      <c r="F8" s="1684" t="s">
        <v>1851</v>
      </c>
      <c r="G8" s="1879">
        <v>79.903527999999994</v>
      </c>
      <c r="H8" s="1684" t="s">
        <v>1710</v>
      </c>
      <c r="I8" s="1879">
        <v>79.903527999999994</v>
      </c>
      <c r="J8" s="1684" t="s">
        <v>1066</v>
      </c>
      <c r="K8" s="1709">
        <v>100</v>
      </c>
      <c r="L8" s="1680"/>
      <c r="M8" s="1680"/>
      <c r="N8" s="1680"/>
      <c r="O8" s="1681"/>
    </row>
    <row r="9" spans="1:19">
      <c r="A9" t="s">
        <v>460</v>
      </c>
      <c r="B9" s="1708" t="s">
        <v>766</v>
      </c>
      <c r="C9" s="2236" t="s">
        <v>1852</v>
      </c>
      <c r="D9" s="2237" t="s">
        <v>1853</v>
      </c>
      <c r="E9" s="1879">
        <v>72.105000000000004</v>
      </c>
      <c r="F9" s="2237" t="s">
        <v>1853</v>
      </c>
      <c r="G9" s="1879">
        <v>72.105000000000004</v>
      </c>
      <c r="H9" s="2237" t="s">
        <v>1853</v>
      </c>
      <c r="I9" s="1879">
        <v>72.105000000000004</v>
      </c>
      <c r="J9" s="1684" t="s">
        <v>1066</v>
      </c>
      <c r="K9" s="1709">
        <f>0.02*1000</f>
        <v>20</v>
      </c>
      <c r="L9" s="1680"/>
      <c r="M9" s="1680"/>
      <c r="N9" s="1680"/>
      <c r="O9" s="1681"/>
    </row>
    <row r="10" spans="1:19">
      <c r="A10" t="s">
        <v>2095</v>
      </c>
      <c r="B10" s="1708" t="s">
        <v>1746</v>
      </c>
      <c r="C10" s="2236" t="s">
        <v>1854</v>
      </c>
      <c r="D10" s="1684" t="s">
        <v>1711</v>
      </c>
      <c r="E10" s="1879">
        <v>35.452537999999997</v>
      </c>
      <c r="F10" s="1684" t="s">
        <v>1714</v>
      </c>
      <c r="G10" s="1879">
        <v>36.460478999999999</v>
      </c>
      <c r="H10" s="1684" t="s">
        <v>1711</v>
      </c>
      <c r="I10" s="1879">
        <v>35.452537999999997</v>
      </c>
      <c r="J10" s="1684" t="s">
        <v>1066</v>
      </c>
      <c r="K10" s="1709">
        <v>100</v>
      </c>
      <c r="L10" s="1680"/>
      <c r="M10" s="1680"/>
      <c r="N10" s="1680"/>
      <c r="O10" s="1681"/>
    </row>
    <row r="11" spans="1:19">
      <c r="A11" t="s">
        <v>2095</v>
      </c>
      <c r="B11" s="1708" t="s">
        <v>1747</v>
      </c>
      <c r="C11" s="2236" t="s">
        <v>1855</v>
      </c>
      <c r="D11" s="1684" t="s">
        <v>1856</v>
      </c>
      <c r="E11" s="1879">
        <v>35.452537999999997</v>
      </c>
      <c r="F11" s="1684" t="s">
        <v>1856</v>
      </c>
      <c r="G11" s="1879">
        <v>35.452537999999997</v>
      </c>
      <c r="H11" s="1684" t="s">
        <v>1711</v>
      </c>
      <c r="I11" s="1879">
        <v>35.452537999999997</v>
      </c>
      <c r="J11" s="1684" t="s">
        <v>1066</v>
      </c>
      <c r="K11" s="1709">
        <v>100</v>
      </c>
      <c r="L11" s="1680"/>
      <c r="M11" s="1680"/>
      <c r="N11" s="1680"/>
      <c r="O11" s="1681"/>
    </row>
    <row r="12" spans="1:19">
      <c r="A12" t="s">
        <v>2096</v>
      </c>
      <c r="B12" s="1708" t="s">
        <v>1748</v>
      </c>
      <c r="C12" s="2236" t="s">
        <v>1857</v>
      </c>
      <c r="D12" s="1684" t="s">
        <v>1712</v>
      </c>
      <c r="E12" s="1879">
        <v>26.017479000000002</v>
      </c>
      <c r="F12" s="1684" t="s">
        <v>1715</v>
      </c>
      <c r="G12" s="1879">
        <v>27.02542</v>
      </c>
      <c r="H12" s="1684" t="s">
        <v>1712</v>
      </c>
      <c r="I12" s="1879">
        <v>26.017479000000002</v>
      </c>
      <c r="J12" s="1684" t="s">
        <v>1066</v>
      </c>
      <c r="K12" s="1709">
        <v>5</v>
      </c>
      <c r="L12" s="1680"/>
      <c r="M12" s="1680"/>
      <c r="N12" s="1680"/>
      <c r="O12" s="1681"/>
    </row>
    <row r="13" spans="1:19">
      <c r="A13" t="s">
        <v>2095</v>
      </c>
      <c r="B13" s="1708" t="s">
        <v>1858</v>
      </c>
      <c r="C13" s="2236" t="s">
        <v>1859</v>
      </c>
      <c r="D13" s="1684" t="s">
        <v>1226</v>
      </c>
      <c r="E13" s="1879">
        <v>18.998403</v>
      </c>
      <c r="F13" s="1684" t="s">
        <v>1716</v>
      </c>
      <c r="G13" s="1879">
        <v>20.006343999999999</v>
      </c>
      <c r="H13" s="1684" t="s">
        <v>1226</v>
      </c>
      <c r="I13" s="1879">
        <v>18.998403</v>
      </c>
      <c r="J13" s="1684">
        <v>20</v>
      </c>
      <c r="K13" s="1709">
        <v>100</v>
      </c>
      <c r="L13" s="1680"/>
      <c r="M13" s="1680"/>
      <c r="N13" s="1680"/>
      <c r="O13" s="1681"/>
      <c r="Q13" s="2250"/>
    </row>
    <row r="14" spans="1:19">
      <c r="A14" t="s">
        <v>2095</v>
      </c>
      <c r="B14" s="1708" t="s">
        <v>1749</v>
      </c>
      <c r="C14" s="2236" t="s">
        <v>1860</v>
      </c>
      <c r="D14" s="1684" t="s">
        <v>1861</v>
      </c>
      <c r="E14" s="1879">
        <v>18.998403</v>
      </c>
      <c r="F14" s="1684" t="s">
        <v>1861</v>
      </c>
      <c r="G14" s="1879">
        <v>18.998403</v>
      </c>
      <c r="H14" s="1684" t="s">
        <v>1226</v>
      </c>
      <c r="I14" s="1879">
        <v>18.998403</v>
      </c>
      <c r="J14" s="1684" t="s">
        <v>1066</v>
      </c>
      <c r="K14" s="1709">
        <v>100</v>
      </c>
      <c r="L14" s="1680"/>
      <c r="M14" s="1680"/>
      <c r="N14" s="1680"/>
      <c r="O14" s="1681"/>
      <c r="Q14" s="2250"/>
    </row>
    <row r="15" spans="1:19">
      <c r="A15" t="s">
        <v>460</v>
      </c>
      <c r="B15" s="1708" t="s">
        <v>359</v>
      </c>
      <c r="C15" s="2236" t="s">
        <v>1862</v>
      </c>
      <c r="D15" s="2239" t="s">
        <v>1863</v>
      </c>
      <c r="E15" s="1879">
        <v>30.026</v>
      </c>
      <c r="F15" s="2239" t="s">
        <v>1863</v>
      </c>
      <c r="G15" s="1879">
        <v>30.03</v>
      </c>
      <c r="H15" s="2239" t="s">
        <v>1863</v>
      </c>
      <c r="I15" s="1879">
        <v>30.026</v>
      </c>
      <c r="J15" s="1684" t="s">
        <v>1066</v>
      </c>
      <c r="K15" s="1709">
        <f>0.02*1000</f>
        <v>20</v>
      </c>
      <c r="L15" s="1680"/>
      <c r="M15" s="1680"/>
      <c r="N15" s="1680"/>
      <c r="O15" s="1681"/>
      <c r="Q15" s="2250"/>
    </row>
    <row r="16" spans="1:19">
      <c r="A16" t="s">
        <v>460</v>
      </c>
      <c r="B16" s="1708" t="s">
        <v>662</v>
      </c>
      <c r="C16" s="2236" t="s">
        <v>1864</v>
      </c>
      <c r="D16" s="2237" t="s">
        <v>1865</v>
      </c>
      <c r="E16" s="2240">
        <v>100.15900000000001</v>
      </c>
      <c r="F16" s="2237" t="s">
        <v>1865</v>
      </c>
      <c r="G16" s="2240">
        <v>100.15900000000001</v>
      </c>
      <c r="H16" s="2237" t="s">
        <v>1865</v>
      </c>
      <c r="I16" s="2240">
        <v>100.15900000000001</v>
      </c>
      <c r="J16" s="1684" t="s">
        <v>1066</v>
      </c>
      <c r="K16" s="1709">
        <f>0.02*1000</f>
        <v>20</v>
      </c>
      <c r="L16" s="1680"/>
      <c r="M16" s="1680"/>
      <c r="N16" s="1680"/>
      <c r="O16" s="1681"/>
      <c r="Q16" s="2250"/>
    </row>
    <row r="17" spans="1:17">
      <c r="A17" t="s">
        <v>2095</v>
      </c>
      <c r="B17" s="1708" t="s">
        <v>1750</v>
      </c>
      <c r="C17" s="2236" t="s">
        <v>1866</v>
      </c>
      <c r="D17" s="1684" t="s">
        <v>1713</v>
      </c>
      <c r="E17" s="1879">
        <v>80.911468999999997</v>
      </c>
      <c r="F17" s="1684" t="s">
        <v>1713</v>
      </c>
      <c r="G17" s="1879">
        <v>80.911468999999997</v>
      </c>
      <c r="H17" s="1684" t="s">
        <v>1710</v>
      </c>
      <c r="I17" s="1879">
        <v>79.903527999999994</v>
      </c>
      <c r="J17" s="1684" t="s">
        <v>1066</v>
      </c>
      <c r="K17" s="1709">
        <v>100</v>
      </c>
      <c r="L17" s="1680"/>
      <c r="M17" s="1680"/>
      <c r="N17" s="1680"/>
      <c r="O17" s="1681"/>
      <c r="Q17" s="2250"/>
    </row>
    <row r="18" spans="1:17">
      <c r="A18" t="s">
        <v>2095</v>
      </c>
      <c r="B18" s="1708" t="s">
        <v>1751</v>
      </c>
      <c r="C18" s="2236" t="s">
        <v>1867</v>
      </c>
      <c r="D18" s="1684" t="s">
        <v>1714</v>
      </c>
      <c r="E18" s="1879">
        <v>36.460478999999999</v>
      </c>
      <c r="F18" s="1684" t="s">
        <v>1714</v>
      </c>
      <c r="G18" s="1879">
        <v>36.460478999999999</v>
      </c>
      <c r="H18" s="1684" t="s">
        <v>1711</v>
      </c>
      <c r="I18" s="1879">
        <v>35.452537999999997</v>
      </c>
      <c r="J18" s="1684" t="s">
        <v>1066</v>
      </c>
      <c r="K18" s="1709">
        <v>100</v>
      </c>
      <c r="L18" s="1680"/>
      <c r="M18" s="1680"/>
      <c r="N18" s="1680"/>
      <c r="O18" s="1681"/>
    </row>
    <row r="19" spans="1:17">
      <c r="A19" t="s">
        <v>2096</v>
      </c>
      <c r="B19" s="1708" t="s">
        <v>1752</v>
      </c>
      <c r="C19" s="2236" t="s">
        <v>1857</v>
      </c>
      <c r="D19" s="1684" t="s">
        <v>1715</v>
      </c>
      <c r="E19" s="1879">
        <v>27.02542</v>
      </c>
      <c r="F19" s="1684" t="s">
        <v>1715</v>
      </c>
      <c r="G19" s="1879">
        <v>27.02542</v>
      </c>
      <c r="H19" s="1684" t="s">
        <v>1712</v>
      </c>
      <c r="I19" s="1879">
        <v>26.017479000000002</v>
      </c>
      <c r="J19" s="1684" t="s">
        <v>1066</v>
      </c>
      <c r="K19" s="1709">
        <v>5</v>
      </c>
      <c r="L19" s="1680"/>
      <c r="M19" s="1680"/>
      <c r="N19" s="1680"/>
      <c r="O19" s="1681"/>
    </row>
    <row r="20" spans="1:17">
      <c r="A20" t="s">
        <v>2095</v>
      </c>
      <c r="B20" s="1708" t="s">
        <v>1868</v>
      </c>
      <c r="C20" s="2236" t="s">
        <v>1869</v>
      </c>
      <c r="D20" s="1684" t="s">
        <v>1716</v>
      </c>
      <c r="E20" s="1879">
        <v>20.006343999999999</v>
      </c>
      <c r="F20" s="1684" t="s">
        <v>1716</v>
      </c>
      <c r="G20" s="1879">
        <v>20.006343999999999</v>
      </c>
      <c r="H20" s="1684" t="s">
        <v>1226</v>
      </c>
      <c r="I20" s="1879">
        <v>18.998403</v>
      </c>
      <c r="J20" s="1684" t="s">
        <v>1066</v>
      </c>
      <c r="K20" s="1709">
        <v>100</v>
      </c>
      <c r="L20" s="1680"/>
      <c r="M20" s="1680"/>
      <c r="N20" s="1680"/>
      <c r="O20" s="1681"/>
    </row>
    <row r="21" spans="1:17">
      <c r="A21" t="s">
        <v>2097</v>
      </c>
      <c r="B21" s="1708" t="s">
        <v>1870</v>
      </c>
      <c r="C21" s="2241" t="s">
        <v>1871</v>
      </c>
      <c r="D21" s="1684" t="s">
        <v>1872</v>
      </c>
      <c r="E21" s="1879">
        <v>34.081966000000001</v>
      </c>
      <c r="F21" s="1684" t="s">
        <v>1872</v>
      </c>
      <c r="G21" s="1879">
        <v>34.081966000000001</v>
      </c>
      <c r="H21" s="1684" t="s">
        <v>1872</v>
      </c>
      <c r="I21" s="1879">
        <v>34.081966000000001</v>
      </c>
      <c r="J21" s="1684" t="s">
        <v>1066</v>
      </c>
      <c r="K21" s="1709">
        <v>0.2</v>
      </c>
      <c r="L21" s="1680"/>
      <c r="M21" s="1680"/>
      <c r="N21" s="1680"/>
      <c r="O21" s="1681"/>
    </row>
    <row r="22" spans="1:17">
      <c r="A22" t="s">
        <v>2098</v>
      </c>
      <c r="B22" s="1708" t="s">
        <v>1873</v>
      </c>
      <c r="C22" s="2242" t="s">
        <v>1874</v>
      </c>
      <c r="D22" s="1684" t="s">
        <v>1875</v>
      </c>
      <c r="E22" s="1879">
        <v>174.156564</v>
      </c>
      <c r="F22" s="1684" t="s">
        <v>1875</v>
      </c>
      <c r="G22" s="1879">
        <v>174.156564</v>
      </c>
      <c r="H22" s="1684" t="s">
        <v>1875</v>
      </c>
      <c r="I22" s="1879">
        <v>174.156564</v>
      </c>
      <c r="J22" s="1684" t="s">
        <v>1066</v>
      </c>
      <c r="K22" s="1709">
        <v>20</v>
      </c>
      <c r="L22" s="1680"/>
      <c r="M22" s="1680"/>
      <c r="N22" s="1680"/>
      <c r="O22" s="1681"/>
    </row>
    <row r="23" spans="1:17">
      <c r="A23" t="s">
        <v>2098</v>
      </c>
      <c r="B23" s="1708" t="s">
        <v>1876</v>
      </c>
      <c r="C23" s="2242" t="s">
        <v>1877</v>
      </c>
      <c r="D23" s="1684" t="s">
        <v>1878</v>
      </c>
      <c r="E23" s="1879">
        <v>174.156564</v>
      </c>
      <c r="F23" s="1684" t="s">
        <v>1878</v>
      </c>
      <c r="G23" s="1879">
        <v>174.156564</v>
      </c>
      <c r="H23" s="1684" t="s">
        <v>1878</v>
      </c>
      <c r="I23" s="1879">
        <v>174.156564</v>
      </c>
      <c r="J23" s="1684" t="s">
        <v>1066</v>
      </c>
      <c r="K23" s="1709">
        <v>20</v>
      </c>
      <c r="L23" s="1680"/>
      <c r="M23" s="1680"/>
      <c r="N23" s="1680"/>
      <c r="O23" s="1681"/>
    </row>
    <row r="24" spans="1:17">
      <c r="A24" t="s">
        <v>2098</v>
      </c>
      <c r="B24" s="1708" t="s">
        <v>1879</v>
      </c>
      <c r="C24" s="2242" t="s">
        <v>1880</v>
      </c>
      <c r="D24" s="1684" t="s">
        <v>1881</v>
      </c>
      <c r="E24" s="1879">
        <v>250.25274200000001</v>
      </c>
      <c r="F24" s="1684" t="s">
        <v>1881</v>
      </c>
      <c r="G24" s="1879">
        <v>250.25274200000001</v>
      </c>
      <c r="H24" s="1684" t="s">
        <v>1881</v>
      </c>
      <c r="I24" s="1879">
        <v>250.25274200000001</v>
      </c>
      <c r="J24" s="1684" t="s">
        <v>1066</v>
      </c>
      <c r="K24" s="1709">
        <v>20</v>
      </c>
      <c r="L24" s="1680"/>
      <c r="M24" s="1680"/>
      <c r="N24" s="1680"/>
      <c r="O24" s="1681"/>
    </row>
    <row r="25" spans="1:17">
      <c r="A25" t="s">
        <v>461</v>
      </c>
      <c r="B25" s="1708" t="s">
        <v>1782</v>
      </c>
      <c r="C25" s="2242" t="s">
        <v>1784</v>
      </c>
      <c r="D25" s="1684" t="s">
        <v>1782</v>
      </c>
      <c r="E25" s="1879">
        <v>108.138082</v>
      </c>
      <c r="F25" s="1684" t="s">
        <v>1782</v>
      </c>
      <c r="G25" s="1879">
        <v>108.138082</v>
      </c>
      <c r="H25" s="1684" t="s">
        <v>1782</v>
      </c>
      <c r="I25" s="1879">
        <v>108.138082</v>
      </c>
      <c r="J25" s="1684" t="s">
        <v>1066</v>
      </c>
      <c r="K25" s="1709">
        <v>50</v>
      </c>
      <c r="L25" s="1680"/>
      <c r="M25" s="1680"/>
      <c r="N25" s="1680"/>
      <c r="O25" s="1681"/>
    </row>
    <row r="26" spans="1:17">
      <c r="A26" t="s">
        <v>2096</v>
      </c>
      <c r="B26" s="1708" t="s">
        <v>1882</v>
      </c>
      <c r="C26" s="2242" t="s">
        <v>1883</v>
      </c>
      <c r="D26" s="2237" t="s">
        <v>1884</v>
      </c>
      <c r="E26" s="1879">
        <v>170.73392000000001</v>
      </c>
      <c r="F26" s="2237" t="s">
        <v>1884</v>
      </c>
      <c r="G26" s="1879">
        <v>170.73392000000001</v>
      </c>
      <c r="H26" s="1684" t="s">
        <v>1885</v>
      </c>
      <c r="I26" s="1879">
        <v>58.693356000000001</v>
      </c>
      <c r="J26" s="1684" t="s">
        <v>1066</v>
      </c>
      <c r="K26" s="1709"/>
      <c r="L26" s="1680"/>
      <c r="M26" s="1680"/>
      <c r="N26" s="1680"/>
      <c r="O26" s="1681"/>
    </row>
    <row r="27" spans="1:17">
      <c r="A27" t="s">
        <v>2099</v>
      </c>
      <c r="B27" s="1708" t="s">
        <v>1886</v>
      </c>
      <c r="C27" s="2242" t="s">
        <v>1887</v>
      </c>
      <c r="D27" s="2237" t="s">
        <v>1888</v>
      </c>
      <c r="E27" s="1879">
        <v>62.004958000000002</v>
      </c>
      <c r="F27" s="2237" t="s">
        <v>1888</v>
      </c>
      <c r="G27" s="1879">
        <v>62.004958000000002</v>
      </c>
      <c r="H27" s="2237" t="s">
        <v>1888</v>
      </c>
      <c r="I27" s="1879">
        <v>62.004958000000002</v>
      </c>
      <c r="J27" s="1684" t="s">
        <v>1066</v>
      </c>
      <c r="K27" s="1709"/>
      <c r="L27" s="1680"/>
      <c r="M27" s="1680"/>
      <c r="N27" s="1680"/>
      <c r="O27" s="1681"/>
    </row>
    <row r="28" spans="1:17">
      <c r="A28" t="s">
        <v>2099</v>
      </c>
      <c r="B28" s="1708" t="s">
        <v>1889</v>
      </c>
      <c r="C28" s="2242" t="s">
        <v>1890</v>
      </c>
      <c r="D28" s="2237" t="s">
        <v>1891</v>
      </c>
      <c r="E28" s="1879">
        <v>46.005552999999999</v>
      </c>
      <c r="F28" s="2237" t="s">
        <v>1891</v>
      </c>
      <c r="G28" s="1879">
        <v>46.005552999999999</v>
      </c>
      <c r="H28" s="2237" t="s">
        <v>1891</v>
      </c>
      <c r="I28" s="1879">
        <v>46.005552999999999</v>
      </c>
      <c r="J28" s="1684" t="s">
        <v>1066</v>
      </c>
      <c r="K28" s="1709"/>
      <c r="L28" s="1680"/>
      <c r="M28" s="1680"/>
      <c r="N28" s="1680"/>
      <c r="O28" s="1681"/>
    </row>
    <row r="29" spans="1:17">
      <c r="A29" t="s">
        <v>2099</v>
      </c>
      <c r="B29" s="1708" t="s">
        <v>1173</v>
      </c>
      <c r="C29" s="2243" t="s">
        <v>1892</v>
      </c>
      <c r="D29" s="1684" t="s">
        <v>1309</v>
      </c>
      <c r="E29" s="1879">
        <v>14.006743</v>
      </c>
      <c r="F29" s="1684" t="s">
        <v>1309</v>
      </c>
      <c r="G29" s="1879">
        <v>14.006743</v>
      </c>
      <c r="H29" s="1684" t="s">
        <v>1309</v>
      </c>
      <c r="I29" s="1879">
        <v>14.006743</v>
      </c>
      <c r="J29" s="1684" t="s">
        <v>1066</v>
      </c>
      <c r="K29" s="1709"/>
      <c r="L29" s="1680"/>
      <c r="M29" s="1680"/>
      <c r="N29" s="1680"/>
      <c r="O29" s="1681"/>
    </row>
    <row r="30" spans="1:17">
      <c r="A30" t="s">
        <v>461</v>
      </c>
      <c r="B30" s="1708" t="s">
        <v>654</v>
      </c>
      <c r="C30" s="2242" t="s">
        <v>1783</v>
      </c>
      <c r="D30" s="1684" t="s">
        <v>654</v>
      </c>
      <c r="E30" s="1879">
        <v>108.138082</v>
      </c>
      <c r="F30" s="1684" t="s">
        <v>654</v>
      </c>
      <c r="G30" s="1879">
        <v>108.138082</v>
      </c>
      <c r="H30" s="1684" t="s">
        <v>654</v>
      </c>
      <c r="I30" s="1879">
        <v>108.138082</v>
      </c>
      <c r="J30" s="1684" t="s">
        <v>1066</v>
      </c>
      <c r="K30" s="1709">
        <v>50</v>
      </c>
      <c r="L30" s="1685"/>
      <c r="M30" s="1685"/>
      <c r="N30" s="1685"/>
      <c r="O30" s="1681"/>
      <c r="P30" s="1685"/>
    </row>
    <row r="31" spans="1:17">
      <c r="A31" t="s">
        <v>461</v>
      </c>
      <c r="B31" s="1708" t="s">
        <v>365</v>
      </c>
      <c r="C31" s="2242" t="s">
        <v>1786</v>
      </c>
      <c r="D31" s="1684" t="s">
        <v>365</v>
      </c>
      <c r="E31" s="1879">
        <v>94.111464999999995</v>
      </c>
      <c r="F31" s="1684" t="s">
        <v>365</v>
      </c>
      <c r="G31" s="1879">
        <v>94.111464999999995</v>
      </c>
      <c r="H31" s="1684" t="s">
        <v>365</v>
      </c>
      <c r="I31" s="1879">
        <v>94.111464999999995</v>
      </c>
      <c r="J31" s="1684" t="s">
        <v>1066</v>
      </c>
      <c r="K31" s="1709">
        <v>50</v>
      </c>
      <c r="L31" s="1680"/>
      <c r="M31" s="1680"/>
      <c r="N31" s="1680"/>
      <c r="O31" s="1681"/>
    </row>
    <row r="32" spans="1:17">
      <c r="A32" t="s">
        <v>2096</v>
      </c>
      <c r="B32" s="1708" t="s">
        <v>1893</v>
      </c>
      <c r="C32" s="2242" t="s">
        <v>1894</v>
      </c>
      <c r="D32" s="2239" t="s">
        <v>1895</v>
      </c>
      <c r="E32" s="1879">
        <v>94.971380999999994</v>
      </c>
      <c r="F32" s="2239" t="s">
        <v>1895</v>
      </c>
      <c r="G32" s="1879">
        <v>94.971380999999994</v>
      </c>
      <c r="H32" s="1684" t="s">
        <v>1311</v>
      </c>
      <c r="I32" s="1879">
        <v>30.973762000000001</v>
      </c>
      <c r="J32" s="1684" t="s">
        <v>1066</v>
      </c>
      <c r="K32" s="1709"/>
      <c r="L32" s="1680"/>
      <c r="M32" s="1680"/>
      <c r="N32" s="1680"/>
      <c r="O32" s="1681"/>
    </row>
    <row r="33" spans="1:21">
      <c r="A33" t="s">
        <v>460</v>
      </c>
      <c r="B33" s="1708" t="s">
        <v>765</v>
      </c>
      <c r="C33" s="2236" t="s">
        <v>1896</v>
      </c>
      <c r="D33" s="2237" t="s">
        <v>1897</v>
      </c>
      <c r="E33" s="1879">
        <v>58.079000000000001</v>
      </c>
      <c r="F33" s="2237" t="s">
        <v>1897</v>
      </c>
      <c r="G33" s="1879">
        <v>58.079000000000001</v>
      </c>
      <c r="H33" s="2237" t="s">
        <v>1897</v>
      </c>
      <c r="I33" s="1879">
        <v>58.079000000000001</v>
      </c>
      <c r="J33" s="1684" t="s">
        <v>1066</v>
      </c>
      <c r="K33" s="1709">
        <f>0.02*1000</f>
        <v>20</v>
      </c>
      <c r="L33" s="1680"/>
      <c r="M33" s="1680"/>
      <c r="N33" s="1680"/>
      <c r="O33" s="1681"/>
    </row>
    <row r="34" spans="1:21">
      <c r="A34" t="s">
        <v>461</v>
      </c>
      <c r="B34" s="1708" t="s">
        <v>768</v>
      </c>
      <c r="C34" s="2242" t="s">
        <v>1785</v>
      </c>
      <c r="D34" s="2237" t="s">
        <v>768</v>
      </c>
      <c r="E34" s="1879">
        <v>110.11087000000001</v>
      </c>
      <c r="F34" s="2237" t="s">
        <v>768</v>
      </c>
      <c r="G34" s="1879">
        <v>110.11087000000001</v>
      </c>
      <c r="H34" s="2237" t="s">
        <v>768</v>
      </c>
      <c r="I34" s="1879">
        <v>110.11087000000001</v>
      </c>
      <c r="J34" s="1684" t="s">
        <v>1066</v>
      </c>
      <c r="K34" s="1709">
        <v>50</v>
      </c>
      <c r="L34" s="1680"/>
      <c r="M34" s="1680"/>
      <c r="N34" s="1680"/>
      <c r="O34" s="1681"/>
    </row>
    <row r="35" spans="1:21">
      <c r="A35" t="s">
        <v>2102</v>
      </c>
      <c r="B35" s="1708" t="s">
        <v>1755</v>
      </c>
      <c r="C35" s="2242" t="s">
        <v>1898</v>
      </c>
      <c r="D35" s="1684" t="s">
        <v>1899</v>
      </c>
      <c r="E35" s="1879">
        <v>96.063704000000001</v>
      </c>
      <c r="F35" s="1684" t="s">
        <v>1899</v>
      </c>
      <c r="G35" s="1879">
        <v>96.063704000000001</v>
      </c>
      <c r="H35" s="1684" t="s">
        <v>1899</v>
      </c>
      <c r="I35" s="1879">
        <v>96.063704000000001</v>
      </c>
      <c r="J35" s="1684" t="s">
        <v>1066</v>
      </c>
      <c r="K35" s="1709">
        <v>100</v>
      </c>
      <c r="L35" s="1680"/>
      <c r="M35" s="1680"/>
      <c r="N35" s="1680"/>
      <c r="O35" s="1681"/>
    </row>
    <row r="36" spans="1:21">
      <c r="A36" t="s">
        <v>2096</v>
      </c>
      <c r="B36" s="1708" t="s">
        <v>1753</v>
      </c>
      <c r="C36" s="2242" t="s">
        <v>1900</v>
      </c>
      <c r="D36" s="1684" t="s">
        <v>1399</v>
      </c>
      <c r="E36" s="1879">
        <v>32.066085000000001</v>
      </c>
      <c r="F36" s="1684" t="s">
        <v>1399</v>
      </c>
      <c r="G36" s="1879">
        <v>32.066085000000001</v>
      </c>
      <c r="H36" s="1684" t="s">
        <v>1399</v>
      </c>
      <c r="I36" s="1879">
        <v>32.066085000000001</v>
      </c>
      <c r="J36" s="1684" t="s">
        <v>1066</v>
      </c>
      <c r="K36" s="1709">
        <v>100</v>
      </c>
      <c r="L36" s="1680"/>
      <c r="M36" s="1680"/>
      <c r="N36" s="1680"/>
      <c r="O36" s="1681"/>
    </row>
    <row r="37" spans="1:21">
      <c r="A37" t="s">
        <v>2102</v>
      </c>
      <c r="B37" s="1708" t="s">
        <v>591</v>
      </c>
      <c r="C37" s="2241" t="s">
        <v>1901</v>
      </c>
      <c r="D37" s="1684" t="s">
        <v>1902</v>
      </c>
      <c r="E37" s="1879">
        <v>64.064895000000007</v>
      </c>
      <c r="F37" s="1684" t="s">
        <v>1902</v>
      </c>
      <c r="G37" s="1879">
        <v>64.064895000000007</v>
      </c>
      <c r="H37" s="1684" t="s">
        <v>1899</v>
      </c>
      <c r="I37" s="1879">
        <v>96.063704000000001</v>
      </c>
      <c r="J37" s="1684" t="s">
        <v>1066</v>
      </c>
      <c r="K37" s="1709">
        <v>100</v>
      </c>
      <c r="L37" s="1680"/>
      <c r="M37" s="1680"/>
      <c r="N37" s="1680"/>
      <c r="O37" s="1681"/>
    </row>
    <row r="38" spans="1:21">
      <c r="A38" t="s">
        <v>2102</v>
      </c>
      <c r="B38" s="1708" t="s">
        <v>1754</v>
      </c>
      <c r="C38" s="2241" t="s">
        <v>1903</v>
      </c>
      <c r="D38" s="1684" t="s">
        <v>1904</v>
      </c>
      <c r="E38" s="1879">
        <v>80.064299000000005</v>
      </c>
      <c r="F38" s="1684" t="s">
        <v>1904</v>
      </c>
      <c r="G38" s="1879">
        <v>80.064299000000005</v>
      </c>
      <c r="H38" s="1684" t="s">
        <v>1899</v>
      </c>
      <c r="I38" s="1879">
        <v>96.063704000000001</v>
      </c>
      <c r="J38" s="1684" t="s">
        <v>1066</v>
      </c>
      <c r="K38" s="1709">
        <v>100</v>
      </c>
      <c r="L38" s="1680"/>
      <c r="M38" s="1680"/>
      <c r="N38" s="1680"/>
      <c r="O38" s="1681"/>
    </row>
    <row r="39" spans="1:21">
      <c r="A39" t="s">
        <v>2102</v>
      </c>
      <c r="B39" s="1708" t="s">
        <v>2103</v>
      </c>
      <c r="C39" s="2241" t="s">
        <v>1905</v>
      </c>
      <c r="D39" s="1684" t="s">
        <v>1906</v>
      </c>
      <c r="E39" s="1879">
        <v>98.079586000000006</v>
      </c>
      <c r="F39" s="1684" t="s">
        <v>1906</v>
      </c>
      <c r="G39" s="1879">
        <v>98.079586000000006</v>
      </c>
      <c r="H39" s="1684" t="s">
        <v>1899</v>
      </c>
      <c r="I39" s="1879">
        <v>96.063704000000001</v>
      </c>
      <c r="J39" s="1684" t="s">
        <v>1066</v>
      </c>
      <c r="K39" s="1709">
        <v>100</v>
      </c>
      <c r="L39" s="1680"/>
      <c r="M39" s="1680"/>
      <c r="N39" s="1680"/>
      <c r="O39" s="1681"/>
      <c r="R39" t="s">
        <v>2084</v>
      </c>
    </row>
    <row r="40" spans="1:21">
      <c r="A40" t="s">
        <v>2097</v>
      </c>
      <c r="B40" s="1708" t="s">
        <v>1907</v>
      </c>
      <c r="C40" s="2241" t="s">
        <v>1901</v>
      </c>
      <c r="D40" s="1684" t="s">
        <v>1902</v>
      </c>
      <c r="E40" s="1879">
        <v>64.064895000000007</v>
      </c>
      <c r="F40" s="1684" t="s">
        <v>1908</v>
      </c>
      <c r="G40" s="1879">
        <v>64.064895000000007</v>
      </c>
      <c r="H40" s="1684" t="s">
        <v>1899</v>
      </c>
      <c r="I40" s="1879">
        <v>96.063704000000001</v>
      </c>
      <c r="J40" s="1684" t="s">
        <v>1066</v>
      </c>
      <c r="K40" s="1710">
        <v>100</v>
      </c>
      <c r="L40" s="1680"/>
      <c r="M40" s="1680"/>
      <c r="N40" s="1680"/>
      <c r="O40" s="1681"/>
      <c r="Q40" s="2228" t="s">
        <v>2085</v>
      </c>
      <c r="R40" s="2229"/>
      <c r="S40" s="2228" t="s">
        <v>2086</v>
      </c>
      <c r="T40" s="2229"/>
      <c r="U40" t="s">
        <v>2085</v>
      </c>
    </row>
    <row r="41" spans="1:21">
      <c r="A41" t="s">
        <v>460</v>
      </c>
      <c r="B41" s="1708" t="s">
        <v>767</v>
      </c>
      <c r="C41" s="2236" t="s">
        <v>1909</v>
      </c>
      <c r="D41" s="2239" t="s">
        <v>1910</v>
      </c>
      <c r="E41" s="2240">
        <v>86.132000000000005</v>
      </c>
      <c r="F41" s="2239" t="s">
        <v>1910</v>
      </c>
      <c r="G41" s="2240">
        <v>86.132000000000005</v>
      </c>
      <c r="H41" s="2239" t="s">
        <v>1910</v>
      </c>
      <c r="I41" s="2240">
        <v>86.132000000000005</v>
      </c>
      <c r="J41" s="1684" t="s">
        <v>1066</v>
      </c>
      <c r="K41" s="1709">
        <f>0.02*1000</f>
        <v>20</v>
      </c>
      <c r="L41" s="1680"/>
      <c r="M41" s="1680"/>
      <c r="N41" s="1680"/>
      <c r="O41" s="1681"/>
      <c r="Q41" s="2224" t="s">
        <v>1435</v>
      </c>
      <c r="R41" s="2225" t="s">
        <v>1914</v>
      </c>
      <c r="S41" s="2224" t="s">
        <v>1435</v>
      </c>
      <c r="T41" s="2226" t="s">
        <v>1914</v>
      </c>
      <c r="U41" s="2227" t="s">
        <v>2086</v>
      </c>
    </row>
    <row r="42" spans="1:21">
      <c r="A42" t="s">
        <v>2094</v>
      </c>
      <c r="B42" s="1708" t="s">
        <v>2123</v>
      </c>
      <c r="C42" s="2236" t="s">
        <v>2035</v>
      </c>
      <c r="D42" s="2239" t="s">
        <v>2062</v>
      </c>
      <c r="E42" s="2240">
        <v>26.981539000000001</v>
      </c>
      <c r="F42" s="2239" t="s">
        <v>2062</v>
      </c>
      <c r="G42" s="2240">
        <v>26.981539000000001</v>
      </c>
      <c r="H42" s="2239" t="s">
        <v>2062</v>
      </c>
      <c r="I42" s="2240">
        <v>26.981539000000001</v>
      </c>
      <c r="J42" s="2253">
        <f t="shared" ref="J42:J70" si="0">IF(MetalsLab="NMI",S42,IF(MetalsLab="Envirolabs",Q42,""))</f>
        <v>5</v>
      </c>
      <c r="K42" s="2254">
        <f t="shared" ref="K42:K70" si="1">IF(MetalsLab="NMI",T42,IF(MetalsLab="Envirolabs",R42,""))</f>
        <v>5</v>
      </c>
      <c r="L42" s="1680"/>
      <c r="M42" s="1680"/>
      <c r="N42" s="1680"/>
      <c r="O42" s="1681"/>
      <c r="Q42" s="2221">
        <v>5</v>
      </c>
      <c r="R42" s="1680">
        <v>5</v>
      </c>
      <c r="S42" s="2221">
        <v>1</v>
      </c>
      <c r="T42" s="1979">
        <v>0.5</v>
      </c>
    </row>
    <row r="43" spans="1:21">
      <c r="A43" t="s">
        <v>2094</v>
      </c>
      <c r="B43" s="1708" t="s">
        <v>2121</v>
      </c>
      <c r="C43" s="2236" t="s">
        <v>2036</v>
      </c>
      <c r="D43" s="2239" t="s">
        <v>2069</v>
      </c>
      <c r="E43" s="2240">
        <v>121.76</v>
      </c>
      <c r="F43" s="2239" t="s">
        <v>2069</v>
      </c>
      <c r="G43" s="2240">
        <v>121.76</v>
      </c>
      <c r="H43" s="2239" t="s">
        <v>2069</v>
      </c>
      <c r="I43" s="2240">
        <v>121.76</v>
      </c>
      <c r="J43" s="2255">
        <f t="shared" si="0"/>
        <v>5</v>
      </c>
      <c r="K43" s="2256">
        <f t="shared" si="1"/>
        <v>0.5</v>
      </c>
      <c r="L43" s="1680"/>
      <c r="M43" s="1680"/>
      <c r="N43" s="1680"/>
      <c r="O43" s="1681"/>
      <c r="Q43" s="2221">
        <v>5</v>
      </c>
      <c r="R43" s="1680">
        <v>0.5</v>
      </c>
      <c r="S43" s="2221">
        <v>0.05</v>
      </c>
      <c r="T43" s="1979">
        <v>0.5</v>
      </c>
    </row>
    <row r="44" spans="1:21">
      <c r="A44" t="s">
        <v>2094</v>
      </c>
      <c r="B44" s="1708" t="s">
        <v>2122</v>
      </c>
      <c r="C44" s="2236" t="s">
        <v>2037</v>
      </c>
      <c r="D44" s="2239" t="s">
        <v>1848</v>
      </c>
      <c r="E44" s="2240">
        <v>74.921599999999998</v>
      </c>
      <c r="F44" s="2239" t="s">
        <v>1848</v>
      </c>
      <c r="G44" s="2240">
        <v>74.921599999999998</v>
      </c>
      <c r="H44" s="2239" t="s">
        <v>1848</v>
      </c>
      <c r="I44" s="2240">
        <v>74.921599999999998</v>
      </c>
      <c r="J44" s="2255">
        <f t="shared" si="0"/>
        <v>2</v>
      </c>
      <c r="K44" s="2256">
        <f t="shared" si="1"/>
        <v>0.5</v>
      </c>
      <c r="L44" s="1680"/>
      <c r="M44" s="1680"/>
      <c r="N44" s="1680"/>
      <c r="O44" s="1681"/>
      <c r="Q44" s="2221">
        <v>2</v>
      </c>
      <c r="R44" s="1680">
        <v>0.5</v>
      </c>
      <c r="S44" s="2221">
        <v>0.1</v>
      </c>
      <c r="T44" s="1979">
        <v>0.5</v>
      </c>
    </row>
    <row r="45" spans="1:21">
      <c r="A45" t="s">
        <v>2094</v>
      </c>
      <c r="B45" s="1708" t="s">
        <v>2027</v>
      </c>
      <c r="C45" s="2236" t="s">
        <v>2038</v>
      </c>
      <c r="D45" s="2239" t="s">
        <v>2063</v>
      </c>
      <c r="E45" s="2240">
        <v>137.327</v>
      </c>
      <c r="F45" s="2239" t="s">
        <v>2063</v>
      </c>
      <c r="G45" s="2240">
        <v>137.327</v>
      </c>
      <c r="H45" s="2239" t="s">
        <v>2063</v>
      </c>
      <c r="I45" s="2240">
        <v>137.327</v>
      </c>
      <c r="J45" s="2255">
        <f t="shared" si="0"/>
        <v>1</v>
      </c>
      <c r="K45" s="2256">
        <f t="shared" si="1"/>
        <v>0.5</v>
      </c>
      <c r="L45" s="1680"/>
      <c r="M45" s="1680"/>
      <c r="N45" s="1680"/>
      <c r="O45" s="1681"/>
      <c r="Q45" s="2221">
        <v>1</v>
      </c>
      <c r="R45" s="2252">
        <v>0.5</v>
      </c>
      <c r="S45" s="2221">
        <v>0.05</v>
      </c>
      <c r="T45" s="1979">
        <v>0.5</v>
      </c>
    </row>
    <row r="46" spans="1:21">
      <c r="A46" t="s">
        <v>2094</v>
      </c>
      <c r="B46" s="1708" t="s">
        <v>2124</v>
      </c>
      <c r="C46" s="2236" t="s">
        <v>2039</v>
      </c>
      <c r="D46" s="2239" t="s">
        <v>2064</v>
      </c>
      <c r="E46" s="2240">
        <v>9.0121819999999992</v>
      </c>
      <c r="F46" s="2239" t="s">
        <v>2064</v>
      </c>
      <c r="G46" s="2240">
        <v>9.0121819999999992</v>
      </c>
      <c r="H46" s="2239" t="s">
        <v>2064</v>
      </c>
      <c r="I46" s="2240">
        <v>9.0121819999999992</v>
      </c>
      <c r="J46" s="2255">
        <f t="shared" si="0"/>
        <v>1</v>
      </c>
      <c r="K46" s="2256">
        <f t="shared" si="1"/>
        <v>0.5</v>
      </c>
      <c r="L46" s="1680"/>
      <c r="M46" s="1680"/>
      <c r="N46" s="1680"/>
      <c r="O46" s="1681"/>
      <c r="Q46" s="2221">
        <v>1</v>
      </c>
      <c r="R46" s="1680">
        <v>0.5</v>
      </c>
      <c r="S46" s="2221">
        <v>0.05</v>
      </c>
      <c r="T46" s="1979">
        <v>0.5</v>
      </c>
    </row>
    <row r="47" spans="1:21">
      <c r="A47" t="s">
        <v>2094</v>
      </c>
      <c r="B47" s="1708" t="s">
        <v>2087</v>
      </c>
      <c r="C47" s="2236" t="s">
        <v>2093</v>
      </c>
      <c r="D47" s="2239" t="s">
        <v>2092</v>
      </c>
      <c r="E47" s="2240">
        <v>208.9804</v>
      </c>
      <c r="F47" s="2239" t="s">
        <v>2092</v>
      </c>
      <c r="G47" s="2240">
        <v>208.9804</v>
      </c>
      <c r="H47" s="2239" t="s">
        <v>2092</v>
      </c>
      <c r="I47" s="2240">
        <v>208.9804</v>
      </c>
      <c r="J47" s="2255">
        <f t="shared" si="0"/>
        <v>5</v>
      </c>
      <c r="K47" s="2256">
        <f t="shared" si="1"/>
        <v>0.5</v>
      </c>
      <c r="L47" s="1680"/>
      <c r="M47" s="1680"/>
      <c r="N47" s="1680"/>
      <c r="O47" s="1681"/>
      <c r="Q47" s="2221">
        <v>5</v>
      </c>
      <c r="R47" s="2252">
        <v>0.5</v>
      </c>
      <c r="S47" s="2221"/>
      <c r="T47" s="1979"/>
    </row>
    <row r="48" spans="1:21">
      <c r="A48" t="s">
        <v>2094</v>
      </c>
      <c r="B48" s="1708" t="s">
        <v>2088</v>
      </c>
      <c r="C48" s="2236" t="s">
        <v>2091</v>
      </c>
      <c r="D48" s="2239" t="s">
        <v>1222</v>
      </c>
      <c r="E48" s="2240">
        <v>10.811</v>
      </c>
      <c r="F48" s="2239" t="s">
        <v>1222</v>
      </c>
      <c r="G48" s="2240">
        <v>10.811</v>
      </c>
      <c r="H48" s="2239" t="s">
        <v>1222</v>
      </c>
      <c r="I48" s="2240">
        <v>10.811</v>
      </c>
      <c r="J48" s="2255">
        <f t="shared" si="0"/>
        <v>10</v>
      </c>
      <c r="K48" s="2256">
        <f t="shared" si="1"/>
        <v>5</v>
      </c>
      <c r="L48" s="1680"/>
      <c r="M48" s="1680"/>
      <c r="N48" s="1680"/>
      <c r="O48" s="1681"/>
      <c r="Q48" s="2221">
        <v>10</v>
      </c>
      <c r="R48" s="2252">
        <v>5</v>
      </c>
      <c r="S48" s="2221"/>
      <c r="T48" s="1979"/>
    </row>
    <row r="49" spans="1:20">
      <c r="A49" t="s">
        <v>2094</v>
      </c>
      <c r="B49" s="1708" t="s">
        <v>2125</v>
      </c>
      <c r="C49" s="2236" t="s">
        <v>2040</v>
      </c>
      <c r="D49" s="2239" t="s">
        <v>2070</v>
      </c>
      <c r="E49" s="2240">
        <v>112.411</v>
      </c>
      <c r="F49" s="2239" t="s">
        <v>2070</v>
      </c>
      <c r="G49" s="2240">
        <v>112.411</v>
      </c>
      <c r="H49" s="2239" t="s">
        <v>2070</v>
      </c>
      <c r="I49" s="2240">
        <v>112.411</v>
      </c>
      <c r="J49" s="2255">
        <f t="shared" si="0"/>
        <v>0.5</v>
      </c>
      <c r="K49" s="2256">
        <f t="shared" si="1"/>
        <v>0.05</v>
      </c>
      <c r="L49" s="1680"/>
      <c r="M49" s="1680"/>
      <c r="N49" s="1680"/>
      <c r="O49" s="1681"/>
      <c r="Q49" s="2221">
        <v>0.5</v>
      </c>
      <c r="R49" s="1680">
        <v>0.05</v>
      </c>
      <c r="S49" s="2221">
        <v>0.05</v>
      </c>
      <c r="T49" s="1979">
        <v>0.5</v>
      </c>
    </row>
    <row r="50" spans="1:20">
      <c r="A50" t="s">
        <v>2094</v>
      </c>
      <c r="B50" s="1708" t="s">
        <v>2028</v>
      </c>
      <c r="C50" s="2236" t="s">
        <v>2041</v>
      </c>
      <c r="D50" s="2239" t="s">
        <v>2065</v>
      </c>
      <c r="E50" s="2240">
        <v>40.078000000000003</v>
      </c>
      <c r="F50" s="2239" t="s">
        <v>2065</v>
      </c>
      <c r="G50" s="2240">
        <v>40.078000000000003</v>
      </c>
      <c r="H50" s="2239" t="s">
        <v>2065</v>
      </c>
      <c r="I50" s="2240">
        <v>40.078000000000003</v>
      </c>
      <c r="J50" s="2255">
        <f t="shared" si="0"/>
        <v>25</v>
      </c>
      <c r="K50" s="2256">
        <f t="shared" si="1"/>
        <v>500</v>
      </c>
      <c r="L50" s="1680"/>
      <c r="M50" s="1680"/>
      <c r="N50" s="1680"/>
      <c r="O50" s="1681"/>
      <c r="Q50" s="2221">
        <v>25</v>
      </c>
      <c r="R50" s="2252">
        <v>500</v>
      </c>
      <c r="S50" s="2221">
        <v>0.05</v>
      </c>
      <c r="T50" s="1979">
        <v>0.5</v>
      </c>
    </row>
    <row r="51" spans="1:20">
      <c r="A51" t="s">
        <v>2094</v>
      </c>
      <c r="B51" s="1708" t="s">
        <v>2126</v>
      </c>
      <c r="C51" s="2236" t="s">
        <v>2042</v>
      </c>
      <c r="D51" s="2239" t="s">
        <v>2071</v>
      </c>
      <c r="E51" s="2240">
        <v>51.996099999999998</v>
      </c>
      <c r="F51" s="2239" t="s">
        <v>2071</v>
      </c>
      <c r="G51" s="2240">
        <v>51.996099999999998</v>
      </c>
      <c r="H51" s="2239" t="s">
        <v>2071</v>
      </c>
      <c r="I51" s="2240">
        <v>51.996099999999998</v>
      </c>
      <c r="J51" s="2255">
        <f t="shared" si="0"/>
        <v>0.5</v>
      </c>
      <c r="K51" s="2256">
        <f t="shared" si="1"/>
        <v>0.5</v>
      </c>
      <c r="L51" s="1680"/>
      <c r="M51" s="1680"/>
      <c r="N51" s="1680"/>
      <c r="O51" s="1681"/>
      <c r="Q51" s="2221">
        <v>0.5</v>
      </c>
      <c r="R51" s="1680">
        <v>0.5</v>
      </c>
      <c r="S51" s="2221">
        <v>0.1</v>
      </c>
      <c r="T51" s="1979">
        <v>0.5</v>
      </c>
    </row>
    <row r="52" spans="1:20">
      <c r="A52" t="s">
        <v>2094</v>
      </c>
      <c r="B52" s="1708" t="s">
        <v>2127</v>
      </c>
      <c r="C52" s="2236" t="s">
        <v>2043</v>
      </c>
      <c r="D52" s="2239" t="s">
        <v>2066</v>
      </c>
      <c r="E52" s="2240">
        <v>58.933194999999998</v>
      </c>
      <c r="F52" s="2239" t="s">
        <v>2066</v>
      </c>
      <c r="G52" s="2240">
        <v>58.933194999999998</v>
      </c>
      <c r="H52" s="2239" t="s">
        <v>2066</v>
      </c>
      <c r="I52" s="2240">
        <v>58.933194999999998</v>
      </c>
      <c r="J52" s="2255">
        <f t="shared" si="0"/>
        <v>0.5</v>
      </c>
      <c r="K52" s="2256">
        <f t="shared" si="1"/>
        <v>0.5</v>
      </c>
      <c r="L52" s="1680"/>
      <c r="M52" s="1680"/>
      <c r="N52" s="1680"/>
      <c r="O52" s="1681"/>
      <c r="Q52" s="2221">
        <v>0.5</v>
      </c>
      <c r="R52" s="2252">
        <v>0.5</v>
      </c>
      <c r="S52" s="2221">
        <v>0.05</v>
      </c>
      <c r="T52" s="1979">
        <v>0.5</v>
      </c>
    </row>
    <row r="53" spans="1:20">
      <c r="A53" t="s">
        <v>2094</v>
      </c>
      <c r="B53" s="1708" t="s">
        <v>2128</v>
      </c>
      <c r="C53" s="2236" t="s">
        <v>2044</v>
      </c>
      <c r="D53" s="2239" t="s">
        <v>2072</v>
      </c>
      <c r="E53" s="2240">
        <v>63.545999999999999</v>
      </c>
      <c r="F53" s="2239" t="s">
        <v>2072</v>
      </c>
      <c r="G53" s="2240">
        <v>63.545999999999999</v>
      </c>
      <c r="H53" s="2239" t="s">
        <v>2072</v>
      </c>
      <c r="I53" s="2240">
        <v>63.545999999999999</v>
      </c>
      <c r="J53" s="2255">
        <f t="shared" si="0"/>
        <v>0.5</v>
      </c>
      <c r="K53" s="2256">
        <f t="shared" si="1"/>
        <v>0.5</v>
      </c>
      <c r="L53" s="1680"/>
      <c r="M53" s="1680"/>
      <c r="N53" s="1680"/>
      <c r="O53" s="1681"/>
      <c r="Q53" s="2221">
        <v>0.5</v>
      </c>
      <c r="R53" s="1680">
        <v>0.5</v>
      </c>
      <c r="S53" s="2221">
        <v>0.05</v>
      </c>
      <c r="T53" s="1979">
        <v>0.5</v>
      </c>
    </row>
    <row r="54" spans="1:20">
      <c r="A54" t="s">
        <v>2094</v>
      </c>
      <c r="B54" s="1708" t="s">
        <v>2029</v>
      </c>
      <c r="C54" s="2236" t="s">
        <v>2045</v>
      </c>
      <c r="D54" s="2239" t="s">
        <v>2073</v>
      </c>
      <c r="E54" s="2240">
        <v>55.844999999999999</v>
      </c>
      <c r="F54" s="2239" t="s">
        <v>2073</v>
      </c>
      <c r="G54" s="2240">
        <v>55.844999999999999</v>
      </c>
      <c r="H54" s="2239" t="s">
        <v>2073</v>
      </c>
      <c r="I54" s="2240">
        <v>55.844999999999999</v>
      </c>
      <c r="J54" s="2255">
        <f t="shared" si="0"/>
        <v>1</v>
      </c>
      <c r="K54" s="2256">
        <f t="shared" si="1"/>
        <v>5</v>
      </c>
      <c r="L54" s="1680"/>
      <c r="M54" s="1680"/>
      <c r="N54" s="1680"/>
      <c r="O54" s="1681"/>
      <c r="Q54" s="2221">
        <v>1</v>
      </c>
      <c r="R54" s="2252">
        <v>5</v>
      </c>
      <c r="S54" s="2221">
        <v>0.5</v>
      </c>
      <c r="T54" s="1979">
        <v>0.5</v>
      </c>
    </row>
    <row r="55" spans="1:20">
      <c r="A55" t="s">
        <v>2094</v>
      </c>
      <c r="B55" s="1708" t="s">
        <v>2129</v>
      </c>
      <c r="C55" s="2236" t="s">
        <v>2046</v>
      </c>
      <c r="D55" s="2239" t="s">
        <v>2074</v>
      </c>
      <c r="E55" s="2240">
        <v>207.2</v>
      </c>
      <c r="F55" s="2239" t="s">
        <v>2074</v>
      </c>
      <c r="G55" s="2240">
        <v>207.2</v>
      </c>
      <c r="H55" s="2239" t="s">
        <v>2074</v>
      </c>
      <c r="I55" s="2240">
        <v>207.2</v>
      </c>
      <c r="J55" s="2255">
        <f t="shared" si="0"/>
        <v>1</v>
      </c>
      <c r="K55" s="2256">
        <f t="shared" si="1"/>
        <v>0.5</v>
      </c>
      <c r="L55" s="1680"/>
      <c r="M55" s="1680"/>
      <c r="N55" s="1680"/>
      <c r="O55" s="1681"/>
      <c r="Q55" s="2221">
        <v>1</v>
      </c>
      <c r="R55" s="1680">
        <v>0.5</v>
      </c>
      <c r="S55" s="2221">
        <v>0.05</v>
      </c>
      <c r="T55" s="1979">
        <v>0.5</v>
      </c>
    </row>
    <row r="56" spans="1:20">
      <c r="A56" t="s">
        <v>2094</v>
      </c>
      <c r="B56" s="1708" t="s">
        <v>2030</v>
      </c>
      <c r="C56" s="2236" t="s">
        <v>2047</v>
      </c>
      <c r="D56" s="2239" t="s">
        <v>2067</v>
      </c>
      <c r="E56" s="2240">
        <v>6.9409999999999998</v>
      </c>
      <c r="F56" s="2239" t="s">
        <v>2067</v>
      </c>
      <c r="G56" s="2240">
        <v>6.9409999999999998</v>
      </c>
      <c r="H56" s="2239" t="s">
        <v>2067</v>
      </c>
      <c r="I56" s="2240">
        <v>6.9409999999999998</v>
      </c>
      <c r="J56" s="2255">
        <f t="shared" si="0"/>
        <v>0.5</v>
      </c>
      <c r="K56" s="2256">
        <f t="shared" si="1"/>
        <v>0.5</v>
      </c>
      <c r="L56" s="1680"/>
      <c r="M56" s="1680"/>
      <c r="N56" s="1680"/>
      <c r="O56" s="1681"/>
      <c r="Q56" s="2221">
        <v>0.5</v>
      </c>
      <c r="R56" s="2252">
        <v>0.5</v>
      </c>
      <c r="S56" s="2221">
        <v>1</v>
      </c>
      <c r="T56" s="1979">
        <v>0.5</v>
      </c>
    </row>
    <row r="57" spans="1:20">
      <c r="A57" t="s">
        <v>2094</v>
      </c>
      <c r="B57" s="1708" t="s">
        <v>2130</v>
      </c>
      <c r="C57" s="2236" t="s">
        <v>2048</v>
      </c>
      <c r="D57" s="2239" t="s">
        <v>2075</v>
      </c>
      <c r="E57" s="2240">
        <v>24.305</v>
      </c>
      <c r="F57" s="2239" t="s">
        <v>2075</v>
      </c>
      <c r="G57" s="2240">
        <v>24.305</v>
      </c>
      <c r="H57" s="2239" t="s">
        <v>2075</v>
      </c>
      <c r="I57" s="2240">
        <v>24.305</v>
      </c>
      <c r="J57" s="2255">
        <f t="shared" si="0"/>
        <v>25</v>
      </c>
      <c r="K57" s="2256">
        <f t="shared" si="1"/>
        <v>500</v>
      </c>
      <c r="L57" s="1680"/>
      <c r="M57" s="1680"/>
      <c r="N57" s="1680"/>
      <c r="O57" s="1681"/>
      <c r="Q57" s="2221">
        <v>25</v>
      </c>
      <c r="R57" s="2252">
        <v>500</v>
      </c>
      <c r="S57" s="2221">
        <v>0.5</v>
      </c>
      <c r="T57" s="1979">
        <v>0.5</v>
      </c>
    </row>
    <row r="58" spans="1:20">
      <c r="A58" t="s">
        <v>2094</v>
      </c>
      <c r="B58" s="1708" t="s">
        <v>2131</v>
      </c>
      <c r="C58" s="2236" t="s">
        <v>2049</v>
      </c>
      <c r="D58" s="2239" t="s">
        <v>2076</v>
      </c>
      <c r="E58" s="2240">
        <v>54.938045000000002</v>
      </c>
      <c r="F58" s="2239" t="s">
        <v>2076</v>
      </c>
      <c r="G58" s="2240">
        <v>54.938045000000002</v>
      </c>
      <c r="H58" s="2239" t="s">
        <v>2076</v>
      </c>
      <c r="I58" s="2240">
        <v>54.938045000000002</v>
      </c>
      <c r="J58" s="2255">
        <f t="shared" si="0"/>
        <v>0.5</v>
      </c>
      <c r="K58" s="2256">
        <f t="shared" si="1"/>
        <v>5</v>
      </c>
      <c r="L58" s="1680"/>
      <c r="M58" s="1680"/>
      <c r="N58" s="1680"/>
      <c r="O58" s="1681"/>
      <c r="Q58" s="2221">
        <v>0.5</v>
      </c>
      <c r="R58" s="1680">
        <v>5</v>
      </c>
      <c r="S58" s="2221">
        <v>0.05</v>
      </c>
      <c r="T58" s="1979">
        <v>0.5</v>
      </c>
    </row>
    <row r="59" spans="1:20">
      <c r="A59" t="s">
        <v>2094</v>
      </c>
      <c r="B59" s="1708" t="s">
        <v>2132</v>
      </c>
      <c r="C59" s="2236" t="s">
        <v>2050</v>
      </c>
      <c r="D59" s="2239" t="s">
        <v>2077</v>
      </c>
      <c r="E59" s="2240">
        <v>200.59</v>
      </c>
      <c r="F59" s="2239" t="s">
        <v>2077</v>
      </c>
      <c r="G59" s="2240">
        <v>200.59</v>
      </c>
      <c r="H59" s="2239" t="s">
        <v>2077</v>
      </c>
      <c r="I59" s="2240">
        <v>200.59</v>
      </c>
      <c r="J59" s="2255">
        <f t="shared" si="0"/>
        <v>0.2</v>
      </c>
      <c r="K59" s="2256">
        <f t="shared" si="1"/>
        <v>0.05</v>
      </c>
      <c r="L59" s="1680"/>
      <c r="M59" s="1680"/>
      <c r="N59" s="1680"/>
      <c r="O59" s="1681"/>
      <c r="Q59" s="2221">
        <v>0.2</v>
      </c>
      <c r="R59" s="1680">
        <v>0.05</v>
      </c>
      <c r="S59" s="2221">
        <v>0.05</v>
      </c>
      <c r="T59" s="1979">
        <v>0.5</v>
      </c>
    </row>
    <row r="60" spans="1:20">
      <c r="A60" t="s">
        <v>2094</v>
      </c>
      <c r="B60" s="1708" t="s">
        <v>2031</v>
      </c>
      <c r="C60" s="2236" t="s">
        <v>2051</v>
      </c>
      <c r="D60" s="2239" t="s">
        <v>2068</v>
      </c>
      <c r="E60" s="2240">
        <v>95.96</v>
      </c>
      <c r="F60" s="2239" t="s">
        <v>2068</v>
      </c>
      <c r="G60" s="2240">
        <v>95.96</v>
      </c>
      <c r="H60" s="2239" t="s">
        <v>2068</v>
      </c>
      <c r="I60" s="2240">
        <v>95.96</v>
      </c>
      <c r="J60" s="2255">
        <f t="shared" si="0"/>
        <v>1</v>
      </c>
      <c r="K60" s="2256">
        <f t="shared" si="1"/>
        <v>0.5</v>
      </c>
      <c r="L60" s="1680"/>
      <c r="M60" s="1680"/>
      <c r="N60" s="1680"/>
      <c r="O60" s="1681"/>
      <c r="Q60" s="2221">
        <v>1</v>
      </c>
      <c r="R60" s="2252">
        <v>0.5</v>
      </c>
      <c r="S60" s="2221">
        <v>0.05</v>
      </c>
      <c r="T60" s="1979">
        <v>0.5</v>
      </c>
    </row>
    <row r="61" spans="1:20">
      <c r="A61" t="s">
        <v>2094</v>
      </c>
      <c r="B61" s="1708" t="s">
        <v>2133</v>
      </c>
      <c r="C61" s="2236" t="s">
        <v>2052</v>
      </c>
      <c r="D61" s="2239" t="s">
        <v>1885</v>
      </c>
      <c r="E61" s="2240">
        <v>58.693399999999997</v>
      </c>
      <c r="F61" s="2239" t="s">
        <v>1885</v>
      </c>
      <c r="G61" s="2240">
        <v>58.693399999999997</v>
      </c>
      <c r="H61" s="2239" t="s">
        <v>1885</v>
      </c>
      <c r="I61" s="2240">
        <v>58.693399999999997</v>
      </c>
      <c r="J61" s="2255">
        <f t="shared" si="0"/>
        <v>1</v>
      </c>
      <c r="K61" s="2256">
        <f t="shared" si="1"/>
        <v>0.5</v>
      </c>
      <c r="L61" s="1680"/>
      <c r="M61" s="1680"/>
      <c r="N61" s="1680"/>
      <c r="O61" s="1681"/>
      <c r="Q61" s="2221">
        <v>1</v>
      </c>
      <c r="R61" s="1680">
        <v>0.5</v>
      </c>
      <c r="S61" s="2221">
        <v>0.05</v>
      </c>
      <c r="T61" s="1979">
        <v>0.5</v>
      </c>
    </row>
    <row r="62" spans="1:20">
      <c r="A62" t="s">
        <v>2094</v>
      </c>
      <c r="B62" s="1708" t="s">
        <v>2134</v>
      </c>
      <c r="C62" s="2236" t="s">
        <v>2053</v>
      </c>
      <c r="D62" s="2239" t="s">
        <v>1311</v>
      </c>
      <c r="E62" s="2240">
        <v>30.973762000000001</v>
      </c>
      <c r="F62" s="2239" t="s">
        <v>1311</v>
      </c>
      <c r="G62" s="2240">
        <v>30.973762000000001</v>
      </c>
      <c r="H62" s="2239" t="s">
        <v>1311</v>
      </c>
      <c r="I62" s="2240">
        <v>30.973762000000001</v>
      </c>
      <c r="J62" s="2255">
        <f t="shared" si="0"/>
        <v>2</v>
      </c>
      <c r="K62" s="2256">
        <f t="shared" si="1"/>
        <v>50</v>
      </c>
      <c r="L62" s="1680"/>
      <c r="M62" s="1680"/>
      <c r="N62" s="1680"/>
      <c r="O62" s="1681"/>
      <c r="Q62" s="2221">
        <v>2</v>
      </c>
      <c r="R62" s="2252">
        <v>50</v>
      </c>
      <c r="S62" s="2221">
        <v>2</v>
      </c>
      <c r="T62" s="1979">
        <v>5</v>
      </c>
    </row>
    <row r="63" spans="1:20">
      <c r="A63" t="s">
        <v>2094</v>
      </c>
      <c r="B63" s="1708" t="s">
        <v>2032</v>
      </c>
      <c r="C63" s="2236" t="s">
        <v>2054</v>
      </c>
      <c r="D63" s="2239" t="s">
        <v>1231</v>
      </c>
      <c r="E63" s="2240">
        <v>39.098300000000002</v>
      </c>
      <c r="F63" s="2239" t="s">
        <v>1231</v>
      </c>
      <c r="G63" s="2240">
        <v>39.098300000000002</v>
      </c>
      <c r="H63" s="2239" t="s">
        <v>1231</v>
      </c>
      <c r="I63" s="2240">
        <v>39.098300000000002</v>
      </c>
      <c r="J63" s="2255">
        <f t="shared" si="0"/>
        <v>25</v>
      </c>
      <c r="K63" s="2256">
        <f t="shared" si="1"/>
        <v>500</v>
      </c>
      <c r="L63" s="1680"/>
      <c r="M63" s="1680"/>
      <c r="N63" s="1680"/>
      <c r="O63" s="1681"/>
      <c r="Q63" s="2221">
        <v>25</v>
      </c>
      <c r="R63" s="2252">
        <v>500</v>
      </c>
      <c r="S63" s="2221">
        <v>2</v>
      </c>
      <c r="T63" s="1979">
        <v>5</v>
      </c>
    </row>
    <row r="64" spans="1:20">
      <c r="A64" t="s">
        <v>2094</v>
      </c>
      <c r="B64" s="1708" t="s">
        <v>2135</v>
      </c>
      <c r="C64" s="2236" t="s">
        <v>2055</v>
      </c>
      <c r="D64" s="2239" t="s">
        <v>2078</v>
      </c>
      <c r="E64" s="2240">
        <v>78.959999999999994</v>
      </c>
      <c r="F64" s="2239" t="s">
        <v>2078</v>
      </c>
      <c r="G64" s="2240">
        <v>78.959999999999994</v>
      </c>
      <c r="H64" s="2239" t="s">
        <v>2078</v>
      </c>
      <c r="I64" s="2240">
        <v>78.959999999999994</v>
      </c>
      <c r="J64" s="2255">
        <f t="shared" si="0"/>
        <v>5</v>
      </c>
      <c r="K64" s="2256">
        <f t="shared" si="1"/>
        <v>0.5</v>
      </c>
      <c r="L64" s="1680"/>
      <c r="M64" s="1680"/>
      <c r="N64" s="1680"/>
      <c r="O64" s="1681"/>
      <c r="Q64" s="2221">
        <v>5</v>
      </c>
      <c r="R64" s="2252">
        <v>0.5</v>
      </c>
      <c r="S64" s="2221">
        <v>0.2</v>
      </c>
      <c r="T64" s="1979">
        <v>0.5</v>
      </c>
    </row>
    <row r="65" spans="1:20">
      <c r="A65" t="s">
        <v>2094</v>
      </c>
      <c r="B65" s="1708" t="s">
        <v>2033</v>
      </c>
      <c r="C65" s="2236" t="s">
        <v>2056</v>
      </c>
      <c r="D65" s="2239" t="s">
        <v>2079</v>
      </c>
      <c r="E65" s="2240">
        <v>107.8682</v>
      </c>
      <c r="F65" s="2239" t="s">
        <v>2079</v>
      </c>
      <c r="G65" s="2240">
        <v>107.8682</v>
      </c>
      <c r="H65" s="2239" t="s">
        <v>2079</v>
      </c>
      <c r="I65" s="2240">
        <v>107.8682</v>
      </c>
      <c r="J65" s="2255">
        <f t="shared" si="0"/>
        <v>0.5</v>
      </c>
      <c r="K65" s="2256">
        <f t="shared" si="1"/>
        <v>0.5</v>
      </c>
      <c r="L65" s="1680"/>
      <c r="M65" s="1680"/>
      <c r="N65" s="1680"/>
      <c r="O65" s="1681"/>
      <c r="Q65" s="2221">
        <v>0.5</v>
      </c>
      <c r="R65" s="2252">
        <v>0.5</v>
      </c>
      <c r="S65" s="2221">
        <v>0.05</v>
      </c>
      <c r="T65" s="1979">
        <v>0.5</v>
      </c>
    </row>
    <row r="66" spans="1:20">
      <c r="A66" t="s">
        <v>2094</v>
      </c>
      <c r="B66" s="1708" t="s">
        <v>2089</v>
      </c>
      <c r="C66" s="2236" t="s">
        <v>2057</v>
      </c>
      <c r="D66" s="2239" t="s">
        <v>2080</v>
      </c>
      <c r="E66" s="2240">
        <v>22.98976</v>
      </c>
      <c r="F66" s="2239" t="s">
        <v>2080</v>
      </c>
      <c r="G66" s="2240">
        <v>22.98976</v>
      </c>
      <c r="H66" s="2239" t="s">
        <v>2080</v>
      </c>
      <c r="I66" s="2240">
        <v>22.98976</v>
      </c>
      <c r="J66" s="2255">
        <f t="shared" si="0"/>
        <v>25</v>
      </c>
      <c r="K66" s="2256">
        <f t="shared" si="1"/>
        <v>500</v>
      </c>
      <c r="L66" s="1680"/>
      <c r="M66" s="1680"/>
      <c r="N66" s="1680"/>
      <c r="O66" s="1681"/>
      <c r="Q66" s="2221">
        <v>25</v>
      </c>
      <c r="R66" s="2252">
        <v>500</v>
      </c>
      <c r="S66" s="2221">
        <v>2</v>
      </c>
      <c r="T66" s="1979">
        <v>5</v>
      </c>
    </row>
    <row r="67" spans="1:20">
      <c r="A67" t="s">
        <v>2094</v>
      </c>
      <c r="B67" s="1708" t="s">
        <v>2136</v>
      </c>
      <c r="C67" s="2236" t="s">
        <v>2058</v>
      </c>
      <c r="D67" s="2239" t="s">
        <v>2081</v>
      </c>
      <c r="E67" s="2240">
        <v>204.38329999999999</v>
      </c>
      <c r="F67" s="2239" t="s">
        <v>2081</v>
      </c>
      <c r="G67" s="2240">
        <v>204.38329999999999</v>
      </c>
      <c r="H67" s="2239" t="s">
        <v>2081</v>
      </c>
      <c r="I67" s="2240">
        <v>204.38329999999999</v>
      </c>
      <c r="J67" s="2255">
        <f t="shared" si="0"/>
        <v>2</v>
      </c>
      <c r="K67" s="2256">
        <f t="shared" si="1"/>
        <v>0.5</v>
      </c>
      <c r="L67" s="1680"/>
      <c r="M67" s="1680"/>
      <c r="N67" s="1680"/>
      <c r="O67" s="1681"/>
      <c r="Q67" s="2221">
        <v>2</v>
      </c>
      <c r="R67" s="2252">
        <v>0.5</v>
      </c>
      <c r="S67" s="2221">
        <v>0.05</v>
      </c>
      <c r="T67" s="1979">
        <v>0.5</v>
      </c>
    </row>
    <row r="68" spans="1:20">
      <c r="A68" t="s">
        <v>2094</v>
      </c>
      <c r="B68" s="1708" t="s">
        <v>2137</v>
      </c>
      <c r="C68" s="2236" t="s">
        <v>2059</v>
      </c>
      <c r="D68" s="2239" t="s">
        <v>2082</v>
      </c>
      <c r="E68" s="2240">
        <v>118.71</v>
      </c>
      <c r="F68" s="2239" t="s">
        <v>2082</v>
      </c>
      <c r="G68" s="2240">
        <v>118.71</v>
      </c>
      <c r="H68" s="2239" t="s">
        <v>2082</v>
      </c>
      <c r="I68" s="2240">
        <v>118.71</v>
      </c>
      <c r="J68" s="2255">
        <f t="shared" si="0"/>
        <v>2</v>
      </c>
      <c r="K68" s="2256">
        <f t="shared" si="1"/>
        <v>0.5</v>
      </c>
      <c r="L68" s="1680"/>
      <c r="M68" s="1680"/>
      <c r="N68" s="1680"/>
      <c r="O68" s="1681"/>
      <c r="Q68" s="2221">
        <v>2</v>
      </c>
      <c r="R68" s="2252">
        <v>0.5</v>
      </c>
      <c r="S68" s="2221">
        <v>0.1</v>
      </c>
      <c r="T68" s="1979">
        <v>0.5</v>
      </c>
    </row>
    <row r="69" spans="1:20">
      <c r="A69" t="s">
        <v>2094</v>
      </c>
      <c r="B69" s="1708" t="s">
        <v>2034</v>
      </c>
      <c r="C69" s="2236" t="s">
        <v>2060</v>
      </c>
      <c r="D69" s="2239" t="s">
        <v>1402</v>
      </c>
      <c r="E69" s="2240">
        <v>50.941499999999998</v>
      </c>
      <c r="F69" s="2239" t="s">
        <v>1402</v>
      </c>
      <c r="G69" s="2240">
        <v>50.941499999999998</v>
      </c>
      <c r="H69" s="2239" t="s">
        <v>1402</v>
      </c>
      <c r="I69" s="2240">
        <v>50.941499999999998</v>
      </c>
      <c r="J69" s="2255">
        <f t="shared" si="0"/>
        <v>1</v>
      </c>
      <c r="K69" s="2256">
        <f t="shared" si="1"/>
        <v>0.5</v>
      </c>
      <c r="L69" s="1680"/>
      <c r="M69" s="1680"/>
      <c r="N69" s="1680"/>
      <c r="O69" s="1681"/>
      <c r="Q69" s="2221">
        <v>1</v>
      </c>
      <c r="R69" s="2252">
        <v>0.5</v>
      </c>
      <c r="S69" s="2221">
        <v>0.1</v>
      </c>
      <c r="T69" s="1979">
        <v>0.5</v>
      </c>
    </row>
    <row r="70" spans="1:20">
      <c r="A70" t="s">
        <v>2094</v>
      </c>
      <c r="B70" s="1708" t="s">
        <v>2138</v>
      </c>
      <c r="C70" s="2236" t="s">
        <v>2061</v>
      </c>
      <c r="D70" s="2239" t="s">
        <v>2083</v>
      </c>
      <c r="E70" s="2240">
        <v>65.38</v>
      </c>
      <c r="F70" s="2239" t="s">
        <v>2083</v>
      </c>
      <c r="G70" s="2240">
        <v>65.38</v>
      </c>
      <c r="H70" s="2239" t="s">
        <v>2083</v>
      </c>
      <c r="I70" s="2240">
        <v>65.38</v>
      </c>
      <c r="J70" s="2257">
        <f t="shared" si="0"/>
        <v>1</v>
      </c>
      <c r="K70" s="2258">
        <f t="shared" si="1"/>
        <v>0.5</v>
      </c>
      <c r="L70" s="1680"/>
      <c r="M70" s="1680"/>
      <c r="N70" s="1680"/>
      <c r="O70" s="1681"/>
      <c r="Q70" s="2222">
        <v>1</v>
      </c>
      <c r="R70" s="2223">
        <v>0.5</v>
      </c>
      <c r="S70" s="2222">
        <v>0.1</v>
      </c>
      <c r="T70" s="1982">
        <v>0.5</v>
      </c>
    </row>
    <row r="71" spans="1:20">
      <c r="B71" s="1708"/>
      <c r="C71" s="2236"/>
      <c r="D71" s="2239"/>
      <c r="E71" s="2240"/>
      <c r="F71" s="2239"/>
      <c r="G71" s="2240"/>
      <c r="H71" s="2239"/>
      <c r="I71" s="2240"/>
      <c r="J71" s="1684"/>
      <c r="K71" s="1709"/>
      <c r="L71" s="1680"/>
      <c r="M71" s="1680"/>
      <c r="N71" s="1680"/>
      <c r="O71" s="1681"/>
    </row>
    <row r="72" spans="1:20">
      <c r="B72" s="1708"/>
      <c r="C72" s="2236"/>
      <c r="D72" s="2239"/>
      <c r="E72" s="2240"/>
      <c r="F72" s="2239"/>
      <c r="G72" s="2240"/>
      <c r="H72" s="2239"/>
      <c r="I72" s="2240"/>
      <c r="J72" s="1684"/>
      <c r="K72" s="1709"/>
      <c r="L72" s="1680"/>
      <c r="M72" s="1680"/>
      <c r="N72" s="1680"/>
      <c r="O72" s="1681"/>
    </row>
    <row r="73" spans="1:20">
      <c r="B73" s="1708"/>
      <c r="C73" s="2236"/>
      <c r="D73" s="2239"/>
      <c r="E73" s="2240"/>
      <c r="F73" s="2239"/>
      <c r="G73" s="2240"/>
      <c r="H73" s="2239"/>
      <c r="I73" s="2240"/>
      <c r="J73" s="1684"/>
      <c r="K73" s="1709"/>
      <c r="L73" s="1680"/>
      <c r="M73" s="1680"/>
      <c r="N73" s="1680"/>
      <c r="O73" s="1681"/>
    </row>
    <row r="74" spans="1:20">
      <c r="B74" s="1708"/>
      <c r="C74" s="2236"/>
      <c r="D74" s="2239"/>
      <c r="E74" s="2240"/>
      <c r="F74" s="2239"/>
      <c r="G74" s="2240"/>
      <c r="H74" s="2239"/>
      <c r="I74" s="2240"/>
      <c r="J74" s="1684"/>
      <c r="K74" s="1709"/>
      <c r="L74" s="1680"/>
      <c r="M74" s="1680"/>
      <c r="N74" s="1680"/>
      <c r="O74" s="1681"/>
    </row>
    <row r="75" spans="1:20">
      <c r="B75" s="1708"/>
      <c r="C75" s="2236"/>
      <c r="D75" s="2239"/>
      <c r="E75" s="2240"/>
      <c r="F75" s="2239"/>
      <c r="G75" s="2240"/>
      <c r="H75" s="2239"/>
      <c r="I75" s="2240"/>
      <c r="J75" s="1684"/>
      <c r="K75" s="1709"/>
      <c r="L75" s="1680"/>
      <c r="M75" s="1680"/>
      <c r="N75" s="1680"/>
      <c r="O75" s="1681"/>
    </row>
    <row r="76" spans="1:20">
      <c r="B76" s="1708"/>
      <c r="C76" s="2236"/>
      <c r="D76" s="2239"/>
      <c r="E76" s="2240"/>
      <c r="F76" s="2239"/>
      <c r="G76" s="2240"/>
      <c r="H76" s="2239"/>
      <c r="I76" s="2240"/>
      <c r="J76" s="1684"/>
      <c r="K76" s="1709"/>
      <c r="L76" s="1680"/>
      <c r="M76" s="1680"/>
      <c r="N76" s="1680"/>
      <c r="O76" s="1681"/>
    </row>
    <row r="77" spans="1:20">
      <c r="B77" s="1708"/>
      <c r="C77" s="2236"/>
      <c r="D77" s="2239"/>
      <c r="E77" s="2240"/>
      <c r="F77" s="2239"/>
      <c r="G77" s="2240"/>
      <c r="H77" s="2239"/>
      <c r="I77" s="2240"/>
      <c r="J77" s="1684"/>
      <c r="K77" s="1709"/>
      <c r="L77" s="1680"/>
      <c r="M77" s="1680"/>
      <c r="N77" s="1680"/>
      <c r="O77" s="1681"/>
    </row>
    <row r="78" spans="1:20">
      <c r="B78" s="1708"/>
      <c r="C78" s="2236"/>
      <c r="D78" s="2239"/>
      <c r="E78" s="2240"/>
      <c r="F78" s="2239"/>
      <c r="G78" s="2240"/>
      <c r="H78" s="2239"/>
      <c r="I78" s="2240"/>
      <c r="J78" s="1684"/>
      <c r="K78" s="1709"/>
      <c r="L78" s="1680"/>
      <c r="M78" s="1680"/>
      <c r="N78" s="1680"/>
      <c r="O78" s="1681"/>
    </row>
    <row r="79" spans="1:20">
      <c r="B79" s="1708"/>
      <c r="C79" s="2236"/>
      <c r="D79" s="2239"/>
      <c r="E79" s="2240"/>
      <c r="F79" s="2239"/>
      <c r="G79" s="2240"/>
      <c r="H79" s="2239"/>
      <c r="I79" s="2240"/>
      <c r="J79" s="1684"/>
      <c r="K79" s="1709"/>
      <c r="L79" s="1680"/>
      <c r="M79" s="1680"/>
      <c r="N79" s="1680"/>
      <c r="O79" s="1681"/>
    </row>
    <row r="80" spans="1:20">
      <c r="B80" s="1708"/>
      <c r="C80" s="2236"/>
      <c r="D80" s="2239"/>
      <c r="E80" s="2240"/>
      <c r="F80" s="2239"/>
      <c r="G80" s="2240"/>
      <c r="H80" s="2239"/>
      <c r="I80" s="2240"/>
      <c r="J80" s="1684"/>
      <c r="K80" s="1709"/>
      <c r="L80" s="1680"/>
      <c r="M80" s="1680"/>
      <c r="N80" s="1680"/>
      <c r="O80" s="1681"/>
    </row>
    <row r="81" spans="2:15">
      <c r="B81" s="1708"/>
      <c r="C81" s="2236"/>
      <c r="D81" s="2239"/>
      <c r="E81" s="2240"/>
      <c r="F81" s="2239"/>
      <c r="G81" s="2240"/>
      <c r="H81" s="2239"/>
      <c r="I81" s="2240"/>
      <c r="J81" s="1684"/>
      <c r="K81" s="1709"/>
      <c r="L81" s="1680"/>
      <c r="M81" s="1680"/>
      <c r="N81" s="1680"/>
      <c r="O81" s="1681"/>
    </row>
    <row r="82" spans="2:15">
      <c r="B82" s="1708"/>
      <c r="C82" s="2236"/>
      <c r="D82" s="2239"/>
      <c r="E82" s="2240"/>
      <c r="F82" s="2239"/>
      <c r="G82" s="2240"/>
      <c r="H82" s="2239"/>
      <c r="I82" s="2240"/>
      <c r="J82" s="1684"/>
      <c r="K82" s="1709"/>
      <c r="L82" s="1680"/>
      <c r="M82" s="1680"/>
      <c r="N82" s="1680"/>
      <c r="O82" s="1681"/>
    </row>
    <row r="83" spans="2:15">
      <c r="B83" s="1708"/>
      <c r="C83" s="2236"/>
      <c r="D83" s="2239"/>
      <c r="E83" s="2240"/>
      <c r="F83" s="2239"/>
      <c r="G83" s="2240"/>
      <c r="H83" s="2239"/>
      <c r="I83" s="2240"/>
      <c r="J83" s="1684"/>
      <c r="K83" s="1709"/>
      <c r="L83" s="1680"/>
      <c r="M83" s="1680"/>
      <c r="N83" s="1680"/>
      <c r="O83" s="1681"/>
    </row>
    <row r="84" spans="2:15">
      <c r="B84" s="1708"/>
      <c r="C84" s="2236"/>
      <c r="D84" s="2239"/>
      <c r="E84" s="2240"/>
      <c r="F84" s="2239"/>
      <c r="G84" s="2240"/>
      <c r="H84" s="2239"/>
      <c r="I84" s="2240"/>
      <c r="J84" s="1684"/>
      <c r="K84" s="1709"/>
      <c r="L84" s="1680"/>
      <c r="M84" s="1680"/>
      <c r="N84" s="1680"/>
      <c r="O84" s="1681"/>
    </row>
    <row r="85" spans="2:15">
      <c r="B85" s="1708"/>
      <c r="C85" s="2236"/>
      <c r="D85" s="2239"/>
      <c r="E85" s="2240"/>
      <c r="F85" s="2239"/>
      <c r="G85" s="2240"/>
      <c r="H85" s="2239"/>
      <c r="I85" s="2240"/>
      <c r="J85" s="1684"/>
      <c r="K85" s="1709"/>
      <c r="L85" s="1680"/>
      <c r="M85" s="1680"/>
      <c r="N85" s="1680"/>
      <c r="O85" s="1681"/>
    </row>
    <row r="86" spans="2:15">
      <c r="B86" s="1708"/>
      <c r="C86" s="2236"/>
      <c r="D86" s="2239"/>
      <c r="E86" s="2240"/>
      <c r="F86" s="2239"/>
      <c r="G86" s="2240"/>
      <c r="H86" s="2239"/>
      <c r="I86" s="2240"/>
      <c r="J86" s="1684"/>
      <c r="K86" s="1709"/>
      <c r="L86" s="1680"/>
      <c r="M86" s="1680"/>
      <c r="N86" s="1680"/>
      <c r="O86" s="1681"/>
    </row>
    <row r="87" spans="2:15" ht="14" thickBot="1">
      <c r="B87" s="2244"/>
      <c r="C87" s="2245"/>
      <c r="D87" s="2246"/>
      <c r="E87" s="2247"/>
      <c r="F87" s="2246"/>
      <c r="G87" s="2247"/>
      <c r="H87" s="2246"/>
      <c r="I87" s="2247"/>
      <c r="J87" s="2248"/>
      <c r="K87" s="2249"/>
      <c r="L87" s="1682"/>
      <c r="M87" s="1682"/>
      <c r="N87" s="1682"/>
      <c r="O87" s="1683"/>
    </row>
  </sheetData>
  <sortState ref="Q3:Q12">
    <sortCondition ref="Q3"/>
  </sortState>
  <mergeCells count="10">
    <mergeCell ref="A1:A2"/>
    <mergeCell ref="F1:F2"/>
    <mergeCell ref="G1:G2"/>
    <mergeCell ref="J1:K1"/>
    <mergeCell ref="B1:B2"/>
    <mergeCell ref="C1:C2"/>
    <mergeCell ref="D1:D2"/>
    <mergeCell ref="E1:E2"/>
    <mergeCell ref="H1:H2"/>
    <mergeCell ref="I1:I2"/>
  </mergeCells>
  <pageMargins left="0.7" right="0.7" top="0.75" bottom="0.75" header="0.3" footer="0.3"/>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U127"/>
  <sheetViews>
    <sheetView workbookViewId="0">
      <selection activeCell="C16" sqref="C16"/>
    </sheetView>
  </sheetViews>
  <sheetFormatPr baseColWidth="10" defaultColWidth="8.7109375" defaultRowHeight="13" x14ac:dyDescent="0"/>
  <cols>
    <col min="1" max="11" width="9" style="385" customWidth="1"/>
    <col min="12" max="21" width="8.7109375" style="386"/>
    <col min="22" max="16384" width="8.7109375" style="385"/>
  </cols>
  <sheetData>
    <row r="1" spans="1:21" ht="12.75" customHeight="1">
      <c r="A1" s="383" t="s">
        <v>1196</v>
      </c>
      <c r="B1" s="384"/>
      <c r="C1" s="2874">
        <f>Date</f>
        <v>0</v>
      </c>
      <c r="D1" s="2874"/>
      <c r="E1" s="384" t="s">
        <v>1343</v>
      </c>
      <c r="F1" s="2865">
        <f>Client</f>
        <v>0</v>
      </c>
      <c r="G1" s="2865"/>
      <c r="H1" s="2865"/>
      <c r="I1" s="2866"/>
    </row>
    <row r="2" spans="1:21">
      <c r="A2" s="387" t="s">
        <v>1438</v>
      </c>
      <c r="B2" s="388"/>
      <c r="C2" s="2873">
        <f>Job</f>
        <v>0</v>
      </c>
      <c r="D2" s="2873"/>
      <c r="E2" s="388" t="s">
        <v>1204</v>
      </c>
      <c r="F2" s="2867">
        <f>StackID</f>
        <v>0</v>
      </c>
      <c r="G2" s="2867"/>
      <c r="H2" s="2867"/>
      <c r="I2" s="2868"/>
    </row>
    <row r="3" spans="1:21">
      <c r="A3" s="387" t="s">
        <v>1323</v>
      </c>
      <c r="B3" s="388"/>
      <c r="C3" s="2873">
        <f>Operators</f>
        <v>0</v>
      </c>
      <c r="D3" s="2873"/>
      <c r="E3" s="388" t="s">
        <v>1442</v>
      </c>
      <c r="F3" s="2873">
        <f>Location</f>
        <v>0</v>
      </c>
      <c r="G3" s="2873"/>
      <c r="H3" s="389" t="s">
        <v>1443</v>
      </c>
      <c r="I3" s="390" t="str">
        <f>State</f>
        <v>VIC</v>
      </c>
    </row>
    <row r="4" spans="1:21" ht="14" thickBot="1">
      <c r="A4" s="391"/>
      <c r="B4" s="392"/>
      <c r="C4" s="393"/>
      <c r="D4" s="393"/>
      <c r="E4" s="393"/>
      <c r="F4" s="394"/>
      <c r="G4" s="395"/>
      <c r="H4" s="395"/>
      <c r="I4" s="396"/>
    </row>
    <row r="6" spans="1:21" ht="14" thickBot="1">
      <c r="A6" s="397" t="s">
        <v>119</v>
      </c>
      <c r="E6" s="397" t="s">
        <v>1344</v>
      </c>
      <c r="G6" s="386"/>
      <c r="H6" s="386"/>
      <c r="I6" s="386"/>
      <c r="J6" s="386"/>
      <c r="K6" s="386"/>
      <c r="L6" s="2796" t="s">
        <v>112</v>
      </c>
      <c r="M6" s="2796"/>
      <c r="N6" s="2796" t="s">
        <v>113</v>
      </c>
      <c r="O6" s="2796"/>
      <c r="P6" s="2796" t="s">
        <v>114</v>
      </c>
      <c r="Q6" s="2796"/>
      <c r="R6" s="2796" t="s">
        <v>115</v>
      </c>
      <c r="S6" s="2796"/>
      <c r="T6" s="2796" t="s">
        <v>116</v>
      </c>
      <c r="U6" s="2796"/>
    </row>
    <row r="7" spans="1:21">
      <c r="A7" s="412"/>
      <c r="B7" s="406"/>
      <c r="C7" s="417"/>
      <c r="E7" s="383"/>
      <c r="F7" s="406"/>
      <c r="G7" s="406" t="s">
        <v>8</v>
      </c>
      <c r="H7" s="406" t="s">
        <v>9</v>
      </c>
      <c r="I7" s="417" t="s">
        <v>1242</v>
      </c>
      <c r="L7" s="386" t="s">
        <v>8</v>
      </c>
      <c r="M7" s="386" t="s">
        <v>9</v>
      </c>
      <c r="N7" s="386" t="s">
        <v>8</v>
      </c>
      <c r="O7" s="386" t="s">
        <v>9</v>
      </c>
      <c r="P7" s="386" t="s">
        <v>8</v>
      </c>
      <c r="Q7" s="386" t="s">
        <v>9</v>
      </c>
      <c r="R7" s="386" t="s">
        <v>8</v>
      </c>
      <c r="S7" s="386" t="s">
        <v>9</v>
      </c>
      <c r="T7" s="386" t="s">
        <v>8</v>
      </c>
      <c r="U7" s="386" t="s">
        <v>9</v>
      </c>
    </row>
    <row r="8" spans="1:21">
      <c r="A8" s="400" t="s">
        <v>110</v>
      </c>
      <c r="B8" s="388"/>
      <c r="C8" s="820">
        <v>2E-3</v>
      </c>
      <c r="D8" s="385" t="s">
        <v>1201</v>
      </c>
      <c r="E8" s="387" t="s">
        <v>1345</v>
      </c>
      <c r="F8" s="388"/>
      <c r="G8" s="426" t="e">
        <f>AVERAGE(L:L)</f>
        <v>#DIV/0!</v>
      </c>
      <c r="H8" s="426" t="e">
        <f>AVERAGE(M:M)</f>
        <v>#DIV/0!</v>
      </c>
      <c r="I8" s="427" t="e">
        <f>AVERAGE(G8:H8)</f>
        <v>#DIV/0!</v>
      </c>
      <c r="J8" s="385" t="s">
        <v>1265</v>
      </c>
      <c r="K8" s="385">
        <v>1</v>
      </c>
    </row>
    <row r="9" spans="1:21">
      <c r="A9" s="400" t="s">
        <v>118</v>
      </c>
      <c r="B9" s="388"/>
      <c r="C9" s="820" t="str">
        <f>IF(NozzleSelect1="","",NozzleSelect1)</f>
        <v/>
      </c>
      <c r="D9" s="385" t="s">
        <v>117</v>
      </c>
      <c r="E9" s="387" t="s">
        <v>1388</v>
      </c>
      <c r="F9" s="388"/>
      <c r="G9" s="426" t="e">
        <f>AVERAGE(N:N)</f>
        <v>#DIV/0!</v>
      </c>
      <c r="H9" s="426" t="e">
        <f>AVERAGE(O:O)</f>
        <v>#DIV/0!</v>
      </c>
      <c r="I9" s="427" t="e">
        <f t="shared" ref="I9:I14" si="0">AVERAGE(G9:H9)</f>
        <v>#DIV/0!</v>
      </c>
      <c r="J9" s="385" t="s">
        <v>1197</v>
      </c>
      <c r="K9" s="385">
        <v>2</v>
      </c>
    </row>
    <row r="10" spans="1:21">
      <c r="A10" s="400" t="s">
        <v>108</v>
      </c>
      <c r="B10" s="388"/>
      <c r="C10" s="815" t="str">
        <f>IF(C9="","",Areax(C9,))</f>
        <v/>
      </c>
      <c r="D10" s="385" t="s">
        <v>136</v>
      </c>
      <c r="E10" s="387" t="s">
        <v>1389</v>
      </c>
      <c r="F10" s="388"/>
      <c r="G10" s="426" t="e">
        <f>AVERAGE(P:P)</f>
        <v>#DIV/0!</v>
      </c>
      <c r="H10" s="426" t="e">
        <f>AVERAGE(Q:Q)</f>
        <v>#DIV/0!</v>
      </c>
      <c r="I10" s="427" t="e">
        <f t="shared" si="0"/>
        <v>#DIV/0!</v>
      </c>
      <c r="J10" s="385" t="s">
        <v>1197</v>
      </c>
      <c r="K10" s="385">
        <v>3</v>
      </c>
    </row>
    <row r="11" spans="1:21">
      <c r="A11" s="400" t="s">
        <v>137</v>
      </c>
      <c r="B11" s="388"/>
      <c r="C11" s="820" t="str">
        <f>IF(StackDimA="","",StackDimA)</f>
        <v/>
      </c>
      <c r="D11" s="385" t="s">
        <v>117</v>
      </c>
      <c r="E11" s="387" t="s">
        <v>1390</v>
      </c>
      <c r="F11" s="388"/>
      <c r="G11" s="426" t="e">
        <f>AVERAGE(R:R)</f>
        <v>#DIV/0!</v>
      </c>
      <c r="H11" s="426" t="e">
        <f>AVERAGE(S:S)</f>
        <v>#DIV/0!</v>
      </c>
      <c r="I11" s="427" t="e">
        <f t="shared" si="0"/>
        <v>#DIV/0!</v>
      </c>
      <c r="J11" s="385" t="s">
        <v>1197</v>
      </c>
      <c r="K11" s="385">
        <v>4</v>
      </c>
    </row>
    <row r="12" spans="1:21">
      <c r="A12" s="400" t="s">
        <v>138</v>
      </c>
      <c r="B12" s="388"/>
      <c r="C12" s="820" t="str">
        <f>IF(StackDimB="","",StackDimB)</f>
        <v/>
      </c>
      <c r="D12" s="385" t="s">
        <v>117</v>
      </c>
      <c r="E12" s="387" t="s">
        <v>1391</v>
      </c>
      <c r="F12" s="388"/>
      <c r="G12" s="426" t="e">
        <f>AVERAGE(T:T)</f>
        <v>#DIV/0!</v>
      </c>
      <c r="H12" s="426" t="e">
        <f>AVERAGE(U:U)</f>
        <v>#DIV/0!</v>
      </c>
      <c r="I12" s="427" t="e">
        <f t="shared" si="0"/>
        <v>#DIV/0!</v>
      </c>
      <c r="J12" s="385" t="s">
        <v>1197</v>
      </c>
      <c r="K12" s="385">
        <v>5</v>
      </c>
    </row>
    <row r="13" spans="1:21">
      <c r="A13" s="400" t="s">
        <v>109</v>
      </c>
      <c r="B13" s="388"/>
      <c r="C13" s="815" t="str">
        <f>IF(C11="","",Areax(C11,C12))</f>
        <v/>
      </c>
      <c r="D13" s="385" t="s">
        <v>136</v>
      </c>
      <c r="E13" s="387" t="s">
        <v>100</v>
      </c>
      <c r="F13" s="388"/>
      <c r="G13" s="818" t="e">
        <f>B40</f>
        <v>#DIV/0!</v>
      </c>
      <c r="H13" s="818" t="e">
        <f>C40</f>
        <v>#DIV/0!</v>
      </c>
      <c r="I13" s="819" t="e">
        <f t="shared" si="0"/>
        <v>#DIV/0!</v>
      </c>
      <c r="J13" s="385" t="s">
        <v>1353</v>
      </c>
      <c r="K13" s="385">
        <v>6</v>
      </c>
    </row>
    <row r="14" spans="1:21">
      <c r="A14" s="400"/>
      <c r="B14" s="388"/>
      <c r="C14" s="813"/>
      <c r="E14" s="387" t="s">
        <v>1346</v>
      </c>
      <c r="F14" s="388"/>
      <c r="G14" s="398"/>
      <c r="H14" s="398"/>
      <c r="I14" s="423" t="e">
        <f t="shared" si="0"/>
        <v>#DIV/0!</v>
      </c>
      <c r="J14" s="385" t="s">
        <v>1218</v>
      </c>
      <c r="K14" s="385">
        <v>7</v>
      </c>
    </row>
    <row r="15" spans="1:21">
      <c r="A15" s="400" t="s">
        <v>1351</v>
      </c>
      <c r="B15" s="388"/>
      <c r="C15" s="816">
        <f>DensityH2O(C16)</f>
        <v>0.99986755847930908</v>
      </c>
      <c r="D15" s="385" t="s">
        <v>1352</v>
      </c>
      <c r="E15" s="387" t="s">
        <v>128</v>
      </c>
      <c r="F15" s="388"/>
      <c r="G15" s="398"/>
      <c r="H15" s="398"/>
      <c r="I15" s="423"/>
      <c r="K15" s="385">
        <v>8</v>
      </c>
    </row>
    <row r="16" spans="1:21">
      <c r="A16" s="400" t="s">
        <v>905</v>
      </c>
      <c r="B16" s="388"/>
      <c r="C16" s="814"/>
      <c r="D16" s="385" t="s">
        <v>1197</v>
      </c>
      <c r="E16" s="387" t="s">
        <v>1347</v>
      </c>
      <c r="F16" s="388"/>
      <c r="G16" s="398"/>
      <c r="H16" s="398"/>
      <c r="I16" s="423" t="e">
        <f t="shared" ref="I16:I21" si="1">AVERAGE(G16:H16)</f>
        <v>#DIV/0!</v>
      </c>
      <c r="J16" s="385" t="s">
        <v>102</v>
      </c>
      <c r="K16" s="385">
        <v>9</v>
      </c>
    </row>
    <row r="17" spans="1:11">
      <c r="A17" s="400" t="s">
        <v>111</v>
      </c>
      <c r="B17" s="388"/>
      <c r="C17" s="814"/>
      <c r="D17" s="385" t="s">
        <v>1265</v>
      </c>
      <c r="E17" s="387" t="s">
        <v>104</v>
      </c>
      <c r="F17" s="388"/>
      <c r="G17" s="428">
        <f>BaroPress1</f>
        <v>0</v>
      </c>
      <c r="H17" s="428" t="str">
        <f>BaroPress2</f>
        <v/>
      </c>
      <c r="I17" s="424">
        <f t="shared" si="1"/>
        <v>0</v>
      </c>
      <c r="J17" s="385" t="s">
        <v>21</v>
      </c>
      <c r="K17" s="385">
        <v>10</v>
      </c>
    </row>
    <row r="18" spans="1:11" ht="11.25" customHeight="1">
      <c r="A18" s="400" t="s">
        <v>887</v>
      </c>
      <c r="B18" s="388"/>
      <c r="C18" s="441"/>
      <c r="D18" s="385" t="s">
        <v>105</v>
      </c>
      <c r="E18" s="400" t="s">
        <v>892</v>
      </c>
      <c r="F18" s="388"/>
      <c r="G18" s="418" t="e">
        <f>AverageStackTemp1</f>
        <v>#DIV/0!</v>
      </c>
      <c r="H18" s="418" t="e">
        <f>AverageStackTemp2</f>
        <v>#DIV/0!</v>
      </c>
      <c r="I18" s="429" t="e">
        <f t="shared" si="1"/>
        <v>#DIV/0!</v>
      </c>
      <c r="J18" s="385" t="s">
        <v>1197</v>
      </c>
      <c r="K18" s="385">
        <v>11</v>
      </c>
    </row>
    <row r="19" spans="1:11" ht="11.25" customHeight="1">
      <c r="A19" s="400" t="s">
        <v>886</v>
      </c>
      <c r="B19" s="388"/>
      <c r="C19" s="440"/>
      <c r="D19" s="385" t="s">
        <v>1353</v>
      </c>
      <c r="E19" s="399" t="s">
        <v>1349</v>
      </c>
      <c r="F19" s="388"/>
      <c r="G19" s="418" t="e">
        <f>AverageFlowDis1</f>
        <v>#DIV/0!</v>
      </c>
      <c r="H19" s="418" t="e">
        <f>AverageFlowDis2</f>
        <v>#DIV/0!</v>
      </c>
      <c r="I19" s="429" t="e">
        <f t="shared" si="1"/>
        <v>#DIV/0!</v>
      </c>
      <c r="J19" s="385" t="s">
        <v>1373</v>
      </c>
      <c r="K19" s="385">
        <v>12</v>
      </c>
    </row>
    <row r="20" spans="1:11">
      <c r="A20" s="400" t="s">
        <v>98</v>
      </c>
      <c r="B20" s="388"/>
      <c r="C20" s="441"/>
      <c r="D20" s="385" t="s">
        <v>1203</v>
      </c>
      <c r="E20" s="400" t="s">
        <v>1301</v>
      </c>
      <c r="F20" s="388"/>
      <c r="G20" s="418" t="e">
        <f>AverageFlowWet1</f>
        <v>#DIV/0!</v>
      </c>
      <c r="H20" s="418" t="e">
        <f>AverageFlowWet2</f>
        <v>#DIV/0!</v>
      </c>
      <c r="I20" s="429" t="e">
        <f t="shared" si="1"/>
        <v>#DIV/0!</v>
      </c>
      <c r="J20" s="385" t="s">
        <v>1373</v>
      </c>
      <c r="K20" s="385">
        <v>13</v>
      </c>
    </row>
    <row r="21" spans="1:11" ht="14" thickBot="1">
      <c r="A21" s="400"/>
      <c r="B21" s="388"/>
      <c r="C21" s="442"/>
      <c r="E21" s="401" t="s">
        <v>1276</v>
      </c>
      <c r="F21" s="392"/>
      <c r="G21" s="419" t="e">
        <f>AverageFlowDry1</f>
        <v>#DIV/0!</v>
      </c>
      <c r="H21" s="419" t="e">
        <f>AverageFlowDry2</f>
        <v>#DIV/0!</v>
      </c>
      <c r="I21" s="430" t="e">
        <f t="shared" si="1"/>
        <v>#DIV/0!</v>
      </c>
      <c r="J21" s="385" t="s">
        <v>1373</v>
      </c>
      <c r="K21" s="385">
        <v>14</v>
      </c>
    </row>
    <row r="22" spans="1:11">
      <c r="A22" s="400" t="s">
        <v>139</v>
      </c>
      <c r="B22" s="388"/>
      <c r="C22" s="415"/>
      <c r="D22" s="385" t="s">
        <v>1266</v>
      </c>
      <c r="K22" s="385">
        <v>15</v>
      </c>
    </row>
    <row r="23" spans="1:11" ht="14" thickBot="1">
      <c r="A23" s="399" t="s">
        <v>888</v>
      </c>
      <c r="B23" s="388"/>
      <c r="C23" s="816" t="e">
        <f>(C13/C10)*(C18*C19/1000)/(C8/100*C17*C15*C20)</f>
        <v>#VALUE!</v>
      </c>
      <c r="D23" s="385" t="s">
        <v>1353</v>
      </c>
      <c r="E23" s="397" t="s">
        <v>1421</v>
      </c>
      <c r="G23" s="386"/>
      <c r="H23" s="386"/>
      <c r="I23" s="386"/>
      <c r="K23" s="385">
        <v>16</v>
      </c>
    </row>
    <row r="24" spans="1:11">
      <c r="A24" s="399" t="s">
        <v>1418</v>
      </c>
      <c r="B24" s="388"/>
      <c r="C24" s="820">
        <v>6.9409999999999998</v>
      </c>
      <c r="D24" s="385" t="s">
        <v>1419</v>
      </c>
      <c r="E24" s="383"/>
      <c r="F24" s="406"/>
      <c r="G24" s="406" t="s">
        <v>8</v>
      </c>
      <c r="H24" s="406" t="s">
        <v>9</v>
      </c>
      <c r="I24" s="417" t="s">
        <v>1242</v>
      </c>
      <c r="K24" s="385">
        <v>17</v>
      </c>
    </row>
    <row r="25" spans="1:11">
      <c r="A25" s="399" t="s">
        <v>1420</v>
      </c>
      <c r="B25" s="388"/>
      <c r="C25" s="820">
        <v>42.39</v>
      </c>
      <c r="D25" s="385" t="s">
        <v>1419</v>
      </c>
      <c r="E25" s="387" t="s">
        <v>108</v>
      </c>
      <c r="F25" s="388"/>
      <c r="G25" s="420" t="e">
        <f>('Flows &amp; Isokinetics'!$K14/2/1000)^2*PI()</f>
        <v>#VALUE!</v>
      </c>
      <c r="H25" s="420" t="e">
        <f>('Flows &amp; Isokinetics'!$K80/2/1000)^2*PI()</f>
        <v>#VALUE!</v>
      </c>
      <c r="I25" s="421" t="e">
        <f t="shared" ref="I25:I30" si="2">AVERAGE(G25:H25)</f>
        <v>#VALUE!</v>
      </c>
      <c r="J25" s="385" t="s">
        <v>106</v>
      </c>
      <c r="K25" s="385">
        <v>18</v>
      </c>
    </row>
    <row r="26" spans="1:11">
      <c r="A26" s="399" t="s">
        <v>1417</v>
      </c>
      <c r="B26" s="388"/>
      <c r="C26" s="820">
        <v>99</v>
      </c>
      <c r="D26" s="385" t="s">
        <v>1201</v>
      </c>
      <c r="E26" s="387" t="s">
        <v>109</v>
      </c>
      <c r="F26" s="388"/>
      <c r="G26" s="431" t="str">
        <f>AreaSP</f>
        <v/>
      </c>
      <c r="H26" s="431" t="str">
        <f>AreaSP</f>
        <v/>
      </c>
      <c r="I26" s="437" t="e">
        <f t="shared" si="2"/>
        <v>#DIV/0!</v>
      </c>
      <c r="J26" s="385" t="s">
        <v>106</v>
      </c>
      <c r="K26" s="385">
        <v>19</v>
      </c>
    </row>
    <row r="27" spans="1:11">
      <c r="A27" s="400" t="s">
        <v>889</v>
      </c>
      <c r="B27" s="388"/>
      <c r="C27" s="443" t="e">
        <f>C22*C25/C24*100/C26*C23/1000000</f>
        <v>#VALUE!</v>
      </c>
      <c r="D27" s="385" t="s">
        <v>1416</v>
      </c>
      <c r="E27" s="387" t="s">
        <v>1351</v>
      </c>
      <c r="F27" s="388"/>
      <c r="G27" s="407">
        <f>DensityH2O(G11)</f>
        <v>1</v>
      </c>
      <c r="H27" s="407">
        <f>DensityH2O(H11)</f>
        <v>1</v>
      </c>
      <c r="I27" s="437">
        <f>AVERAGE(G27:H27)</f>
        <v>1</v>
      </c>
      <c r="J27" s="385" t="s">
        <v>1352</v>
      </c>
      <c r="K27" s="385">
        <v>20</v>
      </c>
    </row>
    <row r="28" spans="1:11">
      <c r="A28" s="400" t="s">
        <v>890</v>
      </c>
      <c r="B28" s="388"/>
      <c r="C28" s="422"/>
      <c r="D28" s="385" t="s">
        <v>1416</v>
      </c>
      <c r="E28" s="387" t="s">
        <v>101</v>
      </c>
      <c r="F28" s="388"/>
      <c r="G28" s="432" t="e">
        <f>G8</f>
        <v>#DIV/0!</v>
      </c>
      <c r="H28" s="432" t="e">
        <f>H8</f>
        <v>#DIV/0!</v>
      </c>
      <c r="I28" s="438" t="e">
        <f>AVERAGE(G28:H28)</f>
        <v>#DIV/0!</v>
      </c>
      <c r="J28" s="385" t="s">
        <v>1265</v>
      </c>
      <c r="K28" s="385">
        <v>21</v>
      </c>
    </row>
    <row r="29" spans="1:11">
      <c r="A29" s="387" t="s">
        <v>891</v>
      </c>
      <c r="B29" s="388"/>
      <c r="C29" s="816">
        <f>B34</f>
        <v>0</v>
      </c>
      <c r="D29" s="385" t="s">
        <v>1353</v>
      </c>
      <c r="E29" s="387" t="s">
        <v>1392</v>
      </c>
      <c r="F29" s="388"/>
      <c r="G29" s="428" t="e">
        <f>B40</f>
        <v>#DIV/0!</v>
      </c>
      <c r="H29" s="428" t="e">
        <f>C40</f>
        <v>#DIV/0!</v>
      </c>
      <c r="I29" s="439" t="e">
        <f t="shared" si="2"/>
        <v>#DIV/0!</v>
      </c>
      <c r="J29" s="385" t="s">
        <v>1353</v>
      </c>
      <c r="K29" s="385">
        <v>22</v>
      </c>
    </row>
    <row r="30" spans="1:11" ht="14" thickBot="1">
      <c r="A30" s="401" t="s">
        <v>908</v>
      </c>
      <c r="B30" s="392"/>
      <c r="C30" s="444" t="e">
        <f>(C28*1000000*C26/100*C24/C25)/C29</f>
        <v>#DIV/0!</v>
      </c>
      <c r="D30" s="385" t="s">
        <v>1266</v>
      </c>
      <c r="E30" s="387" t="s">
        <v>98</v>
      </c>
      <c r="F30" s="388"/>
      <c r="G30" s="420">
        <f>TotalTime1</f>
        <v>0</v>
      </c>
      <c r="H30" s="420">
        <f>TotalTime2</f>
        <v>0</v>
      </c>
      <c r="I30" s="421">
        <f t="shared" si="2"/>
        <v>0</v>
      </c>
      <c r="J30" s="385" t="s">
        <v>1203</v>
      </c>
      <c r="K30" s="385">
        <v>23</v>
      </c>
    </row>
    <row r="31" spans="1:11">
      <c r="E31" s="387"/>
      <c r="F31" s="388"/>
      <c r="G31" s="433"/>
      <c r="H31" s="433"/>
      <c r="I31" s="434"/>
      <c r="K31" s="385">
        <v>24</v>
      </c>
    </row>
    <row r="32" spans="1:11" ht="14" thickBot="1">
      <c r="A32" s="409" t="s">
        <v>99</v>
      </c>
      <c r="C32" s="410"/>
      <c r="E32" s="387"/>
      <c r="F32" s="449" t="s">
        <v>1333</v>
      </c>
      <c r="G32" s="447"/>
      <c r="H32" s="447"/>
      <c r="I32" s="445" t="str">
        <f>IF(OR(ISTEXT(G32),ISTEXT(H32)),"&lt;","")</f>
        <v/>
      </c>
      <c r="K32" s="385">
        <v>25</v>
      </c>
    </row>
    <row r="33" spans="1:17">
      <c r="A33" s="412"/>
      <c r="B33" s="406" t="s">
        <v>8</v>
      </c>
      <c r="C33" s="411" t="s">
        <v>9</v>
      </c>
      <c r="E33" s="387" t="s">
        <v>1393</v>
      </c>
      <c r="F33" s="449" t="s">
        <v>1281</v>
      </c>
      <c r="G33" s="446"/>
      <c r="H33" s="446"/>
      <c r="I33" s="438" t="e">
        <f>AVERAGE(G33:H33)</f>
        <v>#DIV/0!</v>
      </c>
      <c r="J33" s="385" t="s">
        <v>105</v>
      </c>
      <c r="K33" s="385">
        <v>26</v>
      </c>
    </row>
    <row r="34" spans="1:17">
      <c r="A34" s="414" t="s">
        <v>39</v>
      </c>
      <c r="B34" s="446"/>
      <c r="C34" s="450"/>
      <c r="D34" s="385" t="s">
        <v>1353</v>
      </c>
      <c r="E34" s="387"/>
      <c r="F34" s="449" t="s">
        <v>1463</v>
      </c>
      <c r="G34" s="448"/>
      <c r="H34" s="448"/>
      <c r="I34" s="437" t="e">
        <f>AVERAGE(G34:H34)</f>
        <v>#DIV/0!</v>
      </c>
      <c r="J34" s="385" t="s">
        <v>1353</v>
      </c>
      <c r="K34" s="385">
        <v>27</v>
      </c>
      <c r="Q34" s="385"/>
    </row>
    <row r="35" spans="1:17">
      <c r="A35" s="414" t="s">
        <v>107</v>
      </c>
      <c r="B35" s="446"/>
      <c r="C35" s="450"/>
      <c r="D35" s="385" t="s">
        <v>1353</v>
      </c>
      <c r="E35" s="387"/>
      <c r="F35" s="388"/>
      <c r="G35" s="435"/>
      <c r="H35" s="435"/>
      <c r="I35" s="436"/>
      <c r="K35" s="385">
        <v>28</v>
      </c>
    </row>
    <row r="36" spans="1:17">
      <c r="A36" s="414" t="s">
        <v>40</v>
      </c>
      <c r="B36" s="446"/>
      <c r="C36" s="450"/>
      <c r="D36" s="385" t="s">
        <v>1353</v>
      </c>
      <c r="E36" s="387" t="s">
        <v>1394</v>
      </c>
      <c r="F36" s="449" t="s">
        <v>1281</v>
      </c>
      <c r="G36" s="446"/>
      <c r="H36" s="446"/>
      <c r="I36" s="438" t="e">
        <f>AVERAGE(G36:H36)</f>
        <v>#DIV/0!</v>
      </c>
      <c r="J36" s="385" t="s">
        <v>105</v>
      </c>
      <c r="K36" s="385">
        <v>29</v>
      </c>
    </row>
    <row r="37" spans="1:17">
      <c r="A37" s="414"/>
      <c r="B37" s="446"/>
      <c r="C37" s="450"/>
      <c r="D37" s="385" t="s">
        <v>1353</v>
      </c>
      <c r="E37" s="387"/>
      <c r="F37" s="449" t="s">
        <v>1463</v>
      </c>
      <c r="G37" s="448"/>
      <c r="H37" s="448"/>
      <c r="I37" s="437" t="e">
        <f>AVERAGE(G37:H37)</f>
        <v>#DIV/0!</v>
      </c>
      <c r="J37" s="385" t="s">
        <v>1353</v>
      </c>
      <c r="K37" s="385">
        <v>30</v>
      </c>
    </row>
    <row r="38" spans="1:17">
      <c r="A38" s="414"/>
      <c r="B38" s="446"/>
      <c r="C38" s="450"/>
      <c r="D38" s="385" t="s">
        <v>1353</v>
      </c>
      <c r="E38" s="387"/>
      <c r="F38" s="388"/>
      <c r="G38" s="435"/>
      <c r="H38" s="435"/>
      <c r="I38" s="436"/>
      <c r="K38" s="385">
        <v>31</v>
      </c>
    </row>
    <row r="39" spans="1:17">
      <c r="A39" s="414"/>
      <c r="B39" s="446"/>
      <c r="C39" s="450"/>
      <c r="D39" s="385" t="s">
        <v>1353</v>
      </c>
      <c r="E39" s="387" t="s">
        <v>1395</v>
      </c>
      <c r="F39" s="449" t="s">
        <v>1281</v>
      </c>
      <c r="G39" s="446"/>
      <c r="H39" s="446"/>
      <c r="I39" s="438" t="e">
        <f>AVERAGE(G39:H39)</f>
        <v>#DIV/0!</v>
      </c>
      <c r="J39" s="385" t="s">
        <v>105</v>
      </c>
      <c r="K39" s="385">
        <v>32</v>
      </c>
    </row>
    <row r="40" spans="1:17" ht="14" thickBot="1">
      <c r="A40" s="416" t="s">
        <v>1242</v>
      </c>
      <c r="B40" s="817" t="e">
        <f>AVERAGE(B34:B39)</f>
        <v>#DIV/0!</v>
      </c>
      <c r="C40" s="425" t="e">
        <f>AVERAGE(C34:C39)</f>
        <v>#DIV/0!</v>
      </c>
      <c r="D40" s="385" t="s">
        <v>1353</v>
      </c>
      <c r="E40" s="387"/>
      <c r="F40" s="449" t="s">
        <v>1463</v>
      </c>
      <c r="G40" s="448"/>
      <c r="H40" s="448"/>
      <c r="I40" s="437" t="e">
        <f>AVERAGE(G40:H40)</f>
        <v>#DIV/0!</v>
      </c>
      <c r="J40" s="385" t="s">
        <v>1353</v>
      </c>
      <c r="K40" s="385">
        <v>33</v>
      </c>
    </row>
    <row r="41" spans="1:17">
      <c r="E41" s="387"/>
      <c r="F41" s="388"/>
      <c r="G41" s="408"/>
      <c r="H41" s="408"/>
      <c r="I41" s="413"/>
      <c r="K41" s="385">
        <v>34</v>
      </c>
    </row>
    <row r="42" spans="1:17">
      <c r="E42" s="387"/>
      <c r="F42" s="388"/>
      <c r="G42" s="402"/>
      <c r="H42" s="402"/>
      <c r="I42" s="403"/>
      <c r="K42" s="385">
        <v>35</v>
      </c>
    </row>
    <row r="43" spans="1:17">
      <c r="E43" s="387" t="s">
        <v>1354</v>
      </c>
      <c r="F43" s="388"/>
      <c r="G43" s="453">
        <f>(G33*G34+G36*G37+G39*G40)/1000</f>
        <v>0</v>
      </c>
      <c r="H43" s="453">
        <f>(H33*H34+H36*H37+H39*H40)/1000</f>
        <v>0</v>
      </c>
      <c r="I43" s="454">
        <f>AVERAGE(G43:H43)</f>
        <v>0</v>
      </c>
      <c r="J43" s="385" t="s">
        <v>1355</v>
      </c>
      <c r="K43" s="385">
        <v>36</v>
      </c>
    </row>
    <row r="44" spans="1:17" ht="14" thickBot="1">
      <c r="E44" s="391" t="s">
        <v>1356</v>
      </c>
      <c r="F44" s="392"/>
      <c r="G44" s="451" t="e">
        <f>100*(G26/G25)*(G43/(G27*G28*G29*G30))</f>
        <v>#VALUE!</v>
      </c>
      <c r="H44" s="451" t="e">
        <f>100*(H26/H25)*(H43/(H27*H28*H29*H30))</f>
        <v>#VALUE!</v>
      </c>
      <c r="I44" s="452" t="e">
        <f>AVERAGE(G44:H44)</f>
        <v>#VALUE!</v>
      </c>
      <c r="J44" s="385" t="s">
        <v>1201</v>
      </c>
      <c r="K44" s="385">
        <v>37</v>
      </c>
    </row>
    <row r="45" spans="1:17">
      <c r="K45" s="385">
        <v>38</v>
      </c>
    </row>
    <row r="46" spans="1:17">
      <c r="K46" s="385">
        <v>39</v>
      </c>
    </row>
    <row r="47" spans="1:17">
      <c r="K47" s="385">
        <v>40</v>
      </c>
    </row>
    <row r="48" spans="1:17">
      <c r="B48" s="404" t="s">
        <v>1198</v>
      </c>
      <c r="C48" s="405"/>
      <c r="H48" s="404" t="s">
        <v>1199</v>
      </c>
      <c r="I48" s="405"/>
      <c r="K48" s="385">
        <v>41</v>
      </c>
    </row>
    <row r="49" spans="2:11">
      <c r="B49" s="2869" t="str">
        <f>IF(ISBLANK(DataEntry),"",DataEntry)</f>
        <v/>
      </c>
      <c r="C49" s="2870"/>
      <c r="H49" s="2869"/>
      <c r="I49" s="2870"/>
      <c r="K49" s="385">
        <v>42</v>
      </c>
    </row>
    <row r="50" spans="2:11">
      <c r="B50" s="2871"/>
      <c r="C50" s="2872"/>
      <c r="H50" s="2871"/>
      <c r="I50" s="2872"/>
      <c r="K50" s="385">
        <v>43</v>
      </c>
    </row>
    <row r="51" spans="2:11">
      <c r="K51" s="385">
        <v>44</v>
      </c>
    </row>
    <row r="52" spans="2:11">
      <c r="K52" s="385">
        <v>45</v>
      </c>
    </row>
    <row r="53" spans="2:11">
      <c r="K53" s="385">
        <v>46</v>
      </c>
    </row>
    <row r="54" spans="2:11">
      <c r="K54" s="385">
        <v>47</v>
      </c>
    </row>
    <row r="55" spans="2:11">
      <c r="K55" s="385">
        <v>48</v>
      </c>
    </row>
    <row r="56" spans="2:11">
      <c r="K56" s="385">
        <v>49</v>
      </c>
    </row>
    <row r="57" spans="2:11">
      <c r="K57" s="385">
        <v>50</v>
      </c>
    </row>
    <row r="58" spans="2:11">
      <c r="K58" s="385">
        <v>51</v>
      </c>
    </row>
    <row r="59" spans="2:11">
      <c r="K59" s="385">
        <v>52</v>
      </c>
    </row>
    <row r="60" spans="2:11">
      <c r="K60" s="385">
        <v>53</v>
      </c>
    </row>
    <row r="61" spans="2:11">
      <c r="K61" s="385">
        <v>54</v>
      </c>
    </row>
    <row r="62" spans="2:11">
      <c r="K62" s="385">
        <v>55</v>
      </c>
    </row>
    <row r="63" spans="2:11">
      <c r="K63" s="385">
        <v>56</v>
      </c>
    </row>
    <row r="64" spans="2:11">
      <c r="K64" s="385">
        <v>57</v>
      </c>
    </row>
    <row r="65" spans="11:11">
      <c r="K65" s="385">
        <v>58</v>
      </c>
    </row>
    <row r="66" spans="11:11">
      <c r="K66" s="385">
        <v>59</v>
      </c>
    </row>
    <row r="67" spans="11:11">
      <c r="K67" s="385">
        <v>60</v>
      </c>
    </row>
    <row r="68" spans="11:11">
      <c r="K68" s="385">
        <v>61</v>
      </c>
    </row>
    <row r="69" spans="11:11">
      <c r="K69" s="385">
        <v>62</v>
      </c>
    </row>
    <row r="70" spans="11:11">
      <c r="K70" s="385">
        <v>63</v>
      </c>
    </row>
    <row r="71" spans="11:11">
      <c r="K71" s="385">
        <v>64</v>
      </c>
    </row>
    <row r="72" spans="11:11">
      <c r="K72" s="385">
        <v>65</v>
      </c>
    </row>
    <row r="73" spans="11:11">
      <c r="K73" s="385">
        <v>66</v>
      </c>
    </row>
    <row r="74" spans="11:11">
      <c r="K74" s="385">
        <v>67</v>
      </c>
    </row>
    <row r="75" spans="11:11">
      <c r="K75" s="385">
        <v>68</v>
      </c>
    </row>
    <row r="76" spans="11:11">
      <c r="K76" s="385">
        <v>69</v>
      </c>
    </row>
    <row r="77" spans="11:11">
      <c r="K77" s="385">
        <v>70</v>
      </c>
    </row>
    <row r="78" spans="11:11">
      <c r="K78" s="385">
        <v>71</v>
      </c>
    </row>
    <row r="79" spans="11:11">
      <c r="K79" s="385">
        <v>72</v>
      </c>
    </row>
    <row r="80" spans="11:11">
      <c r="K80" s="385">
        <v>73</v>
      </c>
    </row>
    <row r="81" spans="11:11">
      <c r="K81" s="385">
        <v>74</v>
      </c>
    </row>
    <row r="82" spans="11:11">
      <c r="K82" s="385">
        <v>75</v>
      </c>
    </row>
    <row r="83" spans="11:11">
      <c r="K83" s="385">
        <v>76</v>
      </c>
    </row>
    <row r="84" spans="11:11">
      <c r="K84" s="385">
        <v>77</v>
      </c>
    </row>
    <row r="85" spans="11:11">
      <c r="K85" s="385">
        <v>78</v>
      </c>
    </row>
    <row r="86" spans="11:11">
      <c r="K86" s="385">
        <v>79</v>
      </c>
    </row>
    <row r="87" spans="11:11">
      <c r="K87" s="385">
        <v>80</v>
      </c>
    </row>
    <row r="88" spans="11:11">
      <c r="K88" s="385">
        <v>81</v>
      </c>
    </row>
    <row r="89" spans="11:11">
      <c r="K89" s="385">
        <v>82</v>
      </c>
    </row>
    <row r="90" spans="11:11">
      <c r="K90" s="385">
        <v>83</v>
      </c>
    </row>
    <row r="91" spans="11:11">
      <c r="K91" s="385">
        <v>84</v>
      </c>
    </row>
    <row r="92" spans="11:11">
      <c r="K92" s="385">
        <v>85</v>
      </c>
    </row>
    <row r="93" spans="11:11">
      <c r="K93" s="385">
        <v>86</v>
      </c>
    </row>
    <row r="94" spans="11:11">
      <c r="K94" s="385">
        <v>87</v>
      </c>
    </row>
    <row r="95" spans="11:11">
      <c r="K95" s="385">
        <v>88</v>
      </c>
    </row>
    <row r="96" spans="11:11">
      <c r="K96" s="385">
        <v>89</v>
      </c>
    </row>
    <row r="97" spans="11:11">
      <c r="K97" s="385">
        <v>90</v>
      </c>
    </row>
    <row r="98" spans="11:11">
      <c r="K98" s="385">
        <v>91</v>
      </c>
    </row>
    <row r="99" spans="11:11">
      <c r="K99" s="385">
        <v>92</v>
      </c>
    </row>
    <row r="100" spans="11:11">
      <c r="K100" s="385">
        <v>93</v>
      </c>
    </row>
    <row r="101" spans="11:11">
      <c r="K101" s="385">
        <v>94</v>
      </c>
    </row>
    <row r="102" spans="11:11">
      <c r="K102" s="385">
        <v>95</v>
      </c>
    </row>
    <row r="103" spans="11:11">
      <c r="K103" s="385">
        <v>96</v>
      </c>
    </row>
    <row r="104" spans="11:11">
      <c r="K104" s="385">
        <v>97</v>
      </c>
    </row>
    <row r="105" spans="11:11">
      <c r="K105" s="385">
        <v>98</v>
      </c>
    </row>
    <row r="106" spans="11:11">
      <c r="K106" s="385">
        <v>99</v>
      </c>
    </row>
    <row r="107" spans="11:11">
      <c r="K107" s="385">
        <v>100</v>
      </c>
    </row>
    <row r="108" spans="11:11">
      <c r="K108" s="385">
        <v>101</v>
      </c>
    </row>
    <row r="109" spans="11:11">
      <c r="K109" s="385">
        <v>102</v>
      </c>
    </row>
    <row r="110" spans="11:11">
      <c r="K110" s="385">
        <v>103</v>
      </c>
    </row>
    <row r="111" spans="11:11">
      <c r="K111" s="385">
        <v>104</v>
      </c>
    </row>
    <row r="112" spans="11:11">
      <c r="K112" s="385">
        <v>105</v>
      </c>
    </row>
    <row r="113" spans="11:11">
      <c r="K113" s="385">
        <v>106</v>
      </c>
    </row>
    <row r="114" spans="11:11">
      <c r="K114" s="385">
        <v>107</v>
      </c>
    </row>
    <row r="115" spans="11:11">
      <c r="K115" s="385">
        <v>108</v>
      </c>
    </row>
    <row r="116" spans="11:11">
      <c r="K116" s="385">
        <v>109</v>
      </c>
    </row>
    <row r="117" spans="11:11">
      <c r="K117" s="385">
        <v>110</v>
      </c>
    </row>
    <row r="118" spans="11:11">
      <c r="K118" s="385">
        <v>111</v>
      </c>
    </row>
    <row r="119" spans="11:11">
      <c r="K119" s="385">
        <v>112</v>
      </c>
    </row>
    <row r="120" spans="11:11">
      <c r="K120" s="385">
        <v>113</v>
      </c>
    </row>
    <row r="121" spans="11:11">
      <c r="K121" s="385">
        <v>114</v>
      </c>
    </row>
    <row r="122" spans="11:11">
      <c r="K122" s="385">
        <v>115</v>
      </c>
    </row>
    <row r="123" spans="11:11">
      <c r="K123" s="385">
        <v>116</v>
      </c>
    </row>
    <row r="124" spans="11:11">
      <c r="K124" s="385">
        <v>117</v>
      </c>
    </row>
    <row r="125" spans="11:11">
      <c r="K125" s="385">
        <v>118</v>
      </c>
    </row>
    <row r="126" spans="11:11">
      <c r="K126" s="385">
        <v>119</v>
      </c>
    </row>
    <row r="127" spans="11:11">
      <c r="K127" s="385">
        <v>120</v>
      </c>
    </row>
  </sheetData>
  <sheetProtection password="E814" sheet="1" objects="1" scenarios="1"/>
  <mergeCells count="13">
    <mergeCell ref="T6:U6"/>
    <mergeCell ref="L6:M6"/>
    <mergeCell ref="N6:O6"/>
    <mergeCell ref="P6:Q6"/>
    <mergeCell ref="R6:S6"/>
    <mergeCell ref="F1:I1"/>
    <mergeCell ref="F2:I2"/>
    <mergeCell ref="B49:C50"/>
    <mergeCell ref="C3:D3"/>
    <mergeCell ref="C1:D1"/>
    <mergeCell ref="C2:D2"/>
    <mergeCell ref="F3:G3"/>
    <mergeCell ref="H49:I50"/>
  </mergeCells>
  <phoneticPr fontId="25" type="noConversion"/>
  <printOptions horizontalCentered="1"/>
  <pageMargins left="0.55118110236220474" right="0.55118110236220474" top="0.78740157480314965" bottom="0.78740157480314965" header="0.31496062992125984" footer="0.31496062992125984"/>
  <pageSetup paperSize="9" orientation="portrait" verticalDpi="300"/>
  <headerFooter alignWithMargins="0">
    <oddHeader>&amp;C&amp;"MS Sans Serif,Bold"&amp;16&amp;A</oddHeader>
    <oddFooter>&amp;L&amp;8&amp;F&amp;R&amp;8Printed: &amp;D</oddFooter>
  </headerFooter>
  <legacyDrawing r:id="rId1"/>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tabColor rgb="FFCCFFCC"/>
  </sheetPr>
  <dimension ref="A1:AU1446"/>
  <sheetViews>
    <sheetView workbookViewId="0">
      <pane xSplit="1" ySplit="15" topLeftCell="B19" activePane="bottomRight" state="frozen"/>
      <selection pane="topRight" activeCell="B1" sqref="B1"/>
      <selection pane="bottomLeft" activeCell="A16" sqref="A16"/>
      <selection pane="bottomRight" activeCell="AU15" sqref="AU15"/>
    </sheetView>
  </sheetViews>
  <sheetFormatPr baseColWidth="10" defaultColWidth="8.7109375" defaultRowHeight="13" x14ac:dyDescent="0"/>
  <cols>
    <col min="1" max="1" width="8.7109375" style="658"/>
    <col min="2" max="44" width="8.7109375" style="156"/>
  </cols>
  <sheetData>
    <row r="1" spans="1:47">
      <c r="A1" s="657"/>
      <c r="B1" s="966" t="s">
        <v>1069</v>
      </c>
      <c r="C1" s="153"/>
      <c r="D1" s="153"/>
      <c r="E1" s="153"/>
      <c r="F1" s="153"/>
      <c r="G1" s="153"/>
      <c r="H1" s="153"/>
      <c r="I1" s="153"/>
      <c r="J1" s="153"/>
      <c r="K1" s="153"/>
      <c r="L1" s="153"/>
      <c r="M1" s="153"/>
      <c r="N1" s="153"/>
      <c r="O1" s="153"/>
      <c r="P1" s="153"/>
      <c r="Q1" s="153"/>
      <c r="R1" s="153"/>
      <c r="S1" s="153"/>
      <c r="T1" s="153"/>
      <c r="U1" s="153"/>
      <c r="V1" s="153"/>
      <c r="W1" s="153"/>
      <c r="X1" s="153"/>
      <c r="Y1" s="153"/>
      <c r="Z1" s="153"/>
      <c r="AA1" s="153"/>
      <c r="AB1" s="153"/>
      <c r="AC1" s="153"/>
      <c r="AD1" s="153"/>
      <c r="AE1" s="153"/>
      <c r="AF1" s="153"/>
      <c r="AG1" s="153"/>
      <c r="AH1" s="153"/>
      <c r="AI1" s="153"/>
      <c r="AJ1" s="153"/>
      <c r="AK1" s="153"/>
      <c r="AL1" s="153"/>
      <c r="AM1" s="153"/>
      <c r="AN1" s="153"/>
      <c r="AO1" s="153"/>
      <c r="AP1" s="153"/>
      <c r="AQ1" s="153"/>
      <c r="AR1" s="153"/>
    </row>
    <row r="2" spans="1:47">
      <c r="A2" s="739" t="s">
        <v>1407</v>
      </c>
      <c r="B2" s="334"/>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row>
    <row r="3" spans="1:47">
      <c r="A3" s="657"/>
      <c r="B3" s="334"/>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row>
    <row r="4" spans="1:47">
      <c r="A4" s="657"/>
      <c r="B4" s="334"/>
      <c r="C4" s="153"/>
      <c r="D4" s="153"/>
      <c r="E4" s="153"/>
      <c r="F4" s="153"/>
      <c r="G4" s="153"/>
      <c r="H4" s="153"/>
      <c r="I4" s="153"/>
      <c r="J4" s="153"/>
      <c r="K4" s="153"/>
      <c r="L4" s="153"/>
      <c r="M4" s="153"/>
      <c r="N4" s="153"/>
      <c r="O4" s="153"/>
      <c r="P4" s="153"/>
      <c r="Q4" s="153"/>
      <c r="R4" s="153"/>
      <c r="S4" s="153"/>
      <c r="T4" s="153"/>
      <c r="U4" s="153"/>
      <c r="V4" s="153"/>
      <c r="W4" s="153"/>
      <c r="X4" s="153"/>
      <c r="Y4" s="153"/>
      <c r="Z4" s="153"/>
      <c r="AA4" s="153"/>
      <c r="AB4" s="153"/>
      <c r="AC4" s="153"/>
      <c r="AD4" s="153"/>
      <c r="AE4" s="153"/>
      <c r="AF4" s="153"/>
      <c r="AG4" s="153"/>
      <c r="AH4" s="153"/>
      <c r="AI4" s="153"/>
      <c r="AJ4" s="153"/>
      <c r="AK4" s="153"/>
      <c r="AL4" s="153"/>
      <c r="AM4" s="153"/>
      <c r="AN4" s="153"/>
      <c r="AO4" s="153"/>
      <c r="AP4" s="153"/>
      <c r="AQ4" s="153"/>
      <c r="AR4" s="153"/>
    </row>
    <row r="5" spans="1:47">
      <c r="A5" s="657"/>
      <c r="B5" s="334"/>
      <c r="C5" s="153"/>
      <c r="D5" s="153"/>
      <c r="E5" s="153"/>
      <c r="F5" s="153"/>
      <c r="G5" s="153"/>
      <c r="H5" s="153"/>
      <c r="I5" s="153"/>
      <c r="J5" s="153"/>
      <c r="K5" s="153"/>
      <c r="L5" s="153"/>
      <c r="M5" s="153"/>
      <c r="N5" s="153"/>
      <c r="O5" s="153"/>
      <c r="P5" s="153"/>
      <c r="Q5" s="153"/>
      <c r="R5" s="153"/>
    </row>
    <row r="6" spans="1:47">
      <c r="A6" s="657"/>
      <c r="B6" s="334"/>
    </row>
    <row r="7" spans="1:47">
      <c r="A7" s="657"/>
      <c r="B7" s="334"/>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153"/>
      <c r="AC7" s="153"/>
      <c r="AD7" s="153"/>
      <c r="AE7" s="153"/>
      <c r="AF7" s="153"/>
      <c r="AG7" s="153"/>
      <c r="AH7" s="153"/>
      <c r="AI7" s="153"/>
      <c r="AJ7" s="153"/>
      <c r="AK7" s="153"/>
      <c r="AL7" s="153"/>
      <c r="AM7" s="153"/>
      <c r="AN7" s="153"/>
      <c r="AO7" s="153"/>
      <c r="AP7" s="153"/>
      <c r="AQ7" s="153"/>
      <c r="AR7" s="153"/>
    </row>
    <row r="8" spans="1:47">
      <c r="A8" s="657"/>
      <c r="B8" s="334"/>
      <c r="C8" s="153"/>
      <c r="D8" s="153"/>
      <c r="E8" s="153"/>
      <c r="F8" s="153"/>
      <c r="G8" s="153"/>
      <c r="H8" s="153"/>
      <c r="I8" s="153"/>
      <c r="J8" s="153"/>
      <c r="K8" s="153"/>
      <c r="L8" s="153"/>
      <c r="M8" s="153"/>
      <c r="N8" s="153"/>
      <c r="O8" s="153"/>
      <c r="P8" s="153"/>
      <c r="Q8" s="153"/>
      <c r="R8" s="153"/>
      <c r="S8" s="153"/>
      <c r="T8" s="153"/>
      <c r="U8" s="153"/>
      <c r="V8" s="153"/>
      <c r="W8" s="153"/>
      <c r="X8" s="153"/>
      <c r="Y8" s="153"/>
      <c r="Z8" s="153"/>
      <c r="AA8" s="153"/>
      <c r="AB8" s="153"/>
      <c r="AC8" s="153"/>
      <c r="AD8" s="153"/>
      <c r="AE8" s="153"/>
      <c r="AF8" s="153"/>
      <c r="AG8" s="153"/>
      <c r="AH8" s="153"/>
      <c r="AI8" s="153"/>
      <c r="AJ8" s="153"/>
      <c r="AK8" s="153"/>
      <c r="AL8" s="153"/>
      <c r="AM8" s="153"/>
      <c r="AN8" s="153"/>
      <c r="AO8" s="153"/>
      <c r="AP8" s="153"/>
      <c r="AQ8" s="153"/>
      <c r="AR8" s="153"/>
    </row>
    <row r="9" spans="1:47">
      <c r="A9" s="657"/>
      <c r="B9" s="334"/>
      <c r="C9" s="153"/>
      <c r="D9" s="153"/>
      <c r="E9" s="153"/>
      <c r="F9" s="153"/>
      <c r="G9" s="153"/>
      <c r="H9" s="153"/>
      <c r="I9" s="153"/>
      <c r="J9" s="153"/>
      <c r="K9" s="153"/>
      <c r="L9" s="153"/>
      <c r="M9" s="153"/>
      <c r="N9" s="153"/>
      <c r="O9" s="153"/>
      <c r="P9" s="153"/>
      <c r="Q9" s="153"/>
      <c r="R9" s="153"/>
      <c r="S9" s="153"/>
      <c r="T9" s="153"/>
      <c r="U9" s="153"/>
      <c r="V9" s="153"/>
      <c r="W9" s="153"/>
      <c r="X9" s="153"/>
      <c r="Y9" s="153"/>
      <c r="Z9" s="153"/>
      <c r="AA9" s="153"/>
      <c r="AB9" s="153"/>
      <c r="AC9" s="153"/>
      <c r="AD9" s="153"/>
      <c r="AE9" s="153"/>
      <c r="AF9" s="153"/>
      <c r="AG9" s="153"/>
      <c r="AH9" s="153"/>
      <c r="AI9" s="153"/>
      <c r="AJ9" s="153"/>
      <c r="AK9" s="153"/>
      <c r="AL9" s="153"/>
      <c r="AM9" s="153"/>
      <c r="AN9" s="153"/>
      <c r="AO9" s="153"/>
      <c r="AP9" s="153"/>
      <c r="AQ9" s="153"/>
      <c r="AR9" s="153"/>
    </row>
    <row r="10" spans="1:47">
      <c r="A10" s="657"/>
      <c r="B10" s="334"/>
      <c r="C10" s="153"/>
      <c r="D10" s="153"/>
      <c r="E10" s="153"/>
      <c r="F10" s="153"/>
      <c r="G10" s="153"/>
      <c r="H10" s="153"/>
      <c r="I10" s="153"/>
      <c r="J10" s="153"/>
      <c r="K10" s="153"/>
      <c r="L10" s="153"/>
      <c r="M10" s="153"/>
      <c r="N10" s="153"/>
      <c r="O10" s="153"/>
      <c r="P10" s="153"/>
      <c r="Q10" s="153"/>
      <c r="R10" s="153"/>
      <c r="S10" s="153"/>
      <c r="T10" s="153"/>
      <c r="U10" s="153"/>
      <c r="V10" s="153"/>
      <c r="W10" s="153"/>
      <c r="X10" s="153"/>
      <c r="Y10" s="153"/>
      <c r="Z10" s="153"/>
      <c r="AA10" s="153"/>
      <c r="AB10" s="153"/>
      <c r="AC10" s="153"/>
      <c r="AD10" s="153"/>
      <c r="AE10" s="153"/>
      <c r="AF10" s="153"/>
      <c r="AG10" s="153"/>
      <c r="AH10" s="153"/>
      <c r="AI10" s="153"/>
      <c r="AJ10" s="153"/>
      <c r="AK10" s="153"/>
      <c r="AL10" s="153"/>
      <c r="AM10" s="153"/>
      <c r="AN10" s="153"/>
      <c r="AO10" s="153"/>
      <c r="AP10" s="153"/>
      <c r="AQ10" s="153"/>
      <c r="AR10" s="153"/>
    </row>
    <row r="11" spans="1:47">
      <c r="A11" s="657"/>
      <c r="B11" s="334"/>
      <c r="C11" s="153"/>
      <c r="D11" s="153"/>
      <c r="E11" s="153"/>
      <c r="F11" s="153"/>
      <c r="G11" s="153"/>
      <c r="H11" s="153"/>
      <c r="I11" s="153"/>
      <c r="J11" s="153"/>
      <c r="K11" s="153"/>
      <c r="L11" s="153"/>
      <c r="M11" s="153"/>
      <c r="N11" s="153"/>
      <c r="O11" s="153"/>
      <c r="P11" s="153"/>
      <c r="Q11" s="153"/>
      <c r="R11" s="153"/>
      <c r="S11" s="153"/>
      <c r="T11" s="153"/>
      <c r="U11" s="153"/>
      <c r="V11" s="153"/>
      <c r="W11" s="153"/>
      <c r="X11" s="153"/>
      <c r="Y11" s="153"/>
      <c r="Z11" s="153"/>
      <c r="AA11" s="153"/>
      <c r="AB11" s="153"/>
      <c r="AC11" s="153"/>
      <c r="AD11" s="153"/>
      <c r="AE11" s="153"/>
      <c r="AF11" s="153"/>
      <c r="AG11" s="153"/>
      <c r="AH11" s="153"/>
      <c r="AI11" s="153"/>
      <c r="AJ11" s="153"/>
      <c r="AK11" s="153"/>
      <c r="AL11" s="153"/>
      <c r="AM11" s="153"/>
      <c r="AN11" s="153"/>
      <c r="AO11" s="153"/>
      <c r="AP11" s="153"/>
      <c r="AQ11" s="153"/>
      <c r="AR11" s="153"/>
    </row>
    <row r="12" spans="1:47">
      <c r="A12" s="657"/>
      <c r="B12" s="334"/>
      <c r="C12" s="153"/>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3"/>
      <c r="AB12" s="153"/>
      <c r="AC12" s="153"/>
      <c r="AD12" s="153"/>
      <c r="AE12" s="153"/>
      <c r="AF12" s="153"/>
      <c r="AG12" s="153"/>
      <c r="AH12" s="153"/>
      <c r="AI12" s="153"/>
      <c r="AJ12" s="153"/>
      <c r="AK12" s="153"/>
      <c r="AL12" s="153"/>
      <c r="AM12" s="153"/>
      <c r="AN12" s="153"/>
      <c r="AO12" s="153"/>
      <c r="AP12" s="153"/>
      <c r="AQ12" s="153"/>
      <c r="AR12" s="153"/>
    </row>
    <row r="13" spans="1:47">
      <c r="A13" s="657"/>
      <c r="B13" s="335"/>
      <c r="C13" s="153"/>
      <c r="D13" s="153"/>
      <c r="E13" s="153"/>
      <c r="F13" s="153"/>
      <c r="G13" s="153"/>
      <c r="H13" s="153"/>
      <c r="I13" s="153"/>
      <c r="J13" s="153"/>
      <c r="K13" s="153"/>
      <c r="L13" s="153"/>
      <c r="M13" s="153"/>
      <c r="N13" s="153"/>
      <c r="O13" s="153"/>
      <c r="P13" s="153"/>
      <c r="Q13" s="153"/>
      <c r="R13" s="153"/>
      <c r="S13" s="153"/>
      <c r="T13" s="153"/>
      <c r="U13" s="153"/>
      <c r="V13" s="153"/>
      <c r="W13" s="153"/>
      <c r="X13" s="153"/>
      <c r="Y13" s="153"/>
      <c r="Z13" s="153"/>
      <c r="AA13" s="153"/>
      <c r="AB13" s="153"/>
      <c r="AC13" s="153"/>
      <c r="AD13" s="153"/>
      <c r="AE13" s="153"/>
      <c r="AF13" s="153"/>
      <c r="AG13" s="153"/>
      <c r="AH13" s="153"/>
      <c r="AI13" s="153"/>
      <c r="AJ13" s="153"/>
      <c r="AK13" s="153"/>
      <c r="AL13" s="153"/>
      <c r="AM13" s="153"/>
      <c r="AN13" s="153"/>
      <c r="AO13" s="153"/>
      <c r="AP13" s="153"/>
      <c r="AQ13" s="153"/>
      <c r="AR13" s="153"/>
    </row>
    <row r="14" spans="1:47">
      <c r="A14" s="657"/>
      <c r="B14" s="335"/>
      <c r="C14" s="153"/>
      <c r="D14" s="153"/>
      <c r="E14" s="153"/>
      <c r="F14" s="153"/>
      <c r="G14" s="153"/>
      <c r="H14" s="153"/>
      <c r="I14" s="153"/>
      <c r="J14" s="153"/>
      <c r="K14" s="657"/>
      <c r="L14" s="159"/>
      <c r="M14" s="159"/>
      <c r="N14" s="159"/>
      <c r="O14" s="159"/>
      <c r="P14" s="159"/>
      <c r="Q14" s="159"/>
      <c r="R14" s="159"/>
      <c r="S14" s="713"/>
      <c r="T14" s="160"/>
      <c r="U14" s="160"/>
      <c r="V14" s="160"/>
      <c r="W14" s="153"/>
      <c r="X14" s="153"/>
      <c r="Y14" s="153"/>
      <c r="Z14" s="153"/>
      <c r="AA14" s="153"/>
      <c r="AB14" s="153"/>
      <c r="AC14" s="153"/>
      <c r="AD14" s="153"/>
      <c r="AE14" s="153"/>
      <c r="AF14" s="153"/>
      <c r="AG14" s="153"/>
      <c r="AH14" s="153"/>
      <c r="AI14" s="153"/>
      <c r="AJ14" s="153"/>
      <c r="AK14" s="153"/>
      <c r="AL14" s="153"/>
      <c r="AM14" s="153"/>
      <c r="AN14" s="153"/>
      <c r="AO14" s="153"/>
      <c r="AP14" s="153"/>
      <c r="AQ14" s="713"/>
      <c r="AR14" s="160"/>
    </row>
    <row r="15" spans="1:47">
      <c r="A15" s="657"/>
      <c r="B15" s="966" t="s">
        <v>1070</v>
      </c>
      <c r="C15" s="159"/>
      <c r="D15" s="159"/>
      <c r="E15" s="159"/>
      <c r="F15" s="159"/>
      <c r="G15" s="159"/>
      <c r="H15" s="159"/>
      <c r="I15" s="159"/>
      <c r="J15" s="159"/>
      <c r="K15" s="48"/>
      <c r="L15" s="48"/>
      <c r="M15" s="48"/>
      <c r="N15" s="48"/>
      <c r="O15" s="48"/>
      <c r="P15" s="48"/>
      <c r="Q15" s="48"/>
      <c r="R15" s="48"/>
      <c r="S15" s="713" t="s">
        <v>1408</v>
      </c>
      <c r="T15" s="160"/>
      <c r="U15" s="160"/>
      <c r="V15" s="160"/>
      <c r="W15" s="713" t="s">
        <v>823</v>
      </c>
      <c r="X15" s="160"/>
      <c r="Y15" s="160"/>
      <c r="Z15" s="160"/>
      <c r="AA15" s="713" t="s">
        <v>1409</v>
      </c>
      <c r="AB15" s="160"/>
      <c r="AC15" s="160"/>
      <c r="AD15" s="160"/>
      <c r="AE15" s="713" t="s">
        <v>1410</v>
      </c>
      <c r="AF15" s="160"/>
      <c r="AG15" s="160"/>
      <c r="AH15" s="160"/>
      <c r="AI15" s="713" t="s">
        <v>1411</v>
      </c>
      <c r="AJ15" s="160"/>
      <c r="AK15" s="160"/>
      <c r="AL15" s="160"/>
      <c r="AM15" s="713" t="s">
        <v>1412</v>
      </c>
      <c r="AN15" s="153"/>
      <c r="AO15" s="153"/>
      <c r="AP15" s="153"/>
      <c r="AQ15" s="713" t="s">
        <v>824</v>
      </c>
      <c r="AR15" s="160"/>
      <c r="AU15" s="969"/>
    </row>
    <row r="16" spans="1:47">
      <c r="A16" s="739" t="s">
        <v>1407</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row>
    <row r="17" spans="1:44">
      <c r="A17" s="65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row>
    <row r="18" spans="1:44">
      <c r="A18" s="657"/>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row>
    <row r="19" spans="1:44">
      <c r="A19" s="657">
        <f>Gases!A26</f>
        <v>1</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row>
    <row r="20" spans="1:44">
      <c r="A20" s="657">
        <f>Gases!A27</f>
        <v>2</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row>
    <row r="21" spans="1:44">
      <c r="A21" s="657">
        <f>Gases!A28</f>
        <v>3</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row>
    <row r="22" spans="1:44">
      <c r="A22" s="657">
        <f>Gases!A29</f>
        <v>4</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row>
    <row r="23" spans="1:44">
      <c r="A23" s="657">
        <f>Gases!A30</f>
        <v>5</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row>
    <row r="24" spans="1:44">
      <c r="A24" s="657">
        <f>Gases!A31</f>
        <v>6</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row>
    <row r="25" spans="1:44">
      <c r="A25" s="657">
        <f>Gases!A32</f>
        <v>7</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row>
    <row r="26" spans="1:44">
      <c r="A26" s="657">
        <f>Gases!A33</f>
        <v>8</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row>
    <row r="27" spans="1:44">
      <c r="A27" s="657">
        <f>Gases!A34</f>
        <v>9</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row>
    <row r="28" spans="1:44">
      <c r="A28" s="657">
        <f>Gases!A35</f>
        <v>10</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row>
    <row r="29" spans="1:44">
      <c r="A29" s="657">
        <f>Gases!A36</f>
        <v>11</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row>
    <row r="30" spans="1:44">
      <c r="A30" s="657">
        <f>Gases!A37</f>
        <v>12</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row>
    <row r="31" spans="1:44">
      <c r="A31" s="657">
        <f>Gases!A38</f>
        <v>13</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row>
    <row r="32" spans="1:44">
      <c r="A32" s="657">
        <f>Gases!A39</f>
        <v>14</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row>
    <row r="33" spans="1:44">
      <c r="A33" s="657">
        <f>Gases!A40</f>
        <v>15</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row>
    <row r="34" spans="1:44">
      <c r="A34" s="657">
        <f>Gases!A41</f>
        <v>16</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row>
    <row r="35" spans="1:44">
      <c r="A35" s="657">
        <f>Gases!A42</f>
        <v>17</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row>
    <row r="36" spans="1:44">
      <c r="A36" s="657">
        <f>Gases!A43</f>
        <v>18</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row>
    <row r="37" spans="1:44">
      <c r="A37" s="657">
        <f>Gases!A44</f>
        <v>19</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row>
    <row r="38" spans="1:44">
      <c r="A38" s="657">
        <f>Gases!A45</f>
        <v>20</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row>
    <row r="39" spans="1:44">
      <c r="A39" s="657">
        <f>Gases!A46</f>
        <v>21</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row>
    <row r="40" spans="1:44">
      <c r="A40" s="657">
        <f>Gases!A47</f>
        <v>22</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row>
    <row r="41" spans="1:44">
      <c r="A41" s="657">
        <f>Gases!A48</f>
        <v>23</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row>
    <row r="42" spans="1:44">
      <c r="A42" s="657">
        <f>Gases!A49</f>
        <v>24</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row>
    <row r="43" spans="1:44">
      <c r="A43" s="657">
        <f>Gases!A50</f>
        <v>25</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row>
    <row r="44" spans="1:44">
      <c r="A44" s="657">
        <f>Gases!A51</f>
        <v>26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row>
    <row r="45" spans="1:44">
      <c r="A45" s="657">
        <f>Gases!A52</f>
        <v>27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row>
    <row r="46" spans="1:44">
      <c r="A46" s="657">
        <f>Gases!A53</f>
        <v>28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row>
    <row r="47" spans="1:44">
      <c r="A47" s="657">
        <f>Gases!A54</f>
        <v>29</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row>
    <row r="48" spans="1:44">
      <c r="A48" s="657">
        <f>Gases!A55</f>
        <v>30</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row>
    <row r="49" spans="1:44">
      <c r="A49" s="657">
        <f>Gases!A56</f>
        <v>31</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row>
    <row r="50" spans="1:44">
      <c r="A50" s="657">
        <f>Gases!A57</f>
        <v>32</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row>
    <row r="51" spans="1:44">
      <c r="A51" s="657">
        <f>Gases!A58</f>
        <v>33</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row>
    <row r="52" spans="1:44">
      <c r="A52" s="657">
        <f>Gases!A59</f>
        <v>34</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row>
    <row r="53" spans="1:44">
      <c r="A53" s="657">
        <f>Gases!A60</f>
        <v>35</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row>
    <row r="54" spans="1:44">
      <c r="A54" s="657">
        <f>Gases!A61</f>
        <v>36</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row>
    <row r="55" spans="1:44">
      <c r="A55" s="657">
        <f>Gases!A62</f>
        <v>37</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row>
    <row r="56" spans="1:44">
      <c r="A56" s="657">
        <f>Gases!A63</f>
        <v>38</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row>
    <row r="57" spans="1:44">
      <c r="A57" s="657">
        <f>Gases!A64</f>
        <v>39</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row>
    <row r="58" spans="1:44">
      <c r="A58" s="741">
        <f>Gases!A65</f>
        <v>40</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row>
    <row r="59" spans="1:44">
      <c r="A59" s="741">
        <f>Gases!A66</f>
        <v>41</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row>
    <row r="60" spans="1:44">
      <c r="A60" s="741">
        <f>Gases!A67</f>
        <v>42</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row>
    <row r="61" spans="1:44">
      <c r="A61" s="741">
        <f>Gases!A68</f>
        <v>43</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row>
    <row r="62" spans="1:44">
      <c r="A62" s="741">
        <f>Gases!A69</f>
        <v>44</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row>
    <row r="63" spans="1:44">
      <c r="A63" s="741">
        <f>Gases!A70</f>
        <v>45</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row>
    <row r="64" spans="1:44">
      <c r="A64" s="741">
        <f>Gases!A71</f>
        <v>46</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row>
    <row r="65" spans="1:44">
      <c r="A65" s="741">
        <f>Gases!A72</f>
        <v>47</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row>
    <row r="66" spans="1:44">
      <c r="A66" s="741">
        <f>Gases!A73</f>
        <v>48</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row>
    <row r="67" spans="1:44">
      <c r="A67" s="741">
        <f>Gases!A74</f>
        <v>49</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row>
    <row r="68" spans="1:44">
      <c r="A68" s="741">
        <f>Gases!A75</f>
        <v>50</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row>
    <row r="69" spans="1:44">
      <c r="A69" s="741">
        <f>Gases!A76</f>
        <v>51</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row>
    <row r="70" spans="1:44">
      <c r="A70" s="741">
        <f>Gases!A77</f>
        <v>52</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row>
    <row r="71" spans="1:44">
      <c r="A71" s="741">
        <f>Gases!A78</f>
        <v>53</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row>
    <row r="72" spans="1:44">
      <c r="A72" s="741">
        <f>Gases!A79</f>
        <v>54</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row>
    <row r="73" spans="1:44">
      <c r="A73" s="741">
        <f>Gases!A80</f>
        <v>55</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row>
    <row r="74" spans="1:44">
      <c r="A74" s="741">
        <f>Gases!A81</f>
        <v>56</v>
      </c>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row>
    <row r="75" spans="1:44">
      <c r="A75" s="741">
        <f>Gases!A82</f>
        <v>57</v>
      </c>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row>
    <row r="76" spans="1:44">
      <c r="A76" s="741">
        <f>Gases!A83</f>
        <v>58</v>
      </c>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row>
    <row r="77" spans="1:44">
      <c r="A77" s="741">
        <f>Gases!A84</f>
        <v>59</v>
      </c>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row>
    <row r="78" spans="1:44">
      <c r="A78" s="741">
        <f>Gases!A85</f>
        <v>60</v>
      </c>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row>
    <row r="79" spans="1:44">
      <c r="A79" s="741">
        <f>Gases!A86</f>
        <v>61</v>
      </c>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row>
    <row r="80" spans="1:44">
      <c r="A80" s="741">
        <f>Gases!A87</f>
        <v>62</v>
      </c>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row>
    <row r="81" spans="1:44">
      <c r="A81" s="741">
        <f>Gases!A88</f>
        <v>63</v>
      </c>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row>
    <row r="82" spans="1:44">
      <c r="A82" s="741">
        <f>Gases!A89</f>
        <v>64</v>
      </c>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row>
    <row r="83" spans="1:44">
      <c r="A83" s="741">
        <f>Gases!A90</f>
        <v>65</v>
      </c>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row>
    <row r="84" spans="1:44">
      <c r="A84" s="741">
        <f>Gases!A91</f>
        <v>66</v>
      </c>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row>
    <row r="85" spans="1:44">
      <c r="A85" s="741">
        <f>Gases!A92</f>
        <v>67</v>
      </c>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row>
    <row r="86" spans="1:44">
      <c r="A86" s="741">
        <f>Gases!A93</f>
        <v>68</v>
      </c>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row>
    <row r="87" spans="1:44">
      <c r="A87" s="741">
        <f>Gases!A94</f>
        <v>69</v>
      </c>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row>
    <row r="88" spans="1:44">
      <c r="A88" s="741">
        <f>Gases!A95</f>
        <v>70</v>
      </c>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row>
    <row r="89" spans="1:44">
      <c r="A89" s="741">
        <f>Gases!A96</f>
        <v>71</v>
      </c>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row>
    <row r="90" spans="1:44">
      <c r="A90" s="741">
        <f>Gases!A97</f>
        <v>72</v>
      </c>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row>
    <row r="91" spans="1:44">
      <c r="A91" s="741">
        <f>Gases!A98</f>
        <v>73</v>
      </c>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row>
    <row r="92" spans="1:44">
      <c r="A92" s="741">
        <f>Gases!A99</f>
        <v>74</v>
      </c>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row>
    <row r="93" spans="1:44">
      <c r="A93" s="741">
        <f>Gases!A100</f>
        <v>75</v>
      </c>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row>
    <row r="94" spans="1:44">
      <c r="A94" s="741">
        <f>Gases!A101</f>
        <v>76</v>
      </c>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row>
    <row r="95" spans="1:44">
      <c r="A95" s="741">
        <f>Gases!A102</f>
        <v>77</v>
      </c>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row>
    <row r="96" spans="1:44">
      <c r="A96" s="741">
        <f>Gases!A103</f>
        <v>78</v>
      </c>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row>
    <row r="97" spans="1:44">
      <c r="A97" s="741">
        <f>Gases!A104</f>
        <v>79</v>
      </c>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row>
    <row r="98" spans="1:44">
      <c r="A98" s="741">
        <f>Gases!A105</f>
        <v>80</v>
      </c>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row>
    <row r="99" spans="1:44">
      <c r="A99" s="741">
        <f>Gases!A106</f>
        <v>81</v>
      </c>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row>
    <row r="100" spans="1:44">
      <c r="A100" s="741">
        <f>Gases!A107</f>
        <v>82</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row>
    <row r="101" spans="1:44">
      <c r="A101" s="741">
        <f>Gases!A108</f>
        <v>83</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row>
    <row r="102" spans="1:44">
      <c r="A102" s="741">
        <f>Gases!A109</f>
        <v>84</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row>
    <row r="103" spans="1:44">
      <c r="A103" s="741">
        <f>Gases!A110</f>
        <v>85</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row>
    <row r="104" spans="1:44">
      <c r="A104" s="741">
        <f>Gases!A111</f>
        <v>86</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row>
    <row r="105" spans="1:44">
      <c r="A105" s="741">
        <f>Gases!A112</f>
        <v>87</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row>
    <row r="106" spans="1:44">
      <c r="A106" s="741">
        <f>Gases!A113</f>
        <v>88</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row>
    <row r="107" spans="1:44">
      <c r="A107" s="741">
        <f>Gases!A114</f>
        <v>89</v>
      </c>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row>
    <row r="108" spans="1:44">
      <c r="A108" s="741">
        <f>Gases!A115</f>
        <v>90</v>
      </c>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row>
    <row r="109" spans="1:44">
      <c r="A109" s="741">
        <f>Gases!A116</f>
        <v>91</v>
      </c>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row>
    <row r="110" spans="1:44">
      <c r="A110" s="741">
        <f>Gases!A117</f>
        <v>92</v>
      </c>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row>
    <row r="111" spans="1:44">
      <c r="A111" s="741">
        <f>Gases!A118</f>
        <v>93</v>
      </c>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row>
    <row r="112" spans="1:44">
      <c r="A112" s="741">
        <f>Gases!A119</f>
        <v>94</v>
      </c>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c r="A113" s="741">
        <f>Gases!A120</f>
        <v>95</v>
      </c>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c r="A114" s="741">
        <f>Gases!A121</f>
        <v>96</v>
      </c>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c r="A115" s="741">
        <f>Gases!A122</f>
        <v>97</v>
      </c>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row>
    <row r="116" spans="1:44">
      <c r="A116" s="741">
        <f>Gases!A123</f>
        <v>98</v>
      </c>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row>
    <row r="117" spans="1:44">
      <c r="A117" s="741">
        <f>Gases!A124</f>
        <v>99</v>
      </c>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row>
    <row r="118" spans="1:44">
      <c r="A118" s="741">
        <f>Gases!A125</f>
        <v>100</v>
      </c>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row>
    <row r="119" spans="1:44">
      <c r="A119" s="741">
        <f>Gases!A126</f>
        <v>101</v>
      </c>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row>
    <row r="120" spans="1:44">
      <c r="A120" s="741">
        <f>Gases!A127</f>
        <v>102</v>
      </c>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row>
    <row r="121" spans="1:44">
      <c r="A121" s="741">
        <f>Gases!A128</f>
        <v>103</v>
      </c>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row>
    <row r="122" spans="1:44">
      <c r="A122" s="741">
        <f>Gases!A129</f>
        <v>104</v>
      </c>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row>
    <row r="123" spans="1:44">
      <c r="A123" s="741">
        <f>Gases!A130</f>
        <v>105</v>
      </c>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row>
    <row r="124" spans="1:44">
      <c r="A124" s="741">
        <f>Gases!A131</f>
        <v>106</v>
      </c>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row>
    <row r="125" spans="1:44">
      <c r="A125" s="741">
        <f>Gases!A132</f>
        <v>107</v>
      </c>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row>
    <row r="126" spans="1:44">
      <c r="A126" s="657">
        <f>Gases!A133</f>
        <v>108</v>
      </c>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row>
    <row r="127" spans="1:44">
      <c r="A127" s="657">
        <f>Gases!A134</f>
        <v>109</v>
      </c>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row>
    <row r="128" spans="1:44">
      <c r="A128" s="657">
        <f>Gases!A135</f>
        <v>110</v>
      </c>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row>
    <row r="129" spans="1:44">
      <c r="A129" s="657">
        <f>Gases!A136</f>
        <v>111</v>
      </c>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row>
    <row r="130" spans="1:44">
      <c r="A130" s="657">
        <f>Gases!A137</f>
        <v>112</v>
      </c>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row>
    <row r="131" spans="1:44">
      <c r="A131" s="657">
        <f>Gases!A138</f>
        <v>113</v>
      </c>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row>
    <row r="132" spans="1:44">
      <c r="A132" s="657">
        <f>Gases!A139</f>
        <v>114</v>
      </c>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row>
    <row r="133" spans="1:44">
      <c r="A133" s="657">
        <f>Gases!A140</f>
        <v>115</v>
      </c>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row>
    <row r="134" spans="1:44">
      <c r="A134" s="657">
        <f>Gases!A141</f>
        <v>116</v>
      </c>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row>
    <row r="135" spans="1:44">
      <c r="A135" s="657">
        <f>Gases!A142</f>
        <v>117</v>
      </c>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row>
    <row r="136" spans="1:44">
      <c r="A136" s="657">
        <f>Gases!A143</f>
        <v>118</v>
      </c>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row>
    <row r="137" spans="1:44">
      <c r="A137" s="657">
        <f>Gases!A144</f>
        <v>119</v>
      </c>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row>
    <row r="138" spans="1:44">
      <c r="A138" s="657">
        <f>Gases!A145</f>
        <v>120</v>
      </c>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row>
    <row r="139" spans="1:44">
      <c r="A139" s="657">
        <f>Gases!A146</f>
        <v>121</v>
      </c>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row>
    <row r="140" spans="1:44">
      <c r="A140" s="657">
        <f>Gases!A147</f>
        <v>122</v>
      </c>
      <c r="B140" s="153"/>
      <c r="C140" s="153"/>
      <c r="D140" s="153"/>
      <c r="E140" s="153"/>
      <c r="F140" s="153"/>
      <c r="G140" s="153"/>
      <c r="H140" s="153"/>
      <c r="I140" s="153"/>
      <c r="J140" s="153"/>
      <c r="K140" s="153"/>
      <c r="L140" s="153"/>
      <c r="M140" s="153"/>
      <c r="N140" s="153"/>
      <c r="O140" s="153"/>
      <c r="P140" s="153"/>
      <c r="Q140" s="153"/>
      <c r="R140" s="153"/>
      <c r="S140" s="153"/>
      <c r="T140" s="153"/>
      <c r="U140" s="153"/>
      <c r="V140" s="153"/>
      <c r="W140" s="153"/>
      <c r="X140" s="153"/>
      <c r="Y140" s="153"/>
      <c r="Z140" s="153"/>
      <c r="AA140" s="153"/>
      <c r="AB140" s="153"/>
      <c r="AC140" s="153"/>
      <c r="AD140" s="153"/>
      <c r="AE140" s="153"/>
      <c r="AF140" s="153"/>
      <c r="AG140" s="153"/>
      <c r="AH140" s="153"/>
      <c r="AI140" s="153"/>
      <c r="AJ140" s="153"/>
      <c r="AK140" s="153"/>
      <c r="AL140" s="153"/>
      <c r="AM140" s="153"/>
      <c r="AN140" s="153"/>
      <c r="AO140" s="153"/>
      <c r="AP140" s="153"/>
      <c r="AQ140" s="153"/>
      <c r="AR140" s="153"/>
    </row>
    <row r="141" spans="1:44">
      <c r="A141" s="657">
        <f>Gases!A148</f>
        <v>123</v>
      </c>
      <c r="B141" s="153"/>
      <c r="C141" s="153"/>
      <c r="D141" s="153"/>
      <c r="E141" s="153"/>
      <c r="F141" s="153"/>
      <c r="G141" s="153"/>
      <c r="H141" s="153"/>
      <c r="I141" s="153"/>
      <c r="J141" s="153"/>
      <c r="K141" s="153"/>
      <c r="L141" s="153"/>
      <c r="M141" s="153"/>
      <c r="N141" s="153"/>
      <c r="O141" s="153"/>
      <c r="P141" s="153"/>
      <c r="Q141" s="153"/>
      <c r="R141" s="153"/>
      <c r="S141" s="153"/>
      <c r="T141" s="153"/>
      <c r="U141" s="153"/>
      <c r="V141" s="153"/>
      <c r="W141" s="153"/>
      <c r="X141" s="153"/>
      <c r="Y141" s="153"/>
      <c r="Z141" s="153"/>
      <c r="AA141" s="153"/>
      <c r="AB141" s="153"/>
      <c r="AC141" s="153"/>
      <c r="AD141" s="153"/>
      <c r="AE141" s="153"/>
      <c r="AF141" s="153"/>
      <c r="AG141" s="153"/>
      <c r="AH141" s="153"/>
      <c r="AI141" s="153"/>
      <c r="AJ141" s="153"/>
      <c r="AK141" s="153"/>
      <c r="AL141" s="153"/>
      <c r="AM141" s="153"/>
      <c r="AN141" s="153"/>
      <c r="AO141" s="153"/>
      <c r="AP141" s="153"/>
      <c r="AQ141" s="153"/>
      <c r="AR141" s="153"/>
    </row>
    <row r="142" spans="1:44">
      <c r="A142" s="657">
        <f>Gases!A149</f>
        <v>124</v>
      </c>
      <c r="B142" s="153"/>
      <c r="C142" s="153"/>
      <c r="D142" s="153"/>
      <c r="E142" s="153"/>
      <c r="F142" s="153"/>
      <c r="G142" s="153"/>
      <c r="H142" s="153"/>
      <c r="I142" s="153"/>
      <c r="J142" s="153"/>
      <c r="K142" s="153"/>
      <c r="L142" s="153"/>
      <c r="M142" s="153"/>
      <c r="N142" s="153"/>
      <c r="O142" s="153"/>
      <c r="P142" s="153"/>
      <c r="Q142" s="153"/>
      <c r="R142" s="153"/>
      <c r="S142" s="153"/>
      <c r="T142" s="153"/>
      <c r="U142" s="153"/>
      <c r="V142" s="153"/>
      <c r="W142" s="153"/>
      <c r="X142" s="153"/>
      <c r="Y142" s="153"/>
      <c r="Z142" s="153"/>
      <c r="AA142" s="153"/>
      <c r="AB142" s="153"/>
      <c r="AC142" s="153"/>
      <c r="AD142" s="153"/>
      <c r="AE142" s="153"/>
      <c r="AF142" s="153"/>
      <c r="AG142" s="153"/>
      <c r="AH142" s="153"/>
      <c r="AI142" s="153"/>
      <c r="AJ142" s="153"/>
      <c r="AK142" s="153"/>
      <c r="AL142" s="153"/>
      <c r="AM142" s="153"/>
      <c r="AN142" s="153"/>
      <c r="AO142" s="153"/>
      <c r="AP142" s="153"/>
      <c r="AQ142" s="153"/>
      <c r="AR142" s="153"/>
    </row>
    <row r="143" spans="1:44">
      <c r="A143" s="657">
        <f>Gases!A150</f>
        <v>125</v>
      </c>
      <c r="B143" s="153"/>
      <c r="C143" s="153"/>
      <c r="D143" s="153"/>
      <c r="E143" s="153"/>
      <c r="F143" s="153"/>
      <c r="G143" s="153"/>
      <c r="H143" s="153"/>
      <c r="I143" s="153"/>
      <c r="J143" s="153"/>
      <c r="K143" s="153"/>
      <c r="L143" s="153"/>
      <c r="M143" s="153"/>
      <c r="N143" s="153"/>
      <c r="O143" s="153"/>
      <c r="P143" s="153"/>
      <c r="Q143" s="153"/>
      <c r="R143" s="153"/>
      <c r="S143" s="153"/>
      <c r="T143" s="153"/>
      <c r="U143" s="153"/>
      <c r="V143" s="153"/>
      <c r="W143" s="153"/>
      <c r="X143" s="153"/>
      <c r="Y143" s="153"/>
      <c r="Z143" s="153"/>
      <c r="AA143" s="153"/>
      <c r="AB143" s="153"/>
      <c r="AC143" s="153"/>
      <c r="AD143" s="153"/>
      <c r="AE143" s="153"/>
      <c r="AF143" s="153"/>
      <c r="AG143" s="153"/>
      <c r="AH143" s="153"/>
      <c r="AI143" s="153"/>
      <c r="AJ143" s="153"/>
      <c r="AK143" s="153"/>
      <c r="AL143" s="153"/>
      <c r="AM143" s="153"/>
      <c r="AN143" s="153"/>
      <c r="AO143" s="153"/>
      <c r="AP143" s="153"/>
      <c r="AQ143" s="153"/>
      <c r="AR143" s="153"/>
    </row>
    <row r="144" spans="1:44">
      <c r="A144" s="657">
        <f>Gases!A151</f>
        <v>126</v>
      </c>
      <c r="B144" s="153"/>
      <c r="C144" s="153"/>
      <c r="D144" s="153"/>
      <c r="E144" s="153"/>
      <c r="F144" s="153"/>
      <c r="G144" s="153"/>
      <c r="H144" s="153"/>
      <c r="I144" s="153"/>
      <c r="J144" s="153"/>
      <c r="K144" s="153"/>
      <c r="L144" s="153"/>
      <c r="M144" s="153"/>
      <c r="N144" s="153"/>
      <c r="O144" s="153"/>
      <c r="P144" s="153"/>
      <c r="Q144" s="153"/>
      <c r="R144" s="153"/>
      <c r="S144" s="153"/>
      <c r="T144" s="153"/>
      <c r="U144" s="153"/>
      <c r="V144" s="153"/>
      <c r="W144" s="153"/>
      <c r="X144" s="153"/>
      <c r="Y144" s="153"/>
      <c r="Z144" s="153"/>
      <c r="AA144" s="153"/>
      <c r="AB144" s="153"/>
      <c r="AC144" s="153"/>
      <c r="AD144" s="153"/>
      <c r="AE144" s="153"/>
      <c r="AF144" s="153"/>
      <c r="AG144" s="153"/>
      <c r="AH144" s="153"/>
      <c r="AI144" s="153"/>
      <c r="AJ144" s="153"/>
      <c r="AK144" s="153"/>
      <c r="AL144" s="153"/>
      <c r="AM144" s="153"/>
      <c r="AN144" s="153"/>
      <c r="AO144" s="153"/>
      <c r="AP144" s="153"/>
      <c r="AQ144" s="153"/>
      <c r="AR144" s="153"/>
    </row>
    <row r="145" spans="1:44">
      <c r="A145" s="657">
        <f>Gases!A152</f>
        <v>127</v>
      </c>
      <c r="B145" s="153"/>
      <c r="C145" s="153"/>
      <c r="D145" s="153"/>
      <c r="E145" s="153"/>
      <c r="F145" s="153"/>
      <c r="G145" s="153"/>
      <c r="H145" s="153"/>
      <c r="I145" s="153"/>
      <c r="J145" s="153"/>
      <c r="K145" s="153"/>
      <c r="L145" s="153"/>
      <c r="M145" s="153"/>
      <c r="N145" s="153"/>
      <c r="O145" s="153"/>
      <c r="P145" s="153"/>
      <c r="Q145" s="153"/>
      <c r="R145" s="153"/>
      <c r="S145" s="153"/>
      <c r="T145" s="153"/>
      <c r="U145" s="153"/>
      <c r="V145" s="153"/>
      <c r="W145" s="153"/>
      <c r="X145" s="153"/>
      <c r="Y145" s="153"/>
      <c r="Z145" s="153"/>
      <c r="AA145" s="153"/>
      <c r="AB145" s="153"/>
      <c r="AC145" s="153"/>
      <c r="AD145" s="153"/>
      <c r="AE145" s="153"/>
      <c r="AF145" s="153"/>
      <c r="AG145" s="153"/>
      <c r="AH145" s="153"/>
      <c r="AI145" s="153"/>
      <c r="AJ145" s="153"/>
      <c r="AK145" s="153"/>
      <c r="AL145" s="153"/>
      <c r="AM145" s="153"/>
      <c r="AN145" s="153"/>
      <c r="AO145" s="153"/>
      <c r="AP145" s="153"/>
      <c r="AQ145" s="153"/>
      <c r="AR145" s="153"/>
    </row>
    <row r="146" spans="1:44">
      <c r="A146" s="657">
        <f>Gases!A153</f>
        <v>128</v>
      </c>
      <c r="B146" s="153"/>
      <c r="C146" s="153"/>
      <c r="D146" s="153"/>
      <c r="E146" s="153"/>
      <c r="F146" s="153"/>
      <c r="G146" s="153"/>
      <c r="H146" s="153"/>
      <c r="I146" s="153"/>
      <c r="J146" s="153"/>
      <c r="K146" s="153"/>
      <c r="L146" s="153"/>
      <c r="M146" s="153"/>
      <c r="N146" s="153"/>
      <c r="O146" s="153"/>
      <c r="P146" s="153"/>
      <c r="Q146" s="153"/>
      <c r="R146" s="153"/>
      <c r="S146" s="153"/>
      <c r="T146" s="153"/>
      <c r="U146" s="153"/>
      <c r="V146" s="153"/>
      <c r="W146" s="153"/>
      <c r="X146" s="153"/>
      <c r="Y146" s="153"/>
      <c r="Z146" s="153"/>
      <c r="AA146" s="153"/>
      <c r="AB146" s="153"/>
      <c r="AC146" s="153"/>
      <c r="AD146" s="153"/>
      <c r="AE146" s="153"/>
      <c r="AF146" s="153"/>
      <c r="AG146" s="153"/>
      <c r="AH146" s="153"/>
      <c r="AI146" s="153"/>
      <c r="AJ146" s="153"/>
      <c r="AK146" s="153"/>
      <c r="AL146" s="153"/>
      <c r="AM146" s="153"/>
      <c r="AN146" s="153"/>
      <c r="AO146" s="153"/>
      <c r="AP146" s="153"/>
      <c r="AQ146" s="153"/>
      <c r="AR146" s="153"/>
    </row>
    <row r="147" spans="1:44">
      <c r="A147" s="657">
        <f>Gases!A154</f>
        <v>129</v>
      </c>
      <c r="B147" s="153"/>
      <c r="C147" s="153"/>
      <c r="D147" s="153"/>
      <c r="E147" s="153"/>
      <c r="F147" s="153"/>
      <c r="G147" s="153"/>
      <c r="H147" s="153"/>
      <c r="I147" s="153"/>
      <c r="J147" s="153"/>
      <c r="K147" s="153"/>
      <c r="L147" s="153"/>
      <c r="M147" s="153"/>
      <c r="N147" s="153"/>
      <c r="O147" s="153"/>
      <c r="P147" s="153"/>
      <c r="Q147" s="153"/>
      <c r="R147" s="153"/>
      <c r="S147" s="153"/>
      <c r="T147" s="153"/>
      <c r="U147" s="153"/>
      <c r="V147" s="153"/>
      <c r="W147" s="153"/>
      <c r="X147" s="153"/>
      <c r="Y147" s="153"/>
      <c r="Z147" s="153"/>
      <c r="AA147" s="153"/>
      <c r="AB147" s="153"/>
      <c r="AC147" s="153"/>
      <c r="AD147" s="153"/>
      <c r="AE147" s="153"/>
      <c r="AF147" s="153"/>
      <c r="AG147" s="153"/>
      <c r="AH147" s="153"/>
      <c r="AI147" s="153"/>
      <c r="AJ147" s="153"/>
      <c r="AK147" s="153"/>
      <c r="AL147" s="153"/>
      <c r="AM147" s="153"/>
      <c r="AN147" s="153"/>
      <c r="AO147" s="153"/>
      <c r="AP147" s="153"/>
      <c r="AQ147" s="153"/>
      <c r="AR147" s="153"/>
    </row>
    <row r="148" spans="1:44">
      <c r="A148" s="657">
        <f>Gases!A155</f>
        <v>130</v>
      </c>
      <c r="B148" s="153"/>
      <c r="C148" s="153"/>
      <c r="D148" s="153"/>
      <c r="E148" s="153"/>
      <c r="F148" s="153"/>
      <c r="G148" s="153"/>
      <c r="H148" s="153"/>
      <c r="I148" s="153"/>
      <c r="J148" s="153"/>
      <c r="K148" s="153"/>
      <c r="L148" s="153"/>
      <c r="M148" s="153"/>
      <c r="N148" s="153"/>
      <c r="O148" s="153"/>
      <c r="P148" s="153"/>
      <c r="Q148" s="153"/>
      <c r="R148" s="153"/>
      <c r="S148" s="153"/>
      <c r="T148" s="153"/>
      <c r="U148" s="153"/>
      <c r="V148" s="153"/>
      <c r="W148" s="153"/>
      <c r="X148" s="153"/>
      <c r="Y148" s="153"/>
      <c r="Z148" s="153"/>
      <c r="AA148" s="153"/>
      <c r="AB148" s="153"/>
      <c r="AC148" s="153"/>
      <c r="AD148" s="153"/>
      <c r="AE148" s="153"/>
      <c r="AF148" s="153"/>
      <c r="AG148" s="153"/>
      <c r="AH148" s="153"/>
      <c r="AI148" s="153"/>
      <c r="AJ148" s="153"/>
      <c r="AK148" s="153"/>
      <c r="AL148" s="153"/>
      <c r="AM148" s="153"/>
      <c r="AN148" s="153"/>
      <c r="AO148" s="153"/>
      <c r="AP148" s="153"/>
      <c r="AQ148" s="153"/>
      <c r="AR148" s="153"/>
    </row>
    <row r="149" spans="1:44">
      <c r="A149" s="657">
        <f>Gases!A156</f>
        <v>131</v>
      </c>
      <c r="B149" s="153"/>
      <c r="C149" s="153"/>
      <c r="D149" s="153"/>
      <c r="E149" s="153"/>
      <c r="F149" s="153"/>
      <c r="G149" s="153"/>
      <c r="H149" s="153"/>
      <c r="I149" s="153"/>
      <c r="J149" s="153"/>
      <c r="K149" s="153"/>
      <c r="L149" s="153"/>
      <c r="M149" s="153"/>
      <c r="N149" s="153"/>
      <c r="O149" s="153"/>
      <c r="P149" s="153"/>
      <c r="Q149" s="153"/>
      <c r="R149" s="153"/>
      <c r="S149" s="153"/>
      <c r="T149" s="153"/>
      <c r="U149" s="153"/>
      <c r="V149" s="153"/>
      <c r="W149" s="153"/>
      <c r="X149" s="153"/>
      <c r="Y149" s="153"/>
      <c r="Z149" s="153"/>
      <c r="AA149" s="153"/>
      <c r="AB149" s="153"/>
      <c r="AC149" s="153"/>
      <c r="AD149" s="153"/>
      <c r="AE149" s="153"/>
      <c r="AF149" s="153"/>
      <c r="AG149" s="153"/>
      <c r="AH149" s="153"/>
      <c r="AI149" s="153"/>
      <c r="AJ149" s="153"/>
      <c r="AK149" s="153"/>
      <c r="AL149" s="153"/>
      <c r="AM149" s="153"/>
      <c r="AN149" s="153"/>
      <c r="AO149" s="153"/>
      <c r="AP149" s="153"/>
      <c r="AQ149" s="153"/>
      <c r="AR149" s="153"/>
    </row>
    <row r="150" spans="1:44">
      <c r="A150" s="657">
        <f>Gases!A157</f>
        <v>132</v>
      </c>
      <c r="B150" s="153"/>
      <c r="C150" s="153"/>
      <c r="D150" s="153"/>
      <c r="E150" s="153"/>
      <c r="F150" s="153"/>
      <c r="G150" s="153"/>
      <c r="H150" s="153"/>
      <c r="I150" s="153"/>
      <c r="J150" s="153"/>
      <c r="K150" s="153"/>
      <c r="L150" s="153"/>
      <c r="M150" s="153"/>
      <c r="N150" s="153"/>
      <c r="O150" s="153"/>
      <c r="P150" s="153"/>
      <c r="Q150" s="153"/>
      <c r="R150" s="153"/>
      <c r="S150" s="153"/>
      <c r="T150" s="153"/>
      <c r="U150" s="153"/>
      <c r="V150" s="153"/>
      <c r="W150" s="153"/>
      <c r="X150" s="153"/>
      <c r="Y150" s="153"/>
      <c r="Z150" s="153"/>
      <c r="AA150" s="153"/>
      <c r="AB150" s="153"/>
      <c r="AC150" s="153"/>
      <c r="AD150" s="153"/>
      <c r="AE150" s="153"/>
      <c r="AF150" s="153"/>
      <c r="AG150" s="153"/>
      <c r="AH150" s="153"/>
      <c r="AI150" s="153"/>
      <c r="AJ150" s="153"/>
      <c r="AK150" s="153"/>
      <c r="AL150" s="153"/>
      <c r="AM150" s="153"/>
      <c r="AN150" s="153"/>
      <c r="AO150" s="153"/>
      <c r="AP150" s="153"/>
      <c r="AQ150" s="153"/>
      <c r="AR150" s="153"/>
    </row>
    <row r="151" spans="1:44">
      <c r="A151" s="657">
        <f>Gases!A158</f>
        <v>133</v>
      </c>
      <c r="B151" s="153"/>
      <c r="C151" s="153"/>
      <c r="D151" s="153"/>
      <c r="E151" s="153"/>
      <c r="F151" s="153"/>
      <c r="G151" s="153"/>
      <c r="H151" s="153"/>
      <c r="I151" s="153"/>
      <c r="J151" s="153"/>
      <c r="K151" s="153"/>
      <c r="L151" s="153"/>
      <c r="M151" s="153"/>
      <c r="N151" s="153"/>
      <c r="O151" s="153"/>
      <c r="P151" s="153"/>
      <c r="Q151" s="153"/>
      <c r="R151" s="153"/>
      <c r="S151" s="153"/>
      <c r="T151" s="153"/>
      <c r="U151" s="153"/>
      <c r="V151" s="153"/>
      <c r="W151" s="153"/>
      <c r="X151" s="153"/>
      <c r="Y151" s="153"/>
      <c r="Z151" s="153"/>
      <c r="AA151" s="153"/>
      <c r="AB151" s="153"/>
      <c r="AC151" s="153"/>
      <c r="AD151" s="153"/>
      <c r="AE151" s="153"/>
      <c r="AF151" s="153"/>
      <c r="AG151" s="153"/>
      <c r="AH151" s="153"/>
      <c r="AI151" s="153"/>
      <c r="AJ151" s="153"/>
      <c r="AK151" s="153"/>
      <c r="AL151" s="153"/>
      <c r="AM151" s="153"/>
      <c r="AN151" s="153"/>
      <c r="AO151" s="153"/>
      <c r="AP151" s="153"/>
      <c r="AQ151" s="153"/>
      <c r="AR151" s="153"/>
    </row>
    <row r="152" spans="1:44">
      <c r="A152" s="657">
        <f>Gases!A159</f>
        <v>134</v>
      </c>
      <c r="B152" s="153"/>
      <c r="C152" s="153"/>
      <c r="D152" s="153"/>
      <c r="E152" s="153"/>
      <c r="F152" s="153"/>
      <c r="G152" s="153"/>
      <c r="H152" s="153"/>
      <c r="I152" s="153"/>
      <c r="J152" s="153"/>
      <c r="K152" s="153"/>
      <c r="L152" s="153"/>
      <c r="M152" s="153"/>
      <c r="N152" s="153"/>
      <c r="O152" s="153"/>
      <c r="P152" s="153"/>
      <c r="Q152" s="153"/>
      <c r="R152" s="153"/>
      <c r="S152" s="153"/>
      <c r="T152" s="153"/>
      <c r="U152" s="153"/>
      <c r="V152" s="153"/>
      <c r="W152" s="153"/>
      <c r="X152" s="153"/>
      <c r="Y152" s="153"/>
      <c r="Z152" s="153"/>
      <c r="AA152" s="153"/>
      <c r="AB152" s="153"/>
      <c r="AC152" s="153"/>
      <c r="AD152" s="153"/>
      <c r="AE152" s="153"/>
      <c r="AF152" s="153"/>
      <c r="AG152" s="153"/>
      <c r="AH152" s="153"/>
      <c r="AI152" s="153"/>
      <c r="AJ152" s="153"/>
      <c r="AK152" s="153"/>
      <c r="AL152" s="153"/>
      <c r="AM152" s="153"/>
      <c r="AN152" s="153"/>
      <c r="AO152" s="153"/>
      <c r="AP152" s="153"/>
      <c r="AQ152" s="153"/>
      <c r="AR152" s="153"/>
    </row>
    <row r="153" spans="1:44">
      <c r="A153" s="657">
        <f>Gases!A160</f>
        <v>135</v>
      </c>
      <c r="B153" s="153"/>
      <c r="C153" s="153"/>
      <c r="D153" s="153"/>
      <c r="E153" s="153"/>
      <c r="F153" s="153"/>
      <c r="G153" s="153"/>
      <c r="H153" s="153"/>
      <c r="I153" s="153"/>
      <c r="J153" s="153"/>
      <c r="K153" s="153"/>
      <c r="L153" s="153"/>
      <c r="M153" s="153"/>
      <c r="N153" s="153"/>
      <c r="O153" s="153"/>
      <c r="P153" s="153"/>
      <c r="Q153" s="153"/>
      <c r="R153" s="153"/>
      <c r="S153" s="153"/>
      <c r="T153" s="153"/>
      <c r="U153" s="153"/>
      <c r="V153" s="153"/>
      <c r="W153" s="153"/>
      <c r="X153" s="153"/>
      <c r="Y153" s="153"/>
      <c r="Z153" s="153"/>
      <c r="AA153" s="153"/>
      <c r="AB153" s="153"/>
      <c r="AC153" s="153"/>
      <c r="AD153" s="153"/>
      <c r="AE153" s="153"/>
      <c r="AF153" s="153"/>
      <c r="AG153" s="153"/>
      <c r="AH153" s="153"/>
      <c r="AI153" s="153"/>
      <c r="AJ153" s="153"/>
      <c r="AK153" s="153"/>
      <c r="AL153" s="153"/>
      <c r="AM153" s="153"/>
      <c r="AN153" s="153"/>
      <c r="AO153" s="153"/>
      <c r="AP153" s="153"/>
      <c r="AQ153" s="153"/>
      <c r="AR153" s="153"/>
    </row>
    <row r="154" spans="1:44">
      <c r="A154" s="657">
        <f>Gases!A161</f>
        <v>136</v>
      </c>
      <c r="B154" s="153"/>
      <c r="C154" s="153"/>
      <c r="D154" s="153"/>
      <c r="E154" s="153"/>
      <c r="F154" s="153"/>
      <c r="G154" s="153"/>
      <c r="H154" s="153"/>
      <c r="I154" s="153"/>
      <c r="J154" s="153"/>
      <c r="K154" s="153"/>
      <c r="L154" s="153"/>
      <c r="M154" s="153"/>
      <c r="N154" s="153"/>
      <c r="O154" s="153"/>
      <c r="P154" s="153"/>
      <c r="Q154" s="153"/>
      <c r="R154" s="153"/>
      <c r="S154" s="153"/>
      <c r="T154" s="153"/>
      <c r="U154" s="153"/>
      <c r="V154" s="153"/>
      <c r="W154" s="153"/>
      <c r="X154" s="153"/>
      <c r="Y154" s="153"/>
      <c r="Z154" s="153"/>
      <c r="AA154" s="153"/>
      <c r="AB154" s="153"/>
      <c r="AC154" s="153"/>
      <c r="AD154" s="153"/>
      <c r="AE154" s="153"/>
      <c r="AF154" s="153"/>
      <c r="AG154" s="153"/>
      <c r="AH154" s="153"/>
      <c r="AI154" s="153"/>
      <c r="AJ154" s="153"/>
      <c r="AK154" s="153"/>
      <c r="AL154" s="153"/>
      <c r="AM154" s="153"/>
      <c r="AN154" s="153"/>
      <c r="AO154" s="153"/>
      <c r="AP154" s="153"/>
      <c r="AQ154" s="153"/>
      <c r="AR154" s="153"/>
    </row>
    <row r="155" spans="1:44">
      <c r="A155" s="657">
        <f>Gases!A162</f>
        <v>137</v>
      </c>
      <c r="B155" s="153"/>
      <c r="C155" s="153"/>
      <c r="D155" s="153"/>
      <c r="E155" s="153"/>
      <c r="F155" s="153"/>
      <c r="G155" s="153"/>
      <c r="H155" s="153"/>
      <c r="I155" s="153"/>
      <c r="J155" s="153"/>
      <c r="K155" s="153"/>
      <c r="L155" s="153"/>
      <c r="M155" s="153"/>
      <c r="N155" s="153"/>
      <c r="O155" s="153"/>
      <c r="P155" s="153"/>
      <c r="Q155" s="153"/>
      <c r="R155" s="153"/>
      <c r="S155" s="153"/>
      <c r="T155" s="153"/>
      <c r="U155" s="153"/>
      <c r="V155" s="153"/>
      <c r="W155" s="153"/>
      <c r="X155" s="153"/>
      <c r="Y155" s="153"/>
      <c r="Z155" s="153"/>
      <c r="AA155" s="153"/>
      <c r="AB155" s="153"/>
      <c r="AC155" s="153"/>
      <c r="AD155" s="153"/>
      <c r="AE155" s="153"/>
      <c r="AF155" s="153"/>
      <c r="AG155" s="153"/>
      <c r="AH155" s="153"/>
      <c r="AI155" s="153"/>
      <c r="AJ155" s="153"/>
      <c r="AK155" s="153"/>
      <c r="AL155" s="153"/>
      <c r="AM155" s="153"/>
      <c r="AN155" s="153"/>
      <c r="AO155" s="153"/>
      <c r="AP155" s="153"/>
      <c r="AQ155" s="153"/>
      <c r="AR155" s="153"/>
    </row>
    <row r="156" spans="1:44">
      <c r="A156" s="657">
        <f>Gases!A163</f>
        <v>138</v>
      </c>
      <c r="B156" s="153"/>
      <c r="C156" s="153"/>
      <c r="D156" s="153"/>
      <c r="E156" s="153"/>
      <c r="F156" s="153"/>
      <c r="G156" s="153"/>
      <c r="H156" s="153"/>
      <c r="I156" s="153"/>
      <c r="J156" s="153"/>
      <c r="K156" s="153"/>
      <c r="L156" s="153"/>
      <c r="M156" s="153"/>
      <c r="N156" s="153"/>
      <c r="O156" s="153"/>
      <c r="P156" s="153"/>
      <c r="Q156" s="153"/>
      <c r="R156" s="153"/>
      <c r="S156" s="153"/>
      <c r="T156" s="153"/>
      <c r="U156" s="153"/>
      <c r="V156" s="153"/>
      <c r="W156" s="153"/>
      <c r="X156" s="153"/>
      <c r="Y156" s="153"/>
      <c r="Z156" s="153"/>
      <c r="AA156" s="153"/>
      <c r="AB156" s="153"/>
      <c r="AC156" s="153"/>
      <c r="AD156" s="153"/>
      <c r="AE156" s="153"/>
      <c r="AF156" s="153"/>
      <c r="AG156" s="153"/>
      <c r="AH156" s="153"/>
      <c r="AI156" s="153"/>
      <c r="AJ156" s="153"/>
      <c r="AK156" s="153"/>
      <c r="AL156" s="153"/>
      <c r="AM156" s="153"/>
      <c r="AN156" s="153"/>
      <c r="AO156" s="153"/>
      <c r="AP156" s="153"/>
      <c r="AQ156" s="153"/>
      <c r="AR156" s="153"/>
    </row>
    <row r="157" spans="1:44">
      <c r="A157" s="657">
        <f>Gases!A164</f>
        <v>139</v>
      </c>
      <c r="B157" s="153"/>
      <c r="C157" s="153"/>
      <c r="D157" s="153"/>
      <c r="E157" s="153"/>
      <c r="F157" s="153"/>
      <c r="G157" s="153"/>
      <c r="H157" s="153"/>
      <c r="I157" s="153"/>
      <c r="J157" s="153"/>
      <c r="K157" s="153"/>
      <c r="L157" s="153"/>
      <c r="M157" s="153"/>
      <c r="N157" s="153"/>
      <c r="O157" s="153"/>
      <c r="P157" s="153"/>
      <c r="Q157" s="153"/>
      <c r="R157" s="153"/>
      <c r="S157" s="153"/>
      <c r="T157" s="153"/>
      <c r="U157" s="153"/>
      <c r="V157" s="153"/>
      <c r="W157" s="153"/>
      <c r="X157" s="153"/>
      <c r="Y157" s="153"/>
      <c r="Z157" s="153"/>
      <c r="AA157" s="153"/>
      <c r="AB157" s="153"/>
      <c r="AC157" s="153"/>
      <c r="AD157" s="153"/>
      <c r="AE157" s="153"/>
      <c r="AF157" s="153"/>
      <c r="AG157" s="153"/>
      <c r="AH157" s="153"/>
      <c r="AI157" s="153"/>
      <c r="AJ157" s="153"/>
      <c r="AK157" s="153"/>
      <c r="AL157" s="153"/>
      <c r="AM157" s="153"/>
      <c r="AN157" s="153"/>
      <c r="AO157" s="153"/>
      <c r="AP157" s="153"/>
      <c r="AQ157" s="153"/>
      <c r="AR157" s="153"/>
    </row>
    <row r="158" spans="1:44">
      <c r="A158" s="657">
        <f>Gases!A165</f>
        <v>140</v>
      </c>
      <c r="B158" s="153"/>
      <c r="C158" s="153"/>
      <c r="D158" s="153"/>
      <c r="E158" s="153"/>
      <c r="F158" s="153"/>
      <c r="G158" s="153"/>
      <c r="H158" s="153"/>
      <c r="I158" s="153"/>
      <c r="J158" s="153"/>
      <c r="K158" s="153"/>
      <c r="L158" s="153"/>
      <c r="M158" s="153"/>
      <c r="N158" s="153"/>
      <c r="O158" s="153"/>
      <c r="P158" s="153"/>
      <c r="Q158" s="153"/>
      <c r="R158" s="153"/>
      <c r="S158" s="153"/>
      <c r="T158" s="153"/>
      <c r="U158" s="153"/>
      <c r="V158" s="153"/>
      <c r="W158" s="153"/>
      <c r="X158" s="153"/>
      <c r="Y158" s="153"/>
      <c r="Z158" s="153"/>
      <c r="AA158" s="153"/>
      <c r="AB158" s="153"/>
      <c r="AC158" s="153"/>
      <c r="AD158" s="153"/>
      <c r="AE158" s="153"/>
      <c r="AF158" s="153"/>
      <c r="AG158" s="153"/>
      <c r="AH158" s="153"/>
      <c r="AI158" s="153"/>
      <c r="AJ158" s="153"/>
      <c r="AK158" s="153"/>
      <c r="AL158" s="153"/>
      <c r="AM158" s="153"/>
      <c r="AN158" s="153"/>
      <c r="AO158" s="153"/>
      <c r="AP158" s="153"/>
      <c r="AQ158" s="153"/>
      <c r="AR158" s="153"/>
    </row>
    <row r="159" spans="1:44">
      <c r="A159" s="657">
        <f>Gases!A166</f>
        <v>141</v>
      </c>
      <c r="B159" s="153"/>
      <c r="C159" s="153"/>
      <c r="D159" s="153"/>
      <c r="E159" s="153"/>
      <c r="F159" s="153"/>
      <c r="G159" s="153"/>
      <c r="H159" s="153"/>
      <c r="I159" s="153"/>
      <c r="J159" s="153"/>
      <c r="K159" s="153"/>
      <c r="L159" s="153"/>
      <c r="M159" s="153"/>
      <c r="N159" s="153"/>
      <c r="O159" s="153"/>
      <c r="P159" s="153"/>
      <c r="Q159" s="153"/>
      <c r="R159" s="153"/>
      <c r="S159" s="153"/>
      <c r="T159" s="153"/>
      <c r="U159" s="153"/>
      <c r="V159" s="153"/>
      <c r="W159" s="153"/>
      <c r="X159" s="153"/>
      <c r="Y159" s="153"/>
      <c r="Z159" s="153"/>
      <c r="AA159" s="153"/>
      <c r="AB159" s="153"/>
      <c r="AC159" s="153"/>
      <c r="AD159" s="153"/>
      <c r="AE159" s="153"/>
      <c r="AF159" s="153"/>
      <c r="AG159" s="153"/>
      <c r="AH159" s="153"/>
      <c r="AI159" s="153"/>
      <c r="AJ159" s="153"/>
      <c r="AK159" s="153"/>
      <c r="AL159" s="153"/>
      <c r="AM159" s="153"/>
      <c r="AN159" s="153"/>
      <c r="AO159" s="153"/>
      <c r="AP159" s="153"/>
      <c r="AQ159" s="153"/>
      <c r="AR159" s="153"/>
    </row>
    <row r="160" spans="1:44">
      <c r="A160" s="657">
        <f>Gases!A167</f>
        <v>142</v>
      </c>
      <c r="B160" s="153"/>
      <c r="C160" s="153"/>
      <c r="D160" s="153"/>
      <c r="E160" s="153"/>
      <c r="F160" s="153"/>
      <c r="G160" s="153"/>
      <c r="H160" s="153"/>
      <c r="I160" s="153"/>
      <c r="J160" s="153"/>
      <c r="K160" s="153"/>
      <c r="L160" s="153"/>
      <c r="M160" s="153"/>
      <c r="N160" s="153"/>
      <c r="O160" s="153"/>
      <c r="P160" s="153"/>
      <c r="Q160" s="153"/>
      <c r="R160" s="153"/>
      <c r="S160" s="153"/>
      <c r="T160" s="153"/>
      <c r="U160" s="153"/>
      <c r="V160" s="153"/>
      <c r="W160" s="153"/>
      <c r="X160" s="153"/>
      <c r="Y160" s="153"/>
      <c r="Z160" s="153"/>
      <c r="AA160" s="153"/>
      <c r="AB160" s="153"/>
      <c r="AC160" s="153"/>
      <c r="AD160" s="153"/>
      <c r="AE160" s="153"/>
      <c r="AF160" s="153"/>
      <c r="AG160" s="153"/>
      <c r="AH160" s="153"/>
      <c r="AI160" s="153"/>
      <c r="AJ160" s="153"/>
      <c r="AK160" s="153"/>
      <c r="AL160" s="153"/>
      <c r="AM160" s="153"/>
      <c r="AN160" s="153"/>
      <c r="AO160" s="153"/>
      <c r="AP160" s="153"/>
      <c r="AQ160" s="153"/>
      <c r="AR160" s="153"/>
    </row>
    <row r="161" spans="1:44">
      <c r="A161" s="657">
        <f>Gases!A168</f>
        <v>143</v>
      </c>
      <c r="B161" s="153"/>
      <c r="C161" s="153"/>
      <c r="D161" s="153"/>
      <c r="E161" s="153"/>
      <c r="F161" s="153"/>
      <c r="G161" s="153"/>
      <c r="H161" s="153"/>
      <c r="I161" s="153"/>
      <c r="J161" s="153"/>
      <c r="K161" s="153"/>
      <c r="L161" s="153"/>
      <c r="M161" s="153"/>
      <c r="N161" s="153"/>
      <c r="O161" s="153"/>
      <c r="P161" s="153"/>
      <c r="Q161" s="153"/>
      <c r="R161" s="153"/>
      <c r="S161" s="153"/>
      <c r="T161" s="153"/>
      <c r="U161" s="153"/>
      <c r="V161" s="153"/>
      <c r="W161" s="153"/>
      <c r="X161" s="153"/>
      <c r="Y161" s="153"/>
      <c r="Z161" s="153"/>
      <c r="AA161" s="153"/>
      <c r="AB161" s="153"/>
      <c r="AC161" s="153"/>
      <c r="AD161" s="153"/>
      <c r="AE161" s="153"/>
      <c r="AF161" s="153"/>
      <c r="AG161" s="153"/>
      <c r="AH161" s="153"/>
      <c r="AI161" s="153"/>
      <c r="AJ161" s="153"/>
      <c r="AK161" s="153"/>
      <c r="AL161" s="153"/>
      <c r="AM161" s="153"/>
      <c r="AN161" s="153"/>
      <c r="AO161" s="153"/>
      <c r="AP161" s="153"/>
      <c r="AQ161" s="153"/>
      <c r="AR161" s="153"/>
    </row>
    <row r="162" spans="1:44">
      <c r="A162" s="657">
        <f>Gases!A169</f>
        <v>144</v>
      </c>
      <c r="B162" s="153"/>
      <c r="C162" s="153"/>
      <c r="D162" s="153"/>
      <c r="E162" s="153"/>
      <c r="F162" s="153"/>
      <c r="G162" s="153"/>
      <c r="H162" s="153"/>
      <c r="I162" s="153"/>
      <c r="J162" s="153"/>
      <c r="K162" s="153"/>
      <c r="L162" s="153"/>
      <c r="M162" s="153"/>
      <c r="N162" s="153"/>
      <c r="O162" s="153"/>
      <c r="P162" s="153"/>
      <c r="Q162" s="153"/>
      <c r="R162" s="153"/>
      <c r="S162" s="153"/>
      <c r="T162" s="153"/>
      <c r="U162" s="153"/>
      <c r="V162" s="153"/>
      <c r="W162" s="153"/>
      <c r="X162" s="153"/>
      <c r="Y162" s="153"/>
      <c r="Z162" s="153"/>
      <c r="AA162" s="153"/>
      <c r="AB162" s="153"/>
      <c r="AC162" s="153"/>
      <c r="AD162" s="153"/>
      <c r="AE162" s="153"/>
      <c r="AF162" s="153"/>
      <c r="AG162" s="153"/>
      <c r="AH162" s="153"/>
      <c r="AI162" s="153"/>
      <c r="AJ162" s="153"/>
      <c r="AK162" s="153"/>
      <c r="AL162" s="153"/>
      <c r="AM162" s="153"/>
      <c r="AN162" s="153"/>
      <c r="AO162" s="153"/>
      <c r="AP162" s="153"/>
      <c r="AQ162" s="153"/>
      <c r="AR162" s="153"/>
    </row>
    <row r="163" spans="1:44">
      <c r="A163" s="657">
        <f>Gases!A170</f>
        <v>145</v>
      </c>
      <c r="B163" s="153"/>
      <c r="C163" s="153"/>
      <c r="D163" s="153"/>
      <c r="E163" s="153"/>
      <c r="F163" s="153"/>
      <c r="G163" s="153"/>
      <c r="H163" s="153"/>
      <c r="I163" s="153"/>
      <c r="J163" s="153"/>
      <c r="K163" s="153"/>
      <c r="L163" s="153"/>
      <c r="M163" s="153"/>
      <c r="N163" s="153"/>
      <c r="O163" s="153"/>
      <c r="P163" s="153"/>
      <c r="Q163" s="153"/>
      <c r="R163" s="153"/>
      <c r="S163" s="153"/>
      <c r="T163" s="153"/>
      <c r="U163" s="153"/>
      <c r="V163" s="153"/>
      <c r="W163" s="153"/>
      <c r="X163" s="153"/>
      <c r="Y163" s="153"/>
      <c r="Z163" s="153"/>
      <c r="AA163" s="153"/>
      <c r="AB163" s="153"/>
      <c r="AC163" s="153"/>
      <c r="AD163" s="153"/>
      <c r="AE163" s="153"/>
      <c r="AF163" s="153"/>
      <c r="AG163" s="153"/>
      <c r="AH163" s="153"/>
      <c r="AI163" s="153"/>
      <c r="AJ163" s="153"/>
      <c r="AK163" s="153"/>
      <c r="AL163" s="153"/>
      <c r="AM163" s="153"/>
      <c r="AN163" s="153"/>
      <c r="AO163" s="153"/>
      <c r="AP163" s="153"/>
      <c r="AQ163" s="153"/>
      <c r="AR163" s="153"/>
    </row>
    <row r="164" spans="1:44">
      <c r="A164" s="657">
        <f>Gases!A171</f>
        <v>146</v>
      </c>
      <c r="B164" s="153"/>
      <c r="C164" s="153"/>
      <c r="D164" s="153"/>
      <c r="E164" s="153"/>
      <c r="F164" s="153"/>
      <c r="G164" s="153"/>
      <c r="H164" s="153"/>
      <c r="I164" s="153"/>
      <c r="J164" s="153"/>
      <c r="K164" s="153"/>
      <c r="L164" s="153"/>
      <c r="M164" s="153"/>
      <c r="N164" s="153"/>
      <c r="O164" s="153"/>
      <c r="P164" s="153"/>
      <c r="Q164" s="153"/>
      <c r="R164" s="153"/>
      <c r="S164" s="153"/>
      <c r="T164" s="153"/>
      <c r="U164" s="153"/>
      <c r="V164" s="153"/>
      <c r="W164" s="153"/>
      <c r="X164" s="153"/>
      <c r="Y164" s="153"/>
      <c r="Z164" s="153"/>
      <c r="AA164" s="153"/>
      <c r="AB164" s="153"/>
      <c r="AC164" s="153"/>
      <c r="AD164" s="153"/>
      <c r="AE164" s="153"/>
      <c r="AF164" s="153"/>
      <c r="AG164" s="153"/>
      <c r="AH164" s="153"/>
      <c r="AI164" s="153"/>
      <c r="AJ164" s="153"/>
      <c r="AK164" s="153"/>
      <c r="AL164" s="153"/>
      <c r="AM164" s="153"/>
      <c r="AN164" s="153"/>
      <c r="AO164" s="153"/>
      <c r="AP164" s="153"/>
      <c r="AQ164" s="153"/>
      <c r="AR164" s="153"/>
    </row>
    <row r="165" spans="1:44">
      <c r="A165" s="657">
        <f>Gases!A172</f>
        <v>147</v>
      </c>
      <c r="B165" s="153"/>
      <c r="C165" s="153"/>
      <c r="D165" s="153"/>
      <c r="E165" s="153"/>
      <c r="F165" s="153"/>
      <c r="G165" s="153"/>
      <c r="H165" s="153"/>
      <c r="I165" s="153"/>
      <c r="J165" s="153"/>
      <c r="K165" s="153"/>
      <c r="L165" s="153"/>
      <c r="M165" s="153"/>
      <c r="N165" s="153"/>
      <c r="O165" s="153"/>
      <c r="P165" s="153"/>
      <c r="Q165" s="153"/>
      <c r="R165" s="153"/>
      <c r="S165" s="153"/>
      <c r="T165" s="153"/>
      <c r="U165" s="153"/>
      <c r="V165" s="153"/>
      <c r="W165" s="153"/>
      <c r="X165" s="153"/>
      <c r="Y165" s="153"/>
      <c r="Z165" s="153"/>
      <c r="AA165" s="153"/>
      <c r="AB165" s="153"/>
      <c r="AC165" s="153"/>
      <c r="AD165" s="153"/>
      <c r="AE165" s="153"/>
      <c r="AF165" s="153"/>
      <c r="AG165" s="153"/>
      <c r="AH165" s="153"/>
      <c r="AI165" s="153"/>
      <c r="AJ165" s="153"/>
      <c r="AK165" s="153"/>
      <c r="AL165" s="153"/>
      <c r="AM165" s="153"/>
      <c r="AN165" s="153"/>
      <c r="AO165" s="153"/>
      <c r="AP165" s="153"/>
      <c r="AQ165" s="153"/>
      <c r="AR165" s="153"/>
    </row>
    <row r="166" spans="1:44">
      <c r="A166" s="657">
        <f>Gases!A173</f>
        <v>148</v>
      </c>
      <c r="B166" s="153"/>
      <c r="C166" s="153"/>
      <c r="D166" s="153"/>
      <c r="E166" s="153"/>
      <c r="F166" s="153"/>
      <c r="G166" s="153"/>
      <c r="H166" s="153"/>
      <c r="I166" s="153"/>
      <c r="J166" s="153"/>
      <c r="K166" s="153"/>
      <c r="L166" s="153"/>
      <c r="M166" s="153"/>
      <c r="N166" s="153"/>
      <c r="O166" s="153"/>
      <c r="P166" s="153"/>
      <c r="Q166" s="153"/>
      <c r="R166" s="153"/>
      <c r="S166" s="153"/>
      <c r="T166" s="153"/>
      <c r="U166" s="153"/>
      <c r="V166" s="153"/>
      <c r="W166" s="153"/>
      <c r="X166" s="153"/>
      <c r="Y166" s="153"/>
      <c r="Z166" s="153"/>
      <c r="AA166" s="153"/>
      <c r="AB166" s="153"/>
      <c r="AC166" s="153"/>
      <c r="AD166" s="153"/>
      <c r="AE166" s="153"/>
      <c r="AF166" s="153"/>
      <c r="AG166" s="153"/>
      <c r="AH166" s="153"/>
      <c r="AI166" s="153"/>
      <c r="AJ166" s="153"/>
      <c r="AK166" s="153"/>
      <c r="AL166" s="153"/>
      <c r="AM166" s="153"/>
      <c r="AN166" s="153"/>
      <c r="AO166" s="153"/>
      <c r="AP166" s="153"/>
      <c r="AQ166" s="153"/>
      <c r="AR166" s="153"/>
    </row>
    <row r="167" spans="1:44">
      <c r="A167" s="657">
        <f>Gases!A174</f>
        <v>149</v>
      </c>
      <c r="B167" s="153"/>
      <c r="C167" s="153"/>
      <c r="D167" s="153"/>
      <c r="E167" s="153"/>
      <c r="F167" s="153"/>
      <c r="G167" s="153"/>
      <c r="H167" s="153"/>
      <c r="I167" s="153"/>
      <c r="J167" s="153"/>
      <c r="K167" s="153"/>
      <c r="L167" s="153"/>
      <c r="M167" s="153"/>
      <c r="N167" s="153"/>
      <c r="O167" s="153"/>
      <c r="P167" s="153"/>
      <c r="Q167" s="153"/>
      <c r="R167" s="153"/>
      <c r="S167" s="153"/>
      <c r="T167" s="153"/>
      <c r="U167" s="153"/>
      <c r="V167" s="153"/>
      <c r="W167" s="153"/>
      <c r="X167" s="153"/>
      <c r="Y167" s="153"/>
      <c r="Z167" s="153"/>
      <c r="AA167" s="153"/>
      <c r="AB167" s="153"/>
      <c r="AC167" s="153"/>
      <c r="AD167" s="153"/>
      <c r="AE167" s="153"/>
      <c r="AF167" s="153"/>
      <c r="AG167" s="153"/>
      <c r="AH167" s="153"/>
      <c r="AI167" s="153"/>
      <c r="AJ167" s="153"/>
      <c r="AK167" s="153"/>
      <c r="AL167" s="153"/>
      <c r="AM167" s="153"/>
      <c r="AN167" s="153"/>
      <c r="AO167" s="153"/>
      <c r="AP167" s="153"/>
      <c r="AQ167" s="153"/>
      <c r="AR167" s="153"/>
    </row>
    <row r="168" spans="1:44">
      <c r="A168" s="657">
        <f>Gases!A175</f>
        <v>150</v>
      </c>
      <c r="B168" s="153"/>
      <c r="C168" s="153"/>
      <c r="D168" s="153"/>
      <c r="E168" s="153"/>
      <c r="F168" s="153"/>
      <c r="G168" s="153"/>
      <c r="H168" s="153"/>
      <c r="I168" s="153"/>
      <c r="J168" s="153"/>
      <c r="K168" s="153"/>
      <c r="L168" s="153"/>
      <c r="M168" s="153"/>
      <c r="N168" s="153"/>
      <c r="O168" s="153"/>
      <c r="P168" s="153"/>
      <c r="Q168" s="153"/>
      <c r="R168" s="153"/>
      <c r="S168" s="153"/>
      <c r="T168" s="153"/>
      <c r="U168" s="153"/>
      <c r="V168" s="153"/>
      <c r="W168" s="153"/>
      <c r="X168" s="153"/>
      <c r="Y168" s="153"/>
      <c r="Z168" s="153"/>
      <c r="AA168" s="153"/>
      <c r="AB168" s="153"/>
      <c r="AC168" s="153"/>
      <c r="AD168" s="153"/>
      <c r="AE168" s="153"/>
      <c r="AF168" s="153"/>
      <c r="AG168" s="153"/>
      <c r="AH168" s="153"/>
      <c r="AI168" s="153"/>
      <c r="AJ168" s="153"/>
      <c r="AK168" s="153"/>
      <c r="AL168" s="153"/>
      <c r="AM168" s="153"/>
      <c r="AN168" s="153"/>
      <c r="AO168" s="153"/>
      <c r="AP168" s="153"/>
      <c r="AQ168" s="153"/>
      <c r="AR168" s="153"/>
    </row>
    <row r="169" spans="1:44">
      <c r="A169" s="657">
        <f>Gases!A176</f>
        <v>151</v>
      </c>
      <c r="B169" s="153"/>
      <c r="C169" s="153"/>
      <c r="D169" s="153"/>
      <c r="E169" s="153"/>
      <c r="F169" s="153"/>
      <c r="G169" s="153"/>
      <c r="H169" s="153"/>
      <c r="I169" s="153"/>
      <c r="J169" s="153"/>
      <c r="K169" s="153"/>
      <c r="L169" s="153"/>
      <c r="M169" s="153"/>
      <c r="N169" s="153"/>
      <c r="O169" s="153"/>
      <c r="P169" s="153"/>
      <c r="Q169" s="153"/>
      <c r="R169" s="153"/>
      <c r="S169" s="153"/>
      <c r="T169" s="153"/>
      <c r="U169" s="153"/>
      <c r="V169" s="153"/>
      <c r="W169" s="153"/>
      <c r="X169" s="153"/>
      <c r="Y169" s="153"/>
      <c r="Z169" s="153"/>
      <c r="AA169" s="153"/>
      <c r="AB169" s="153"/>
      <c r="AC169" s="153"/>
      <c r="AD169" s="153"/>
      <c r="AE169" s="153"/>
      <c r="AF169" s="153"/>
      <c r="AG169" s="153"/>
      <c r="AH169" s="153"/>
      <c r="AI169" s="153"/>
      <c r="AJ169" s="153"/>
      <c r="AK169" s="153"/>
      <c r="AL169" s="153"/>
      <c r="AM169" s="153"/>
      <c r="AN169" s="153"/>
      <c r="AO169" s="153"/>
      <c r="AP169" s="153"/>
      <c r="AQ169" s="153"/>
      <c r="AR169" s="153"/>
    </row>
    <row r="170" spans="1:44">
      <c r="A170" s="657">
        <f>Gases!A177</f>
        <v>152</v>
      </c>
      <c r="B170" s="153"/>
      <c r="C170" s="153"/>
      <c r="D170" s="153"/>
      <c r="E170" s="153"/>
      <c r="F170" s="153"/>
      <c r="G170" s="153"/>
      <c r="H170" s="153"/>
      <c r="I170" s="153"/>
      <c r="J170" s="153"/>
      <c r="K170" s="153"/>
      <c r="L170" s="153"/>
      <c r="M170" s="153"/>
      <c r="N170" s="153"/>
      <c r="O170" s="153"/>
      <c r="P170" s="153"/>
      <c r="Q170" s="153"/>
      <c r="R170" s="153"/>
      <c r="S170" s="153"/>
      <c r="T170" s="153"/>
      <c r="U170" s="153"/>
      <c r="V170" s="153"/>
      <c r="W170" s="153"/>
      <c r="X170" s="153"/>
      <c r="Y170" s="153"/>
      <c r="Z170" s="153"/>
      <c r="AA170" s="153"/>
      <c r="AB170" s="153"/>
      <c r="AC170" s="153"/>
      <c r="AD170" s="153"/>
      <c r="AE170" s="153"/>
      <c r="AF170" s="153"/>
      <c r="AG170" s="153"/>
      <c r="AH170" s="153"/>
      <c r="AI170" s="153"/>
      <c r="AJ170" s="153"/>
      <c r="AK170" s="153"/>
      <c r="AL170" s="153"/>
      <c r="AM170" s="153"/>
      <c r="AN170" s="153"/>
      <c r="AO170" s="153"/>
      <c r="AP170" s="153"/>
      <c r="AQ170" s="153"/>
      <c r="AR170" s="153"/>
    </row>
    <row r="171" spans="1:44">
      <c r="A171" s="657">
        <f>Gases!A178</f>
        <v>153</v>
      </c>
      <c r="B171" s="153"/>
      <c r="C171" s="153"/>
      <c r="D171" s="153"/>
      <c r="E171" s="153"/>
      <c r="F171" s="153"/>
      <c r="G171" s="153"/>
      <c r="H171" s="153"/>
      <c r="I171" s="153"/>
      <c r="J171" s="153"/>
      <c r="K171" s="153"/>
      <c r="L171" s="153"/>
      <c r="M171" s="153"/>
      <c r="N171" s="153"/>
      <c r="O171" s="153"/>
      <c r="P171" s="153"/>
      <c r="Q171" s="153"/>
      <c r="R171" s="153"/>
      <c r="S171" s="153"/>
      <c r="T171" s="153"/>
      <c r="U171" s="153"/>
      <c r="V171" s="153"/>
      <c r="W171" s="153"/>
      <c r="X171" s="153"/>
      <c r="Y171" s="153"/>
      <c r="Z171" s="153"/>
      <c r="AA171" s="153"/>
      <c r="AB171" s="153"/>
      <c r="AC171" s="153"/>
      <c r="AD171" s="153"/>
      <c r="AE171" s="153"/>
      <c r="AF171" s="153"/>
      <c r="AG171" s="153"/>
      <c r="AH171" s="153"/>
      <c r="AI171" s="153"/>
      <c r="AJ171" s="153"/>
      <c r="AK171" s="153"/>
      <c r="AL171" s="153"/>
      <c r="AM171" s="153"/>
      <c r="AN171" s="153"/>
      <c r="AO171" s="153"/>
      <c r="AP171" s="153"/>
      <c r="AQ171" s="153"/>
      <c r="AR171" s="153"/>
    </row>
    <row r="172" spans="1:44">
      <c r="A172" s="657">
        <f>Gases!A179</f>
        <v>154</v>
      </c>
      <c r="B172" s="153"/>
      <c r="C172" s="153"/>
      <c r="D172" s="153"/>
      <c r="E172" s="153"/>
      <c r="F172" s="153"/>
      <c r="G172" s="153"/>
      <c r="H172" s="153"/>
      <c r="I172" s="153"/>
      <c r="J172" s="153"/>
      <c r="K172" s="153"/>
      <c r="L172" s="153"/>
      <c r="M172" s="153"/>
      <c r="N172" s="153"/>
      <c r="O172" s="153"/>
      <c r="P172" s="153"/>
      <c r="Q172" s="153"/>
      <c r="R172" s="153"/>
      <c r="S172" s="153"/>
      <c r="T172" s="153"/>
      <c r="U172" s="153"/>
      <c r="V172" s="153"/>
      <c r="W172" s="153"/>
      <c r="X172" s="153"/>
      <c r="Y172" s="153"/>
      <c r="Z172" s="153"/>
      <c r="AA172" s="153"/>
      <c r="AB172" s="153"/>
      <c r="AC172" s="153"/>
      <c r="AD172" s="153"/>
      <c r="AE172" s="153"/>
      <c r="AF172" s="153"/>
      <c r="AG172" s="153"/>
      <c r="AH172" s="153"/>
      <c r="AI172" s="153"/>
      <c r="AJ172" s="153"/>
      <c r="AK172" s="153"/>
      <c r="AL172" s="153"/>
      <c r="AM172" s="153"/>
      <c r="AN172" s="153"/>
      <c r="AO172" s="153"/>
      <c r="AP172" s="153"/>
      <c r="AQ172" s="153"/>
      <c r="AR172" s="153"/>
    </row>
    <row r="173" spans="1:44">
      <c r="A173" s="657">
        <f>Gases!A180</f>
        <v>155</v>
      </c>
      <c r="B173" s="153"/>
      <c r="C173" s="153"/>
      <c r="D173" s="153"/>
      <c r="E173" s="153"/>
      <c r="F173" s="153"/>
      <c r="G173" s="153"/>
      <c r="H173" s="153"/>
      <c r="I173" s="153"/>
      <c r="J173" s="153"/>
      <c r="K173" s="153"/>
      <c r="L173" s="153"/>
      <c r="M173" s="153"/>
      <c r="N173" s="153"/>
      <c r="O173" s="153"/>
      <c r="P173" s="153"/>
      <c r="Q173" s="153"/>
      <c r="R173" s="153"/>
      <c r="S173" s="153"/>
      <c r="T173" s="153"/>
      <c r="U173" s="153"/>
      <c r="V173" s="153"/>
      <c r="W173" s="153"/>
      <c r="X173" s="153"/>
      <c r="Y173" s="153"/>
      <c r="Z173" s="153"/>
      <c r="AA173" s="153"/>
      <c r="AB173" s="153"/>
      <c r="AC173" s="153"/>
      <c r="AD173" s="153"/>
      <c r="AE173" s="153"/>
      <c r="AF173" s="153"/>
      <c r="AG173" s="153"/>
      <c r="AH173" s="153"/>
      <c r="AI173" s="153"/>
      <c r="AJ173" s="153"/>
      <c r="AK173" s="153"/>
      <c r="AL173" s="153"/>
      <c r="AM173" s="153"/>
      <c r="AN173" s="153"/>
      <c r="AO173" s="153"/>
      <c r="AP173" s="153"/>
      <c r="AQ173" s="153"/>
      <c r="AR173" s="153"/>
    </row>
    <row r="174" spans="1:44">
      <c r="A174" s="657">
        <f>Gases!A181</f>
        <v>156</v>
      </c>
      <c r="B174" s="153"/>
      <c r="C174" s="153"/>
      <c r="D174" s="153"/>
      <c r="E174" s="153"/>
      <c r="F174" s="153"/>
      <c r="G174" s="153"/>
      <c r="H174" s="153"/>
      <c r="I174" s="153"/>
      <c r="J174" s="153"/>
      <c r="K174" s="153"/>
      <c r="L174" s="153"/>
      <c r="M174" s="153"/>
      <c r="N174" s="153"/>
      <c r="O174" s="153"/>
      <c r="P174" s="153"/>
      <c r="Q174" s="153"/>
      <c r="R174" s="153"/>
      <c r="S174" s="153"/>
      <c r="T174" s="153"/>
      <c r="U174" s="153"/>
      <c r="V174" s="153"/>
      <c r="W174" s="153"/>
      <c r="X174" s="153"/>
      <c r="Y174" s="153"/>
      <c r="Z174" s="153"/>
      <c r="AA174" s="153"/>
      <c r="AB174" s="153"/>
      <c r="AC174" s="153"/>
      <c r="AD174" s="153"/>
      <c r="AE174" s="153"/>
      <c r="AF174" s="153"/>
      <c r="AG174" s="153"/>
      <c r="AH174" s="153"/>
      <c r="AI174" s="153"/>
      <c r="AJ174" s="153"/>
      <c r="AK174" s="153"/>
      <c r="AL174" s="153"/>
      <c r="AM174" s="153"/>
      <c r="AN174" s="153"/>
      <c r="AO174" s="153"/>
      <c r="AP174" s="153"/>
      <c r="AQ174" s="153"/>
      <c r="AR174" s="153"/>
    </row>
    <row r="175" spans="1:44">
      <c r="A175" s="657">
        <f>Gases!A182</f>
        <v>157</v>
      </c>
      <c r="B175" s="153"/>
      <c r="C175" s="153"/>
      <c r="D175" s="153"/>
      <c r="E175" s="153"/>
      <c r="F175" s="153"/>
      <c r="G175" s="153"/>
      <c r="H175" s="153"/>
      <c r="I175" s="153"/>
      <c r="J175" s="153"/>
      <c r="K175" s="153"/>
      <c r="L175" s="153"/>
      <c r="M175" s="153"/>
      <c r="N175" s="153"/>
      <c r="O175" s="153"/>
      <c r="P175" s="153"/>
      <c r="Q175" s="153"/>
      <c r="R175" s="153"/>
      <c r="S175" s="153"/>
      <c r="T175" s="153"/>
      <c r="U175" s="153"/>
      <c r="V175" s="153"/>
      <c r="W175" s="153"/>
      <c r="X175" s="153"/>
      <c r="Y175" s="153"/>
      <c r="Z175" s="153"/>
      <c r="AA175" s="153"/>
      <c r="AB175" s="153"/>
      <c r="AC175" s="153"/>
      <c r="AD175" s="153"/>
      <c r="AE175" s="153"/>
      <c r="AF175" s="153"/>
      <c r="AG175" s="153"/>
      <c r="AH175" s="153"/>
      <c r="AI175" s="153"/>
      <c r="AJ175" s="153"/>
      <c r="AK175" s="153"/>
      <c r="AL175" s="153"/>
      <c r="AM175" s="153"/>
      <c r="AN175" s="153"/>
      <c r="AO175" s="153"/>
      <c r="AP175" s="153"/>
      <c r="AQ175" s="153"/>
      <c r="AR175" s="153"/>
    </row>
    <row r="176" spans="1:44">
      <c r="A176" s="657">
        <f>Gases!A183</f>
        <v>158</v>
      </c>
      <c r="B176" s="153"/>
      <c r="C176" s="153"/>
      <c r="D176" s="153"/>
      <c r="E176" s="153"/>
      <c r="F176" s="153"/>
      <c r="G176" s="153"/>
      <c r="H176" s="153"/>
      <c r="I176" s="153"/>
      <c r="J176" s="153"/>
      <c r="K176" s="153"/>
      <c r="L176" s="153"/>
      <c r="M176" s="153"/>
      <c r="N176" s="153"/>
      <c r="O176" s="153"/>
      <c r="P176" s="153"/>
      <c r="Q176" s="153"/>
      <c r="R176" s="153"/>
      <c r="S176" s="153"/>
      <c r="T176" s="153"/>
      <c r="U176" s="153"/>
      <c r="V176" s="153"/>
      <c r="W176" s="153"/>
      <c r="X176" s="153"/>
      <c r="Y176" s="153"/>
      <c r="Z176" s="153"/>
      <c r="AA176" s="153"/>
      <c r="AB176" s="153"/>
      <c r="AC176" s="153"/>
      <c r="AD176" s="153"/>
      <c r="AE176" s="153"/>
      <c r="AF176" s="153"/>
      <c r="AG176" s="153"/>
      <c r="AH176" s="153"/>
      <c r="AI176" s="153"/>
      <c r="AJ176" s="153"/>
      <c r="AK176" s="153"/>
      <c r="AL176" s="153"/>
      <c r="AM176" s="153"/>
      <c r="AN176" s="153"/>
      <c r="AO176" s="153"/>
      <c r="AP176" s="153"/>
      <c r="AQ176" s="153"/>
      <c r="AR176" s="153"/>
    </row>
    <row r="177" spans="1:44">
      <c r="A177" s="657">
        <f>Gases!A184</f>
        <v>159</v>
      </c>
      <c r="B177" s="153"/>
      <c r="C177" s="153"/>
      <c r="D177" s="153"/>
      <c r="E177" s="153"/>
      <c r="F177" s="153"/>
      <c r="G177" s="153"/>
      <c r="H177" s="153"/>
      <c r="I177" s="153"/>
      <c r="J177" s="153"/>
      <c r="K177" s="153"/>
      <c r="L177" s="153"/>
      <c r="M177" s="153"/>
      <c r="N177" s="153"/>
      <c r="O177" s="153"/>
      <c r="P177" s="153"/>
      <c r="Q177" s="153"/>
      <c r="R177" s="153"/>
      <c r="S177" s="153"/>
      <c r="T177" s="153"/>
      <c r="U177" s="153"/>
      <c r="V177" s="153"/>
      <c r="W177" s="153"/>
      <c r="X177" s="153"/>
      <c r="Y177" s="153"/>
      <c r="Z177" s="153"/>
      <c r="AA177" s="153"/>
      <c r="AB177" s="153"/>
      <c r="AC177" s="153"/>
      <c r="AD177" s="153"/>
      <c r="AE177" s="153"/>
      <c r="AF177" s="153"/>
      <c r="AG177" s="153"/>
      <c r="AH177" s="153"/>
      <c r="AI177" s="153"/>
      <c r="AJ177" s="153"/>
      <c r="AK177" s="153"/>
      <c r="AL177" s="153"/>
      <c r="AM177" s="153"/>
      <c r="AN177" s="153"/>
      <c r="AO177" s="153"/>
      <c r="AP177" s="153"/>
      <c r="AQ177" s="153"/>
      <c r="AR177" s="153"/>
    </row>
    <row r="178" spans="1:44">
      <c r="A178" s="657">
        <f>Gases!A185</f>
        <v>160</v>
      </c>
      <c r="B178" s="153"/>
      <c r="C178" s="153"/>
      <c r="D178" s="153"/>
      <c r="E178" s="153"/>
      <c r="F178" s="153"/>
      <c r="G178" s="153"/>
      <c r="H178" s="153"/>
      <c r="I178" s="153"/>
      <c r="J178" s="153"/>
      <c r="K178" s="153"/>
      <c r="L178" s="153"/>
      <c r="M178" s="153"/>
      <c r="N178" s="153"/>
      <c r="O178" s="153"/>
      <c r="P178" s="153"/>
      <c r="Q178" s="153"/>
      <c r="R178" s="153"/>
      <c r="S178" s="153"/>
      <c r="T178" s="153"/>
      <c r="U178" s="153"/>
      <c r="V178" s="153"/>
      <c r="W178" s="153"/>
      <c r="X178" s="153"/>
      <c r="Y178" s="153"/>
      <c r="Z178" s="153"/>
      <c r="AA178" s="153"/>
      <c r="AB178" s="153"/>
      <c r="AC178" s="153"/>
      <c r="AD178" s="153"/>
      <c r="AE178" s="153"/>
      <c r="AF178" s="153"/>
      <c r="AG178" s="153"/>
      <c r="AH178" s="153"/>
      <c r="AI178" s="153"/>
      <c r="AJ178" s="153"/>
      <c r="AK178" s="153"/>
      <c r="AL178" s="153"/>
      <c r="AM178" s="153"/>
      <c r="AN178" s="153"/>
      <c r="AO178" s="153"/>
      <c r="AP178" s="153"/>
      <c r="AQ178" s="153"/>
      <c r="AR178" s="153"/>
    </row>
    <row r="179" spans="1:44">
      <c r="A179" s="657">
        <f>Gases!A186</f>
        <v>161</v>
      </c>
      <c r="B179" s="153"/>
      <c r="C179" s="153"/>
      <c r="D179" s="153"/>
      <c r="E179" s="153"/>
      <c r="F179" s="153"/>
      <c r="G179" s="153"/>
      <c r="H179" s="153"/>
      <c r="I179" s="153"/>
      <c r="J179" s="153"/>
      <c r="K179" s="153"/>
      <c r="L179" s="153"/>
      <c r="M179" s="153"/>
      <c r="N179" s="153"/>
      <c r="O179" s="153"/>
      <c r="P179" s="153"/>
      <c r="Q179" s="153"/>
      <c r="R179" s="153"/>
      <c r="S179" s="153"/>
      <c r="T179" s="153"/>
      <c r="U179" s="153"/>
      <c r="V179" s="153"/>
      <c r="W179" s="153"/>
      <c r="X179" s="153"/>
      <c r="Y179" s="153"/>
      <c r="Z179" s="153"/>
      <c r="AA179" s="153"/>
      <c r="AB179" s="153"/>
      <c r="AC179" s="153"/>
      <c r="AD179" s="153"/>
      <c r="AE179" s="153"/>
      <c r="AF179" s="153"/>
      <c r="AG179" s="153"/>
      <c r="AH179" s="153"/>
      <c r="AI179" s="153"/>
      <c r="AJ179" s="153"/>
      <c r="AK179" s="153"/>
      <c r="AL179" s="153"/>
      <c r="AM179" s="153"/>
      <c r="AN179" s="153"/>
      <c r="AO179" s="153"/>
      <c r="AP179" s="153"/>
      <c r="AQ179" s="153"/>
      <c r="AR179" s="153"/>
    </row>
    <row r="180" spans="1:44">
      <c r="A180" s="657">
        <f>Gases!A187</f>
        <v>162</v>
      </c>
      <c r="B180" s="153"/>
      <c r="C180" s="153"/>
      <c r="D180" s="153"/>
      <c r="E180" s="153"/>
      <c r="F180" s="153"/>
      <c r="G180" s="153"/>
      <c r="H180" s="153"/>
      <c r="I180" s="153"/>
      <c r="J180" s="153"/>
      <c r="K180" s="153"/>
      <c r="L180" s="153"/>
      <c r="M180" s="153"/>
      <c r="N180" s="153"/>
      <c r="O180" s="153"/>
      <c r="P180" s="153"/>
      <c r="Q180" s="153"/>
      <c r="R180" s="153"/>
      <c r="S180" s="153"/>
      <c r="T180" s="153"/>
      <c r="U180" s="153"/>
      <c r="V180" s="153"/>
      <c r="W180" s="153"/>
      <c r="X180" s="153"/>
      <c r="Y180" s="153"/>
      <c r="Z180" s="153"/>
      <c r="AA180" s="153"/>
      <c r="AB180" s="153"/>
      <c r="AC180" s="153"/>
      <c r="AD180" s="153"/>
      <c r="AE180" s="153"/>
      <c r="AF180" s="153"/>
      <c r="AG180" s="153"/>
      <c r="AH180" s="153"/>
      <c r="AI180" s="153"/>
      <c r="AJ180" s="153"/>
      <c r="AK180" s="153"/>
      <c r="AL180" s="153"/>
      <c r="AM180" s="153"/>
      <c r="AN180" s="153"/>
      <c r="AO180" s="153"/>
      <c r="AP180" s="153"/>
      <c r="AQ180" s="153"/>
      <c r="AR180" s="153"/>
    </row>
    <row r="181" spans="1:44">
      <c r="A181" s="657">
        <f>Gases!A188</f>
        <v>163</v>
      </c>
      <c r="B181" s="153"/>
      <c r="C181" s="153"/>
      <c r="D181" s="153"/>
      <c r="E181" s="153"/>
      <c r="F181" s="153"/>
      <c r="G181" s="153"/>
      <c r="H181" s="153"/>
      <c r="I181" s="153"/>
      <c r="J181" s="153"/>
      <c r="K181" s="153"/>
      <c r="L181" s="153"/>
      <c r="M181" s="153"/>
      <c r="N181" s="153"/>
      <c r="O181" s="153"/>
      <c r="P181" s="153"/>
      <c r="Q181" s="153"/>
      <c r="R181" s="153"/>
      <c r="S181" s="153"/>
      <c r="T181" s="153"/>
      <c r="U181" s="153"/>
      <c r="V181" s="153"/>
      <c r="W181" s="153"/>
      <c r="X181" s="153"/>
      <c r="Y181" s="153"/>
      <c r="Z181" s="153"/>
      <c r="AA181" s="153"/>
      <c r="AB181" s="153"/>
      <c r="AC181" s="153"/>
      <c r="AD181" s="153"/>
      <c r="AE181" s="153"/>
      <c r="AF181" s="153"/>
      <c r="AG181" s="153"/>
      <c r="AH181" s="153"/>
      <c r="AI181" s="153"/>
      <c r="AJ181" s="153"/>
      <c r="AK181" s="153"/>
      <c r="AL181" s="153"/>
      <c r="AM181" s="153"/>
      <c r="AN181" s="153"/>
      <c r="AO181" s="153"/>
      <c r="AP181" s="153"/>
      <c r="AQ181" s="153"/>
      <c r="AR181" s="153"/>
    </row>
    <row r="182" spans="1:44">
      <c r="A182" s="741">
        <f>Gases!A189</f>
        <v>164</v>
      </c>
      <c r="B182" s="153"/>
      <c r="C182" s="153"/>
      <c r="D182" s="153"/>
      <c r="E182" s="153"/>
      <c r="F182" s="153"/>
      <c r="G182" s="153"/>
      <c r="H182" s="153"/>
      <c r="I182" s="153"/>
      <c r="J182" s="153"/>
      <c r="K182" s="153"/>
      <c r="L182" s="153"/>
      <c r="M182" s="153"/>
      <c r="N182" s="153"/>
      <c r="O182" s="153"/>
      <c r="P182" s="153"/>
      <c r="Q182" s="153"/>
      <c r="R182" s="153"/>
      <c r="S182" s="153"/>
      <c r="T182" s="153"/>
      <c r="U182" s="153"/>
      <c r="V182" s="153"/>
      <c r="W182" s="153"/>
      <c r="X182" s="153"/>
      <c r="Y182" s="153"/>
      <c r="Z182" s="153"/>
      <c r="AA182" s="153"/>
      <c r="AB182" s="153"/>
      <c r="AC182" s="153"/>
      <c r="AD182" s="153"/>
      <c r="AE182" s="153"/>
      <c r="AF182" s="153"/>
      <c r="AG182" s="153"/>
      <c r="AH182" s="153"/>
      <c r="AI182" s="153"/>
      <c r="AJ182" s="153"/>
      <c r="AK182" s="153"/>
      <c r="AL182" s="153"/>
      <c r="AM182" s="153"/>
      <c r="AN182" s="153"/>
      <c r="AO182" s="153"/>
      <c r="AP182" s="153"/>
      <c r="AQ182" s="153"/>
      <c r="AR182" s="153"/>
    </row>
    <row r="183" spans="1:44">
      <c r="A183" s="741">
        <f>Gases!A190</f>
        <v>165</v>
      </c>
      <c r="B183" s="153"/>
      <c r="C183" s="153"/>
      <c r="D183" s="153"/>
      <c r="E183" s="153"/>
      <c r="F183" s="153"/>
      <c r="G183" s="153"/>
      <c r="H183" s="153"/>
      <c r="I183" s="153"/>
      <c r="J183" s="153"/>
      <c r="K183" s="153"/>
      <c r="L183" s="153"/>
      <c r="M183" s="153"/>
      <c r="N183" s="153"/>
      <c r="O183" s="153"/>
      <c r="P183" s="153"/>
      <c r="Q183" s="153"/>
      <c r="R183" s="153"/>
      <c r="S183" s="153"/>
      <c r="T183" s="153"/>
      <c r="U183" s="153"/>
      <c r="V183" s="153"/>
      <c r="W183" s="153"/>
      <c r="X183" s="153"/>
      <c r="Y183" s="153"/>
      <c r="Z183" s="153"/>
      <c r="AA183" s="153"/>
      <c r="AB183" s="153"/>
      <c r="AC183" s="153"/>
      <c r="AD183" s="153"/>
      <c r="AE183" s="153"/>
      <c r="AF183" s="153"/>
      <c r="AG183" s="153"/>
      <c r="AH183" s="153"/>
      <c r="AI183" s="153"/>
      <c r="AJ183" s="153"/>
      <c r="AK183" s="153"/>
      <c r="AL183" s="153"/>
      <c r="AM183" s="153"/>
      <c r="AN183" s="153"/>
      <c r="AO183" s="153"/>
      <c r="AP183" s="153"/>
      <c r="AQ183" s="153"/>
      <c r="AR183" s="153"/>
    </row>
    <row r="184" spans="1:44">
      <c r="A184" s="741">
        <f>Gases!A191</f>
        <v>166</v>
      </c>
      <c r="B184" s="153"/>
      <c r="C184" s="153"/>
      <c r="D184" s="153"/>
      <c r="E184" s="153"/>
      <c r="F184" s="153"/>
      <c r="G184" s="153"/>
      <c r="H184" s="153"/>
      <c r="I184" s="153"/>
      <c r="J184" s="153"/>
      <c r="K184" s="153"/>
      <c r="L184" s="153"/>
      <c r="M184" s="153"/>
      <c r="N184" s="153"/>
      <c r="O184" s="153"/>
      <c r="P184" s="153"/>
      <c r="Q184" s="153"/>
      <c r="R184" s="153"/>
      <c r="S184" s="153"/>
      <c r="T184" s="153"/>
      <c r="U184" s="153"/>
      <c r="V184" s="153"/>
      <c r="W184" s="153"/>
      <c r="X184" s="153"/>
      <c r="Y184" s="153"/>
      <c r="Z184" s="153"/>
      <c r="AA184" s="153"/>
      <c r="AB184" s="153"/>
      <c r="AC184" s="153"/>
      <c r="AD184" s="153"/>
      <c r="AE184" s="153"/>
      <c r="AF184" s="153"/>
      <c r="AG184" s="153"/>
      <c r="AH184" s="153"/>
      <c r="AI184" s="153"/>
      <c r="AJ184" s="153"/>
      <c r="AK184" s="153"/>
      <c r="AL184" s="153"/>
      <c r="AM184" s="153"/>
      <c r="AN184" s="153"/>
      <c r="AO184" s="153"/>
      <c r="AP184" s="153"/>
      <c r="AQ184" s="153"/>
      <c r="AR184" s="153"/>
    </row>
    <row r="185" spans="1:44">
      <c r="A185" s="741">
        <f>Gases!A192</f>
        <v>167</v>
      </c>
      <c r="B185" s="153"/>
      <c r="C185" s="153"/>
      <c r="D185" s="153"/>
      <c r="E185" s="153"/>
      <c r="F185" s="153"/>
      <c r="G185" s="153"/>
      <c r="H185" s="153"/>
      <c r="I185" s="153"/>
      <c r="J185" s="153"/>
      <c r="K185" s="153"/>
      <c r="L185" s="153"/>
      <c r="M185" s="153"/>
      <c r="N185" s="153"/>
      <c r="O185" s="153"/>
      <c r="P185" s="153"/>
      <c r="Q185" s="153"/>
      <c r="R185" s="153"/>
      <c r="S185" s="153"/>
      <c r="T185" s="153"/>
      <c r="U185" s="153"/>
      <c r="V185" s="153"/>
      <c r="W185" s="153"/>
      <c r="X185" s="153"/>
      <c r="Y185" s="153"/>
      <c r="Z185" s="153"/>
      <c r="AA185" s="153"/>
      <c r="AB185" s="153"/>
      <c r="AC185" s="153"/>
      <c r="AD185" s="153"/>
      <c r="AE185" s="153"/>
      <c r="AF185" s="153"/>
      <c r="AG185" s="153"/>
      <c r="AH185" s="153"/>
      <c r="AI185" s="153"/>
      <c r="AJ185" s="153"/>
      <c r="AK185" s="153"/>
      <c r="AL185" s="153"/>
      <c r="AM185" s="153"/>
      <c r="AN185" s="153"/>
      <c r="AO185" s="153"/>
      <c r="AP185" s="153"/>
      <c r="AQ185" s="153"/>
      <c r="AR185" s="153"/>
    </row>
    <row r="186" spans="1:44">
      <c r="A186" s="741">
        <f>Gases!A193</f>
        <v>168</v>
      </c>
      <c r="B186" s="153"/>
      <c r="C186" s="153"/>
      <c r="D186" s="153"/>
      <c r="E186" s="153"/>
      <c r="F186" s="153"/>
      <c r="G186" s="153"/>
      <c r="H186" s="153"/>
      <c r="I186" s="153"/>
      <c r="J186" s="153"/>
      <c r="K186" s="153"/>
      <c r="L186" s="153"/>
      <c r="M186" s="153"/>
      <c r="N186" s="153"/>
      <c r="O186" s="153"/>
      <c r="P186" s="153"/>
      <c r="Q186" s="153"/>
      <c r="R186" s="153"/>
      <c r="S186" s="153"/>
      <c r="T186" s="153"/>
      <c r="U186" s="153"/>
      <c r="V186" s="153"/>
      <c r="W186" s="153"/>
      <c r="X186" s="153"/>
      <c r="Y186" s="153"/>
      <c r="Z186" s="153"/>
      <c r="AA186" s="153"/>
      <c r="AB186" s="153"/>
      <c r="AC186" s="153"/>
      <c r="AD186" s="153"/>
      <c r="AE186" s="153"/>
      <c r="AF186" s="153"/>
      <c r="AG186" s="153"/>
      <c r="AH186" s="153"/>
      <c r="AI186" s="153"/>
      <c r="AJ186" s="153"/>
      <c r="AK186" s="153"/>
      <c r="AL186" s="153"/>
      <c r="AM186" s="153"/>
      <c r="AN186" s="153"/>
      <c r="AO186" s="153"/>
      <c r="AP186" s="153"/>
      <c r="AQ186" s="153"/>
      <c r="AR186" s="153"/>
    </row>
    <row r="187" spans="1:44">
      <c r="A187" s="741">
        <f>Gases!A194</f>
        <v>169</v>
      </c>
      <c r="B187" s="153"/>
      <c r="C187" s="153"/>
      <c r="D187" s="153"/>
      <c r="E187" s="153"/>
      <c r="F187" s="153"/>
      <c r="G187" s="153"/>
      <c r="H187" s="153"/>
      <c r="I187" s="153"/>
      <c r="J187" s="153"/>
      <c r="K187" s="153"/>
      <c r="L187" s="153"/>
      <c r="M187" s="153"/>
      <c r="N187" s="153"/>
      <c r="O187" s="153"/>
      <c r="P187" s="153"/>
      <c r="Q187" s="153"/>
      <c r="R187" s="153"/>
      <c r="S187" s="153"/>
      <c r="T187" s="153"/>
      <c r="U187" s="153"/>
      <c r="V187" s="153"/>
      <c r="W187" s="153"/>
      <c r="X187" s="153"/>
      <c r="Y187" s="153"/>
      <c r="Z187" s="153"/>
      <c r="AA187" s="153"/>
      <c r="AB187" s="153"/>
      <c r="AC187" s="153"/>
      <c r="AD187" s="153"/>
      <c r="AE187" s="153"/>
      <c r="AF187" s="153"/>
      <c r="AG187" s="153"/>
      <c r="AH187" s="153"/>
      <c r="AI187" s="153"/>
      <c r="AJ187" s="153"/>
      <c r="AK187" s="153"/>
      <c r="AL187" s="153"/>
      <c r="AM187" s="153"/>
      <c r="AN187" s="153"/>
      <c r="AO187" s="153"/>
      <c r="AP187" s="153"/>
      <c r="AQ187" s="153"/>
      <c r="AR187" s="153"/>
    </row>
    <row r="188" spans="1:44">
      <c r="A188" s="741">
        <f>Gases!A195</f>
        <v>170</v>
      </c>
      <c r="B188" s="153"/>
      <c r="C188" s="153"/>
      <c r="D188" s="153"/>
      <c r="E188" s="153"/>
      <c r="F188" s="153"/>
      <c r="G188" s="153"/>
      <c r="H188" s="153"/>
      <c r="I188" s="153"/>
      <c r="J188" s="153"/>
      <c r="K188" s="153"/>
      <c r="L188" s="153"/>
      <c r="M188" s="153"/>
      <c r="N188" s="153"/>
      <c r="O188" s="153"/>
      <c r="P188" s="153"/>
      <c r="Q188" s="153"/>
      <c r="R188" s="153"/>
      <c r="S188" s="153"/>
      <c r="T188" s="153"/>
      <c r="U188" s="153"/>
      <c r="V188" s="153"/>
      <c r="W188" s="153"/>
      <c r="X188" s="153"/>
      <c r="Y188" s="153"/>
      <c r="Z188" s="153"/>
      <c r="AA188" s="153"/>
      <c r="AB188" s="153"/>
      <c r="AC188" s="153"/>
      <c r="AD188" s="153"/>
      <c r="AE188" s="153"/>
      <c r="AF188" s="153"/>
      <c r="AG188" s="153"/>
      <c r="AH188" s="153"/>
      <c r="AI188" s="153"/>
      <c r="AJ188" s="153"/>
      <c r="AK188" s="153"/>
      <c r="AL188" s="153"/>
      <c r="AM188" s="153"/>
      <c r="AN188" s="153"/>
      <c r="AO188" s="153"/>
      <c r="AP188" s="153"/>
      <c r="AQ188" s="153"/>
      <c r="AR188" s="153"/>
    </row>
    <row r="189" spans="1:44">
      <c r="A189" s="741">
        <f>Gases!A196</f>
        <v>171</v>
      </c>
      <c r="B189" s="153"/>
      <c r="C189" s="153"/>
      <c r="D189" s="153"/>
      <c r="E189" s="153"/>
      <c r="F189" s="153"/>
      <c r="G189" s="153"/>
      <c r="H189" s="153"/>
      <c r="I189" s="153"/>
      <c r="J189" s="153"/>
      <c r="K189" s="153"/>
      <c r="L189" s="153"/>
      <c r="M189" s="153"/>
      <c r="N189" s="153"/>
      <c r="O189" s="153"/>
      <c r="P189" s="153"/>
      <c r="Q189" s="153"/>
      <c r="R189" s="153"/>
      <c r="S189" s="153"/>
      <c r="T189" s="153"/>
      <c r="U189" s="153"/>
      <c r="V189" s="153"/>
      <c r="W189" s="153"/>
      <c r="X189" s="153"/>
      <c r="Y189" s="153"/>
      <c r="Z189" s="153"/>
      <c r="AA189" s="153"/>
      <c r="AB189" s="153"/>
      <c r="AC189" s="153"/>
      <c r="AD189" s="153"/>
      <c r="AE189" s="153"/>
      <c r="AF189" s="153"/>
      <c r="AG189" s="153"/>
      <c r="AH189" s="153"/>
      <c r="AI189" s="153"/>
      <c r="AJ189" s="153"/>
      <c r="AK189" s="153"/>
      <c r="AL189" s="153"/>
      <c r="AM189" s="153"/>
      <c r="AN189" s="153"/>
      <c r="AO189" s="153"/>
      <c r="AP189" s="153"/>
      <c r="AQ189" s="153"/>
      <c r="AR189" s="153"/>
    </row>
    <row r="190" spans="1:44">
      <c r="A190" s="741">
        <f>Gases!A197</f>
        <v>172</v>
      </c>
      <c r="B190" s="153"/>
      <c r="C190" s="153"/>
      <c r="D190" s="153"/>
      <c r="E190" s="153"/>
      <c r="F190" s="153"/>
      <c r="G190" s="153"/>
      <c r="H190" s="153"/>
      <c r="I190" s="153"/>
      <c r="J190" s="153"/>
      <c r="K190" s="153"/>
      <c r="L190" s="153"/>
      <c r="M190" s="153"/>
      <c r="N190" s="153"/>
      <c r="O190" s="153"/>
      <c r="P190" s="153"/>
      <c r="Q190" s="153"/>
      <c r="R190" s="153"/>
      <c r="S190" s="153"/>
      <c r="T190" s="153"/>
      <c r="U190" s="153"/>
      <c r="V190" s="153"/>
      <c r="W190" s="153"/>
      <c r="X190" s="153"/>
      <c r="Y190" s="153"/>
      <c r="Z190" s="153"/>
      <c r="AA190" s="153"/>
      <c r="AB190" s="153"/>
      <c r="AC190" s="153"/>
      <c r="AD190" s="153"/>
      <c r="AE190" s="153"/>
      <c r="AF190" s="153"/>
      <c r="AG190" s="153"/>
      <c r="AH190" s="153"/>
      <c r="AI190" s="153"/>
      <c r="AJ190" s="153"/>
      <c r="AK190" s="153"/>
      <c r="AL190" s="153"/>
      <c r="AM190" s="153"/>
      <c r="AN190" s="153"/>
      <c r="AO190" s="153"/>
      <c r="AP190" s="153"/>
      <c r="AQ190" s="153"/>
      <c r="AR190" s="153"/>
    </row>
    <row r="191" spans="1:44">
      <c r="A191" s="741">
        <f>Gases!A198</f>
        <v>173</v>
      </c>
      <c r="B191" s="153"/>
      <c r="C191" s="153"/>
      <c r="D191" s="153"/>
      <c r="E191" s="153"/>
      <c r="F191" s="153"/>
      <c r="G191" s="153"/>
      <c r="H191" s="153"/>
      <c r="I191" s="153"/>
      <c r="J191" s="153"/>
      <c r="K191" s="153"/>
      <c r="L191" s="153"/>
      <c r="M191" s="153"/>
      <c r="N191" s="153"/>
      <c r="O191" s="153"/>
      <c r="P191" s="153"/>
      <c r="Q191" s="153"/>
      <c r="R191" s="153"/>
      <c r="S191" s="153"/>
      <c r="T191" s="153"/>
      <c r="U191" s="153"/>
      <c r="V191" s="153"/>
      <c r="W191" s="153"/>
      <c r="X191" s="153"/>
      <c r="Y191" s="153"/>
      <c r="Z191" s="153"/>
      <c r="AA191" s="153"/>
      <c r="AB191" s="153"/>
      <c r="AC191" s="153"/>
      <c r="AD191" s="153"/>
      <c r="AE191" s="153"/>
      <c r="AF191" s="153"/>
      <c r="AG191" s="153"/>
      <c r="AH191" s="153"/>
      <c r="AI191" s="153"/>
      <c r="AJ191" s="153"/>
      <c r="AK191" s="153"/>
      <c r="AL191" s="153"/>
      <c r="AM191" s="153"/>
      <c r="AN191" s="153"/>
      <c r="AO191" s="153"/>
      <c r="AP191" s="153"/>
      <c r="AQ191" s="153"/>
      <c r="AR191" s="153"/>
    </row>
    <row r="192" spans="1:44">
      <c r="A192" s="741">
        <f>Gases!A199</f>
        <v>174</v>
      </c>
      <c r="B192" s="153"/>
      <c r="C192" s="153"/>
      <c r="D192" s="153"/>
      <c r="E192" s="153"/>
      <c r="F192" s="153"/>
      <c r="G192" s="153"/>
      <c r="H192" s="153"/>
      <c r="I192" s="153"/>
      <c r="J192" s="153"/>
      <c r="K192" s="153"/>
      <c r="L192" s="153"/>
      <c r="M192" s="153"/>
      <c r="N192" s="153"/>
      <c r="O192" s="153"/>
      <c r="P192" s="153"/>
      <c r="Q192" s="153"/>
      <c r="R192" s="153"/>
      <c r="S192" s="153"/>
      <c r="T192" s="153"/>
      <c r="U192" s="153"/>
      <c r="V192" s="153"/>
      <c r="W192" s="153"/>
      <c r="X192" s="153"/>
      <c r="Y192" s="153"/>
      <c r="Z192" s="153"/>
      <c r="AA192" s="153"/>
      <c r="AB192" s="153"/>
      <c r="AC192" s="153"/>
      <c r="AD192" s="153"/>
      <c r="AE192" s="153"/>
      <c r="AF192" s="153"/>
      <c r="AG192" s="153"/>
      <c r="AH192" s="153"/>
      <c r="AI192" s="153"/>
      <c r="AJ192" s="153"/>
      <c r="AK192" s="153"/>
      <c r="AL192" s="153"/>
      <c r="AM192" s="153"/>
      <c r="AN192" s="153"/>
      <c r="AO192" s="153"/>
      <c r="AP192" s="153"/>
      <c r="AQ192" s="153"/>
      <c r="AR192" s="153"/>
    </row>
    <row r="193" spans="1:44">
      <c r="A193" s="741">
        <f>Gases!A200</f>
        <v>175</v>
      </c>
      <c r="B193" s="153"/>
      <c r="C193" s="153"/>
      <c r="D193" s="153"/>
      <c r="E193" s="153"/>
      <c r="F193" s="153"/>
      <c r="G193" s="153"/>
      <c r="H193" s="153"/>
      <c r="I193" s="153"/>
      <c r="J193" s="153"/>
      <c r="K193" s="153"/>
      <c r="L193" s="153"/>
      <c r="M193" s="153"/>
      <c r="N193" s="153"/>
      <c r="O193" s="153"/>
      <c r="P193" s="153"/>
      <c r="Q193" s="153"/>
      <c r="R193" s="153"/>
      <c r="S193" s="153"/>
      <c r="T193" s="153"/>
      <c r="U193" s="153"/>
      <c r="V193" s="153"/>
      <c r="W193" s="153"/>
      <c r="X193" s="153"/>
      <c r="Y193" s="153"/>
      <c r="Z193" s="153"/>
      <c r="AA193" s="153"/>
      <c r="AB193" s="153"/>
      <c r="AC193" s="153"/>
      <c r="AD193" s="153"/>
      <c r="AE193" s="153"/>
      <c r="AF193" s="153"/>
      <c r="AG193" s="153"/>
      <c r="AH193" s="153"/>
      <c r="AI193" s="153"/>
      <c r="AJ193" s="153"/>
      <c r="AK193" s="153"/>
      <c r="AL193" s="153"/>
      <c r="AM193" s="153"/>
      <c r="AN193" s="153"/>
      <c r="AO193" s="153"/>
      <c r="AP193" s="153"/>
      <c r="AQ193" s="153"/>
      <c r="AR193" s="153"/>
    </row>
    <row r="194" spans="1:44">
      <c r="A194" s="741">
        <f>Gases!A201</f>
        <v>176</v>
      </c>
      <c r="B194" s="153"/>
      <c r="C194" s="153"/>
      <c r="D194" s="153"/>
      <c r="E194" s="153"/>
      <c r="F194" s="153"/>
      <c r="G194" s="153"/>
      <c r="H194" s="153"/>
      <c r="I194" s="153"/>
      <c r="J194" s="153"/>
      <c r="K194" s="153"/>
      <c r="L194" s="153"/>
      <c r="M194" s="153"/>
      <c r="N194" s="153"/>
      <c r="O194" s="153"/>
      <c r="P194" s="153"/>
      <c r="Q194" s="153"/>
      <c r="R194" s="153"/>
      <c r="S194" s="153"/>
      <c r="T194" s="153"/>
      <c r="U194" s="153"/>
      <c r="V194" s="153"/>
      <c r="W194" s="153"/>
      <c r="X194" s="153"/>
      <c r="Y194" s="153"/>
      <c r="Z194" s="153"/>
      <c r="AA194" s="153"/>
      <c r="AB194" s="153"/>
      <c r="AC194" s="153"/>
      <c r="AD194" s="153"/>
      <c r="AE194" s="153"/>
      <c r="AF194" s="153"/>
      <c r="AG194" s="153"/>
      <c r="AH194" s="153"/>
      <c r="AI194" s="153"/>
      <c r="AJ194" s="153"/>
      <c r="AK194" s="153"/>
      <c r="AL194" s="153"/>
      <c r="AM194" s="153"/>
      <c r="AN194" s="153"/>
      <c r="AO194" s="153"/>
      <c r="AP194" s="153"/>
      <c r="AQ194" s="153"/>
      <c r="AR194" s="153"/>
    </row>
    <row r="195" spans="1:44">
      <c r="A195" s="741">
        <f>Gases!A202</f>
        <v>177</v>
      </c>
      <c r="B195" s="153"/>
      <c r="C195" s="153"/>
      <c r="D195" s="153"/>
      <c r="E195" s="153"/>
      <c r="F195" s="153"/>
      <c r="G195" s="153"/>
      <c r="H195" s="153"/>
      <c r="I195" s="153"/>
      <c r="J195" s="153"/>
      <c r="K195" s="153"/>
      <c r="L195" s="153"/>
      <c r="M195" s="153"/>
      <c r="N195" s="153"/>
      <c r="O195" s="153"/>
      <c r="P195" s="153"/>
      <c r="Q195" s="153"/>
      <c r="R195" s="153"/>
      <c r="S195" s="153"/>
      <c r="T195" s="153"/>
      <c r="U195" s="153"/>
      <c r="V195" s="153"/>
      <c r="W195" s="153"/>
      <c r="X195" s="153"/>
      <c r="Y195" s="153"/>
      <c r="Z195" s="153"/>
      <c r="AA195" s="153"/>
      <c r="AB195" s="153"/>
      <c r="AC195" s="153"/>
      <c r="AD195" s="153"/>
      <c r="AE195" s="153"/>
      <c r="AF195" s="153"/>
      <c r="AG195" s="153"/>
      <c r="AH195" s="153"/>
      <c r="AI195" s="153"/>
      <c r="AJ195" s="153"/>
      <c r="AK195" s="153"/>
      <c r="AL195" s="153"/>
      <c r="AM195" s="153"/>
      <c r="AN195" s="153"/>
      <c r="AO195" s="153"/>
      <c r="AP195" s="153"/>
      <c r="AQ195" s="153"/>
      <c r="AR195" s="153"/>
    </row>
    <row r="196" spans="1:44">
      <c r="A196" s="741">
        <f>Gases!A203</f>
        <v>178</v>
      </c>
      <c r="B196" s="153"/>
      <c r="C196" s="153"/>
      <c r="D196" s="153"/>
      <c r="E196" s="153"/>
      <c r="F196" s="153"/>
      <c r="G196" s="153"/>
      <c r="H196" s="153"/>
      <c r="I196" s="153"/>
      <c r="J196" s="153"/>
      <c r="K196" s="153"/>
      <c r="L196" s="153"/>
      <c r="M196" s="153"/>
      <c r="N196" s="153"/>
      <c r="O196" s="153"/>
      <c r="P196" s="153"/>
      <c r="Q196" s="153"/>
      <c r="R196" s="153"/>
      <c r="S196" s="153"/>
      <c r="T196" s="153"/>
      <c r="U196" s="153"/>
      <c r="V196" s="153"/>
      <c r="W196" s="153"/>
      <c r="X196" s="153"/>
      <c r="Y196" s="153"/>
      <c r="Z196" s="153"/>
      <c r="AA196" s="153"/>
      <c r="AB196" s="153"/>
      <c r="AC196" s="153"/>
      <c r="AD196" s="153"/>
      <c r="AE196" s="153"/>
      <c r="AF196" s="153"/>
      <c r="AG196" s="153"/>
      <c r="AH196" s="153"/>
      <c r="AI196" s="153"/>
      <c r="AJ196" s="153"/>
      <c r="AK196" s="153"/>
      <c r="AL196" s="153"/>
      <c r="AM196" s="153"/>
      <c r="AN196" s="153"/>
      <c r="AO196" s="153"/>
      <c r="AP196" s="153"/>
      <c r="AQ196" s="153"/>
      <c r="AR196" s="153"/>
    </row>
    <row r="197" spans="1:44">
      <c r="A197" s="741">
        <f>Gases!A204</f>
        <v>179</v>
      </c>
      <c r="B197" s="153"/>
      <c r="C197" s="153"/>
      <c r="D197" s="153"/>
      <c r="E197" s="153"/>
      <c r="F197" s="153"/>
      <c r="G197" s="153"/>
      <c r="H197" s="153"/>
      <c r="I197" s="153"/>
      <c r="J197" s="153"/>
      <c r="K197" s="153"/>
      <c r="L197" s="153"/>
      <c r="M197" s="153"/>
      <c r="N197" s="153"/>
      <c r="O197" s="153"/>
      <c r="P197" s="153"/>
      <c r="Q197" s="153"/>
      <c r="R197" s="153"/>
      <c r="S197" s="153"/>
      <c r="T197" s="153"/>
      <c r="U197" s="153"/>
      <c r="V197" s="153"/>
      <c r="W197" s="153"/>
      <c r="X197" s="153"/>
      <c r="Y197" s="153"/>
      <c r="Z197" s="153"/>
      <c r="AA197" s="153"/>
      <c r="AB197" s="153"/>
      <c r="AC197" s="153"/>
      <c r="AD197" s="153"/>
      <c r="AE197" s="153"/>
      <c r="AF197" s="153"/>
      <c r="AG197" s="153"/>
      <c r="AH197" s="153"/>
      <c r="AI197" s="153"/>
      <c r="AJ197" s="153"/>
      <c r="AK197" s="153"/>
      <c r="AL197" s="153"/>
      <c r="AM197" s="153"/>
      <c r="AN197" s="153"/>
      <c r="AO197" s="153"/>
      <c r="AP197" s="153"/>
      <c r="AQ197" s="153"/>
      <c r="AR197" s="153"/>
    </row>
    <row r="198" spans="1:44">
      <c r="A198" s="741">
        <f>Gases!A205</f>
        <v>180</v>
      </c>
      <c r="B198" s="153"/>
      <c r="C198" s="153"/>
      <c r="D198" s="153"/>
      <c r="E198" s="153"/>
      <c r="F198" s="153"/>
      <c r="G198" s="153"/>
      <c r="H198" s="153"/>
      <c r="I198" s="153"/>
      <c r="J198" s="153"/>
      <c r="K198" s="153"/>
      <c r="L198" s="153"/>
      <c r="M198" s="153"/>
      <c r="N198" s="153"/>
      <c r="O198" s="153"/>
      <c r="P198" s="153"/>
      <c r="Q198" s="153"/>
      <c r="R198" s="153"/>
      <c r="S198" s="153"/>
      <c r="T198" s="153"/>
      <c r="U198" s="153"/>
      <c r="V198" s="153"/>
      <c r="W198" s="153"/>
      <c r="X198" s="153"/>
      <c r="Y198" s="153"/>
      <c r="Z198" s="153"/>
      <c r="AA198" s="153"/>
      <c r="AB198" s="153"/>
      <c r="AC198" s="153"/>
      <c r="AD198" s="153"/>
      <c r="AE198" s="153"/>
      <c r="AF198" s="153"/>
      <c r="AG198" s="153"/>
      <c r="AH198" s="153"/>
      <c r="AI198" s="153"/>
      <c r="AJ198" s="153"/>
      <c r="AK198" s="153"/>
      <c r="AL198" s="153"/>
      <c r="AM198" s="153"/>
      <c r="AN198" s="153"/>
      <c r="AO198" s="153"/>
      <c r="AP198" s="153"/>
      <c r="AQ198" s="153"/>
      <c r="AR198" s="153"/>
    </row>
    <row r="199" spans="1:44">
      <c r="A199" s="741">
        <f>Gases!A206</f>
        <v>181</v>
      </c>
      <c r="B199" s="153"/>
      <c r="C199" s="153"/>
      <c r="D199" s="153"/>
      <c r="E199" s="153"/>
      <c r="F199" s="153"/>
      <c r="G199" s="153"/>
      <c r="H199" s="153"/>
      <c r="I199" s="153"/>
      <c r="J199" s="153"/>
      <c r="K199" s="153"/>
      <c r="L199" s="153"/>
      <c r="M199" s="153"/>
      <c r="N199" s="153"/>
      <c r="O199" s="153"/>
      <c r="P199" s="153"/>
      <c r="Q199" s="153"/>
      <c r="R199" s="153"/>
      <c r="S199" s="153"/>
      <c r="T199" s="153"/>
      <c r="U199" s="153"/>
      <c r="V199" s="153"/>
      <c r="W199" s="153"/>
      <c r="X199" s="153"/>
      <c r="Y199" s="153"/>
      <c r="Z199" s="153"/>
      <c r="AA199" s="153"/>
      <c r="AB199" s="153"/>
      <c r="AC199" s="153"/>
      <c r="AD199" s="153"/>
      <c r="AE199" s="153"/>
      <c r="AF199" s="153"/>
      <c r="AG199" s="153"/>
      <c r="AH199" s="153"/>
      <c r="AI199" s="153"/>
      <c r="AJ199" s="153"/>
      <c r="AK199" s="153"/>
      <c r="AL199" s="153"/>
      <c r="AM199" s="153"/>
      <c r="AN199" s="153"/>
      <c r="AO199" s="153"/>
      <c r="AP199" s="153"/>
      <c r="AQ199" s="153"/>
      <c r="AR199" s="153"/>
    </row>
    <row r="200" spans="1:44">
      <c r="A200" s="741">
        <f>Gases!A207</f>
        <v>182</v>
      </c>
      <c r="B200" s="153"/>
      <c r="C200" s="153"/>
      <c r="D200" s="153"/>
      <c r="E200" s="153"/>
      <c r="F200" s="153"/>
      <c r="G200" s="153"/>
      <c r="H200" s="153"/>
      <c r="I200" s="153"/>
      <c r="J200" s="153"/>
      <c r="K200" s="153"/>
      <c r="L200" s="153"/>
      <c r="M200" s="153"/>
      <c r="N200" s="153"/>
      <c r="O200" s="153"/>
      <c r="P200" s="153"/>
      <c r="Q200" s="153"/>
      <c r="R200" s="153"/>
      <c r="S200" s="153"/>
      <c r="T200" s="153"/>
      <c r="U200" s="153"/>
      <c r="V200" s="153"/>
      <c r="W200" s="153"/>
      <c r="X200" s="153"/>
      <c r="Y200" s="153"/>
      <c r="Z200" s="153"/>
      <c r="AA200" s="153"/>
      <c r="AB200" s="153"/>
      <c r="AC200" s="153"/>
      <c r="AD200" s="153"/>
      <c r="AE200" s="153"/>
      <c r="AF200" s="153"/>
      <c r="AG200" s="153"/>
      <c r="AH200" s="153"/>
      <c r="AI200" s="153"/>
      <c r="AJ200" s="153"/>
      <c r="AK200" s="153"/>
      <c r="AL200" s="153"/>
      <c r="AM200" s="153"/>
      <c r="AN200" s="153"/>
      <c r="AO200" s="153"/>
      <c r="AP200" s="153"/>
      <c r="AQ200" s="153"/>
      <c r="AR200" s="153"/>
    </row>
    <row r="201" spans="1:44">
      <c r="A201" s="741">
        <f>Gases!A208</f>
        <v>183</v>
      </c>
      <c r="B201" s="153"/>
      <c r="C201" s="153"/>
      <c r="D201" s="153"/>
      <c r="E201" s="153"/>
      <c r="F201" s="153"/>
      <c r="G201" s="153"/>
      <c r="H201" s="153"/>
      <c r="I201" s="153"/>
      <c r="J201" s="153"/>
      <c r="K201" s="153"/>
      <c r="L201" s="153"/>
      <c r="M201" s="153"/>
      <c r="N201" s="153"/>
      <c r="O201" s="153"/>
      <c r="P201" s="153"/>
      <c r="Q201" s="153"/>
      <c r="R201" s="153"/>
      <c r="S201" s="153"/>
      <c r="T201" s="153"/>
      <c r="U201" s="153"/>
      <c r="V201" s="153"/>
      <c r="W201" s="153"/>
      <c r="X201" s="153"/>
      <c r="Y201" s="153"/>
      <c r="Z201" s="153"/>
      <c r="AA201" s="153"/>
      <c r="AB201" s="153"/>
      <c r="AC201" s="153"/>
      <c r="AD201" s="153"/>
      <c r="AE201" s="153"/>
      <c r="AF201" s="153"/>
      <c r="AG201" s="153"/>
      <c r="AH201" s="153"/>
      <c r="AI201" s="153"/>
      <c r="AJ201" s="153"/>
      <c r="AK201" s="153"/>
      <c r="AL201" s="153"/>
      <c r="AM201" s="153"/>
      <c r="AN201" s="153"/>
      <c r="AO201" s="153"/>
      <c r="AP201" s="153"/>
      <c r="AQ201" s="153"/>
      <c r="AR201" s="153"/>
    </row>
    <row r="202" spans="1:44">
      <c r="A202" s="741">
        <f>Gases!A209</f>
        <v>184</v>
      </c>
      <c r="B202" s="153"/>
      <c r="C202" s="153"/>
      <c r="D202" s="153"/>
      <c r="E202" s="153"/>
      <c r="F202" s="153"/>
      <c r="G202" s="153"/>
      <c r="H202" s="153"/>
      <c r="I202" s="153"/>
      <c r="J202" s="153"/>
      <c r="K202" s="153"/>
      <c r="L202" s="153"/>
      <c r="M202" s="153"/>
      <c r="N202" s="153"/>
      <c r="O202" s="153"/>
      <c r="P202" s="153"/>
      <c r="Q202" s="153"/>
      <c r="R202" s="153"/>
      <c r="S202" s="153"/>
      <c r="T202" s="153"/>
      <c r="U202" s="153"/>
      <c r="V202" s="153"/>
      <c r="W202" s="153"/>
      <c r="X202" s="153"/>
      <c r="Y202" s="153"/>
      <c r="Z202" s="153"/>
      <c r="AA202" s="153"/>
      <c r="AB202" s="153"/>
      <c r="AC202" s="153"/>
      <c r="AD202" s="153"/>
      <c r="AE202" s="153"/>
      <c r="AF202" s="153"/>
      <c r="AG202" s="153"/>
      <c r="AH202" s="153"/>
      <c r="AI202" s="153"/>
      <c r="AJ202" s="153"/>
      <c r="AK202" s="153"/>
      <c r="AL202" s="153"/>
      <c r="AM202" s="153"/>
      <c r="AN202" s="153"/>
      <c r="AO202" s="153"/>
      <c r="AP202" s="153"/>
      <c r="AQ202" s="153"/>
      <c r="AR202" s="153"/>
    </row>
    <row r="203" spans="1:44">
      <c r="A203" s="741">
        <f>Gases!A210</f>
        <v>185</v>
      </c>
      <c r="B203" s="153"/>
      <c r="C203" s="153"/>
      <c r="D203" s="153"/>
      <c r="E203" s="153"/>
      <c r="F203" s="153"/>
      <c r="G203" s="153"/>
      <c r="H203" s="153"/>
      <c r="I203" s="153"/>
      <c r="J203" s="153"/>
      <c r="K203" s="153"/>
      <c r="L203" s="153"/>
      <c r="M203" s="153"/>
      <c r="N203" s="153"/>
      <c r="O203" s="153"/>
      <c r="P203" s="153"/>
      <c r="Q203" s="153"/>
      <c r="R203" s="153"/>
      <c r="S203" s="153"/>
      <c r="T203" s="153"/>
      <c r="U203" s="153"/>
      <c r="V203" s="153"/>
      <c r="W203" s="153"/>
      <c r="X203" s="153"/>
      <c r="Y203" s="153"/>
      <c r="Z203" s="153"/>
      <c r="AA203" s="153"/>
      <c r="AB203" s="153"/>
      <c r="AC203" s="153"/>
      <c r="AD203" s="153"/>
      <c r="AE203" s="153"/>
      <c r="AF203" s="153"/>
      <c r="AG203" s="153"/>
      <c r="AH203" s="153"/>
      <c r="AI203" s="153"/>
      <c r="AJ203" s="153"/>
      <c r="AK203" s="153"/>
      <c r="AL203" s="153"/>
      <c r="AM203" s="153"/>
      <c r="AN203" s="153"/>
      <c r="AO203" s="153"/>
      <c r="AP203" s="153"/>
      <c r="AQ203" s="153"/>
      <c r="AR203" s="153"/>
    </row>
    <row r="204" spans="1:44">
      <c r="A204" s="741">
        <f>Gases!A211</f>
        <v>186</v>
      </c>
      <c r="B204" s="153"/>
      <c r="C204" s="153"/>
      <c r="D204" s="153"/>
      <c r="E204" s="153"/>
      <c r="F204" s="153"/>
      <c r="G204" s="153"/>
      <c r="H204" s="153"/>
      <c r="I204" s="153"/>
      <c r="J204" s="153"/>
      <c r="K204" s="153"/>
      <c r="L204" s="153"/>
      <c r="M204" s="153"/>
      <c r="N204" s="153"/>
      <c r="O204" s="153"/>
      <c r="P204" s="153"/>
      <c r="Q204" s="153"/>
      <c r="R204" s="153"/>
      <c r="S204" s="153"/>
      <c r="T204" s="153"/>
      <c r="U204" s="153"/>
      <c r="V204" s="153"/>
      <c r="W204" s="153"/>
      <c r="X204" s="153"/>
      <c r="Y204" s="153"/>
      <c r="Z204" s="153"/>
      <c r="AA204" s="153"/>
      <c r="AB204" s="153"/>
      <c r="AC204" s="153"/>
      <c r="AD204" s="153"/>
      <c r="AE204" s="153"/>
      <c r="AF204" s="153"/>
      <c r="AG204" s="153"/>
      <c r="AH204" s="153"/>
      <c r="AI204" s="153"/>
      <c r="AJ204" s="153"/>
      <c r="AK204" s="153"/>
      <c r="AL204" s="153"/>
      <c r="AM204" s="153"/>
      <c r="AN204" s="153"/>
      <c r="AO204" s="153"/>
      <c r="AP204" s="153"/>
      <c r="AQ204" s="153"/>
      <c r="AR204" s="153"/>
    </row>
    <row r="205" spans="1:44">
      <c r="A205" s="741">
        <f>Gases!A212</f>
        <v>187</v>
      </c>
      <c r="B205" s="153"/>
      <c r="C205" s="153"/>
      <c r="D205" s="153"/>
      <c r="E205" s="153"/>
      <c r="F205" s="153"/>
      <c r="G205" s="153"/>
      <c r="H205" s="153"/>
      <c r="I205" s="153"/>
      <c r="J205" s="153"/>
      <c r="K205" s="153"/>
      <c r="L205" s="153"/>
      <c r="M205" s="153"/>
      <c r="N205" s="153"/>
      <c r="O205" s="153"/>
      <c r="P205" s="153"/>
      <c r="Q205" s="153"/>
      <c r="R205" s="153"/>
      <c r="S205" s="153"/>
      <c r="T205" s="153"/>
      <c r="U205" s="153"/>
      <c r="V205" s="153"/>
      <c r="W205" s="153"/>
      <c r="X205" s="153"/>
      <c r="Y205" s="153"/>
      <c r="Z205" s="153"/>
      <c r="AA205" s="153"/>
      <c r="AB205" s="153"/>
      <c r="AC205" s="153"/>
      <c r="AD205" s="153"/>
      <c r="AE205" s="153"/>
      <c r="AF205" s="153"/>
      <c r="AG205" s="153"/>
      <c r="AH205" s="153"/>
      <c r="AI205" s="153"/>
      <c r="AJ205" s="153"/>
      <c r="AK205" s="153"/>
      <c r="AL205" s="153"/>
      <c r="AM205" s="153"/>
      <c r="AN205" s="153"/>
      <c r="AO205" s="153"/>
      <c r="AP205" s="153"/>
      <c r="AQ205" s="153"/>
      <c r="AR205" s="153"/>
    </row>
    <row r="206" spans="1:44">
      <c r="A206" s="741">
        <f>Gases!A213</f>
        <v>188</v>
      </c>
      <c r="B206" s="153"/>
      <c r="C206" s="153"/>
      <c r="D206" s="153"/>
      <c r="E206" s="153"/>
      <c r="F206" s="153"/>
      <c r="G206" s="153"/>
      <c r="H206" s="153"/>
      <c r="I206" s="153"/>
      <c r="J206" s="153"/>
      <c r="K206" s="153"/>
      <c r="L206" s="153"/>
      <c r="M206" s="153"/>
      <c r="N206" s="153"/>
      <c r="O206" s="153"/>
      <c r="P206" s="153"/>
      <c r="Q206" s="153"/>
      <c r="R206" s="153"/>
      <c r="S206" s="153"/>
      <c r="T206" s="153"/>
      <c r="U206" s="153"/>
      <c r="V206" s="153"/>
      <c r="W206" s="153"/>
      <c r="X206" s="153"/>
      <c r="Y206" s="153"/>
      <c r="Z206" s="153"/>
      <c r="AA206" s="153"/>
      <c r="AB206" s="153"/>
      <c r="AC206" s="153"/>
      <c r="AD206" s="153"/>
      <c r="AE206" s="153"/>
      <c r="AF206" s="153"/>
      <c r="AG206" s="153"/>
      <c r="AH206" s="153"/>
      <c r="AI206" s="153"/>
      <c r="AJ206" s="153"/>
      <c r="AK206" s="153"/>
      <c r="AL206" s="153"/>
      <c r="AM206" s="153"/>
      <c r="AN206" s="153"/>
      <c r="AO206" s="153"/>
      <c r="AP206" s="153"/>
      <c r="AQ206" s="153"/>
      <c r="AR206" s="153"/>
    </row>
    <row r="207" spans="1:44">
      <c r="A207" s="741">
        <f>Gases!A214</f>
        <v>189</v>
      </c>
      <c r="B207" s="153"/>
      <c r="C207" s="153"/>
      <c r="D207" s="153"/>
      <c r="E207" s="153"/>
      <c r="F207" s="153"/>
      <c r="G207" s="153"/>
      <c r="H207" s="153"/>
      <c r="I207" s="153"/>
      <c r="J207" s="153"/>
      <c r="K207" s="153"/>
      <c r="L207" s="153"/>
      <c r="M207" s="153"/>
      <c r="N207" s="153"/>
      <c r="O207" s="153"/>
      <c r="P207" s="153"/>
      <c r="Q207" s="153"/>
      <c r="R207" s="153"/>
      <c r="S207" s="153"/>
      <c r="T207" s="153"/>
      <c r="U207" s="153"/>
      <c r="V207" s="153"/>
      <c r="W207" s="153"/>
      <c r="X207" s="153"/>
      <c r="Y207" s="153"/>
      <c r="Z207" s="153"/>
      <c r="AA207" s="153"/>
      <c r="AB207" s="153"/>
      <c r="AC207" s="153"/>
      <c r="AD207" s="153"/>
      <c r="AE207" s="153"/>
      <c r="AF207" s="153"/>
      <c r="AG207" s="153"/>
      <c r="AH207" s="153"/>
      <c r="AI207" s="153"/>
      <c r="AJ207" s="153"/>
      <c r="AK207" s="153"/>
      <c r="AL207" s="153"/>
      <c r="AM207" s="153"/>
      <c r="AN207" s="153"/>
      <c r="AO207" s="153"/>
      <c r="AP207" s="153"/>
      <c r="AQ207" s="153"/>
      <c r="AR207" s="153"/>
    </row>
    <row r="208" spans="1:44">
      <c r="A208" s="741">
        <f>Gases!A215</f>
        <v>190</v>
      </c>
      <c r="B208" s="153"/>
      <c r="C208" s="153"/>
      <c r="D208" s="153"/>
      <c r="E208" s="153"/>
      <c r="F208" s="153"/>
      <c r="G208" s="153"/>
      <c r="H208" s="153"/>
      <c r="I208" s="153"/>
      <c r="J208" s="153"/>
      <c r="K208" s="153"/>
      <c r="L208" s="153"/>
      <c r="M208" s="153"/>
      <c r="N208" s="153"/>
      <c r="O208" s="153"/>
      <c r="P208" s="153"/>
      <c r="Q208" s="153"/>
      <c r="R208" s="153"/>
      <c r="S208" s="153"/>
      <c r="T208" s="153"/>
      <c r="U208" s="153"/>
      <c r="V208" s="153"/>
      <c r="W208" s="153"/>
      <c r="X208" s="153"/>
      <c r="Y208" s="153"/>
      <c r="Z208" s="153"/>
      <c r="AA208" s="153"/>
      <c r="AB208" s="153"/>
      <c r="AC208" s="153"/>
      <c r="AD208" s="153"/>
      <c r="AE208" s="153"/>
      <c r="AF208" s="153"/>
      <c r="AG208" s="153"/>
      <c r="AH208" s="153"/>
      <c r="AI208" s="153"/>
      <c r="AJ208" s="153"/>
      <c r="AK208" s="153"/>
      <c r="AL208" s="153"/>
      <c r="AM208" s="153"/>
      <c r="AN208" s="153"/>
      <c r="AO208" s="153"/>
      <c r="AP208" s="153"/>
      <c r="AQ208" s="153"/>
      <c r="AR208" s="153"/>
    </row>
    <row r="209" spans="1:44">
      <c r="A209" s="741">
        <f>Gases!A216</f>
        <v>191</v>
      </c>
      <c r="B209" s="153"/>
      <c r="C209" s="153"/>
      <c r="D209" s="153"/>
      <c r="E209" s="153"/>
      <c r="F209" s="153"/>
      <c r="G209" s="153"/>
      <c r="H209" s="153"/>
      <c r="I209" s="153"/>
      <c r="J209" s="153"/>
      <c r="K209" s="153"/>
      <c r="L209" s="153"/>
      <c r="M209" s="153"/>
      <c r="N209" s="153"/>
      <c r="O209" s="153"/>
      <c r="P209" s="153"/>
      <c r="Q209" s="153"/>
      <c r="R209" s="153"/>
      <c r="S209" s="153"/>
      <c r="T209" s="153"/>
      <c r="U209" s="153"/>
      <c r="V209" s="153"/>
      <c r="W209" s="153"/>
      <c r="X209" s="153"/>
      <c r="Y209" s="153"/>
      <c r="Z209" s="153"/>
      <c r="AA209" s="153"/>
      <c r="AB209" s="153"/>
      <c r="AC209" s="153"/>
      <c r="AD209" s="153"/>
      <c r="AE209" s="153"/>
      <c r="AF209" s="153"/>
      <c r="AG209" s="153"/>
      <c r="AH209" s="153"/>
      <c r="AI209" s="153"/>
      <c r="AJ209" s="153"/>
      <c r="AK209" s="153"/>
      <c r="AL209" s="153"/>
      <c r="AM209" s="153"/>
      <c r="AN209" s="153"/>
      <c r="AO209" s="153"/>
      <c r="AP209" s="153"/>
      <c r="AQ209" s="153"/>
      <c r="AR209" s="153"/>
    </row>
    <row r="210" spans="1:44">
      <c r="A210" s="741">
        <f>Gases!A217</f>
        <v>192</v>
      </c>
      <c r="B210" s="153"/>
      <c r="C210" s="153"/>
      <c r="D210" s="153"/>
      <c r="E210" s="153"/>
      <c r="F210" s="153"/>
      <c r="G210" s="153"/>
      <c r="H210" s="153"/>
      <c r="I210" s="153"/>
      <c r="J210" s="153"/>
      <c r="K210" s="153"/>
      <c r="L210" s="153"/>
      <c r="M210" s="153"/>
      <c r="N210" s="153"/>
      <c r="O210" s="153"/>
      <c r="P210" s="153"/>
      <c r="Q210" s="153"/>
      <c r="R210" s="153"/>
      <c r="S210" s="153"/>
      <c r="T210" s="153"/>
      <c r="U210" s="153"/>
      <c r="V210" s="153"/>
      <c r="W210" s="153"/>
      <c r="X210" s="153"/>
      <c r="Y210" s="153"/>
      <c r="Z210" s="153"/>
      <c r="AA210" s="153"/>
      <c r="AB210" s="153"/>
      <c r="AC210" s="153"/>
      <c r="AD210" s="153"/>
      <c r="AE210" s="153"/>
      <c r="AF210" s="153"/>
      <c r="AG210" s="153"/>
      <c r="AH210" s="153"/>
      <c r="AI210" s="153"/>
      <c r="AJ210" s="153"/>
      <c r="AK210" s="153"/>
      <c r="AL210" s="153"/>
      <c r="AM210" s="153"/>
      <c r="AN210" s="153"/>
      <c r="AO210" s="153"/>
      <c r="AP210" s="153"/>
      <c r="AQ210" s="153"/>
      <c r="AR210" s="153"/>
    </row>
    <row r="211" spans="1:44">
      <c r="A211" s="741">
        <f>Gases!A218</f>
        <v>193</v>
      </c>
      <c r="B211" s="153"/>
      <c r="C211" s="153"/>
      <c r="D211" s="153"/>
      <c r="E211" s="153"/>
      <c r="F211" s="153"/>
      <c r="G211" s="153"/>
      <c r="H211" s="153"/>
      <c r="I211" s="153"/>
      <c r="J211" s="153"/>
      <c r="K211" s="153"/>
      <c r="L211" s="153"/>
      <c r="M211" s="153"/>
      <c r="N211" s="153"/>
      <c r="O211" s="153"/>
      <c r="P211" s="153"/>
      <c r="Q211" s="153"/>
      <c r="R211" s="153"/>
      <c r="S211" s="153"/>
      <c r="T211" s="153"/>
      <c r="U211" s="153"/>
      <c r="V211" s="153"/>
      <c r="W211" s="153"/>
      <c r="X211" s="153"/>
      <c r="Y211" s="153"/>
      <c r="Z211" s="153"/>
      <c r="AA211" s="153"/>
      <c r="AB211" s="153"/>
      <c r="AC211" s="153"/>
      <c r="AD211" s="153"/>
      <c r="AE211" s="153"/>
      <c r="AF211" s="153"/>
      <c r="AG211" s="153"/>
      <c r="AH211" s="153"/>
      <c r="AI211" s="153"/>
      <c r="AJ211" s="153"/>
      <c r="AK211" s="153"/>
      <c r="AL211" s="153"/>
      <c r="AM211" s="153"/>
      <c r="AN211" s="153"/>
      <c r="AO211" s="153"/>
      <c r="AP211" s="153"/>
      <c r="AQ211" s="153"/>
      <c r="AR211" s="153"/>
    </row>
    <row r="212" spans="1:44">
      <c r="A212" s="741">
        <f>Gases!A219</f>
        <v>194</v>
      </c>
      <c r="B212" s="153"/>
      <c r="C212" s="153"/>
      <c r="D212" s="153"/>
      <c r="E212" s="153"/>
      <c r="F212" s="153"/>
      <c r="G212" s="153"/>
      <c r="H212" s="153"/>
      <c r="I212" s="153"/>
      <c r="J212" s="153"/>
      <c r="K212" s="153"/>
      <c r="L212" s="153"/>
      <c r="M212" s="153"/>
      <c r="N212" s="153"/>
      <c r="O212" s="153"/>
      <c r="P212" s="153"/>
      <c r="Q212" s="153"/>
      <c r="R212" s="153"/>
      <c r="S212" s="153"/>
      <c r="T212" s="153"/>
      <c r="U212" s="153"/>
      <c r="V212" s="153"/>
      <c r="W212" s="153"/>
      <c r="X212" s="153"/>
      <c r="Y212" s="153"/>
      <c r="Z212" s="153"/>
      <c r="AA212" s="153"/>
      <c r="AB212" s="153"/>
      <c r="AC212" s="153"/>
      <c r="AD212" s="153"/>
      <c r="AE212" s="153"/>
      <c r="AF212" s="153"/>
      <c r="AG212" s="153"/>
      <c r="AH212" s="153"/>
      <c r="AI212" s="153"/>
      <c r="AJ212" s="153"/>
      <c r="AK212" s="153"/>
      <c r="AL212" s="153"/>
      <c r="AM212" s="153"/>
      <c r="AN212" s="153"/>
      <c r="AO212" s="153"/>
      <c r="AP212" s="153"/>
      <c r="AQ212" s="153"/>
      <c r="AR212" s="153"/>
    </row>
    <row r="213" spans="1:44">
      <c r="A213" s="741">
        <f>Gases!A220</f>
        <v>195</v>
      </c>
      <c r="B213" s="153"/>
      <c r="C213" s="153"/>
      <c r="D213" s="153"/>
      <c r="E213" s="153"/>
      <c r="F213" s="153"/>
      <c r="G213" s="153"/>
      <c r="H213" s="153"/>
      <c r="I213" s="153"/>
      <c r="J213" s="153"/>
      <c r="K213" s="153"/>
      <c r="L213" s="153"/>
      <c r="M213" s="153"/>
      <c r="N213" s="153"/>
      <c r="O213" s="153"/>
      <c r="P213" s="153"/>
      <c r="Q213" s="153"/>
      <c r="R213" s="153"/>
      <c r="S213" s="153"/>
      <c r="T213" s="153"/>
      <c r="U213" s="153"/>
      <c r="V213" s="153"/>
      <c r="W213" s="153"/>
      <c r="X213" s="153"/>
      <c r="Y213" s="153"/>
      <c r="Z213" s="153"/>
      <c r="AA213" s="153"/>
      <c r="AB213" s="153"/>
      <c r="AC213" s="153"/>
      <c r="AD213" s="153"/>
      <c r="AE213" s="153"/>
      <c r="AF213" s="153"/>
      <c r="AG213" s="153"/>
      <c r="AH213" s="153"/>
      <c r="AI213" s="153"/>
      <c r="AJ213" s="153"/>
      <c r="AK213" s="153"/>
      <c r="AL213" s="153"/>
      <c r="AM213" s="153"/>
      <c r="AN213" s="153"/>
      <c r="AO213" s="153"/>
      <c r="AP213" s="153"/>
      <c r="AQ213" s="153"/>
      <c r="AR213" s="153"/>
    </row>
    <row r="214" spans="1:44">
      <c r="A214" s="741">
        <f>Gases!A221</f>
        <v>196</v>
      </c>
      <c r="B214" s="153"/>
      <c r="C214" s="153"/>
      <c r="D214" s="153"/>
      <c r="E214" s="153"/>
      <c r="F214" s="153"/>
      <c r="G214" s="153"/>
      <c r="H214" s="153"/>
      <c r="I214" s="153"/>
      <c r="J214" s="153"/>
      <c r="K214" s="153"/>
      <c r="L214" s="153"/>
      <c r="M214" s="153"/>
      <c r="N214" s="153"/>
      <c r="O214" s="153"/>
      <c r="P214" s="153"/>
      <c r="Q214" s="153"/>
      <c r="R214" s="153"/>
      <c r="S214" s="153"/>
      <c r="T214" s="153"/>
      <c r="U214" s="153"/>
      <c r="V214" s="153"/>
      <c r="W214" s="153"/>
      <c r="X214" s="153"/>
      <c r="Y214" s="153"/>
      <c r="Z214" s="153"/>
      <c r="AA214" s="153"/>
      <c r="AB214" s="153"/>
      <c r="AC214" s="153"/>
      <c r="AD214" s="153"/>
      <c r="AE214" s="153"/>
      <c r="AF214" s="153"/>
      <c r="AG214" s="153"/>
      <c r="AH214" s="153"/>
      <c r="AI214" s="153"/>
      <c r="AJ214" s="153"/>
      <c r="AK214" s="153"/>
      <c r="AL214" s="153"/>
      <c r="AM214" s="153"/>
      <c r="AN214" s="153"/>
      <c r="AO214" s="153"/>
      <c r="AP214" s="153"/>
      <c r="AQ214" s="153"/>
      <c r="AR214" s="153"/>
    </row>
    <row r="215" spans="1:44">
      <c r="A215" s="741">
        <f>Gases!A222</f>
        <v>197</v>
      </c>
      <c r="B215" s="153"/>
      <c r="C215" s="153"/>
      <c r="D215" s="153"/>
      <c r="E215" s="153"/>
      <c r="F215" s="153"/>
      <c r="G215" s="153"/>
      <c r="H215" s="153"/>
      <c r="I215" s="153"/>
      <c r="J215" s="153"/>
      <c r="K215" s="153"/>
      <c r="L215" s="153"/>
      <c r="M215" s="153"/>
      <c r="N215" s="153"/>
      <c r="O215" s="153"/>
      <c r="P215" s="153"/>
      <c r="Q215" s="153"/>
      <c r="R215" s="153"/>
      <c r="S215" s="153"/>
      <c r="T215" s="153"/>
      <c r="U215" s="153"/>
      <c r="V215" s="153"/>
      <c r="W215" s="153"/>
      <c r="X215" s="153"/>
      <c r="Y215" s="153"/>
      <c r="Z215" s="153"/>
      <c r="AA215" s="153"/>
      <c r="AB215" s="153"/>
      <c r="AC215" s="153"/>
      <c r="AD215" s="153"/>
      <c r="AE215" s="153"/>
      <c r="AF215" s="153"/>
      <c r="AG215" s="153"/>
      <c r="AH215" s="153"/>
      <c r="AI215" s="153"/>
      <c r="AJ215" s="153"/>
      <c r="AK215" s="153"/>
      <c r="AL215" s="153"/>
      <c r="AM215" s="153"/>
      <c r="AN215" s="153"/>
      <c r="AO215" s="153"/>
      <c r="AP215" s="153"/>
      <c r="AQ215" s="153"/>
      <c r="AR215" s="153"/>
    </row>
    <row r="216" spans="1:44">
      <c r="A216" s="741">
        <f>Gases!A223</f>
        <v>198</v>
      </c>
      <c r="B216" s="153"/>
      <c r="C216" s="153"/>
      <c r="D216" s="153"/>
      <c r="E216" s="153"/>
      <c r="F216" s="153"/>
      <c r="G216" s="153"/>
      <c r="H216" s="153"/>
      <c r="I216" s="153"/>
      <c r="J216" s="153"/>
      <c r="K216" s="153"/>
      <c r="L216" s="153"/>
      <c r="M216" s="153"/>
      <c r="N216" s="153"/>
      <c r="O216" s="153"/>
      <c r="P216" s="153"/>
      <c r="Q216" s="153"/>
      <c r="R216" s="153"/>
      <c r="S216" s="153"/>
      <c r="T216" s="153"/>
      <c r="U216" s="153"/>
      <c r="V216" s="153"/>
      <c r="W216" s="153"/>
      <c r="X216" s="153"/>
      <c r="Y216" s="153"/>
      <c r="Z216" s="153"/>
      <c r="AA216" s="153"/>
      <c r="AB216" s="153"/>
      <c r="AC216" s="153"/>
      <c r="AD216" s="153"/>
      <c r="AE216" s="153"/>
      <c r="AF216" s="153"/>
      <c r="AG216" s="153"/>
      <c r="AH216" s="153"/>
      <c r="AI216" s="153"/>
      <c r="AJ216" s="153"/>
      <c r="AK216" s="153"/>
      <c r="AL216" s="153"/>
      <c r="AM216" s="153"/>
      <c r="AN216" s="153"/>
      <c r="AO216" s="153"/>
      <c r="AP216" s="153"/>
      <c r="AQ216" s="153"/>
      <c r="AR216" s="153"/>
    </row>
    <row r="217" spans="1:44">
      <c r="A217" s="741">
        <f>Gases!A224</f>
        <v>199</v>
      </c>
      <c r="B217" s="153"/>
      <c r="C217" s="153"/>
      <c r="D217" s="153"/>
      <c r="E217" s="153"/>
      <c r="F217" s="153"/>
      <c r="G217" s="153"/>
      <c r="H217" s="153"/>
      <c r="I217" s="153"/>
      <c r="J217" s="153"/>
      <c r="K217" s="153"/>
      <c r="L217" s="153"/>
      <c r="M217" s="153"/>
      <c r="N217" s="153"/>
      <c r="O217" s="153"/>
      <c r="P217" s="153"/>
      <c r="Q217" s="153"/>
      <c r="R217" s="153"/>
      <c r="S217" s="153"/>
      <c r="T217" s="153"/>
      <c r="U217" s="153"/>
      <c r="V217" s="153"/>
      <c r="W217" s="153"/>
      <c r="X217" s="153"/>
      <c r="Y217" s="153"/>
      <c r="Z217" s="153"/>
      <c r="AA217" s="153"/>
      <c r="AB217" s="153"/>
      <c r="AC217" s="153"/>
      <c r="AD217" s="153"/>
      <c r="AE217" s="153"/>
      <c r="AF217" s="153"/>
      <c r="AG217" s="153"/>
      <c r="AH217" s="153"/>
      <c r="AI217" s="153"/>
      <c r="AJ217" s="153"/>
      <c r="AK217" s="153"/>
      <c r="AL217" s="153"/>
      <c r="AM217" s="153"/>
      <c r="AN217" s="153"/>
      <c r="AO217" s="153"/>
      <c r="AP217" s="153"/>
      <c r="AQ217" s="153"/>
      <c r="AR217" s="153"/>
    </row>
    <row r="218" spans="1:44">
      <c r="A218" s="741">
        <f>Gases!A225</f>
        <v>200</v>
      </c>
      <c r="B218" s="153"/>
      <c r="C218" s="153"/>
      <c r="D218" s="153"/>
      <c r="E218" s="153"/>
      <c r="F218" s="153"/>
      <c r="G218" s="153"/>
      <c r="H218" s="153"/>
      <c r="I218" s="153"/>
      <c r="J218" s="153"/>
      <c r="K218" s="153"/>
      <c r="L218" s="153"/>
      <c r="M218" s="153"/>
      <c r="N218" s="153"/>
      <c r="O218" s="153"/>
      <c r="P218" s="153"/>
      <c r="Q218" s="153"/>
      <c r="R218" s="153"/>
      <c r="S218" s="153"/>
      <c r="T218" s="153"/>
      <c r="U218" s="153"/>
      <c r="V218" s="153"/>
      <c r="W218" s="153"/>
      <c r="X218" s="153"/>
      <c r="Y218" s="153"/>
      <c r="Z218" s="153"/>
      <c r="AA218" s="153"/>
      <c r="AB218" s="153"/>
      <c r="AC218" s="153"/>
      <c r="AD218" s="153"/>
      <c r="AE218" s="153"/>
      <c r="AF218" s="153"/>
      <c r="AG218" s="153"/>
      <c r="AH218" s="153"/>
      <c r="AI218" s="153"/>
      <c r="AJ218" s="153"/>
      <c r="AK218" s="153"/>
      <c r="AL218" s="153"/>
      <c r="AM218" s="153"/>
      <c r="AN218" s="153"/>
      <c r="AO218" s="153"/>
      <c r="AP218" s="153"/>
      <c r="AQ218" s="153"/>
      <c r="AR218" s="153"/>
    </row>
    <row r="219" spans="1:44">
      <c r="A219" s="741">
        <f>Gases!A226</f>
        <v>201</v>
      </c>
      <c r="B219" s="153"/>
      <c r="C219" s="153"/>
      <c r="D219" s="153"/>
      <c r="E219" s="153"/>
      <c r="F219" s="153"/>
      <c r="G219" s="153"/>
      <c r="H219" s="153"/>
      <c r="I219" s="153"/>
      <c r="J219" s="153"/>
      <c r="K219" s="153"/>
      <c r="L219" s="153"/>
      <c r="M219" s="153"/>
      <c r="N219" s="153"/>
      <c r="O219" s="153"/>
      <c r="P219" s="153"/>
      <c r="Q219" s="153"/>
      <c r="R219" s="153"/>
      <c r="S219" s="153"/>
      <c r="T219" s="153"/>
      <c r="U219" s="153"/>
      <c r="V219" s="153"/>
      <c r="W219" s="153"/>
      <c r="X219" s="153"/>
      <c r="Y219" s="153"/>
      <c r="Z219" s="153"/>
      <c r="AA219" s="153"/>
      <c r="AB219" s="153"/>
      <c r="AC219" s="153"/>
      <c r="AD219" s="153"/>
      <c r="AE219" s="153"/>
      <c r="AF219" s="153"/>
      <c r="AG219" s="153"/>
      <c r="AH219" s="153"/>
      <c r="AI219" s="153"/>
      <c r="AJ219" s="153"/>
      <c r="AK219" s="153"/>
      <c r="AL219" s="153"/>
      <c r="AM219" s="153"/>
      <c r="AN219" s="153"/>
      <c r="AO219" s="153"/>
      <c r="AP219" s="153"/>
      <c r="AQ219" s="153"/>
      <c r="AR219" s="153"/>
    </row>
    <row r="220" spans="1:44">
      <c r="A220" s="741">
        <f>Gases!A227</f>
        <v>202</v>
      </c>
      <c r="B220" s="153"/>
      <c r="C220" s="153"/>
      <c r="D220" s="153"/>
      <c r="E220" s="153"/>
      <c r="F220" s="153"/>
      <c r="G220" s="153"/>
      <c r="H220" s="153"/>
      <c r="I220" s="153"/>
      <c r="J220" s="153"/>
      <c r="K220" s="153"/>
      <c r="L220" s="153"/>
      <c r="M220" s="153"/>
      <c r="N220" s="153"/>
      <c r="O220" s="153"/>
      <c r="P220" s="153"/>
      <c r="Q220" s="153"/>
      <c r="R220" s="153"/>
      <c r="S220" s="153"/>
      <c r="T220" s="153"/>
      <c r="U220" s="153"/>
      <c r="V220" s="153"/>
      <c r="W220" s="153"/>
      <c r="X220" s="153"/>
      <c r="Y220" s="153"/>
      <c r="Z220" s="153"/>
      <c r="AA220" s="153"/>
      <c r="AB220" s="153"/>
      <c r="AC220" s="153"/>
      <c r="AD220" s="153"/>
      <c r="AE220" s="153"/>
      <c r="AF220" s="153"/>
      <c r="AG220" s="153"/>
      <c r="AH220" s="153"/>
      <c r="AI220" s="153"/>
      <c r="AJ220" s="153"/>
      <c r="AK220" s="153"/>
      <c r="AL220" s="153"/>
      <c r="AM220" s="153"/>
      <c r="AN220" s="153"/>
      <c r="AO220" s="153"/>
      <c r="AP220" s="153"/>
      <c r="AQ220" s="153"/>
      <c r="AR220" s="153"/>
    </row>
    <row r="221" spans="1:44">
      <c r="A221" s="741">
        <f>Gases!A228</f>
        <v>203</v>
      </c>
      <c r="B221" s="153"/>
      <c r="C221" s="153"/>
      <c r="D221" s="153"/>
      <c r="E221" s="153"/>
      <c r="F221" s="153"/>
      <c r="G221" s="153"/>
      <c r="H221" s="153"/>
      <c r="I221" s="153"/>
      <c r="J221" s="153"/>
      <c r="K221" s="153"/>
      <c r="L221" s="153"/>
      <c r="M221" s="153"/>
      <c r="N221" s="153"/>
      <c r="O221" s="153"/>
      <c r="P221" s="153"/>
      <c r="Q221" s="153"/>
      <c r="R221" s="153"/>
      <c r="S221" s="153"/>
      <c r="T221" s="153"/>
      <c r="U221" s="153"/>
      <c r="V221" s="153"/>
      <c r="W221" s="153"/>
      <c r="X221" s="153"/>
      <c r="Y221" s="153"/>
      <c r="Z221" s="153"/>
      <c r="AA221" s="153"/>
      <c r="AB221" s="153"/>
      <c r="AC221" s="153"/>
      <c r="AD221" s="153"/>
      <c r="AE221" s="153"/>
      <c r="AF221" s="153"/>
      <c r="AG221" s="153"/>
      <c r="AH221" s="153"/>
      <c r="AI221" s="153"/>
      <c r="AJ221" s="153"/>
      <c r="AK221" s="153"/>
      <c r="AL221" s="153"/>
      <c r="AM221" s="153"/>
      <c r="AN221" s="153"/>
      <c r="AO221" s="153"/>
      <c r="AP221" s="153"/>
      <c r="AQ221" s="153"/>
      <c r="AR221" s="153"/>
    </row>
    <row r="222" spans="1:44">
      <c r="A222" s="741">
        <f>Gases!A229</f>
        <v>204</v>
      </c>
      <c r="B222" s="153"/>
      <c r="C222" s="153"/>
      <c r="D222" s="153"/>
      <c r="E222" s="153"/>
      <c r="F222" s="153"/>
      <c r="G222" s="153"/>
      <c r="H222" s="153"/>
      <c r="I222" s="153"/>
      <c r="J222" s="153"/>
      <c r="K222" s="153"/>
      <c r="L222" s="153"/>
      <c r="M222" s="153"/>
      <c r="N222" s="153"/>
      <c r="O222" s="153"/>
      <c r="P222" s="153"/>
      <c r="Q222" s="153"/>
      <c r="R222" s="153"/>
      <c r="S222" s="153"/>
      <c r="T222" s="153"/>
      <c r="U222" s="153"/>
      <c r="V222" s="153"/>
      <c r="W222" s="153"/>
      <c r="X222" s="153"/>
      <c r="Y222" s="153"/>
      <c r="Z222" s="153"/>
      <c r="AA222" s="153"/>
      <c r="AB222" s="153"/>
      <c r="AC222" s="153"/>
      <c r="AD222" s="153"/>
      <c r="AE222" s="153"/>
      <c r="AF222" s="153"/>
      <c r="AG222" s="153"/>
      <c r="AH222" s="153"/>
      <c r="AI222" s="153"/>
      <c r="AJ222" s="153"/>
      <c r="AK222" s="153"/>
      <c r="AL222" s="153"/>
      <c r="AM222" s="153"/>
      <c r="AN222" s="153"/>
      <c r="AO222" s="153"/>
      <c r="AP222" s="153"/>
      <c r="AQ222" s="153"/>
      <c r="AR222" s="153"/>
    </row>
    <row r="223" spans="1:44">
      <c r="A223" s="741">
        <f>Gases!A230</f>
        <v>205</v>
      </c>
      <c r="B223" s="153"/>
      <c r="C223" s="153"/>
      <c r="D223" s="153"/>
      <c r="E223" s="153"/>
      <c r="F223" s="153"/>
      <c r="G223" s="153"/>
      <c r="H223" s="153"/>
      <c r="I223" s="153"/>
      <c r="J223" s="153"/>
      <c r="K223" s="153"/>
      <c r="L223" s="153"/>
      <c r="M223" s="153"/>
      <c r="N223" s="153"/>
      <c r="O223" s="153"/>
      <c r="P223" s="153"/>
      <c r="Q223" s="153"/>
      <c r="R223" s="153"/>
      <c r="S223" s="153"/>
      <c r="T223" s="153"/>
      <c r="U223" s="153"/>
      <c r="V223" s="153"/>
      <c r="W223" s="153"/>
      <c r="X223" s="153"/>
      <c r="Y223" s="153"/>
      <c r="Z223" s="153"/>
      <c r="AA223" s="153"/>
      <c r="AB223" s="153"/>
      <c r="AC223" s="153"/>
      <c r="AD223" s="153"/>
      <c r="AE223" s="153"/>
      <c r="AF223" s="153"/>
      <c r="AG223" s="153"/>
      <c r="AH223" s="153"/>
      <c r="AI223" s="153"/>
      <c r="AJ223" s="153"/>
      <c r="AK223" s="153"/>
      <c r="AL223" s="153"/>
      <c r="AM223" s="153"/>
      <c r="AN223" s="153"/>
      <c r="AO223" s="153"/>
      <c r="AP223" s="153"/>
      <c r="AQ223" s="153"/>
      <c r="AR223" s="153"/>
    </row>
    <row r="224" spans="1:44">
      <c r="A224" s="741">
        <f>Gases!A231</f>
        <v>206</v>
      </c>
      <c r="B224" s="153"/>
      <c r="C224" s="153"/>
      <c r="D224" s="153"/>
      <c r="E224" s="153"/>
      <c r="F224" s="153"/>
      <c r="G224" s="153"/>
      <c r="H224" s="153"/>
      <c r="I224" s="153"/>
      <c r="J224" s="153"/>
      <c r="K224" s="153"/>
      <c r="L224" s="153"/>
      <c r="M224" s="153"/>
      <c r="N224" s="153"/>
      <c r="O224" s="153"/>
      <c r="P224" s="153"/>
      <c r="Q224" s="153"/>
      <c r="R224" s="153"/>
      <c r="S224" s="153"/>
      <c r="T224" s="153"/>
      <c r="U224" s="153"/>
      <c r="V224" s="153"/>
      <c r="W224" s="153"/>
      <c r="X224" s="153"/>
      <c r="Y224" s="153"/>
      <c r="Z224" s="153"/>
      <c r="AA224" s="153"/>
      <c r="AB224" s="153"/>
      <c r="AC224" s="153"/>
      <c r="AD224" s="153"/>
      <c r="AE224" s="153"/>
      <c r="AF224" s="153"/>
      <c r="AG224" s="153"/>
      <c r="AH224" s="153"/>
      <c r="AI224" s="153"/>
      <c r="AJ224" s="153"/>
      <c r="AK224" s="153"/>
      <c r="AL224" s="153"/>
      <c r="AM224" s="153"/>
      <c r="AN224" s="153"/>
      <c r="AO224" s="153"/>
      <c r="AP224" s="153"/>
      <c r="AQ224" s="153"/>
      <c r="AR224" s="153"/>
    </row>
    <row r="225" spans="1:44">
      <c r="A225" s="741">
        <f>Gases!A232</f>
        <v>207</v>
      </c>
      <c r="B225" s="153"/>
      <c r="C225" s="153"/>
      <c r="D225" s="153"/>
      <c r="E225" s="153"/>
      <c r="F225" s="153"/>
      <c r="G225" s="153"/>
      <c r="H225" s="153"/>
      <c r="I225" s="153"/>
      <c r="J225" s="153"/>
      <c r="K225" s="153"/>
      <c r="L225" s="153"/>
      <c r="M225" s="153"/>
      <c r="N225" s="153"/>
      <c r="O225" s="153"/>
      <c r="P225" s="153"/>
      <c r="Q225" s="153"/>
      <c r="R225" s="153"/>
      <c r="S225" s="153"/>
      <c r="T225" s="153"/>
      <c r="U225" s="153"/>
      <c r="V225" s="153"/>
      <c r="W225" s="153"/>
      <c r="X225" s="153"/>
      <c r="Y225" s="153"/>
      <c r="Z225" s="153"/>
      <c r="AA225" s="153"/>
      <c r="AB225" s="153"/>
      <c r="AC225" s="153"/>
      <c r="AD225" s="153"/>
      <c r="AE225" s="153"/>
      <c r="AF225" s="153"/>
      <c r="AG225" s="153"/>
      <c r="AH225" s="153"/>
      <c r="AI225" s="153"/>
      <c r="AJ225" s="153"/>
      <c r="AK225" s="153"/>
      <c r="AL225" s="153"/>
      <c r="AM225" s="153"/>
      <c r="AN225" s="153"/>
      <c r="AO225" s="153"/>
      <c r="AP225" s="153"/>
      <c r="AQ225" s="153"/>
      <c r="AR225" s="153"/>
    </row>
    <row r="226" spans="1:44">
      <c r="A226" s="741">
        <f>Gases!A233</f>
        <v>208</v>
      </c>
      <c r="B226" s="153"/>
      <c r="C226" s="153"/>
      <c r="D226" s="153"/>
      <c r="E226" s="153"/>
      <c r="F226" s="153"/>
      <c r="G226" s="153"/>
      <c r="H226" s="153"/>
      <c r="I226" s="153"/>
      <c r="J226" s="153"/>
      <c r="K226" s="153"/>
      <c r="L226" s="153"/>
      <c r="M226" s="153"/>
      <c r="N226" s="153"/>
      <c r="O226" s="153"/>
      <c r="P226" s="153"/>
      <c r="Q226" s="153"/>
      <c r="R226" s="153"/>
      <c r="S226" s="153"/>
      <c r="T226" s="153"/>
      <c r="U226" s="153"/>
      <c r="V226" s="153"/>
      <c r="W226" s="153"/>
      <c r="X226" s="153"/>
      <c r="Y226" s="153"/>
      <c r="Z226" s="153"/>
      <c r="AA226" s="153"/>
      <c r="AB226" s="153"/>
      <c r="AC226" s="153"/>
      <c r="AD226" s="153"/>
      <c r="AE226" s="153"/>
      <c r="AF226" s="153"/>
      <c r="AG226" s="153"/>
      <c r="AH226" s="153"/>
      <c r="AI226" s="153"/>
      <c r="AJ226" s="153"/>
      <c r="AK226" s="153"/>
      <c r="AL226" s="153"/>
      <c r="AM226" s="153"/>
      <c r="AN226" s="153"/>
      <c r="AO226" s="153"/>
      <c r="AP226" s="153"/>
      <c r="AQ226" s="153"/>
      <c r="AR226" s="153"/>
    </row>
    <row r="227" spans="1:44">
      <c r="A227" s="741">
        <f>Gases!A234</f>
        <v>209</v>
      </c>
      <c r="B227" s="153"/>
      <c r="C227" s="153"/>
      <c r="D227" s="153"/>
      <c r="E227" s="153"/>
      <c r="F227" s="153"/>
      <c r="G227" s="153"/>
      <c r="H227" s="153"/>
      <c r="I227" s="153"/>
      <c r="J227" s="153"/>
      <c r="K227" s="153"/>
      <c r="L227" s="153"/>
      <c r="M227" s="153"/>
      <c r="N227" s="153"/>
      <c r="O227" s="153"/>
      <c r="P227" s="153"/>
      <c r="Q227" s="153"/>
      <c r="R227" s="153"/>
      <c r="S227" s="153"/>
      <c r="T227" s="153"/>
      <c r="U227" s="153"/>
      <c r="V227" s="153"/>
      <c r="W227" s="153"/>
      <c r="X227" s="153"/>
      <c r="Y227" s="153"/>
      <c r="Z227" s="153"/>
      <c r="AA227" s="153"/>
      <c r="AB227" s="153"/>
      <c r="AC227" s="153"/>
      <c r="AD227" s="153"/>
      <c r="AE227" s="153"/>
      <c r="AF227" s="153"/>
      <c r="AG227" s="153"/>
      <c r="AH227" s="153"/>
      <c r="AI227" s="153"/>
      <c r="AJ227" s="153"/>
      <c r="AK227" s="153"/>
      <c r="AL227" s="153"/>
      <c r="AM227" s="153"/>
      <c r="AN227" s="153"/>
      <c r="AO227" s="153"/>
      <c r="AP227" s="153"/>
      <c r="AQ227" s="153"/>
      <c r="AR227" s="153"/>
    </row>
    <row r="228" spans="1:44">
      <c r="A228" s="741">
        <f>Gases!A235</f>
        <v>210</v>
      </c>
      <c r="B228" s="153"/>
      <c r="C228" s="153"/>
      <c r="D228" s="153"/>
      <c r="E228" s="153"/>
      <c r="F228" s="153"/>
      <c r="G228" s="153"/>
      <c r="H228" s="153"/>
      <c r="I228" s="153"/>
      <c r="J228" s="153"/>
      <c r="K228" s="153"/>
      <c r="L228" s="153"/>
      <c r="M228" s="153"/>
      <c r="N228" s="153"/>
      <c r="O228" s="153"/>
      <c r="P228" s="153"/>
      <c r="Q228" s="153"/>
      <c r="R228" s="153"/>
      <c r="S228" s="153"/>
      <c r="T228" s="153"/>
      <c r="U228" s="153"/>
      <c r="V228" s="153"/>
      <c r="W228" s="153"/>
      <c r="X228" s="153"/>
      <c r="Y228" s="153"/>
      <c r="Z228" s="153"/>
      <c r="AA228" s="153"/>
      <c r="AB228" s="153"/>
      <c r="AC228" s="153"/>
      <c r="AD228" s="153"/>
      <c r="AE228" s="153"/>
      <c r="AF228" s="153"/>
      <c r="AG228" s="153"/>
      <c r="AH228" s="153"/>
      <c r="AI228" s="153"/>
      <c r="AJ228" s="153"/>
      <c r="AK228" s="153"/>
      <c r="AL228" s="153"/>
      <c r="AM228" s="153"/>
      <c r="AN228" s="153"/>
      <c r="AO228" s="153"/>
      <c r="AP228" s="153"/>
      <c r="AQ228" s="153"/>
      <c r="AR228" s="153"/>
    </row>
    <row r="229" spans="1:44">
      <c r="A229" s="741">
        <f>Gases!A236</f>
        <v>211</v>
      </c>
      <c r="B229" s="153"/>
      <c r="C229" s="153"/>
      <c r="D229" s="153"/>
      <c r="E229" s="153"/>
      <c r="F229" s="153"/>
      <c r="G229" s="153"/>
      <c r="H229" s="153"/>
      <c r="I229" s="153"/>
      <c r="J229" s="153"/>
      <c r="K229" s="153"/>
      <c r="L229" s="153"/>
      <c r="M229" s="153"/>
      <c r="N229" s="153"/>
      <c r="O229" s="153"/>
      <c r="P229" s="153"/>
      <c r="Q229" s="153"/>
      <c r="R229" s="153"/>
      <c r="S229" s="153"/>
      <c r="T229" s="153"/>
      <c r="U229" s="153"/>
      <c r="V229" s="153"/>
      <c r="W229" s="153"/>
      <c r="X229" s="153"/>
      <c r="Y229" s="153"/>
      <c r="Z229" s="153"/>
      <c r="AA229" s="153"/>
      <c r="AB229" s="153"/>
      <c r="AC229" s="153"/>
      <c r="AD229" s="153"/>
      <c r="AE229" s="153"/>
      <c r="AF229" s="153"/>
      <c r="AG229" s="153"/>
      <c r="AH229" s="153"/>
      <c r="AI229" s="153"/>
      <c r="AJ229" s="153"/>
      <c r="AK229" s="153"/>
      <c r="AL229" s="153"/>
      <c r="AM229" s="153"/>
      <c r="AN229" s="153"/>
      <c r="AO229" s="153"/>
      <c r="AP229" s="153"/>
      <c r="AQ229" s="153"/>
      <c r="AR229" s="153"/>
    </row>
    <row r="230" spans="1:44">
      <c r="A230" s="741">
        <f>Gases!A237</f>
        <v>212</v>
      </c>
      <c r="B230" s="153"/>
      <c r="C230" s="153"/>
      <c r="D230" s="153"/>
      <c r="E230" s="153"/>
      <c r="F230" s="153"/>
      <c r="G230" s="153"/>
      <c r="H230" s="153"/>
      <c r="I230" s="153"/>
      <c r="J230" s="153"/>
      <c r="K230" s="153"/>
      <c r="L230" s="153"/>
      <c r="M230" s="153"/>
      <c r="N230" s="153"/>
      <c r="O230" s="153"/>
      <c r="P230" s="153"/>
      <c r="Q230" s="153"/>
      <c r="R230" s="153"/>
      <c r="S230" s="153"/>
      <c r="T230" s="153"/>
      <c r="U230" s="153"/>
      <c r="V230" s="153"/>
      <c r="W230" s="153"/>
      <c r="X230" s="153"/>
      <c r="Y230" s="153"/>
      <c r="Z230" s="153"/>
      <c r="AA230" s="153"/>
      <c r="AB230" s="153"/>
      <c r="AC230" s="153"/>
      <c r="AD230" s="153"/>
      <c r="AE230" s="153"/>
      <c r="AF230" s="153"/>
      <c r="AG230" s="153"/>
      <c r="AH230" s="153"/>
      <c r="AI230" s="153"/>
      <c r="AJ230" s="153"/>
      <c r="AK230" s="153"/>
      <c r="AL230" s="153"/>
      <c r="AM230" s="153"/>
      <c r="AN230" s="153"/>
      <c r="AO230" s="153"/>
      <c r="AP230" s="153"/>
      <c r="AQ230" s="153"/>
      <c r="AR230" s="153"/>
    </row>
    <row r="231" spans="1:44">
      <c r="A231" s="741">
        <f>Gases!A238</f>
        <v>213</v>
      </c>
      <c r="B231" s="153"/>
      <c r="C231" s="153"/>
      <c r="D231" s="153"/>
      <c r="E231" s="153"/>
      <c r="F231" s="153"/>
      <c r="G231" s="153"/>
      <c r="H231" s="153"/>
      <c r="I231" s="153"/>
      <c r="J231" s="153"/>
      <c r="K231" s="153"/>
      <c r="L231" s="153"/>
      <c r="M231" s="153"/>
      <c r="N231" s="153"/>
      <c r="O231" s="153"/>
      <c r="P231" s="153"/>
      <c r="Q231" s="153"/>
      <c r="R231" s="153"/>
      <c r="S231" s="153"/>
      <c r="T231" s="153"/>
      <c r="U231" s="153"/>
      <c r="V231" s="153"/>
      <c r="W231" s="153"/>
      <c r="X231" s="153"/>
      <c r="Y231" s="153"/>
      <c r="Z231" s="153"/>
      <c r="AA231" s="153"/>
      <c r="AB231" s="153"/>
      <c r="AC231" s="153"/>
      <c r="AD231" s="153"/>
      <c r="AE231" s="153"/>
      <c r="AF231" s="153"/>
      <c r="AG231" s="153"/>
      <c r="AH231" s="153"/>
      <c r="AI231" s="153"/>
      <c r="AJ231" s="153"/>
      <c r="AK231" s="153"/>
      <c r="AL231" s="153"/>
      <c r="AM231" s="153"/>
      <c r="AN231" s="153"/>
      <c r="AO231" s="153"/>
      <c r="AP231" s="153"/>
      <c r="AQ231" s="153"/>
      <c r="AR231" s="153"/>
    </row>
    <row r="232" spans="1:44">
      <c r="A232" s="741">
        <f>Gases!A239</f>
        <v>214</v>
      </c>
      <c r="B232" s="153"/>
      <c r="C232" s="153"/>
      <c r="D232" s="153"/>
      <c r="E232" s="153"/>
      <c r="F232" s="153"/>
      <c r="G232" s="153"/>
      <c r="H232" s="153"/>
      <c r="I232" s="153"/>
      <c r="J232" s="153"/>
      <c r="K232" s="153"/>
      <c r="L232" s="153"/>
      <c r="M232" s="153"/>
      <c r="N232" s="153"/>
      <c r="O232" s="153"/>
      <c r="P232" s="153"/>
      <c r="Q232" s="153"/>
      <c r="R232" s="153"/>
      <c r="S232" s="153"/>
      <c r="T232" s="153"/>
      <c r="U232" s="153"/>
      <c r="V232" s="153"/>
      <c r="W232" s="153"/>
      <c r="X232" s="153"/>
      <c r="Y232" s="153"/>
      <c r="Z232" s="153"/>
      <c r="AA232" s="153"/>
      <c r="AB232" s="153"/>
      <c r="AC232" s="153"/>
      <c r="AD232" s="153"/>
      <c r="AE232" s="153"/>
      <c r="AF232" s="153"/>
      <c r="AG232" s="153"/>
      <c r="AH232" s="153"/>
      <c r="AI232" s="153"/>
      <c r="AJ232" s="153"/>
      <c r="AK232" s="153"/>
      <c r="AL232" s="153"/>
      <c r="AM232" s="153"/>
      <c r="AN232" s="153"/>
      <c r="AO232" s="153"/>
      <c r="AP232" s="153"/>
      <c r="AQ232" s="153"/>
      <c r="AR232" s="153"/>
    </row>
    <row r="233" spans="1:44">
      <c r="A233" s="741">
        <f>Gases!A240</f>
        <v>215</v>
      </c>
      <c r="B233" s="153"/>
      <c r="C233" s="153"/>
      <c r="D233" s="153"/>
      <c r="E233" s="153"/>
      <c r="F233" s="153"/>
      <c r="G233" s="153"/>
      <c r="H233" s="153"/>
      <c r="I233" s="153"/>
      <c r="J233" s="153"/>
      <c r="K233" s="153"/>
      <c r="L233" s="153"/>
      <c r="M233" s="153"/>
      <c r="N233" s="153"/>
      <c r="O233" s="153"/>
      <c r="P233" s="153"/>
      <c r="Q233" s="153"/>
      <c r="R233" s="153"/>
      <c r="S233" s="153"/>
      <c r="T233" s="153"/>
      <c r="U233" s="153"/>
      <c r="V233" s="153"/>
      <c r="W233" s="153"/>
      <c r="X233" s="153"/>
      <c r="Y233" s="153"/>
      <c r="Z233" s="153"/>
      <c r="AA233" s="153"/>
      <c r="AB233" s="153"/>
      <c r="AC233" s="153"/>
      <c r="AD233" s="153"/>
      <c r="AE233" s="153"/>
      <c r="AF233" s="153"/>
      <c r="AG233" s="153"/>
      <c r="AH233" s="153"/>
      <c r="AI233" s="153"/>
      <c r="AJ233" s="153"/>
      <c r="AK233" s="153"/>
      <c r="AL233" s="153"/>
      <c r="AM233" s="153"/>
      <c r="AN233" s="153"/>
      <c r="AO233" s="153"/>
      <c r="AP233" s="153"/>
      <c r="AQ233" s="153"/>
      <c r="AR233" s="153"/>
    </row>
    <row r="234" spans="1:44">
      <c r="A234" s="741">
        <f>Gases!A241</f>
        <v>216</v>
      </c>
      <c r="B234" s="153"/>
      <c r="C234" s="153"/>
      <c r="D234" s="153"/>
      <c r="E234" s="153"/>
      <c r="F234" s="153"/>
      <c r="G234" s="153"/>
      <c r="H234" s="153"/>
      <c r="I234" s="153"/>
      <c r="J234" s="153"/>
      <c r="K234" s="153"/>
      <c r="L234" s="153"/>
      <c r="M234" s="153"/>
      <c r="N234" s="153"/>
      <c r="O234" s="153"/>
      <c r="P234" s="153"/>
      <c r="Q234" s="153"/>
      <c r="R234" s="153"/>
      <c r="S234" s="153"/>
      <c r="T234" s="153"/>
      <c r="U234" s="153"/>
      <c r="V234" s="153"/>
      <c r="W234" s="153"/>
      <c r="X234" s="153"/>
      <c r="Y234" s="153"/>
      <c r="Z234" s="153"/>
      <c r="AA234" s="153"/>
      <c r="AB234" s="153"/>
      <c r="AC234" s="153"/>
      <c r="AD234" s="153"/>
      <c r="AE234" s="153"/>
      <c r="AF234" s="153"/>
      <c r="AG234" s="153"/>
      <c r="AH234" s="153"/>
      <c r="AI234" s="153"/>
      <c r="AJ234" s="153"/>
      <c r="AK234" s="153"/>
      <c r="AL234" s="153"/>
      <c r="AM234" s="153"/>
      <c r="AN234" s="153"/>
      <c r="AO234" s="153"/>
      <c r="AP234" s="153"/>
      <c r="AQ234" s="153"/>
      <c r="AR234" s="153"/>
    </row>
    <row r="235" spans="1:44">
      <c r="A235" s="741">
        <f>Gases!A242</f>
        <v>217</v>
      </c>
      <c r="B235" s="153"/>
      <c r="C235" s="153"/>
      <c r="D235" s="153"/>
      <c r="E235" s="153"/>
      <c r="F235" s="153"/>
      <c r="G235" s="153"/>
      <c r="H235" s="153"/>
      <c r="I235" s="153"/>
      <c r="J235" s="153"/>
      <c r="K235" s="153"/>
      <c r="L235" s="153"/>
      <c r="M235" s="153"/>
      <c r="N235" s="153"/>
      <c r="O235" s="153"/>
      <c r="P235" s="153"/>
      <c r="Q235" s="153"/>
      <c r="R235" s="153"/>
      <c r="S235" s="153"/>
      <c r="T235" s="153"/>
      <c r="U235" s="153"/>
      <c r="V235" s="153"/>
      <c r="W235" s="153"/>
      <c r="X235" s="153"/>
      <c r="Y235" s="153"/>
      <c r="Z235" s="153"/>
      <c r="AA235" s="153"/>
      <c r="AB235" s="153"/>
      <c r="AC235" s="153"/>
      <c r="AD235" s="153"/>
      <c r="AE235" s="153"/>
      <c r="AF235" s="153"/>
      <c r="AG235" s="153"/>
      <c r="AH235" s="153"/>
      <c r="AI235" s="153"/>
      <c r="AJ235" s="153"/>
      <c r="AK235" s="153"/>
      <c r="AL235" s="153"/>
      <c r="AM235" s="153"/>
      <c r="AN235" s="153"/>
      <c r="AO235" s="153"/>
      <c r="AP235" s="153"/>
      <c r="AQ235" s="153"/>
      <c r="AR235" s="153"/>
    </row>
    <row r="236" spans="1:44">
      <c r="A236" s="741">
        <f>Gases!A243</f>
        <v>218</v>
      </c>
      <c r="B236" s="153"/>
      <c r="C236" s="153"/>
      <c r="D236" s="153"/>
      <c r="E236" s="153"/>
      <c r="F236" s="153"/>
      <c r="G236" s="153"/>
      <c r="H236" s="153"/>
      <c r="I236" s="153"/>
      <c r="J236" s="153"/>
      <c r="K236" s="153"/>
      <c r="L236" s="153"/>
      <c r="M236" s="153"/>
      <c r="N236" s="153"/>
      <c r="O236" s="153"/>
      <c r="P236" s="153"/>
      <c r="Q236" s="153"/>
      <c r="R236" s="153"/>
      <c r="S236" s="153"/>
      <c r="T236" s="153"/>
      <c r="U236" s="153"/>
      <c r="V236" s="153"/>
      <c r="W236" s="153"/>
      <c r="X236" s="153"/>
      <c r="Y236" s="153"/>
      <c r="Z236" s="153"/>
      <c r="AA236" s="153"/>
      <c r="AB236" s="153"/>
      <c r="AC236" s="153"/>
      <c r="AD236" s="153"/>
      <c r="AE236" s="153"/>
      <c r="AF236" s="153"/>
      <c r="AG236" s="153"/>
      <c r="AH236" s="153"/>
      <c r="AI236" s="153"/>
      <c r="AJ236" s="153"/>
      <c r="AK236" s="153"/>
      <c r="AL236" s="153"/>
      <c r="AM236" s="153"/>
      <c r="AN236" s="153"/>
      <c r="AO236" s="153"/>
      <c r="AP236" s="153"/>
      <c r="AQ236" s="153"/>
      <c r="AR236" s="153"/>
    </row>
    <row r="237" spans="1:44">
      <c r="A237" s="741">
        <f>Gases!A244</f>
        <v>219</v>
      </c>
      <c r="B237" s="153"/>
      <c r="C237" s="153"/>
      <c r="D237" s="153"/>
      <c r="E237" s="153"/>
      <c r="F237" s="153"/>
      <c r="G237" s="153"/>
      <c r="H237" s="153"/>
      <c r="I237" s="153"/>
      <c r="J237" s="153"/>
      <c r="K237" s="153"/>
      <c r="L237" s="153"/>
      <c r="M237" s="153"/>
      <c r="N237" s="153"/>
      <c r="O237" s="153"/>
      <c r="P237" s="153"/>
      <c r="Q237" s="153"/>
      <c r="R237" s="153"/>
      <c r="S237" s="153"/>
      <c r="T237" s="153"/>
      <c r="U237" s="153"/>
      <c r="V237" s="153"/>
      <c r="W237" s="153"/>
      <c r="X237" s="153"/>
      <c r="Y237" s="153"/>
      <c r="Z237" s="153"/>
      <c r="AA237" s="153"/>
      <c r="AB237" s="153"/>
      <c r="AC237" s="153"/>
      <c r="AD237" s="153"/>
      <c r="AE237" s="153"/>
      <c r="AF237" s="153"/>
      <c r="AG237" s="153"/>
      <c r="AH237" s="153"/>
      <c r="AI237" s="153"/>
      <c r="AJ237" s="153"/>
      <c r="AK237" s="153"/>
      <c r="AL237" s="153"/>
      <c r="AM237" s="153"/>
      <c r="AN237" s="153"/>
      <c r="AO237" s="153"/>
      <c r="AP237" s="153"/>
      <c r="AQ237" s="153"/>
      <c r="AR237" s="153"/>
    </row>
    <row r="238" spans="1:44">
      <c r="A238" s="741">
        <f>Gases!A245</f>
        <v>220</v>
      </c>
      <c r="B238" s="153"/>
      <c r="C238" s="153"/>
      <c r="D238" s="153"/>
      <c r="E238" s="153"/>
      <c r="F238" s="153"/>
      <c r="G238" s="153"/>
      <c r="H238" s="153"/>
      <c r="I238" s="153"/>
      <c r="J238" s="153"/>
      <c r="K238" s="153"/>
      <c r="L238" s="153"/>
      <c r="M238" s="153"/>
      <c r="N238" s="153"/>
      <c r="O238" s="153"/>
      <c r="P238" s="153"/>
      <c r="Q238" s="153"/>
      <c r="R238" s="153"/>
      <c r="S238" s="153"/>
      <c r="T238" s="153"/>
      <c r="U238" s="153"/>
      <c r="V238" s="153"/>
      <c r="W238" s="153"/>
      <c r="X238" s="153"/>
      <c r="Y238" s="153"/>
      <c r="Z238" s="153"/>
      <c r="AA238" s="153"/>
      <c r="AB238" s="153"/>
      <c r="AC238" s="153"/>
      <c r="AD238" s="153"/>
      <c r="AE238" s="153"/>
      <c r="AF238" s="153"/>
      <c r="AG238" s="153"/>
      <c r="AH238" s="153"/>
      <c r="AI238" s="153"/>
      <c r="AJ238" s="153"/>
      <c r="AK238" s="153"/>
      <c r="AL238" s="153"/>
      <c r="AM238" s="153"/>
      <c r="AN238" s="153"/>
      <c r="AO238" s="153"/>
      <c r="AP238" s="153"/>
      <c r="AQ238" s="153"/>
      <c r="AR238" s="153"/>
    </row>
    <row r="239" spans="1:44">
      <c r="A239" s="741">
        <f>Gases!A246</f>
        <v>221</v>
      </c>
      <c r="B239" s="153"/>
      <c r="C239" s="153"/>
      <c r="D239" s="153"/>
      <c r="E239" s="153"/>
      <c r="F239" s="153"/>
      <c r="G239" s="153"/>
      <c r="H239" s="153"/>
      <c r="I239" s="153"/>
      <c r="J239" s="153"/>
      <c r="K239" s="153"/>
      <c r="L239" s="153"/>
      <c r="M239" s="153"/>
      <c r="N239" s="153"/>
      <c r="O239" s="153"/>
      <c r="P239" s="153"/>
      <c r="Q239" s="153"/>
      <c r="R239" s="153"/>
      <c r="S239" s="153"/>
      <c r="T239" s="153"/>
      <c r="U239" s="153"/>
      <c r="V239" s="153"/>
      <c r="W239" s="153"/>
      <c r="X239" s="153"/>
      <c r="Y239" s="153"/>
      <c r="Z239" s="153"/>
      <c r="AA239" s="153"/>
      <c r="AB239" s="153"/>
      <c r="AC239" s="153"/>
      <c r="AD239" s="153"/>
      <c r="AE239" s="153"/>
      <c r="AF239" s="153"/>
      <c r="AG239" s="153"/>
      <c r="AH239" s="153"/>
      <c r="AI239" s="153"/>
      <c r="AJ239" s="153"/>
      <c r="AK239" s="153"/>
      <c r="AL239" s="153"/>
      <c r="AM239" s="153"/>
      <c r="AN239" s="153"/>
      <c r="AO239" s="153"/>
      <c r="AP239" s="153"/>
      <c r="AQ239" s="153"/>
      <c r="AR239" s="153"/>
    </row>
    <row r="240" spans="1:44">
      <c r="A240" s="741">
        <f>Gases!A247</f>
        <v>222</v>
      </c>
      <c r="B240" s="153"/>
      <c r="C240" s="153"/>
      <c r="D240" s="153"/>
      <c r="E240" s="153"/>
      <c r="F240" s="153"/>
      <c r="G240" s="153"/>
      <c r="H240" s="153"/>
      <c r="I240" s="153"/>
      <c r="J240" s="153"/>
      <c r="K240" s="153"/>
      <c r="L240" s="153"/>
      <c r="M240" s="153"/>
      <c r="N240" s="153"/>
      <c r="O240" s="153"/>
      <c r="P240" s="153"/>
      <c r="Q240" s="153"/>
      <c r="R240" s="153"/>
      <c r="S240" s="153"/>
      <c r="T240" s="153"/>
      <c r="U240" s="153"/>
      <c r="V240" s="153"/>
      <c r="W240" s="153"/>
      <c r="X240" s="153"/>
      <c r="Y240" s="153"/>
      <c r="Z240" s="153"/>
      <c r="AA240" s="153"/>
      <c r="AB240" s="153"/>
      <c r="AC240" s="153"/>
      <c r="AD240" s="153"/>
      <c r="AE240" s="153"/>
      <c r="AF240" s="153"/>
      <c r="AG240" s="153"/>
      <c r="AH240" s="153"/>
      <c r="AI240" s="153"/>
      <c r="AJ240" s="153"/>
      <c r="AK240" s="153"/>
      <c r="AL240" s="153"/>
      <c r="AM240" s="153"/>
      <c r="AN240" s="153"/>
      <c r="AO240" s="153"/>
      <c r="AP240" s="153"/>
      <c r="AQ240" s="153"/>
      <c r="AR240" s="153"/>
    </row>
    <row r="241" spans="1:44">
      <c r="A241" s="741">
        <f>Gases!A248</f>
        <v>223</v>
      </c>
      <c r="B241" s="153"/>
      <c r="C241" s="153"/>
      <c r="D241" s="153"/>
      <c r="E241" s="153"/>
      <c r="F241" s="153"/>
      <c r="G241" s="153"/>
      <c r="H241" s="153"/>
      <c r="I241" s="153"/>
      <c r="J241" s="153"/>
      <c r="K241" s="153"/>
      <c r="L241" s="153"/>
      <c r="M241" s="153"/>
      <c r="N241" s="153"/>
      <c r="O241" s="153"/>
      <c r="P241" s="153"/>
      <c r="Q241" s="153"/>
      <c r="R241" s="153"/>
      <c r="S241" s="153"/>
      <c r="T241" s="153"/>
      <c r="U241" s="153"/>
      <c r="V241" s="153"/>
      <c r="W241" s="153"/>
      <c r="X241" s="153"/>
      <c r="Y241" s="153"/>
      <c r="Z241" s="153"/>
      <c r="AA241" s="153"/>
      <c r="AB241" s="153"/>
      <c r="AC241" s="153"/>
      <c r="AD241" s="153"/>
      <c r="AE241" s="153"/>
      <c r="AF241" s="153"/>
      <c r="AG241" s="153"/>
      <c r="AH241" s="153"/>
      <c r="AI241" s="153"/>
      <c r="AJ241" s="153"/>
      <c r="AK241" s="153"/>
      <c r="AL241" s="153"/>
      <c r="AM241" s="153"/>
      <c r="AN241" s="153"/>
      <c r="AO241" s="153"/>
      <c r="AP241" s="153"/>
      <c r="AQ241" s="153"/>
      <c r="AR241" s="153"/>
    </row>
    <row r="242" spans="1:44">
      <c r="A242" s="741">
        <f>Gases!A249</f>
        <v>224</v>
      </c>
      <c r="B242" s="153"/>
      <c r="C242" s="153"/>
      <c r="D242" s="153"/>
      <c r="E242" s="153"/>
      <c r="F242" s="153"/>
      <c r="G242" s="153"/>
      <c r="H242" s="153"/>
      <c r="I242" s="153"/>
      <c r="J242" s="153"/>
      <c r="K242" s="153"/>
      <c r="L242" s="153"/>
      <c r="M242" s="153"/>
      <c r="N242" s="153"/>
      <c r="O242" s="153"/>
      <c r="P242" s="153"/>
      <c r="Q242" s="153"/>
      <c r="R242" s="153"/>
      <c r="S242" s="153"/>
      <c r="T242" s="153"/>
      <c r="U242" s="153"/>
      <c r="V242" s="153"/>
      <c r="W242" s="153"/>
      <c r="X242" s="153"/>
      <c r="Y242" s="153"/>
      <c r="Z242" s="153"/>
      <c r="AA242" s="153"/>
      <c r="AB242" s="153"/>
      <c r="AC242" s="153"/>
      <c r="AD242" s="153"/>
      <c r="AE242" s="153"/>
      <c r="AF242" s="153"/>
      <c r="AG242" s="153"/>
      <c r="AH242" s="153"/>
      <c r="AI242" s="153"/>
      <c r="AJ242" s="153"/>
      <c r="AK242" s="153"/>
      <c r="AL242" s="153"/>
      <c r="AM242" s="153"/>
      <c r="AN242" s="153"/>
      <c r="AO242" s="153"/>
      <c r="AP242" s="153"/>
      <c r="AQ242" s="153"/>
      <c r="AR242" s="153"/>
    </row>
    <row r="243" spans="1:44">
      <c r="A243" s="741">
        <f>Gases!A250</f>
        <v>225</v>
      </c>
      <c r="B243" s="153"/>
      <c r="C243" s="153"/>
      <c r="D243" s="153"/>
      <c r="E243" s="153"/>
      <c r="F243" s="153"/>
      <c r="G243" s="153"/>
      <c r="H243" s="153"/>
      <c r="I243" s="153"/>
      <c r="J243" s="153"/>
      <c r="K243" s="153"/>
      <c r="L243" s="153"/>
      <c r="M243" s="153"/>
      <c r="N243" s="153"/>
      <c r="O243" s="153"/>
      <c r="P243" s="153"/>
      <c r="Q243" s="153"/>
      <c r="R243" s="153"/>
      <c r="S243" s="153"/>
      <c r="T243" s="153"/>
      <c r="U243" s="153"/>
      <c r="V243" s="153"/>
      <c r="W243" s="153"/>
      <c r="X243" s="153"/>
      <c r="Y243" s="153"/>
      <c r="Z243" s="153"/>
      <c r="AA243" s="153"/>
      <c r="AB243" s="153"/>
      <c r="AC243" s="153"/>
      <c r="AD243" s="153"/>
      <c r="AE243" s="153"/>
      <c r="AF243" s="153"/>
      <c r="AG243" s="153"/>
      <c r="AH243" s="153"/>
      <c r="AI243" s="153"/>
      <c r="AJ243" s="153"/>
      <c r="AK243" s="153"/>
      <c r="AL243" s="153"/>
      <c r="AM243" s="153"/>
      <c r="AN243" s="153"/>
      <c r="AO243" s="153"/>
      <c r="AP243" s="153"/>
      <c r="AQ243" s="153"/>
      <c r="AR243" s="153"/>
    </row>
    <row r="244" spans="1:44">
      <c r="A244" s="741">
        <f>Gases!A251</f>
        <v>226</v>
      </c>
      <c r="B244" s="153"/>
      <c r="C244" s="153"/>
      <c r="D244" s="153"/>
      <c r="E244" s="153"/>
      <c r="F244" s="153"/>
      <c r="G244" s="153"/>
      <c r="H244" s="153"/>
      <c r="I244" s="153"/>
      <c r="J244" s="153"/>
      <c r="K244" s="153"/>
      <c r="L244" s="153"/>
      <c r="M244" s="153"/>
      <c r="N244" s="153"/>
      <c r="O244" s="153"/>
      <c r="P244" s="153"/>
      <c r="Q244" s="153"/>
      <c r="R244" s="153"/>
      <c r="S244" s="153"/>
      <c r="T244" s="153"/>
      <c r="U244" s="153"/>
      <c r="V244" s="153"/>
      <c r="W244" s="153"/>
      <c r="X244" s="153"/>
      <c r="Y244" s="153"/>
      <c r="Z244" s="153"/>
      <c r="AA244" s="153"/>
      <c r="AB244" s="153"/>
      <c r="AC244" s="153"/>
      <c r="AD244" s="153"/>
      <c r="AE244" s="153"/>
      <c r="AF244" s="153"/>
      <c r="AG244" s="153"/>
      <c r="AH244" s="153"/>
      <c r="AI244" s="153"/>
      <c r="AJ244" s="153"/>
      <c r="AK244" s="153"/>
      <c r="AL244" s="153"/>
      <c r="AM244" s="153"/>
      <c r="AN244" s="153"/>
      <c r="AO244" s="153"/>
      <c r="AP244" s="153"/>
      <c r="AQ244" s="153"/>
      <c r="AR244" s="153"/>
    </row>
    <row r="245" spans="1:44">
      <c r="A245" s="741">
        <f>Gases!A252</f>
        <v>227</v>
      </c>
      <c r="B245" s="153"/>
      <c r="C245" s="153"/>
      <c r="D245" s="153"/>
      <c r="E245" s="153"/>
      <c r="F245" s="153"/>
      <c r="G245" s="153"/>
      <c r="H245" s="153"/>
      <c r="I245" s="153"/>
      <c r="J245" s="153"/>
      <c r="K245" s="153"/>
      <c r="L245" s="153"/>
      <c r="M245" s="153"/>
      <c r="N245" s="153"/>
      <c r="O245" s="153"/>
      <c r="P245" s="153"/>
      <c r="Q245" s="153"/>
      <c r="R245" s="153"/>
      <c r="S245" s="153"/>
      <c r="T245" s="153"/>
      <c r="U245" s="153"/>
      <c r="V245" s="153"/>
      <c r="W245" s="153"/>
      <c r="X245" s="153"/>
      <c r="Y245" s="153"/>
      <c r="Z245" s="153"/>
      <c r="AA245" s="153"/>
      <c r="AB245" s="153"/>
      <c r="AC245" s="153"/>
      <c r="AD245" s="153"/>
      <c r="AE245" s="153"/>
      <c r="AF245" s="153"/>
      <c r="AG245" s="153"/>
      <c r="AH245" s="153"/>
      <c r="AI245" s="153"/>
      <c r="AJ245" s="153"/>
      <c r="AK245" s="153"/>
      <c r="AL245" s="153"/>
      <c r="AM245" s="153"/>
      <c r="AN245" s="153"/>
      <c r="AO245" s="153"/>
      <c r="AP245" s="153"/>
      <c r="AQ245" s="153"/>
      <c r="AR245" s="153"/>
    </row>
    <row r="246" spans="1:44">
      <c r="A246" s="741">
        <f>Gases!A253</f>
        <v>228</v>
      </c>
      <c r="B246" s="153"/>
      <c r="C246" s="153"/>
      <c r="D246" s="153"/>
      <c r="E246" s="153"/>
      <c r="F246" s="153"/>
      <c r="G246" s="153"/>
      <c r="H246" s="153"/>
      <c r="I246" s="153"/>
      <c r="J246" s="153"/>
      <c r="K246" s="153"/>
      <c r="L246" s="153"/>
      <c r="M246" s="153"/>
      <c r="N246" s="153"/>
      <c r="O246" s="153"/>
      <c r="P246" s="153"/>
      <c r="Q246" s="153"/>
      <c r="R246" s="153"/>
      <c r="S246" s="153"/>
      <c r="T246" s="153"/>
      <c r="U246" s="153"/>
      <c r="V246" s="153"/>
      <c r="W246" s="153"/>
      <c r="X246" s="153"/>
      <c r="Y246" s="153"/>
      <c r="Z246" s="153"/>
      <c r="AA246" s="153"/>
      <c r="AB246" s="153"/>
      <c r="AC246" s="153"/>
      <c r="AD246" s="153"/>
      <c r="AE246" s="153"/>
      <c r="AF246" s="153"/>
      <c r="AG246" s="153"/>
      <c r="AH246" s="153"/>
      <c r="AI246" s="153"/>
      <c r="AJ246" s="153"/>
      <c r="AK246" s="153"/>
      <c r="AL246" s="153"/>
      <c r="AM246" s="153"/>
      <c r="AN246" s="153"/>
      <c r="AO246" s="153"/>
      <c r="AP246" s="153"/>
      <c r="AQ246" s="153"/>
      <c r="AR246" s="153"/>
    </row>
    <row r="247" spans="1:44">
      <c r="A247" s="741">
        <f>Gases!A254</f>
        <v>229</v>
      </c>
      <c r="B247" s="153"/>
      <c r="C247" s="153"/>
      <c r="D247" s="153"/>
      <c r="E247" s="153"/>
      <c r="F247" s="153"/>
      <c r="G247" s="153"/>
      <c r="H247" s="153"/>
      <c r="I247" s="153"/>
      <c r="J247" s="153"/>
      <c r="K247" s="153"/>
      <c r="L247" s="153"/>
      <c r="M247" s="153"/>
      <c r="N247" s="153"/>
      <c r="O247" s="153"/>
      <c r="P247" s="153"/>
      <c r="Q247" s="153"/>
      <c r="R247" s="153"/>
      <c r="S247" s="153"/>
      <c r="T247" s="153"/>
      <c r="U247" s="153"/>
      <c r="V247" s="153"/>
      <c r="W247" s="153"/>
      <c r="X247" s="153"/>
      <c r="Y247" s="153"/>
      <c r="Z247" s="153"/>
      <c r="AA247" s="153"/>
      <c r="AB247" s="153"/>
      <c r="AC247" s="153"/>
      <c r="AD247" s="153"/>
      <c r="AE247" s="153"/>
      <c r="AF247" s="153"/>
      <c r="AG247" s="153"/>
      <c r="AH247" s="153"/>
      <c r="AI247" s="153"/>
      <c r="AJ247" s="153"/>
      <c r="AK247" s="153"/>
      <c r="AL247" s="153"/>
      <c r="AM247" s="153"/>
      <c r="AN247" s="153"/>
      <c r="AO247" s="153"/>
      <c r="AP247" s="153"/>
      <c r="AQ247" s="153"/>
      <c r="AR247" s="153"/>
    </row>
    <row r="248" spans="1:44">
      <c r="A248" s="741">
        <f>Gases!A255</f>
        <v>230</v>
      </c>
      <c r="B248" s="153"/>
      <c r="C248" s="153"/>
      <c r="D248" s="153"/>
      <c r="E248" s="153"/>
      <c r="F248" s="153"/>
      <c r="G248" s="153"/>
      <c r="H248" s="153"/>
      <c r="I248" s="153"/>
      <c r="J248" s="153"/>
      <c r="K248" s="153"/>
      <c r="L248" s="153"/>
      <c r="M248" s="153"/>
      <c r="N248" s="153"/>
      <c r="O248" s="153"/>
      <c r="P248" s="153"/>
      <c r="Q248" s="153"/>
      <c r="R248" s="153"/>
      <c r="S248" s="153"/>
      <c r="T248" s="153"/>
      <c r="U248" s="153"/>
      <c r="V248" s="153"/>
      <c r="W248" s="153"/>
      <c r="X248" s="153"/>
      <c r="Y248" s="153"/>
      <c r="Z248" s="153"/>
      <c r="AA248" s="153"/>
      <c r="AB248" s="153"/>
      <c r="AC248" s="153"/>
      <c r="AD248" s="153"/>
      <c r="AE248" s="153"/>
      <c r="AF248" s="153"/>
      <c r="AG248" s="153"/>
      <c r="AH248" s="153"/>
      <c r="AI248" s="153"/>
      <c r="AJ248" s="153"/>
      <c r="AK248" s="153"/>
      <c r="AL248" s="153"/>
      <c r="AM248" s="153"/>
      <c r="AN248" s="153"/>
      <c r="AO248" s="153"/>
      <c r="AP248" s="153"/>
      <c r="AQ248" s="153"/>
      <c r="AR248" s="153"/>
    </row>
    <row r="249" spans="1:44">
      <c r="A249" s="741">
        <f>Gases!A256</f>
        <v>231</v>
      </c>
      <c r="B249" s="153"/>
      <c r="C249" s="153"/>
      <c r="D249" s="153"/>
      <c r="E249" s="153"/>
      <c r="F249" s="153"/>
      <c r="G249" s="153"/>
      <c r="H249" s="153"/>
      <c r="I249" s="153"/>
      <c r="J249" s="153"/>
      <c r="K249" s="153"/>
      <c r="L249" s="153"/>
      <c r="M249" s="153"/>
      <c r="N249" s="153"/>
      <c r="O249" s="153"/>
      <c r="P249" s="153"/>
      <c r="Q249" s="153"/>
      <c r="R249" s="153"/>
      <c r="S249" s="153"/>
      <c r="T249" s="153"/>
      <c r="U249" s="153"/>
      <c r="V249" s="153"/>
      <c r="W249" s="153"/>
      <c r="X249" s="153"/>
      <c r="Y249" s="153"/>
      <c r="Z249" s="153"/>
      <c r="AA249" s="153"/>
      <c r="AB249" s="153"/>
      <c r="AC249" s="153"/>
      <c r="AD249" s="153"/>
      <c r="AE249" s="153"/>
      <c r="AF249" s="153"/>
      <c r="AG249" s="153"/>
      <c r="AH249" s="153"/>
      <c r="AI249" s="153"/>
      <c r="AJ249" s="153"/>
      <c r="AK249" s="153"/>
      <c r="AL249" s="153"/>
      <c r="AM249" s="153"/>
      <c r="AN249" s="153"/>
      <c r="AO249" s="153"/>
      <c r="AP249" s="153"/>
      <c r="AQ249" s="153"/>
      <c r="AR249" s="153"/>
    </row>
    <row r="250" spans="1:44">
      <c r="A250" s="741">
        <f>Gases!A257</f>
        <v>232</v>
      </c>
      <c r="B250" s="153"/>
      <c r="C250" s="153"/>
      <c r="D250" s="153"/>
      <c r="E250" s="153"/>
      <c r="F250" s="153"/>
      <c r="G250" s="153"/>
      <c r="H250" s="153"/>
      <c r="I250" s="153"/>
      <c r="J250" s="153"/>
      <c r="K250" s="153"/>
      <c r="L250" s="153"/>
      <c r="M250" s="153"/>
      <c r="N250" s="153"/>
      <c r="O250" s="153"/>
      <c r="P250" s="153"/>
      <c r="Q250" s="153"/>
      <c r="R250" s="153"/>
      <c r="S250" s="153"/>
      <c r="T250" s="153"/>
      <c r="U250" s="153"/>
      <c r="V250" s="153"/>
      <c r="W250" s="153"/>
      <c r="X250" s="153"/>
      <c r="Y250" s="153"/>
      <c r="Z250" s="153"/>
      <c r="AA250" s="153"/>
      <c r="AB250" s="153"/>
      <c r="AC250" s="153"/>
      <c r="AD250" s="153"/>
      <c r="AE250" s="153"/>
      <c r="AF250" s="153"/>
      <c r="AG250" s="153"/>
      <c r="AH250" s="153"/>
      <c r="AI250" s="153"/>
      <c r="AJ250" s="153"/>
      <c r="AK250" s="153"/>
      <c r="AL250" s="153"/>
      <c r="AM250" s="153"/>
      <c r="AN250" s="153"/>
      <c r="AO250" s="153"/>
      <c r="AP250" s="153"/>
      <c r="AQ250" s="153"/>
      <c r="AR250" s="153"/>
    </row>
    <row r="251" spans="1:44">
      <c r="A251" s="741">
        <f>Gases!A258</f>
        <v>233</v>
      </c>
      <c r="B251" s="153"/>
      <c r="C251" s="153"/>
      <c r="D251" s="153"/>
      <c r="E251" s="153"/>
      <c r="F251" s="153"/>
      <c r="G251" s="153"/>
      <c r="H251" s="153"/>
      <c r="I251" s="153"/>
      <c r="J251" s="153"/>
      <c r="K251" s="153"/>
      <c r="L251" s="153"/>
      <c r="M251" s="153"/>
      <c r="N251" s="153"/>
      <c r="O251" s="153"/>
      <c r="P251" s="153"/>
      <c r="Q251" s="153"/>
      <c r="R251" s="153"/>
      <c r="S251" s="153"/>
      <c r="T251" s="153"/>
      <c r="U251" s="153"/>
      <c r="V251" s="153"/>
      <c r="W251" s="153"/>
      <c r="X251" s="153"/>
      <c r="Y251" s="153"/>
      <c r="Z251" s="153"/>
      <c r="AA251" s="153"/>
      <c r="AB251" s="153"/>
      <c r="AC251" s="153"/>
      <c r="AD251" s="153"/>
      <c r="AE251" s="153"/>
      <c r="AF251" s="153"/>
      <c r="AG251" s="153"/>
      <c r="AH251" s="153"/>
      <c r="AI251" s="153"/>
      <c r="AJ251" s="153"/>
      <c r="AK251" s="153"/>
      <c r="AL251" s="153"/>
      <c r="AM251" s="153"/>
      <c r="AN251" s="153"/>
      <c r="AO251" s="153"/>
      <c r="AP251" s="153"/>
      <c r="AQ251" s="153"/>
      <c r="AR251" s="153"/>
    </row>
    <row r="252" spans="1:44">
      <c r="A252" s="741">
        <f>Gases!A259</f>
        <v>234</v>
      </c>
      <c r="B252" s="153"/>
      <c r="C252" s="153"/>
      <c r="D252" s="153"/>
      <c r="E252" s="153"/>
      <c r="F252" s="153"/>
      <c r="G252" s="153"/>
      <c r="H252" s="153"/>
      <c r="I252" s="153"/>
      <c r="J252" s="153"/>
      <c r="K252" s="153"/>
      <c r="L252" s="153"/>
      <c r="M252" s="153"/>
      <c r="N252" s="153"/>
      <c r="O252" s="153"/>
      <c r="P252" s="153"/>
      <c r="Q252" s="153"/>
      <c r="R252" s="153"/>
      <c r="S252" s="153"/>
      <c r="T252" s="153"/>
      <c r="U252" s="153"/>
      <c r="V252" s="153"/>
      <c r="W252" s="153"/>
      <c r="X252" s="153"/>
      <c r="Y252" s="153"/>
      <c r="Z252" s="153"/>
      <c r="AA252" s="153"/>
      <c r="AB252" s="153"/>
      <c r="AC252" s="153"/>
      <c r="AD252" s="153"/>
      <c r="AE252" s="153"/>
      <c r="AF252" s="153"/>
      <c r="AG252" s="153"/>
      <c r="AH252" s="153"/>
      <c r="AI252" s="153"/>
      <c r="AJ252" s="153"/>
      <c r="AK252" s="153"/>
      <c r="AL252" s="153"/>
      <c r="AM252" s="153"/>
      <c r="AN252" s="153"/>
      <c r="AO252" s="153"/>
      <c r="AP252" s="153"/>
      <c r="AQ252" s="153"/>
      <c r="AR252" s="153"/>
    </row>
    <row r="253" spans="1:44">
      <c r="A253" s="741">
        <f>Gases!A260</f>
        <v>235</v>
      </c>
      <c r="B253" s="153"/>
      <c r="C253" s="153"/>
      <c r="D253" s="153"/>
      <c r="E253" s="153"/>
      <c r="F253" s="153"/>
      <c r="G253" s="153"/>
      <c r="H253" s="153"/>
      <c r="I253" s="153"/>
      <c r="J253" s="153"/>
      <c r="K253" s="153"/>
      <c r="L253" s="153"/>
      <c r="M253" s="153"/>
      <c r="N253" s="153"/>
      <c r="O253" s="153"/>
      <c r="P253" s="153"/>
      <c r="Q253" s="153"/>
      <c r="R253" s="153"/>
      <c r="S253" s="153"/>
      <c r="T253" s="153"/>
      <c r="U253" s="153"/>
      <c r="V253" s="153"/>
      <c r="W253" s="153"/>
      <c r="X253" s="153"/>
      <c r="Y253" s="153"/>
      <c r="Z253" s="153"/>
      <c r="AA253" s="153"/>
      <c r="AB253" s="153"/>
      <c r="AC253" s="153"/>
      <c r="AD253" s="153"/>
      <c r="AE253" s="153"/>
      <c r="AF253" s="153"/>
      <c r="AG253" s="153"/>
      <c r="AH253" s="153"/>
      <c r="AI253" s="153"/>
      <c r="AJ253" s="153"/>
      <c r="AK253" s="153"/>
      <c r="AL253" s="153"/>
      <c r="AM253" s="153"/>
      <c r="AN253" s="153"/>
      <c r="AO253" s="153"/>
      <c r="AP253" s="153"/>
      <c r="AQ253" s="153"/>
      <c r="AR253" s="153"/>
    </row>
    <row r="254" spans="1:44">
      <c r="A254" s="741">
        <f>Gases!A261</f>
        <v>236</v>
      </c>
      <c r="B254" s="153"/>
      <c r="C254" s="153"/>
      <c r="D254" s="153"/>
      <c r="E254" s="153"/>
      <c r="F254" s="153"/>
      <c r="G254" s="153"/>
      <c r="H254" s="153"/>
      <c r="I254" s="153"/>
      <c r="J254" s="153"/>
      <c r="K254" s="153"/>
      <c r="L254" s="153"/>
      <c r="M254" s="153"/>
      <c r="N254" s="153"/>
      <c r="O254" s="153"/>
      <c r="P254" s="153"/>
      <c r="Q254" s="153"/>
      <c r="R254" s="153"/>
      <c r="S254" s="153"/>
      <c r="T254" s="153"/>
      <c r="U254" s="153"/>
      <c r="V254" s="153"/>
      <c r="W254" s="153"/>
      <c r="X254" s="153"/>
      <c r="Y254" s="153"/>
      <c r="Z254" s="153"/>
      <c r="AA254" s="153"/>
      <c r="AB254" s="153"/>
      <c r="AC254" s="153"/>
      <c r="AD254" s="153"/>
      <c r="AE254" s="153"/>
      <c r="AF254" s="153"/>
      <c r="AG254" s="153"/>
      <c r="AH254" s="153"/>
      <c r="AI254" s="153"/>
      <c r="AJ254" s="153"/>
      <c r="AK254" s="153"/>
      <c r="AL254" s="153"/>
      <c r="AM254" s="153"/>
      <c r="AN254" s="153"/>
      <c r="AO254" s="153"/>
      <c r="AP254" s="153"/>
      <c r="AQ254" s="153"/>
      <c r="AR254" s="153"/>
    </row>
    <row r="255" spans="1:44">
      <c r="A255" s="741">
        <f>Gases!A262</f>
        <v>237</v>
      </c>
      <c r="B255" s="153"/>
      <c r="C255" s="153"/>
      <c r="D255" s="153"/>
      <c r="E255" s="153"/>
      <c r="F255" s="153"/>
      <c r="G255" s="153"/>
      <c r="H255" s="153"/>
      <c r="I255" s="153"/>
      <c r="J255" s="153"/>
      <c r="K255" s="153"/>
      <c r="L255" s="153"/>
      <c r="M255" s="153"/>
      <c r="N255" s="153"/>
      <c r="O255" s="153"/>
      <c r="P255" s="153"/>
      <c r="Q255" s="153"/>
      <c r="R255" s="153"/>
      <c r="S255" s="153"/>
      <c r="T255" s="153"/>
      <c r="U255" s="153"/>
      <c r="V255" s="153"/>
      <c r="W255" s="153"/>
      <c r="X255" s="153"/>
      <c r="Y255" s="153"/>
      <c r="Z255" s="153"/>
      <c r="AA255" s="153"/>
      <c r="AB255" s="153"/>
      <c r="AC255" s="153"/>
      <c r="AD255" s="153"/>
      <c r="AE255" s="153"/>
      <c r="AF255" s="153"/>
      <c r="AG255" s="153"/>
      <c r="AH255" s="153"/>
      <c r="AI255" s="153"/>
      <c r="AJ255" s="153"/>
      <c r="AK255" s="153"/>
      <c r="AL255" s="153"/>
      <c r="AM255" s="153"/>
      <c r="AN255" s="153"/>
      <c r="AO255" s="153"/>
      <c r="AP255" s="153"/>
      <c r="AQ255" s="153"/>
      <c r="AR255" s="153"/>
    </row>
    <row r="256" spans="1:44">
      <c r="A256" s="741">
        <f>Gases!A263</f>
        <v>238</v>
      </c>
      <c r="B256" s="153"/>
      <c r="C256" s="153"/>
      <c r="D256" s="153"/>
      <c r="E256" s="153"/>
      <c r="F256" s="153"/>
      <c r="G256" s="153"/>
      <c r="H256" s="153"/>
      <c r="I256" s="153"/>
      <c r="J256" s="153"/>
      <c r="K256" s="153"/>
      <c r="L256" s="153"/>
      <c r="M256" s="153"/>
      <c r="N256" s="153"/>
      <c r="O256" s="153"/>
      <c r="P256" s="153"/>
      <c r="Q256" s="153"/>
      <c r="R256" s="153"/>
      <c r="S256" s="153"/>
      <c r="T256" s="153"/>
      <c r="U256" s="153"/>
      <c r="V256" s="153"/>
      <c r="W256" s="153"/>
      <c r="X256" s="153"/>
      <c r="Y256" s="153"/>
      <c r="Z256" s="153"/>
      <c r="AA256" s="153"/>
      <c r="AB256" s="153"/>
      <c r="AC256" s="153"/>
      <c r="AD256" s="153"/>
      <c r="AE256" s="153"/>
      <c r="AF256" s="153"/>
      <c r="AG256" s="153"/>
      <c r="AH256" s="153"/>
      <c r="AI256" s="153"/>
      <c r="AJ256" s="153"/>
      <c r="AK256" s="153"/>
      <c r="AL256" s="153"/>
      <c r="AM256" s="153"/>
      <c r="AN256" s="153"/>
      <c r="AO256" s="153"/>
      <c r="AP256" s="153"/>
      <c r="AQ256" s="153"/>
      <c r="AR256" s="153"/>
    </row>
    <row r="257" spans="1:44">
      <c r="A257" s="741">
        <f>Gases!A264</f>
        <v>239</v>
      </c>
      <c r="B257" s="153"/>
      <c r="C257" s="153"/>
      <c r="D257" s="153"/>
      <c r="E257" s="153"/>
      <c r="F257" s="153"/>
      <c r="G257" s="153"/>
      <c r="H257" s="153"/>
      <c r="I257" s="153"/>
      <c r="J257" s="153"/>
      <c r="K257" s="153"/>
      <c r="L257" s="153"/>
      <c r="M257" s="153"/>
      <c r="N257" s="153"/>
      <c r="O257" s="153"/>
      <c r="P257" s="153"/>
      <c r="Q257" s="153"/>
      <c r="R257" s="153"/>
      <c r="S257" s="153"/>
      <c r="T257" s="153"/>
      <c r="U257" s="153"/>
      <c r="V257" s="153"/>
      <c r="W257" s="153"/>
      <c r="X257" s="153"/>
      <c r="Y257" s="153"/>
      <c r="Z257" s="153"/>
      <c r="AA257" s="153"/>
      <c r="AB257" s="153"/>
      <c r="AC257" s="153"/>
      <c r="AD257" s="153"/>
      <c r="AE257" s="153"/>
      <c r="AF257" s="153"/>
      <c r="AG257" s="153"/>
      <c r="AH257" s="153"/>
      <c r="AI257" s="153"/>
      <c r="AJ257" s="153"/>
      <c r="AK257" s="153"/>
      <c r="AL257" s="153"/>
      <c r="AM257" s="153"/>
      <c r="AN257" s="153"/>
      <c r="AO257" s="153"/>
      <c r="AP257" s="153"/>
      <c r="AQ257" s="153"/>
      <c r="AR257" s="153"/>
    </row>
    <row r="258" spans="1:44">
      <c r="A258" s="741">
        <f>Gases!A265</f>
        <v>240</v>
      </c>
      <c r="B258" s="153"/>
      <c r="C258" s="153"/>
      <c r="D258" s="153"/>
      <c r="E258" s="153"/>
      <c r="F258" s="153"/>
      <c r="G258" s="153"/>
      <c r="H258" s="153"/>
      <c r="I258" s="153"/>
      <c r="J258" s="153"/>
      <c r="K258" s="153"/>
      <c r="L258" s="153"/>
      <c r="M258" s="153"/>
      <c r="N258" s="153"/>
      <c r="O258" s="153"/>
      <c r="P258" s="153"/>
      <c r="Q258" s="153"/>
      <c r="R258" s="153"/>
      <c r="S258" s="153"/>
      <c r="T258" s="153"/>
      <c r="U258" s="153"/>
      <c r="V258" s="153"/>
      <c r="W258" s="153"/>
      <c r="X258" s="153"/>
      <c r="Y258" s="153"/>
      <c r="Z258" s="153"/>
      <c r="AA258" s="153"/>
      <c r="AB258" s="153"/>
      <c r="AC258" s="153"/>
      <c r="AD258" s="153"/>
      <c r="AE258" s="153"/>
      <c r="AF258" s="153"/>
      <c r="AG258" s="153"/>
      <c r="AH258" s="153"/>
      <c r="AI258" s="153"/>
      <c r="AJ258" s="153"/>
      <c r="AK258" s="153"/>
      <c r="AL258" s="153"/>
      <c r="AM258" s="153"/>
      <c r="AN258" s="153"/>
      <c r="AO258" s="153"/>
      <c r="AP258" s="153"/>
      <c r="AQ258" s="153"/>
      <c r="AR258" s="153"/>
    </row>
    <row r="259" spans="1:44">
      <c r="A259" s="741">
        <f>Gases!A266</f>
        <v>241</v>
      </c>
      <c r="B259" s="153"/>
      <c r="C259" s="153"/>
      <c r="D259" s="153"/>
      <c r="E259" s="153"/>
      <c r="F259" s="153"/>
      <c r="G259" s="153"/>
      <c r="H259" s="153"/>
      <c r="I259" s="153"/>
      <c r="J259" s="153"/>
      <c r="K259" s="153"/>
      <c r="L259" s="153"/>
      <c r="M259" s="153"/>
      <c r="N259" s="153"/>
      <c r="O259" s="153"/>
      <c r="P259" s="153"/>
      <c r="Q259" s="153"/>
      <c r="R259" s="153"/>
      <c r="S259" s="153"/>
      <c r="T259" s="153"/>
      <c r="U259" s="153"/>
      <c r="V259" s="153"/>
      <c r="W259" s="153"/>
      <c r="X259" s="153"/>
      <c r="Y259" s="153"/>
      <c r="Z259" s="153"/>
      <c r="AA259" s="153"/>
      <c r="AB259" s="153"/>
      <c r="AC259" s="153"/>
      <c r="AD259" s="153"/>
      <c r="AE259" s="153"/>
      <c r="AF259" s="153"/>
      <c r="AG259" s="153"/>
      <c r="AH259" s="153"/>
      <c r="AI259" s="153"/>
      <c r="AJ259" s="153"/>
      <c r="AK259" s="153"/>
      <c r="AL259" s="153"/>
      <c r="AM259" s="153"/>
      <c r="AN259" s="153"/>
      <c r="AO259" s="153"/>
      <c r="AP259" s="153"/>
      <c r="AQ259" s="153"/>
      <c r="AR259" s="153"/>
    </row>
    <row r="260" spans="1:44">
      <c r="A260" s="741">
        <f>Gases!A267</f>
        <v>242</v>
      </c>
      <c r="B260" s="153"/>
      <c r="C260" s="153"/>
      <c r="D260" s="153"/>
      <c r="E260" s="153"/>
      <c r="F260" s="153"/>
      <c r="G260" s="153"/>
      <c r="H260" s="153"/>
      <c r="I260" s="153"/>
      <c r="J260" s="153"/>
      <c r="K260" s="153"/>
      <c r="L260" s="153"/>
      <c r="M260" s="153"/>
      <c r="N260" s="153"/>
      <c r="O260" s="153"/>
      <c r="P260" s="153"/>
      <c r="Q260" s="153"/>
      <c r="R260" s="153"/>
      <c r="S260" s="153"/>
      <c r="T260" s="153"/>
      <c r="U260" s="153"/>
      <c r="V260" s="153"/>
      <c r="W260" s="153"/>
      <c r="X260" s="153"/>
      <c r="Y260" s="153"/>
      <c r="Z260" s="153"/>
      <c r="AA260" s="153"/>
      <c r="AB260" s="153"/>
      <c r="AC260" s="153"/>
      <c r="AD260" s="153"/>
      <c r="AE260" s="153"/>
      <c r="AF260" s="153"/>
      <c r="AG260" s="153"/>
      <c r="AH260" s="153"/>
      <c r="AI260" s="153"/>
      <c r="AJ260" s="153"/>
      <c r="AK260" s="153"/>
      <c r="AL260" s="153"/>
      <c r="AM260" s="153"/>
      <c r="AN260" s="153"/>
      <c r="AO260" s="153"/>
      <c r="AP260" s="153"/>
      <c r="AQ260" s="153"/>
      <c r="AR260" s="153"/>
    </row>
    <row r="261" spans="1:44">
      <c r="A261" s="741">
        <f>Gases!A268</f>
        <v>243</v>
      </c>
      <c r="B261" s="153"/>
      <c r="C261" s="153"/>
      <c r="D261" s="153"/>
      <c r="E261" s="153"/>
      <c r="F261" s="153"/>
      <c r="G261" s="153"/>
      <c r="H261" s="153"/>
      <c r="I261" s="153"/>
      <c r="J261" s="153"/>
      <c r="K261" s="153"/>
      <c r="L261" s="153"/>
      <c r="M261" s="153"/>
      <c r="N261" s="153"/>
      <c r="O261" s="153"/>
      <c r="P261" s="153"/>
      <c r="Q261" s="153"/>
      <c r="R261" s="153"/>
      <c r="S261" s="153"/>
      <c r="T261" s="153"/>
      <c r="U261" s="153"/>
      <c r="V261" s="153"/>
      <c r="W261" s="153"/>
      <c r="X261" s="153"/>
      <c r="Y261" s="153"/>
      <c r="Z261" s="153"/>
      <c r="AA261" s="153"/>
      <c r="AB261" s="153"/>
      <c r="AC261" s="153"/>
      <c r="AD261" s="153"/>
      <c r="AE261" s="153"/>
      <c r="AF261" s="153"/>
      <c r="AG261" s="153"/>
      <c r="AH261" s="153"/>
      <c r="AI261" s="153"/>
      <c r="AJ261" s="153"/>
      <c r="AK261" s="153"/>
      <c r="AL261" s="153"/>
      <c r="AM261" s="153"/>
      <c r="AN261" s="153"/>
      <c r="AO261" s="153"/>
      <c r="AP261" s="153"/>
      <c r="AQ261" s="153"/>
      <c r="AR261" s="153"/>
    </row>
    <row r="262" spans="1:44">
      <c r="A262" s="741">
        <f>Gases!A269</f>
        <v>244</v>
      </c>
      <c r="B262" s="153"/>
      <c r="C262" s="153"/>
      <c r="D262" s="153"/>
      <c r="E262" s="153"/>
      <c r="F262" s="153"/>
      <c r="G262" s="153"/>
      <c r="H262" s="153"/>
      <c r="I262" s="153"/>
      <c r="J262" s="153"/>
      <c r="K262" s="153"/>
      <c r="L262" s="153"/>
      <c r="M262" s="153"/>
      <c r="N262" s="153"/>
      <c r="O262" s="153"/>
      <c r="P262" s="153"/>
      <c r="Q262" s="153"/>
      <c r="R262" s="153"/>
      <c r="S262" s="153"/>
      <c r="T262" s="153"/>
      <c r="U262" s="153"/>
      <c r="V262" s="153"/>
      <c r="W262" s="153"/>
      <c r="X262" s="153"/>
      <c r="Y262" s="153"/>
      <c r="Z262" s="153"/>
      <c r="AA262" s="153"/>
      <c r="AB262" s="153"/>
      <c r="AC262" s="153"/>
      <c r="AD262" s="153"/>
      <c r="AE262" s="153"/>
      <c r="AF262" s="153"/>
      <c r="AG262" s="153"/>
      <c r="AH262" s="153"/>
      <c r="AI262" s="153"/>
      <c r="AJ262" s="153"/>
      <c r="AK262" s="153"/>
      <c r="AL262" s="153"/>
      <c r="AM262" s="153"/>
      <c r="AN262" s="153"/>
      <c r="AO262" s="153"/>
      <c r="AP262" s="153"/>
      <c r="AQ262" s="153"/>
      <c r="AR262" s="153"/>
    </row>
    <row r="263" spans="1:44">
      <c r="A263" s="741">
        <f>Gases!A270</f>
        <v>245</v>
      </c>
      <c r="B263" s="153"/>
      <c r="C263" s="153"/>
      <c r="D263" s="153"/>
      <c r="E263" s="153"/>
      <c r="F263" s="153"/>
      <c r="G263" s="153"/>
      <c r="H263" s="153"/>
      <c r="I263" s="153"/>
      <c r="J263" s="153"/>
      <c r="K263" s="153"/>
      <c r="L263" s="153"/>
      <c r="M263" s="153"/>
      <c r="N263" s="153"/>
      <c r="O263" s="153"/>
      <c r="P263" s="153"/>
      <c r="Q263" s="153"/>
      <c r="R263" s="153"/>
      <c r="S263" s="153"/>
      <c r="T263" s="153"/>
      <c r="U263" s="153"/>
      <c r="V263" s="153"/>
      <c r="W263" s="153"/>
      <c r="X263" s="153"/>
      <c r="Y263" s="153"/>
      <c r="Z263" s="153"/>
      <c r="AA263" s="153"/>
      <c r="AB263" s="153"/>
      <c r="AC263" s="153"/>
      <c r="AD263" s="153"/>
      <c r="AE263" s="153"/>
      <c r="AF263" s="153"/>
      <c r="AG263" s="153"/>
      <c r="AH263" s="153"/>
      <c r="AI263" s="153"/>
      <c r="AJ263" s="153"/>
      <c r="AK263" s="153"/>
      <c r="AL263" s="153"/>
      <c r="AM263" s="153"/>
      <c r="AN263" s="153"/>
      <c r="AO263" s="153"/>
      <c r="AP263" s="153"/>
      <c r="AQ263" s="153"/>
      <c r="AR263" s="153"/>
    </row>
    <row r="264" spans="1:44">
      <c r="A264" s="741">
        <f>Gases!A271</f>
        <v>246</v>
      </c>
      <c r="B264" s="153"/>
      <c r="C264" s="153"/>
      <c r="D264" s="153"/>
      <c r="E264" s="153"/>
      <c r="F264" s="153"/>
      <c r="G264" s="153"/>
      <c r="H264" s="153"/>
      <c r="I264" s="153"/>
      <c r="J264" s="153"/>
      <c r="K264" s="153"/>
      <c r="L264" s="153"/>
      <c r="M264" s="153"/>
      <c r="N264" s="153"/>
      <c r="O264" s="153"/>
      <c r="P264" s="153"/>
      <c r="Q264" s="153"/>
      <c r="R264" s="153"/>
      <c r="S264" s="153"/>
      <c r="T264" s="153"/>
      <c r="U264" s="153"/>
      <c r="V264" s="153"/>
      <c r="W264" s="153"/>
      <c r="X264" s="153"/>
      <c r="Y264" s="153"/>
      <c r="Z264" s="153"/>
      <c r="AA264" s="153"/>
      <c r="AB264" s="153"/>
      <c r="AC264" s="153"/>
      <c r="AD264" s="153"/>
      <c r="AE264" s="153"/>
      <c r="AF264" s="153"/>
      <c r="AG264" s="153"/>
      <c r="AH264" s="153"/>
      <c r="AI264" s="153"/>
      <c r="AJ264" s="153"/>
      <c r="AK264" s="153"/>
      <c r="AL264" s="153"/>
      <c r="AM264" s="153"/>
      <c r="AN264" s="153"/>
      <c r="AO264" s="153"/>
      <c r="AP264" s="153"/>
      <c r="AQ264" s="153"/>
      <c r="AR264" s="153"/>
    </row>
    <row r="265" spans="1:44">
      <c r="A265" s="741">
        <f>Gases!A272</f>
        <v>247</v>
      </c>
      <c r="B265" s="153"/>
      <c r="C265" s="153"/>
      <c r="D265" s="153"/>
      <c r="E265" s="153"/>
      <c r="F265" s="153"/>
      <c r="G265" s="153"/>
      <c r="H265" s="153"/>
      <c r="I265" s="153"/>
      <c r="J265" s="153"/>
      <c r="K265" s="153"/>
      <c r="L265" s="153"/>
      <c r="M265" s="153"/>
      <c r="N265" s="153"/>
      <c r="O265" s="153"/>
      <c r="P265" s="153"/>
      <c r="Q265" s="153"/>
      <c r="R265" s="153"/>
      <c r="S265" s="153"/>
      <c r="T265" s="153"/>
      <c r="U265" s="153"/>
      <c r="V265" s="153"/>
      <c r="W265" s="153"/>
      <c r="X265" s="153"/>
      <c r="Y265" s="153"/>
      <c r="Z265" s="153"/>
      <c r="AA265" s="153"/>
      <c r="AB265" s="153"/>
      <c r="AC265" s="153"/>
      <c r="AD265" s="153"/>
      <c r="AE265" s="153"/>
      <c r="AF265" s="153"/>
      <c r="AG265" s="153"/>
      <c r="AH265" s="153"/>
      <c r="AI265" s="153"/>
      <c r="AJ265" s="153"/>
      <c r="AK265" s="153"/>
      <c r="AL265" s="153"/>
      <c r="AM265" s="153"/>
      <c r="AN265" s="153"/>
      <c r="AO265" s="153"/>
      <c r="AP265" s="153"/>
      <c r="AQ265" s="153"/>
      <c r="AR265" s="153"/>
    </row>
    <row r="266" spans="1:44">
      <c r="A266" s="741">
        <f>Gases!A273</f>
        <v>248</v>
      </c>
      <c r="B266" s="153"/>
      <c r="C266" s="153"/>
      <c r="D266" s="153"/>
      <c r="E266" s="153"/>
      <c r="F266" s="153"/>
      <c r="G266" s="153"/>
      <c r="H266" s="153"/>
      <c r="I266" s="153"/>
      <c r="J266" s="153"/>
      <c r="K266" s="153"/>
      <c r="L266" s="153"/>
      <c r="M266" s="153"/>
      <c r="N266" s="153"/>
      <c r="O266" s="153"/>
      <c r="P266" s="153"/>
      <c r="Q266" s="153"/>
      <c r="R266" s="153"/>
      <c r="S266" s="153"/>
      <c r="T266" s="153"/>
      <c r="U266" s="153"/>
      <c r="V266" s="153"/>
      <c r="W266" s="153"/>
      <c r="X266" s="153"/>
      <c r="Y266" s="153"/>
      <c r="Z266" s="153"/>
      <c r="AA266" s="153"/>
      <c r="AB266" s="153"/>
      <c r="AC266" s="153"/>
      <c r="AD266" s="153"/>
      <c r="AE266" s="153"/>
      <c r="AF266" s="153"/>
      <c r="AG266" s="153"/>
      <c r="AH266" s="153"/>
      <c r="AI266" s="153"/>
      <c r="AJ266" s="153"/>
      <c r="AK266" s="153"/>
      <c r="AL266" s="153"/>
      <c r="AM266" s="153"/>
      <c r="AN266" s="153"/>
      <c r="AO266" s="153"/>
      <c r="AP266" s="153"/>
      <c r="AQ266" s="153"/>
      <c r="AR266" s="153"/>
    </row>
    <row r="267" spans="1:44">
      <c r="A267" s="741">
        <f>Gases!A274</f>
        <v>249</v>
      </c>
      <c r="B267" s="153"/>
      <c r="C267" s="153"/>
      <c r="D267" s="153"/>
      <c r="E267" s="153"/>
      <c r="F267" s="153"/>
      <c r="G267" s="153"/>
      <c r="H267" s="153"/>
      <c r="I267" s="153"/>
      <c r="J267" s="153"/>
      <c r="K267" s="153"/>
      <c r="L267" s="153"/>
      <c r="M267" s="153"/>
      <c r="N267" s="153"/>
      <c r="O267" s="153"/>
      <c r="P267" s="153"/>
      <c r="Q267" s="153"/>
      <c r="R267" s="153"/>
      <c r="S267" s="153"/>
      <c r="T267" s="153"/>
      <c r="U267" s="153"/>
      <c r="V267" s="153"/>
      <c r="W267" s="153"/>
      <c r="X267" s="153"/>
      <c r="Y267" s="153"/>
      <c r="Z267" s="153"/>
      <c r="AA267" s="153"/>
      <c r="AB267" s="153"/>
      <c r="AC267" s="153"/>
      <c r="AD267" s="153"/>
      <c r="AE267" s="153"/>
      <c r="AF267" s="153"/>
      <c r="AG267" s="153"/>
      <c r="AH267" s="153"/>
      <c r="AI267" s="153"/>
      <c r="AJ267" s="153"/>
      <c r="AK267" s="153"/>
      <c r="AL267" s="153"/>
      <c r="AM267" s="153"/>
      <c r="AN267" s="153"/>
      <c r="AO267" s="153"/>
      <c r="AP267" s="153"/>
      <c r="AQ267" s="153"/>
      <c r="AR267" s="153"/>
    </row>
    <row r="268" spans="1:44">
      <c r="A268" s="741">
        <f>Gases!A275</f>
        <v>250</v>
      </c>
      <c r="B268" s="153"/>
      <c r="C268" s="153"/>
      <c r="D268" s="153"/>
      <c r="E268" s="153"/>
      <c r="F268" s="153"/>
      <c r="G268" s="153"/>
      <c r="H268" s="153"/>
      <c r="I268" s="153"/>
      <c r="J268" s="153"/>
      <c r="K268" s="153"/>
      <c r="L268" s="153"/>
      <c r="M268" s="153"/>
      <c r="N268" s="153"/>
      <c r="O268" s="153"/>
      <c r="P268" s="153"/>
      <c r="Q268" s="153"/>
      <c r="R268" s="153"/>
      <c r="S268" s="153"/>
      <c r="T268" s="153"/>
      <c r="U268" s="153"/>
      <c r="V268" s="153"/>
      <c r="W268" s="153"/>
      <c r="X268" s="153"/>
      <c r="Y268" s="153"/>
      <c r="Z268" s="153"/>
      <c r="AA268" s="153"/>
      <c r="AB268" s="153"/>
      <c r="AC268" s="153"/>
      <c r="AD268" s="153"/>
      <c r="AE268" s="153"/>
      <c r="AF268" s="153"/>
      <c r="AG268" s="153"/>
      <c r="AH268" s="153"/>
      <c r="AI268" s="153"/>
      <c r="AJ268" s="153"/>
      <c r="AK268" s="153"/>
      <c r="AL268" s="153"/>
      <c r="AM268" s="153"/>
      <c r="AN268" s="153"/>
      <c r="AO268" s="153"/>
      <c r="AP268" s="153"/>
      <c r="AQ268" s="153"/>
      <c r="AR268" s="153"/>
    </row>
    <row r="269" spans="1:44">
      <c r="A269" s="741">
        <f>Gases!A276</f>
        <v>251</v>
      </c>
      <c r="B269" s="153"/>
      <c r="C269" s="153"/>
      <c r="D269" s="153"/>
      <c r="E269" s="153"/>
      <c r="F269" s="153"/>
      <c r="G269" s="153"/>
      <c r="H269" s="153"/>
      <c r="I269" s="153"/>
      <c r="J269" s="153"/>
      <c r="K269" s="153"/>
      <c r="L269" s="153"/>
      <c r="M269" s="153"/>
      <c r="N269" s="153"/>
      <c r="O269" s="153"/>
      <c r="P269" s="153"/>
      <c r="Q269" s="153"/>
      <c r="R269" s="153"/>
      <c r="S269" s="153"/>
      <c r="T269" s="153"/>
      <c r="U269" s="153"/>
      <c r="V269" s="153"/>
      <c r="W269" s="153"/>
      <c r="X269" s="153"/>
      <c r="Y269" s="153"/>
      <c r="Z269" s="153"/>
      <c r="AA269" s="153"/>
      <c r="AB269" s="153"/>
      <c r="AC269" s="153"/>
      <c r="AD269" s="153"/>
      <c r="AE269" s="153"/>
      <c r="AF269" s="153"/>
      <c r="AG269" s="153"/>
      <c r="AH269" s="153"/>
      <c r="AI269" s="153"/>
      <c r="AJ269" s="153"/>
      <c r="AK269" s="153"/>
      <c r="AL269" s="153"/>
      <c r="AM269" s="153"/>
      <c r="AN269" s="153"/>
      <c r="AO269" s="153"/>
      <c r="AP269" s="153"/>
      <c r="AQ269" s="153"/>
      <c r="AR269" s="153"/>
    </row>
    <row r="270" spans="1:44">
      <c r="A270" s="741">
        <f>Gases!A277</f>
        <v>252</v>
      </c>
      <c r="B270" s="153"/>
      <c r="C270" s="153"/>
      <c r="D270" s="153"/>
      <c r="E270" s="153"/>
      <c r="F270" s="153"/>
      <c r="G270" s="153"/>
      <c r="H270" s="153"/>
      <c r="I270" s="153"/>
      <c r="J270" s="153"/>
      <c r="K270" s="153"/>
      <c r="L270" s="153"/>
      <c r="M270" s="153"/>
      <c r="N270" s="153"/>
      <c r="O270" s="153"/>
      <c r="P270" s="153"/>
      <c r="Q270" s="153"/>
      <c r="R270" s="153"/>
      <c r="S270" s="153"/>
      <c r="T270" s="153"/>
      <c r="U270" s="153"/>
      <c r="V270" s="153"/>
      <c r="W270" s="153"/>
      <c r="X270" s="153"/>
      <c r="Y270" s="153"/>
      <c r="Z270" s="153"/>
      <c r="AA270" s="153"/>
      <c r="AB270" s="153"/>
      <c r="AC270" s="153"/>
      <c r="AD270" s="153"/>
      <c r="AE270" s="153"/>
      <c r="AF270" s="153"/>
      <c r="AG270" s="153"/>
      <c r="AH270" s="153"/>
      <c r="AI270" s="153"/>
      <c r="AJ270" s="153"/>
      <c r="AK270" s="153"/>
      <c r="AL270" s="153"/>
      <c r="AM270" s="153"/>
      <c r="AN270" s="153"/>
      <c r="AO270" s="153"/>
      <c r="AP270" s="153"/>
      <c r="AQ270" s="153"/>
      <c r="AR270" s="153"/>
    </row>
    <row r="271" spans="1:44">
      <c r="A271" s="741">
        <f>Gases!A278</f>
        <v>253</v>
      </c>
      <c r="B271" s="153"/>
      <c r="C271" s="153"/>
      <c r="D271" s="153"/>
      <c r="E271" s="153"/>
      <c r="F271" s="153"/>
      <c r="G271" s="153"/>
      <c r="H271" s="153"/>
      <c r="I271" s="153"/>
      <c r="J271" s="153"/>
      <c r="K271" s="153"/>
      <c r="L271" s="153"/>
      <c r="M271" s="153"/>
      <c r="N271" s="153"/>
      <c r="O271" s="153"/>
      <c r="P271" s="153"/>
      <c r="Q271" s="153"/>
      <c r="R271" s="153"/>
      <c r="S271" s="153"/>
      <c r="T271" s="153"/>
      <c r="U271" s="153"/>
      <c r="V271" s="153"/>
      <c r="W271" s="153"/>
      <c r="X271" s="153"/>
      <c r="Y271" s="153"/>
      <c r="Z271" s="153"/>
      <c r="AA271" s="153"/>
      <c r="AB271" s="153"/>
      <c r="AC271" s="153"/>
      <c r="AD271" s="153"/>
      <c r="AE271" s="153"/>
      <c r="AF271" s="153"/>
      <c r="AG271" s="153"/>
      <c r="AH271" s="153"/>
      <c r="AI271" s="153"/>
      <c r="AJ271" s="153"/>
      <c r="AK271" s="153"/>
      <c r="AL271" s="153"/>
      <c r="AM271" s="153"/>
      <c r="AN271" s="153"/>
      <c r="AO271" s="153"/>
      <c r="AP271" s="153"/>
      <c r="AQ271" s="153"/>
      <c r="AR271" s="153"/>
    </row>
    <row r="272" spans="1:44">
      <c r="A272" s="741">
        <f>Gases!A279</f>
        <v>254</v>
      </c>
      <c r="B272" s="153"/>
      <c r="C272" s="153"/>
      <c r="D272" s="153"/>
      <c r="E272" s="153"/>
      <c r="F272" s="153"/>
      <c r="G272" s="153"/>
      <c r="H272" s="153"/>
      <c r="I272" s="153"/>
      <c r="J272" s="153"/>
      <c r="K272" s="153"/>
      <c r="L272" s="153"/>
      <c r="M272" s="153"/>
      <c r="N272" s="153"/>
      <c r="O272" s="153"/>
      <c r="P272" s="153"/>
      <c r="Q272" s="153"/>
      <c r="R272" s="153"/>
      <c r="S272" s="153"/>
      <c r="T272" s="153"/>
      <c r="U272" s="153"/>
      <c r="V272" s="153"/>
      <c r="W272" s="153"/>
      <c r="X272" s="153"/>
      <c r="Y272" s="153"/>
      <c r="Z272" s="153"/>
      <c r="AA272" s="153"/>
      <c r="AB272" s="153"/>
      <c r="AC272" s="153"/>
      <c r="AD272" s="153"/>
      <c r="AE272" s="153"/>
      <c r="AF272" s="153"/>
      <c r="AG272" s="153"/>
      <c r="AH272" s="153"/>
      <c r="AI272" s="153"/>
      <c r="AJ272" s="153"/>
      <c r="AK272" s="153"/>
      <c r="AL272" s="153"/>
      <c r="AM272" s="153"/>
      <c r="AN272" s="153"/>
      <c r="AO272" s="153"/>
      <c r="AP272" s="153"/>
      <c r="AQ272" s="153"/>
      <c r="AR272" s="153"/>
    </row>
    <row r="273" spans="1:44">
      <c r="A273" s="741">
        <f>Gases!A280</f>
        <v>255</v>
      </c>
      <c r="B273" s="153"/>
      <c r="C273" s="153"/>
      <c r="D273" s="153"/>
      <c r="E273" s="153"/>
      <c r="F273" s="153"/>
      <c r="G273" s="153"/>
      <c r="H273" s="153"/>
      <c r="I273" s="153"/>
      <c r="J273" s="153"/>
      <c r="K273" s="153"/>
      <c r="L273" s="153"/>
      <c r="M273" s="153"/>
      <c r="N273" s="153"/>
      <c r="O273" s="153"/>
      <c r="P273" s="153"/>
      <c r="Q273" s="153"/>
      <c r="R273" s="153"/>
      <c r="S273" s="153"/>
      <c r="T273" s="153"/>
      <c r="U273" s="153"/>
      <c r="V273" s="153"/>
      <c r="W273" s="153"/>
      <c r="X273" s="153"/>
      <c r="Y273" s="153"/>
      <c r="Z273" s="153"/>
      <c r="AA273" s="153"/>
      <c r="AB273" s="153"/>
      <c r="AC273" s="153"/>
      <c r="AD273" s="153"/>
      <c r="AE273" s="153"/>
      <c r="AF273" s="153"/>
      <c r="AG273" s="153"/>
      <c r="AH273" s="153"/>
      <c r="AI273" s="153"/>
      <c r="AJ273" s="153"/>
      <c r="AK273" s="153"/>
      <c r="AL273" s="153"/>
      <c r="AM273" s="153"/>
      <c r="AN273" s="153"/>
      <c r="AO273" s="153"/>
      <c r="AP273" s="153"/>
      <c r="AQ273" s="153"/>
      <c r="AR273" s="153"/>
    </row>
    <row r="274" spans="1:44">
      <c r="A274" s="741">
        <f>Gases!A281</f>
        <v>256</v>
      </c>
      <c r="B274" s="153"/>
      <c r="C274" s="153"/>
      <c r="D274" s="153"/>
      <c r="E274" s="153"/>
      <c r="F274" s="153"/>
      <c r="G274" s="153"/>
      <c r="H274" s="153"/>
      <c r="I274" s="153"/>
      <c r="J274" s="153"/>
      <c r="K274" s="153"/>
      <c r="L274" s="153"/>
      <c r="M274" s="153"/>
      <c r="N274" s="153"/>
      <c r="O274" s="153"/>
      <c r="P274" s="153"/>
      <c r="Q274" s="153"/>
      <c r="R274" s="153"/>
      <c r="S274" s="153"/>
      <c r="T274" s="153"/>
      <c r="U274" s="153"/>
      <c r="V274" s="153"/>
      <c r="W274" s="153"/>
      <c r="X274" s="153"/>
      <c r="Y274" s="153"/>
      <c r="Z274" s="153"/>
      <c r="AA274" s="153"/>
      <c r="AB274" s="153"/>
      <c r="AC274" s="153"/>
      <c r="AD274" s="153"/>
      <c r="AE274" s="153"/>
      <c r="AF274" s="153"/>
      <c r="AG274" s="153"/>
      <c r="AH274" s="153"/>
      <c r="AI274" s="153"/>
      <c r="AJ274" s="153"/>
      <c r="AK274" s="153"/>
      <c r="AL274" s="153"/>
      <c r="AM274" s="153"/>
      <c r="AN274" s="153"/>
      <c r="AO274" s="153"/>
      <c r="AP274" s="153"/>
      <c r="AQ274" s="153"/>
      <c r="AR274" s="153"/>
    </row>
    <row r="275" spans="1:44">
      <c r="A275" s="741">
        <f>Gases!A282</f>
        <v>257</v>
      </c>
      <c r="B275" s="153"/>
      <c r="C275" s="153"/>
      <c r="D275" s="153"/>
      <c r="E275" s="153"/>
      <c r="F275" s="153"/>
      <c r="G275" s="153"/>
      <c r="H275" s="153"/>
      <c r="I275" s="153"/>
      <c r="J275" s="153"/>
      <c r="K275" s="153"/>
      <c r="L275" s="153"/>
      <c r="M275" s="153"/>
      <c r="N275" s="153"/>
      <c r="O275" s="153"/>
      <c r="P275" s="153"/>
      <c r="Q275" s="153"/>
      <c r="R275" s="153"/>
      <c r="S275" s="153"/>
      <c r="T275" s="153"/>
      <c r="U275" s="153"/>
      <c r="V275" s="153"/>
      <c r="W275" s="153"/>
      <c r="X275" s="153"/>
      <c r="Y275" s="153"/>
      <c r="Z275" s="153"/>
      <c r="AA275" s="153"/>
      <c r="AB275" s="153"/>
      <c r="AC275" s="153"/>
      <c r="AD275" s="153"/>
      <c r="AE275" s="153"/>
      <c r="AF275" s="153"/>
      <c r="AG275" s="153"/>
      <c r="AH275" s="153"/>
      <c r="AI275" s="153"/>
      <c r="AJ275" s="153"/>
      <c r="AK275" s="153"/>
      <c r="AL275" s="153"/>
      <c r="AM275" s="153"/>
      <c r="AN275" s="153"/>
      <c r="AO275" s="153"/>
      <c r="AP275" s="153"/>
      <c r="AQ275" s="153"/>
      <c r="AR275" s="153"/>
    </row>
    <row r="276" spans="1:44">
      <c r="A276" s="741">
        <f>Gases!A283</f>
        <v>258</v>
      </c>
      <c r="B276" s="153"/>
      <c r="C276" s="153"/>
      <c r="D276" s="153"/>
      <c r="E276" s="153"/>
      <c r="F276" s="153"/>
      <c r="G276" s="153"/>
      <c r="H276" s="153"/>
      <c r="I276" s="153"/>
      <c r="J276" s="153"/>
      <c r="K276" s="153"/>
      <c r="L276" s="153"/>
      <c r="M276" s="153"/>
      <c r="N276" s="153"/>
      <c r="O276" s="153"/>
      <c r="P276" s="153"/>
      <c r="Q276" s="153"/>
      <c r="R276" s="153"/>
      <c r="S276" s="153"/>
      <c r="T276" s="153"/>
      <c r="U276" s="153"/>
      <c r="V276" s="153"/>
      <c r="W276" s="153"/>
      <c r="X276" s="153"/>
      <c r="Y276" s="153"/>
      <c r="Z276" s="153"/>
      <c r="AA276" s="153"/>
      <c r="AB276" s="153"/>
      <c r="AC276" s="153"/>
      <c r="AD276" s="153"/>
      <c r="AE276" s="153"/>
      <c r="AF276" s="153"/>
      <c r="AG276" s="153"/>
      <c r="AH276" s="153"/>
      <c r="AI276" s="153"/>
      <c r="AJ276" s="153"/>
      <c r="AK276" s="153"/>
      <c r="AL276" s="153"/>
      <c r="AM276" s="153"/>
      <c r="AN276" s="153"/>
      <c r="AO276" s="153"/>
      <c r="AP276" s="153"/>
      <c r="AQ276" s="153"/>
      <c r="AR276" s="153"/>
    </row>
    <row r="277" spans="1:44">
      <c r="A277" s="741">
        <f>Gases!A284</f>
        <v>259</v>
      </c>
      <c r="B277" s="153"/>
      <c r="C277" s="153"/>
      <c r="D277" s="153"/>
      <c r="E277" s="153"/>
      <c r="F277" s="153"/>
      <c r="G277" s="153"/>
      <c r="H277" s="153"/>
      <c r="I277" s="153"/>
      <c r="J277" s="153"/>
      <c r="K277" s="153"/>
      <c r="L277" s="153"/>
      <c r="M277" s="153"/>
      <c r="N277" s="153"/>
      <c r="O277" s="153"/>
      <c r="P277" s="153"/>
      <c r="Q277" s="153"/>
      <c r="R277" s="153"/>
      <c r="S277" s="153"/>
      <c r="T277" s="153"/>
      <c r="U277" s="153"/>
      <c r="V277" s="153"/>
      <c r="W277" s="153"/>
      <c r="X277" s="153"/>
      <c r="Y277" s="153"/>
      <c r="Z277" s="153"/>
      <c r="AA277" s="153"/>
      <c r="AB277" s="153"/>
      <c r="AC277" s="153"/>
      <c r="AD277" s="153"/>
      <c r="AE277" s="153"/>
      <c r="AF277" s="153"/>
      <c r="AG277" s="153"/>
      <c r="AH277" s="153"/>
      <c r="AI277" s="153"/>
      <c r="AJ277" s="153"/>
      <c r="AK277" s="153"/>
      <c r="AL277" s="153"/>
      <c r="AM277" s="153"/>
      <c r="AN277" s="153"/>
      <c r="AO277" s="153"/>
      <c r="AP277" s="153"/>
      <c r="AQ277" s="153"/>
      <c r="AR277" s="153"/>
    </row>
    <row r="278" spans="1:44">
      <c r="A278" s="741">
        <f>Gases!A285</f>
        <v>260</v>
      </c>
      <c r="B278" s="153"/>
      <c r="C278" s="153"/>
      <c r="D278" s="153"/>
      <c r="E278" s="153"/>
      <c r="F278" s="153"/>
      <c r="G278" s="153"/>
      <c r="H278" s="153"/>
      <c r="I278" s="153"/>
      <c r="J278" s="153"/>
      <c r="K278" s="153"/>
      <c r="L278" s="153"/>
      <c r="M278" s="153"/>
      <c r="N278" s="153"/>
      <c r="O278" s="153"/>
      <c r="P278" s="153"/>
      <c r="Q278" s="153"/>
      <c r="R278" s="153"/>
      <c r="S278" s="153"/>
      <c r="T278" s="153"/>
      <c r="U278" s="153"/>
      <c r="V278" s="153"/>
      <c r="W278" s="153"/>
      <c r="X278" s="153"/>
      <c r="Y278" s="153"/>
      <c r="Z278" s="153"/>
      <c r="AA278" s="153"/>
      <c r="AB278" s="153"/>
      <c r="AC278" s="153"/>
      <c r="AD278" s="153"/>
      <c r="AE278" s="153"/>
      <c r="AF278" s="153"/>
      <c r="AG278" s="153"/>
      <c r="AH278" s="153"/>
      <c r="AI278" s="153"/>
      <c r="AJ278" s="153"/>
      <c r="AK278" s="153"/>
      <c r="AL278" s="153"/>
      <c r="AM278" s="153"/>
      <c r="AN278" s="153"/>
      <c r="AO278" s="153"/>
      <c r="AP278" s="153"/>
      <c r="AQ278" s="153"/>
      <c r="AR278" s="153"/>
    </row>
    <row r="279" spans="1:44">
      <c r="A279" s="741">
        <f>Gases!A286</f>
        <v>261</v>
      </c>
      <c r="B279" s="153"/>
      <c r="C279" s="153"/>
      <c r="D279" s="153"/>
      <c r="E279" s="153"/>
      <c r="F279" s="153"/>
      <c r="G279" s="153"/>
      <c r="H279" s="153"/>
      <c r="I279" s="153"/>
      <c r="J279" s="153"/>
      <c r="K279" s="153"/>
      <c r="L279" s="153"/>
      <c r="M279" s="153"/>
      <c r="N279" s="153"/>
      <c r="O279" s="153"/>
      <c r="P279" s="153"/>
      <c r="Q279" s="153"/>
      <c r="R279" s="153"/>
      <c r="S279" s="153"/>
      <c r="T279" s="153"/>
      <c r="U279" s="153"/>
      <c r="V279" s="153"/>
      <c r="W279" s="153"/>
      <c r="X279" s="153"/>
      <c r="Y279" s="153"/>
      <c r="Z279" s="153"/>
      <c r="AA279" s="153"/>
      <c r="AB279" s="153"/>
      <c r="AC279" s="153"/>
      <c r="AD279" s="153"/>
      <c r="AE279" s="153"/>
      <c r="AF279" s="153"/>
      <c r="AG279" s="153"/>
      <c r="AH279" s="153"/>
      <c r="AI279" s="153"/>
      <c r="AJ279" s="153"/>
      <c r="AK279" s="153"/>
      <c r="AL279" s="153"/>
      <c r="AM279" s="153"/>
      <c r="AN279" s="153"/>
      <c r="AO279" s="153"/>
      <c r="AP279" s="153"/>
      <c r="AQ279" s="153"/>
      <c r="AR279" s="153"/>
    </row>
    <row r="280" spans="1:44">
      <c r="A280" s="741">
        <f>Gases!A287</f>
        <v>262</v>
      </c>
      <c r="B280" s="153"/>
      <c r="C280" s="153"/>
      <c r="D280" s="153"/>
      <c r="E280" s="153"/>
      <c r="F280" s="153"/>
      <c r="G280" s="153"/>
      <c r="H280" s="153"/>
      <c r="I280" s="153"/>
      <c r="J280" s="153"/>
      <c r="K280" s="153"/>
      <c r="L280" s="153"/>
      <c r="M280" s="153"/>
      <c r="N280" s="153"/>
      <c r="O280" s="153"/>
      <c r="P280" s="153"/>
      <c r="Q280" s="153"/>
      <c r="R280" s="153"/>
      <c r="S280" s="153"/>
      <c r="T280" s="153"/>
      <c r="U280" s="153"/>
      <c r="V280" s="153"/>
      <c r="W280" s="153"/>
      <c r="X280" s="153"/>
      <c r="Y280" s="153"/>
      <c r="Z280" s="153"/>
      <c r="AA280" s="153"/>
      <c r="AB280" s="153"/>
      <c r="AC280" s="153"/>
      <c r="AD280" s="153"/>
      <c r="AE280" s="153"/>
      <c r="AF280" s="153"/>
      <c r="AG280" s="153"/>
      <c r="AH280" s="153"/>
      <c r="AI280" s="153"/>
      <c r="AJ280" s="153"/>
      <c r="AK280" s="153"/>
      <c r="AL280" s="153"/>
      <c r="AM280" s="153"/>
      <c r="AN280" s="153"/>
      <c r="AO280" s="153"/>
      <c r="AP280" s="153"/>
      <c r="AQ280" s="153"/>
      <c r="AR280" s="153"/>
    </row>
    <row r="281" spans="1:44">
      <c r="A281" s="741">
        <f>Gases!A288</f>
        <v>263</v>
      </c>
      <c r="B281" s="153"/>
      <c r="C281" s="153"/>
      <c r="D281" s="153"/>
      <c r="E281" s="153"/>
      <c r="F281" s="153"/>
      <c r="G281" s="153"/>
      <c r="H281" s="153"/>
      <c r="I281" s="153"/>
      <c r="J281" s="153"/>
      <c r="K281" s="153"/>
      <c r="L281" s="153"/>
      <c r="M281" s="153"/>
      <c r="N281" s="153"/>
      <c r="O281" s="153"/>
      <c r="P281" s="153"/>
      <c r="Q281" s="153"/>
      <c r="R281" s="153"/>
      <c r="S281" s="153"/>
      <c r="T281" s="153"/>
      <c r="U281" s="153"/>
      <c r="V281" s="153"/>
      <c r="W281" s="153"/>
      <c r="X281" s="153"/>
      <c r="Y281" s="153"/>
      <c r="Z281" s="153"/>
      <c r="AA281" s="153"/>
      <c r="AB281" s="153"/>
      <c r="AC281" s="153"/>
      <c r="AD281" s="153"/>
      <c r="AE281" s="153"/>
      <c r="AF281" s="153"/>
      <c r="AG281" s="153"/>
      <c r="AH281" s="153"/>
      <c r="AI281" s="153"/>
      <c r="AJ281" s="153"/>
      <c r="AK281" s="153"/>
      <c r="AL281" s="153"/>
      <c r="AM281" s="153"/>
      <c r="AN281" s="153"/>
      <c r="AO281" s="153"/>
      <c r="AP281" s="153"/>
      <c r="AQ281" s="153"/>
      <c r="AR281" s="153"/>
    </row>
    <row r="282" spans="1:44">
      <c r="A282" s="741">
        <f>Gases!A289</f>
        <v>264</v>
      </c>
      <c r="B282" s="153"/>
      <c r="C282" s="153"/>
      <c r="D282" s="153"/>
      <c r="E282" s="153"/>
      <c r="F282" s="153"/>
      <c r="G282" s="153"/>
      <c r="H282" s="153"/>
      <c r="I282" s="153"/>
      <c r="J282" s="153"/>
      <c r="K282" s="153"/>
      <c r="L282" s="153"/>
      <c r="M282" s="153"/>
      <c r="N282" s="153"/>
      <c r="O282" s="153"/>
      <c r="P282" s="153"/>
      <c r="Q282" s="153"/>
      <c r="R282" s="153"/>
      <c r="S282" s="153"/>
      <c r="T282" s="153"/>
      <c r="U282" s="153"/>
      <c r="V282" s="153"/>
      <c r="W282" s="153"/>
      <c r="X282" s="153"/>
      <c r="Y282" s="153"/>
      <c r="Z282" s="153"/>
      <c r="AA282" s="153"/>
      <c r="AB282" s="153"/>
      <c r="AC282" s="153"/>
      <c r="AD282" s="153"/>
      <c r="AE282" s="153"/>
      <c r="AF282" s="153"/>
      <c r="AG282" s="153"/>
      <c r="AH282" s="153"/>
      <c r="AI282" s="153"/>
      <c r="AJ282" s="153"/>
      <c r="AK282" s="153"/>
      <c r="AL282" s="153"/>
      <c r="AM282" s="153"/>
      <c r="AN282" s="153"/>
      <c r="AO282" s="153"/>
      <c r="AP282" s="153"/>
      <c r="AQ282" s="153"/>
      <c r="AR282" s="153"/>
    </row>
    <row r="283" spans="1:44">
      <c r="A283" s="741">
        <f>Gases!A290</f>
        <v>265</v>
      </c>
      <c r="B283" s="153"/>
      <c r="C283" s="153"/>
      <c r="D283" s="153"/>
      <c r="E283" s="153"/>
      <c r="F283" s="153"/>
      <c r="G283" s="153"/>
      <c r="H283" s="153"/>
      <c r="I283" s="153"/>
      <c r="J283" s="153"/>
      <c r="K283" s="153"/>
      <c r="L283" s="153"/>
      <c r="M283" s="153"/>
      <c r="N283" s="153"/>
      <c r="O283" s="153"/>
      <c r="P283" s="153"/>
      <c r="Q283" s="153"/>
      <c r="R283" s="153"/>
      <c r="S283" s="153"/>
      <c r="T283" s="153"/>
      <c r="U283" s="153"/>
      <c r="V283" s="153"/>
      <c r="W283" s="153"/>
      <c r="X283" s="153"/>
      <c r="Y283" s="153"/>
      <c r="Z283" s="153"/>
      <c r="AA283" s="153"/>
      <c r="AB283" s="153"/>
      <c r="AC283" s="153"/>
      <c r="AD283" s="153"/>
      <c r="AE283" s="153"/>
      <c r="AF283" s="153"/>
      <c r="AG283" s="153"/>
      <c r="AH283" s="153"/>
      <c r="AI283" s="153"/>
      <c r="AJ283" s="153"/>
      <c r="AK283" s="153"/>
      <c r="AL283" s="153"/>
      <c r="AM283" s="153"/>
      <c r="AN283" s="153"/>
      <c r="AO283" s="153"/>
      <c r="AP283" s="153"/>
      <c r="AQ283" s="153"/>
      <c r="AR283" s="153"/>
    </row>
    <row r="284" spans="1:44">
      <c r="A284" s="741">
        <f>Gases!A291</f>
        <v>266</v>
      </c>
      <c r="B284" s="153"/>
      <c r="C284" s="153"/>
      <c r="D284" s="153"/>
      <c r="E284" s="153"/>
      <c r="F284" s="153"/>
      <c r="G284" s="153"/>
      <c r="H284" s="153"/>
      <c r="I284" s="153"/>
      <c r="J284" s="153"/>
      <c r="K284" s="153"/>
      <c r="L284" s="153"/>
      <c r="M284" s="153"/>
      <c r="N284" s="153"/>
      <c r="O284" s="153"/>
      <c r="P284" s="153"/>
      <c r="Q284" s="153"/>
      <c r="R284" s="153"/>
      <c r="S284" s="153"/>
      <c r="T284" s="153"/>
      <c r="U284" s="153"/>
      <c r="V284" s="153"/>
      <c r="W284" s="153"/>
      <c r="X284" s="153"/>
      <c r="Y284" s="153"/>
      <c r="Z284" s="153"/>
      <c r="AA284" s="153"/>
      <c r="AB284" s="153"/>
      <c r="AC284" s="153"/>
      <c r="AD284" s="153"/>
      <c r="AE284" s="153"/>
      <c r="AF284" s="153"/>
      <c r="AG284" s="153"/>
      <c r="AH284" s="153"/>
      <c r="AI284" s="153"/>
      <c r="AJ284" s="153"/>
      <c r="AK284" s="153"/>
      <c r="AL284" s="153"/>
      <c r="AM284" s="153"/>
      <c r="AN284" s="153"/>
      <c r="AO284" s="153"/>
      <c r="AP284" s="153"/>
      <c r="AQ284" s="153"/>
      <c r="AR284" s="153"/>
    </row>
    <row r="285" spans="1:44">
      <c r="A285" s="741">
        <f>Gases!A292</f>
        <v>267</v>
      </c>
      <c r="B285" s="153"/>
      <c r="C285" s="153"/>
      <c r="D285" s="153"/>
      <c r="E285" s="153"/>
      <c r="F285" s="153"/>
      <c r="G285" s="153"/>
      <c r="H285" s="153"/>
      <c r="I285" s="153"/>
      <c r="J285" s="153"/>
      <c r="K285" s="153"/>
      <c r="L285" s="153"/>
      <c r="M285" s="153"/>
      <c r="N285" s="153"/>
      <c r="O285" s="153"/>
      <c r="P285" s="153"/>
      <c r="Q285" s="153"/>
      <c r="R285" s="153"/>
      <c r="S285" s="153"/>
      <c r="T285" s="153"/>
      <c r="U285" s="153"/>
      <c r="V285" s="153"/>
      <c r="W285" s="153"/>
      <c r="X285" s="153"/>
      <c r="Y285" s="153"/>
      <c r="Z285" s="153"/>
      <c r="AA285" s="153"/>
      <c r="AB285" s="153"/>
      <c r="AC285" s="153"/>
      <c r="AD285" s="153"/>
      <c r="AE285" s="153"/>
      <c r="AF285" s="153"/>
      <c r="AG285" s="153"/>
      <c r="AH285" s="153"/>
      <c r="AI285" s="153"/>
      <c r="AJ285" s="153"/>
      <c r="AK285" s="153"/>
      <c r="AL285" s="153"/>
      <c r="AM285" s="153"/>
      <c r="AN285" s="153"/>
      <c r="AO285" s="153"/>
      <c r="AP285" s="153"/>
      <c r="AQ285" s="153"/>
      <c r="AR285" s="153"/>
    </row>
    <row r="286" spans="1:44">
      <c r="A286" s="741">
        <f>Gases!A293</f>
        <v>268</v>
      </c>
      <c r="B286" s="153"/>
      <c r="C286" s="153"/>
      <c r="D286" s="153"/>
      <c r="E286" s="153"/>
      <c r="F286" s="153"/>
      <c r="G286" s="153"/>
      <c r="H286" s="153"/>
      <c r="I286" s="153"/>
      <c r="J286" s="153"/>
      <c r="K286" s="153"/>
      <c r="L286" s="153"/>
      <c r="M286" s="153"/>
      <c r="N286" s="153"/>
      <c r="O286" s="153"/>
      <c r="P286" s="153"/>
      <c r="Q286" s="153"/>
      <c r="R286" s="153"/>
      <c r="S286" s="153"/>
      <c r="T286" s="153"/>
      <c r="U286" s="153"/>
      <c r="V286" s="153"/>
      <c r="W286" s="153"/>
      <c r="X286" s="153"/>
      <c r="Y286" s="153"/>
      <c r="Z286" s="153"/>
      <c r="AA286" s="153"/>
      <c r="AB286" s="153"/>
      <c r="AC286" s="153"/>
      <c r="AD286" s="153"/>
      <c r="AE286" s="153"/>
      <c r="AF286" s="153"/>
      <c r="AG286" s="153"/>
      <c r="AH286" s="153"/>
      <c r="AI286" s="153"/>
      <c r="AJ286" s="153"/>
      <c r="AK286" s="153"/>
      <c r="AL286" s="153"/>
      <c r="AM286" s="153"/>
      <c r="AN286" s="153"/>
      <c r="AO286" s="153"/>
      <c r="AP286" s="153"/>
      <c r="AQ286" s="153"/>
      <c r="AR286" s="153"/>
    </row>
    <row r="287" spans="1:44">
      <c r="A287" s="741">
        <f>Gases!A294</f>
        <v>269</v>
      </c>
      <c r="B287" s="153"/>
      <c r="C287" s="153"/>
      <c r="D287" s="153"/>
      <c r="E287" s="153"/>
      <c r="F287" s="153"/>
      <c r="G287" s="153"/>
      <c r="H287" s="153"/>
      <c r="I287" s="153"/>
      <c r="J287" s="153"/>
      <c r="K287" s="153"/>
      <c r="L287" s="153"/>
      <c r="M287" s="153"/>
      <c r="N287" s="153"/>
      <c r="O287" s="153"/>
      <c r="P287" s="153"/>
      <c r="Q287" s="153"/>
      <c r="R287" s="153"/>
      <c r="S287" s="153"/>
      <c r="T287" s="153"/>
      <c r="U287" s="153"/>
      <c r="V287" s="153"/>
      <c r="W287" s="153"/>
      <c r="X287" s="153"/>
      <c r="Y287" s="153"/>
      <c r="Z287" s="153"/>
      <c r="AA287" s="153"/>
      <c r="AB287" s="153"/>
      <c r="AC287" s="153"/>
      <c r="AD287" s="153"/>
      <c r="AE287" s="153"/>
      <c r="AF287" s="153"/>
      <c r="AG287" s="153"/>
      <c r="AH287" s="153"/>
      <c r="AI287" s="153"/>
      <c r="AJ287" s="153"/>
      <c r="AK287" s="153"/>
      <c r="AL287" s="153"/>
      <c r="AM287" s="153"/>
      <c r="AN287" s="153"/>
      <c r="AO287" s="153"/>
      <c r="AP287" s="153"/>
      <c r="AQ287" s="153"/>
      <c r="AR287" s="153"/>
    </row>
    <row r="288" spans="1:44">
      <c r="A288" s="741">
        <f>Gases!A295</f>
        <v>270</v>
      </c>
      <c r="B288" s="153"/>
      <c r="C288" s="153"/>
      <c r="D288" s="153"/>
      <c r="E288" s="153"/>
      <c r="F288" s="153"/>
      <c r="G288" s="153"/>
      <c r="H288" s="153"/>
      <c r="I288" s="153"/>
      <c r="J288" s="153"/>
      <c r="K288" s="153"/>
      <c r="L288" s="153"/>
      <c r="M288" s="153"/>
      <c r="N288" s="153"/>
      <c r="O288" s="153"/>
      <c r="P288" s="153"/>
      <c r="Q288" s="153"/>
      <c r="R288" s="153"/>
      <c r="S288" s="153"/>
      <c r="T288" s="153"/>
      <c r="U288" s="153"/>
      <c r="V288" s="153"/>
      <c r="W288" s="153"/>
      <c r="X288" s="153"/>
      <c r="Y288" s="153"/>
      <c r="Z288" s="153"/>
      <c r="AA288" s="153"/>
      <c r="AB288" s="153"/>
      <c r="AC288" s="153"/>
      <c r="AD288" s="153"/>
      <c r="AE288" s="153"/>
      <c r="AF288" s="153"/>
      <c r="AG288" s="153"/>
      <c r="AH288" s="153"/>
      <c r="AI288" s="153"/>
      <c r="AJ288" s="153"/>
      <c r="AK288" s="153"/>
      <c r="AL288" s="153"/>
      <c r="AM288" s="153"/>
      <c r="AN288" s="153"/>
      <c r="AO288" s="153"/>
      <c r="AP288" s="153"/>
      <c r="AQ288" s="153"/>
      <c r="AR288" s="153"/>
    </row>
    <row r="289" spans="1:44">
      <c r="A289" s="741">
        <f>Gases!A296</f>
        <v>271</v>
      </c>
      <c r="B289" s="153"/>
      <c r="C289" s="153"/>
      <c r="D289" s="153"/>
      <c r="E289" s="153"/>
      <c r="F289" s="153"/>
      <c r="G289" s="153"/>
      <c r="H289" s="153"/>
      <c r="I289" s="153"/>
      <c r="J289" s="153"/>
      <c r="K289" s="153"/>
      <c r="L289" s="153"/>
      <c r="M289" s="153"/>
      <c r="N289" s="153"/>
      <c r="O289" s="153"/>
      <c r="P289" s="153"/>
      <c r="Q289" s="153"/>
      <c r="R289" s="153"/>
      <c r="S289" s="153"/>
      <c r="T289" s="153"/>
      <c r="U289" s="153"/>
      <c r="V289" s="153"/>
      <c r="W289" s="153"/>
      <c r="X289" s="153"/>
      <c r="Y289" s="153"/>
      <c r="Z289" s="153"/>
      <c r="AA289" s="153"/>
      <c r="AB289" s="153"/>
      <c r="AC289" s="153"/>
      <c r="AD289" s="153"/>
      <c r="AE289" s="153"/>
      <c r="AF289" s="153"/>
      <c r="AG289" s="153"/>
      <c r="AH289" s="153"/>
      <c r="AI289" s="153"/>
      <c r="AJ289" s="153"/>
      <c r="AK289" s="153"/>
      <c r="AL289" s="153"/>
      <c r="AM289" s="153"/>
      <c r="AN289" s="153"/>
      <c r="AO289" s="153"/>
      <c r="AP289" s="153"/>
      <c r="AQ289" s="153"/>
      <c r="AR289" s="153"/>
    </row>
    <row r="290" spans="1:44">
      <c r="A290" s="741">
        <f>Gases!A297</f>
        <v>272</v>
      </c>
      <c r="B290" s="153"/>
      <c r="C290" s="153"/>
      <c r="D290" s="153"/>
      <c r="E290" s="153"/>
      <c r="F290" s="153"/>
      <c r="G290" s="153"/>
      <c r="H290" s="153"/>
      <c r="I290" s="153"/>
      <c r="J290" s="153"/>
      <c r="K290" s="153"/>
      <c r="L290" s="153"/>
      <c r="M290" s="153"/>
      <c r="N290" s="153"/>
      <c r="O290" s="153"/>
      <c r="P290" s="153"/>
      <c r="Q290" s="153"/>
      <c r="R290" s="153"/>
      <c r="S290" s="153"/>
      <c r="T290" s="153"/>
      <c r="U290" s="153"/>
      <c r="V290" s="153"/>
      <c r="W290" s="153"/>
      <c r="X290" s="153"/>
      <c r="Y290" s="153"/>
      <c r="Z290" s="153"/>
      <c r="AA290" s="153"/>
      <c r="AB290" s="153"/>
      <c r="AC290" s="153"/>
      <c r="AD290" s="153"/>
      <c r="AE290" s="153"/>
      <c r="AF290" s="153"/>
      <c r="AG290" s="153"/>
      <c r="AH290" s="153"/>
      <c r="AI290" s="153"/>
      <c r="AJ290" s="153"/>
      <c r="AK290" s="153"/>
      <c r="AL290" s="153"/>
      <c r="AM290" s="153"/>
      <c r="AN290" s="153"/>
      <c r="AO290" s="153"/>
      <c r="AP290" s="153"/>
      <c r="AQ290" s="153"/>
      <c r="AR290" s="153"/>
    </row>
    <row r="291" spans="1:44">
      <c r="A291" s="741">
        <f>Gases!A298</f>
        <v>273</v>
      </c>
      <c r="B291" s="153"/>
      <c r="C291" s="153"/>
      <c r="D291" s="153"/>
      <c r="E291" s="153"/>
      <c r="F291" s="153"/>
      <c r="G291" s="153"/>
      <c r="H291" s="153"/>
      <c r="I291" s="153"/>
      <c r="J291" s="153"/>
      <c r="K291" s="153"/>
      <c r="L291" s="153"/>
      <c r="M291" s="153"/>
      <c r="N291" s="153"/>
      <c r="O291" s="153"/>
      <c r="P291" s="153"/>
      <c r="Q291" s="153"/>
      <c r="R291" s="153"/>
      <c r="S291" s="153"/>
      <c r="T291" s="153"/>
      <c r="U291" s="153"/>
      <c r="V291" s="153"/>
      <c r="W291" s="153"/>
      <c r="X291" s="153"/>
      <c r="Y291" s="153"/>
      <c r="Z291" s="153"/>
      <c r="AA291" s="153"/>
      <c r="AB291" s="153"/>
      <c r="AC291" s="153"/>
      <c r="AD291" s="153"/>
      <c r="AE291" s="153"/>
      <c r="AF291" s="153"/>
      <c r="AG291" s="153"/>
      <c r="AH291" s="153"/>
      <c r="AI291" s="153"/>
      <c r="AJ291" s="153"/>
      <c r="AK291" s="153"/>
      <c r="AL291" s="153"/>
      <c r="AM291" s="153"/>
      <c r="AN291" s="153"/>
      <c r="AO291" s="153"/>
      <c r="AP291" s="153"/>
      <c r="AQ291" s="153"/>
      <c r="AR291" s="153"/>
    </row>
    <row r="292" spans="1:44">
      <c r="A292" s="741">
        <f>Gases!A299</f>
        <v>274</v>
      </c>
      <c r="B292" s="153"/>
      <c r="C292" s="153"/>
      <c r="D292" s="153"/>
      <c r="E292" s="153"/>
      <c r="F292" s="153"/>
      <c r="G292" s="153"/>
      <c r="H292" s="153"/>
      <c r="I292" s="153"/>
      <c r="J292" s="153"/>
      <c r="K292" s="153"/>
      <c r="L292" s="153"/>
      <c r="M292" s="153"/>
      <c r="N292" s="153"/>
      <c r="O292" s="153"/>
      <c r="P292" s="153"/>
      <c r="Q292" s="153"/>
      <c r="R292" s="153"/>
      <c r="S292" s="153"/>
      <c r="T292" s="153"/>
      <c r="U292" s="153"/>
      <c r="V292" s="153"/>
      <c r="W292" s="153"/>
      <c r="X292" s="153"/>
      <c r="Y292" s="153"/>
      <c r="Z292" s="153"/>
      <c r="AA292" s="153"/>
      <c r="AB292" s="153"/>
      <c r="AC292" s="153"/>
      <c r="AD292" s="153"/>
      <c r="AE292" s="153"/>
      <c r="AF292" s="153"/>
      <c r="AG292" s="153"/>
      <c r="AH292" s="153"/>
      <c r="AI292" s="153"/>
      <c r="AJ292" s="153"/>
      <c r="AK292" s="153"/>
      <c r="AL292" s="153"/>
      <c r="AM292" s="153"/>
      <c r="AN292" s="153"/>
      <c r="AO292" s="153"/>
      <c r="AP292" s="153"/>
      <c r="AQ292" s="153"/>
      <c r="AR292" s="153"/>
    </row>
    <row r="293" spans="1:44">
      <c r="A293" s="741">
        <f>Gases!A300</f>
        <v>275</v>
      </c>
      <c r="B293" s="153"/>
      <c r="C293" s="153"/>
      <c r="D293" s="153"/>
      <c r="E293" s="153"/>
      <c r="F293" s="153"/>
      <c r="G293" s="153"/>
      <c r="H293" s="153"/>
      <c r="I293" s="153"/>
      <c r="J293" s="153"/>
      <c r="K293" s="153"/>
      <c r="L293" s="153"/>
      <c r="M293" s="153"/>
      <c r="N293" s="153"/>
      <c r="O293" s="153"/>
      <c r="P293" s="153"/>
      <c r="Q293" s="153"/>
      <c r="R293" s="153"/>
      <c r="S293" s="153"/>
      <c r="T293" s="153"/>
      <c r="U293" s="153"/>
      <c r="V293" s="153"/>
      <c r="W293" s="153"/>
      <c r="X293" s="153"/>
      <c r="Y293" s="153"/>
      <c r="Z293" s="153"/>
      <c r="AA293" s="153"/>
      <c r="AB293" s="153"/>
      <c r="AC293" s="153"/>
      <c r="AD293" s="153"/>
      <c r="AE293" s="153"/>
      <c r="AF293" s="153"/>
      <c r="AG293" s="153"/>
      <c r="AH293" s="153"/>
      <c r="AI293" s="153"/>
      <c r="AJ293" s="153"/>
      <c r="AK293" s="153"/>
      <c r="AL293" s="153"/>
      <c r="AM293" s="153"/>
      <c r="AN293" s="153"/>
      <c r="AO293" s="153"/>
      <c r="AP293" s="153"/>
      <c r="AQ293" s="153"/>
      <c r="AR293" s="153"/>
    </row>
    <row r="294" spans="1:44">
      <c r="A294" s="741">
        <f>Gases!A301</f>
        <v>276</v>
      </c>
      <c r="B294" s="153"/>
      <c r="C294" s="153"/>
      <c r="D294" s="153"/>
      <c r="E294" s="153"/>
      <c r="F294" s="153"/>
      <c r="G294" s="153"/>
      <c r="H294" s="153"/>
      <c r="I294" s="153"/>
      <c r="J294" s="153"/>
      <c r="K294" s="153"/>
      <c r="L294" s="153"/>
      <c r="M294" s="153"/>
      <c r="N294" s="153"/>
      <c r="O294" s="153"/>
      <c r="P294" s="153"/>
      <c r="Q294" s="153"/>
      <c r="R294" s="153"/>
      <c r="S294" s="153"/>
      <c r="T294" s="153"/>
      <c r="U294" s="153"/>
      <c r="V294" s="153"/>
      <c r="W294" s="153"/>
      <c r="X294" s="153"/>
      <c r="Y294" s="153"/>
      <c r="Z294" s="153"/>
      <c r="AA294" s="153"/>
      <c r="AB294" s="153"/>
      <c r="AC294" s="153"/>
      <c r="AD294" s="153"/>
      <c r="AE294" s="153"/>
      <c r="AF294" s="153"/>
      <c r="AG294" s="153"/>
      <c r="AH294" s="153"/>
      <c r="AI294" s="153"/>
      <c r="AJ294" s="153"/>
      <c r="AK294" s="153"/>
      <c r="AL294" s="153"/>
      <c r="AM294" s="153"/>
      <c r="AN294" s="153"/>
      <c r="AO294" s="153"/>
      <c r="AP294" s="153"/>
      <c r="AQ294" s="153"/>
      <c r="AR294" s="153"/>
    </row>
    <row r="295" spans="1:44">
      <c r="A295" s="741">
        <f>Gases!A302</f>
        <v>277</v>
      </c>
      <c r="B295" s="153"/>
      <c r="C295" s="153"/>
      <c r="D295" s="153"/>
      <c r="E295" s="153"/>
      <c r="F295" s="153"/>
      <c r="G295" s="153"/>
      <c r="H295" s="153"/>
      <c r="I295" s="153"/>
      <c r="J295" s="153"/>
      <c r="K295" s="153"/>
      <c r="L295" s="153"/>
      <c r="M295" s="153"/>
      <c r="N295" s="153"/>
      <c r="O295" s="153"/>
      <c r="P295" s="153"/>
      <c r="Q295" s="153"/>
      <c r="R295" s="153"/>
      <c r="S295" s="153"/>
      <c r="T295" s="153"/>
      <c r="U295" s="153"/>
      <c r="V295" s="153"/>
      <c r="W295" s="153"/>
      <c r="X295" s="153"/>
      <c r="Y295" s="153"/>
      <c r="Z295" s="153"/>
      <c r="AA295" s="153"/>
      <c r="AB295" s="153"/>
      <c r="AC295" s="153"/>
      <c r="AD295" s="153"/>
      <c r="AE295" s="153"/>
      <c r="AF295" s="153"/>
      <c r="AG295" s="153"/>
      <c r="AH295" s="153"/>
      <c r="AI295" s="153"/>
      <c r="AJ295" s="153"/>
      <c r="AK295" s="153"/>
      <c r="AL295" s="153"/>
      <c r="AM295" s="153"/>
      <c r="AN295" s="153"/>
      <c r="AO295" s="153"/>
      <c r="AP295" s="153"/>
      <c r="AQ295" s="153"/>
      <c r="AR295" s="153"/>
    </row>
    <row r="296" spans="1:44">
      <c r="A296" s="741">
        <f>Gases!A303</f>
        <v>278</v>
      </c>
      <c r="B296" s="153"/>
      <c r="C296" s="153"/>
      <c r="D296" s="153"/>
      <c r="E296" s="153"/>
      <c r="F296" s="153"/>
      <c r="G296" s="153"/>
      <c r="H296" s="153"/>
      <c r="I296" s="153"/>
      <c r="J296" s="153"/>
      <c r="K296" s="153"/>
      <c r="L296" s="153"/>
      <c r="M296" s="153"/>
      <c r="N296" s="153"/>
      <c r="O296" s="153"/>
      <c r="P296" s="153"/>
      <c r="Q296" s="153"/>
      <c r="R296" s="153"/>
      <c r="S296" s="153"/>
      <c r="T296" s="153"/>
      <c r="U296" s="153"/>
      <c r="V296" s="153"/>
      <c r="W296" s="153"/>
      <c r="X296" s="153"/>
      <c r="Y296" s="153"/>
      <c r="Z296" s="153"/>
      <c r="AA296" s="153"/>
      <c r="AB296" s="153"/>
      <c r="AC296" s="153"/>
      <c r="AD296" s="153"/>
      <c r="AE296" s="153"/>
      <c r="AF296" s="153"/>
      <c r="AG296" s="153"/>
      <c r="AH296" s="153"/>
      <c r="AI296" s="153"/>
      <c r="AJ296" s="153"/>
      <c r="AK296" s="153"/>
      <c r="AL296" s="153"/>
      <c r="AM296" s="153"/>
      <c r="AN296" s="153"/>
      <c r="AO296" s="153"/>
      <c r="AP296" s="153"/>
      <c r="AQ296" s="153"/>
      <c r="AR296" s="153"/>
    </row>
    <row r="297" spans="1:44">
      <c r="A297" s="741">
        <f>Gases!A304</f>
        <v>279</v>
      </c>
      <c r="B297" s="153"/>
      <c r="C297" s="153"/>
      <c r="D297" s="153"/>
      <c r="E297" s="153"/>
      <c r="F297" s="153"/>
      <c r="G297" s="153"/>
      <c r="H297" s="153"/>
      <c r="I297" s="153"/>
      <c r="J297" s="153"/>
      <c r="K297" s="153"/>
      <c r="L297" s="153"/>
      <c r="M297" s="153"/>
      <c r="N297" s="153"/>
      <c r="O297" s="153"/>
      <c r="P297" s="153"/>
      <c r="Q297" s="153"/>
      <c r="R297" s="153"/>
      <c r="S297" s="153"/>
      <c r="T297" s="153"/>
      <c r="U297" s="153"/>
      <c r="V297" s="153"/>
      <c r="W297" s="153"/>
      <c r="X297" s="153"/>
      <c r="Y297" s="153"/>
      <c r="Z297" s="153"/>
      <c r="AA297" s="153"/>
      <c r="AB297" s="153"/>
      <c r="AC297" s="153"/>
      <c r="AD297" s="153"/>
      <c r="AE297" s="153"/>
      <c r="AF297" s="153"/>
      <c r="AG297" s="153"/>
      <c r="AH297" s="153"/>
      <c r="AI297" s="153"/>
      <c r="AJ297" s="153"/>
      <c r="AK297" s="153"/>
      <c r="AL297" s="153"/>
      <c r="AM297" s="153"/>
      <c r="AN297" s="153"/>
      <c r="AO297" s="153"/>
      <c r="AP297" s="153"/>
      <c r="AQ297" s="153"/>
      <c r="AR297" s="153"/>
    </row>
    <row r="298" spans="1:44">
      <c r="A298" s="741">
        <f>Gases!A305</f>
        <v>280</v>
      </c>
      <c r="B298" s="153"/>
      <c r="C298" s="153"/>
      <c r="D298" s="153"/>
      <c r="E298" s="153"/>
      <c r="F298" s="153"/>
      <c r="G298" s="153"/>
      <c r="H298" s="153"/>
      <c r="I298" s="153"/>
      <c r="J298" s="153"/>
      <c r="K298" s="153"/>
      <c r="L298" s="153"/>
      <c r="M298" s="153"/>
      <c r="N298" s="153"/>
      <c r="O298" s="153"/>
      <c r="P298" s="153"/>
      <c r="Q298" s="153"/>
      <c r="R298" s="153"/>
      <c r="S298" s="153"/>
      <c r="T298" s="153"/>
      <c r="U298" s="153"/>
      <c r="V298" s="153"/>
      <c r="W298" s="153"/>
      <c r="X298" s="153"/>
      <c r="Y298" s="153"/>
      <c r="Z298" s="153"/>
      <c r="AA298" s="153"/>
      <c r="AB298" s="153"/>
      <c r="AC298" s="153"/>
      <c r="AD298" s="153"/>
      <c r="AE298" s="153"/>
      <c r="AF298" s="153"/>
      <c r="AG298" s="153"/>
      <c r="AH298" s="153"/>
      <c r="AI298" s="153"/>
      <c r="AJ298" s="153"/>
      <c r="AK298" s="153"/>
      <c r="AL298" s="153"/>
      <c r="AM298" s="153"/>
      <c r="AN298" s="153"/>
      <c r="AO298" s="153"/>
      <c r="AP298" s="153"/>
      <c r="AQ298" s="153"/>
      <c r="AR298" s="153"/>
    </row>
    <row r="299" spans="1:44">
      <c r="A299" s="741">
        <f>Gases!A306</f>
        <v>281</v>
      </c>
      <c r="B299" s="153"/>
      <c r="C299" s="153"/>
      <c r="D299" s="153"/>
      <c r="E299" s="153"/>
      <c r="F299" s="153"/>
      <c r="G299" s="153"/>
      <c r="H299" s="153"/>
      <c r="I299" s="153"/>
      <c r="J299" s="153"/>
      <c r="K299" s="153"/>
      <c r="L299" s="153"/>
      <c r="M299" s="153"/>
      <c r="N299" s="153"/>
      <c r="O299" s="153"/>
      <c r="P299" s="153"/>
      <c r="Q299" s="153"/>
      <c r="R299" s="153"/>
      <c r="S299" s="153"/>
      <c r="T299" s="153"/>
      <c r="U299" s="153"/>
      <c r="V299" s="153"/>
      <c r="W299" s="153"/>
      <c r="X299" s="153"/>
      <c r="Y299" s="153"/>
      <c r="Z299" s="153"/>
      <c r="AA299" s="153"/>
      <c r="AB299" s="153"/>
      <c r="AC299" s="153"/>
      <c r="AD299" s="153"/>
      <c r="AE299" s="153"/>
      <c r="AF299" s="153"/>
      <c r="AG299" s="153"/>
      <c r="AH299" s="153"/>
      <c r="AI299" s="153"/>
      <c r="AJ299" s="153"/>
      <c r="AK299" s="153"/>
      <c r="AL299" s="153"/>
      <c r="AM299" s="153"/>
      <c r="AN299" s="153"/>
      <c r="AO299" s="153"/>
      <c r="AP299" s="153"/>
      <c r="AQ299" s="153"/>
      <c r="AR299" s="153"/>
    </row>
    <row r="300" spans="1:44">
      <c r="A300" s="741">
        <f>Gases!A307</f>
        <v>282</v>
      </c>
      <c r="B300" s="153"/>
      <c r="C300" s="153"/>
      <c r="D300" s="153"/>
      <c r="E300" s="153"/>
      <c r="F300" s="153"/>
      <c r="G300" s="153"/>
      <c r="H300" s="153"/>
      <c r="I300" s="153"/>
      <c r="J300" s="153"/>
      <c r="K300" s="153"/>
      <c r="L300" s="153"/>
      <c r="M300" s="153"/>
      <c r="N300" s="153"/>
      <c r="O300" s="153"/>
      <c r="P300" s="153"/>
      <c r="Q300" s="153"/>
      <c r="R300" s="153"/>
      <c r="S300" s="153"/>
      <c r="T300" s="153"/>
      <c r="U300" s="153"/>
      <c r="V300" s="153"/>
      <c r="W300" s="153"/>
      <c r="X300" s="153"/>
      <c r="Y300" s="153"/>
      <c r="Z300" s="153"/>
      <c r="AA300" s="153"/>
      <c r="AB300" s="153"/>
      <c r="AC300" s="153"/>
      <c r="AD300" s="153"/>
      <c r="AE300" s="153"/>
      <c r="AF300" s="153"/>
      <c r="AG300" s="153"/>
      <c r="AH300" s="153"/>
      <c r="AI300" s="153"/>
      <c r="AJ300" s="153"/>
      <c r="AK300" s="153"/>
      <c r="AL300" s="153"/>
      <c r="AM300" s="153"/>
      <c r="AN300" s="153"/>
      <c r="AO300" s="153"/>
      <c r="AP300" s="153"/>
      <c r="AQ300" s="153"/>
      <c r="AR300" s="153"/>
    </row>
    <row r="301" spans="1:44">
      <c r="A301" s="741">
        <f>Gases!A308</f>
        <v>283</v>
      </c>
      <c r="B301" s="153"/>
      <c r="C301" s="153"/>
      <c r="D301" s="153"/>
      <c r="E301" s="153"/>
      <c r="F301" s="153"/>
      <c r="G301" s="153"/>
      <c r="H301" s="153"/>
      <c r="I301" s="153"/>
      <c r="J301" s="153"/>
      <c r="K301" s="153"/>
      <c r="L301" s="153"/>
      <c r="M301" s="153"/>
      <c r="N301" s="153"/>
      <c r="O301" s="153"/>
      <c r="P301" s="153"/>
      <c r="Q301" s="153"/>
      <c r="R301" s="153"/>
      <c r="S301" s="153"/>
      <c r="T301" s="153"/>
      <c r="U301" s="153"/>
      <c r="V301" s="153"/>
      <c r="W301" s="153"/>
      <c r="X301" s="153"/>
      <c r="Y301" s="153"/>
      <c r="Z301" s="153"/>
      <c r="AA301" s="153"/>
      <c r="AB301" s="153"/>
      <c r="AC301" s="153"/>
      <c r="AD301" s="153"/>
      <c r="AE301" s="153"/>
      <c r="AF301" s="153"/>
      <c r="AG301" s="153"/>
      <c r="AH301" s="153"/>
      <c r="AI301" s="153"/>
      <c r="AJ301" s="153"/>
      <c r="AK301" s="153"/>
      <c r="AL301" s="153"/>
      <c r="AM301" s="153"/>
      <c r="AN301" s="153"/>
      <c r="AO301" s="153"/>
      <c r="AP301" s="153"/>
      <c r="AQ301" s="153"/>
      <c r="AR301" s="153"/>
    </row>
    <row r="302" spans="1:44">
      <c r="A302" s="741">
        <f>Gases!A309</f>
        <v>284</v>
      </c>
      <c r="B302" s="153"/>
      <c r="C302" s="153"/>
      <c r="D302" s="153"/>
      <c r="E302" s="153"/>
      <c r="F302" s="153"/>
      <c r="G302" s="153"/>
      <c r="H302" s="153"/>
      <c r="I302" s="153"/>
      <c r="J302" s="153"/>
      <c r="K302" s="153"/>
      <c r="L302" s="153"/>
      <c r="M302" s="153"/>
      <c r="N302" s="153"/>
      <c r="O302" s="153"/>
      <c r="P302" s="153"/>
      <c r="Q302" s="153"/>
      <c r="R302" s="153"/>
      <c r="S302" s="153"/>
      <c r="T302" s="153"/>
      <c r="U302" s="153"/>
      <c r="V302" s="153"/>
      <c r="W302" s="153"/>
      <c r="X302" s="153"/>
      <c r="Y302" s="153"/>
      <c r="Z302" s="153"/>
      <c r="AA302" s="153"/>
      <c r="AB302" s="153"/>
      <c r="AC302" s="153"/>
      <c r="AD302" s="153"/>
      <c r="AE302" s="153"/>
      <c r="AF302" s="153"/>
      <c r="AG302" s="153"/>
      <c r="AH302" s="153"/>
      <c r="AI302" s="153"/>
      <c r="AJ302" s="153"/>
      <c r="AK302" s="153"/>
      <c r="AL302" s="153"/>
      <c r="AM302" s="153"/>
      <c r="AN302" s="153"/>
      <c r="AO302" s="153"/>
      <c r="AP302" s="153"/>
      <c r="AQ302" s="153"/>
      <c r="AR302" s="153"/>
    </row>
    <row r="303" spans="1:44">
      <c r="A303" s="741">
        <f>Gases!A310</f>
        <v>285</v>
      </c>
      <c r="B303" s="153"/>
      <c r="C303" s="153"/>
      <c r="D303" s="153"/>
      <c r="E303" s="153"/>
      <c r="F303" s="153"/>
      <c r="G303" s="153"/>
      <c r="H303" s="153"/>
      <c r="I303" s="153"/>
      <c r="J303" s="153"/>
      <c r="K303" s="153"/>
      <c r="L303" s="153"/>
      <c r="M303" s="153"/>
      <c r="N303" s="153"/>
      <c r="O303" s="153"/>
      <c r="P303" s="153"/>
      <c r="Q303" s="153"/>
      <c r="R303" s="153"/>
      <c r="S303" s="153"/>
      <c r="T303" s="153"/>
      <c r="U303" s="153"/>
      <c r="V303" s="153"/>
      <c r="W303" s="153"/>
      <c r="X303" s="153"/>
      <c r="Y303" s="153"/>
      <c r="Z303" s="153"/>
      <c r="AA303" s="153"/>
      <c r="AB303" s="153"/>
      <c r="AC303" s="153"/>
      <c r="AD303" s="153"/>
      <c r="AE303" s="153"/>
      <c r="AF303" s="153"/>
      <c r="AG303" s="153"/>
      <c r="AH303" s="153"/>
      <c r="AI303" s="153"/>
      <c r="AJ303" s="153"/>
      <c r="AK303" s="153"/>
      <c r="AL303" s="153"/>
      <c r="AM303" s="153"/>
      <c r="AN303" s="153"/>
      <c r="AO303" s="153"/>
      <c r="AP303" s="153"/>
      <c r="AQ303" s="153"/>
      <c r="AR303" s="153"/>
    </row>
    <row r="304" spans="1:44">
      <c r="A304" s="741">
        <f>Gases!A311</f>
        <v>286</v>
      </c>
      <c r="B304" s="153"/>
      <c r="C304" s="153"/>
      <c r="D304" s="153"/>
      <c r="E304" s="153"/>
      <c r="F304" s="153"/>
      <c r="G304" s="153"/>
      <c r="H304" s="153"/>
      <c r="I304" s="153"/>
      <c r="J304" s="153"/>
      <c r="K304" s="153"/>
      <c r="L304" s="153"/>
      <c r="M304" s="153"/>
      <c r="N304" s="153"/>
      <c r="O304" s="153"/>
      <c r="P304" s="153"/>
      <c r="Q304" s="153"/>
      <c r="R304" s="153"/>
      <c r="S304" s="153"/>
      <c r="T304" s="153"/>
      <c r="U304" s="153"/>
      <c r="V304" s="153"/>
      <c r="W304" s="153"/>
      <c r="X304" s="153"/>
      <c r="Y304" s="153"/>
      <c r="Z304" s="153"/>
      <c r="AA304" s="153"/>
      <c r="AB304" s="153"/>
      <c r="AC304" s="153"/>
      <c r="AD304" s="153"/>
      <c r="AE304" s="153"/>
      <c r="AF304" s="153"/>
      <c r="AG304" s="153"/>
      <c r="AH304" s="153"/>
      <c r="AI304" s="153"/>
      <c r="AJ304" s="153"/>
      <c r="AK304" s="153"/>
      <c r="AL304" s="153"/>
      <c r="AM304" s="153"/>
      <c r="AN304" s="153"/>
      <c r="AO304" s="153"/>
      <c r="AP304" s="153"/>
      <c r="AQ304" s="153"/>
      <c r="AR304" s="153"/>
    </row>
    <row r="305" spans="1:44">
      <c r="A305" s="741">
        <f>Gases!A312</f>
        <v>287</v>
      </c>
      <c r="B305" s="153"/>
      <c r="C305" s="153"/>
      <c r="D305" s="153"/>
      <c r="E305" s="153"/>
      <c r="F305" s="153"/>
      <c r="G305" s="153"/>
      <c r="H305" s="153"/>
      <c r="I305" s="153"/>
      <c r="J305" s="153"/>
      <c r="K305" s="153"/>
      <c r="L305" s="153"/>
      <c r="M305" s="153"/>
      <c r="N305" s="153"/>
      <c r="O305" s="153"/>
      <c r="P305" s="153"/>
      <c r="Q305" s="153"/>
      <c r="R305" s="153"/>
      <c r="S305" s="153"/>
      <c r="T305" s="153"/>
      <c r="U305" s="153"/>
      <c r="V305" s="153"/>
      <c r="W305" s="153"/>
      <c r="X305" s="153"/>
      <c r="Y305" s="153"/>
      <c r="Z305" s="153"/>
      <c r="AA305" s="153"/>
      <c r="AB305" s="153"/>
      <c r="AC305" s="153"/>
      <c r="AD305" s="153"/>
      <c r="AE305" s="153"/>
      <c r="AF305" s="153"/>
      <c r="AG305" s="153"/>
      <c r="AH305" s="153"/>
      <c r="AI305" s="153"/>
      <c r="AJ305" s="153"/>
      <c r="AK305" s="153"/>
      <c r="AL305" s="153"/>
      <c r="AM305" s="153"/>
      <c r="AN305" s="153"/>
      <c r="AO305" s="153"/>
      <c r="AP305" s="153"/>
      <c r="AQ305" s="153"/>
      <c r="AR305" s="153"/>
    </row>
    <row r="306" spans="1:44">
      <c r="A306" s="741">
        <f>Gases!A313</f>
        <v>288</v>
      </c>
      <c r="B306" s="153"/>
      <c r="C306" s="153"/>
      <c r="D306" s="153"/>
      <c r="E306" s="153"/>
      <c r="F306" s="153"/>
      <c r="G306" s="153"/>
      <c r="H306" s="153"/>
      <c r="I306" s="153"/>
      <c r="J306" s="153"/>
      <c r="K306" s="153"/>
      <c r="L306" s="153"/>
      <c r="M306" s="153"/>
      <c r="N306" s="153"/>
      <c r="O306" s="153"/>
      <c r="P306" s="153"/>
      <c r="Q306" s="153"/>
      <c r="R306" s="153"/>
      <c r="S306" s="153"/>
      <c r="T306" s="153"/>
      <c r="U306" s="153"/>
      <c r="V306" s="153"/>
      <c r="W306" s="153"/>
      <c r="X306" s="153"/>
      <c r="Y306" s="153"/>
      <c r="Z306" s="153"/>
      <c r="AA306" s="153"/>
      <c r="AB306" s="153"/>
      <c r="AC306" s="153"/>
      <c r="AD306" s="153"/>
      <c r="AE306" s="153"/>
      <c r="AF306" s="153"/>
      <c r="AG306" s="153"/>
      <c r="AH306" s="153"/>
      <c r="AI306" s="153"/>
      <c r="AJ306" s="153"/>
      <c r="AK306" s="153"/>
      <c r="AL306" s="153"/>
      <c r="AM306" s="153"/>
      <c r="AN306" s="153"/>
      <c r="AO306" s="153"/>
      <c r="AP306" s="153"/>
      <c r="AQ306" s="153"/>
      <c r="AR306" s="153"/>
    </row>
    <row r="307" spans="1:44">
      <c r="A307" s="741">
        <f>Gases!A314</f>
        <v>289</v>
      </c>
      <c r="B307" s="153"/>
      <c r="C307" s="153"/>
      <c r="D307" s="153"/>
      <c r="E307" s="153"/>
      <c r="F307" s="153"/>
      <c r="G307" s="153"/>
      <c r="H307" s="153"/>
      <c r="I307" s="153"/>
      <c r="J307" s="153"/>
      <c r="K307" s="153"/>
      <c r="L307" s="153"/>
      <c r="M307" s="153"/>
      <c r="N307" s="153"/>
      <c r="O307" s="153"/>
      <c r="P307" s="153"/>
      <c r="Q307" s="153"/>
      <c r="R307" s="153"/>
      <c r="S307" s="153"/>
      <c r="T307" s="153"/>
      <c r="U307" s="153"/>
      <c r="V307" s="153"/>
      <c r="W307" s="153"/>
      <c r="X307" s="153"/>
      <c r="Y307" s="153"/>
      <c r="Z307" s="153"/>
      <c r="AA307" s="153"/>
      <c r="AB307" s="153"/>
      <c r="AC307" s="153"/>
      <c r="AD307" s="153"/>
      <c r="AE307" s="153"/>
      <c r="AF307" s="153"/>
      <c r="AG307" s="153"/>
      <c r="AH307" s="153"/>
      <c r="AI307" s="153"/>
      <c r="AJ307" s="153"/>
      <c r="AK307" s="153"/>
      <c r="AL307" s="153"/>
      <c r="AM307" s="153"/>
      <c r="AN307" s="153"/>
      <c r="AO307" s="153"/>
      <c r="AP307" s="153"/>
      <c r="AQ307" s="153"/>
      <c r="AR307" s="153"/>
    </row>
    <row r="308" spans="1:44">
      <c r="A308" s="741">
        <f>Gases!A315</f>
        <v>290</v>
      </c>
      <c r="B308" s="153"/>
      <c r="C308" s="153"/>
      <c r="D308" s="153"/>
      <c r="E308" s="153"/>
      <c r="F308" s="153"/>
      <c r="G308" s="153"/>
      <c r="H308" s="153"/>
      <c r="I308" s="153"/>
      <c r="J308" s="153"/>
      <c r="K308" s="153"/>
      <c r="L308" s="153"/>
      <c r="M308" s="153"/>
      <c r="N308" s="153"/>
      <c r="O308" s="153"/>
      <c r="P308" s="153"/>
      <c r="Q308" s="153"/>
      <c r="R308" s="153"/>
      <c r="S308" s="153"/>
      <c r="T308" s="153"/>
      <c r="U308" s="153"/>
      <c r="V308" s="153"/>
      <c r="W308" s="153"/>
      <c r="X308" s="153"/>
      <c r="Y308" s="153"/>
      <c r="Z308" s="153"/>
      <c r="AA308" s="153"/>
      <c r="AB308" s="153"/>
      <c r="AC308" s="153"/>
      <c r="AD308" s="153"/>
      <c r="AE308" s="153"/>
      <c r="AF308" s="153"/>
      <c r="AG308" s="153"/>
      <c r="AH308" s="153"/>
      <c r="AI308" s="153"/>
      <c r="AJ308" s="153"/>
      <c r="AK308" s="153"/>
      <c r="AL308" s="153"/>
      <c r="AM308" s="153"/>
      <c r="AN308" s="153"/>
      <c r="AO308" s="153"/>
      <c r="AP308" s="153"/>
      <c r="AQ308" s="153"/>
      <c r="AR308" s="153"/>
    </row>
    <row r="309" spans="1:44">
      <c r="A309" s="741">
        <f>Gases!A316</f>
        <v>291</v>
      </c>
      <c r="B309" s="153"/>
      <c r="C309" s="153"/>
      <c r="D309" s="153"/>
      <c r="E309" s="153"/>
      <c r="F309" s="153"/>
      <c r="G309" s="153"/>
      <c r="H309" s="153"/>
      <c r="I309" s="153"/>
      <c r="J309" s="153"/>
      <c r="K309" s="153"/>
      <c r="L309" s="153"/>
      <c r="M309" s="153"/>
      <c r="N309" s="153"/>
      <c r="O309" s="153"/>
      <c r="P309" s="153"/>
      <c r="Q309" s="153"/>
      <c r="R309" s="153"/>
      <c r="S309" s="153"/>
      <c r="T309" s="153"/>
      <c r="U309" s="153"/>
      <c r="V309" s="153"/>
      <c r="W309" s="153"/>
      <c r="X309" s="153"/>
      <c r="Y309" s="153"/>
      <c r="Z309" s="153"/>
      <c r="AA309" s="153"/>
      <c r="AB309" s="153"/>
      <c r="AC309" s="153"/>
      <c r="AD309" s="153"/>
      <c r="AE309" s="153"/>
      <c r="AF309" s="153"/>
      <c r="AG309" s="153"/>
      <c r="AH309" s="153"/>
      <c r="AI309" s="153"/>
      <c r="AJ309" s="153"/>
      <c r="AK309" s="153"/>
      <c r="AL309" s="153"/>
      <c r="AM309" s="153"/>
      <c r="AN309" s="153"/>
      <c r="AO309" s="153"/>
      <c r="AP309" s="153"/>
      <c r="AQ309" s="153"/>
      <c r="AR309" s="153"/>
    </row>
    <row r="310" spans="1:44">
      <c r="A310" s="741">
        <f>Gases!A317</f>
        <v>292</v>
      </c>
      <c r="B310" s="153"/>
      <c r="C310" s="153"/>
      <c r="D310" s="153"/>
      <c r="E310" s="153"/>
      <c r="F310" s="153"/>
      <c r="G310" s="153"/>
      <c r="H310" s="153"/>
      <c r="I310" s="153"/>
      <c r="J310" s="153"/>
      <c r="K310" s="153"/>
      <c r="L310" s="153"/>
      <c r="M310" s="153"/>
      <c r="N310" s="153"/>
      <c r="O310" s="153"/>
      <c r="P310" s="153"/>
      <c r="Q310" s="153"/>
      <c r="R310" s="153"/>
      <c r="S310" s="153"/>
      <c r="T310" s="153"/>
      <c r="U310" s="153"/>
      <c r="V310" s="153"/>
      <c r="W310" s="153"/>
      <c r="X310" s="153"/>
      <c r="Y310" s="153"/>
      <c r="Z310" s="153"/>
      <c r="AA310" s="153"/>
      <c r="AB310" s="153"/>
      <c r="AC310" s="153"/>
      <c r="AD310" s="153"/>
      <c r="AE310" s="153"/>
      <c r="AF310" s="153"/>
      <c r="AG310" s="153"/>
      <c r="AH310" s="153"/>
      <c r="AI310" s="153"/>
      <c r="AJ310" s="153"/>
      <c r="AK310" s="153"/>
      <c r="AL310" s="153"/>
      <c r="AM310" s="153"/>
      <c r="AN310" s="153"/>
      <c r="AO310" s="153"/>
      <c r="AP310" s="153"/>
      <c r="AQ310" s="153"/>
      <c r="AR310" s="153"/>
    </row>
    <row r="311" spans="1:44">
      <c r="A311" s="741">
        <f>Gases!A318</f>
        <v>293</v>
      </c>
      <c r="B311" s="153"/>
      <c r="C311" s="153"/>
      <c r="D311" s="153"/>
      <c r="E311" s="153"/>
      <c r="F311" s="153"/>
      <c r="G311" s="153"/>
      <c r="H311" s="153"/>
      <c r="I311" s="153"/>
      <c r="J311" s="153"/>
      <c r="K311" s="153"/>
      <c r="L311" s="153"/>
      <c r="M311" s="153"/>
      <c r="N311" s="153"/>
      <c r="O311" s="153"/>
      <c r="P311" s="153"/>
      <c r="Q311" s="153"/>
      <c r="R311" s="153"/>
      <c r="S311" s="153"/>
      <c r="T311" s="153"/>
      <c r="U311" s="153"/>
      <c r="V311" s="153"/>
      <c r="W311" s="153"/>
      <c r="X311" s="153"/>
      <c r="Y311" s="153"/>
      <c r="Z311" s="153"/>
      <c r="AA311" s="153"/>
      <c r="AB311" s="153"/>
      <c r="AC311" s="153"/>
      <c r="AD311" s="153"/>
      <c r="AE311" s="153"/>
      <c r="AF311" s="153"/>
      <c r="AG311" s="153"/>
      <c r="AH311" s="153"/>
      <c r="AI311" s="153"/>
      <c r="AJ311" s="153"/>
      <c r="AK311" s="153"/>
      <c r="AL311" s="153"/>
      <c r="AM311" s="153"/>
      <c r="AN311" s="153"/>
      <c r="AO311" s="153"/>
      <c r="AP311" s="153"/>
      <c r="AQ311" s="153"/>
      <c r="AR311" s="153"/>
    </row>
    <row r="312" spans="1:44">
      <c r="A312" s="741">
        <f>Gases!A319</f>
        <v>294</v>
      </c>
      <c r="B312" s="153"/>
      <c r="C312" s="153"/>
      <c r="D312" s="153"/>
      <c r="E312" s="153"/>
      <c r="F312" s="153"/>
      <c r="G312" s="153"/>
      <c r="H312" s="153"/>
      <c r="I312" s="153"/>
      <c r="J312" s="153"/>
      <c r="K312" s="153"/>
      <c r="L312" s="153"/>
      <c r="M312" s="153"/>
      <c r="N312" s="153"/>
      <c r="O312" s="153"/>
      <c r="P312" s="153"/>
      <c r="Q312" s="153"/>
      <c r="R312" s="153"/>
      <c r="S312" s="153"/>
      <c r="T312" s="153"/>
      <c r="U312" s="153"/>
      <c r="V312" s="153"/>
      <c r="W312" s="153"/>
      <c r="X312" s="153"/>
      <c r="Y312" s="153"/>
      <c r="Z312" s="153"/>
      <c r="AA312" s="153"/>
      <c r="AB312" s="153"/>
      <c r="AC312" s="153"/>
      <c r="AD312" s="153"/>
      <c r="AE312" s="153"/>
      <c r="AF312" s="153"/>
      <c r="AG312" s="153"/>
      <c r="AH312" s="153"/>
      <c r="AI312" s="153"/>
      <c r="AJ312" s="153"/>
      <c r="AK312" s="153"/>
      <c r="AL312" s="153"/>
      <c r="AM312" s="153"/>
      <c r="AN312" s="153"/>
      <c r="AO312" s="153"/>
      <c r="AP312" s="153"/>
      <c r="AQ312" s="153"/>
      <c r="AR312" s="153"/>
    </row>
    <row r="313" spans="1:44">
      <c r="A313" s="741">
        <f>Gases!A320</f>
        <v>295</v>
      </c>
      <c r="B313" s="153"/>
      <c r="C313" s="153"/>
      <c r="D313" s="153"/>
      <c r="E313" s="153"/>
      <c r="F313" s="153"/>
      <c r="G313" s="153"/>
      <c r="H313" s="153"/>
      <c r="I313" s="153"/>
      <c r="J313" s="153"/>
      <c r="K313" s="153"/>
      <c r="L313" s="153"/>
      <c r="M313" s="153"/>
      <c r="N313" s="153"/>
      <c r="O313" s="153"/>
      <c r="P313" s="153"/>
      <c r="Q313" s="153"/>
      <c r="R313" s="153"/>
      <c r="S313" s="153"/>
      <c r="T313" s="153"/>
      <c r="U313" s="153"/>
      <c r="V313" s="153"/>
      <c r="W313" s="153"/>
      <c r="X313" s="153"/>
      <c r="Y313" s="153"/>
      <c r="Z313" s="153"/>
      <c r="AA313" s="153"/>
      <c r="AB313" s="153"/>
      <c r="AC313" s="153"/>
      <c r="AD313" s="153"/>
      <c r="AE313" s="153"/>
      <c r="AF313" s="153"/>
      <c r="AG313" s="153"/>
      <c r="AH313" s="153"/>
      <c r="AI313" s="153"/>
      <c r="AJ313" s="153"/>
      <c r="AK313" s="153"/>
      <c r="AL313" s="153"/>
      <c r="AM313" s="153"/>
      <c r="AN313" s="153"/>
      <c r="AO313" s="153"/>
      <c r="AP313" s="153"/>
      <c r="AQ313" s="153"/>
      <c r="AR313" s="153"/>
    </row>
    <row r="314" spans="1:44">
      <c r="A314" s="741">
        <f>Gases!A321</f>
        <v>296</v>
      </c>
      <c r="B314" s="153"/>
      <c r="C314" s="153"/>
      <c r="D314" s="153"/>
      <c r="E314" s="153"/>
      <c r="F314" s="153"/>
      <c r="G314" s="153"/>
      <c r="H314" s="153"/>
      <c r="I314" s="153"/>
      <c r="J314" s="153"/>
      <c r="K314" s="153"/>
      <c r="L314" s="153"/>
      <c r="M314" s="153"/>
      <c r="N314" s="153"/>
      <c r="O314" s="153"/>
      <c r="P314" s="153"/>
      <c r="Q314" s="153"/>
      <c r="R314" s="153"/>
      <c r="S314" s="153"/>
      <c r="T314" s="153"/>
      <c r="U314" s="153"/>
      <c r="V314" s="153"/>
      <c r="W314" s="153"/>
      <c r="X314" s="153"/>
      <c r="Y314" s="153"/>
      <c r="Z314" s="153"/>
      <c r="AA314" s="153"/>
      <c r="AB314" s="153"/>
      <c r="AC314" s="153"/>
      <c r="AD314" s="153"/>
      <c r="AE314" s="153"/>
      <c r="AF314" s="153"/>
      <c r="AG314" s="153"/>
      <c r="AH314" s="153"/>
      <c r="AI314" s="153"/>
      <c r="AJ314" s="153"/>
      <c r="AK314" s="153"/>
      <c r="AL314" s="153"/>
      <c r="AM314" s="153"/>
      <c r="AN314" s="153"/>
      <c r="AO314" s="153"/>
      <c r="AP314" s="153"/>
      <c r="AQ314" s="153"/>
      <c r="AR314" s="153"/>
    </row>
    <row r="315" spans="1:44">
      <c r="A315" s="741">
        <f>Gases!A322</f>
        <v>297</v>
      </c>
      <c r="B315" s="153"/>
      <c r="C315" s="153"/>
      <c r="D315" s="153"/>
      <c r="E315" s="153"/>
      <c r="F315" s="153"/>
      <c r="G315" s="153"/>
      <c r="H315" s="153"/>
      <c r="I315" s="153"/>
      <c r="J315" s="153"/>
      <c r="K315" s="153"/>
      <c r="L315" s="153"/>
      <c r="M315" s="153"/>
      <c r="N315" s="153"/>
      <c r="O315" s="153"/>
      <c r="P315" s="153"/>
      <c r="Q315" s="153"/>
      <c r="R315" s="153"/>
      <c r="S315" s="153"/>
      <c r="T315" s="153"/>
      <c r="U315" s="153"/>
      <c r="V315" s="153"/>
      <c r="W315" s="153"/>
      <c r="X315" s="153"/>
      <c r="Y315" s="153"/>
      <c r="Z315" s="153"/>
      <c r="AA315" s="153"/>
      <c r="AB315" s="153"/>
      <c r="AC315" s="153"/>
      <c r="AD315" s="153"/>
      <c r="AE315" s="153"/>
      <c r="AF315" s="153"/>
      <c r="AG315" s="153"/>
      <c r="AH315" s="153"/>
      <c r="AI315" s="153"/>
      <c r="AJ315" s="153"/>
      <c r="AK315" s="153"/>
      <c r="AL315" s="153"/>
      <c r="AM315" s="153"/>
      <c r="AN315" s="153"/>
      <c r="AO315" s="153"/>
      <c r="AP315" s="153"/>
      <c r="AQ315" s="153"/>
      <c r="AR315" s="153"/>
    </row>
    <row r="316" spans="1:44">
      <c r="A316" s="741">
        <f>Gases!A323</f>
        <v>298</v>
      </c>
      <c r="B316" s="153"/>
      <c r="C316" s="153"/>
      <c r="D316" s="153"/>
      <c r="E316" s="153"/>
      <c r="F316" s="153"/>
      <c r="G316" s="153"/>
      <c r="H316" s="153"/>
      <c r="I316" s="153"/>
      <c r="J316" s="153"/>
      <c r="K316" s="153"/>
      <c r="L316" s="153"/>
      <c r="M316" s="153"/>
      <c r="N316" s="153"/>
      <c r="O316" s="153"/>
      <c r="P316" s="153"/>
      <c r="Q316" s="153"/>
      <c r="R316" s="153"/>
      <c r="S316" s="153"/>
      <c r="T316" s="153"/>
      <c r="U316" s="153"/>
      <c r="V316" s="153"/>
      <c r="W316" s="153"/>
      <c r="X316" s="153"/>
      <c r="Y316" s="153"/>
      <c r="Z316" s="153"/>
      <c r="AA316" s="153"/>
      <c r="AB316" s="153"/>
      <c r="AC316" s="153"/>
      <c r="AD316" s="153"/>
      <c r="AE316" s="153"/>
      <c r="AF316" s="153"/>
      <c r="AG316" s="153"/>
      <c r="AH316" s="153"/>
      <c r="AI316" s="153"/>
      <c r="AJ316" s="153"/>
      <c r="AK316" s="153"/>
      <c r="AL316" s="153"/>
      <c r="AM316" s="153"/>
      <c r="AN316" s="153"/>
      <c r="AO316" s="153"/>
      <c r="AP316" s="153"/>
      <c r="AQ316" s="153"/>
      <c r="AR316" s="153"/>
    </row>
    <row r="317" spans="1:44">
      <c r="A317" s="741">
        <f>Gases!A324</f>
        <v>299</v>
      </c>
      <c r="B317" s="153"/>
      <c r="C317" s="153"/>
      <c r="D317" s="153"/>
      <c r="E317" s="153"/>
      <c r="F317" s="153"/>
      <c r="G317" s="153"/>
      <c r="H317" s="153"/>
      <c r="I317" s="153"/>
      <c r="J317" s="153"/>
      <c r="K317" s="153"/>
      <c r="L317" s="153"/>
      <c r="M317" s="153"/>
      <c r="N317" s="153"/>
      <c r="O317" s="153"/>
      <c r="P317" s="153"/>
      <c r="Q317" s="153"/>
      <c r="R317" s="153"/>
      <c r="S317" s="153"/>
      <c r="T317" s="153"/>
      <c r="U317" s="153"/>
      <c r="V317" s="153"/>
      <c r="W317" s="153"/>
      <c r="X317" s="153"/>
      <c r="Y317" s="153"/>
      <c r="Z317" s="153"/>
      <c r="AA317" s="153"/>
      <c r="AB317" s="153"/>
      <c r="AC317" s="153"/>
      <c r="AD317" s="153"/>
      <c r="AE317" s="153"/>
      <c r="AF317" s="153"/>
      <c r="AG317" s="153"/>
      <c r="AH317" s="153"/>
      <c r="AI317" s="153"/>
      <c r="AJ317" s="153"/>
      <c r="AK317" s="153"/>
      <c r="AL317" s="153"/>
      <c r="AM317" s="153"/>
      <c r="AN317" s="153"/>
      <c r="AO317" s="153"/>
      <c r="AP317" s="153"/>
      <c r="AQ317" s="153"/>
      <c r="AR317" s="153"/>
    </row>
    <row r="318" spans="1:44">
      <c r="A318" s="741">
        <f>Gases!A325</f>
        <v>300</v>
      </c>
      <c r="B318" s="153"/>
      <c r="C318" s="153"/>
      <c r="D318" s="153"/>
      <c r="E318" s="153"/>
      <c r="F318" s="153"/>
      <c r="G318" s="153"/>
      <c r="H318" s="153"/>
      <c r="I318" s="153"/>
      <c r="J318" s="153"/>
      <c r="K318" s="153"/>
      <c r="L318" s="153"/>
      <c r="M318" s="153"/>
      <c r="N318" s="153"/>
      <c r="O318" s="153"/>
      <c r="P318" s="153"/>
      <c r="Q318" s="153"/>
      <c r="R318" s="153"/>
      <c r="S318" s="153"/>
      <c r="T318" s="153"/>
      <c r="U318" s="153"/>
      <c r="V318" s="153"/>
      <c r="W318" s="153"/>
      <c r="X318" s="153"/>
      <c r="Y318" s="153"/>
      <c r="Z318" s="153"/>
      <c r="AA318" s="153"/>
      <c r="AB318" s="153"/>
      <c r="AC318" s="153"/>
      <c r="AD318" s="153"/>
      <c r="AE318" s="153"/>
      <c r="AF318" s="153"/>
      <c r="AG318" s="153"/>
      <c r="AH318" s="153"/>
      <c r="AI318" s="153"/>
      <c r="AJ318" s="153"/>
      <c r="AK318" s="153"/>
      <c r="AL318" s="153"/>
      <c r="AM318" s="153"/>
      <c r="AN318" s="153"/>
      <c r="AO318" s="153"/>
      <c r="AP318" s="153"/>
      <c r="AQ318" s="153"/>
      <c r="AR318" s="153"/>
    </row>
    <row r="319" spans="1:44">
      <c r="A319" s="741">
        <f>Gases!A326</f>
        <v>301</v>
      </c>
      <c r="B319" s="153"/>
      <c r="C319" s="153"/>
      <c r="D319" s="153"/>
      <c r="E319" s="153"/>
      <c r="F319" s="153"/>
      <c r="G319" s="153"/>
      <c r="H319" s="153"/>
      <c r="I319" s="153"/>
      <c r="J319" s="153"/>
      <c r="K319" s="153"/>
      <c r="L319" s="153"/>
      <c r="M319" s="153"/>
      <c r="N319" s="153"/>
      <c r="O319" s="153"/>
      <c r="P319" s="153"/>
      <c r="Q319" s="153"/>
      <c r="R319" s="153"/>
      <c r="S319" s="153"/>
      <c r="T319" s="153"/>
      <c r="U319" s="153"/>
      <c r="V319" s="153"/>
      <c r="W319" s="153"/>
      <c r="X319" s="153"/>
      <c r="Y319" s="153"/>
      <c r="Z319" s="153"/>
      <c r="AA319" s="153"/>
      <c r="AB319" s="153"/>
      <c r="AC319" s="153"/>
      <c r="AD319" s="153"/>
      <c r="AE319" s="153"/>
      <c r="AF319" s="153"/>
      <c r="AG319" s="153"/>
      <c r="AH319" s="153"/>
      <c r="AI319" s="153"/>
      <c r="AJ319" s="153"/>
      <c r="AK319" s="153"/>
      <c r="AL319" s="153"/>
      <c r="AM319" s="153"/>
      <c r="AN319" s="153"/>
      <c r="AO319" s="153"/>
      <c r="AP319" s="153"/>
      <c r="AQ319" s="153"/>
      <c r="AR319" s="153"/>
    </row>
    <row r="320" spans="1:44">
      <c r="A320" s="741">
        <f>Gases!A327</f>
        <v>302</v>
      </c>
      <c r="B320" s="153"/>
      <c r="C320" s="153"/>
      <c r="D320" s="153"/>
      <c r="E320" s="153"/>
      <c r="F320" s="153"/>
      <c r="G320" s="153"/>
      <c r="H320" s="153"/>
      <c r="I320" s="153"/>
      <c r="J320" s="153"/>
      <c r="K320" s="153"/>
      <c r="L320" s="153"/>
      <c r="M320" s="153"/>
      <c r="N320" s="153"/>
      <c r="O320" s="153"/>
      <c r="P320" s="153"/>
      <c r="Q320" s="153"/>
      <c r="R320" s="153"/>
      <c r="S320" s="153"/>
      <c r="T320" s="153"/>
      <c r="U320" s="153"/>
      <c r="V320" s="153"/>
      <c r="W320" s="153"/>
      <c r="X320" s="153"/>
      <c r="Y320" s="153"/>
      <c r="Z320" s="153"/>
      <c r="AA320" s="153"/>
      <c r="AB320" s="153"/>
      <c r="AC320" s="153"/>
      <c r="AD320" s="153"/>
      <c r="AE320" s="153"/>
      <c r="AF320" s="153"/>
      <c r="AG320" s="153"/>
      <c r="AH320" s="153"/>
      <c r="AI320" s="153"/>
      <c r="AJ320" s="153"/>
      <c r="AK320" s="153"/>
      <c r="AL320" s="153"/>
      <c r="AM320" s="153"/>
      <c r="AN320" s="153"/>
      <c r="AO320" s="153"/>
      <c r="AP320" s="153"/>
      <c r="AQ320" s="153"/>
      <c r="AR320" s="153"/>
    </row>
    <row r="321" spans="1:44">
      <c r="A321" s="741">
        <f>Gases!A328</f>
        <v>303</v>
      </c>
      <c r="B321" s="153"/>
      <c r="C321" s="153"/>
      <c r="D321" s="153"/>
      <c r="E321" s="153"/>
      <c r="F321" s="153"/>
      <c r="G321" s="153"/>
      <c r="H321" s="153"/>
      <c r="I321" s="153"/>
      <c r="J321" s="153"/>
      <c r="K321" s="153"/>
      <c r="L321" s="153"/>
      <c r="M321" s="153"/>
      <c r="N321" s="153"/>
      <c r="O321" s="153"/>
      <c r="P321" s="153"/>
      <c r="Q321" s="153"/>
      <c r="R321" s="153"/>
      <c r="S321" s="153"/>
      <c r="T321" s="153"/>
      <c r="U321" s="153"/>
      <c r="V321" s="153"/>
      <c r="W321" s="153"/>
      <c r="X321" s="153"/>
      <c r="Y321" s="153"/>
      <c r="Z321" s="153"/>
      <c r="AA321" s="153"/>
      <c r="AB321" s="153"/>
      <c r="AC321" s="153"/>
      <c r="AD321" s="153"/>
      <c r="AE321" s="153"/>
      <c r="AF321" s="153"/>
      <c r="AG321" s="153"/>
      <c r="AH321" s="153"/>
      <c r="AI321" s="153"/>
      <c r="AJ321" s="153"/>
      <c r="AK321" s="153"/>
      <c r="AL321" s="153"/>
      <c r="AM321" s="153"/>
      <c r="AN321" s="153"/>
      <c r="AO321" s="153"/>
      <c r="AP321" s="153"/>
      <c r="AQ321" s="153"/>
      <c r="AR321" s="153"/>
    </row>
    <row r="322" spans="1:44">
      <c r="A322" s="741">
        <f>Gases!A329</f>
        <v>304</v>
      </c>
      <c r="B322" s="153"/>
      <c r="C322" s="153"/>
      <c r="D322" s="153"/>
      <c r="E322" s="153"/>
      <c r="F322" s="153"/>
      <c r="G322" s="153"/>
      <c r="H322" s="153"/>
      <c r="I322" s="153"/>
      <c r="J322" s="153"/>
      <c r="K322" s="153"/>
      <c r="L322" s="153"/>
      <c r="M322" s="153"/>
      <c r="N322" s="153"/>
      <c r="O322" s="153"/>
      <c r="P322" s="153"/>
      <c r="Q322" s="153"/>
      <c r="R322" s="153"/>
      <c r="S322" s="153"/>
      <c r="T322" s="153"/>
      <c r="U322" s="153"/>
      <c r="V322" s="153"/>
      <c r="W322" s="153"/>
      <c r="X322" s="153"/>
      <c r="Y322" s="153"/>
      <c r="Z322" s="153"/>
      <c r="AA322" s="153"/>
      <c r="AB322" s="153"/>
      <c r="AC322" s="153"/>
      <c r="AD322" s="153"/>
      <c r="AE322" s="153"/>
      <c r="AF322" s="153"/>
      <c r="AG322" s="153"/>
      <c r="AH322" s="153"/>
      <c r="AI322" s="153"/>
      <c r="AJ322" s="153"/>
      <c r="AK322" s="153"/>
      <c r="AL322" s="153"/>
      <c r="AM322" s="153"/>
      <c r="AN322" s="153"/>
      <c r="AO322" s="153"/>
      <c r="AP322" s="153"/>
      <c r="AQ322" s="153"/>
      <c r="AR322" s="153"/>
    </row>
    <row r="323" spans="1:44">
      <c r="A323" s="741">
        <f>Gases!A330</f>
        <v>305</v>
      </c>
      <c r="B323" s="153"/>
      <c r="C323" s="153"/>
      <c r="D323" s="153"/>
      <c r="E323" s="153"/>
      <c r="F323" s="153"/>
      <c r="G323" s="153"/>
      <c r="H323" s="153"/>
      <c r="I323" s="153"/>
      <c r="J323" s="153"/>
      <c r="K323" s="153"/>
      <c r="L323" s="153"/>
      <c r="M323" s="153"/>
      <c r="N323" s="153"/>
      <c r="O323" s="153"/>
      <c r="P323" s="153"/>
      <c r="Q323" s="153"/>
      <c r="R323" s="153"/>
      <c r="S323" s="153"/>
      <c r="T323" s="153"/>
      <c r="U323" s="153"/>
      <c r="V323" s="153"/>
      <c r="W323" s="153"/>
      <c r="X323" s="153"/>
      <c r="Y323" s="153"/>
      <c r="Z323" s="153"/>
      <c r="AA323" s="153"/>
      <c r="AB323" s="153"/>
      <c r="AC323" s="153"/>
      <c r="AD323" s="153"/>
      <c r="AE323" s="153"/>
      <c r="AF323" s="153"/>
      <c r="AG323" s="153"/>
      <c r="AH323" s="153"/>
      <c r="AI323" s="153"/>
      <c r="AJ323" s="153"/>
      <c r="AK323" s="153"/>
      <c r="AL323" s="153"/>
      <c r="AM323" s="153"/>
      <c r="AN323" s="153"/>
      <c r="AO323" s="153"/>
      <c r="AP323" s="153"/>
      <c r="AQ323" s="153"/>
      <c r="AR323" s="153"/>
    </row>
    <row r="324" spans="1:44">
      <c r="A324" s="741">
        <f>Gases!A331</f>
        <v>306</v>
      </c>
      <c r="B324" s="153"/>
      <c r="C324" s="153"/>
      <c r="D324" s="153"/>
      <c r="E324" s="153"/>
      <c r="F324" s="153"/>
      <c r="G324" s="153"/>
      <c r="H324" s="153"/>
      <c r="I324" s="153"/>
      <c r="J324" s="153"/>
      <c r="K324" s="153"/>
      <c r="L324" s="153"/>
      <c r="M324" s="153"/>
      <c r="N324" s="153"/>
      <c r="O324" s="153"/>
      <c r="P324" s="153"/>
      <c r="Q324" s="153"/>
      <c r="R324" s="153"/>
      <c r="S324" s="153"/>
      <c r="T324" s="153"/>
      <c r="U324" s="153"/>
      <c r="V324" s="153"/>
      <c r="W324" s="153"/>
      <c r="X324" s="153"/>
      <c r="Y324" s="153"/>
      <c r="Z324" s="153"/>
      <c r="AA324" s="153"/>
      <c r="AB324" s="153"/>
      <c r="AC324" s="153"/>
      <c r="AD324" s="153"/>
      <c r="AE324" s="153"/>
      <c r="AF324" s="153"/>
      <c r="AG324" s="153"/>
      <c r="AH324" s="153"/>
      <c r="AI324" s="153"/>
      <c r="AJ324" s="153"/>
      <c r="AK324" s="153"/>
      <c r="AL324" s="153"/>
      <c r="AM324" s="153"/>
      <c r="AN324" s="153"/>
      <c r="AO324" s="153"/>
      <c r="AP324" s="153"/>
      <c r="AQ324" s="153"/>
      <c r="AR324" s="153"/>
    </row>
    <row r="325" spans="1:44">
      <c r="A325" s="741">
        <f>Gases!A332</f>
        <v>307</v>
      </c>
      <c r="B325" s="153"/>
      <c r="C325" s="153"/>
      <c r="D325" s="153"/>
      <c r="E325" s="153"/>
      <c r="F325" s="153"/>
      <c r="G325" s="153"/>
      <c r="H325" s="153"/>
      <c r="I325" s="153"/>
      <c r="J325" s="153"/>
      <c r="K325" s="153"/>
      <c r="L325" s="153"/>
      <c r="M325" s="153"/>
      <c r="N325" s="153"/>
      <c r="O325" s="153"/>
      <c r="P325" s="153"/>
      <c r="Q325" s="153"/>
      <c r="R325" s="153"/>
      <c r="S325" s="153"/>
      <c r="T325" s="153"/>
      <c r="U325" s="153"/>
      <c r="V325" s="153"/>
      <c r="W325" s="153"/>
      <c r="X325" s="153"/>
      <c r="Y325" s="153"/>
      <c r="Z325" s="153"/>
      <c r="AA325" s="153"/>
      <c r="AB325" s="153"/>
      <c r="AC325" s="153"/>
      <c r="AD325" s="153"/>
      <c r="AE325" s="153"/>
      <c r="AF325" s="153"/>
      <c r="AG325" s="153"/>
      <c r="AH325" s="153"/>
      <c r="AI325" s="153"/>
      <c r="AJ325" s="153"/>
      <c r="AK325" s="153"/>
      <c r="AL325" s="153"/>
      <c r="AM325" s="153"/>
      <c r="AN325" s="153"/>
      <c r="AO325" s="153"/>
      <c r="AP325" s="153"/>
      <c r="AQ325" s="153"/>
      <c r="AR325" s="153"/>
    </row>
    <row r="326" spans="1:44">
      <c r="A326" s="741">
        <f>Gases!A333</f>
        <v>308</v>
      </c>
      <c r="B326" s="153"/>
      <c r="C326" s="153"/>
      <c r="D326" s="153"/>
      <c r="E326" s="153"/>
      <c r="F326" s="153"/>
      <c r="G326" s="153"/>
      <c r="H326" s="153"/>
      <c r="I326" s="153"/>
      <c r="J326" s="153"/>
      <c r="K326" s="153"/>
      <c r="L326" s="153"/>
      <c r="M326" s="153"/>
      <c r="N326" s="153"/>
      <c r="O326" s="153"/>
      <c r="P326" s="153"/>
      <c r="Q326" s="153"/>
      <c r="R326" s="153"/>
      <c r="S326" s="153"/>
      <c r="T326" s="153"/>
      <c r="U326" s="153"/>
      <c r="V326" s="153"/>
      <c r="W326" s="153"/>
      <c r="X326" s="153"/>
      <c r="Y326" s="153"/>
      <c r="Z326" s="153"/>
      <c r="AA326" s="153"/>
      <c r="AB326" s="153"/>
      <c r="AC326" s="153"/>
      <c r="AD326" s="153"/>
      <c r="AE326" s="153"/>
      <c r="AF326" s="153"/>
      <c r="AG326" s="153"/>
      <c r="AH326" s="153"/>
      <c r="AI326" s="153"/>
      <c r="AJ326" s="153"/>
      <c r="AK326" s="153"/>
      <c r="AL326" s="153"/>
      <c r="AM326" s="153"/>
      <c r="AN326" s="153"/>
      <c r="AO326" s="153"/>
      <c r="AP326" s="153"/>
      <c r="AQ326" s="153"/>
      <c r="AR326" s="153"/>
    </row>
    <row r="327" spans="1:44">
      <c r="A327" s="741">
        <f>Gases!A334</f>
        <v>309</v>
      </c>
      <c r="B327" s="153"/>
      <c r="C327" s="153"/>
      <c r="D327" s="153"/>
      <c r="E327" s="153"/>
      <c r="F327" s="153"/>
      <c r="G327" s="153"/>
      <c r="H327" s="153"/>
      <c r="I327" s="153"/>
      <c r="J327" s="153"/>
      <c r="K327" s="153"/>
      <c r="L327" s="153"/>
      <c r="M327" s="153"/>
      <c r="N327" s="153"/>
      <c r="O327" s="153"/>
      <c r="P327" s="153"/>
      <c r="Q327" s="153"/>
      <c r="R327" s="153"/>
      <c r="S327" s="153"/>
      <c r="T327" s="153"/>
      <c r="U327" s="153"/>
      <c r="V327" s="153"/>
      <c r="W327" s="153"/>
      <c r="X327" s="153"/>
      <c r="Y327" s="153"/>
      <c r="Z327" s="153"/>
      <c r="AA327" s="153"/>
      <c r="AB327" s="153"/>
      <c r="AC327" s="153"/>
      <c r="AD327" s="153"/>
      <c r="AE327" s="153"/>
      <c r="AF327" s="153"/>
      <c r="AG327" s="153"/>
      <c r="AH327" s="153"/>
      <c r="AI327" s="153"/>
      <c r="AJ327" s="153"/>
      <c r="AK327" s="153"/>
      <c r="AL327" s="153"/>
      <c r="AM327" s="153"/>
      <c r="AN327" s="153"/>
      <c r="AO327" s="153"/>
      <c r="AP327" s="153"/>
      <c r="AQ327" s="153"/>
      <c r="AR327" s="153"/>
    </row>
    <row r="328" spans="1:44">
      <c r="A328" s="741">
        <f>Gases!A335</f>
        <v>310</v>
      </c>
      <c r="B328" s="153"/>
      <c r="C328" s="153"/>
      <c r="D328" s="153"/>
      <c r="E328" s="153"/>
      <c r="F328" s="153"/>
      <c r="G328" s="153"/>
      <c r="H328" s="153"/>
      <c r="I328" s="153"/>
      <c r="J328" s="153"/>
      <c r="K328" s="153"/>
      <c r="L328" s="153"/>
      <c r="M328" s="153"/>
      <c r="N328" s="153"/>
      <c r="O328" s="153"/>
      <c r="P328" s="153"/>
      <c r="Q328" s="153"/>
      <c r="R328" s="153"/>
      <c r="S328" s="153"/>
      <c r="T328" s="153"/>
      <c r="U328" s="153"/>
      <c r="V328" s="153"/>
      <c r="W328" s="153"/>
      <c r="X328" s="153"/>
      <c r="Y328" s="153"/>
      <c r="Z328" s="153"/>
      <c r="AA328" s="153"/>
      <c r="AB328" s="153"/>
      <c r="AC328" s="153"/>
      <c r="AD328" s="153"/>
      <c r="AE328" s="153"/>
      <c r="AF328" s="153"/>
      <c r="AG328" s="153"/>
      <c r="AH328" s="153"/>
      <c r="AI328" s="153"/>
      <c r="AJ328" s="153"/>
      <c r="AK328" s="153"/>
      <c r="AL328" s="153"/>
      <c r="AM328" s="153"/>
      <c r="AN328" s="153"/>
      <c r="AO328" s="153"/>
      <c r="AP328" s="153"/>
      <c r="AQ328" s="153"/>
      <c r="AR328" s="153"/>
    </row>
    <row r="329" spans="1:44">
      <c r="A329" s="741">
        <f>Gases!A336</f>
        <v>311</v>
      </c>
      <c r="B329" s="153"/>
      <c r="C329" s="153"/>
      <c r="D329" s="153"/>
      <c r="E329" s="153"/>
      <c r="F329" s="153"/>
      <c r="G329" s="153"/>
      <c r="H329" s="153"/>
      <c r="I329" s="153"/>
      <c r="J329" s="153"/>
      <c r="K329" s="153"/>
      <c r="L329" s="153"/>
      <c r="M329" s="153"/>
      <c r="N329" s="153"/>
      <c r="O329" s="153"/>
      <c r="P329" s="153"/>
      <c r="Q329" s="153"/>
      <c r="R329" s="153"/>
      <c r="S329" s="153"/>
      <c r="T329" s="153"/>
      <c r="U329" s="153"/>
      <c r="V329" s="153"/>
      <c r="W329" s="153"/>
      <c r="X329" s="153"/>
      <c r="Y329" s="153"/>
      <c r="Z329" s="153"/>
      <c r="AA329" s="153"/>
      <c r="AB329" s="153"/>
      <c r="AC329" s="153"/>
      <c r="AD329" s="153"/>
      <c r="AE329" s="153"/>
      <c r="AF329" s="153"/>
      <c r="AG329" s="153"/>
      <c r="AH329" s="153"/>
      <c r="AI329" s="153"/>
      <c r="AJ329" s="153"/>
      <c r="AK329" s="153"/>
      <c r="AL329" s="153"/>
      <c r="AM329" s="153"/>
      <c r="AN329" s="153"/>
      <c r="AO329" s="153"/>
      <c r="AP329" s="153"/>
      <c r="AQ329" s="153"/>
      <c r="AR329" s="153"/>
    </row>
    <row r="330" spans="1:44">
      <c r="A330" s="741">
        <f>Gases!A337</f>
        <v>312</v>
      </c>
      <c r="B330" s="153"/>
      <c r="C330" s="153"/>
      <c r="D330" s="153"/>
      <c r="E330" s="153"/>
      <c r="F330" s="153"/>
      <c r="G330" s="153"/>
      <c r="H330" s="153"/>
      <c r="I330" s="153"/>
      <c r="J330" s="153"/>
      <c r="K330" s="153"/>
      <c r="L330" s="153"/>
      <c r="M330" s="153"/>
      <c r="N330" s="153"/>
      <c r="O330" s="153"/>
      <c r="P330" s="153"/>
      <c r="Q330" s="153"/>
      <c r="R330" s="153"/>
      <c r="S330" s="153"/>
      <c r="T330" s="153"/>
      <c r="U330" s="153"/>
      <c r="V330" s="153"/>
      <c r="W330" s="153"/>
      <c r="X330" s="153"/>
      <c r="Y330" s="153"/>
      <c r="Z330" s="153"/>
      <c r="AA330" s="153"/>
      <c r="AB330" s="153"/>
      <c r="AC330" s="153"/>
      <c r="AD330" s="153"/>
      <c r="AE330" s="153"/>
      <c r="AF330" s="153"/>
      <c r="AG330" s="153"/>
      <c r="AH330" s="153"/>
      <c r="AI330" s="153"/>
      <c r="AJ330" s="153"/>
      <c r="AK330" s="153"/>
      <c r="AL330" s="153"/>
      <c r="AM330" s="153"/>
      <c r="AN330" s="153"/>
      <c r="AO330" s="153"/>
      <c r="AP330" s="153"/>
      <c r="AQ330" s="153"/>
      <c r="AR330" s="153"/>
    </row>
    <row r="331" spans="1:44">
      <c r="A331" s="741">
        <f>Gases!A338</f>
        <v>313</v>
      </c>
      <c r="B331" s="153"/>
      <c r="C331" s="153"/>
      <c r="D331" s="153"/>
      <c r="E331" s="153"/>
      <c r="F331" s="153"/>
      <c r="G331" s="153"/>
      <c r="H331" s="153"/>
      <c r="I331" s="153"/>
      <c r="J331" s="153"/>
      <c r="K331" s="153"/>
      <c r="L331" s="153"/>
      <c r="M331" s="153"/>
      <c r="N331" s="153"/>
      <c r="O331" s="153"/>
      <c r="P331" s="153"/>
      <c r="Q331" s="153"/>
      <c r="R331" s="153"/>
      <c r="S331" s="153"/>
      <c r="T331" s="153"/>
      <c r="U331" s="153"/>
      <c r="V331" s="153"/>
      <c r="W331" s="153"/>
      <c r="X331" s="153"/>
      <c r="Y331" s="153"/>
      <c r="Z331" s="153"/>
      <c r="AA331" s="153"/>
      <c r="AB331" s="153"/>
      <c r="AC331" s="153"/>
      <c r="AD331" s="153"/>
      <c r="AE331" s="153"/>
      <c r="AF331" s="153"/>
      <c r="AG331" s="153"/>
      <c r="AH331" s="153"/>
      <c r="AI331" s="153"/>
      <c r="AJ331" s="153"/>
      <c r="AK331" s="153"/>
      <c r="AL331" s="153"/>
      <c r="AM331" s="153"/>
      <c r="AN331" s="153"/>
      <c r="AO331" s="153"/>
      <c r="AP331" s="153"/>
      <c r="AQ331" s="153"/>
      <c r="AR331" s="153"/>
    </row>
    <row r="332" spans="1:44">
      <c r="A332" s="741">
        <f>Gases!A339</f>
        <v>314</v>
      </c>
      <c r="B332" s="153"/>
      <c r="C332" s="153"/>
      <c r="D332" s="153"/>
      <c r="E332" s="153"/>
      <c r="F332" s="153"/>
      <c r="G332" s="153"/>
      <c r="H332" s="153"/>
      <c r="I332" s="153"/>
      <c r="J332" s="153"/>
      <c r="K332" s="153"/>
      <c r="L332" s="153"/>
      <c r="M332" s="153"/>
      <c r="N332" s="153"/>
      <c r="O332" s="153"/>
      <c r="P332" s="153"/>
      <c r="Q332" s="153"/>
      <c r="R332" s="153"/>
      <c r="S332" s="153"/>
      <c r="T332" s="153"/>
      <c r="U332" s="153"/>
      <c r="V332" s="153"/>
      <c r="W332" s="153"/>
      <c r="X332" s="153"/>
      <c r="Y332" s="153"/>
      <c r="Z332" s="153"/>
      <c r="AA332" s="153"/>
      <c r="AB332" s="153"/>
      <c r="AC332" s="153"/>
      <c r="AD332" s="153"/>
      <c r="AE332" s="153"/>
      <c r="AF332" s="153"/>
      <c r="AG332" s="153"/>
      <c r="AH332" s="153"/>
      <c r="AI332" s="153"/>
      <c r="AJ332" s="153"/>
      <c r="AK332" s="153"/>
      <c r="AL332" s="153"/>
      <c r="AM332" s="153"/>
      <c r="AN332" s="153"/>
      <c r="AO332" s="153"/>
      <c r="AP332" s="153"/>
      <c r="AQ332" s="153"/>
      <c r="AR332" s="153"/>
    </row>
    <row r="333" spans="1:44">
      <c r="A333" s="741">
        <f>Gases!A340</f>
        <v>315</v>
      </c>
      <c r="B333" s="153"/>
      <c r="C333" s="153"/>
      <c r="D333" s="153"/>
      <c r="E333" s="153"/>
      <c r="F333" s="153"/>
      <c r="G333" s="153"/>
      <c r="H333" s="153"/>
      <c r="I333" s="153"/>
      <c r="J333" s="153"/>
      <c r="K333" s="153"/>
      <c r="L333" s="153"/>
      <c r="M333" s="153"/>
      <c r="N333" s="153"/>
      <c r="O333" s="153"/>
      <c r="P333" s="153"/>
      <c r="Q333" s="153"/>
      <c r="R333" s="153"/>
      <c r="S333" s="153"/>
      <c r="T333" s="153"/>
      <c r="U333" s="153"/>
      <c r="V333" s="153"/>
      <c r="W333" s="153"/>
      <c r="X333" s="153"/>
      <c r="Y333" s="153"/>
      <c r="Z333" s="153"/>
      <c r="AA333" s="153"/>
      <c r="AB333" s="153"/>
      <c r="AC333" s="153"/>
      <c r="AD333" s="153"/>
      <c r="AE333" s="153"/>
      <c r="AF333" s="153"/>
      <c r="AG333" s="153"/>
      <c r="AH333" s="153"/>
      <c r="AI333" s="153"/>
      <c r="AJ333" s="153"/>
      <c r="AK333" s="153"/>
      <c r="AL333" s="153"/>
      <c r="AM333" s="153"/>
      <c r="AN333" s="153"/>
      <c r="AO333" s="153"/>
      <c r="AP333" s="153"/>
      <c r="AQ333" s="153"/>
      <c r="AR333" s="153"/>
    </row>
    <row r="334" spans="1:44">
      <c r="A334" s="741">
        <f>Gases!A341</f>
        <v>316</v>
      </c>
      <c r="B334" s="153"/>
      <c r="C334" s="153"/>
      <c r="D334" s="153"/>
      <c r="E334" s="153"/>
      <c r="F334" s="153"/>
      <c r="G334" s="153"/>
      <c r="H334" s="153"/>
      <c r="I334" s="153"/>
      <c r="J334" s="153"/>
      <c r="K334" s="153"/>
      <c r="L334" s="153"/>
      <c r="M334" s="153"/>
      <c r="N334" s="153"/>
      <c r="O334" s="153"/>
      <c r="P334" s="153"/>
      <c r="Q334" s="153"/>
      <c r="R334" s="153"/>
      <c r="S334" s="153"/>
      <c r="T334" s="153"/>
      <c r="U334" s="153"/>
      <c r="V334" s="153"/>
      <c r="W334" s="153"/>
      <c r="X334" s="153"/>
      <c r="Y334" s="153"/>
      <c r="Z334" s="153"/>
      <c r="AA334" s="153"/>
      <c r="AB334" s="153"/>
      <c r="AC334" s="153"/>
      <c r="AD334" s="153"/>
      <c r="AE334" s="153"/>
      <c r="AF334" s="153"/>
      <c r="AG334" s="153"/>
      <c r="AH334" s="153"/>
      <c r="AI334" s="153"/>
      <c r="AJ334" s="153"/>
      <c r="AK334" s="153"/>
      <c r="AL334" s="153"/>
      <c r="AM334" s="153"/>
      <c r="AN334" s="153"/>
      <c r="AO334" s="153"/>
      <c r="AP334" s="153"/>
      <c r="AQ334" s="153"/>
      <c r="AR334" s="153"/>
    </row>
    <row r="335" spans="1:44">
      <c r="A335" s="741">
        <f>Gases!A342</f>
        <v>317</v>
      </c>
      <c r="B335" s="153"/>
      <c r="C335" s="153"/>
      <c r="D335" s="153"/>
      <c r="E335" s="153"/>
      <c r="F335" s="153"/>
      <c r="G335" s="153"/>
      <c r="H335" s="153"/>
      <c r="I335" s="153"/>
      <c r="J335" s="153"/>
      <c r="K335" s="153"/>
      <c r="L335" s="153"/>
      <c r="M335" s="153"/>
      <c r="N335" s="153"/>
      <c r="O335" s="153"/>
      <c r="P335" s="153"/>
      <c r="Q335" s="153"/>
      <c r="R335" s="153"/>
      <c r="S335" s="153"/>
      <c r="T335" s="153"/>
      <c r="U335" s="153"/>
      <c r="V335" s="153"/>
      <c r="W335" s="153"/>
      <c r="X335" s="153"/>
      <c r="Y335" s="153"/>
      <c r="Z335" s="153"/>
      <c r="AA335" s="153"/>
      <c r="AB335" s="153"/>
      <c r="AC335" s="153"/>
      <c r="AD335" s="153"/>
      <c r="AE335" s="153"/>
      <c r="AF335" s="153"/>
      <c r="AG335" s="153"/>
      <c r="AH335" s="153"/>
      <c r="AI335" s="153"/>
      <c r="AJ335" s="153"/>
      <c r="AK335" s="153"/>
      <c r="AL335" s="153"/>
      <c r="AM335" s="153"/>
      <c r="AN335" s="153"/>
      <c r="AO335" s="153"/>
      <c r="AP335" s="153"/>
      <c r="AQ335" s="153"/>
      <c r="AR335" s="153"/>
    </row>
    <row r="336" spans="1:44">
      <c r="A336" s="741">
        <f>Gases!A343</f>
        <v>318</v>
      </c>
      <c r="B336" s="153"/>
      <c r="C336" s="153"/>
      <c r="D336" s="153"/>
      <c r="E336" s="153"/>
      <c r="F336" s="153"/>
      <c r="G336" s="153"/>
      <c r="H336" s="153"/>
      <c r="I336" s="153"/>
      <c r="J336" s="153"/>
      <c r="K336" s="153"/>
      <c r="L336" s="153"/>
      <c r="M336" s="153"/>
      <c r="N336" s="153"/>
      <c r="O336" s="153"/>
      <c r="P336" s="153"/>
      <c r="Q336" s="153"/>
      <c r="R336" s="153"/>
      <c r="S336" s="153"/>
      <c r="T336" s="153"/>
      <c r="U336" s="153"/>
      <c r="V336" s="153"/>
      <c r="W336" s="153"/>
      <c r="X336" s="153"/>
      <c r="Y336" s="153"/>
      <c r="Z336" s="153"/>
      <c r="AA336" s="153"/>
      <c r="AB336" s="153"/>
      <c r="AC336" s="153"/>
      <c r="AD336" s="153"/>
      <c r="AE336" s="153"/>
      <c r="AF336" s="153"/>
      <c r="AG336" s="153"/>
      <c r="AH336" s="153"/>
      <c r="AI336" s="153"/>
      <c r="AJ336" s="153"/>
      <c r="AK336" s="153"/>
      <c r="AL336" s="153"/>
      <c r="AM336" s="153"/>
      <c r="AN336" s="153"/>
      <c r="AO336" s="153"/>
      <c r="AP336" s="153"/>
      <c r="AQ336" s="153"/>
      <c r="AR336" s="153"/>
    </row>
    <row r="337" spans="1:44">
      <c r="A337" s="741">
        <f>Gases!A344</f>
        <v>319</v>
      </c>
      <c r="B337" s="153"/>
      <c r="C337" s="153"/>
      <c r="D337" s="153"/>
      <c r="E337" s="153"/>
      <c r="F337" s="153"/>
      <c r="G337" s="153"/>
      <c r="H337" s="153"/>
      <c r="I337" s="153"/>
      <c r="J337" s="153"/>
      <c r="K337" s="153"/>
      <c r="L337" s="153"/>
      <c r="M337" s="153"/>
      <c r="N337" s="153"/>
      <c r="O337" s="153"/>
      <c r="P337" s="153"/>
      <c r="Q337" s="153"/>
      <c r="R337" s="153"/>
      <c r="S337" s="153"/>
      <c r="T337" s="153"/>
      <c r="U337" s="153"/>
      <c r="V337" s="153"/>
      <c r="W337" s="153"/>
      <c r="X337" s="153"/>
      <c r="Y337" s="153"/>
      <c r="Z337" s="153"/>
      <c r="AA337" s="153"/>
      <c r="AB337" s="153"/>
      <c r="AC337" s="153"/>
      <c r="AD337" s="153"/>
      <c r="AE337" s="153"/>
      <c r="AF337" s="153"/>
      <c r="AG337" s="153"/>
      <c r="AH337" s="153"/>
      <c r="AI337" s="153"/>
      <c r="AJ337" s="153"/>
      <c r="AK337" s="153"/>
      <c r="AL337" s="153"/>
      <c r="AM337" s="153"/>
      <c r="AN337" s="153"/>
      <c r="AO337" s="153"/>
      <c r="AP337" s="153"/>
      <c r="AQ337" s="153"/>
      <c r="AR337" s="153"/>
    </row>
    <row r="338" spans="1:44">
      <c r="A338" s="741">
        <f>Gases!A345</f>
        <v>320</v>
      </c>
      <c r="B338" s="153"/>
      <c r="C338" s="153"/>
      <c r="D338" s="153"/>
      <c r="E338" s="153"/>
      <c r="F338" s="153"/>
      <c r="G338" s="153"/>
      <c r="H338" s="153"/>
      <c r="I338" s="153"/>
      <c r="J338" s="153"/>
      <c r="K338" s="153"/>
      <c r="L338" s="153"/>
      <c r="M338" s="153"/>
      <c r="N338" s="153"/>
      <c r="O338" s="153"/>
      <c r="P338" s="153"/>
      <c r="Q338" s="153"/>
      <c r="R338" s="153"/>
      <c r="S338" s="153"/>
      <c r="T338" s="153"/>
      <c r="U338" s="153"/>
      <c r="V338" s="153"/>
      <c r="W338" s="153"/>
      <c r="X338" s="153"/>
      <c r="Y338" s="153"/>
      <c r="Z338" s="153"/>
      <c r="AA338" s="153"/>
      <c r="AB338" s="153"/>
      <c r="AC338" s="153"/>
      <c r="AD338" s="153"/>
      <c r="AE338" s="153"/>
      <c r="AF338" s="153"/>
      <c r="AG338" s="153"/>
      <c r="AH338" s="153"/>
      <c r="AI338" s="153"/>
      <c r="AJ338" s="153"/>
      <c r="AK338" s="153"/>
      <c r="AL338" s="153"/>
      <c r="AM338" s="153"/>
      <c r="AN338" s="153"/>
      <c r="AO338" s="153"/>
      <c r="AP338" s="153"/>
      <c r="AQ338" s="153"/>
      <c r="AR338" s="153"/>
    </row>
    <row r="339" spans="1:44">
      <c r="A339" s="741">
        <f>Gases!A346</f>
        <v>321</v>
      </c>
      <c r="B339" s="153"/>
      <c r="C339" s="153"/>
      <c r="D339" s="153"/>
      <c r="E339" s="153"/>
      <c r="F339" s="153"/>
      <c r="G339" s="153"/>
      <c r="H339" s="153"/>
      <c r="I339" s="153"/>
      <c r="J339" s="153"/>
      <c r="K339" s="153"/>
      <c r="L339" s="153"/>
      <c r="M339" s="153"/>
      <c r="N339" s="153"/>
      <c r="O339" s="153"/>
      <c r="P339" s="153"/>
      <c r="Q339" s="153"/>
      <c r="R339" s="153"/>
      <c r="S339" s="153"/>
      <c r="T339" s="153"/>
      <c r="U339" s="153"/>
      <c r="V339" s="153"/>
      <c r="W339" s="153"/>
      <c r="X339" s="153"/>
      <c r="Y339" s="153"/>
      <c r="Z339" s="153"/>
      <c r="AA339" s="153"/>
      <c r="AB339" s="153"/>
      <c r="AC339" s="153"/>
      <c r="AD339" s="153"/>
      <c r="AE339" s="153"/>
      <c r="AF339" s="153"/>
      <c r="AG339" s="153"/>
      <c r="AH339" s="153"/>
      <c r="AI339" s="153"/>
      <c r="AJ339" s="153"/>
      <c r="AK339" s="153"/>
      <c r="AL339" s="153"/>
      <c r="AM339" s="153"/>
      <c r="AN339" s="153"/>
      <c r="AO339" s="153"/>
      <c r="AP339" s="153"/>
      <c r="AQ339" s="153"/>
      <c r="AR339" s="153"/>
    </row>
    <row r="340" spans="1:44">
      <c r="A340" s="741">
        <f>Gases!A347</f>
        <v>322</v>
      </c>
      <c r="B340" s="153"/>
      <c r="C340" s="153"/>
      <c r="D340" s="153"/>
      <c r="E340" s="153"/>
      <c r="F340" s="153"/>
      <c r="G340" s="153"/>
      <c r="H340" s="153"/>
      <c r="I340" s="153"/>
      <c r="J340" s="153"/>
      <c r="K340" s="153"/>
      <c r="L340" s="153"/>
      <c r="M340" s="153"/>
      <c r="N340" s="153"/>
      <c r="O340" s="153"/>
      <c r="P340" s="153"/>
      <c r="Q340" s="153"/>
      <c r="R340" s="153"/>
      <c r="S340" s="153"/>
      <c r="T340" s="153"/>
      <c r="U340" s="153"/>
      <c r="V340" s="153"/>
      <c r="W340" s="153"/>
      <c r="X340" s="153"/>
      <c r="Y340" s="153"/>
      <c r="Z340" s="153"/>
      <c r="AA340" s="153"/>
      <c r="AB340" s="153"/>
      <c r="AC340" s="153"/>
      <c r="AD340" s="153"/>
      <c r="AE340" s="153"/>
      <c r="AF340" s="153"/>
      <c r="AG340" s="153"/>
      <c r="AH340" s="153"/>
      <c r="AI340" s="153"/>
      <c r="AJ340" s="153"/>
      <c r="AK340" s="153"/>
      <c r="AL340" s="153"/>
      <c r="AM340" s="153"/>
      <c r="AN340" s="153"/>
      <c r="AO340" s="153"/>
      <c r="AP340" s="153"/>
      <c r="AQ340" s="153"/>
      <c r="AR340" s="153"/>
    </row>
    <row r="341" spans="1:44">
      <c r="A341" s="741">
        <f>Gases!A348</f>
        <v>323</v>
      </c>
      <c r="B341" s="153"/>
      <c r="C341" s="153"/>
      <c r="D341" s="153"/>
      <c r="E341" s="153"/>
      <c r="F341" s="153"/>
      <c r="G341" s="153"/>
      <c r="H341" s="153"/>
      <c r="I341" s="153"/>
      <c r="J341" s="153"/>
      <c r="K341" s="153"/>
      <c r="L341" s="153"/>
      <c r="M341" s="153"/>
      <c r="N341" s="153"/>
      <c r="O341" s="153"/>
      <c r="P341" s="153"/>
      <c r="Q341" s="153"/>
      <c r="R341" s="153"/>
      <c r="S341" s="153"/>
      <c r="T341" s="153"/>
      <c r="U341" s="153"/>
      <c r="V341" s="153"/>
      <c r="W341" s="153"/>
      <c r="X341" s="153"/>
      <c r="Y341" s="153"/>
      <c r="Z341" s="153"/>
      <c r="AA341" s="153"/>
      <c r="AB341" s="153"/>
      <c r="AC341" s="153"/>
      <c r="AD341" s="153"/>
      <c r="AE341" s="153"/>
      <c r="AF341" s="153"/>
      <c r="AG341" s="153"/>
      <c r="AH341" s="153"/>
      <c r="AI341" s="153"/>
      <c r="AJ341" s="153"/>
      <c r="AK341" s="153"/>
      <c r="AL341" s="153"/>
      <c r="AM341" s="153"/>
      <c r="AN341" s="153"/>
      <c r="AO341" s="153"/>
      <c r="AP341" s="153"/>
      <c r="AQ341" s="153"/>
      <c r="AR341" s="153"/>
    </row>
    <row r="342" spans="1:44">
      <c r="A342" s="741">
        <f>Gases!A349</f>
        <v>324</v>
      </c>
      <c r="B342" s="153"/>
      <c r="C342" s="153"/>
      <c r="D342" s="153"/>
      <c r="E342" s="153"/>
      <c r="F342" s="153"/>
      <c r="G342" s="153"/>
      <c r="H342" s="153"/>
      <c r="I342" s="153"/>
      <c r="J342" s="153"/>
      <c r="K342" s="153"/>
      <c r="L342" s="153"/>
      <c r="M342" s="153"/>
      <c r="N342" s="153"/>
      <c r="O342" s="153"/>
      <c r="P342" s="153"/>
      <c r="Q342" s="153"/>
      <c r="R342" s="153"/>
      <c r="S342" s="153"/>
      <c r="T342" s="153"/>
      <c r="U342" s="153"/>
      <c r="V342" s="153"/>
      <c r="W342" s="153"/>
      <c r="X342" s="153"/>
      <c r="Y342" s="153"/>
      <c r="Z342" s="153"/>
      <c r="AA342" s="153"/>
      <c r="AB342" s="153"/>
      <c r="AC342" s="153"/>
      <c r="AD342" s="153"/>
      <c r="AE342" s="153"/>
      <c r="AF342" s="153"/>
      <c r="AG342" s="153"/>
      <c r="AH342" s="153"/>
      <c r="AI342" s="153"/>
      <c r="AJ342" s="153"/>
      <c r="AK342" s="153"/>
      <c r="AL342" s="153"/>
      <c r="AM342" s="153"/>
      <c r="AN342" s="153"/>
      <c r="AO342" s="153"/>
      <c r="AP342" s="153"/>
      <c r="AQ342" s="153"/>
      <c r="AR342" s="153"/>
    </row>
    <row r="343" spans="1:44">
      <c r="A343" s="741">
        <f>Gases!A350</f>
        <v>325</v>
      </c>
      <c r="B343" s="153"/>
      <c r="C343" s="153"/>
      <c r="D343" s="153"/>
      <c r="E343" s="153"/>
      <c r="F343" s="153"/>
      <c r="G343" s="153"/>
      <c r="H343" s="153"/>
      <c r="I343" s="153"/>
      <c r="J343" s="153"/>
      <c r="K343" s="153"/>
      <c r="L343" s="153"/>
      <c r="M343" s="153"/>
      <c r="N343" s="153"/>
      <c r="O343" s="153"/>
      <c r="P343" s="153"/>
      <c r="Q343" s="153"/>
      <c r="R343" s="153"/>
      <c r="S343" s="153"/>
      <c r="T343" s="153"/>
      <c r="U343" s="153"/>
      <c r="V343" s="153"/>
      <c r="W343" s="153"/>
      <c r="X343" s="153"/>
      <c r="Y343" s="153"/>
      <c r="Z343" s="153"/>
      <c r="AA343" s="153"/>
      <c r="AB343" s="153"/>
      <c r="AC343" s="153"/>
      <c r="AD343" s="153"/>
      <c r="AE343" s="153"/>
      <c r="AF343" s="153"/>
      <c r="AG343" s="153"/>
      <c r="AH343" s="153"/>
      <c r="AI343" s="153"/>
      <c r="AJ343" s="153"/>
      <c r="AK343" s="153"/>
      <c r="AL343" s="153"/>
      <c r="AM343" s="153"/>
      <c r="AN343" s="153"/>
      <c r="AO343" s="153"/>
      <c r="AP343" s="153"/>
      <c r="AQ343" s="153"/>
      <c r="AR343" s="153"/>
    </row>
    <row r="344" spans="1:44">
      <c r="A344" s="741">
        <f>Gases!A351</f>
        <v>326</v>
      </c>
      <c r="B344" s="153"/>
      <c r="C344" s="153"/>
      <c r="D344" s="153"/>
      <c r="E344" s="153"/>
      <c r="F344" s="153"/>
      <c r="G344" s="153"/>
      <c r="H344" s="153"/>
      <c r="I344" s="153"/>
      <c r="J344" s="153"/>
      <c r="K344" s="153"/>
      <c r="L344" s="153"/>
      <c r="M344" s="153"/>
      <c r="N344" s="153"/>
      <c r="O344" s="153"/>
      <c r="P344" s="153"/>
      <c r="Q344" s="153"/>
      <c r="R344" s="153"/>
      <c r="S344" s="153"/>
      <c r="T344" s="153"/>
      <c r="U344" s="153"/>
      <c r="V344" s="153"/>
      <c r="W344" s="153"/>
      <c r="X344" s="153"/>
      <c r="Y344" s="153"/>
      <c r="Z344" s="153"/>
      <c r="AA344" s="153"/>
      <c r="AB344" s="153"/>
      <c r="AC344" s="153"/>
      <c r="AD344" s="153"/>
      <c r="AE344" s="153"/>
      <c r="AF344" s="153"/>
      <c r="AG344" s="153"/>
      <c r="AH344" s="153"/>
      <c r="AI344" s="153"/>
      <c r="AJ344" s="153"/>
      <c r="AK344" s="153"/>
      <c r="AL344" s="153"/>
      <c r="AM344" s="153"/>
      <c r="AN344" s="153"/>
      <c r="AO344" s="153"/>
      <c r="AP344" s="153"/>
      <c r="AQ344" s="153"/>
      <c r="AR344" s="153"/>
    </row>
    <row r="345" spans="1:44">
      <c r="A345" s="741">
        <f>Gases!A352</f>
        <v>327</v>
      </c>
      <c r="B345" s="153"/>
      <c r="C345" s="153"/>
      <c r="D345" s="153"/>
      <c r="E345" s="153"/>
      <c r="F345" s="153"/>
      <c r="G345" s="153"/>
      <c r="H345" s="153"/>
      <c r="I345" s="153"/>
      <c r="J345" s="153"/>
      <c r="K345" s="153"/>
      <c r="L345" s="153"/>
      <c r="M345" s="153"/>
      <c r="N345" s="153"/>
      <c r="O345" s="153"/>
      <c r="P345" s="153"/>
      <c r="Q345" s="153"/>
      <c r="R345" s="153"/>
      <c r="S345" s="153"/>
      <c r="T345" s="153"/>
      <c r="U345" s="153"/>
      <c r="V345" s="153"/>
      <c r="W345" s="153"/>
      <c r="X345" s="153"/>
      <c r="Y345" s="153"/>
      <c r="Z345" s="153"/>
      <c r="AA345" s="153"/>
      <c r="AB345" s="153"/>
      <c r="AC345" s="153"/>
      <c r="AD345" s="153"/>
      <c r="AE345" s="153"/>
      <c r="AF345" s="153"/>
      <c r="AG345" s="153"/>
      <c r="AH345" s="153"/>
      <c r="AI345" s="153"/>
      <c r="AJ345" s="153"/>
      <c r="AK345" s="153"/>
      <c r="AL345" s="153"/>
      <c r="AM345" s="153"/>
      <c r="AN345" s="153"/>
      <c r="AO345" s="153"/>
      <c r="AP345" s="153"/>
      <c r="AQ345" s="153"/>
      <c r="AR345" s="153"/>
    </row>
    <row r="346" spans="1:44">
      <c r="A346" s="741">
        <f>Gases!A353</f>
        <v>328</v>
      </c>
      <c r="B346" s="153"/>
      <c r="C346" s="153"/>
      <c r="D346" s="153"/>
      <c r="E346" s="153"/>
      <c r="F346" s="153"/>
      <c r="G346" s="153"/>
      <c r="H346" s="153"/>
      <c r="I346" s="153"/>
      <c r="J346" s="153"/>
      <c r="K346" s="153"/>
      <c r="L346" s="153"/>
      <c r="M346" s="153"/>
      <c r="N346" s="153"/>
      <c r="O346" s="153"/>
      <c r="P346" s="153"/>
      <c r="Q346" s="153"/>
      <c r="R346" s="153"/>
      <c r="S346" s="153"/>
      <c r="T346" s="153"/>
      <c r="U346" s="153"/>
      <c r="V346" s="153"/>
      <c r="W346" s="153"/>
      <c r="X346" s="153"/>
      <c r="Y346" s="153"/>
      <c r="Z346" s="153"/>
      <c r="AA346" s="153"/>
      <c r="AB346" s="153"/>
      <c r="AC346" s="153"/>
      <c r="AD346" s="153"/>
      <c r="AE346" s="153"/>
      <c r="AF346" s="153"/>
      <c r="AG346" s="153"/>
      <c r="AH346" s="153"/>
      <c r="AI346" s="153"/>
      <c r="AJ346" s="153"/>
      <c r="AK346" s="153"/>
      <c r="AL346" s="153"/>
      <c r="AM346" s="153"/>
      <c r="AN346" s="153"/>
      <c r="AO346" s="153"/>
      <c r="AP346" s="153"/>
      <c r="AQ346" s="153"/>
      <c r="AR346" s="153"/>
    </row>
    <row r="347" spans="1:44">
      <c r="A347" s="741">
        <f>Gases!A354</f>
        <v>329</v>
      </c>
      <c r="B347" s="153"/>
      <c r="C347" s="153"/>
      <c r="D347" s="153"/>
      <c r="E347" s="153"/>
      <c r="F347" s="153"/>
      <c r="G347" s="153"/>
      <c r="H347" s="153"/>
      <c r="I347" s="153"/>
      <c r="J347" s="153"/>
      <c r="K347" s="153"/>
      <c r="L347" s="153"/>
      <c r="M347" s="153"/>
      <c r="N347" s="153"/>
      <c r="O347" s="153"/>
      <c r="P347" s="153"/>
      <c r="Q347" s="153"/>
      <c r="R347" s="153"/>
      <c r="S347" s="153"/>
      <c r="T347" s="153"/>
      <c r="U347" s="153"/>
      <c r="V347" s="153"/>
      <c r="W347" s="153"/>
      <c r="X347" s="153"/>
      <c r="Y347" s="153"/>
      <c r="Z347" s="153"/>
      <c r="AA347" s="153"/>
      <c r="AB347" s="153"/>
      <c r="AC347" s="153"/>
      <c r="AD347" s="153"/>
      <c r="AE347" s="153"/>
      <c r="AF347" s="153"/>
      <c r="AG347" s="153"/>
      <c r="AH347" s="153"/>
      <c r="AI347" s="153"/>
      <c r="AJ347" s="153"/>
      <c r="AK347" s="153"/>
      <c r="AL347" s="153"/>
      <c r="AM347" s="153"/>
      <c r="AN347" s="153"/>
      <c r="AO347" s="153"/>
      <c r="AP347" s="153"/>
      <c r="AQ347" s="153"/>
      <c r="AR347" s="153"/>
    </row>
    <row r="348" spans="1:44">
      <c r="A348" s="741">
        <f>Gases!A355</f>
        <v>330</v>
      </c>
      <c r="B348" s="153"/>
      <c r="C348" s="153"/>
      <c r="D348" s="153"/>
      <c r="E348" s="153"/>
      <c r="F348" s="153"/>
      <c r="G348" s="153"/>
      <c r="H348" s="153"/>
      <c r="I348" s="153"/>
      <c r="J348" s="153"/>
      <c r="K348" s="153"/>
      <c r="L348" s="153"/>
      <c r="M348" s="153"/>
      <c r="N348" s="153"/>
      <c r="O348" s="153"/>
      <c r="P348" s="153"/>
      <c r="Q348" s="153"/>
      <c r="R348" s="153"/>
      <c r="S348" s="153"/>
      <c r="T348" s="153"/>
      <c r="U348" s="153"/>
      <c r="V348" s="153"/>
      <c r="W348" s="153"/>
      <c r="X348" s="153"/>
      <c r="Y348" s="153"/>
      <c r="Z348" s="153"/>
      <c r="AA348" s="153"/>
      <c r="AB348" s="153"/>
      <c r="AC348" s="153"/>
      <c r="AD348" s="153"/>
      <c r="AE348" s="153"/>
      <c r="AF348" s="153"/>
      <c r="AG348" s="153"/>
      <c r="AH348" s="153"/>
      <c r="AI348" s="153"/>
      <c r="AJ348" s="153"/>
      <c r="AK348" s="153"/>
      <c r="AL348" s="153"/>
      <c r="AM348" s="153"/>
      <c r="AN348" s="153"/>
      <c r="AO348" s="153"/>
      <c r="AP348" s="153"/>
      <c r="AQ348" s="153"/>
      <c r="AR348" s="153"/>
    </row>
    <row r="349" spans="1:44">
      <c r="A349" s="741">
        <f>Gases!A356</f>
        <v>331</v>
      </c>
      <c r="B349" s="153"/>
      <c r="C349" s="153"/>
      <c r="D349" s="153"/>
      <c r="E349" s="153"/>
      <c r="F349" s="153"/>
      <c r="G349" s="153"/>
      <c r="H349" s="153"/>
      <c r="I349" s="153"/>
      <c r="J349" s="153"/>
      <c r="K349" s="153"/>
      <c r="L349" s="153"/>
      <c r="M349" s="153"/>
      <c r="N349" s="153"/>
      <c r="O349" s="153"/>
      <c r="P349" s="153"/>
      <c r="Q349" s="153"/>
      <c r="R349" s="153"/>
      <c r="S349" s="153"/>
      <c r="T349" s="153"/>
      <c r="U349" s="153"/>
      <c r="V349" s="153"/>
      <c r="W349" s="153"/>
      <c r="X349" s="153"/>
      <c r="Y349" s="153"/>
      <c r="Z349" s="153"/>
      <c r="AA349" s="153"/>
      <c r="AB349" s="153"/>
      <c r="AC349" s="153"/>
      <c r="AD349" s="153"/>
      <c r="AE349" s="153"/>
      <c r="AF349" s="153"/>
      <c r="AG349" s="153"/>
      <c r="AH349" s="153"/>
      <c r="AI349" s="153"/>
      <c r="AJ349" s="153"/>
      <c r="AK349" s="153"/>
      <c r="AL349" s="153"/>
      <c r="AM349" s="153"/>
      <c r="AN349" s="153"/>
      <c r="AO349" s="153"/>
      <c r="AP349" s="153"/>
      <c r="AQ349" s="153"/>
      <c r="AR349" s="153"/>
    </row>
    <row r="350" spans="1:44">
      <c r="A350" s="741">
        <f>Gases!A357</f>
        <v>332</v>
      </c>
      <c r="B350" s="153"/>
      <c r="C350" s="153"/>
      <c r="D350" s="153"/>
      <c r="E350" s="153"/>
      <c r="F350" s="153"/>
      <c r="G350" s="153"/>
      <c r="H350" s="153"/>
      <c r="I350" s="153"/>
      <c r="J350" s="153"/>
      <c r="K350" s="153"/>
      <c r="L350" s="153"/>
      <c r="M350" s="153"/>
      <c r="N350" s="153"/>
      <c r="O350" s="153"/>
      <c r="P350" s="153"/>
      <c r="Q350" s="153"/>
      <c r="R350" s="153"/>
      <c r="S350" s="153"/>
      <c r="T350" s="153"/>
      <c r="U350" s="153"/>
      <c r="V350" s="153"/>
      <c r="W350" s="153"/>
      <c r="X350" s="153"/>
      <c r="Y350" s="153"/>
      <c r="Z350" s="153"/>
      <c r="AA350" s="153"/>
      <c r="AB350" s="153"/>
      <c r="AC350" s="153"/>
      <c r="AD350" s="153"/>
      <c r="AE350" s="153"/>
      <c r="AF350" s="153"/>
      <c r="AG350" s="153"/>
      <c r="AH350" s="153"/>
      <c r="AI350" s="153"/>
      <c r="AJ350" s="153"/>
      <c r="AK350" s="153"/>
      <c r="AL350" s="153"/>
      <c r="AM350" s="153"/>
      <c r="AN350" s="153"/>
      <c r="AO350" s="153"/>
      <c r="AP350" s="153"/>
      <c r="AQ350" s="153"/>
      <c r="AR350" s="153"/>
    </row>
    <row r="351" spans="1:44">
      <c r="A351" s="741">
        <f>Gases!A358</f>
        <v>333</v>
      </c>
      <c r="B351" s="153"/>
      <c r="C351" s="153"/>
      <c r="D351" s="153"/>
      <c r="E351" s="153"/>
      <c r="F351" s="153"/>
      <c r="G351" s="153"/>
      <c r="H351" s="153"/>
      <c r="I351" s="153"/>
      <c r="J351" s="153"/>
      <c r="K351" s="153"/>
      <c r="L351" s="153"/>
      <c r="M351" s="153"/>
      <c r="N351" s="153"/>
      <c r="O351" s="153"/>
      <c r="P351" s="153"/>
      <c r="Q351" s="153"/>
      <c r="R351" s="153"/>
      <c r="S351" s="153"/>
      <c r="T351" s="153"/>
      <c r="U351" s="153"/>
      <c r="V351" s="153"/>
      <c r="W351" s="153"/>
      <c r="X351" s="153"/>
      <c r="Y351" s="153"/>
      <c r="Z351" s="153"/>
      <c r="AA351" s="153"/>
      <c r="AB351" s="153"/>
      <c r="AC351" s="153"/>
      <c r="AD351" s="153"/>
      <c r="AE351" s="153"/>
      <c r="AF351" s="153"/>
      <c r="AG351" s="153"/>
      <c r="AH351" s="153"/>
      <c r="AI351" s="153"/>
      <c r="AJ351" s="153"/>
      <c r="AK351" s="153"/>
      <c r="AL351" s="153"/>
      <c r="AM351" s="153"/>
      <c r="AN351" s="153"/>
      <c r="AO351" s="153"/>
      <c r="AP351" s="153"/>
      <c r="AQ351" s="153"/>
      <c r="AR351" s="153"/>
    </row>
    <row r="352" spans="1:44">
      <c r="A352" s="741">
        <f>Gases!A359</f>
        <v>334</v>
      </c>
      <c r="B352" s="153"/>
      <c r="C352" s="153"/>
      <c r="D352" s="153"/>
      <c r="E352" s="153"/>
      <c r="F352" s="153"/>
      <c r="G352" s="153"/>
      <c r="H352" s="153"/>
      <c r="I352" s="153"/>
      <c r="J352" s="153"/>
      <c r="K352" s="153"/>
      <c r="L352" s="153"/>
      <c r="M352" s="153"/>
      <c r="N352" s="153"/>
      <c r="O352" s="153"/>
      <c r="P352" s="153"/>
      <c r="Q352" s="153"/>
      <c r="R352" s="153"/>
      <c r="S352" s="153"/>
      <c r="T352" s="153"/>
      <c r="U352" s="153"/>
      <c r="V352" s="153"/>
      <c r="W352" s="153"/>
      <c r="X352" s="153"/>
      <c r="Y352" s="153"/>
      <c r="Z352" s="153"/>
      <c r="AA352" s="153"/>
      <c r="AB352" s="153"/>
      <c r="AC352" s="153"/>
      <c r="AD352" s="153"/>
      <c r="AE352" s="153"/>
      <c r="AF352" s="153"/>
      <c r="AG352" s="153"/>
      <c r="AH352" s="153"/>
      <c r="AI352" s="153"/>
      <c r="AJ352" s="153"/>
      <c r="AK352" s="153"/>
      <c r="AL352" s="153"/>
      <c r="AM352" s="153"/>
      <c r="AN352" s="153"/>
      <c r="AO352" s="153"/>
      <c r="AP352" s="153"/>
      <c r="AQ352" s="153"/>
      <c r="AR352" s="153"/>
    </row>
    <row r="353" spans="1:44">
      <c r="A353" s="741">
        <f>Gases!A360</f>
        <v>335</v>
      </c>
      <c r="B353" s="153"/>
      <c r="C353" s="153"/>
      <c r="D353" s="153"/>
      <c r="E353" s="153"/>
      <c r="F353" s="153"/>
      <c r="G353" s="153"/>
      <c r="H353" s="153"/>
      <c r="I353" s="153"/>
      <c r="J353" s="153"/>
      <c r="K353" s="153"/>
      <c r="L353" s="153"/>
      <c r="M353" s="153"/>
      <c r="N353" s="153"/>
      <c r="O353" s="153"/>
      <c r="P353" s="153"/>
      <c r="Q353" s="153"/>
      <c r="R353" s="153"/>
      <c r="S353" s="153"/>
      <c r="T353" s="153"/>
      <c r="U353" s="153"/>
      <c r="V353" s="153"/>
      <c r="W353" s="153"/>
      <c r="X353" s="153"/>
      <c r="Y353" s="153"/>
      <c r="Z353" s="153"/>
      <c r="AA353" s="153"/>
      <c r="AB353" s="153"/>
      <c r="AC353" s="153"/>
      <c r="AD353" s="153"/>
      <c r="AE353" s="153"/>
      <c r="AF353" s="153"/>
      <c r="AG353" s="153"/>
      <c r="AH353" s="153"/>
      <c r="AI353" s="153"/>
      <c r="AJ353" s="153"/>
      <c r="AK353" s="153"/>
      <c r="AL353" s="153"/>
      <c r="AM353" s="153"/>
      <c r="AN353" s="153"/>
      <c r="AO353" s="153"/>
      <c r="AP353" s="153"/>
      <c r="AQ353" s="153"/>
      <c r="AR353" s="153"/>
    </row>
    <row r="354" spans="1:44">
      <c r="A354" s="741">
        <f>Gases!A361</f>
        <v>336</v>
      </c>
      <c r="B354" s="153"/>
      <c r="C354" s="153"/>
      <c r="D354" s="153"/>
      <c r="E354" s="153"/>
      <c r="F354" s="153"/>
      <c r="G354" s="153"/>
      <c r="H354" s="153"/>
      <c r="I354" s="153"/>
      <c r="J354" s="153"/>
      <c r="K354" s="153"/>
      <c r="L354" s="153"/>
      <c r="M354" s="153"/>
      <c r="N354" s="153"/>
      <c r="O354" s="153"/>
      <c r="P354" s="153"/>
      <c r="Q354" s="153"/>
      <c r="R354" s="153"/>
      <c r="S354" s="153"/>
      <c r="T354" s="153"/>
      <c r="U354" s="153"/>
      <c r="V354" s="153"/>
      <c r="W354" s="153"/>
      <c r="X354" s="153"/>
      <c r="Y354" s="153"/>
      <c r="Z354" s="153"/>
      <c r="AA354" s="153"/>
      <c r="AB354" s="153"/>
      <c r="AC354" s="153"/>
      <c r="AD354" s="153"/>
      <c r="AE354" s="153"/>
      <c r="AF354" s="153"/>
      <c r="AG354" s="153"/>
      <c r="AH354" s="153"/>
      <c r="AI354" s="153"/>
      <c r="AJ354" s="153"/>
      <c r="AK354" s="153"/>
      <c r="AL354" s="153"/>
      <c r="AM354" s="153"/>
      <c r="AN354" s="153"/>
      <c r="AO354" s="153"/>
      <c r="AP354" s="153"/>
      <c r="AQ354" s="153"/>
      <c r="AR354" s="153"/>
    </row>
    <row r="355" spans="1:44">
      <c r="A355" s="741">
        <f>Gases!A362</f>
        <v>337</v>
      </c>
      <c r="B355" s="153"/>
      <c r="C355" s="153"/>
      <c r="D355" s="153"/>
      <c r="E355" s="153"/>
      <c r="F355" s="153"/>
      <c r="G355" s="153"/>
      <c r="H355" s="153"/>
      <c r="I355" s="153"/>
      <c r="J355" s="153"/>
      <c r="K355" s="153"/>
      <c r="L355" s="153"/>
      <c r="M355" s="153"/>
      <c r="N355" s="153"/>
      <c r="O355" s="153"/>
      <c r="P355" s="153"/>
      <c r="Q355" s="153"/>
      <c r="R355" s="153"/>
      <c r="S355" s="153"/>
      <c r="T355" s="153"/>
      <c r="U355" s="153"/>
      <c r="V355" s="153"/>
      <c r="W355" s="153"/>
      <c r="X355" s="153"/>
      <c r="Y355" s="153"/>
      <c r="Z355" s="153"/>
      <c r="AA355" s="153"/>
      <c r="AB355" s="153"/>
      <c r="AC355" s="153"/>
      <c r="AD355" s="153"/>
      <c r="AE355" s="153"/>
      <c r="AF355" s="153"/>
      <c r="AG355" s="153"/>
      <c r="AH355" s="153"/>
      <c r="AI355" s="153"/>
      <c r="AJ355" s="153"/>
      <c r="AK355" s="153"/>
      <c r="AL355" s="153"/>
      <c r="AM355" s="153"/>
      <c r="AN355" s="153"/>
      <c r="AO355" s="153"/>
      <c r="AP355" s="153"/>
      <c r="AQ355" s="153"/>
      <c r="AR355" s="153"/>
    </row>
    <row r="356" spans="1:44">
      <c r="A356" s="741">
        <f>Gases!A363</f>
        <v>338</v>
      </c>
      <c r="B356" s="153"/>
      <c r="C356" s="153"/>
      <c r="D356" s="153"/>
      <c r="E356" s="153"/>
      <c r="F356" s="153"/>
      <c r="G356" s="153"/>
      <c r="H356" s="153"/>
      <c r="I356" s="153"/>
      <c r="J356" s="153"/>
      <c r="K356" s="153"/>
      <c r="L356" s="153"/>
      <c r="M356" s="153"/>
      <c r="N356" s="153"/>
      <c r="O356" s="153"/>
      <c r="P356" s="153"/>
      <c r="Q356" s="153"/>
      <c r="R356" s="153"/>
      <c r="S356" s="153"/>
      <c r="T356" s="153"/>
      <c r="U356" s="153"/>
      <c r="V356" s="153"/>
      <c r="W356" s="153"/>
      <c r="X356" s="153"/>
      <c r="Y356" s="153"/>
      <c r="Z356" s="153"/>
      <c r="AA356" s="153"/>
      <c r="AB356" s="153"/>
      <c r="AC356" s="153"/>
      <c r="AD356" s="153"/>
      <c r="AE356" s="153"/>
      <c r="AF356" s="153"/>
      <c r="AG356" s="153"/>
      <c r="AH356" s="153"/>
      <c r="AI356" s="153"/>
      <c r="AJ356" s="153"/>
      <c r="AK356" s="153"/>
      <c r="AL356" s="153"/>
      <c r="AM356" s="153"/>
      <c r="AN356" s="153"/>
      <c r="AO356" s="153"/>
      <c r="AP356" s="153"/>
      <c r="AQ356" s="153"/>
      <c r="AR356" s="153"/>
    </row>
    <row r="357" spans="1:44">
      <c r="A357" s="741">
        <f>Gases!A364</f>
        <v>339</v>
      </c>
      <c r="B357" s="153"/>
      <c r="C357" s="153"/>
      <c r="D357" s="153"/>
      <c r="E357" s="153"/>
      <c r="F357" s="153"/>
      <c r="G357" s="153"/>
      <c r="H357" s="153"/>
      <c r="I357" s="153"/>
      <c r="J357" s="153"/>
      <c r="K357" s="153"/>
      <c r="L357" s="153"/>
      <c r="M357" s="153"/>
      <c r="N357" s="153"/>
      <c r="O357" s="153"/>
      <c r="P357" s="153"/>
      <c r="Q357" s="153"/>
      <c r="R357" s="153"/>
      <c r="S357" s="153"/>
      <c r="T357" s="153"/>
      <c r="U357" s="153"/>
      <c r="V357" s="153"/>
      <c r="W357" s="153"/>
      <c r="X357" s="153"/>
      <c r="Y357" s="153"/>
      <c r="Z357" s="153"/>
      <c r="AA357" s="153"/>
      <c r="AB357" s="153"/>
      <c r="AC357" s="153"/>
      <c r="AD357" s="153"/>
      <c r="AE357" s="153"/>
      <c r="AF357" s="153"/>
      <c r="AG357" s="153"/>
      <c r="AH357" s="153"/>
      <c r="AI357" s="153"/>
      <c r="AJ357" s="153"/>
      <c r="AK357" s="153"/>
      <c r="AL357" s="153"/>
      <c r="AM357" s="153"/>
      <c r="AN357" s="153"/>
      <c r="AO357" s="153"/>
      <c r="AP357" s="153"/>
      <c r="AQ357" s="153"/>
      <c r="AR357" s="153"/>
    </row>
    <row r="358" spans="1:44">
      <c r="A358" s="741">
        <f>Gases!A365</f>
        <v>340</v>
      </c>
      <c r="B358" s="153"/>
      <c r="C358" s="153"/>
      <c r="D358" s="153"/>
      <c r="E358" s="153"/>
      <c r="F358" s="153"/>
      <c r="G358" s="153"/>
      <c r="H358" s="153"/>
      <c r="I358" s="153"/>
      <c r="J358" s="153"/>
      <c r="K358" s="153"/>
      <c r="L358" s="153"/>
      <c r="M358" s="153"/>
      <c r="N358" s="153"/>
      <c r="O358" s="153"/>
      <c r="P358" s="153"/>
      <c r="Q358" s="153"/>
      <c r="R358" s="153"/>
      <c r="S358" s="153"/>
      <c r="T358" s="153"/>
      <c r="U358" s="153"/>
      <c r="V358" s="153"/>
      <c r="W358" s="153"/>
      <c r="X358" s="153"/>
      <c r="Y358" s="153"/>
      <c r="Z358" s="153"/>
      <c r="AA358" s="153"/>
      <c r="AB358" s="153"/>
      <c r="AC358" s="153"/>
      <c r="AD358" s="153"/>
      <c r="AE358" s="153"/>
      <c r="AF358" s="153"/>
      <c r="AG358" s="153"/>
      <c r="AH358" s="153"/>
      <c r="AI358" s="153"/>
      <c r="AJ358" s="153"/>
      <c r="AK358" s="153"/>
      <c r="AL358" s="153"/>
      <c r="AM358" s="153"/>
      <c r="AN358" s="153"/>
      <c r="AO358" s="153"/>
      <c r="AP358" s="153"/>
      <c r="AQ358" s="153"/>
      <c r="AR358" s="153"/>
    </row>
    <row r="359" spans="1:44">
      <c r="A359" s="741">
        <f>Gases!A366</f>
        <v>341</v>
      </c>
      <c r="B359" s="153"/>
      <c r="C359" s="153"/>
      <c r="D359" s="153"/>
      <c r="E359" s="153"/>
      <c r="F359" s="153"/>
      <c r="G359" s="153"/>
      <c r="H359" s="153"/>
      <c r="I359" s="153"/>
      <c r="J359" s="153"/>
      <c r="K359" s="153"/>
      <c r="L359" s="153"/>
      <c r="M359" s="153"/>
      <c r="N359" s="153"/>
      <c r="O359" s="153"/>
      <c r="P359" s="153"/>
      <c r="Q359" s="153"/>
      <c r="R359" s="153"/>
      <c r="S359" s="153"/>
      <c r="T359" s="153"/>
      <c r="U359" s="153"/>
      <c r="V359" s="153"/>
      <c r="W359" s="153"/>
      <c r="X359" s="153"/>
      <c r="Y359" s="153"/>
      <c r="Z359" s="153"/>
      <c r="AA359" s="153"/>
      <c r="AB359" s="153"/>
      <c r="AC359" s="153"/>
      <c r="AD359" s="153"/>
      <c r="AE359" s="153"/>
      <c r="AF359" s="153"/>
      <c r="AG359" s="153"/>
      <c r="AH359" s="153"/>
      <c r="AI359" s="153"/>
      <c r="AJ359" s="153"/>
      <c r="AK359" s="153"/>
      <c r="AL359" s="153"/>
      <c r="AM359" s="153"/>
      <c r="AN359" s="153"/>
      <c r="AO359" s="153"/>
      <c r="AP359" s="153"/>
      <c r="AQ359" s="153"/>
      <c r="AR359" s="153"/>
    </row>
    <row r="360" spans="1:44">
      <c r="A360" s="741">
        <f>Gases!A367</f>
        <v>342</v>
      </c>
      <c r="B360" s="153"/>
      <c r="C360" s="153"/>
      <c r="D360" s="153"/>
      <c r="E360" s="153"/>
      <c r="F360" s="153"/>
      <c r="G360" s="153"/>
      <c r="H360" s="153"/>
      <c r="I360" s="153"/>
      <c r="J360" s="153"/>
      <c r="K360" s="153"/>
      <c r="L360" s="153"/>
      <c r="M360" s="153"/>
      <c r="N360" s="153"/>
      <c r="O360" s="153"/>
      <c r="P360" s="153"/>
      <c r="Q360" s="153"/>
      <c r="R360" s="153"/>
      <c r="S360" s="153"/>
      <c r="T360" s="153"/>
      <c r="U360" s="153"/>
      <c r="V360" s="153"/>
      <c r="W360" s="153"/>
      <c r="X360" s="153"/>
      <c r="Y360" s="153"/>
      <c r="Z360" s="153"/>
      <c r="AA360" s="153"/>
      <c r="AB360" s="153"/>
      <c r="AC360" s="153"/>
      <c r="AD360" s="153"/>
      <c r="AE360" s="153"/>
      <c r="AF360" s="153"/>
      <c r="AG360" s="153"/>
      <c r="AH360" s="153"/>
      <c r="AI360" s="153"/>
      <c r="AJ360" s="153"/>
      <c r="AK360" s="153"/>
      <c r="AL360" s="153"/>
      <c r="AM360" s="153"/>
      <c r="AN360" s="153"/>
      <c r="AO360" s="153"/>
      <c r="AP360" s="153"/>
      <c r="AQ360" s="153"/>
      <c r="AR360" s="153"/>
    </row>
    <row r="361" spans="1:44">
      <c r="A361" s="741">
        <f>Gases!A368</f>
        <v>343</v>
      </c>
      <c r="B361" s="153"/>
      <c r="C361" s="153"/>
      <c r="D361" s="153"/>
      <c r="E361" s="153"/>
      <c r="F361" s="153"/>
      <c r="G361" s="153"/>
      <c r="H361" s="153"/>
      <c r="I361" s="153"/>
      <c r="J361" s="153"/>
      <c r="K361" s="153"/>
      <c r="L361" s="153"/>
      <c r="M361" s="153"/>
      <c r="N361" s="153"/>
      <c r="O361" s="153"/>
      <c r="P361" s="153"/>
      <c r="Q361" s="153"/>
      <c r="R361" s="153"/>
      <c r="S361" s="153"/>
      <c r="T361" s="153"/>
      <c r="U361" s="153"/>
      <c r="V361" s="153"/>
      <c r="W361" s="153"/>
      <c r="X361" s="153"/>
      <c r="Y361" s="153"/>
      <c r="Z361" s="153"/>
      <c r="AA361" s="153"/>
      <c r="AB361" s="153"/>
      <c r="AC361" s="153"/>
      <c r="AD361" s="153"/>
      <c r="AE361" s="153"/>
      <c r="AF361" s="153"/>
      <c r="AG361" s="153"/>
      <c r="AH361" s="153"/>
      <c r="AI361" s="153"/>
      <c r="AJ361" s="153"/>
      <c r="AK361" s="153"/>
      <c r="AL361" s="153"/>
      <c r="AM361" s="153"/>
      <c r="AN361" s="153"/>
      <c r="AO361" s="153"/>
      <c r="AP361" s="153"/>
      <c r="AQ361" s="153"/>
      <c r="AR361" s="153"/>
    </row>
    <row r="362" spans="1:44">
      <c r="A362" s="741">
        <f>Gases!A369</f>
        <v>344</v>
      </c>
      <c r="B362" s="153"/>
      <c r="C362" s="153"/>
      <c r="D362" s="153"/>
      <c r="E362" s="153"/>
      <c r="F362" s="153"/>
      <c r="G362" s="153"/>
      <c r="H362" s="153"/>
      <c r="I362" s="153"/>
      <c r="J362" s="153"/>
      <c r="K362" s="153"/>
      <c r="L362" s="153"/>
      <c r="M362" s="153"/>
      <c r="N362" s="153"/>
      <c r="O362" s="153"/>
      <c r="P362" s="153"/>
      <c r="Q362" s="153"/>
      <c r="R362" s="153"/>
      <c r="S362" s="153"/>
      <c r="T362" s="153"/>
      <c r="U362" s="153"/>
      <c r="V362" s="153"/>
      <c r="W362" s="153"/>
      <c r="X362" s="153"/>
      <c r="Y362" s="153"/>
      <c r="Z362" s="153"/>
      <c r="AA362" s="153"/>
      <c r="AB362" s="153"/>
      <c r="AC362" s="153"/>
      <c r="AD362" s="153"/>
      <c r="AE362" s="153"/>
      <c r="AF362" s="153"/>
      <c r="AG362" s="153"/>
      <c r="AH362" s="153"/>
      <c r="AI362" s="153"/>
      <c r="AJ362" s="153"/>
      <c r="AK362" s="153"/>
      <c r="AL362" s="153"/>
      <c r="AM362" s="153"/>
      <c r="AN362" s="153"/>
      <c r="AO362" s="153"/>
      <c r="AP362" s="153"/>
      <c r="AQ362" s="153"/>
      <c r="AR362" s="153"/>
    </row>
    <row r="363" spans="1:44">
      <c r="A363" s="741">
        <f>Gases!A370</f>
        <v>345</v>
      </c>
      <c r="B363" s="153"/>
      <c r="C363" s="153"/>
      <c r="D363" s="153"/>
      <c r="E363" s="153"/>
      <c r="F363" s="153"/>
      <c r="G363" s="153"/>
      <c r="H363" s="153"/>
      <c r="I363" s="153"/>
      <c r="J363" s="153"/>
      <c r="K363" s="153"/>
      <c r="L363" s="153"/>
      <c r="M363" s="153"/>
      <c r="N363" s="153"/>
      <c r="O363" s="153"/>
      <c r="P363" s="153"/>
      <c r="Q363" s="153"/>
      <c r="R363" s="153"/>
      <c r="S363" s="153"/>
      <c r="T363" s="153"/>
      <c r="U363" s="153"/>
      <c r="V363" s="153"/>
      <c r="W363" s="153"/>
      <c r="X363" s="153"/>
      <c r="Y363" s="153"/>
      <c r="Z363" s="153"/>
      <c r="AA363" s="153"/>
      <c r="AB363" s="153"/>
      <c r="AC363" s="153"/>
      <c r="AD363" s="153"/>
      <c r="AE363" s="153"/>
      <c r="AF363" s="153"/>
      <c r="AG363" s="153"/>
      <c r="AH363" s="153"/>
      <c r="AI363" s="153"/>
      <c r="AJ363" s="153"/>
      <c r="AK363" s="153"/>
      <c r="AL363" s="153"/>
      <c r="AM363" s="153"/>
      <c r="AN363" s="153"/>
      <c r="AO363" s="153"/>
      <c r="AP363" s="153"/>
      <c r="AQ363" s="153"/>
      <c r="AR363" s="153"/>
    </row>
    <row r="364" spans="1:44">
      <c r="A364" s="741">
        <f>Gases!A371</f>
        <v>346</v>
      </c>
      <c r="B364" s="153"/>
      <c r="C364" s="153"/>
      <c r="D364" s="153"/>
      <c r="E364" s="153"/>
      <c r="F364" s="153"/>
      <c r="G364" s="153"/>
      <c r="H364" s="153"/>
      <c r="I364" s="153"/>
      <c r="J364" s="153"/>
      <c r="K364" s="153"/>
      <c r="L364" s="153"/>
      <c r="M364" s="153"/>
      <c r="N364" s="153"/>
      <c r="O364" s="153"/>
      <c r="P364" s="153"/>
      <c r="Q364" s="153"/>
      <c r="R364" s="153"/>
      <c r="S364" s="153"/>
      <c r="T364" s="153"/>
      <c r="U364" s="153"/>
      <c r="V364" s="153"/>
      <c r="W364" s="153"/>
      <c r="X364" s="153"/>
      <c r="Y364" s="153"/>
      <c r="Z364" s="153"/>
      <c r="AA364" s="153"/>
      <c r="AB364" s="153"/>
      <c r="AC364" s="153"/>
      <c r="AD364" s="153"/>
      <c r="AE364" s="153"/>
      <c r="AF364" s="153"/>
      <c r="AG364" s="153"/>
      <c r="AH364" s="153"/>
      <c r="AI364" s="153"/>
      <c r="AJ364" s="153"/>
      <c r="AK364" s="153"/>
      <c r="AL364" s="153"/>
      <c r="AM364" s="153"/>
      <c r="AN364" s="153"/>
      <c r="AO364" s="153"/>
      <c r="AP364" s="153"/>
      <c r="AQ364" s="153"/>
      <c r="AR364" s="153"/>
    </row>
    <row r="365" spans="1:44">
      <c r="A365" s="741">
        <f>Gases!A372</f>
        <v>347</v>
      </c>
      <c r="B365" s="153"/>
      <c r="C365" s="153"/>
      <c r="D365" s="153"/>
      <c r="E365" s="153"/>
      <c r="F365" s="153"/>
      <c r="G365" s="153"/>
      <c r="H365" s="153"/>
      <c r="I365" s="153"/>
      <c r="J365" s="153"/>
      <c r="K365" s="153"/>
      <c r="L365" s="153"/>
      <c r="M365" s="153"/>
      <c r="N365" s="153"/>
      <c r="O365" s="153"/>
      <c r="P365" s="153"/>
      <c r="Q365" s="153"/>
      <c r="R365" s="153"/>
      <c r="S365" s="153"/>
      <c r="T365" s="153"/>
      <c r="U365" s="153"/>
      <c r="V365" s="153"/>
      <c r="W365" s="153"/>
      <c r="X365" s="153"/>
      <c r="Y365" s="153"/>
      <c r="Z365" s="153"/>
      <c r="AA365" s="153"/>
      <c r="AB365" s="153"/>
      <c r="AC365" s="153"/>
      <c r="AD365" s="153"/>
      <c r="AE365" s="153"/>
      <c r="AF365" s="153"/>
      <c r="AG365" s="153"/>
      <c r="AH365" s="153"/>
      <c r="AI365" s="153"/>
      <c r="AJ365" s="153"/>
      <c r="AK365" s="153"/>
      <c r="AL365" s="153"/>
      <c r="AM365" s="153"/>
      <c r="AN365" s="153"/>
      <c r="AO365" s="153"/>
      <c r="AP365" s="153"/>
      <c r="AQ365" s="153"/>
      <c r="AR365" s="153"/>
    </row>
    <row r="366" spans="1:44">
      <c r="A366" s="741">
        <f>Gases!A373</f>
        <v>348</v>
      </c>
      <c r="B366" s="153"/>
      <c r="C366" s="153"/>
      <c r="D366" s="153"/>
      <c r="E366" s="153"/>
      <c r="F366" s="153"/>
      <c r="G366" s="153"/>
      <c r="H366" s="153"/>
      <c r="I366" s="153"/>
      <c r="J366" s="153"/>
      <c r="K366" s="153"/>
      <c r="L366" s="153"/>
      <c r="M366" s="153"/>
      <c r="N366" s="153"/>
      <c r="O366" s="153"/>
      <c r="P366" s="153"/>
      <c r="Q366" s="153"/>
      <c r="R366" s="153"/>
      <c r="S366" s="153"/>
      <c r="T366" s="153"/>
      <c r="U366" s="153"/>
      <c r="V366" s="153"/>
      <c r="W366" s="153"/>
      <c r="X366" s="153"/>
      <c r="Y366" s="153"/>
      <c r="Z366" s="153"/>
      <c r="AA366" s="153"/>
      <c r="AB366" s="153"/>
      <c r="AC366" s="153"/>
      <c r="AD366" s="153"/>
      <c r="AE366" s="153"/>
      <c r="AF366" s="153"/>
      <c r="AG366" s="153"/>
      <c r="AH366" s="153"/>
      <c r="AI366" s="153"/>
      <c r="AJ366" s="153"/>
      <c r="AK366" s="153"/>
      <c r="AL366" s="153"/>
      <c r="AM366" s="153"/>
      <c r="AN366" s="153"/>
      <c r="AO366" s="153"/>
      <c r="AP366" s="153"/>
      <c r="AQ366" s="153"/>
      <c r="AR366" s="153"/>
    </row>
    <row r="367" spans="1:44">
      <c r="A367" s="741">
        <f>Gases!A374</f>
        <v>349</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row>
    <row r="368" spans="1:44">
      <c r="A368" s="741">
        <f>Gases!A375</f>
        <v>350</v>
      </c>
      <c r="B368" s="153"/>
      <c r="C368" s="153"/>
      <c r="D368" s="153"/>
      <c r="E368" s="153"/>
      <c r="F368" s="153"/>
      <c r="G368" s="153"/>
      <c r="H368" s="153"/>
      <c r="I368" s="153"/>
      <c r="J368" s="153"/>
      <c r="K368" s="153"/>
      <c r="L368" s="153"/>
      <c r="M368" s="153"/>
      <c r="N368" s="153"/>
      <c r="O368" s="153"/>
      <c r="P368" s="153"/>
      <c r="Q368" s="153"/>
      <c r="R368" s="153"/>
      <c r="S368" s="153"/>
      <c r="T368" s="153"/>
      <c r="U368" s="153"/>
      <c r="V368" s="153"/>
      <c r="W368" s="153"/>
      <c r="X368" s="153"/>
      <c r="Y368" s="153"/>
      <c r="Z368" s="153"/>
      <c r="AA368" s="153"/>
      <c r="AB368" s="153"/>
      <c r="AC368" s="153"/>
      <c r="AD368" s="153"/>
      <c r="AE368" s="153"/>
      <c r="AF368" s="153"/>
      <c r="AG368" s="153"/>
      <c r="AH368" s="153"/>
      <c r="AI368" s="153"/>
      <c r="AJ368" s="153"/>
      <c r="AK368" s="153"/>
      <c r="AL368" s="153"/>
      <c r="AM368" s="153"/>
      <c r="AN368" s="153"/>
      <c r="AO368" s="153"/>
      <c r="AP368" s="153"/>
      <c r="AQ368" s="153"/>
      <c r="AR368" s="153"/>
    </row>
    <row r="369" spans="1:44">
      <c r="A369" s="741">
        <f>Gases!A376</f>
        <v>351</v>
      </c>
      <c r="B369" s="153"/>
      <c r="C369" s="153"/>
      <c r="D369" s="153"/>
      <c r="E369" s="153"/>
      <c r="F369" s="153"/>
      <c r="G369" s="153"/>
      <c r="H369" s="153"/>
      <c r="I369" s="153"/>
      <c r="J369" s="153"/>
      <c r="K369" s="153"/>
      <c r="L369" s="153"/>
      <c r="M369" s="153"/>
      <c r="N369" s="153"/>
      <c r="O369" s="153"/>
      <c r="P369" s="153"/>
      <c r="Q369" s="153"/>
      <c r="R369" s="153"/>
      <c r="S369" s="153"/>
      <c r="T369" s="153"/>
      <c r="U369" s="153"/>
      <c r="V369" s="153"/>
      <c r="W369" s="153"/>
      <c r="X369" s="153"/>
      <c r="Y369" s="153"/>
      <c r="Z369" s="153"/>
      <c r="AA369" s="153"/>
      <c r="AB369" s="153"/>
      <c r="AC369" s="153"/>
      <c r="AD369" s="153"/>
      <c r="AE369" s="153"/>
      <c r="AF369" s="153"/>
      <c r="AG369" s="153"/>
      <c r="AH369" s="153"/>
      <c r="AI369" s="153"/>
      <c r="AJ369" s="153"/>
      <c r="AK369" s="153"/>
      <c r="AL369" s="153"/>
      <c r="AM369" s="153"/>
      <c r="AN369" s="153"/>
      <c r="AO369" s="153"/>
      <c r="AP369" s="153"/>
      <c r="AQ369" s="153"/>
      <c r="AR369" s="153"/>
    </row>
    <row r="370" spans="1:44">
      <c r="A370" s="741">
        <f>Gases!A377</f>
        <v>352</v>
      </c>
      <c r="B370" s="153"/>
      <c r="C370" s="153"/>
      <c r="D370" s="153"/>
      <c r="E370" s="153"/>
      <c r="F370" s="153"/>
      <c r="G370" s="153"/>
      <c r="H370" s="153"/>
      <c r="I370" s="153"/>
      <c r="J370" s="153"/>
      <c r="K370" s="153"/>
      <c r="L370" s="153"/>
      <c r="M370" s="153"/>
      <c r="N370" s="153"/>
      <c r="O370" s="153"/>
      <c r="P370" s="153"/>
      <c r="Q370" s="153"/>
      <c r="R370" s="153"/>
      <c r="S370" s="153"/>
      <c r="T370" s="153"/>
      <c r="U370" s="153"/>
      <c r="V370" s="153"/>
      <c r="W370" s="153"/>
      <c r="X370" s="153"/>
      <c r="Y370" s="153"/>
      <c r="Z370" s="153"/>
      <c r="AA370" s="153"/>
      <c r="AB370" s="153"/>
      <c r="AC370" s="153"/>
      <c r="AD370" s="153"/>
      <c r="AE370" s="153"/>
      <c r="AF370" s="153"/>
      <c r="AG370" s="153"/>
      <c r="AH370" s="153"/>
      <c r="AI370" s="153"/>
      <c r="AJ370" s="153"/>
      <c r="AK370" s="153"/>
      <c r="AL370" s="153"/>
      <c r="AM370" s="153"/>
      <c r="AN370" s="153"/>
      <c r="AO370" s="153"/>
      <c r="AP370" s="153"/>
      <c r="AQ370" s="153"/>
      <c r="AR370" s="153"/>
    </row>
    <row r="371" spans="1:44">
      <c r="A371" s="741">
        <f>Gases!A378</f>
        <v>353</v>
      </c>
      <c r="B371" s="153"/>
      <c r="C371" s="153"/>
      <c r="D371" s="153"/>
      <c r="E371" s="153"/>
      <c r="F371" s="153"/>
      <c r="G371" s="153"/>
      <c r="H371" s="153"/>
      <c r="I371" s="153"/>
      <c r="J371" s="153"/>
      <c r="K371" s="153"/>
      <c r="L371" s="153"/>
      <c r="M371" s="153"/>
      <c r="N371" s="153"/>
      <c r="O371" s="153"/>
      <c r="P371" s="153"/>
      <c r="Q371" s="153"/>
      <c r="R371" s="153"/>
      <c r="S371" s="153"/>
      <c r="T371" s="153"/>
      <c r="U371" s="153"/>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row>
    <row r="372" spans="1:44">
      <c r="A372" s="741">
        <f>Gases!A379</f>
        <v>354</v>
      </c>
      <c r="B372" s="153"/>
      <c r="C372" s="153"/>
      <c r="D372" s="153"/>
      <c r="E372" s="153"/>
      <c r="F372" s="153"/>
      <c r="G372" s="153"/>
      <c r="H372" s="153"/>
      <c r="I372" s="153"/>
      <c r="J372" s="153"/>
      <c r="K372" s="153"/>
      <c r="L372" s="153"/>
      <c r="M372" s="153"/>
      <c r="N372" s="153"/>
      <c r="O372" s="153"/>
      <c r="P372" s="153"/>
      <c r="Q372" s="153"/>
      <c r="R372" s="153"/>
      <c r="S372" s="153"/>
      <c r="T372" s="153"/>
      <c r="U372" s="153"/>
      <c r="V372" s="153"/>
      <c r="W372" s="153"/>
      <c r="X372" s="153"/>
      <c r="Y372" s="153"/>
      <c r="Z372" s="153"/>
      <c r="AA372" s="153"/>
      <c r="AB372" s="153"/>
      <c r="AC372" s="153"/>
      <c r="AD372" s="153"/>
      <c r="AE372" s="153"/>
      <c r="AF372" s="153"/>
      <c r="AG372" s="153"/>
      <c r="AH372" s="153"/>
      <c r="AI372" s="153"/>
      <c r="AJ372" s="153"/>
      <c r="AK372" s="153"/>
      <c r="AL372" s="153"/>
      <c r="AM372" s="153"/>
      <c r="AN372" s="153"/>
      <c r="AO372" s="153"/>
      <c r="AP372" s="153"/>
      <c r="AQ372" s="153"/>
      <c r="AR372" s="153"/>
    </row>
    <row r="373" spans="1:44">
      <c r="A373" s="741">
        <f>Gases!A380</f>
        <v>355</v>
      </c>
      <c r="B373" s="153"/>
      <c r="C373" s="153"/>
      <c r="D373" s="153"/>
      <c r="E373" s="153"/>
      <c r="F373" s="153"/>
      <c r="G373" s="153"/>
      <c r="H373" s="153"/>
      <c r="I373" s="153"/>
      <c r="J373" s="153"/>
      <c r="K373" s="153"/>
      <c r="L373" s="153"/>
      <c r="M373" s="153"/>
      <c r="N373" s="153"/>
      <c r="O373" s="153"/>
      <c r="P373" s="153"/>
      <c r="Q373" s="153"/>
      <c r="R373" s="153"/>
      <c r="S373" s="153"/>
      <c r="T373" s="153"/>
      <c r="U373" s="153"/>
      <c r="V373" s="153"/>
      <c r="W373" s="153"/>
      <c r="X373" s="153"/>
      <c r="Y373" s="153"/>
      <c r="Z373" s="153"/>
      <c r="AA373" s="153"/>
      <c r="AB373" s="153"/>
      <c r="AC373" s="153"/>
      <c r="AD373" s="153"/>
      <c r="AE373" s="153"/>
      <c r="AF373" s="153"/>
      <c r="AG373" s="153"/>
      <c r="AH373" s="153"/>
      <c r="AI373" s="153"/>
      <c r="AJ373" s="153"/>
      <c r="AK373" s="153"/>
      <c r="AL373" s="153"/>
      <c r="AM373" s="153"/>
      <c r="AN373" s="153"/>
      <c r="AO373" s="153"/>
      <c r="AP373" s="153"/>
      <c r="AQ373" s="153"/>
      <c r="AR373" s="153"/>
    </row>
    <row r="374" spans="1:44">
      <c r="A374" s="741">
        <f>Gases!A381</f>
        <v>356</v>
      </c>
      <c r="B374" s="153"/>
      <c r="C374" s="153"/>
      <c r="D374" s="153"/>
      <c r="E374" s="153"/>
      <c r="F374" s="153"/>
      <c r="G374" s="153"/>
      <c r="H374" s="153"/>
      <c r="I374" s="153"/>
      <c r="J374" s="153"/>
      <c r="K374" s="153"/>
      <c r="L374" s="153"/>
      <c r="M374" s="153"/>
      <c r="N374" s="153"/>
      <c r="O374" s="153"/>
      <c r="P374" s="153"/>
      <c r="Q374" s="153"/>
      <c r="R374" s="153"/>
      <c r="S374" s="153"/>
      <c r="T374" s="153"/>
      <c r="U374" s="153"/>
      <c r="V374" s="153"/>
      <c r="W374" s="153"/>
      <c r="X374" s="153"/>
      <c r="Y374" s="153"/>
      <c r="Z374" s="153"/>
      <c r="AA374" s="153"/>
      <c r="AB374" s="153"/>
      <c r="AC374" s="153"/>
      <c r="AD374" s="153"/>
      <c r="AE374" s="153"/>
      <c r="AF374" s="153"/>
      <c r="AG374" s="153"/>
      <c r="AH374" s="153"/>
      <c r="AI374" s="153"/>
      <c r="AJ374" s="153"/>
      <c r="AK374" s="153"/>
      <c r="AL374" s="153"/>
      <c r="AM374" s="153"/>
      <c r="AN374" s="153"/>
      <c r="AO374" s="153"/>
      <c r="AP374" s="153"/>
      <c r="AQ374" s="153"/>
      <c r="AR374" s="153"/>
    </row>
    <row r="375" spans="1:44">
      <c r="A375" s="741">
        <f>Gases!A382</f>
        <v>357</v>
      </c>
      <c r="B375" s="153"/>
      <c r="C375" s="153"/>
      <c r="D375" s="153"/>
      <c r="E375" s="153"/>
      <c r="F375" s="153"/>
      <c r="G375" s="153"/>
      <c r="H375" s="153"/>
      <c r="I375" s="153"/>
      <c r="J375" s="153"/>
      <c r="K375" s="153"/>
      <c r="L375" s="153"/>
      <c r="M375" s="153"/>
      <c r="N375" s="153"/>
      <c r="O375" s="153"/>
      <c r="P375" s="153"/>
      <c r="Q375" s="153"/>
      <c r="R375" s="153"/>
      <c r="S375" s="153"/>
      <c r="T375" s="153"/>
      <c r="U375" s="153"/>
      <c r="V375" s="153"/>
      <c r="W375" s="153"/>
      <c r="X375" s="153"/>
      <c r="Y375" s="153"/>
      <c r="Z375" s="153"/>
      <c r="AA375" s="153"/>
      <c r="AB375" s="153"/>
      <c r="AC375" s="153"/>
      <c r="AD375" s="153"/>
      <c r="AE375" s="153"/>
      <c r="AF375" s="153"/>
      <c r="AG375" s="153"/>
      <c r="AH375" s="153"/>
      <c r="AI375" s="153"/>
      <c r="AJ375" s="153"/>
      <c r="AK375" s="153"/>
      <c r="AL375" s="153"/>
      <c r="AM375" s="153"/>
      <c r="AN375" s="153"/>
      <c r="AO375" s="153"/>
      <c r="AP375" s="153"/>
      <c r="AQ375" s="153"/>
      <c r="AR375" s="153"/>
    </row>
    <row r="376" spans="1:44">
      <c r="A376" s="741">
        <f>Gases!A383</f>
        <v>358</v>
      </c>
      <c r="B376" s="153"/>
      <c r="C376" s="153"/>
      <c r="D376" s="153"/>
      <c r="E376" s="153"/>
      <c r="F376" s="153"/>
      <c r="G376" s="153"/>
      <c r="H376" s="153"/>
      <c r="I376" s="153"/>
      <c r="J376" s="153"/>
      <c r="K376" s="153"/>
      <c r="L376" s="153"/>
      <c r="M376" s="153"/>
      <c r="N376" s="153"/>
      <c r="O376" s="153"/>
      <c r="P376" s="153"/>
      <c r="Q376" s="153"/>
      <c r="R376" s="153"/>
      <c r="S376" s="153"/>
      <c r="T376" s="153"/>
      <c r="U376" s="153"/>
      <c r="V376" s="153"/>
      <c r="W376" s="153"/>
      <c r="X376" s="153"/>
      <c r="Y376" s="153"/>
      <c r="Z376" s="153"/>
      <c r="AA376" s="153"/>
      <c r="AB376" s="153"/>
      <c r="AC376" s="153"/>
      <c r="AD376" s="153"/>
      <c r="AE376" s="153"/>
      <c r="AF376" s="153"/>
      <c r="AG376" s="153"/>
      <c r="AH376" s="153"/>
      <c r="AI376" s="153"/>
      <c r="AJ376" s="153"/>
      <c r="AK376" s="153"/>
      <c r="AL376" s="153"/>
      <c r="AM376" s="153"/>
      <c r="AN376" s="153"/>
      <c r="AO376" s="153"/>
      <c r="AP376" s="153"/>
      <c r="AQ376" s="153"/>
      <c r="AR376" s="153"/>
    </row>
    <row r="377" spans="1:44">
      <c r="A377" s="741">
        <f>Gases!A384</f>
        <v>359</v>
      </c>
      <c r="B377" s="153"/>
      <c r="C377" s="153"/>
      <c r="D377" s="153"/>
      <c r="E377" s="153"/>
      <c r="F377" s="153"/>
      <c r="G377" s="153"/>
      <c r="H377" s="153"/>
      <c r="I377" s="153"/>
      <c r="J377" s="153"/>
      <c r="K377" s="153"/>
      <c r="L377" s="153"/>
      <c r="M377" s="153"/>
      <c r="N377" s="153"/>
      <c r="O377" s="153"/>
      <c r="P377" s="153"/>
      <c r="Q377" s="153"/>
      <c r="R377" s="153"/>
      <c r="S377" s="153"/>
      <c r="T377" s="153"/>
      <c r="U377" s="153"/>
      <c r="V377" s="153"/>
      <c r="W377" s="153"/>
      <c r="X377" s="153"/>
      <c r="Y377" s="153"/>
      <c r="Z377" s="153"/>
      <c r="AA377" s="153"/>
      <c r="AB377" s="153"/>
      <c r="AC377" s="153"/>
      <c r="AD377" s="153"/>
      <c r="AE377" s="153"/>
      <c r="AF377" s="153"/>
      <c r="AG377" s="153"/>
      <c r="AH377" s="153"/>
      <c r="AI377" s="153"/>
      <c r="AJ377" s="153"/>
      <c r="AK377" s="153"/>
      <c r="AL377" s="153"/>
      <c r="AM377" s="153"/>
      <c r="AN377" s="153"/>
      <c r="AO377" s="153"/>
      <c r="AP377" s="153"/>
      <c r="AQ377" s="153"/>
      <c r="AR377" s="153"/>
    </row>
    <row r="378" spans="1:44">
      <c r="A378" s="741">
        <f>Gases!A385</f>
        <v>360</v>
      </c>
      <c r="B378" s="153"/>
      <c r="C378" s="153"/>
      <c r="D378" s="153"/>
      <c r="E378" s="153"/>
      <c r="F378" s="153"/>
      <c r="G378" s="153"/>
      <c r="H378" s="153"/>
      <c r="I378" s="153"/>
      <c r="J378" s="153"/>
      <c r="K378" s="153"/>
      <c r="L378" s="153"/>
      <c r="M378" s="153"/>
      <c r="N378" s="153"/>
      <c r="O378" s="153"/>
      <c r="P378" s="153"/>
      <c r="Q378" s="153"/>
      <c r="R378" s="153"/>
      <c r="S378" s="153"/>
      <c r="T378" s="153"/>
      <c r="U378" s="153"/>
      <c r="V378" s="153"/>
      <c r="W378" s="153"/>
      <c r="X378" s="153"/>
      <c r="Y378" s="153"/>
      <c r="Z378" s="153"/>
      <c r="AA378" s="153"/>
      <c r="AB378" s="153"/>
      <c r="AC378" s="153"/>
      <c r="AD378" s="153"/>
      <c r="AE378" s="153"/>
      <c r="AF378" s="153"/>
      <c r="AG378" s="153"/>
      <c r="AH378" s="153"/>
      <c r="AI378" s="153"/>
      <c r="AJ378" s="153"/>
      <c r="AK378" s="153"/>
      <c r="AL378" s="153"/>
      <c r="AM378" s="153"/>
      <c r="AN378" s="153"/>
      <c r="AO378" s="153"/>
      <c r="AP378" s="153"/>
      <c r="AQ378" s="153"/>
      <c r="AR378" s="153"/>
    </row>
    <row r="379" spans="1:44">
      <c r="A379" s="741">
        <f>Gases!A386</f>
        <v>361</v>
      </c>
      <c r="B379" s="153"/>
      <c r="C379" s="153"/>
      <c r="D379" s="153"/>
      <c r="E379" s="153"/>
      <c r="F379" s="153"/>
      <c r="G379" s="153"/>
      <c r="H379" s="153"/>
      <c r="I379" s="153"/>
      <c r="J379" s="153"/>
      <c r="K379" s="153"/>
      <c r="L379" s="153"/>
      <c r="M379" s="153"/>
      <c r="N379" s="153"/>
      <c r="O379" s="153"/>
      <c r="P379" s="153"/>
      <c r="Q379" s="153"/>
      <c r="R379" s="153"/>
      <c r="S379" s="153"/>
      <c r="T379" s="153"/>
      <c r="U379" s="153"/>
      <c r="V379" s="153"/>
      <c r="W379" s="153"/>
      <c r="X379" s="153"/>
      <c r="Y379" s="153"/>
      <c r="Z379" s="153"/>
      <c r="AA379" s="153"/>
      <c r="AB379" s="153"/>
      <c r="AC379" s="153"/>
      <c r="AD379" s="153"/>
      <c r="AE379" s="153"/>
      <c r="AF379" s="153"/>
      <c r="AG379" s="153"/>
      <c r="AH379" s="153"/>
      <c r="AI379" s="153"/>
      <c r="AJ379" s="153"/>
      <c r="AK379" s="153"/>
      <c r="AL379" s="153"/>
      <c r="AM379" s="153"/>
      <c r="AN379" s="153"/>
      <c r="AO379" s="153"/>
      <c r="AP379" s="153"/>
      <c r="AQ379" s="153"/>
      <c r="AR379" s="153"/>
    </row>
    <row r="380" spans="1:44">
      <c r="A380" s="741">
        <f>Gases!A387</f>
        <v>362</v>
      </c>
      <c r="B380" s="153"/>
      <c r="C380" s="153"/>
      <c r="D380" s="153"/>
      <c r="E380" s="153"/>
      <c r="F380" s="153"/>
      <c r="G380" s="153"/>
      <c r="H380" s="153"/>
      <c r="I380" s="153"/>
      <c r="J380" s="153"/>
      <c r="K380" s="153"/>
      <c r="L380" s="153"/>
      <c r="M380" s="153"/>
      <c r="N380" s="153"/>
      <c r="O380" s="153"/>
      <c r="P380" s="153"/>
      <c r="Q380" s="153"/>
      <c r="R380" s="153"/>
      <c r="S380" s="153"/>
      <c r="T380" s="153"/>
      <c r="U380" s="153"/>
      <c r="V380" s="153"/>
      <c r="W380" s="153"/>
      <c r="X380" s="153"/>
      <c r="Y380" s="153"/>
      <c r="Z380" s="153"/>
      <c r="AA380" s="153"/>
      <c r="AB380" s="153"/>
      <c r="AC380" s="153"/>
      <c r="AD380" s="153"/>
      <c r="AE380" s="153"/>
      <c r="AF380" s="153"/>
      <c r="AG380" s="153"/>
      <c r="AH380" s="153"/>
      <c r="AI380" s="153"/>
      <c r="AJ380" s="153"/>
      <c r="AK380" s="153"/>
      <c r="AL380" s="153"/>
      <c r="AM380" s="153"/>
      <c r="AN380" s="153"/>
      <c r="AO380" s="153"/>
      <c r="AP380" s="153"/>
      <c r="AQ380" s="153"/>
      <c r="AR380" s="153"/>
    </row>
    <row r="381" spans="1:44">
      <c r="A381" s="741">
        <f>Gases!A388</f>
        <v>363</v>
      </c>
      <c r="B381" s="153"/>
      <c r="C381" s="153"/>
      <c r="D381" s="153"/>
      <c r="E381" s="153"/>
      <c r="F381" s="153"/>
      <c r="G381" s="153"/>
      <c r="H381" s="153"/>
      <c r="I381" s="153"/>
      <c r="J381" s="153"/>
      <c r="K381" s="153"/>
      <c r="L381" s="153"/>
      <c r="M381" s="153"/>
      <c r="N381" s="153"/>
      <c r="O381" s="153"/>
      <c r="P381" s="153"/>
      <c r="Q381" s="153"/>
      <c r="R381" s="153"/>
      <c r="S381" s="153"/>
      <c r="T381" s="153"/>
      <c r="U381" s="153"/>
      <c r="V381" s="153"/>
      <c r="W381" s="153"/>
      <c r="X381" s="153"/>
      <c r="Y381" s="153"/>
      <c r="Z381" s="153"/>
      <c r="AA381" s="153"/>
      <c r="AB381" s="153"/>
      <c r="AC381" s="153"/>
      <c r="AD381" s="153"/>
      <c r="AE381" s="153"/>
      <c r="AF381" s="153"/>
      <c r="AG381" s="153"/>
      <c r="AH381" s="153"/>
      <c r="AI381" s="153"/>
      <c r="AJ381" s="153"/>
      <c r="AK381" s="153"/>
      <c r="AL381" s="153"/>
      <c r="AM381" s="153"/>
      <c r="AN381" s="153"/>
      <c r="AO381" s="153"/>
      <c r="AP381" s="153"/>
      <c r="AQ381" s="153"/>
      <c r="AR381" s="153"/>
    </row>
    <row r="382" spans="1:44">
      <c r="A382" s="741">
        <f>Gases!A389</f>
        <v>364</v>
      </c>
      <c r="B382" s="153"/>
      <c r="C382" s="153"/>
      <c r="D382" s="153"/>
      <c r="E382" s="153"/>
      <c r="F382" s="153"/>
      <c r="G382" s="153"/>
      <c r="H382" s="153"/>
      <c r="I382" s="153"/>
      <c r="J382" s="153"/>
      <c r="K382" s="153"/>
      <c r="L382" s="153"/>
      <c r="M382" s="153"/>
      <c r="N382" s="153"/>
      <c r="O382" s="153"/>
      <c r="P382" s="153"/>
      <c r="Q382" s="153"/>
      <c r="R382" s="153"/>
      <c r="S382" s="153"/>
      <c r="T382" s="153"/>
      <c r="U382" s="153"/>
      <c r="V382" s="153"/>
      <c r="W382" s="153"/>
      <c r="X382" s="153"/>
      <c r="Y382" s="153"/>
      <c r="Z382" s="153"/>
      <c r="AA382" s="153"/>
      <c r="AB382" s="153"/>
      <c r="AC382" s="153"/>
      <c r="AD382" s="153"/>
      <c r="AE382" s="153"/>
      <c r="AF382" s="153"/>
      <c r="AG382" s="153"/>
      <c r="AH382" s="153"/>
      <c r="AI382" s="153"/>
      <c r="AJ382" s="153"/>
      <c r="AK382" s="153"/>
      <c r="AL382" s="153"/>
      <c r="AM382" s="153"/>
      <c r="AN382" s="153"/>
      <c r="AO382" s="153"/>
      <c r="AP382" s="153"/>
      <c r="AQ382" s="153"/>
      <c r="AR382" s="153"/>
    </row>
    <row r="383" spans="1:44">
      <c r="A383" s="741">
        <f>Gases!A390</f>
        <v>365</v>
      </c>
      <c r="B383" s="153"/>
      <c r="C383" s="153"/>
      <c r="D383" s="153"/>
      <c r="E383" s="153"/>
      <c r="F383" s="153"/>
      <c r="G383" s="153"/>
      <c r="H383" s="153"/>
      <c r="I383" s="153"/>
      <c r="J383" s="153"/>
      <c r="K383" s="153"/>
      <c r="L383" s="153"/>
      <c r="M383" s="153"/>
      <c r="N383" s="153"/>
      <c r="O383" s="153"/>
      <c r="P383" s="153"/>
      <c r="Q383" s="153"/>
      <c r="R383" s="153"/>
      <c r="S383" s="153"/>
      <c r="T383" s="153"/>
      <c r="U383" s="153"/>
      <c r="V383" s="153"/>
      <c r="W383" s="153"/>
      <c r="X383" s="153"/>
      <c r="Y383" s="153"/>
      <c r="Z383" s="153"/>
      <c r="AA383" s="153"/>
      <c r="AB383" s="153"/>
      <c r="AC383" s="153"/>
      <c r="AD383" s="153"/>
      <c r="AE383" s="153"/>
      <c r="AF383" s="153"/>
      <c r="AG383" s="153"/>
      <c r="AH383" s="153"/>
      <c r="AI383" s="153"/>
      <c r="AJ383" s="153"/>
      <c r="AK383" s="153"/>
      <c r="AL383" s="153"/>
      <c r="AM383" s="153"/>
      <c r="AN383" s="153"/>
      <c r="AO383" s="153"/>
      <c r="AP383" s="153"/>
      <c r="AQ383" s="153"/>
      <c r="AR383" s="153"/>
    </row>
    <row r="384" spans="1:44">
      <c r="A384" s="741">
        <f>Gases!A391</f>
        <v>366</v>
      </c>
      <c r="B384" s="153"/>
      <c r="C384" s="153"/>
      <c r="D384" s="153"/>
      <c r="E384" s="153"/>
      <c r="F384" s="153"/>
      <c r="G384" s="153"/>
      <c r="H384" s="153"/>
      <c r="I384" s="153"/>
      <c r="J384" s="153"/>
      <c r="K384" s="153"/>
      <c r="L384" s="153"/>
      <c r="M384" s="153"/>
      <c r="N384" s="153"/>
      <c r="O384" s="153"/>
      <c r="P384" s="153"/>
      <c r="Q384" s="153"/>
      <c r="R384" s="153"/>
      <c r="S384" s="153"/>
      <c r="T384" s="153"/>
      <c r="U384" s="153"/>
      <c r="V384" s="153"/>
      <c r="W384" s="153"/>
      <c r="X384" s="153"/>
      <c r="Y384" s="153"/>
      <c r="Z384" s="153"/>
      <c r="AA384" s="153"/>
      <c r="AB384" s="153"/>
      <c r="AC384" s="153"/>
      <c r="AD384" s="153"/>
      <c r="AE384" s="153"/>
      <c r="AF384" s="153"/>
      <c r="AG384" s="153"/>
      <c r="AH384" s="153"/>
      <c r="AI384" s="153"/>
      <c r="AJ384" s="153"/>
      <c r="AK384" s="153"/>
      <c r="AL384" s="153"/>
      <c r="AM384" s="153"/>
      <c r="AN384" s="153"/>
      <c r="AO384" s="153"/>
      <c r="AP384" s="153"/>
      <c r="AQ384" s="153"/>
      <c r="AR384" s="153"/>
    </row>
    <row r="385" spans="1:44">
      <c r="A385" s="741">
        <f>Gases!A392</f>
        <v>367</v>
      </c>
      <c r="B385" s="153"/>
      <c r="C385" s="153"/>
      <c r="D385" s="153"/>
      <c r="E385" s="153"/>
      <c r="F385" s="153"/>
      <c r="G385" s="153"/>
      <c r="H385" s="153"/>
      <c r="I385" s="153"/>
      <c r="J385" s="153"/>
      <c r="K385" s="153"/>
      <c r="L385" s="153"/>
      <c r="M385" s="153"/>
      <c r="N385" s="153"/>
      <c r="O385" s="153"/>
      <c r="P385" s="153"/>
      <c r="Q385" s="153"/>
      <c r="R385" s="153"/>
      <c r="S385" s="153"/>
      <c r="T385" s="153"/>
      <c r="U385" s="153"/>
      <c r="V385" s="153"/>
      <c r="W385" s="153"/>
      <c r="X385" s="153"/>
      <c r="Y385" s="153"/>
      <c r="Z385" s="153"/>
      <c r="AA385" s="153"/>
      <c r="AB385" s="153"/>
      <c r="AC385" s="153"/>
      <c r="AD385" s="153"/>
      <c r="AE385" s="153"/>
      <c r="AF385" s="153"/>
      <c r="AG385" s="153"/>
      <c r="AH385" s="153"/>
      <c r="AI385" s="153"/>
      <c r="AJ385" s="153"/>
      <c r="AK385" s="153"/>
      <c r="AL385" s="153"/>
      <c r="AM385" s="153"/>
      <c r="AN385" s="153"/>
      <c r="AO385" s="153"/>
      <c r="AP385" s="153"/>
      <c r="AQ385" s="153"/>
      <c r="AR385" s="153"/>
    </row>
    <row r="386" spans="1:44">
      <c r="A386" s="741">
        <f>Gases!A393</f>
        <v>368</v>
      </c>
      <c r="B386" s="153"/>
      <c r="C386" s="153"/>
      <c r="D386" s="153"/>
      <c r="E386" s="153"/>
      <c r="F386" s="153"/>
      <c r="G386" s="153"/>
      <c r="H386" s="153"/>
      <c r="I386" s="153"/>
      <c r="J386" s="153"/>
      <c r="K386" s="153"/>
      <c r="L386" s="153"/>
      <c r="M386" s="153"/>
      <c r="N386" s="153"/>
      <c r="O386" s="153"/>
      <c r="P386" s="153"/>
      <c r="Q386" s="153"/>
      <c r="R386" s="153"/>
      <c r="S386" s="153"/>
      <c r="T386" s="153"/>
      <c r="U386" s="153"/>
      <c r="V386" s="153"/>
      <c r="W386" s="153"/>
      <c r="X386" s="153"/>
      <c r="Y386" s="153"/>
      <c r="Z386" s="153"/>
      <c r="AA386" s="153"/>
      <c r="AB386" s="153"/>
      <c r="AC386" s="153"/>
      <c r="AD386" s="153"/>
      <c r="AE386" s="153"/>
      <c r="AF386" s="153"/>
      <c r="AG386" s="153"/>
      <c r="AH386" s="153"/>
      <c r="AI386" s="153"/>
      <c r="AJ386" s="153"/>
      <c r="AK386" s="153"/>
      <c r="AL386" s="153"/>
      <c r="AM386" s="153"/>
      <c r="AN386" s="153"/>
      <c r="AO386" s="153"/>
      <c r="AP386" s="153"/>
      <c r="AQ386" s="153"/>
      <c r="AR386" s="153"/>
    </row>
    <row r="387" spans="1:44">
      <c r="A387" s="741">
        <f>Gases!A394</f>
        <v>369</v>
      </c>
      <c r="B387" s="153"/>
      <c r="C387" s="153"/>
      <c r="D387" s="153"/>
      <c r="E387" s="153"/>
      <c r="F387" s="153"/>
      <c r="G387" s="153"/>
      <c r="H387" s="153"/>
      <c r="I387" s="153"/>
      <c r="J387" s="153"/>
      <c r="K387" s="153"/>
      <c r="L387" s="153"/>
      <c r="M387" s="153"/>
      <c r="N387" s="153"/>
      <c r="O387" s="153"/>
      <c r="P387" s="153"/>
      <c r="Q387" s="153"/>
      <c r="R387" s="153"/>
      <c r="S387" s="153"/>
      <c r="T387" s="153"/>
      <c r="U387" s="153"/>
      <c r="V387" s="153"/>
      <c r="W387" s="153"/>
      <c r="X387" s="153"/>
      <c r="Y387" s="153"/>
      <c r="Z387" s="153"/>
      <c r="AA387" s="153"/>
      <c r="AB387" s="153"/>
      <c r="AC387" s="153"/>
      <c r="AD387" s="153"/>
      <c r="AE387" s="153"/>
      <c r="AF387" s="153"/>
      <c r="AG387" s="153"/>
      <c r="AH387" s="153"/>
      <c r="AI387" s="153"/>
      <c r="AJ387" s="153"/>
      <c r="AK387" s="153"/>
      <c r="AL387" s="153"/>
      <c r="AM387" s="153"/>
      <c r="AN387" s="153"/>
      <c r="AO387" s="153"/>
      <c r="AP387" s="153"/>
      <c r="AQ387" s="153"/>
      <c r="AR387" s="153"/>
    </row>
    <row r="388" spans="1:44">
      <c r="A388" s="741">
        <f>Gases!A395</f>
        <v>370</v>
      </c>
      <c r="B388" s="153"/>
      <c r="C388" s="153"/>
      <c r="D388" s="153"/>
      <c r="E388" s="153"/>
      <c r="F388" s="153"/>
      <c r="G388" s="153"/>
      <c r="H388" s="153"/>
      <c r="I388" s="153"/>
      <c r="J388" s="153"/>
      <c r="K388" s="153"/>
      <c r="L388" s="153"/>
      <c r="M388" s="153"/>
      <c r="N388" s="153"/>
      <c r="O388" s="153"/>
      <c r="P388" s="153"/>
      <c r="Q388" s="153"/>
      <c r="R388" s="153"/>
      <c r="S388" s="153"/>
      <c r="T388" s="153"/>
      <c r="U388" s="153"/>
      <c r="V388" s="153"/>
      <c r="W388" s="153"/>
      <c r="X388" s="153"/>
      <c r="Y388" s="153"/>
      <c r="Z388" s="153"/>
      <c r="AA388" s="153"/>
      <c r="AB388" s="153"/>
      <c r="AC388" s="153"/>
      <c r="AD388" s="153"/>
      <c r="AE388" s="153"/>
      <c r="AF388" s="153"/>
      <c r="AG388" s="153"/>
      <c r="AH388" s="153"/>
      <c r="AI388" s="153"/>
      <c r="AJ388" s="153"/>
      <c r="AK388" s="153"/>
      <c r="AL388" s="153"/>
      <c r="AM388" s="153"/>
      <c r="AN388" s="153"/>
      <c r="AO388" s="153"/>
      <c r="AP388" s="153"/>
      <c r="AQ388" s="153"/>
      <c r="AR388" s="153"/>
    </row>
    <row r="389" spans="1:44">
      <c r="A389" s="741">
        <f>Gases!A396</f>
        <v>371</v>
      </c>
      <c r="B389" s="153"/>
      <c r="C389" s="153"/>
      <c r="D389" s="153"/>
      <c r="E389" s="153"/>
      <c r="F389" s="153"/>
      <c r="G389" s="153"/>
      <c r="H389" s="153"/>
      <c r="I389" s="153"/>
      <c r="J389" s="153"/>
      <c r="K389" s="153"/>
      <c r="L389" s="153"/>
      <c r="M389" s="153"/>
      <c r="N389" s="153"/>
      <c r="O389" s="153"/>
      <c r="P389" s="153"/>
      <c r="Q389" s="153"/>
      <c r="R389" s="153"/>
      <c r="S389" s="153"/>
      <c r="T389" s="153"/>
      <c r="U389" s="153"/>
      <c r="V389" s="153"/>
      <c r="W389" s="153"/>
      <c r="X389" s="153"/>
      <c r="Y389" s="153"/>
      <c r="Z389" s="153"/>
      <c r="AA389" s="153"/>
      <c r="AB389" s="153"/>
      <c r="AC389" s="153"/>
      <c r="AD389" s="153"/>
      <c r="AE389" s="153"/>
      <c r="AF389" s="153"/>
      <c r="AG389" s="153"/>
      <c r="AH389" s="153"/>
      <c r="AI389" s="153"/>
      <c r="AJ389" s="153"/>
      <c r="AK389" s="153"/>
      <c r="AL389" s="153"/>
      <c r="AM389" s="153"/>
      <c r="AN389" s="153"/>
      <c r="AO389" s="153"/>
      <c r="AP389" s="153"/>
      <c r="AQ389" s="153"/>
      <c r="AR389" s="153"/>
    </row>
    <row r="390" spans="1:44">
      <c r="A390" s="741">
        <f>Gases!A397</f>
        <v>372</v>
      </c>
      <c r="B390" s="153"/>
      <c r="C390" s="153"/>
      <c r="D390" s="153"/>
      <c r="E390" s="153"/>
      <c r="F390" s="153"/>
      <c r="G390" s="153"/>
      <c r="H390" s="153"/>
      <c r="I390" s="153"/>
      <c r="J390" s="153"/>
      <c r="K390" s="153"/>
      <c r="L390" s="153"/>
      <c r="M390" s="153"/>
      <c r="N390" s="153"/>
      <c r="O390" s="153"/>
      <c r="P390" s="153"/>
      <c r="Q390" s="153"/>
      <c r="R390" s="153"/>
      <c r="S390" s="153"/>
      <c r="T390" s="153"/>
      <c r="U390" s="153"/>
      <c r="V390" s="153"/>
      <c r="W390" s="153"/>
      <c r="X390" s="153"/>
      <c r="Y390" s="153"/>
      <c r="Z390" s="153"/>
      <c r="AA390" s="153"/>
      <c r="AB390" s="153"/>
      <c r="AC390" s="153"/>
      <c r="AD390" s="153"/>
      <c r="AE390" s="153"/>
      <c r="AF390" s="153"/>
      <c r="AG390" s="153"/>
      <c r="AH390" s="153"/>
      <c r="AI390" s="153"/>
      <c r="AJ390" s="153"/>
      <c r="AK390" s="153"/>
      <c r="AL390" s="153"/>
      <c r="AM390" s="153"/>
      <c r="AN390" s="153"/>
      <c r="AO390" s="153"/>
      <c r="AP390" s="153"/>
      <c r="AQ390" s="153"/>
      <c r="AR390" s="153"/>
    </row>
    <row r="391" spans="1:44">
      <c r="A391" s="741">
        <f>Gases!A398</f>
        <v>373</v>
      </c>
      <c r="B391" s="153"/>
      <c r="C391" s="153"/>
      <c r="D391" s="153"/>
      <c r="E391" s="153"/>
      <c r="F391" s="153"/>
      <c r="G391" s="153"/>
      <c r="H391" s="153"/>
      <c r="I391" s="153"/>
      <c r="J391" s="153"/>
      <c r="K391" s="153"/>
      <c r="L391" s="153"/>
      <c r="M391" s="153"/>
      <c r="N391" s="153"/>
      <c r="O391" s="153"/>
      <c r="P391" s="153"/>
      <c r="Q391" s="153"/>
      <c r="R391" s="153"/>
      <c r="S391" s="153"/>
      <c r="T391" s="153"/>
      <c r="U391" s="153"/>
      <c r="V391" s="153"/>
      <c r="W391" s="153"/>
      <c r="X391" s="153"/>
      <c r="Y391" s="153"/>
      <c r="Z391" s="153"/>
      <c r="AA391" s="153"/>
      <c r="AB391" s="153"/>
      <c r="AC391" s="153"/>
      <c r="AD391" s="153"/>
      <c r="AE391" s="153"/>
      <c r="AF391" s="153"/>
      <c r="AG391" s="153"/>
      <c r="AH391" s="153"/>
      <c r="AI391" s="153"/>
      <c r="AJ391" s="153"/>
      <c r="AK391" s="153"/>
      <c r="AL391" s="153"/>
      <c r="AM391" s="153"/>
      <c r="AN391" s="153"/>
      <c r="AO391" s="153"/>
      <c r="AP391" s="153"/>
      <c r="AQ391" s="153"/>
      <c r="AR391" s="153"/>
    </row>
    <row r="392" spans="1:44">
      <c r="A392" s="741">
        <f>Gases!A399</f>
        <v>374</v>
      </c>
      <c r="B392" s="153"/>
      <c r="C392" s="153"/>
      <c r="D392" s="153"/>
      <c r="E392" s="153"/>
      <c r="F392" s="153"/>
      <c r="G392" s="153"/>
      <c r="H392" s="153"/>
      <c r="I392" s="153"/>
      <c r="J392" s="153"/>
      <c r="K392" s="153"/>
      <c r="L392" s="153"/>
      <c r="M392" s="153"/>
      <c r="N392" s="153"/>
      <c r="O392" s="153"/>
      <c r="P392" s="153"/>
      <c r="Q392" s="153"/>
      <c r="R392" s="153"/>
      <c r="S392" s="153"/>
      <c r="T392" s="153"/>
      <c r="U392" s="153"/>
      <c r="V392" s="153"/>
      <c r="W392" s="153"/>
      <c r="X392" s="153"/>
      <c r="Y392" s="153"/>
      <c r="Z392" s="153"/>
      <c r="AA392" s="153"/>
      <c r="AB392" s="153"/>
      <c r="AC392" s="153"/>
      <c r="AD392" s="153"/>
      <c r="AE392" s="153"/>
      <c r="AF392" s="153"/>
      <c r="AG392" s="153"/>
      <c r="AH392" s="153"/>
      <c r="AI392" s="153"/>
      <c r="AJ392" s="153"/>
      <c r="AK392" s="153"/>
      <c r="AL392" s="153"/>
      <c r="AM392" s="153"/>
      <c r="AN392" s="153"/>
      <c r="AO392" s="153"/>
      <c r="AP392" s="153"/>
      <c r="AQ392" s="153"/>
      <c r="AR392" s="153"/>
    </row>
    <row r="393" spans="1:44">
      <c r="A393" s="741">
        <f>Gases!A400</f>
        <v>375</v>
      </c>
      <c r="B393" s="153"/>
      <c r="C393" s="153"/>
      <c r="D393" s="153"/>
      <c r="E393" s="153"/>
      <c r="F393" s="153"/>
      <c r="G393" s="153"/>
      <c r="H393" s="153"/>
      <c r="I393" s="153"/>
      <c r="J393" s="153"/>
      <c r="K393" s="153"/>
      <c r="L393" s="153"/>
      <c r="M393" s="153"/>
      <c r="N393" s="153"/>
      <c r="O393" s="153"/>
      <c r="P393" s="153"/>
      <c r="Q393" s="153"/>
      <c r="R393" s="153"/>
      <c r="S393" s="153"/>
      <c r="T393" s="153"/>
      <c r="U393" s="153"/>
      <c r="V393" s="153"/>
      <c r="W393" s="153"/>
      <c r="X393" s="153"/>
      <c r="Y393" s="153"/>
      <c r="Z393" s="153"/>
      <c r="AA393" s="153"/>
      <c r="AB393" s="153"/>
      <c r="AC393" s="153"/>
      <c r="AD393" s="153"/>
      <c r="AE393" s="153"/>
      <c r="AF393" s="153"/>
      <c r="AG393" s="153"/>
      <c r="AH393" s="153"/>
      <c r="AI393" s="153"/>
      <c r="AJ393" s="153"/>
      <c r="AK393" s="153"/>
      <c r="AL393" s="153"/>
      <c r="AM393" s="153"/>
      <c r="AN393" s="153"/>
      <c r="AO393" s="153"/>
      <c r="AP393" s="153"/>
      <c r="AQ393" s="153"/>
      <c r="AR393" s="153"/>
    </row>
    <row r="394" spans="1:44">
      <c r="A394" s="741">
        <f>Gases!A401</f>
        <v>376</v>
      </c>
      <c r="B394" s="153"/>
      <c r="C394" s="153"/>
      <c r="D394" s="153"/>
      <c r="E394" s="153"/>
      <c r="F394" s="153"/>
      <c r="G394" s="153"/>
      <c r="H394" s="153"/>
      <c r="I394" s="153"/>
      <c r="J394" s="153"/>
      <c r="K394" s="153"/>
      <c r="L394" s="153"/>
      <c r="M394" s="153"/>
      <c r="N394" s="153"/>
      <c r="O394" s="153"/>
      <c r="P394" s="153"/>
      <c r="Q394" s="153"/>
      <c r="R394" s="153"/>
      <c r="S394" s="153"/>
      <c r="T394" s="153"/>
      <c r="U394" s="153"/>
      <c r="V394" s="153"/>
      <c r="W394" s="153"/>
      <c r="X394" s="153"/>
      <c r="Y394" s="153"/>
      <c r="Z394" s="153"/>
      <c r="AA394" s="153"/>
      <c r="AB394" s="153"/>
      <c r="AC394" s="153"/>
      <c r="AD394" s="153"/>
      <c r="AE394" s="153"/>
      <c r="AF394" s="153"/>
      <c r="AG394" s="153"/>
      <c r="AH394" s="153"/>
      <c r="AI394" s="153"/>
      <c r="AJ394" s="153"/>
      <c r="AK394" s="153"/>
      <c r="AL394" s="153"/>
      <c r="AM394" s="153"/>
      <c r="AN394" s="153"/>
      <c r="AO394" s="153"/>
      <c r="AP394" s="153"/>
      <c r="AQ394" s="153"/>
      <c r="AR394" s="153"/>
    </row>
    <row r="395" spans="1:44">
      <c r="A395" s="741">
        <f>Gases!A402</f>
        <v>377</v>
      </c>
      <c r="B395" s="153"/>
      <c r="C395" s="153"/>
      <c r="D395" s="153"/>
      <c r="E395" s="153"/>
      <c r="F395" s="153"/>
      <c r="G395" s="153"/>
      <c r="H395" s="153"/>
      <c r="I395" s="153"/>
      <c r="J395" s="153"/>
      <c r="K395" s="153"/>
      <c r="L395" s="153"/>
      <c r="M395" s="153"/>
      <c r="N395" s="153"/>
      <c r="O395" s="153"/>
      <c r="P395" s="153"/>
      <c r="Q395" s="153"/>
      <c r="R395" s="153"/>
      <c r="S395" s="153"/>
      <c r="T395" s="153"/>
      <c r="U395" s="153"/>
      <c r="V395" s="153"/>
      <c r="W395" s="153"/>
      <c r="X395" s="153"/>
      <c r="Y395" s="153"/>
      <c r="Z395" s="153"/>
      <c r="AA395" s="153"/>
      <c r="AB395" s="153"/>
      <c r="AC395" s="153"/>
      <c r="AD395" s="153"/>
      <c r="AE395" s="153"/>
      <c r="AF395" s="153"/>
      <c r="AG395" s="153"/>
      <c r="AH395" s="153"/>
      <c r="AI395" s="153"/>
      <c r="AJ395" s="153"/>
      <c r="AK395" s="153"/>
      <c r="AL395" s="153"/>
      <c r="AM395" s="153"/>
      <c r="AN395" s="153"/>
      <c r="AO395" s="153"/>
      <c r="AP395" s="153"/>
      <c r="AQ395" s="153"/>
      <c r="AR395" s="153"/>
    </row>
    <row r="396" spans="1:44">
      <c r="A396" s="741">
        <f>Gases!A403</f>
        <v>378</v>
      </c>
      <c r="B396" s="153"/>
      <c r="C396" s="153"/>
      <c r="D396" s="153"/>
      <c r="E396" s="153"/>
      <c r="F396" s="153"/>
      <c r="G396" s="153"/>
      <c r="H396" s="153"/>
      <c r="I396" s="153"/>
      <c r="J396" s="153"/>
      <c r="K396" s="153"/>
      <c r="L396" s="153"/>
      <c r="M396" s="153"/>
      <c r="N396" s="153"/>
      <c r="O396" s="153"/>
      <c r="P396" s="153"/>
      <c r="Q396" s="153"/>
      <c r="R396" s="153"/>
      <c r="S396" s="153"/>
      <c r="T396" s="153"/>
      <c r="U396" s="153"/>
      <c r="V396" s="153"/>
      <c r="W396" s="153"/>
      <c r="X396" s="153"/>
      <c r="Y396" s="153"/>
      <c r="Z396" s="153"/>
      <c r="AA396" s="153"/>
      <c r="AB396" s="153"/>
      <c r="AC396" s="153"/>
      <c r="AD396" s="153"/>
      <c r="AE396" s="153"/>
      <c r="AF396" s="153"/>
      <c r="AG396" s="153"/>
      <c r="AH396" s="153"/>
      <c r="AI396" s="153"/>
      <c r="AJ396" s="153"/>
      <c r="AK396" s="153"/>
      <c r="AL396" s="153"/>
      <c r="AM396" s="153"/>
      <c r="AN396" s="153"/>
      <c r="AO396" s="153"/>
      <c r="AP396" s="153"/>
      <c r="AQ396" s="153"/>
      <c r="AR396" s="153"/>
    </row>
    <row r="397" spans="1:44">
      <c r="A397" s="741">
        <f>Gases!A404</f>
        <v>379</v>
      </c>
      <c r="B397" s="153"/>
      <c r="C397" s="153"/>
      <c r="D397" s="153"/>
      <c r="E397" s="153"/>
      <c r="F397" s="153"/>
      <c r="G397" s="153"/>
      <c r="H397" s="153"/>
      <c r="I397" s="153"/>
      <c r="J397" s="153"/>
      <c r="K397" s="153"/>
      <c r="L397" s="153"/>
      <c r="M397" s="153"/>
      <c r="N397" s="153"/>
      <c r="O397" s="153"/>
      <c r="P397" s="153"/>
      <c r="Q397" s="153"/>
      <c r="R397" s="153"/>
      <c r="S397" s="153"/>
      <c r="T397" s="153"/>
      <c r="U397" s="153"/>
      <c r="V397" s="153"/>
      <c r="W397" s="153"/>
      <c r="X397" s="153"/>
      <c r="Y397" s="153"/>
      <c r="Z397" s="153"/>
      <c r="AA397" s="153"/>
      <c r="AB397" s="153"/>
      <c r="AC397" s="153"/>
      <c r="AD397" s="153"/>
      <c r="AE397" s="153"/>
      <c r="AF397" s="153"/>
      <c r="AG397" s="153"/>
      <c r="AH397" s="153"/>
      <c r="AI397" s="153"/>
      <c r="AJ397" s="153"/>
      <c r="AK397" s="153"/>
      <c r="AL397" s="153"/>
      <c r="AM397" s="153"/>
      <c r="AN397" s="153"/>
      <c r="AO397" s="153"/>
      <c r="AP397" s="153"/>
      <c r="AQ397" s="153"/>
      <c r="AR397" s="153"/>
    </row>
    <row r="398" spans="1:44">
      <c r="A398" s="741">
        <f>Gases!A405</f>
        <v>380</v>
      </c>
      <c r="B398" s="153"/>
      <c r="C398" s="153"/>
      <c r="D398" s="153"/>
      <c r="E398" s="153"/>
      <c r="F398" s="153"/>
      <c r="G398" s="153"/>
      <c r="H398" s="153"/>
      <c r="I398" s="153"/>
      <c r="J398" s="153"/>
      <c r="K398" s="153"/>
      <c r="L398" s="153"/>
      <c r="M398" s="153"/>
      <c r="N398" s="153"/>
      <c r="O398" s="153"/>
      <c r="P398" s="153"/>
      <c r="Q398" s="153"/>
      <c r="R398" s="153"/>
      <c r="S398" s="153"/>
      <c r="T398" s="153"/>
      <c r="U398" s="153"/>
      <c r="V398" s="153"/>
      <c r="W398" s="153"/>
      <c r="X398" s="153"/>
      <c r="Y398" s="153"/>
      <c r="Z398" s="153"/>
      <c r="AA398" s="153"/>
      <c r="AB398" s="153"/>
      <c r="AC398" s="153"/>
      <c r="AD398" s="153"/>
      <c r="AE398" s="153"/>
      <c r="AF398" s="153"/>
      <c r="AG398" s="153"/>
      <c r="AH398" s="153"/>
      <c r="AI398" s="153"/>
      <c r="AJ398" s="153"/>
      <c r="AK398" s="153"/>
      <c r="AL398" s="153"/>
      <c r="AM398" s="153"/>
      <c r="AN398" s="153"/>
      <c r="AO398" s="153"/>
      <c r="AP398" s="153"/>
      <c r="AQ398" s="153"/>
      <c r="AR398" s="153"/>
    </row>
    <row r="399" spans="1:44">
      <c r="A399" s="741">
        <f>Gases!A406</f>
        <v>381</v>
      </c>
      <c r="B399" s="153"/>
      <c r="C399" s="153"/>
      <c r="D399" s="153"/>
      <c r="E399" s="153"/>
      <c r="F399" s="153"/>
      <c r="G399" s="153"/>
      <c r="H399" s="153"/>
      <c r="I399" s="153"/>
      <c r="J399" s="153"/>
      <c r="K399" s="153"/>
      <c r="L399" s="153"/>
      <c r="M399" s="153"/>
      <c r="N399" s="153"/>
      <c r="O399" s="153"/>
      <c r="P399" s="153"/>
      <c r="Q399" s="153"/>
      <c r="R399" s="153"/>
      <c r="S399" s="153"/>
      <c r="T399" s="153"/>
      <c r="U399" s="153"/>
      <c r="V399" s="153"/>
      <c r="W399" s="153"/>
      <c r="X399" s="153"/>
      <c r="Y399" s="153"/>
      <c r="Z399" s="153"/>
      <c r="AA399" s="153"/>
      <c r="AB399" s="153"/>
      <c r="AC399" s="153"/>
      <c r="AD399" s="153"/>
      <c r="AE399" s="153"/>
      <c r="AF399" s="153"/>
      <c r="AG399" s="153"/>
      <c r="AH399" s="153"/>
      <c r="AI399" s="153"/>
      <c r="AJ399" s="153"/>
      <c r="AK399" s="153"/>
      <c r="AL399" s="153"/>
      <c r="AM399" s="153"/>
      <c r="AN399" s="153"/>
      <c r="AO399" s="153"/>
      <c r="AP399" s="153"/>
      <c r="AQ399" s="153"/>
      <c r="AR399" s="153"/>
    </row>
    <row r="400" spans="1:44">
      <c r="A400" s="741">
        <f>Gases!A407</f>
        <v>382</v>
      </c>
      <c r="B400" s="153"/>
      <c r="C400" s="153"/>
      <c r="D400" s="153"/>
      <c r="E400" s="153"/>
      <c r="F400" s="153"/>
      <c r="G400" s="153"/>
      <c r="H400" s="153"/>
      <c r="I400" s="153"/>
      <c r="J400" s="153"/>
      <c r="K400" s="153"/>
      <c r="L400" s="153"/>
      <c r="M400" s="153"/>
      <c r="N400" s="153"/>
      <c r="O400" s="153"/>
      <c r="P400" s="153"/>
      <c r="Q400" s="153"/>
      <c r="R400" s="153"/>
      <c r="S400" s="153"/>
      <c r="T400" s="153"/>
      <c r="U400" s="153"/>
      <c r="V400" s="153"/>
      <c r="W400" s="153"/>
      <c r="X400" s="153"/>
      <c r="Y400" s="153"/>
      <c r="Z400" s="153"/>
      <c r="AA400" s="153"/>
      <c r="AB400" s="153"/>
      <c r="AC400" s="153"/>
      <c r="AD400" s="153"/>
      <c r="AE400" s="153"/>
      <c r="AF400" s="153"/>
      <c r="AG400" s="153"/>
      <c r="AH400" s="153"/>
      <c r="AI400" s="153"/>
      <c r="AJ400" s="153"/>
      <c r="AK400" s="153"/>
      <c r="AL400" s="153"/>
      <c r="AM400" s="153"/>
      <c r="AN400" s="153"/>
      <c r="AO400" s="153"/>
      <c r="AP400" s="153"/>
      <c r="AQ400" s="153"/>
      <c r="AR400" s="153"/>
    </row>
    <row r="401" spans="1:44">
      <c r="A401" s="741">
        <f>Gases!A408</f>
        <v>383</v>
      </c>
      <c r="B401" s="153"/>
      <c r="C401" s="153"/>
      <c r="D401" s="153"/>
      <c r="E401" s="153"/>
      <c r="F401" s="153"/>
      <c r="G401" s="153"/>
      <c r="H401" s="153"/>
      <c r="I401" s="153"/>
      <c r="J401" s="153"/>
      <c r="K401" s="153"/>
      <c r="L401" s="153"/>
      <c r="M401" s="153"/>
      <c r="N401" s="153"/>
      <c r="O401" s="153"/>
      <c r="P401" s="153"/>
      <c r="Q401" s="153"/>
      <c r="R401" s="153"/>
      <c r="S401" s="153"/>
      <c r="T401" s="153"/>
      <c r="U401" s="153"/>
      <c r="V401" s="153"/>
      <c r="W401" s="153"/>
      <c r="X401" s="153"/>
      <c r="Y401" s="153"/>
      <c r="Z401" s="153"/>
      <c r="AA401" s="153"/>
      <c r="AB401" s="153"/>
      <c r="AC401" s="153"/>
      <c r="AD401" s="153"/>
      <c r="AE401" s="153"/>
      <c r="AF401" s="153"/>
      <c r="AG401" s="153"/>
      <c r="AH401" s="153"/>
      <c r="AI401" s="153"/>
      <c r="AJ401" s="153"/>
      <c r="AK401" s="153"/>
      <c r="AL401" s="153"/>
      <c r="AM401" s="153"/>
      <c r="AN401" s="153"/>
      <c r="AO401" s="153"/>
      <c r="AP401" s="153"/>
      <c r="AQ401" s="153"/>
      <c r="AR401" s="153"/>
    </row>
    <row r="402" spans="1:44">
      <c r="A402" s="741">
        <f>Gases!A409</f>
        <v>384</v>
      </c>
      <c r="B402" s="153"/>
      <c r="C402" s="153"/>
      <c r="D402" s="153"/>
      <c r="E402" s="153"/>
      <c r="F402" s="153"/>
      <c r="G402" s="153"/>
      <c r="H402" s="153"/>
      <c r="I402" s="153"/>
      <c r="J402" s="153"/>
      <c r="K402" s="153"/>
      <c r="L402" s="153"/>
      <c r="M402" s="153"/>
      <c r="N402" s="153"/>
      <c r="O402" s="153"/>
      <c r="P402" s="153"/>
      <c r="Q402" s="153"/>
      <c r="R402" s="153"/>
      <c r="S402" s="153"/>
      <c r="T402" s="153"/>
      <c r="U402" s="153"/>
      <c r="V402" s="153"/>
      <c r="W402" s="153"/>
      <c r="X402" s="153"/>
      <c r="Y402" s="153"/>
      <c r="Z402" s="153"/>
      <c r="AA402" s="153"/>
      <c r="AB402" s="153"/>
      <c r="AC402" s="153"/>
      <c r="AD402" s="153"/>
      <c r="AE402" s="153"/>
      <c r="AF402" s="153"/>
      <c r="AG402" s="153"/>
      <c r="AH402" s="153"/>
      <c r="AI402" s="153"/>
      <c r="AJ402" s="153"/>
      <c r="AK402" s="153"/>
      <c r="AL402" s="153"/>
      <c r="AM402" s="153"/>
      <c r="AN402" s="153"/>
      <c r="AO402" s="153"/>
      <c r="AP402" s="153"/>
      <c r="AQ402" s="153"/>
      <c r="AR402" s="153"/>
    </row>
    <row r="403" spans="1:44">
      <c r="A403" s="741">
        <f>Gases!A410</f>
        <v>385</v>
      </c>
      <c r="B403" s="153"/>
      <c r="C403" s="153"/>
      <c r="D403" s="153"/>
      <c r="E403" s="153"/>
      <c r="F403" s="153"/>
      <c r="G403" s="153"/>
      <c r="H403" s="153"/>
      <c r="I403" s="153"/>
      <c r="J403" s="153"/>
      <c r="K403" s="153"/>
      <c r="L403" s="153"/>
      <c r="M403" s="153"/>
      <c r="N403" s="153"/>
      <c r="O403" s="153"/>
      <c r="P403" s="153"/>
      <c r="Q403" s="153"/>
      <c r="R403" s="153"/>
      <c r="S403" s="153"/>
      <c r="T403" s="153"/>
      <c r="U403" s="153"/>
      <c r="V403" s="153"/>
      <c r="W403" s="153"/>
      <c r="X403" s="153"/>
      <c r="Y403" s="153"/>
      <c r="Z403" s="153"/>
      <c r="AA403" s="153"/>
      <c r="AB403" s="153"/>
      <c r="AC403" s="153"/>
      <c r="AD403" s="153"/>
      <c r="AE403" s="153"/>
      <c r="AF403" s="153"/>
      <c r="AG403" s="153"/>
      <c r="AH403" s="153"/>
      <c r="AI403" s="153"/>
      <c r="AJ403" s="153"/>
      <c r="AK403" s="153"/>
      <c r="AL403" s="153"/>
      <c r="AM403" s="153"/>
      <c r="AN403" s="153"/>
      <c r="AO403" s="153"/>
      <c r="AP403" s="153"/>
      <c r="AQ403" s="153"/>
      <c r="AR403" s="153"/>
    </row>
    <row r="404" spans="1:44">
      <c r="A404" s="741">
        <f>Gases!A411</f>
        <v>386</v>
      </c>
      <c r="B404" s="153"/>
      <c r="C404" s="153"/>
      <c r="D404" s="153"/>
      <c r="E404" s="153"/>
      <c r="F404" s="153"/>
      <c r="G404" s="153"/>
      <c r="H404" s="153"/>
      <c r="I404" s="153"/>
      <c r="J404" s="153"/>
      <c r="K404" s="153"/>
      <c r="L404" s="153"/>
      <c r="M404" s="153"/>
      <c r="N404" s="153"/>
      <c r="O404" s="153"/>
      <c r="P404" s="153"/>
      <c r="Q404" s="153"/>
      <c r="R404" s="153"/>
      <c r="S404" s="153"/>
      <c r="T404" s="153"/>
      <c r="U404" s="153"/>
      <c r="V404" s="153"/>
      <c r="W404" s="153"/>
      <c r="X404" s="153"/>
      <c r="Y404" s="153"/>
      <c r="Z404" s="153"/>
      <c r="AA404" s="153"/>
      <c r="AB404" s="153"/>
      <c r="AC404" s="153"/>
      <c r="AD404" s="153"/>
      <c r="AE404" s="153"/>
      <c r="AF404" s="153"/>
      <c r="AG404" s="153"/>
      <c r="AH404" s="153"/>
      <c r="AI404" s="153"/>
      <c r="AJ404" s="153"/>
      <c r="AK404" s="153"/>
      <c r="AL404" s="153"/>
      <c r="AM404" s="153"/>
      <c r="AN404" s="153"/>
      <c r="AO404" s="153"/>
      <c r="AP404" s="153"/>
      <c r="AQ404" s="153"/>
      <c r="AR404" s="153"/>
    </row>
    <row r="405" spans="1:44">
      <c r="A405" s="741">
        <f>Gases!A412</f>
        <v>387</v>
      </c>
      <c r="B405" s="153"/>
      <c r="C405" s="153"/>
      <c r="D405" s="153"/>
      <c r="E405" s="153"/>
      <c r="F405" s="153"/>
      <c r="G405" s="153"/>
      <c r="H405" s="153"/>
      <c r="I405" s="153"/>
      <c r="J405" s="153"/>
      <c r="K405" s="153"/>
      <c r="L405" s="153"/>
      <c r="M405" s="153"/>
      <c r="N405" s="153"/>
      <c r="O405" s="153"/>
      <c r="P405" s="153"/>
      <c r="Q405" s="153"/>
      <c r="R405" s="153"/>
      <c r="S405" s="153"/>
      <c r="T405" s="153"/>
      <c r="U405" s="153"/>
      <c r="V405" s="153"/>
      <c r="W405" s="153"/>
      <c r="X405" s="153"/>
      <c r="Y405" s="153"/>
      <c r="Z405" s="153"/>
      <c r="AA405" s="153"/>
      <c r="AB405" s="153"/>
      <c r="AC405" s="153"/>
      <c r="AD405" s="153"/>
      <c r="AE405" s="153"/>
      <c r="AF405" s="153"/>
      <c r="AG405" s="153"/>
      <c r="AH405" s="153"/>
      <c r="AI405" s="153"/>
      <c r="AJ405" s="153"/>
      <c r="AK405" s="153"/>
      <c r="AL405" s="153"/>
      <c r="AM405" s="153"/>
      <c r="AN405" s="153"/>
      <c r="AO405" s="153"/>
      <c r="AP405" s="153"/>
      <c r="AQ405" s="153"/>
      <c r="AR405" s="153"/>
    </row>
    <row r="406" spans="1:44">
      <c r="A406" s="741">
        <f>Gases!A413</f>
        <v>388</v>
      </c>
      <c r="B406" s="153"/>
      <c r="C406" s="153"/>
      <c r="D406" s="153"/>
      <c r="E406" s="153"/>
      <c r="F406" s="153"/>
      <c r="G406" s="153"/>
      <c r="H406" s="153"/>
      <c r="I406" s="153"/>
      <c r="J406" s="153"/>
      <c r="K406" s="153"/>
      <c r="L406" s="153"/>
      <c r="M406" s="153"/>
      <c r="N406" s="153"/>
      <c r="O406" s="153"/>
      <c r="P406" s="153"/>
      <c r="Q406" s="153"/>
      <c r="R406" s="153"/>
      <c r="S406" s="153"/>
      <c r="T406" s="153"/>
      <c r="U406" s="153"/>
      <c r="V406" s="153"/>
      <c r="W406" s="153"/>
      <c r="X406" s="153"/>
      <c r="Y406" s="153"/>
      <c r="Z406" s="153"/>
      <c r="AA406" s="153"/>
      <c r="AB406" s="153"/>
      <c r="AC406" s="153"/>
      <c r="AD406" s="153"/>
      <c r="AE406" s="153"/>
      <c r="AF406" s="153"/>
      <c r="AG406" s="153"/>
      <c r="AH406" s="153"/>
      <c r="AI406" s="153"/>
      <c r="AJ406" s="153"/>
      <c r="AK406" s="153"/>
      <c r="AL406" s="153"/>
      <c r="AM406" s="153"/>
      <c r="AN406" s="153"/>
      <c r="AO406" s="153"/>
      <c r="AP406" s="153"/>
      <c r="AQ406" s="153"/>
      <c r="AR406" s="153"/>
    </row>
    <row r="407" spans="1:44">
      <c r="A407" s="741">
        <f>Gases!A414</f>
        <v>389</v>
      </c>
      <c r="B407" s="153"/>
      <c r="C407" s="153"/>
      <c r="D407" s="153"/>
      <c r="E407" s="153"/>
      <c r="F407" s="153"/>
      <c r="G407" s="153"/>
      <c r="H407" s="153"/>
      <c r="I407" s="153"/>
      <c r="J407" s="153"/>
      <c r="K407" s="153"/>
      <c r="L407" s="153"/>
      <c r="M407" s="153"/>
      <c r="N407" s="153"/>
      <c r="O407" s="153"/>
      <c r="P407" s="153"/>
      <c r="Q407" s="153"/>
      <c r="R407" s="153"/>
      <c r="S407" s="153"/>
      <c r="T407" s="153"/>
      <c r="U407" s="153"/>
      <c r="V407" s="153"/>
      <c r="W407" s="153"/>
      <c r="X407" s="153"/>
      <c r="Y407" s="153"/>
      <c r="Z407" s="153"/>
      <c r="AA407" s="153"/>
      <c r="AB407" s="153"/>
      <c r="AC407" s="153"/>
      <c r="AD407" s="153"/>
      <c r="AE407" s="153"/>
      <c r="AF407" s="153"/>
      <c r="AG407" s="153"/>
      <c r="AH407" s="153"/>
      <c r="AI407" s="153"/>
      <c r="AJ407" s="153"/>
      <c r="AK407" s="153"/>
      <c r="AL407" s="153"/>
      <c r="AM407" s="153"/>
      <c r="AN407" s="153"/>
      <c r="AO407" s="153"/>
      <c r="AP407" s="153"/>
      <c r="AQ407" s="153"/>
      <c r="AR407" s="153"/>
    </row>
    <row r="408" spans="1:44">
      <c r="A408" s="741">
        <f>Gases!A415</f>
        <v>390</v>
      </c>
      <c r="B408" s="153"/>
      <c r="C408" s="153"/>
      <c r="D408" s="153"/>
      <c r="E408" s="153"/>
      <c r="F408" s="153"/>
      <c r="G408" s="153"/>
      <c r="H408" s="153"/>
      <c r="I408" s="153"/>
      <c r="J408" s="153"/>
      <c r="K408" s="153"/>
      <c r="L408" s="153"/>
      <c r="M408" s="153"/>
      <c r="N408" s="153"/>
      <c r="O408" s="153"/>
      <c r="P408" s="153"/>
      <c r="Q408" s="153"/>
      <c r="R408" s="153"/>
      <c r="S408" s="153"/>
      <c r="T408" s="153"/>
      <c r="U408" s="153"/>
      <c r="V408" s="153"/>
      <c r="W408" s="153"/>
      <c r="X408" s="153"/>
      <c r="Y408" s="153"/>
      <c r="Z408" s="153"/>
      <c r="AA408" s="153"/>
      <c r="AB408" s="153"/>
      <c r="AC408" s="153"/>
      <c r="AD408" s="153"/>
      <c r="AE408" s="153"/>
      <c r="AF408" s="153"/>
      <c r="AG408" s="153"/>
      <c r="AH408" s="153"/>
      <c r="AI408" s="153"/>
      <c r="AJ408" s="153"/>
      <c r="AK408" s="153"/>
      <c r="AL408" s="153"/>
      <c r="AM408" s="153"/>
      <c r="AN408" s="153"/>
      <c r="AO408" s="153"/>
      <c r="AP408" s="153"/>
      <c r="AQ408" s="153"/>
      <c r="AR408" s="153"/>
    </row>
    <row r="409" spans="1:44">
      <c r="A409" s="741">
        <f>Gases!A416</f>
        <v>391</v>
      </c>
      <c r="B409" s="153"/>
      <c r="C409" s="153"/>
      <c r="D409" s="153"/>
      <c r="E409" s="153"/>
      <c r="F409" s="153"/>
      <c r="G409" s="153"/>
      <c r="H409" s="153"/>
      <c r="I409" s="153"/>
      <c r="J409" s="153"/>
      <c r="K409" s="153"/>
      <c r="L409" s="153"/>
      <c r="M409" s="153"/>
      <c r="N409" s="153"/>
      <c r="O409" s="153"/>
      <c r="P409" s="153"/>
      <c r="Q409" s="153"/>
      <c r="R409" s="153"/>
      <c r="S409" s="153"/>
      <c r="T409" s="153"/>
      <c r="U409" s="153"/>
      <c r="V409" s="153"/>
      <c r="W409" s="153"/>
      <c r="X409" s="153"/>
      <c r="Y409" s="153"/>
      <c r="Z409" s="153"/>
      <c r="AA409" s="153"/>
      <c r="AB409" s="153"/>
      <c r="AC409" s="153"/>
      <c r="AD409" s="153"/>
      <c r="AE409" s="153"/>
      <c r="AF409" s="153"/>
      <c r="AG409" s="153"/>
      <c r="AH409" s="153"/>
      <c r="AI409" s="153"/>
      <c r="AJ409" s="153"/>
      <c r="AK409" s="153"/>
      <c r="AL409" s="153"/>
      <c r="AM409" s="153"/>
      <c r="AN409" s="153"/>
      <c r="AO409" s="153"/>
      <c r="AP409" s="153"/>
      <c r="AQ409" s="153"/>
      <c r="AR409" s="153"/>
    </row>
    <row r="410" spans="1:44">
      <c r="A410" s="741">
        <f>Gases!A417</f>
        <v>392</v>
      </c>
      <c r="B410" s="153"/>
      <c r="C410" s="153"/>
      <c r="D410" s="153"/>
      <c r="E410" s="153"/>
      <c r="F410" s="153"/>
      <c r="G410" s="153"/>
      <c r="H410" s="153"/>
      <c r="I410" s="153"/>
      <c r="J410" s="153"/>
      <c r="K410" s="153"/>
      <c r="L410" s="153"/>
      <c r="M410" s="153"/>
      <c r="N410" s="153"/>
      <c r="O410" s="153"/>
      <c r="P410" s="153"/>
      <c r="Q410" s="153"/>
      <c r="R410" s="153"/>
      <c r="S410" s="153"/>
      <c r="T410" s="153"/>
      <c r="U410" s="153"/>
      <c r="V410" s="153"/>
      <c r="W410" s="153"/>
      <c r="X410" s="153"/>
      <c r="Y410" s="153"/>
      <c r="Z410" s="153"/>
      <c r="AA410" s="153"/>
      <c r="AB410" s="153"/>
      <c r="AC410" s="153"/>
      <c r="AD410" s="153"/>
      <c r="AE410" s="153"/>
      <c r="AF410" s="153"/>
      <c r="AG410" s="153"/>
      <c r="AH410" s="153"/>
      <c r="AI410" s="153"/>
      <c r="AJ410" s="153"/>
      <c r="AK410" s="153"/>
      <c r="AL410" s="153"/>
      <c r="AM410" s="153"/>
      <c r="AN410" s="153"/>
      <c r="AO410" s="153"/>
      <c r="AP410" s="153"/>
      <c r="AQ410" s="153"/>
      <c r="AR410" s="153"/>
    </row>
    <row r="411" spans="1:44">
      <c r="A411" s="741">
        <f>Gases!A418</f>
        <v>393</v>
      </c>
      <c r="B411" s="153"/>
      <c r="C411" s="153"/>
      <c r="D411" s="153"/>
      <c r="E411" s="153"/>
      <c r="F411" s="153"/>
      <c r="G411" s="153"/>
      <c r="H411" s="153"/>
      <c r="I411" s="153"/>
      <c r="J411" s="153"/>
      <c r="K411" s="153"/>
      <c r="L411" s="153"/>
      <c r="M411" s="153"/>
      <c r="N411" s="153"/>
      <c r="O411" s="153"/>
      <c r="P411" s="153"/>
      <c r="Q411" s="153"/>
      <c r="R411" s="153"/>
      <c r="S411" s="153"/>
      <c r="T411" s="153"/>
      <c r="U411" s="153"/>
      <c r="V411" s="153"/>
      <c r="W411" s="153"/>
      <c r="X411" s="153"/>
      <c r="Y411" s="153"/>
      <c r="Z411" s="153"/>
      <c r="AA411" s="153"/>
      <c r="AB411" s="153"/>
      <c r="AC411" s="153"/>
      <c r="AD411" s="153"/>
      <c r="AE411" s="153"/>
      <c r="AF411" s="153"/>
      <c r="AG411" s="153"/>
      <c r="AH411" s="153"/>
      <c r="AI411" s="153"/>
      <c r="AJ411" s="153"/>
      <c r="AK411" s="153"/>
      <c r="AL411" s="153"/>
      <c r="AM411" s="153"/>
      <c r="AN411" s="153"/>
      <c r="AO411" s="153"/>
      <c r="AP411" s="153"/>
      <c r="AQ411" s="153"/>
      <c r="AR411" s="153"/>
    </row>
    <row r="412" spans="1:44">
      <c r="A412" s="741">
        <f>Gases!A419</f>
        <v>394</v>
      </c>
      <c r="B412" s="153"/>
      <c r="C412" s="153"/>
      <c r="D412" s="153"/>
      <c r="E412" s="153"/>
      <c r="F412" s="153"/>
      <c r="G412" s="153"/>
      <c r="H412" s="153"/>
      <c r="I412" s="153"/>
      <c r="J412" s="153"/>
      <c r="K412" s="153"/>
      <c r="L412" s="153"/>
      <c r="M412" s="153"/>
      <c r="N412" s="153"/>
      <c r="O412" s="153"/>
      <c r="P412" s="153"/>
      <c r="Q412" s="153"/>
      <c r="R412" s="153"/>
      <c r="S412" s="153"/>
      <c r="T412" s="153"/>
      <c r="U412" s="153"/>
      <c r="V412" s="153"/>
      <c r="W412" s="153"/>
      <c r="X412" s="153"/>
      <c r="Y412" s="153"/>
      <c r="Z412" s="153"/>
      <c r="AA412" s="153"/>
      <c r="AB412" s="153"/>
      <c r="AC412" s="153"/>
      <c r="AD412" s="153"/>
      <c r="AE412" s="153"/>
      <c r="AF412" s="153"/>
      <c r="AG412" s="153"/>
      <c r="AH412" s="153"/>
      <c r="AI412" s="153"/>
      <c r="AJ412" s="153"/>
      <c r="AK412" s="153"/>
      <c r="AL412" s="153"/>
      <c r="AM412" s="153"/>
      <c r="AN412" s="153"/>
      <c r="AO412" s="153"/>
      <c r="AP412" s="153"/>
      <c r="AQ412" s="153"/>
      <c r="AR412" s="153"/>
    </row>
    <row r="413" spans="1:44">
      <c r="A413" s="741">
        <f>Gases!A420</f>
        <v>395</v>
      </c>
      <c r="B413" s="153"/>
      <c r="C413" s="153"/>
      <c r="D413" s="153"/>
      <c r="E413" s="153"/>
      <c r="F413" s="153"/>
      <c r="G413" s="153"/>
      <c r="H413" s="153"/>
      <c r="I413" s="153"/>
      <c r="J413" s="153"/>
      <c r="K413" s="153"/>
      <c r="L413" s="153"/>
      <c r="M413" s="153"/>
      <c r="N413" s="153"/>
      <c r="O413" s="153"/>
      <c r="P413" s="153"/>
      <c r="Q413" s="153"/>
      <c r="R413" s="153"/>
      <c r="S413" s="153"/>
      <c r="T413" s="153"/>
      <c r="U413" s="153"/>
      <c r="V413" s="153"/>
      <c r="W413" s="153"/>
      <c r="X413" s="153"/>
      <c r="Y413" s="153"/>
      <c r="Z413" s="153"/>
      <c r="AA413" s="153"/>
      <c r="AB413" s="153"/>
      <c r="AC413" s="153"/>
      <c r="AD413" s="153"/>
      <c r="AE413" s="153"/>
      <c r="AF413" s="153"/>
      <c r="AG413" s="153"/>
      <c r="AH413" s="153"/>
      <c r="AI413" s="153"/>
      <c r="AJ413" s="153"/>
      <c r="AK413" s="153"/>
      <c r="AL413" s="153"/>
      <c r="AM413" s="153"/>
      <c r="AN413" s="153"/>
      <c r="AO413" s="153"/>
      <c r="AP413" s="153"/>
      <c r="AQ413" s="153"/>
      <c r="AR413" s="153"/>
    </row>
    <row r="414" spans="1:44">
      <c r="A414" s="741">
        <f>Gases!A421</f>
        <v>396</v>
      </c>
      <c r="B414" s="153"/>
      <c r="C414" s="153"/>
      <c r="D414" s="153"/>
      <c r="E414" s="153"/>
      <c r="F414" s="153"/>
      <c r="G414" s="153"/>
      <c r="H414" s="153"/>
      <c r="I414" s="153"/>
      <c r="J414" s="153"/>
      <c r="K414" s="153"/>
      <c r="L414" s="153"/>
      <c r="M414" s="153"/>
      <c r="N414" s="153"/>
      <c r="O414" s="153"/>
      <c r="P414" s="153"/>
      <c r="Q414" s="153"/>
      <c r="R414" s="153"/>
      <c r="S414" s="153"/>
      <c r="T414" s="153"/>
      <c r="U414" s="153"/>
      <c r="V414" s="153"/>
      <c r="W414" s="153"/>
      <c r="X414" s="153"/>
      <c r="Y414" s="153"/>
      <c r="Z414" s="153"/>
      <c r="AA414" s="153"/>
      <c r="AB414" s="153"/>
      <c r="AC414" s="153"/>
      <c r="AD414" s="153"/>
      <c r="AE414" s="153"/>
      <c r="AF414" s="153"/>
      <c r="AG414" s="153"/>
      <c r="AH414" s="153"/>
      <c r="AI414" s="153"/>
      <c r="AJ414" s="153"/>
      <c r="AK414" s="153"/>
      <c r="AL414" s="153"/>
      <c r="AM414" s="153"/>
      <c r="AN414" s="153"/>
      <c r="AO414" s="153"/>
      <c r="AP414" s="153"/>
      <c r="AQ414" s="153"/>
      <c r="AR414" s="153"/>
    </row>
    <row r="415" spans="1:44">
      <c r="A415" s="741">
        <f>Gases!A422</f>
        <v>397</v>
      </c>
      <c r="B415" s="153"/>
      <c r="C415" s="153"/>
      <c r="D415" s="153"/>
      <c r="E415" s="153"/>
      <c r="F415" s="153"/>
      <c r="G415" s="153"/>
      <c r="H415" s="153"/>
      <c r="I415" s="153"/>
      <c r="J415" s="153"/>
      <c r="K415" s="153"/>
      <c r="L415" s="153"/>
      <c r="M415" s="153"/>
      <c r="N415" s="153"/>
      <c r="O415" s="153"/>
      <c r="P415" s="153"/>
      <c r="Q415" s="153"/>
      <c r="R415" s="153"/>
      <c r="S415" s="153"/>
      <c r="T415" s="153"/>
      <c r="U415" s="153"/>
      <c r="V415" s="153"/>
      <c r="W415" s="153"/>
      <c r="X415" s="153"/>
      <c r="Y415" s="153"/>
      <c r="Z415" s="153"/>
      <c r="AA415" s="153"/>
      <c r="AB415" s="153"/>
      <c r="AC415" s="153"/>
      <c r="AD415" s="153"/>
      <c r="AE415" s="153"/>
      <c r="AF415" s="153"/>
      <c r="AG415" s="153"/>
      <c r="AH415" s="153"/>
      <c r="AI415" s="153"/>
      <c r="AJ415" s="153"/>
      <c r="AK415" s="153"/>
      <c r="AL415" s="153"/>
      <c r="AM415" s="153"/>
      <c r="AN415" s="153"/>
      <c r="AO415" s="153"/>
      <c r="AP415" s="153"/>
      <c r="AQ415" s="153"/>
      <c r="AR415" s="153"/>
    </row>
    <row r="416" spans="1:44">
      <c r="A416" s="741">
        <f>Gases!A423</f>
        <v>398</v>
      </c>
      <c r="B416" s="153"/>
      <c r="C416" s="153"/>
      <c r="D416" s="153"/>
      <c r="E416" s="153"/>
      <c r="F416" s="153"/>
      <c r="G416" s="153"/>
      <c r="H416" s="153"/>
      <c r="I416" s="153"/>
      <c r="J416" s="153"/>
      <c r="K416" s="153"/>
      <c r="L416" s="153"/>
      <c r="M416" s="153"/>
      <c r="N416" s="153"/>
      <c r="O416" s="153"/>
      <c r="P416" s="153"/>
      <c r="Q416" s="153"/>
      <c r="R416" s="153"/>
      <c r="S416" s="153"/>
      <c r="T416" s="153"/>
      <c r="U416" s="153"/>
      <c r="V416" s="153"/>
      <c r="W416" s="153"/>
      <c r="X416" s="153"/>
      <c r="Y416" s="153"/>
      <c r="Z416" s="153"/>
      <c r="AA416" s="153"/>
      <c r="AB416" s="153"/>
      <c r="AC416" s="153"/>
      <c r="AD416" s="153"/>
      <c r="AE416" s="153"/>
      <c r="AF416" s="153"/>
      <c r="AG416" s="153"/>
      <c r="AH416" s="153"/>
      <c r="AI416" s="153"/>
      <c r="AJ416" s="153"/>
      <c r="AK416" s="153"/>
      <c r="AL416" s="153"/>
      <c r="AM416" s="153"/>
      <c r="AN416" s="153"/>
      <c r="AO416" s="153"/>
      <c r="AP416" s="153"/>
      <c r="AQ416" s="153"/>
      <c r="AR416" s="153"/>
    </row>
    <row r="417" spans="1:44">
      <c r="A417" s="741">
        <f>Gases!A424</f>
        <v>399</v>
      </c>
      <c r="B417" s="153"/>
      <c r="C417" s="153"/>
      <c r="D417" s="153"/>
      <c r="E417" s="153"/>
      <c r="F417" s="153"/>
      <c r="G417" s="153"/>
      <c r="H417" s="153"/>
      <c r="I417" s="153"/>
      <c r="J417" s="153"/>
      <c r="K417" s="153"/>
      <c r="L417" s="153"/>
      <c r="M417" s="153"/>
      <c r="N417" s="153"/>
      <c r="O417" s="153"/>
      <c r="P417" s="153"/>
      <c r="Q417" s="153"/>
      <c r="R417" s="153"/>
      <c r="S417" s="153"/>
      <c r="T417" s="153"/>
      <c r="U417" s="153"/>
      <c r="V417" s="153"/>
      <c r="W417" s="153"/>
      <c r="X417" s="153"/>
      <c r="Y417" s="153"/>
      <c r="Z417" s="153"/>
      <c r="AA417" s="153"/>
      <c r="AB417" s="153"/>
      <c r="AC417" s="153"/>
      <c r="AD417" s="153"/>
      <c r="AE417" s="153"/>
      <c r="AF417" s="153"/>
      <c r="AG417" s="153"/>
      <c r="AH417" s="153"/>
      <c r="AI417" s="153"/>
      <c r="AJ417" s="153"/>
      <c r="AK417" s="153"/>
      <c r="AL417" s="153"/>
      <c r="AM417" s="153"/>
      <c r="AN417" s="153"/>
      <c r="AO417" s="153"/>
      <c r="AP417" s="153"/>
      <c r="AQ417" s="153"/>
      <c r="AR417" s="153"/>
    </row>
    <row r="418" spans="1:44">
      <c r="A418" s="741">
        <f>Gases!A425</f>
        <v>400</v>
      </c>
      <c r="B418" s="153"/>
      <c r="C418" s="153"/>
      <c r="D418" s="153"/>
      <c r="E418" s="153"/>
      <c r="F418" s="153"/>
      <c r="G418" s="153"/>
      <c r="H418" s="153"/>
      <c r="I418" s="153"/>
      <c r="J418" s="153"/>
      <c r="K418" s="153"/>
      <c r="L418" s="153"/>
      <c r="M418" s="153"/>
      <c r="N418" s="153"/>
      <c r="O418" s="153"/>
      <c r="P418" s="153"/>
      <c r="Q418" s="153"/>
      <c r="R418" s="153"/>
      <c r="S418" s="153"/>
      <c r="T418" s="153"/>
      <c r="U418" s="153"/>
      <c r="V418" s="153"/>
      <c r="W418" s="153"/>
      <c r="X418" s="153"/>
      <c r="Y418" s="153"/>
      <c r="Z418" s="153"/>
      <c r="AA418" s="153"/>
      <c r="AB418" s="153"/>
      <c r="AC418" s="153"/>
      <c r="AD418" s="153"/>
      <c r="AE418" s="153"/>
      <c r="AF418" s="153"/>
      <c r="AG418" s="153"/>
      <c r="AH418" s="153"/>
      <c r="AI418" s="153"/>
      <c r="AJ418" s="153"/>
      <c r="AK418" s="153"/>
      <c r="AL418" s="153"/>
      <c r="AM418" s="153"/>
      <c r="AN418" s="153"/>
      <c r="AO418" s="153"/>
      <c r="AP418" s="153"/>
      <c r="AQ418" s="153"/>
      <c r="AR418" s="153"/>
    </row>
    <row r="419" spans="1:44">
      <c r="A419" s="741">
        <f>Gases!A426</f>
        <v>401</v>
      </c>
      <c r="B419" s="153"/>
      <c r="C419" s="153"/>
      <c r="D419" s="153"/>
      <c r="E419" s="153"/>
      <c r="F419" s="153"/>
      <c r="G419" s="153"/>
      <c r="H419" s="153"/>
      <c r="I419" s="153"/>
      <c r="J419" s="153"/>
      <c r="K419" s="153"/>
      <c r="L419" s="153"/>
      <c r="M419" s="153"/>
      <c r="N419" s="153"/>
      <c r="O419" s="153"/>
      <c r="P419" s="153"/>
      <c r="Q419" s="153"/>
      <c r="R419" s="153"/>
      <c r="S419" s="153"/>
      <c r="T419" s="153"/>
      <c r="U419" s="153"/>
      <c r="V419" s="153"/>
      <c r="W419" s="153"/>
      <c r="X419" s="153"/>
      <c r="Y419" s="153"/>
      <c r="Z419" s="153"/>
      <c r="AA419" s="153"/>
      <c r="AB419" s="153"/>
      <c r="AC419" s="153"/>
      <c r="AD419" s="153"/>
      <c r="AE419" s="153"/>
      <c r="AF419" s="153"/>
      <c r="AG419" s="153"/>
      <c r="AH419" s="153"/>
      <c r="AI419" s="153"/>
      <c r="AJ419" s="153"/>
      <c r="AK419" s="153"/>
      <c r="AL419" s="153"/>
      <c r="AM419" s="153"/>
      <c r="AN419" s="153"/>
      <c r="AO419" s="153"/>
      <c r="AP419" s="153"/>
      <c r="AQ419" s="153"/>
      <c r="AR419" s="153"/>
    </row>
    <row r="420" spans="1:44">
      <c r="A420" s="741">
        <f>Gases!A427</f>
        <v>402</v>
      </c>
      <c r="B420" s="153"/>
      <c r="C420" s="153"/>
      <c r="D420" s="153"/>
      <c r="E420" s="153"/>
      <c r="F420" s="153"/>
      <c r="G420" s="153"/>
      <c r="H420" s="153"/>
      <c r="I420" s="153"/>
      <c r="J420" s="153"/>
      <c r="K420" s="153"/>
      <c r="L420" s="153"/>
      <c r="M420" s="153"/>
      <c r="N420" s="153"/>
      <c r="O420" s="153"/>
      <c r="P420" s="153"/>
      <c r="Q420" s="153"/>
      <c r="R420" s="153"/>
      <c r="S420" s="153"/>
      <c r="T420" s="153"/>
      <c r="U420" s="153"/>
      <c r="V420" s="153"/>
      <c r="W420" s="153"/>
      <c r="X420" s="153"/>
      <c r="Y420" s="153"/>
      <c r="Z420" s="153"/>
      <c r="AA420" s="153"/>
      <c r="AB420" s="153"/>
      <c r="AC420" s="153"/>
      <c r="AD420" s="153"/>
      <c r="AE420" s="153"/>
      <c r="AF420" s="153"/>
      <c r="AG420" s="153"/>
      <c r="AH420" s="153"/>
      <c r="AI420" s="153"/>
      <c r="AJ420" s="153"/>
      <c r="AK420" s="153"/>
      <c r="AL420" s="153"/>
      <c r="AM420" s="153"/>
      <c r="AN420" s="153"/>
      <c r="AO420" s="153"/>
      <c r="AP420" s="153"/>
      <c r="AQ420" s="153"/>
      <c r="AR420" s="153"/>
    </row>
    <row r="421" spans="1:44">
      <c r="A421" s="741">
        <f>Gases!A428</f>
        <v>403</v>
      </c>
      <c r="B421" s="153"/>
      <c r="C421" s="153"/>
      <c r="D421" s="153"/>
      <c r="E421" s="153"/>
      <c r="F421" s="153"/>
      <c r="G421" s="153"/>
      <c r="H421" s="153"/>
      <c r="I421" s="153"/>
      <c r="J421" s="153"/>
      <c r="K421" s="153"/>
      <c r="L421" s="153"/>
      <c r="M421" s="153"/>
      <c r="N421" s="153"/>
      <c r="O421" s="153"/>
      <c r="P421" s="153"/>
      <c r="Q421" s="153"/>
      <c r="R421" s="153"/>
      <c r="S421" s="153"/>
      <c r="T421" s="153"/>
      <c r="U421" s="153"/>
      <c r="V421" s="153"/>
      <c r="W421" s="153"/>
      <c r="X421" s="153"/>
      <c r="Y421" s="153"/>
      <c r="Z421" s="153"/>
      <c r="AA421" s="153"/>
      <c r="AB421" s="153"/>
      <c r="AC421" s="153"/>
      <c r="AD421" s="153"/>
      <c r="AE421" s="153"/>
      <c r="AF421" s="153"/>
      <c r="AG421" s="153"/>
      <c r="AH421" s="153"/>
      <c r="AI421" s="153"/>
      <c r="AJ421" s="153"/>
      <c r="AK421" s="153"/>
      <c r="AL421" s="153"/>
      <c r="AM421" s="153"/>
      <c r="AN421" s="153"/>
      <c r="AO421" s="153"/>
      <c r="AP421" s="153"/>
      <c r="AQ421" s="153"/>
      <c r="AR421" s="153"/>
    </row>
    <row r="422" spans="1:44">
      <c r="A422" s="741">
        <f>Gases!A429</f>
        <v>404</v>
      </c>
      <c r="B422" s="153"/>
      <c r="C422" s="153"/>
      <c r="D422" s="153"/>
      <c r="E422" s="153"/>
      <c r="F422" s="153"/>
      <c r="G422" s="153"/>
      <c r="H422" s="153"/>
      <c r="I422" s="153"/>
      <c r="J422" s="153"/>
      <c r="K422" s="153"/>
      <c r="L422" s="153"/>
      <c r="M422" s="153"/>
      <c r="N422" s="153"/>
      <c r="O422" s="153"/>
      <c r="P422" s="153"/>
      <c r="Q422" s="153"/>
      <c r="R422" s="153"/>
      <c r="S422" s="153"/>
      <c r="T422" s="153"/>
      <c r="U422" s="153"/>
      <c r="V422" s="153"/>
      <c r="W422" s="153"/>
      <c r="X422" s="153"/>
      <c r="Y422" s="153"/>
      <c r="Z422" s="153"/>
      <c r="AA422" s="153"/>
      <c r="AB422" s="153"/>
      <c r="AC422" s="153"/>
      <c r="AD422" s="153"/>
      <c r="AE422" s="153"/>
      <c r="AF422" s="153"/>
      <c r="AG422" s="153"/>
      <c r="AH422" s="153"/>
      <c r="AI422" s="153"/>
      <c r="AJ422" s="153"/>
      <c r="AK422" s="153"/>
      <c r="AL422" s="153"/>
      <c r="AM422" s="153"/>
      <c r="AN422" s="153"/>
      <c r="AO422" s="153"/>
      <c r="AP422" s="153"/>
      <c r="AQ422" s="153"/>
      <c r="AR422" s="153"/>
    </row>
    <row r="423" spans="1:44">
      <c r="A423" s="741">
        <f>Gases!A430</f>
        <v>405</v>
      </c>
      <c r="B423" s="153"/>
      <c r="C423" s="153"/>
      <c r="D423" s="153"/>
      <c r="E423" s="153"/>
      <c r="F423" s="153"/>
      <c r="G423" s="153"/>
      <c r="H423" s="153"/>
      <c r="I423" s="153"/>
      <c r="J423" s="153"/>
      <c r="K423" s="153"/>
      <c r="L423" s="153"/>
      <c r="M423" s="153"/>
      <c r="N423" s="153"/>
      <c r="O423" s="153"/>
      <c r="P423" s="153"/>
      <c r="Q423" s="153"/>
      <c r="R423" s="153"/>
      <c r="S423" s="153"/>
      <c r="T423" s="153"/>
      <c r="U423" s="153"/>
      <c r="V423" s="153"/>
      <c r="W423" s="153"/>
      <c r="X423" s="153"/>
      <c r="Y423" s="153"/>
      <c r="Z423" s="153"/>
      <c r="AA423" s="153"/>
      <c r="AB423" s="153"/>
      <c r="AC423" s="153"/>
      <c r="AD423" s="153"/>
      <c r="AE423" s="153"/>
      <c r="AF423" s="153"/>
      <c r="AG423" s="153"/>
      <c r="AH423" s="153"/>
      <c r="AI423" s="153"/>
      <c r="AJ423" s="153"/>
      <c r="AK423" s="153"/>
      <c r="AL423" s="153"/>
      <c r="AM423" s="153"/>
      <c r="AN423" s="153"/>
      <c r="AO423" s="153"/>
      <c r="AP423" s="153"/>
      <c r="AQ423" s="153"/>
      <c r="AR423" s="153"/>
    </row>
    <row r="424" spans="1:44">
      <c r="A424" s="741">
        <f>Gases!A431</f>
        <v>406</v>
      </c>
      <c r="B424" s="153"/>
      <c r="C424" s="153"/>
      <c r="D424" s="153"/>
      <c r="E424" s="153"/>
      <c r="F424" s="153"/>
      <c r="G424" s="153"/>
      <c r="H424" s="153"/>
      <c r="I424" s="153"/>
      <c r="J424" s="153"/>
      <c r="K424" s="153"/>
      <c r="L424" s="153"/>
      <c r="M424" s="153"/>
      <c r="N424" s="153"/>
      <c r="O424" s="153"/>
      <c r="P424" s="153"/>
      <c r="Q424" s="153"/>
      <c r="R424" s="153"/>
      <c r="S424" s="153"/>
      <c r="T424" s="153"/>
      <c r="U424" s="153"/>
      <c r="V424" s="153"/>
      <c r="W424" s="153"/>
      <c r="X424" s="153"/>
      <c r="Y424" s="153"/>
      <c r="Z424" s="153"/>
      <c r="AA424" s="153"/>
      <c r="AB424" s="153"/>
      <c r="AC424" s="153"/>
      <c r="AD424" s="153"/>
      <c r="AE424" s="153"/>
      <c r="AF424" s="153"/>
      <c r="AG424" s="153"/>
      <c r="AH424" s="153"/>
      <c r="AI424" s="153"/>
      <c r="AJ424" s="153"/>
      <c r="AK424" s="153"/>
      <c r="AL424" s="153"/>
      <c r="AM424" s="153"/>
      <c r="AN424" s="153"/>
      <c r="AO424" s="153"/>
      <c r="AP424" s="153"/>
      <c r="AQ424" s="153"/>
      <c r="AR424" s="153"/>
    </row>
    <row r="425" spans="1:44">
      <c r="A425" s="741">
        <f>Gases!A432</f>
        <v>407</v>
      </c>
      <c r="B425" s="153"/>
      <c r="C425" s="153"/>
      <c r="D425" s="153"/>
      <c r="E425" s="153"/>
      <c r="F425" s="153"/>
      <c r="G425" s="153"/>
      <c r="H425" s="153"/>
      <c r="I425" s="153"/>
      <c r="J425" s="153"/>
      <c r="K425" s="153"/>
      <c r="L425" s="153"/>
      <c r="M425" s="153"/>
      <c r="N425" s="153"/>
      <c r="O425" s="153"/>
      <c r="P425" s="153"/>
      <c r="Q425" s="153"/>
      <c r="R425" s="153"/>
      <c r="S425" s="153"/>
      <c r="T425" s="153"/>
      <c r="U425" s="153"/>
      <c r="V425" s="153"/>
      <c r="W425" s="153"/>
      <c r="X425" s="153"/>
      <c r="Y425" s="153"/>
      <c r="Z425" s="153"/>
      <c r="AA425" s="153"/>
      <c r="AB425" s="153"/>
      <c r="AC425" s="153"/>
      <c r="AD425" s="153"/>
      <c r="AE425" s="153"/>
      <c r="AF425" s="153"/>
      <c r="AG425" s="153"/>
      <c r="AH425" s="153"/>
      <c r="AI425" s="153"/>
      <c r="AJ425" s="153"/>
      <c r="AK425" s="153"/>
      <c r="AL425" s="153"/>
      <c r="AM425" s="153"/>
      <c r="AN425" s="153"/>
      <c r="AO425" s="153"/>
      <c r="AP425" s="153"/>
      <c r="AQ425" s="153"/>
      <c r="AR425" s="153"/>
    </row>
    <row r="426" spans="1:44">
      <c r="A426" s="741">
        <f>Gases!A433</f>
        <v>408</v>
      </c>
      <c r="B426" s="153"/>
      <c r="C426" s="153"/>
      <c r="D426" s="153"/>
      <c r="E426" s="153"/>
      <c r="F426" s="153"/>
      <c r="G426" s="153"/>
      <c r="H426" s="153"/>
      <c r="I426" s="153"/>
      <c r="J426" s="153"/>
      <c r="K426" s="153"/>
      <c r="L426" s="153"/>
      <c r="M426" s="153"/>
      <c r="N426" s="153"/>
      <c r="O426" s="153"/>
      <c r="P426" s="153"/>
      <c r="Q426" s="153"/>
      <c r="R426" s="153"/>
      <c r="S426" s="153"/>
      <c r="T426" s="153"/>
      <c r="U426" s="153"/>
      <c r="V426" s="153"/>
      <c r="W426" s="153"/>
      <c r="X426" s="153"/>
      <c r="Y426" s="153"/>
      <c r="Z426" s="153"/>
      <c r="AA426" s="153"/>
      <c r="AB426" s="153"/>
      <c r="AC426" s="153"/>
      <c r="AD426" s="153"/>
      <c r="AE426" s="153"/>
      <c r="AF426" s="153"/>
      <c r="AG426" s="153"/>
      <c r="AH426" s="153"/>
      <c r="AI426" s="153"/>
      <c r="AJ426" s="153"/>
      <c r="AK426" s="153"/>
      <c r="AL426" s="153"/>
      <c r="AM426" s="153"/>
      <c r="AN426" s="153"/>
      <c r="AO426" s="153"/>
      <c r="AP426" s="153"/>
      <c r="AQ426" s="153"/>
      <c r="AR426" s="153"/>
    </row>
    <row r="427" spans="1:44">
      <c r="A427" s="741">
        <f>Gases!A434</f>
        <v>409</v>
      </c>
      <c r="B427" s="153"/>
      <c r="C427" s="153"/>
      <c r="D427" s="153"/>
      <c r="E427" s="153"/>
      <c r="F427" s="153"/>
      <c r="G427" s="153"/>
      <c r="H427" s="153"/>
      <c r="I427" s="153"/>
      <c r="J427" s="153"/>
      <c r="K427" s="153"/>
      <c r="L427" s="153"/>
      <c r="M427" s="153"/>
      <c r="N427" s="153"/>
      <c r="O427" s="153"/>
      <c r="P427" s="153"/>
      <c r="Q427" s="153"/>
      <c r="R427" s="153"/>
      <c r="S427" s="153"/>
      <c r="T427" s="153"/>
      <c r="U427" s="153"/>
      <c r="V427" s="153"/>
      <c r="W427" s="153"/>
      <c r="X427" s="153"/>
      <c r="Y427" s="153"/>
      <c r="Z427" s="153"/>
      <c r="AA427" s="153"/>
      <c r="AB427" s="153"/>
      <c r="AC427" s="153"/>
      <c r="AD427" s="153"/>
      <c r="AE427" s="153"/>
      <c r="AF427" s="153"/>
      <c r="AG427" s="153"/>
      <c r="AH427" s="153"/>
      <c r="AI427" s="153"/>
      <c r="AJ427" s="153"/>
      <c r="AK427" s="153"/>
      <c r="AL427" s="153"/>
      <c r="AM427" s="153"/>
      <c r="AN427" s="153"/>
      <c r="AO427" s="153"/>
      <c r="AP427" s="153"/>
      <c r="AQ427" s="153"/>
      <c r="AR427" s="153"/>
    </row>
    <row r="428" spans="1:44">
      <c r="A428" s="741">
        <f>Gases!A435</f>
        <v>410</v>
      </c>
      <c r="B428" s="153"/>
      <c r="C428" s="153"/>
      <c r="D428" s="153"/>
      <c r="E428" s="153"/>
      <c r="F428" s="153"/>
      <c r="G428" s="153"/>
      <c r="H428" s="153"/>
      <c r="I428" s="153"/>
      <c r="J428" s="153"/>
      <c r="K428" s="153"/>
      <c r="L428" s="153"/>
      <c r="M428" s="153"/>
      <c r="N428" s="153"/>
      <c r="O428" s="153"/>
      <c r="P428" s="153"/>
      <c r="Q428" s="153"/>
      <c r="R428" s="153"/>
      <c r="S428" s="153"/>
      <c r="T428" s="153"/>
      <c r="U428" s="153"/>
      <c r="V428" s="153"/>
      <c r="W428" s="153"/>
      <c r="X428" s="153"/>
      <c r="Y428" s="153"/>
      <c r="Z428" s="153"/>
      <c r="AA428" s="153"/>
      <c r="AB428" s="153"/>
      <c r="AC428" s="153"/>
      <c r="AD428" s="153"/>
      <c r="AE428" s="153"/>
      <c r="AF428" s="153"/>
      <c r="AG428" s="153"/>
      <c r="AH428" s="153"/>
      <c r="AI428" s="153"/>
      <c r="AJ428" s="153"/>
      <c r="AK428" s="153"/>
      <c r="AL428" s="153"/>
      <c r="AM428" s="153"/>
      <c r="AN428" s="153"/>
      <c r="AO428" s="153"/>
      <c r="AP428" s="153"/>
      <c r="AQ428" s="153"/>
      <c r="AR428" s="153"/>
    </row>
    <row r="429" spans="1:44">
      <c r="A429" s="741">
        <f>Gases!A436</f>
        <v>411</v>
      </c>
      <c r="B429" s="153"/>
      <c r="C429" s="153"/>
      <c r="D429" s="153"/>
      <c r="E429" s="153"/>
      <c r="F429" s="153"/>
      <c r="G429" s="153"/>
      <c r="H429" s="153"/>
      <c r="I429" s="153"/>
      <c r="J429" s="153"/>
      <c r="K429" s="153"/>
      <c r="L429" s="153"/>
      <c r="M429" s="153"/>
      <c r="N429" s="153"/>
      <c r="O429" s="153"/>
      <c r="P429" s="153"/>
      <c r="Q429" s="153"/>
      <c r="R429" s="153"/>
      <c r="S429" s="153"/>
      <c r="T429" s="153"/>
      <c r="U429" s="153"/>
      <c r="V429" s="153"/>
      <c r="W429" s="153"/>
      <c r="X429" s="153"/>
      <c r="Y429" s="153"/>
      <c r="Z429" s="153"/>
      <c r="AA429" s="153"/>
      <c r="AB429" s="153"/>
      <c r="AC429" s="153"/>
      <c r="AD429" s="153"/>
      <c r="AE429" s="153"/>
      <c r="AF429" s="153"/>
      <c r="AG429" s="153"/>
      <c r="AH429" s="153"/>
      <c r="AI429" s="153"/>
      <c r="AJ429" s="153"/>
      <c r="AK429" s="153"/>
      <c r="AL429" s="153"/>
      <c r="AM429" s="153"/>
      <c r="AN429" s="153"/>
      <c r="AO429" s="153"/>
      <c r="AP429" s="153"/>
      <c r="AQ429" s="153"/>
      <c r="AR429" s="153"/>
    </row>
    <row r="430" spans="1:44">
      <c r="A430" s="741">
        <f>Gases!A437</f>
        <v>412</v>
      </c>
      <c r="B430" s="153"/>
      <c r="C430" s="153"/>
      <c r="D430" s="153"/>
      <c r="E430" s="153"/>
      <c r="F430" s="153"/>
      <c r="G430" s="153"/>
      <c r="H430" s="153"/>
      <c r="I430" s="153"/>
      <c r="J430" s="153"/>
      <c r="K430" s="153"/>
      <c r="L430" s="153"/>
      <c r="M430" s="153"/>
      <c r="N430" s="153"/>
      <c r="O430" s="153"/>
      <c r="P430" s="153"/>
      <c r="Q430" s="153"/>
      <c r="R430" s="153"/>
      <c r="S430" s="153"/>
      <c r="T430" s="153"/>
      <c r="U430" s="153"/>
      <c r="V430" s="153"/>
      <c r="W430" s="153"/>
      <c r="X430" s="153"/>
      <c r="Y430" s="153"/>
      <c r="Z430" s="153"/>
      <c r="AA430" s="153"/>
      <c r="AB430" s="153"/>
      <c r="AC430" s="153"/>
      <c r="AD430" s="153"/>
      <c r="AE430" s="153"/>
      <c r="AF430" s="153"/>
      <c r="AG430" s="153"/>
      <c r="AH430" s="153"/>
      <c r="AI430" s="153"/>
      <c r="AJ430" s="153"/>
      <c r="AK430" s="153"/>
      <c r="AL430" s="153"/>
      <c r="AM430" s="153"/>
      <c r="AN430" s="153"/>
      <c r="AO430" s="153"/>
      <c r="AP430" s="153"/>
      <c r="AQ430" s="153"/>
      <c r="AR430" s="153"/>
    </row>
    <row r="431" spans="1:44">
      <c r="A431" s="741">
        <f>Gases!A438</f>
        <v>413</v>
      </c>
      <c r="B431" s="153"/>
      <c r="C431" s="153"/>
      <c r="D431" s="153"/>
      <c r="E431" s="153"/>
      <c r="F431" s="153"/>
      <c r="G431" s="153"/>
      <c r="H431" s="153"/>
      <c r="I431" s="153"/>
      <c r="J431" s="153"/>
      <c r="K431" s="153"/>
      <c r="L431" s="153"/>
      <c r="M431" s="153"/>
      <c r="N431" s="153"/>
      <c r="O431" s="153"/>
      <c r="P431" s="153"/>
      <c r="Q431" s="153"/>
      <c r="R431" s="153"/>
      <c r="S431" s="153"/>
      <c r="T431" s="153"/>
      <c r="U431" s="153"/>
      <c r="V431" s="153"/>
      <c r="W431" s="153"/>
      <c r="X431" s="153"/>
      <c r="Y431" s="153"/>
      <c r="Z431" s="153"/>
      <c r="AA431" s="153"/>
      <c r="AB431" s="153"/>
      <c r="AC431" s="153"/>
      <c r="AD431" s="153"/>
      <c r="AE431" s="153"/>
      <c r="AF431" s="153"/>
      <c r="AG431" s="153"/>
      <c r="AH431" s="153"/>
      <c r="AI431" s="153"/>
      <c r="AJ431" s="153"/>
      <c r="AK431" s="153"/>
      <c r="AL431" s="153"/>
      <c r="AM431" s="153"/>
      <c r="AN431" s="153"/>
      <c r="AO431" s="153"/>
      <c r="AP431" s="153"/>
      <c r="AQ431" s="153"/>
      <c r="AR431" s="153"/>
    </row>
    <row r="432" spans="1:44">
      <c r="A432" s="741">
        <f>Gases!A439</f>
        <v>414</v>
      </c>
      <c r="B432" s="153"/>
      <c r="C432" s="153"/>
      <c r="D432" s="153"/>
      <c r="E432" s="153"/>
      <c r="F432" s="153"/>
      <c r="G432" s="153"/>
      <c r="H432" s="153"/>
      <c r="I432" s="153"/>
      <c r="J432" s="153"/>
      <c r="K432" s="153"/>
      <c r="L432" s="153"/>
      <c r="M432" s="153"/>
      <c r="N432" s="153"/>
      <c r="O432" s="153"/>
      <c r="P432" s="153"/>
      <c r="Q432" s="153"/>
      <c r="R432" s="153"/>
      <c r="S432" s="153"/>
      <c r="T432" s="153"/>
      <c r="U432" s="153"/>
      <c r="V432" s="153"/>
      <c r="W432" s="153"/>
      <c r="X432" s="153"/>
      <c r="Y432" s="153"/>
      <c r="Z432" s="153"/>
      <c r="AA432" s="153"/>
      <c r="AB432" s="153"/>
      <c r="AC432" s="153"/>
      <c r="AD432" s="153"/>
      <c r="AE432" s="153"/>
      <c r="AF432" s="153"/>
      <c r="AG432" s="153"/>
      <c r="AH432" s="153"/>
      <c r="AI432" s="153"/>
      <c r="AJ432" s="153"/>
      <c r="AK432" s="153"/>
      <c r="AL432" s="153"/>
      <c r="AM432" s="153"/>
      <c r="AN432" s="153"/>
      <c r="AO432" s="153"/>
      <c r="AP432" s="153"/>
      <c r="AQ432" s="153"/>
      <c r="AR432" s="153"/>
    </row>
    <row r="433" spans="1:44">
      <c r="A433" s="741">
        <f>Gases!A440</f>
        <v>415</v>
      </c>
      <c r="B433" s="153"/>
      <c r="C433" s="153"/>
      <c r="D433" s="153"/>
      <c r="E433" s="153"/>
      <c r="F433" s="153"/>
      <c r="G433" s="153"/>
      <c r="H433" s="153"/>
      <c r="I433" s="153"/>
      <c r="J433" s="153"/>
      <c r="K433" s="153"/>
      <c r="L433" s="153"/>
      <c r="M433" s="153"/>
      <c r="N433" s="153"/>
      <c r="O433" s="153"/>
      <c r="P433" s="153"/>
      <c r="Q433" s="153"/>
      <c r="R433" s="153"/>
      <c r="S433" s="153"/>
      <c r="T433" s="153"/>
      <c r="U433" s="153"/>
      <c r="V433" s="153"/>
      <c r="W433" s="153"/>
      <c r="X433" s="153"/>
      <c r="Y433" s="153"/>
      <c r="Z433" s="153"/>
      <c r="AA433" s="153"/>
      <c r="AB433" s="153"/>
      <c r="AC433" s="153"/>
      <c r="AD433" s="153"/>
      <c r="AE433" s="153"/>
      <c r="AF433" s="153"/>
      <c r="AG433" s="153"/>
      <c r="AH433" s="153"/>
      <c r="AI433" s="153"/>
      <c r="AJ433" s="153"/>
      <c r="AK433" s="153"/>
      <c r="AL433" s="153"/>
      <c r="AM433" s="153"/>
      <c r="AN433" s="153"/>
      <c r="AO433" s="153"/>
      <c r="AP433" s="153"/>
      <c r="AQ433" s="153"/>
      <c r="AR433" s="153"/>
    </row>
    <row r="434" spans="1:44">
      <c r="A434" s="741">
        <f>Gases!A441</f>
        <v>416</v>
      </c>
      <c r="B434" s="153"/>
      <c r="C434" s="153"/>
      <c r="D434" s="153"/>
      <c r="E434" s="153"/>
      <c r="F434" s="153"/>
      <c r="G434" s="153"/>
      <c r="H434" s="153"/>
      <c r="I434" s="153"/>
      <c r="J434" s="153"/>
      <c r="K434" s="153"/>
      <c r="L434" s="153"/>
      <c r="M434" s="153"/>
      <c r="N434" s="153"/>
      <c r="O434" s="153"/>
      <c r="P434" s="153"/>
      <c r="Q434" s="153"/>
      <c r="R434" s="153"/>
      <c r="S434" s="153"/>
      <c r="T434" s="153"/>
      <c r="U434" s="153"/>
      <c r="V434" s="153"/>
      <c r="W434" s="153"/>
      <c r="X434" s="153"/>
      <c r="Y434" s="153"/>
      <c r="Z434" s="153"/>
      <c r="AA434" s="153"/>
      <c r="AB434" s="153"/>
      <c r="AC434" s="153"/>
      <c r="AD434" s="153"/>
      <c r="AE434" s="153"/>
      <c r="AF434" s="153"/>
      <c r="AG434" s="153"/>
      <c r="AH434" s="153"/>
      <c r="AI434" s="153"/>
      <c r="AJ434" s="153"/>
      <c r="AK434" s="153"/>
      <c r="AL434" s="153"/>
      <c r="AM434" s="153"/>
      <c r="AN434" s="153"/>
      <c r="AO434" s="153"/>
      <c r="AP434" s="153"/>
      <c r="AQ434" s="153"/>
      <c r="AR434" s="153"/>
    </row>
    <row r="435" spans="1:44">
      <c r="A435" s="741">
        <f>Gases!A442</f>
        <v>417</v>
      </c>
      <c r="B435" s="153"/>
      <c r="C435" s="153"/>
      <c r="D435" s="153"/>
      <c r="E435" s="153"/>
      <c r="F435" s="153"/>
      <c r="G435" s="153"/>
      <c r="H435" s="153"/>
      <c r="I435" s="153"/>
      <c r="J435" s="153"/>
      <c r="K435" s="153"/>
      <c r="L435" s="153"/>
      <c r="M435" s="153"/>
      <c r="N435" s="153"/>
      <c r="O435" s="153"/>
      <c r="P435" s="153"/>
      <c r="Q435" s="153"/>
      <c r="R435" s="153"/>
      <c r="S435" s="153"/>
      <c r="T435" s="153"/>
      <c r="U435" s="153"/>
      <c r="V435" s="153"/>
      <c r="W435" s="153"/>
      <c r="X435" s="153"/>
      <c r="Y435" s="153"/>
      <c r="Z435" s="153"/>
      <c r="AA435" s="153"/>
      <c r="AB435" s="153"/>
      <c r="AC435" s="153"/>
      <c r="AD435" s="153"/>
      <c r="AE435" s="153"/>
      <c r="AF435" s="153"/>
      <c r="AG435" s="153"/>
      <c r="AH435" s="153"/>
      <c r="AI435" s="153"/>
      <c r="AJ435" s="153"/>
      <c r="AK435" s="153"/>
      <c r="AL435" s="153"/>
      <c r="AM435" s="153"/>
      <c r="AN435" s="153"/>
      <c r="AO435" s="153"/>
      <c r="AP435" s="153"/>
      <c r="AQ435" s="153"/>
      <c r="AR435" s="153"/>
    </row>
    <row r="436" spans="1:44">
      <c r="A436" s="741">
        <f>Gases!A443</f>
        <v>418</v>
      </c>
      <c r="B436" s="153"/>
      <c r="C436" s="153"/>
      <c r="D436" s="153"/>
      <c r="E436" s="153"/>
      <c r="F436" s="153"/>
      <c r="G436" s="153"/>
      <c r="H436" s="153"/>
      <c r="I436" s="153"/>
      <c r="J436" s="153"/>
      <c r="K436" s="153"/>
      <c r="L436" s="153"/>
      <c r="M436" s="153"/>
      <c r="N436" s="153"/>
      <c r="O436" s="153"/>
      <c r="P436" s="153"/>
      <c r="Q436" s="153"/>
      <c r="R436" s="153"/>
      <c r="S436" s="153"/>
      <c r="T436" s="153"/>
      <c r="U436" s="153"/>
      <c r="V436" s="153"/>
      <c r="W436" s="153"/>
      <c r="X436" s="153"/>
      <c r="Y436" s="153"/>
      <c r="Z436" s="153"/>
      <c r="AA436" s="153"/>
      <c r="AB436" s="153"/>
      <c r="AC436" s="153"/>
      <c r="AD436" s="153"/>
      <c r="AE436" s="153"/>
      <c r="AF436" s="153"/>
      <c r="AG436" s="153"/>
      <c r="AH436" s="153"/>
      <c r="AI436" s="153"/>
      <c r="AJ436" s="153"/>
      <c r="AK436" s="153"/>
      <c r="AL436" s="153"/>
      <c r="AM436" s="153"/>
      <c r="AN436" s="153"/>
      <c r="AO436" s="153"/>
      <c r="AP436" s="153"/>
      <c r="AQ436" s="153"/>
      <c r="AR436" s="153"/>
    </row>
    <row r="437" spans="1:44">
      <c r="A437" s="741">
        <f>Gases!A444</f>
        <v>419</v>
      </c>
      <c r="B437" s="153"/>
      <c r="C437" s="153"/>
      <c r="D437" s="153"/>
      <c r="E437" s="153"/>
      <c r="F437" s="153"/>
      <c r="G437" s="153"/>
      <c r="H437" s="153"/>
      <c r="I437" s="153"/>
      <c r="J437" s="153"/>
      <c r="K437" s="153"/>
      <c r="L437" s="153"/>
      <c r="M437" s="153"/>
      <c r="N437" s="153"/>
      <c r="O437" s="153"/>
      <c r="P437" s="153"/>
      <c r="Q437" s="153"/>
      <c r="R437" s="153"/>
      <c r="S437" s="153"/>
      <c r="T437" s="153"/>
      <c r="U437" s="153"/>
      <c r="V437" s="153"/>
      <c r="W437" s="153"/>
      <c r="X437" s="153"/>
      <c r="Y437" s="153"/>
      <c r="Z437" s="153"/>
      <c r="AA437" s="153"/>
      <c r="AB437" s="153"/>
      <c r="AC437" s="153"/>
      <c r="AD437" s="153"/>
      <c r="AE437" s="153"/>
      <c r="AF437" s="153"/>
      <c r="AG437" s="153"/>
      <c r="AH437" s="153"/>
      <c r="AI437" s="153"/>
      <c r="AJ437" s="153"/>
      <c r="AK437" s="153"/>
      <c r="AL437" s="153"/>
      <c r="AM437" s="153"/>
      <c r="AN437" s="153"/>
      <c r="AO437" s="153"/>
      <c r="AP437" s="153"/>
      <c r="AQ437" s="153"/>
      <c r="AR437" s="153"/>
    </row>
    <row r="438" spans="1:44">
      <c r="A438" s="741">
        <f>Gases!A445</f>
        <v>420</v>
      </c>
      <c r="B438" s="153"/>
      <c r="C438" s="153"/>
      <c r="D438" s="153"/>
      <c r="E438" s="153"/>
      <c r="F438" s="153"/>
      <c r="G438" s="153"/>
      <c r="H438" s="153"/>
      <c r="I438" s="153"/>
      <c r="J438" s="153"/>
      <c r="K438" s="153"/>
      <c r="L438" s="153"/>
      <c r="M438" s="153"/>
      <c r="N438" s="153"/>
      <c r="O438" s="153"/>
      <c r="P438" s="153"/>
      <c r="Q438" s="153"/>
      <c r="R438" s="153"/>
      <c r="S438" s="153"/>
      <c r="T438" s="153"/>
      <c r="U438" s="153"/>
      <c r="V438" s="153"/>
      <c r="W438" s="153"/>
      <c r="X438" s="153"/>
      <c r="Y438" s="153"/>
      <c r="Z438" s="153"/>
      <c r="AA438" s="153"/>
      <c r="AB438" s="153"/>
      <c r="AC438" s="153"/>
      <c r="AD438" s="153"/>
      <c r="AE438" s="153"/>
      <c r="AF438" s="153"/>
      <c r="AG438" s="153"/>
      <c r="AH438" s="153"/>
      <c r="AI438" s="153"/>
      <c r="AJ438" s="153"/>
      <c r="AK438" s="153"/>
      <c r="AL438" s="153"/>
      <c r="AM438" s="153"/>
      <c r="AN438" s="153"/>
      <c r="AO438" s="153"/>
      <c r="AP438" s="153"/>
      <c r="AQ438" s="153"/>
      <c r="AR438" s="153"/>
    </row>
    <row r="439" spans="1:44">
      <c r="A439" s="741">
        <f>Gases!A446</f>
        <v>421</v>
      </c>
      <c r="B439" s="153"/>
      <c r="C439" s="153"/>
      <c r="D439" s="153"/>
      <c r="E439" s="153"/>
      <c r="F439" s="153"/>
      <c r="G439" s="153"/>
      <c r="H439" s="153"/>
      <c r="I439" s="153"/>
      <c r="J439" s="153"/>
      <c r="K439" s="153"/>
      <c r="L439" s="153"/>
      <c r="M439" s="153"/>
      <c r="N439" s="153"/>
      <c r="O439" s="153"/>
      <c r="P439" s="153"/>
      <c r="Q439" s="153"/>
      <c r="R439" s="153"/>
      <c r="S439" s="153"/>
      <c r="T439" s="153"/>
      <c r="U439" s="153"/>
      <c r="V439" s="153"/>
      <c r="W439" s="153"/>
      <c r="X439" s="153"/>
      <c r="Y439" s="153"/>
      <c r="Z439" s="153"/>
      <c r="AA439" s="153"/>
      <c r="AB439" s="153"/>
      <c r="AC439" s="153"/>
      <c r="AD439" s="153"/>
      <c r="AE439" s="153"/>
      <c r="AF439" s="153"/>
      <c r="AG439" s="153"/>
      <c r="AH439" s="153"/>
      <c r="AI439" s="153"/>
      <c r="AJ439" s="153"/>
      <c r="AK439" s="153"/>
      <c r="AL439" s="153"/>
      <c r="AM439" s="153"/>
      <c r="AN439" s="153"/>
      <c r="AO439" s="153"/>
      <c r="AP439" s="153"/>
      <c r="AQ439" s="153"/>
      <c r="AR439" s="153"/>
    </row>
    <row r="440" spans="1:44">
      <c r="A440" s="741">
        <f>Gases!A447</f>
        <v>422</v>
      </c>
      <c r="B440" s="153"/>
      <c r="C440" s="153"/>
      <c r="D440" s="153"/>
      <c r="E440" s="153"/>
      <c r="F440" s="153"/>
      <c r="G440" s="153"/>
      <c r="H440" s="153"/>
      <c r="I440" s="153"/>
      <c r="J440" s="153"/>
      <c r="K440" s="153"/>
      <c r="L440" s="153"/>
      <c r="M440" s="153"/>
      <c r="N440" s="153"/>
      <c r="O440" s="153"/>
      <c r="P440" s="153"/>
      <c r="Q440" s="153"/>
      <c r="R440" s="153"/>
      <c r="S440" s="153"/>
      <c r="T440" s="153"/>
      <c r="U440" s="153"/>
      <c r="V440" s="153"/>
      <c r="W440" s="153"/>
      <c r="X440" s="153"/>
      <c r="Y440" s="153"/>
      <c r="Z440" s="153"/>
      <c r="AA440" s="153"/>
      <c r="AB440" s="153"/>
      <c r="AC440" s="153"/>
      <c r="AD440" s="153"/>
      <c r="AE440" s="153"/>
      <c r="AF440" s="153"/>
      <c r="AG440" s="153"/>
      <c r="AH440" s="153"/>
      <c r="AI440" s="153"/>
      <c r="AJ440" s="153"/>
      <c r="AK440" s="153"/>
      <c r="AL440" s="153"/>
      <c r="AM440" s="153"/>
      <c r="AN440" s="153"/>
      <c r="AO440" s="153"/>
      <c r="AP440" s="153"/>
      <c r="AQ440" s="153"/>
      <c r="AR440" s="153"/>
    </row>
    <row r="441" spans="1:44">
      <c r="A441" s="741">
        <f>Gases!A448</f>
        <v>423</v>
      </c>
      <c r="B441" s="153"/>
      <c r="C441" s="153"/>
      <c r="D441" s="153"/>
      <c r="E441" s="153"/>
      <c r="F441" s="153"/>
      <c r="G441" s="153"/>
      <c r="H441" s="153"/>
      <c r="I441" s="153"/>
      <c r="J441" s="153"/>
      <c r="K441" s="153"/>
      <c r="L441" s="153"/>
      <c r="M441" s="153"/>
      <c r="N441" s="153"/>
      <c r="O441" s="153"/>
      <c r="P441" s="153"/>
      <c r="Q441" s="153"/>
      <c r="R441" s="153"/>
      <c r="S441" s="153"/>
      <c r="T441" s="153"/>
      <c r="U441" s="153"/>
      <c r="V441" s="153"/>
      <c r="W441" s="153"/>
      <c r="X441" s="153"/>
      <c r="Y441" s="153"/>
      <c r="Z441" s="153"/>
      <c r="AA441" s="153"/>
      <c r="AB441" s="153"/>
      <c r="AC441" s="153"/>
      <c r="AD441" s="153"/>
      <c r="AE441" s="153"/>
      <c r="AF441" s="153"/>
      <c r="AG441" s="153"/>
      <c r="AH441" s="153"/>
      <c r="AI441" s="153"/>
      <c r="AJ441" s="153"/>
      <c r="AK441" s="153"/>
      <c r="AL441" s="153"/>
      <c r="AM441" s="153"/>
      <c r="AN441" s="153"/>
      <c r="AO441" s="153"/>
      <c r="AP441" s="153"/>
      <c r="AQ441" s="153"/>
      <c r="AR441" s="153"/>
    </row>
    <row r="442" spans="1:44">
      <c r="A442" s="741">
        <f>Gases!A449</f>
        <v>424</v>
      </c>
      <c r="B442" s="153"/>
      <c r="C442" s="153"/>
      <c r="D442" s="153"/>
      <c r="E442" s="153"/>
      <c r="F442" s="153"/>
      <c r="G442" s="153"/>
      <c r="H442" s="153"/>
      <c r="I442" s="153"/>
      <c r="J442" s="153"/>
      <c r="K442" s="153"/>
      <c r="L442" s="153"/>
      <c r="M442" s="153"/>
      <c r="N442" s="153"/>
      <c r="O442" s="153"/>
      <c r="P442" s="153"/>
      <c r="Q442" s="153"/>
      <c r="R442" s="153"/>
      <c r="S442" s="153"/>
      <c r="T442" s="153"/>
      <c r="U442" s="153"/>
      <c r="V442" s="153"/>
      <c r="W442" s="153"/>
      <c r="X442" s="153"/>
      <c r="Y442" s="153"/>
      <c r="Z442" s="153"/>
      <c r="AA442" s="153"/>
      <c r="AB442" s="153"/>
      <c r="AC442" s="153"/>
      <c r="AD442" s="153"/>
      <c r="AE442" s="153"/>
      <c r="AF442" s="153"/>
      <c r="AG442" s="153"/>
      <c r="AH442" s="153"/>
      <c r="AI442" s="153"/>
      <c r="AJ442" s="153"/>
      <c r="AK442" s="153"/>
      <c r="AL442" s="153"/>
      <c r="AM442" s="153"/>
      <c r="AN442" s="153"/>
      <c r="AO442" s="153"/>
      <c r="AP442" s="153"/>
      <c r="AQ442" s="153"/>
      <c r="AR442" s="153"/>
    </row>
    <row r="443" spans="1:44">
      <c r="A443" s="741">
        <f>Gases!A450</f>
        <v>425</v>
      </c>
      <c r="B443" s="153"/>
      <c r="C443" s="153"/>
      <c r="D443" s="153"/>
      <c r="E443" s="153"/>
      <c r="F443" s="153"/>
      <c r="G443" s="153"/>
      <c r="H443" s="153"/>
      <c r="I443" s="153"/>
      <c r="J443" s="153"/>
      <c r="K443" s="153"/>
      <c r="L443" s="153"/>
      <c r="M443" s="153"/>
      <c r="N443" s="153"/>
      <c r="O443" s="153"/>
      <c r="P443" s="153"/>
      <c r="Q443" s="153"/>
      <c r="R443" s="153"/>
      <c r="S443" s="153"/>
      <c r="T443" s="153"/>
      <c r="U443" s="153"/>
      <c r="V443" s="153"/>
      <c r="W443" s="153"/>
      <c r="X443" s="153"/>
      <c r="Y443" s="153"/>
      <c r="Z443" s="153"/>
      <c r="AA443" s="153"/>
      <c r="AB443" s="153"/>
      <c r="AC443" s="153"/>
      <c r="AD443" s="153"/>
      <c r="AE443" s="153"/>
      <c r="AF443" s="153"/>
      <c r="AG443" s="153"/>
      <c r="AH443" s="153"/>
      <c r="AI443" s="153"/>
      <c r="AJ443" s="153"/>
      <c r="AK443" s="153"/>
      <c r="AL443" s="153"/>
      <c r="AM443" s="153"/>
      <c r="AN443" s="153"/>
      <c r="AO443" s="153"/>
      <c r="AP443" s="153"/>
      <c r="AQ443" s="153"/>
      <c r="AR443" s="153"/>
    </row>
    <row r="444" spans="1:44">
      <c r="A444" s="741">
        <f>Gases!A451</f>
        <v>426</v>
      </c>
      <c r="B444" s="153"/>
      <c r="C444" s="153"/>
      <c r="D444" s="153"/>
      <c r="E444" s="153"/>
      <c r="F444" s="153"/>
      <c r="G444" s="153"/>
      <c r="H444" s="153"/>
      <c r="I444" s="153"/>
      <c r="J444" s="153"/>
      <c r="K444" s="153"/>
      <c r="L444" s="153"/>
      <c r="M444" s="153"/>
      <c r="N444" s="153"/>
      <c r="O444" s="153"/>
      <c r="P444" s="153"/>
      <c r="Q444" s="153"/>
      <c r="R444" s="153"/>
      <c r="S444" s="153"/>
      <c r="T444" s="153"/>
      <c r="U444" s="153"/>
      <c r="V444" s="153"/>
      <c r="W444" s="153"/>
      <c r="X444" s="153"/>
      <c r="Y444" s="153"/>
      <c r="Z444" s="153"/>
      <c r="AA444" s="153"/>
      <c r="AB444" s="153"/>
      <c r="AC444" s="153"/>
      <c r="AD444" s="153"/>
      <c r="AE444" s="153"/>
      <c r="AF444" s="153"/>
      <c r="AG444" s="153"/>
      <c r="AH444" s="153"/>
      <c r="AI444" s="153"/>
      <c r="AJ444" s="153"/>
      <c r="AK444" s="153"/>
      <c r="AL444" s="153"/>
      <c r="AM444" s="153"/>
      <c r="AN444" s="153"/>
      <c r="AO444" s="153"/>
      <c r="AP444" s="153"/>
      <c r="AQ444" s="153"/>
      <c r="AR444" s="153"/>
    </row>
    <row r="445" spans="1:44">
      <c r="A445" s="741">
        <f>Gases!A452</f>
        <v>427</v>
      </c>
      <c r="B445" s="153"/>
      <c r="C445" s="153"/>
      <c r="D445" s="153"/>
      <c r="E445" s="153"/>
      <c r="F445" s="153"/>
      <c r="G445" s="153"/>
      <c r="H445" s="153"/>
      <c r="I445" s="153"/>
      <c r="J445" s="153"/>
      <c r="K445" s="153"/>
      <c r="L445" s="153"/>
      <c r="M445" s="153"/>
      <c r="N445" s="153"/>
      <c r="O445" s="153"/>
      <c r="P445" s="153"/>
      <c r="Q445" s="153"/>
      <c r="R445" s="153"/>
      <c r="S445" s="153"/>
      <c r="T445" s="153"/>
      <c r="U445" s="153"/>
      <c r="V445" s="153"/>
      <c r="W445" s="153"/>
      <c r="X445" s="153"/>
      <c r="Y445" s="153"/>
      <c r="Z445" s="153"/>
      <c r="AA445" s="153"/>
      <c r="AB445" s="153"/>
      <c r="AC445" s="153"/>
      <c r="AD445" s="153"/>
      <c r="AE445" s="153"/>
      <c r="AF445" s="153"/>
      <c r="AG445" s="153"/>
      <c r="AH445" s="153"/>
      <c r="AI445" s="153"/>
      <c r="AJ445" s="153"/>
      <c r="AK445" s="153"/>
      <c r="AL445" s="153"/>
      <c r="AM445" s="153"/>
      <c r="AN445" s="153"/>
      <c r="AO445" s="153"/>
      <c r="AP445" s="153"/>
      <c r="AQ445" s="153"/>
      <c r="AR445" s="153"/>
    </row>
    <row r="446" spans="1:44">
      <c r="A446" s="741">
        <f>Gases!A453</f>
        <v>428</v>
      </c>
      <c r="B446" s="153"/>
      <c r="C446" s="153"/>
      <c r="D446" s="153"/>
      <c r="E446" s="153"/>
      <c r="F446" s="153"/>
      <c r="G446" s="153"/>
      <c r="H446" s="153"/>
      <c r="I446" s="153"/>
      <c r="J446" s="153"/>
      <c r="K446" s="153"/>
      <c r="L446" s="153"/>
      <c r="M446" s="153"/>
      <c r="N446" s="153"/>
      <c r="O446" s="153"/>
      <c r="P446" s="153"/>
      <c r="Q446" s="153"/>
      <c r="R446" s="153"/>
      <c r="S446" s="153"/>
      <c r="T446" s="153"/>
      <c r="U446" s="153"/>
      <c r="V446" s="153"/>
      <c r="W446" s="153"/>
      <c r="X446" s="153"/>
      <c r="Y446" s="153"/>
      <c r="Z446" s="153"/>
      <c r="AA446" s="153"/>
      <c r="AB446" s="153"/>
      <c r="AC446" s="153"/>
      <c r="AD446" s="153"/>
      <c r="AE446" s="153"/>
      <c r="AF446" s="153"/>
      <c r="AG446" s="153"/>
      <c r="AH446" s="153"/>
      <c r="AI446" s="153"/>
      <c r="AJ446" s="153"/>
      <c r="AK446" s="153"/>
      <c r="AL446" s="153"/>
      <c r="AM446" s="153"/>
      <c r="AN446" s="153"/>
      <c r="AO446" s="153"/>
      <c r="AP446" s="153"/>
      <c r="AQ446" s="153"/>
      <c r="AR446" s="153"/>
    </row>
    <row r="447" spans="1:44">
      <c r="A447" s="741">
        <f>Gases!A454</f>
        <v>429</v>
      </c>
      <c r="B447" s="153"/>
      <c r="C447" s="153"/>
      <c r="D447" s="153"/>
      <c r="E447" s="153"/>
      <c r="F447" s="153"/>
      <c r="G447" s="153"/>
      <c r="H447" s="153"/>
      <c r="I447" s="153"/>
      <c r="J447" s="153"/>
      <c r="K447" s="153"/>
      <c r="L447" s="153"/>
      <c r="M447" s="153"/>
      <c r="N447" s="153"/>
      <c r="O447" s="153"/>
      <c r="P447" s="153"/>
      <c r="Q447" s="153"/>
      <c r="R447" s="153"/>
      <c r="S447" s="153"/>
      <c r="T447" s="153"/>
      <c r="U447" s="153"/>
      <c r="V447" s="153"/>
      <c r="W447" s="153"/>
      <c r="X447" s="153"/>
      <c r="Y447" s="153"/>
      <c r="Z447" s="153"/>
      <c r="AA447" s="153"/>
      <c r="AB447" s="153"/>
      <c r="AC447" s="153"/>
      <c r="AD447" s="153"/>
      <c r="AE447" s="153"/>
      <c r="AF447" s="153"/>
      <c r="AG447" s="153"/>
      <c r="AH447" s="153"/>
      <c r="AI447" s="153"/>
      <c r="AJ447" s="153"/>
      <c r="AK447" s="153"/>
      <c r="AL447" s="153"/>
      <c r="AM447" s="153"/>
      <c r="AN447" s="153"/>
      <c r="AO447" s="153"/>
      <c r="AP447" s="153"/>
      <c r="AQ447" s="153"/>
      <c r="AR447" s="153"/>
    </row>
    <row r="448" spans="1:44">
      <c r="A448" s="741">
        <f>Gases!A455</f>
        <v>430</v>
      </c>
      <c r="B448" s="153"/>
      <c r="C448" s="153"/>
      <c r="D448" s="153"/>
      <c r="E448" s="153"/>
      <c r="F448" s="153"/>
      <c r="G448" s="153"/>
      <c r="H448" s="153"/>
      <c r="I448" s="153"/>
      <c r="J448" s="153"/>
      <c r="K448" s="153"/>
      <c r="L448" s="153"/>
      <c r="M448" s="153"/>
      <c r="N448" s="153"/>
      <c r="O448" s="153"/>
      <c r="P448" s="153"/>
      <c r="Q448" s="153"/>
      <c r="R448" s="153"/>
      <c r="S448" s="153"/>
      <c r="T448" s="153"/>
      <c r="U448" s="153"/>
      <c r="V448" s="153"/>
      <c r="W448" s="153"/>
      <c r="X448" s="153"/>
      <c r="Y448" s="153"/>
      <c r="Z448" s="153"/>
      <c r="AA448" s="153"/>
      <c r="AB448" s="153"/>
      <c r="AC448" s="153"/>
      <c r="AD448" s="153"/>
      <c r="AE448" s="153"/>
      <c r="AF448" s="153"/>
      <c r="AG448" s="153"/>
      <c r="AH448" s="153"/>
      <c r="AI448" s="153"/>
      <c r="AJ448" s="153"/>
      <c r="AK448" s="153"/>
      <c r="AL448" s="153"/>
      <c r="AM448" s="153"/>
      <c r="AN448" s="153"/>
      <c r="AO448" s="153"/>
      <c r="AP448" s="153"/>
      <c r="AQ448" s="153"/>
      <c r="AR448" s="153"/>
    </row>
    <row r="449" spans="1:44">
      <c r="A449" s="741">
        <f>Gases!A456</f>
        <v>431</v>
      </c>
      <c r="B449" s="153"/>
      <c r="C449" s="153"/>
      <c r="D449" s="153"/>
      <c r="E449" s="153"/>
      <c r="F449" s="153"/>
      <c r="G449" s="153"/>
      <c r="H449" s="153"/>
      <c r="I449" s="153"/>
      <c r="J449" s="153"/>
      <c r="K449" s="153"/>
      <c r="L449" s="153"/>
      <c r="M449" s="153"/>
      <c r="N449" s="153"/>
      <c r="O449" s="153"/>
      <c r="P449" s="153"/>
      <c r="Q449" s="153"/>
      <c r="R449" s="153"/>
      <c r="S449" s="153"/>
      <c r="T449" s="153"/>
      <c r="U449" s="153"/>
      <c r="V449" s="153"/>
      <c r="W449" s="153"/>
      <c r="X449" s="153"/>
      <c r="Y449" s="153"/>
      <c r="Z449" s="153"/>
      <c r="AA449" s="153"/>
      <c r="AB449" s="153"/>
      <c r="AC449" s="153"/>
      <c r="AD449" s="153"/>
      <c r="AE449" s="153"/>
      <c r="AF449" s="153"/>
      <c r="AG449" s="153"/>
      <c r="AH449" s="153"/>
      <c r="AI449" s="153"/>
      <c r="AJ449" s="153"/>
      <c r="AK449" s="153"/>
      <c r="AL449" s="153"/>
      <c r="AM449" s="153"/>
      <c r="AN449" s="153"/>
      <c r="AO449" s="153"/>
      <c r="AP449" s="153"/>
      <c r="AQ449" s="153"/>
      <c r="AR449" s="153"/>
    </row>
    <row r="450" spans="1:44">
      <c r="A450" s="741">
        <f>Gases!A457</f>
        <v>432</v>
      </c>
      <c r="B450" s="153"/>
      <c r="C450" s="153"/>
      <c r="D450" s="153"/>
      <c r="E450" s="153"/>
      <c r="F450" s="153"/>
      <c r="G450" s="153"/>
      <c r="H450" s="153"/>
      <c r="I450" s="153"/>
      <c r="J450" s="153"/>
      <c r="K450" s="153"/>
      <c r="L450" s="153"/>
      <c r="M450" s="153"/>
      <c r="N450" s="153"/>
      <c r="O450" s="153"/>
      <c r="P450" s="153"/>
      <c r="Q450" s="153"/>
      <c r="R450" s="153"/>
      <c r="S450" s="153"/>
      <c r="T450" s="153"/>
      <c r="U450" s="153"/>
      <c r="V450" s="153"/>
      <c r="W450" s="153"/>
      <c r="X450" s="153"/>
      <c r="Y450" s="153"/>
      <c r="Z450" s="153"/>
      <c r="AA450" s="153"/>
      <c r="AB450" s="153"/>
      <c r="AC450" s="153"/>
      <c r="AD450" s="153"/>
      <c r="AE450" s="153"/>
      <c r="AF450" s="153"/>
      <c r="AG450" s="153"/>
      <c r="AH450" s="153"/>
      <c r="AI450" s="153"/>
      <c r="AJ450" s="153"/>
      <c r="AK450" s="153"/>
      <c r="AL450" s="153"/>
      <c r="AM450" s="153"/>
      <c r="AN450" s="153"/>
      <c r="AO450" s="153"/>
      <c r="AP450" s="153"/>
      <c r="AQ450" s="153"/>
      <c r="AR450" s="153"/>
    </row>
    <row r="451" spans="1:44">
      <c r="A451" s="741">
        <f>Gases!A458</f>
        <v>433</v>
      </c>
      <c r="B451" s="153"/>
      <c r="C451" s="153"/>
      <c r="D451" s="153"/>
      <c r="E451" s="153"/>
      <c r="F451" s="153"/>
      <c r="G451" s="153"/>
      <c r="H451" s="153"/>
      <c r="I451" s="153"/>
      <c r="J451" s="153"/>
      <c r="K451" s="153"/>
      <c r="L451" s="153"/>
      <c r="M451" s="153"/>
      <c r="N451" s="153"/>
      <c r="O451" s="153"/>
      <c r="P451" s="153"/>
      <c r="Q451" s="153"/>
      <c r="R451" s="153"/>
      <c r="S451" s="153"/>
      <c r="T451" s="153"/>
      <c r="U451" s="153"/>
      <c r="V451" s="153"/>
      <c r="W451" s="153"/>
      <c r="X451" s="153"/>
      <c r="Y451" s="153"/>
      <c r="Z451" s="153"/>
      <c r="AA451" s="153"/>
      <c r="AB451" s="153"/>
      <c r="AC451" s="153"/>
      <c r="AD451" s="153"/>
      <c r="AE451" s="153"/>
      <c r="AF451" s="153"/>
      <c r="AG451" s="153"/>
      <c r="AH451" s="153"/>
      <c r="AI451" s="153"/>
      <c r="AJ451" s="153"/>
      <c r="AK451" s="153"/>
      <c r="AL451" s="153"/>
      <c r="AM451" s="153"/>
      <c r="AN451" s="153"/>
      <c r="AO451" s="153"/>
      <c r="AP451" s="153"/>
      <c r="AQ451" s="153"/>
      <c r="AR451" s="153"/>
    </row>
    <row r="452" spans="1:44">
      <c r="A452" s="741">
        <f>Gases!A459</f>
        <v>434</v>
      </c>
      <c r="B452" s="153"/>
      <c r="C452" s="153"/>
      <c r="D452" s="153"/>
      <c r="E452" s="153"/>
      <c r="F452" s="153"/>
      <c r="G452" s="153"/>
      <c r="H452" s="153"/>
      <c r="I452" s="153"/>
      <c r="J452" s="153"/>
      <c r="K452" s="153"/>
      <c r="L452" s="153"/>
      <c r="M452" s="153"/>
      <c r="N452" s="153"/>
      <c r="O452" s="153"/>
      <c r="P452" s="153"/>
      <c r="Q452" s="153"/>
      <c r="R452" s="153"/>
      <c r="S452" s="153"/>
      <c r="T452" s="153"/>
      <c r="U452" s="153"/>
      <c r="V452" s="153"/>
      <c r="W452" s="153"/>
      <c r="X452" s="153"/>
      <c r="Y452" s="153"/>
      <c r="Z452" s="153"/>
      <c r="AA452" s="153"/>
      <c r="AB452" s="153"/>
      <c r="AC452" s="153"/>
      <c r="AD452" s="153"/>
      <c r="AE452" s="153"/>
      <c r="AF452" s="153"/>
      <c r="AG452" s="153"/>
      <c r="AH452" s="153"/>
      <c r="AI452" s="153"/>
      <c r="AJ452" s="153"/>
      <c r="AK452" s="153"/>
      <c r="AL452" s="153"/>
      <c r="AM452" s="153"/>
      <c r="AN452" s="153"/>
      <c r="AO452" s="153"/>
      <c r="AP452" s="153"/>
      <c r="AQ452" s="153"/>
      <c r="AR452" s="153"/>
    </row>
    <row r="453" spans="1:44">
      <c r="A453" s="741">
        <f>Gases!A460</f>
        <v>435</v>
      </c>
      <c r="B453" s="153"/>
      <c r="C453" s="153"/>
      <c r="D453" s="153"/>
      <c r="E453" s="153"/>
      <c r="F453" s="153"/>
      <c r="G453" s="153"/>
      <c r="H453" s="153"/>
      <c r="I453" s="153"/>
      <c r="J453" s="153"/>
      <c r="K453" s="153"/>
      <c r="L453" s="153"/>
      <c r="M453" s="153"/>
      <c r="N453" s="153"/>
      <c r="O453" s="153"/>
      <c r="P453" s="153"/>
      <c r="Q453" s="153"/>
      <c r="R453" s="153"/>
      <c r="S453" s="153"/>
      <c r="T453" s="153"/>
      <c r="U453" s="153"/>
      <c r="V453" s="153"/>
      <c r="W453" s="153"/>
      <c r="X453" s="153"/>
      <c r="Y453" s="153"/>
      <c r="Z453" s="153"/>
      <c r="AA453" s="153"/>
      <c r="AB453" s="153"/>
      <c r="AC453" s="153"/>
      <c r="AD453" s="153"/>
      <c r="AE453" s="153"/>
      <c r="AF453" s="153"/>
      <c r="AG453" s="153"/>
      <c r="AH453" s="153"/>
      <c r="AI453" s="153"/>
      <c r="AJ453" s="153"/>
      <c r="AK453" s="153"/>
      <c r="AL453" s="153"/>
      <c r="AM453" s="153"/>
      <c r="AN453" s="153"/>
      <c r="AO453" s="153"/>
      <c r="AP453" s="153"/>
      <c r="AQ453" s="153"/>
      <c r="AR453" s="153"/>
    </row>
    <row r="454" spans="1:44">
      <c r="A454" s="741">
        <f>Gases!A461</f>
        <v>436</v>
      </c>
      <c r="B454" s="153"/>
      <c r="C454" s="153"/>
      <c r="D454" s="153"/>
      <c r="E454" s="153"/>
      <c r="F454" s="153"/>
      <c r="G454" s="153"/>
      <c r="H454" s="153"/>
      <c r="I454" s="153"/>
      <c r="J454" s="153"/>
      <c r="K454" s="153"/>
      <c r="L454" s="153"/>
      <c r="M454" s="153"/>
      <c r="N454" s="153"/>
      <c r="O454" s="153"/>
      <c r="P454" s="153"/>
      <c r="Q454" s="153"/>
      <c r="R454" s="153"/>
      <c r="S454" s="153"/>
      <c r="T454" s="153"/>
      <c r="U454" s="153"/>
      <c r="V454" s="153"/>
      <c r="W454" s="153"/>
      <c r="X454" s="153"/>
      <c r="Y454" s="153"/>
      <c r="Z454" s="153"/>
      <c r="AA454" s="153"/>
      <c r="AB454" s="153"/>
      <c r="AC454" s="153"/>
      <c r="AD454" s="153"/>
      <c r="AE454" s="153"/>
      <c r="AF454" s="153"/>
      <c r="AG454" s="153"/>
      <c r="AH454" s="153"/>
      <c r="AI454" s="153"/>
      <c r="AJ454" s="153"/>
      <c r="AK454" s="153"/>
      <c r="AL454" s="153"/>
      <c r="AM454" s="153"/>
      <c r="AN454" s="153"/>
      <c r="AO454" s="153"/>
      <c r="AP454" s="153"/>
      <c r="AQ454" s="153"/>
      <c r="AR454" s="153"/>
    </row>
    <row r="455" spans="1:44">
      <c r="A455" s="741">
        <f>Gases!A462</f>
        <v>437</v>
      </c>
      <c r="B455" s="153"/>
      <c r="C455" s="153"/>
      <c r="D455" s="153"/>
      <c r="E455" s="153"/>
      <c r="F455" s="153"/>
      <c r="G455" s="153"/>
      <c r="H455" s="153"/>
      <c r="I455" s="153"/>
      <c r="J455" s="153"/>
      <c r="K455" s="153"/>
      <c r="L455" s="153"/>
      <c r="M455" s="153"/>
      <c r="N455" s="153"/>
      <c r="O455" s="153"/>
      <c r="P455" s="153"/>
      <c r="Q455" s="153"/>
      <c r="R455" s="153"/>
      <c r="S455" s="153"/>
      <c r="T455" s="153"/>
      <c r="U455" s="153"/>
      <c r="V455" s="153"/>
      <c r="W455" s="153"/>
      <c r="X455" s="153"/>
      <c r="Y455" s="153"/>
      <c r="Z455" s="153"/>
      <c r="AA455" s="153"/>
      <c r="AB455" s="153"/>
      <c r="AC455" s="153"/>
      <c r="AD455" s="153"/>
      <c r="AE455" s="153"/>
      <c r="AF455" s="153"/>
      <c r="AG455" s="153"/>
      <c r="AH455" s="153"/>
      <c r="AI455" s="153"/>
      <c r="AJ455" s="153"/>
      <c r="AK455" s="153"/>
      <c r="AL455" s="153"/>
      <c r="AM455" s="153"/>
      <c r="AN455" s="153"/>
      <c r="AO455" s="153"/>
      <c r="AP455" s="153"/>
      <c r="AQ455" s="153"/>
      <c r="AR455" s="153"/>
    </row>
    <row r="456" spans="1:44">
      <c r="A456" s="741">
        <f>Gases!A463</f>
        <v>438</v>
      </c>
      <c r="B456" s="153"/>
      <c r="C456" s="153"/>
      <c r="D456" s="153"/>
      <c r="E456" s="153"/>
      <c r="F456" s="153"/>
      <c r="G456" s="153"/>
      <c r="H456" s="153"/>
      <c r="I456" s="153"/>
      <c r="J456" s="153"/>
      <c r="K456" s="153"/>
      <c r="L456" s="153"/>
      <c r="M456" s="153"/>
      <c r="N456" s="153"/>
      <c r="O456" s="153"/>
      <c r="P456" s="153"/>
      <c r="Q456" s="153"/>
      <c r="R456" s="153"/>
      <c r="S456" s="153"/>
      <c r="T456" s="153"/>
      <c r="U456" s="153"/>
      <c r="V456" s="153"/>
      <c r="W456" s="153"/>
      <c r="X456" s="153"/>
      <c r="Y456" s="153"/>
      <c r="Z456" s="153"/>
      <c r="AA456" s="153"/>
      <c r="AB456" s="153"/>
      <c r="AC456" s="153"/>
      <c r="AD456" s="153"/>
      <c r="AE456" s="153"/>
      <c r="AF456" s="153"/>
      <c r="AG456" s="153"/>
      <c r="AH456" s="153"/>
      <c r="AI456" s="153"/>
      <c r="AJ456" s="153"/>
      <c r="AK456" s="153"/>
      <c r="AL456" s="153"/>
      <c r="AM456" s="153"/>
      <c r="AN456" s="153"/>
      <c r="AO456" s="153"/>
      <c r="AP456" s="153"/>
      <c r="AQ456" s="153"/>
      <c r="AR456" s="153"/>
    </row>
    <row r="457" spans="1:44">
      <c r="A457" s="741">
        <f>Gases!A464</f>
        <v>439</v>
      </c>
      <c r="B457" s="153"/>
      <c r="C457" s="153"/>
      <c r="D457" s="153"/>
      <c r="E457" s="153"/>
      <c r="F457" s="153"/>
      <c r="G457" s="153"/>
      <c r="H457" s="153"/>
      <c r="I457" s="153"/>
      <c r="J457" s="153"/>
      <c r="K457" s="153"/>
      <c r="L457" s="153"/>
      <c r="M457" s="153"/>
      <c r="N457" s="153"/>
      <c r="O457" s="153"/>
      <c r="P457" s="153"/>
      <c r="Q457" s="153"/>
      <c r="R457" s="153"/>
      <c r="S457" s="153"/>
      <c r="T457" s="153"/>
      <c r="U457" s="153"/>
      <c r="V457" s="153"/>
      <c r="W457" s="153"/>
      <c r="X457" s="153"/>
      <c r="Y457" s="153"/>
      <c r="Z457" s="153"/>
      <c r="AA457" s="153"/>
      <c r="AB457" s="153"/>
      <c r="AC457" s="153"/>
      <c r="AD457" s="153"/>
      <c r="AE457" s="153"/>
      <c r="AF457" s="153"/>
      <c r="AG457" s="153"/>
      <c r="AH457" s="153"/>
      <c r="AI457" s="153"/>
      <c r="AJ457" s="153"/>
      <c r="AK457" s="153"/>
      <c r="AL457" s="153"/>
      <c r="AM457" s="153"/>
      <c r="AN457" s="153"/>
      <c r="AO457" s="153"/>
      <c r="AP457" s="153"/>
      <c r="AQ457" s="153"/>
      <c r="AR457" s="153"/>
    </row>
    <row r="458" spans="1:44">
      <c r="A458" s="741">
        <f>Gases!A465</f>
        <v>440</v>
      </c>
      <c r="B458" s="153"/>
      <c r="C458" s="153"/>
      <c r="D458" s="153"/>
      <c r="E458" s="153"/>
      <c r="F458" s="153"/>
      <c r="G458" s="153"/>
      <c r="H458" s="153"/>
      <c r="I458" s="153"/>
      <c r="J458" s="153"/>
      <c r="K458" s="153"/>
      <c r="L458" s="153"/>
      <c r="M458" s="153"/>
      <c r="N458" s="153"/>
      <c r="O458" s="153"/>
      <c r="P458" s="153"/>
      <c r="Q458" s="153"/>
      <c r="R458" s="153"/>
      <c r="S458" s="153"/>
      <c r="T458" s="153"/>
      <c r="U458" s="153"/>
      <c r="V458" s="153"/>
      <c r="W458" s="153"/>
      <c r="X458" s="153"/>
      <c r="Y458" s="153"/>
      <c r="Z458" s="153"/>
      <c r="AA458" s="153"/>
      <c r="AB458" s="153"/>
      <c r="AC458" s="153"/>
      <c r="AD458" s="153"/>
      <c r="AE458" s="153"/>
      <c r="AF458" s="153"/>
      <c r="AG458" s="153"/>
      <c r="AH458" s="153"/>
      <c r="AI458" s="153"/>
      <c r="AJ458" s="153"/>
      <c r="AK458" s="153"/>
      <c r="AL458" s="153"/>
      <c r="AM458" s="153"/>
      <c r="AN458" s="153"/>
      <c r="AO458" s="153"/>
      <c r="AP458" s="153"/>
      <c r="AQ458" s="153"/>
      <c r="AR458" s="153"/>
    </row>
    <row r="459" spans="1:44">
      <c r="A459" s="741">
        <f>Gases!A466</f>
        <v>441</v>
      </c>
      <c r="B459" s="153"/>
      <c r="C459" s="153"/>
      <c r="D459" s="153"/>
      <c r="E459" s="153"/>
      <c r="F459" s="153"/>
      <c r="G459" s="153"/>
      <c r="H459" s="153"/>
      <c r="I459" s="153"/>
      <c r="J459" s="153"/>
      <c r="K459" s="153"/>
      <c r="L459" s="153"/>
      <c r="M459" s="153"/>
      <c r="N459" s="153"/>
      <c r="O459" s="153"/>
      <c r="P459" s="153"/>
      <c r="Q459" s="153"/>
      <c r="R459" s="153"/>
      <c r="S459" s="153"/>
      <c r="T459" s="153"/>
      <c r="U459" s="153"/>
      <c r="V459" s="153"/>
      <c r="W459" s="153"/>
      <c r="X459" s="153"/>
      <c r="Y459" s="153"/>
      <c r="Z459" s="153"/>
      <c r="AA459" s="153"/>
      <c r="AB459" s="153"/>
      <c r="AC459" s="153"/>
      <c r="AD459" s="153"/>
      <c r="AE459" s="153"/>
      <c r="AF459" s="153"/>
      <c r="AG459" s="153"/>
      <c r="AH459" s="153"/>
      <c r="AI459" s="153"/>
      <c r="AJ459" s="153"/>
      <c r="AK459" s="153"/>
      <c r="AL459" s="153"/>
      <c r="AM459" s="153"/>
      <c r="AN459" s="153"/>
      <c r="AO459" s="153"/>
      <c r="AP459" s="153"/>
      <c r="AQ459" s="153"/>
      <c r="AR459" s="153"/>
    </row>
    <row r="460" spans="1:44">
      <c r="A460" s="741">
        <f>Gases!A467</f>
        <v>442</v>
      </c>
      <c r="B460" s="153"/>
      <c r="C460" s="153"/>
      <c r="D460" s="153"/>
      <c r="E460" s="153"/>
      <c r="F460" s="153"/>
      <c r="G460" s="153"/>
      <c r="H460" s="153"/>
      <c r="I460" s="153"/>
      <c r="J460" s="153"/>
      <c r="K460" s="153"/>
      <c r="L460" s="153"/>
      <c r="M460" s="153"/>
      <c r="N460" s="153"/>
      <c r="O460" s="153"/>
      <c r="P460" s="153"/>
      <c r="Q460" s="153"/>
      <c r="R460" s="153"/>
      <c r="S460" s="153"/>
      <c r="T460" s="153"/>
      <c r="U460" s="153"/>
      <c r="V460" s="153"/>
      <c r="W460" s="153"/>
      <c r="X460" s="153"/>
      <c r="Y460" s="153"/>
      <c r="Z460" s="153"/>
      <c r="AA460" s="153"/>
      <c r="AB460" s="153"/>
      <c r="AC460" s="153"/>
      <c r="AD460" s="153"/>
      <c r="AE460" s="153"/>
      <c r="AF460" s="153"/>
      <c r="AG460" s="153"/>
      <c r="AH460" s="153"/>
      <c r="AI460" s="153"/>
      <c r="AJ460" s="153"/>
      <c r="AK460" s="153"/>
      <c r="AL460" s="153"/>
      <c r="AM460" s="153"/>
      <c r="AN460" s="153"/>
      <c r="AO460" s="153"/>
      <c r="AP460" s="153"/>
      <c r="AQ460" s="153"/>
      <c r="AR460" s="153"/>
    </row>
    <row r="461" spans="1:44">
      <c r="A461" s="741">
        <f>Gases!A468</f>
        <v>443</v>
      </c>
      <c r="B461" s="153"/>
      <c r="C461" s="153"/>
      <c r="D461" s="153"/>
      <c r="E461" s="153"/>
      <c r="F461" s="153"/>
      <c r="G461" s="153"/>
      <c r="H461" s="153"/>
      <c r="I461" s="153"/>
      <c r="J461" s="153"/>
      <c r="K461" s="153"/>
      <c r="L461" s="153"/>
      <c r="M461" s="153"/>
      <c r="N461" s="153"/>
      <c r="O461" s="153"/>
      <c r="P461" s="153"/>
      <c r="Q461" s="153"/>
      <c r="R461" s="153"/>
      <c r="S461" s="153"/>
      <c r="T461" s="153"/>
      <c r="U461" s="153"/>
      <c r="V461" s="153"/>
      <c r="W461" s="153"/>
      <c r="X461" s="153"/>
      <c r="Y461" s="153"/>
      <c r="Z461" s="153"/>
      <c r="AA461" s="153"/>
      <c r="AB461" s="153"/>
      <c r="AC461" s="153"/>
      <c r="AD461" s="153"/>
      <c r="AE461" s="153"/>
      <c r="AF461" s="153"/>
      <c r="AG461" s="153"/>
      <c r="AH461" s="153"/>
      <c r="AI461" s="153"/>
      <c r="AJ461" s="153"/>
      <c r="AK461" s="153"/>
      <c r="AL461" s="153"/>
      <c r="AM461" s="153"/>
      <c r="AN461" s="153"/>
      <c r="AO461" s="153"/>
      <c r="AP461" s="153"/>
      <c r="AQ461" s="153"/>
      <c r="AR461" s="153"/>
    </row>
    <row r="462" spans="1:44">
      <c r="A462" s="741">
        <f>Gases!A469</f>
        <v>444</v>
      </c>
      <c r="B462" s="153"/>
      <c r="C462" s="153"/>
      <c r="D462" s="153"/>
      <c r="E462" s="153"/>
      <c r="F462" s="153"/>
      <c r="G462" s="153"/>
      <c r="H462" s="153"/>
      <c r="I462" s="153"/>
      <c r="J462" s="153"/>
      <c r="K462" s="153"/>
      <c r="L462" s="153"/>
      <c r="M462" s="153"/>
      <c r="N462" s="153"/>
      <c r="O462" s="153"/>
      <c r="P462" s="153"/>
      <c r="Q462" s="153"/>
      <c r="R462" s="153"/>
      <c r="S462" s="153"/>
      <c r="T462" s="153"/>
      <c r="U462" s="153"/>
      <c r="V462" s="153"/>
      <c r="W462" s="153"/>
      <c r="X462" s="153"/>
      <c r="Y462" s="153"/>
      <c r="Z462" s="153"/>
      <c r="AA462" s="153"/>
      <c r="AB462" s="153"/>
      <c r="AC462" s="153"/>
      <c r="AD462" s="153"/>
      <c r="AE462" s="153"/>
      <c r="AF462" s="153"/>
      <c r="AG462" s="153"/>
      <c r="AH462" s="153"/>
      <c r="AI462" s="153"/>
      <c r="AJ462" s="153"/>
      <c r="AK462" s="153"/>
      <c r="AL462" s="153"/>
      <c r="AM462" s="153"/>
      <c r="AN462" s="153"/>
      <c r="AO462" s="153"/>
      <c r="AP462" s="153"/>
      <c r="AQ462" s="153"/>
      <c r="AR462" s="153"/>
    </row>
    <row r="463" spans="1:44">
      <c r="A463" s="741">
        <f>Gases!A470</f>
        <v>445</v>
      </c>
      <c r="B463" s="153"/>
      <c r="C463" s="153"/>
      <c r="D463" s="153"/>
      <c r="E463" s="153"/>
      <c r="F463" s="153"/>
      <c r="G463" s="153"/>
      <c r="H463" s="153"/>
      <c r="I463" s="153"/>
      <c r="J463" s="153"/>
      <c r="K463" s="153"/>
      <c r="L463" s="153"/>
      <c r="M463" s="153"/>
      <c r="N463" s="153"/>
      <c r="O463" s="153"/>
      <c r="P463" s="153"/>
      <c r="Q463" s="153"/>
      <c r="R463" s="153"/>
      <c r="S463" s="153"/>
      <c r="T463" s="153"/>
      <c r="U463" s="153"/>
      <c r="V463" s="153"/>
      <c r="W463" s="153"/>
      <c r="X463" s="153"/>
      <c r="Y463" s="153"/>
      <c r="Z463" s="153"/>
      <c r="AA463" s="153"/>
      <c r="AB463" s="153"/>
      <c r="AC463" s="153"/>
      <c r="AD463" s="153"/>
      <c r="AE463" s="153"/>
      <c r="AF463" s="153"/>
      <c r="AG463" s="153"/>
      <c r="AH463" s="153"/>
      <c r="AI463" s="153"/>
      <c r="AJ463" s="153"/>
      <c r="AK463" s="153"/>
      <c r="AL463" s="153"/>
      <c r="AM463" s="153"/>
      <c r="AN463" s="153"/>
      <c r="AO463" s="153"/>
      <c r="AP463" s="153"/>
      <c r="AQ463" s="153"/>
      <c r="AR463" s="153"/>
    </row>
    <row r="464" spans="1:44">
      <c r="A464" s="741">
        <f>Gases!A471</f>
        <v>446</v>
      </c>
      <c r="B464" s="153"/>
      <c r="C464" s="153"/>
      <c r="D464" s="153"/>
      <c r="E464" s="153"/>
      <c r="F464" s="153"/>
      <c r="G464" s="153"/>
      <c r="H464" s="153"/>
      <c r="I464" s="153"/>
      <c r="J464" s="153"/>
      <c r="K464" s="153"/>
      <c r="L464" s="153"/>
      <c r="M464" s="153"/>
      <c r="N464" s="153"/>
      <c r="O464" s="153"/>
      <c r="P464" s="153"/>
      <c r="Q464" s="153"/>
      <c r="R464" s="153"/>
      <c r="S464" s="153"/>
      <c r="T464" s="153"/>
      <c r="U464" s="153"/>
      <c r="V464" s="153"/>
      <c r="W464" s="153"/>
      <c r="X464" s="153"/>
      <c r="Y464" s="153"/>
      <c r="Z464" s="153"/>
      <c r="AA464" s="153"/>
      <c r="AB464" s="153"/>
      <c r="AC464" s="153"/>
      <c r="AD464" s="153"/>
      <c r="AE464" s="153"/>
      <c r="AF464" s="153"/>
      <c r="AG464" s="153"/>
      <c r="AH464" s="153"/>
      <c r="AI464" s="153"/>
      <c r="AJ464" s="153"/>
      <c r="AK464" s="153"/>
      <c r="AL464" s="153"/>
      <c r="AM464" s="153"/>
      <c r="AN464" s="153"/>
      <c r="AO464" s="153"/>
      <c r="AP464" s="153"/>
      <c r="AQ464" s="153"/>
      <c r="AR464" s="153"/>
    </row>
    <row r="465" spans="1:44">
      <c r="A465" s="741">
        <f>Gases!A472</f>
        <v>447</v>
      </c>
      <c r="B465" s="153"/>
      <c r="C465" s="153"/>
      <c r="D465" s="153"/>
      <c r="E465" s="153"/>
      <c r="F465" s="153"/>
      <c r="G465" s="153"/>
      <c r="H465" s="153"/>
      <c r="I465" s="153"/>
      <c r="J465" s="153"/>
      <c r="K465" s="153"/>
      <c r="L465" s="153"/>
      <c r="M465" s="153"/>
      <c r="N465" s="153"/>
      <c r="O465" s="153"/>
      <c r="P465" s="153"/>
      <c r="Q465" s="153"/>
      <c r="R465" s="153"/>
      <c r="S465" s="153"/>
      <c r="T465" s="153"/>
      <c r="U465" s="153"/>
      <c r="V465" s="153"/>
      <c r="W465" s="153"/>
      <c r="X465" s="153"/>
      <c r="Y465" s="153"/>
      <c r="Z465" s="153"/>
      <c r="AA465" s="153"/>
      <c r="AB465" s="153"/>
      <c r="AC465" s="153"/>
      <c r="AD465" s="153"/>
      <c r="AE465" s="153"/>
      <c r="AF465" s="153"/>
      <c r="AG465" s="153"/>
      <c r="AH465" s="153"/>
      <c r="AI465" s="153"/>
      <c r="AJ465" s="153"/>
      <c r="AK465" s="153"/>
      <c r="AL465" s="153"/>
      <c r="AM465" s="153"/>
      <c r="AN465" s="153"/>
      <c r="AO465" s="153"/>
      <c r="AP465" s="153"/>
      <c r="AQ465" s="153"/>
      <c r="AR465" s="153"/>
    </row>
    <row r="466" spans="1:44">
      <c r="A466" s="741">
        <f>Gases!A473</f>
        <v>448</v>
      </c>
      <c r="B466" s="153"/>
      <c r="C466" s="153"/>
      <c r="D466" s="153"/>
      <c r="E466" s="153"/>
      <c r="F466" s="153"/>
      <c r="G466" s="153"/>
      <c r="H466" s="153"/>
      <c r="I466" s="153"/>
      <c r="J466" s="153"/>
      <c r="K466" s="153"/>
      <c r="L466" s="153"/>
      <c r="M466" s="153"/>
      <c r="N466" s="153"/>
      <c r="O466" s="153"/>
      <c r="P466" s="153"/>
      <c r="Q466" s="153"/>
      <c r="R466" s="153"/>
      <c r="S466" s="153"/>
      <c r="T466" s="153"/>
      <c r="U466" s="153"/>
      <c r="V466" s="153"/>
      <c r="W466" s="153"/>
      <c r="X466" s="153"/>
      <c r="Y466" s="153"/>
      <c r="Z466" s="153"/>
      <c r="AA466" s="153"/>
      <c r="AB466" s="153"/>
      <c r="AC466" s="153"/>
      <c r="AD466" s="153"/>
      <c r="AE466" s="153"/>
      <c r="AF466" s="153"/>
      <c r="AG466" s="153"/>
      <c r="AH466" s="153"/>
      <c r="AI466" s="153"/>
      <c r="AJ466" s="153"/>
      <c r="AK466" s="153"/>
      <c r="AL466" s="153"/>
      <c r="AM466" s="153"/>
      <c r="AN466" s="153"/>
      <c r="AO466" s="153"/>
      <c r="AP466" s="153"/>
      <c r="AQ466" s="153"/>
      <c r="AR466" s="153"/>
    </row>
    <row r="467" spans="1:44">
      <c r="A467" s="741">
        <f>Gases!A474</f>
        <v>449</v>
      </c>
      <c r="B467" s="153"/>
      <c r="C467" s="153"/>
      <c r="D467" s="153"/>
      <c r="E467" s="153"/>
      <c r="F467" s="153"/>
      <c r="G467" s="153"/>
      <c r="H467" s="153"/>
      <c r="I467" s="153"/>
      <c r="J467" s="153"/>
      <c r="K467" s="153"/>
      <c r="L467" s="153"/>
      <c r="M467" s="153"/>
      <c r="N467" s="153"/>
      <c r="O467" s="153"/>
      <c r="P467" s="153"/>
      <c r="Q467" s="153"/>
      <c r="R467" s="153"/>
      <c r="S467" s="153"/>
      <c r="T467" s="153"/>
      <c r="U467" s="153"/>
      <c r="V467" s="153"/>
      <c r="W467" s="153"/>
      <c r="X467" s="153"/>
      <c r="Y467" s="153"/>
      <c r="Z467" s="153"/>
      <c r="AA467" s="153"/>
      <c r="AB467" s="153"/>
      <c r="AC467" s="153"/>
      <c r="AD467" s="153"/>
      <c r="AE467" s="153"/>
      <c r="AF467" s="153"/>
      <c r="AG467" s="153"/>
      <c r="AH467" s="153"/>
      <c r="AI467" s="153"/>
      <c r="AJ467" s="153"/>
      <c r="AK467" s="153"/>
      <c r="AL467" s="153"/>
      <c r="AM467" s="153"/>
      <c r="AN467" s="153"/>
      <c r="AO467" s="153"/>
      <c r="AP467" s="153"/>
      <c r="AQ467" s="153"/>
      <c r="AR467" s="153"/>
    </row>
    <row r="468" spans="1:44">
      <c r="A468" s="741">
        <f>Gases!A475</f>
        <v>450</v>
      </c>
      <c r="B468" s="153"/>
      <c r="C468" s="153"/>
      <c r="D468" s="153"/>
      <c r="E468" s="153"/>
      <c r="F468" s="153"/>
      <c r="G468" s="153"/>
      <c r="H468" s="153"/>
      <c r="I468" s="153"/>
      <c r="J468" s="153"/>
      <c r="K468" s="153"/>
      <c r="L468" s="153"/>
      <c r="M468" s="153"/>
      <c r="N468" s="153"/>
      <c r="O468" s="153"/>
      <c r="P468" s="153"/>
      <c r="Q468" s="153"/>
      <c r="R468" s="153"/>
      <c r="S468" s="153"/>
      <c r="T468" s="153"/>
      <c r="U468" s="153"/>
      <c r="V468" s="153"/>
      <c r="W468" s="153"/>
      <c r="X468" s="153"/>
      <c r="Y468" s="153"/>
      <c r="Z468" s="153"/>
      <c r="AA468" s="153"/>
      <c r="AB468" s="153"/>
      <c r="AC468" s="153"/>
      <c r="AD468" s="153"/>
      <c r="AE468" s="153"/>
      <c r="AF468" s="153"/>
      <c r="AG468" s="153"/>
      <c r="AH468" s="153"/>
      <c r="AI468" s="153"/>
      <c r="AJ468" s="153"/>
      <c r="AK468" s="153"/>
      <c r="AL468" s="153"/>
      <c r="AM468" s="153"/>
      <c r="AN468" s="153"/>
      <c r="AO468" s="153"/>
      <c r="AP468" s="153"/>
      <c r="AQ468" s="153"/>
      <c r="AR468" s="153"/>
    </row>
    <row r="469" spans="1:44">
      <c r="A469" s="741">
        <f>Gases!A476</f>
        <v>451</v>
      </c>
      <c r="B469" s="153"/>
      <c r="C469" s="153"/>
      <c r="D469" s="153"/>
      <c r="E469" s="153"/>
      <c r="F469" s="153"/>
      <c r="G469" s="153"/>
      <c r="H469" s="153"/>
      <c r="I469" s="153"/>
      <c r="J469" s="153"/>
      <c r="K469" s="153"/>
      <c r="L469" s="153"/>
      <c r="M469" s="153"/>
      <c r="N469" s="153"/>
      <c r="O469" s="153"/>
      <c r="P469" s="153"/>
      <c r="Q469" s="153"/>
      <c r="R469" s="153"/>
      <c r="S469" s="153"/>
      <c r="T469" s="153"/>
      <c r="U469" s="153"/>
      <c r="V469" s="153"/>
      <c r="W469" s="153"/>
      <c r="X469" s="153"/>
      <c r="Y469" s="153"/>
      <c r="Z469" s="153"/>
      <c r="AA469" s="153"/>
      <c r="AB469" s="153"/>
      <c r="AC469" s="153"/>
      <c r="AD469" s="153"/>
      <c r="AE469" s="153"/>
      <c r="AF469" s="153"/>
      <c r="AG469" s="153"/>
      <c r="AH469" s="153"/>
      <c r="AI469" s="153"/>
      <c r="AJ469" s="153"/>
      <c r="AK469" s="153"/>
      <c r="AL469" s="153"/>
      <c r="AM469" s="153"/>
      <c r="AN469" s="153"/>
      <c r="AO469" s="153"/>
      <c r="AP469" s="153"/>
      <c r="AQ469" s="153"/>
      <c r="AR469" s="153"/>
    </row>
    <row r="470" spans="1:44">
      <c r="A470" s="741">
        <f>Gases!A477</f>
        <v>452</v>
      </c>
      <c r="B470" s="153"/>
      <c r="C470" s="153"/>
      <c r="D470" s="153"/>
      <c r="E470" s="153"/>
      <c r="F470" s="153"/>
      <c r="G470" s="153"/>
      <c r="H470" s="153"/>
      <c r="I470" s="153"/>
      <c r="J470" s="153"/>
      <c r="K470" s="153"/>
      <c r="L470" s="153"/>
      <c r="M470" s="153"/>
      <c r="N470" s="153"/>
      <c r="O470" s="153"/>
      <c r="P470" s="153"/>
      <c r="Q470" s="153"/>
      <c r="R470" s="153"/>
      <c r="S470" s="153"/>
      <c r="T470" s="153"/>
      <c r="U470" s="153"/>
      <c r="V470" s="153"/>
      <c r="W470" s="153"/>
      <c r="X470" s="153"/>
      <c r="Y470" s="153"/>
      <c r="Z470" s="153"/>
      <c r="AA470" s="153"/>
      <c r="AB470" s="153"/>
      <c r="AC470" s="153"/>
      <c r="AD470" s="153"/>
      <c r="AE470" s="153"/>
      <c r="AF470" s="153"/>
      <c r="AG470" s="153"/>
      <c r="AH470" s="153"/>
      <c r="AI470" s="153"/>
      <c r="AJ470" s="153"/>
      <c r="AK470" s="153"/>
      <c r="AL470" s="153"/>
      <c r="AM470" s="153"/>
      <c r="AN470" s="153"/>
      <c r="AO470" s="153"/>
      <c r="AP470" s="153"/>
      <c r="AQ470" s="153"/>
      <c r="AR470" s="153"/>
    </row>
    <row r="471" spans="1:44">
      <c r="A471" s="741">
        <f>Gases!A478</f>
        <v>453</v>
      </c>
      <c r="B471" s="153"/>
      <c r="C471" s="153"/>
      <c r="D471" s="153"/>
      <c r="E471" s="153"/>
      <c r="F471" s="153"/>
      <c r="G471" s="153"/>
      <c r="H471" s="153"/>
      <c r="I471" s="153"/>
      <c r="J471" s="153"/>
      <c r="K471" s="153"/>
      <c r="L471" s="153"/>
      <c r="M471" s="153"/>
      <c r="N471" s="153"/>
      <c r="O471" s="153"/>
      <c r="P471" s="153"/>
      <c r="Q471" s="153"/>
      <c r="R471" s="153"/>
      <c r="S471" s="153"/>
      <c r="T471" s="153"/>
      <c r="U471" s="153"/>
      <c r="V471" s="153"/>
      <c r="W471" s="153"/>
      <c r="X471" s="153"/>
      <c r="Y471" s="153"/>
      <c r="Z471" s="153"/>
      <c r="AA471" s="153"/>
      <c r="AB471" s="153"/>
      <c r="AC471" s="153"/>
      <c r="AD471" s="153"/>
      <c r="AE471" s="153"/>
      <c r="AF471" s="153"/>
      <c r="AG471" s="153"/>
      <c r="AH471" s="153"/>
      <c r="AI471" s="153"/>
      <c r="AJ471" s="153"/>
      <c r="AK471" s="153"/>
      <c r="AL471" s="153"/>
      <c r="AM471" s="153"/>
      <c r="AN471" s="153"/>
      <c r="AO471" s="153"/>
      <c r="AP471" s="153"/>
      <c r="AQ471" s="153"/>
      <c r="AR471" s="153"/>
    </row>
    <row r="472" spans="1:44">
      <c r="A472" s="741">
        <f>Gases!A479</f>
        <v>454</v>
      </c>
      <c r="B472" s="153"/>
      <c r="C472" s="153"/>
      <c r="D472" s="153"/>
      <c r="E472" s="153"/>
      <c r="F472" s="153"/>
      <c r="G472" s="153"/>
      <c r="H472" s="153"/>
      <c r="I472" s="153"/>
      <c r="J472" s="153"/>
      <c r="K472" s="153"/>
      <c r="L472" s="153"/>
      <c r="M472" s="153"/>
      <c r="N472" s="153"/>
      <c r="O472" s="153"/>
      <c r="P472" s="153"/>
      <c r="Q472" s="153"/>
      <c r="R472" s="153"/>
      <c r="S472" s="153"/>
      <c r="T472" s="153"/>
      <c r="U472" s="153"/>
      <c r="V472" s="153"/>
      <c r="W472" s="153"/>
      <c r="X472" s="153"/>
      <c r="Y472" s="153"/>
      <c r="Z472" s="153"/>
      <c r="AA472" s="153"/>
      <c r="AB472" s="153"/>
      <c r="AC472" s="153"/>
      <c r="AD472" s="153"/>
      <c r="AE472" s="153"/>
      <c r="AF472" s="153"/>
      <c r="AG472" s="153"/>
      <c r="AH472" s="153"/>
      <c r="AI472" s="153"/>
      <c r="AJ472" s="153"/>
      <c r="AK472" s="153"/>
      <c r="AL472" s="153"/>
      <c r="AM472" s="153"/>
      <c r="AN472" s="153"/>
      <c r="AO472" s="153"/>
      <c r="AP472" s="153"/>
      <c r="AQ472" s="153"/>
      <c r="AR472" s="153"/>
    </row>
    <row r="473" spans="1:44">
      <c r="A473" s="741">
        <f>Gases!A480</f>
        <v>455</v>
      </c>
      <c r="B473" s="153"/>
      <c r="C473" s="153"/>
      <c r="D473" s="153"/>
      <c r="E473" s="153"/>
      <c r="F473" s="153"/>
      <c r="G473" s="153"/>
      <c r="H473" s="153"/>
      <c r="I473" s="153"/>
      <c r="J473" s="153"/>
      <c r="K473" s="153"/>
      <c r="L473" s="153"/>
      <c r="M473" s="153"/>
      <c r="N473" s="153"/>
      <c r="O473" s="153"/>
      <c r="P473" s="153"/>
      <c r="Q473" s="153"/>
      <c r="R473" s="153"/>
      <c r="S473" s="153"/>
      <c r="T473" s="153"/>
      <c r="U473" s="153"/>
      <c r="V473" s="153"/>
      <c r="W473" s="153"/>
      <c r="X473" s="153"/>
      <c r="Y473" s="153"/>
      <c r="Z473" s="153"/>
      <c r="AA473" s="153"/>
      <c r="AB473" s="153"/>
      <c r="AC473" s="153"/>
      <c r="AD473" s="153"/>
      <c r="AE473" s="153"/>
      <c r="AF473" s="153"/>
      <c r="AG473" s="153"/>
      <c r="AH473" s="153"/>
      <c r="AI473" s="153"/>
      <c r="AJ473" s="153"/>
      <c r="AK473" s="153"/>
      <c r="AL473" s="153"/>
      <c r="AM473" s="153"/>
      <c r="AN473" s="153"/>
      <c r="AO473" s="153"/>
      <c r="AP473" s="153"/>
      <c r="AQ473" s="153"/>
      <c r="AR473" s="153"/>
    </row>
    <row r="474" spans="1:44">
      <c r="A474" s="741">
        <f>Gases!A481</f>
        <v>456</v>
      </c>
      <c r="B474" s="153"/>
      <c r="C474" s="153"/>
      <c r="D474" s="153"/>
      <c r="E474" s="153"/>
      <c r="F474" s="153"/>
      <c r="G474" s="153"/>
      <c r="H474" s="153"/>
      <c r="I474" s="153"/>
      <c r="J474" s="153"/>
      <c r="K474" s="153"/>
      <c r="L474" s="153"/>
      <c r="M474" s="153"/>
      <c r="N474" s="153"/>
      <c r="O474" s="153"/>
      <c r="P474" s="153"/>
      <c r="Q474" s="153"/>
      <c r="R474" s="153"/>
      <c r="S474" s="153"/>
      <c r="T474" s="153"/>
      <c r="U474" s="153"/>
      <c r="V474" s="153"/>
      <c r="W474" s="153"/>
      <c r="X474" s="153"/>
      <c r="Y474" s="153"/>
      <c r="Z474" s="153"/>
      <c r="AA474" s="153"/>
      <c r="AB474" s="153"/>
      <c r="AC474" s="153"/>
      <c r="AD474" s="153"/>
      <c r="AE474" s="153"/>
      <c r="AF474" s="153"/>
      <c r="AG474" s="153"/>
      <c r="AH474" s="153"/>
      <c r="AI474" s="153"/>
      <c r="AJ474" s="153"/>
      <c r="AK474" s="153"/>
      <c r="AL474" s="153"/>
      <c r="AM474" s="153"/>
      <c r="AN474" s="153"/>
      <c r="AO474" s="153"/>
      <c r="AP474" s="153"/>
      <c r="AQ474" s="153"/>
      <c r="AR474" s="153"/>
    </row>
    <row r="475" spans="1:44">
      <c r="A475" s="741">
        <f>Gases!A482</f>
        <v>457</v>
      </c>
      <c r="B475" s="153"/>
      <c r="C475" s="153"/>
      <c r="D475" s="153"/>
      <c r="E475" s="153"/>
      <c r="F475" s="153"/>
      <c r="G475" s="153"/>
      <c r="H475" s="153"/>
      <c r="I475" s="153"/>
      <c r="J475" s="153"/>
      <c r="K475" s="153"/>
      <c r="L475" s="153"/>
      <c r="M475" s="153"/>
      <c r="N475" s="153"/>
      <c r="O475" s="153"/>
      <c r="P475" s="153"/>
      <c r="Q475" s="153"/>
      <c r="R475" s="153"/>
      <c r="S475" s="153"/>
      <c r="T475" s="153"/>
      <c r="U475" s="153"/>
      <c r="V475" s="153"/>
      <c r="W475" s="153"/>
      <c r="X475" s="153"/>
      <c r="Y475" s="153"/>
      <c r="Z475" s="153"/>
      <c r="AA475" s="153"/>
      <c r="AB475" s="153"/>
      <c r="AC475" s="153"/>
      <c r="AD475" s="153"/>
      <c r="AE475" s="153"/>
      <c r="AF475" s="153"/>
      <c r="AG475" s="153"/>
      <c r="AH475" s="153"/>
      <c r="AI475" s="153"/>
      <c r="AJ475" s="153"/>
      <c r="AK475" s="153"/>
      <c r="AL475" s="153"/>
      <c r="AM475" s="153"/>
      <c r="AN475" s="153"/>
      <c r="AO475" s="153"/>
      <c r="AP475" s="153"/>
      <c r="AQ475" s="153"/>
      <c r="AR475" s="153"/>
    </row>
    <row r="476" spans="1:44">
      <c r="A476" s="741">
        <f>Gases!A483</f>
        <v>458</v>
      </c>
      <c r="B476" s="153"/>
      <c r="C476" s="153"/>
      <c r="D476" s="153"/>
      <c r="E476" s="153"/>
      <c r="F476" s="153"/>
      <c r="G476" s="153"/>
      <c r="H476" s="153"/>
      <c r="I476" s="153"/>
      <c r="J476" s="153"/>
      <c r="K476" s="153"/>
      <c r="L476" s="153"/>
      <c r="M476" s="153"/>
      <c r="N476" s="153"/>
      <c r="O476" s="153"/>
      <c r="P476" s="153"/>
      <c r="Q476" s="153"/>
      <c r="R476" s="153"/>
      <c r="S476" s="153"/>
      <c r="T476" s="153"/>
      <c r="U476" s="153"/>
      <c r="V476" s="153"/>
      <c r="W476" s="153"/>
      <c r="X476" s="153"/>
      <c r="Y476" s="153"/>
      <c r="Z476" s="153"/>
      <c r="AA476" s="153"/>
      <c r="AB476" s="153"/>
      <c r="AC476" s="153"/>
      <c r="AD476" s="153"/>
      <c r="AE476" s="153"/>
      <c r="AF476" s="153"/>
      <c r="AG476" s="153"/>
      <c r="AH476" s="153"/>
      <c r="AI476" s="153"/>
      <c r="AJ476" s="153"/>
      <c r="AK476" s="153"/>
      <c r="AL476" s="153"/>
      <c r="AM476" s="153"/>
      <c r="AN476" s="153"/>
      <c r="AO476" s="153"/>
      <c r="AP476" s="153"/>
      <c r="AQ476" s="153"/>
      <c r="AR476" s="153"/>
    </row>
    <row r="477" spans="1:44">
      <c r="A477" s="741">
        <f>Gases!A484</f>
        <v>459</v>
      </c>
      <c r="B477" s="153"/>
      <c r="C477" s="153"/>
      <c r="D477" s="153"/>
      <c r="E477" s="153"/>
      <c r="F477" s="153"/>
      <c r="G477" s="153"/>
      <c r="H477" s="153"/>
      <c r="I477" s="153"/>
      <c r="J477" s="153"/>
      <c r="K477" s="153"/>
      <c r="L477" s="153"/>
      <c r="M477" s="153"/>
      <c r="N477" s="153"/>
      <c r="O477" s="153"/>
      <c r="P477" s="153"/>
      <c r="Q477" s="153"/>
      <c r="R477" s="153"/>
      <c r="S477" s="153"/>
      <c r="T477" s="153"/>
      <c r="U477" s="153"/>
      <c r="V477" s="153"/>
      <c r="W477" s="153"/>
      <c r="X477" s="153"/>
      <c r="Y477" s="153"/>
      <c r="Z477" s="153"/>
      <c r="AA477" s="153"/>
      <c r="AB477" s="153"/>
      <c r="AC477" s="153"/>
      <c r="AD477" s="153"/>
      <c r="AE477" s="153"/>
      <c r="AF477" s="153"/>
      <c r="AG477" s="153"/>
      <c r="AH477" s="153"/>
      <c r="AI477" s="153"/>
      <c r="AJ477" s="153"/>
      <c r="AK477" s="153"/>
      <c r="AL477" s="153"/>
      <c r="AM477" s="153"/>
      <c r="AN477" s="153"/>
      <c r="AO477" s="153"/>
      <c r="AP477" s="153"/>
      <c r="AQ477" s="153"/>
      <c r="AR477" s="153"/>
    </row>
    <row r="478" spans="1:44">
      <c r="A478" s="741">
        <f>Gases!A485</f>
        <v>460</v>
      </c>
      <c r="B478" s="153"/>
      <c r="C478" s="153"/>
      <c r="D478" s="153"/>
      <c r="E478" s="153"/>
      <c r="F478" s="153"/>
      <c r="G478" s="153"/>
      <c r="H478" s="153"/>
      <c r="I478" s="153"/>
      <c r="J478" s="153"/>
      <c r="K478" s="153"/>
      <c r="L478" s="153"/>
      <c r="M478" s="153"/>
      <c r="N478" s="153"/>
      <c r="O478" s="153"/>
      <c r="P478" s="153"/>
      <c r="Q478" s="153"/>
      <c r="R478" s="153"/>
      <c r="S478" s="153"/>
      <c r="T478" s="153"/>
      <c r="U478" s="153"/>
      <c r="V478" s="153"/>
      <c r="W478" s="153"/>
      <c r="X478" s="153"/>
      <c r="Y478" s="153"/>
      <c r="Z478" s="153"/>
      <c r="AA478" s="153"/>
      <c r="AB478" s="153"/>
      <c r="AC478" s="153"/>
      <c r="AD478" s="153"/>
      <c r="AE478" s="153"/>
      <c r="AF478" s="153"/>
      <c r="AG478" s="153"/>
      <c r="AH478" s="153"/>
      <c r="AI478" s="153"/>
      <c r="AJ478" s="153"/>
      <c r="AK478" s="153"/>
      <c r="AL478" s="153"/>
      <c r="AM478" s="153"/>
      <c r="AN478" s="153"/>
      <c r="AO478" s="153"/>
      <c r="AP478" s="153"/>
      <c r="AQ478" s="153"/>
      <c r="AR478" s="153"/>
    </row>
    <row r="479" spans="1:44">
      <c r="A479" s="741">
        <f>Gases!A486</f>
        <v>461</v>
      </c>
      <c r="B479" s="153"/>
      <c r="C479" s="153"/>
      <c r="D479" s="153"/>
      <c r="E479" s="153"/>
      <c r="F479" s="153"/>
      <c r="G479" s="153"/>
      <c r="H479" s="153"/>
      <c r="I479" s="153"/>
      <c r="J479" s="153"/>
      <c r="K479" s="153"/>
      <c r="L479" s="153"/>
      <c r="M479" s="153"/>
      <c r="N479" s="153"/>
      <c r="O479" s="153"/>
      <c r="P479" s="153"/>
      <c r="Q479" s="153"/>
      <c r="R479" s="153"/>
      <c r="S479" s="153"/>
      <c r="T479" s="153"/>
      <c r="U479" s="153"/>
      <c r="V479" s="153"/>
      <c r="W479" s="153"/>
      <c r="X479" s="153"/>
      <c r="Y479" s="153"/>
      <c r="Z479" s="153"/>
      <c r="AA479" s="153"/>
      <c r="AB479" s="153"/>
      <c r="AC479" s="153"/>
      <c r="AD479" s="153"/>
      <c r="AE479" s="153"/>
      <c r="AF479" s="153"/>
      <c r="AG479" s="153"/>
      <c r="AH479" s="153"/>
      <c r="AI479" s="153"/>
      <c r="AJ479" s="153"/>
      <c r="AK479" s="153"/>
      <c r="AL479" s="153"/>
      <c r="AM479" s="153"/>
      <c r="AN479" s="153"/>
      <c r="AO479" s="153"/>
      <c r="AP479" s="153"/>
      <c r="AQ479" s="153"/>
      <c r="AR479" s="153"/>
    </row>
    <row r="480" spans="1:44">
      <c r="A480" s="741">
        <f>Gases!A487</f>
        <v>462</v>
      </c>
      <c r="B480" s="153"/>
      <c r="C480" s="153"/>
      <c r="D480" s="153"/>
      <c r="E480" s="153"/>
      <c r="F480" s="153"/>
      <c r="G480" s="153"/>
      <c r="H480" s="153"/>
      <c r="I480" s="153"/>
      <c r="J480" s="153"/>
      <c r="K480" s="153"/>
      <c r="L480" s="153"/>
      <c r="M480" s="153"/>
      <c r="N480" s="153"/>
      <c r="O480" s="153"/>
      <c r="P480" s="153"/>
      <c r="Q480" s="153"/>
      <c r="R480" s="153"/>
      <c r="S480" s="153"/>
      <c r="T480" s="153"/>
      <c r="U480" s="153"/>
      <c r="V480" s="153"/>
      <c r="W480" s="153"/>
      <c r="X480" s="153"/>
      <c r="Y480" s="153"/>
      <c r="Z480" s="153"/>
      <c r="AA480" s="153"/>
      <c r="AB480" s="153"/>
      <c r="AC480" s="153"/>
      <c r="AD480" s="153"/>
      <c r="AE480" s="153"/>
      <c r="AF480" s="153"/>
      <c r="AG480" s="153"/>
      <c r="AH480" s="153"/>
      <c r="AI480" s="153"/>
      <c r="AJ480" s="153"/>
      <c r="AK480" s="153"/>
      <c r="AL480" s="153"/>
      <c r="AM480" s="153"/>
      <c r="AN480" s="153"/>
      <c r="AO480" s="153"/>
      <c r="AP480" s="153"/>
      <c r="AQ480" s="153"/>
      <c r="AR480" s="153"/>
    </row>
    <row r="481" spans="1:44">
      <c r="A481" s="741">
        <f>Gases!A488</f>
        <v>463</v>
      </c>
      <c r="B481" s="153"/>
      <c r="C481" s="153"/>
      <c r="D481" s="153"/>
      <c r="E481" s="153"/>
      <c r="F481" s="153"/>
      <c r="G481" s="153"/>
      <c r="H481" s="153"/>
      <c r="I481" s="153"/>
      <c r="J481" s="153"/>
      <c r="K481" s="153"/>
      <c r="L481" s="153"/>
      <c r="M481" s="153"/>
      <c r="N481" s="153"/>
      <c r="O481" s="153"/>
      <c r="P481" s="153"/>
      <c r="Q481" s="153"/>
      <c r="R481" s="153"/>
      <c r="S481" s="153"/>
      <c r="T481" s="153"/>
      <c r="U481" s="153"/>
      <c r="V481" s="153"/>
      <c r="W481" s="153"/>
      <c r="X481" s="153"/>
      <c r="Y481" s="153"/>
      <c r="Z481" s="153"/>
      <c r="AA481" s="153"/>
      <c r="AB481" s="153"/>
      <c r="AC481" s="153"/>
      <c r="AD481" s="153"/>
      <c r="AE481" s="153"/>
      <c r="AF481" s="153"/>
      <c r="AG481" s="153"/>
      <c r="AH481" s="153"/>
      <c r="AI481" s="153"/>
      <c r="AJ481" s="153"/>
      <c r="AK481" s="153"/>
      <c r="AL481" s="153"/>
      <c r="AM481" s="153"/>
      <c r="AN481" s="153"/>
      <c r="AO481" s="153"/>
      <c r="AP481" s="153"/>
      <c r="AQ481" s="153"/>
      <c r="AR481" s="153"/>
    </row>
    <row r="482" spans="1:44">
      <c r="A482" s="741">
        <f>Gases!A489</f>
        <v>464</v>
      </c>
      <c r="B482" s="153"/>
      <c r="C482" s="153"/>
      <c r="D482" s="153"/>
      <c r="E482" s="153"/>
      <c r="F482" s="153"/>
      <c r="G482" s="153"/>
      <c r="H482" s="153"/>
      <c r="I482" s="153"/>
      <c r="J482" s="153"/>
      <c r="K482" s="153"/>
      <c r="L482" s="153"/>
      <c r="M482" s="153"/>
      <c r="N482" s="153"/>
      <c r="O482" s="153"/>
      <c r="P482" s="153"/>
      <c r="Q482" s="153"/>
      <c r="R482" s="153"/>
      <c r="S482" s="153"/>
      <c r="T482" s="153"/>
      <c r="U482" s="153"/>
      <c r="V482" s="153"/>
      <c r="W482" s="153"/>
      <c r="X482" s="153"/>
      <c r="Y482" s="153"/>
      <c r="Z482" s="153"/>
      <c r="AA482" s="153"/>
      <c r="AB482" s="153"/>
      <c r="AC482" s="153"/>
      <c r="AD482" s="153"/>
      <c r="AE482" s="153"/>
      <c r="AF482" s="153"/>
      <c r="AG482" s="153"/>
      <c r="AH482" s="153"/>
      <c r="AI482" s="153"/>
      <c r="AJ482" s="153"/>
      <c r="AK482" s="153"/>
      <c r="AL482" s="153"/>
      <c r="AM482" s="153"/>
      <c r="AN482" s="153"/>
      <c r="AO482" s="153"/>
      <c r="AP482" s="153"/>
      <c r="AQ482" s="153"/>
      <c r="AR482" s="153"/>
    </row>
    <row r="483" spans="1:44">
      <c r="A483" s="741">
        <f>Gases!A490</f>
        <v>465</v>
      </c>
      <c r="B483" s="153"/>
      <c r="C483" s="153"/>
      <c r="D483" s="153"/>
      <c r="E483" s="153"/>
      <c r="F483" s="153"/>
      <c r="G483" s="153"/>
      <c r="H483" s="153"/>
      <c r="I483" s="153"/>
      <c r="J483" s="153"/>
      <c r="K483" s="153"/>
      <c r="L483" s="153"/>
      <c r="M483" s="153"/>
      <c r="N483" s="153"/>
      <c r="O483" s="153"/>
      <c r="P483" s="153"/>
      <c r="Q483" s="153"/>
      <c r="R483" s="153"/>
      <c r="S483" s="153"/>
      <c r="T483" s="153"/>
      <c r="U483" s="153"/>
      <c r="V483" s="153"/>
      <c r="W483" s="153"/>
      <c r="X483" s="153"/>
      <c r="Y483" s="153"/>
      <c r="Z483" s="153"/>
      <c r="AA483" s="153"/>
      <c r="AB483" s="153"/>
      <c r="AC483" s="153"/>
      <c r="AD483" s="153"/>
      <c r="AE483" s="153"/>
      <c r="AF483" s="153"/>
      <c r="AG483" s="153"/>
      <c r="AH483" s="153"/>
      <c r="AI483" s="153"/>
      <c r="AJ483" s="153"/>
      <c r="AK483" s="153"/>
      <c r="AL483" s="153"/>
      <c r="AM483" s="153"/>
      <c r="AN483" s="153"/>
      <c r="AO483" s="153"/>
      <c r="AP483" s="153"/>
      <c r="AQ483" s="153"/>
      <c r="AR483" s="153"/>
    </row>
    <row r="484" spans="1:44">
      <c r="A484" s="741">
        <f>Gases!A491</f>
        <v>466</v>
      </c>
      <c r="B484" s="153"/>
      <c r="C484" s="153"/>
      <c r="D484" s="153"/>
      <c r="E484" s="153"/>
      <c r="F484" s="153"/>
      <c r="G484" s="153"/>
      <c r="H484" s="153"/>
      <c r="I484" s="153"/>
      <c r="J484" s="153"/>
      <c r="K484" s="153"/>
      <c r="L484" s="153"/>
      <c r="M484" s="153"/>
      <c r="N484" s="153"/>
      <c r="O484" s="153"/>
      <c r="P484" s="153"/>
      <c r="Q484" s="153"/>
      <c r="R484" s="153"/>
      <c r="S484" s="153"/>
      <c r="T484" s="153"/>
      <c r="U484" s="153"/>
      <c r="V484" s="153"/>
      <c r="W484" s="153"/>
      <c r="X484" s="153"/>
      <c r="Y484" s="153"/>
      <c r="Z484" s="153"/>
      <c r="AA484" s="153"/>
      <c r="AB484" s="153"/>
      <c r="AC484" s="153"/>
      <c r="AD484" s="153"/>
      <c r="AE484" s="153"/>
      <c r="AF484" s="153"/>
      <c r="AG484" s="153"/>
      <c r="AH484" s="153"/>
      <c r="AI484" s="153"/>
      <c r="AJ484" s="153"/>
      <c r="AK484" s="153"/>
      <c r="AL484" s="153"/>
      <c r="AM484" s="153"/>
      <c r="AN484" s="153"/>
      <c r="AO484" s="153"/>
      <c r="AP484" s="153"/>
      <c r="AQ484" s="153"/>
      <c r="AR484" s="153"/>
    </row>
    <row r="485" spans="1:44">
      <c r="A485" s="741">
        <f>Gases!A492</f>
        <v>467</v>
      </c>
      <c r="B485" s="153"/>
      <c r="C485" s="153"/>
      <c r="D485" s="153"/>
      <c r="E485" s="153"/>
      <c r="F485" s="153"/>
      <c r="G485" s="153"/>
      <c r="H485" s="153"/>
      <c r="I485" s="153"/>
      <c r="J485" s="153"/>
      <c r="K485" s="153"/>
      <c r="L485" s="153"/>
      <c r="M485" s="153"/>
      <c r="N485" s="153"/>
      <c r="O485" s="153"/>
      <c r="P485" s="153"/>
      <c r="Q485" s="153"/>
      <c r="R485" s="153"/>
      <c r="S485" s="153"/>
      <c r="T485" s="153"/>
      <c r="U485" s="153"/>
      <c r="V485" s="153"/>
      <c r="W485" s="153"/>
      <c r="X485" s="153"/>
      <c r="Y485" s="153"/>
      <c r="Z485" s="153"/>
      <c r="AA485" s="153"/>
      <c r="AB485" s="153"/>
      <c r="AC485" s="153"/>
      <c r="AD485" s="153"/>
      <c r="AE485" s="153"/>
      <c r="AF485" s="153"/>
      <c r="AG485" s="153"/>
      <c r="AH485" s="153"/>
      <c r="AI485" s="153"/>
      <c r="AJ485" s="153"/>
      <c r="AK485" s="153"/>
      <c r="AL485" s="153"/>
      <c r="AM485" s="153"/>
      <c r="AN485" s="153"/>
      <c r="AO485" s="153"/>
      <c r="AP485" s="153"/>
      <c r="AQ485" s="153"/>
      <c r="AR485" s="153"/>
    </row>
    <row r="486" spans="1:44">
      <c r="A486" s="741">
        <f>Gases!A493</f>
        <v>468</v>
      </c>
      <c r="B486" s="153"/>
      <c r="C486" s="153"/>
      <c r="D486" s="153"/>
      <c r="E486" s="153"/>
      <c r="F486" s="153"/>
      <c r="G486" s="153"/>
      <c r="H486" s="153"/>
      <c r="I486" s="153"/>
      <c r="J486" s="153"/>
      <c r="K486" s="153"/>
      <c r="L486" s="153"/>
      <c r="M486" s="153"/>
      <c r="N486" s="153"/>
      <c r="O486" s="153"/>
      <c r="P486" s="153"/>
      <c r="Q486" s="153"/>
      <c r="R486" s="153"/>
      <c r="S486" s="153"/>
      <c r="T486" s="153"/>
      <c r="U486" s="153"/>
      <c r="V486" s="153"/>
      <c r="W486" s="153"/>
      <c r="X486" s="153"/>
      <c r="Y486" s="153"/>
      <c r="Z486" s="153"/>
      <c r="AA486" s="153"/>
      <c r="AB486" s="153"/>
      <c r="AC486" s="153"/>
      <c r="AD486" s="153"/>
      <c r="AE486" s="153"/>
      <c r="AF486" s="153"/>
      <c r="AG486" s="153"/>
      <c r="AH486" s="153"/>
      <c r="AI486" s="153"/>
      <c r="AJ486" s="153"/>
      <c r="AK486" s="153"/>
      <c r="AL486" s="153"/>
      <c r="AM486" s="153"/>
      <c r="AN486" s="153"/>
      <c r="AO486" s="153"/>
      <c r="AP486" s="153"/>
      <c r="AQ486" s="153"/>
      <c r="AR486" s="153"/>
    </row>
    <row r="487" spans="1:44">
      <c r="A487" s="741">
        <f>Gases!A494</f>
        <v>469</v>
      </c>
      <c r="B487" s="153"/>
      <c r="C487" s="153"/>
      <c r="D487" s="153"/>
      <c r="E487" s="153"/>
      <c r="F487" s="153"/>
      <c r="G487" s="153"/>
      <c r="H487" s="153"/>
      <c r="I487" s="153"/>
      <c r="J487" s="153"/>
      <c r="K487" s="153"/>
      <c r="L487" s="153"/>
      <c r="M487" s="153"/>
      <c r="N487" s="153"/>
      <c r="O487" s="153"/>
      <c r="P487" s="153"/>
      <c r="Q487" s="153"/>
      <c r="R487" s="153"/>
      <c r="S487" s="153"/>
      <c r="T487" s="153"/>
      <c r="U487" s="153"/>
      <c r="V487" s="153"/>
      <c r="W487" s="153"/>
      <c r="X487" s="153"/>
      <c r="Y487" s="153"/>
      <c r="Z487" s="153"/>
      <c r="AA487" s="153"/>
      <c r="AB487" s="153"/>
      <c r="AC487" s="153"/>
      <c r="AD487" s="153"/>
      <c r="AE487" s="153"/>
      <c r="AF487" s="153"/>
      <c r="AG487" s="153"/>
      <c r="AH487" s="153"/>
      <c r="AI487" s="153"/>
      <c r="AJ487" s="153"/>
      <c r="AK487" s="153"/>
      <c r="AL487" s="153"/>
      <c r="AM487" s="153"/>
      <c r="AN487" s="153"/>
      <c r="AO487" s="153"/>
      <c r="AP487" s="153"/>
      <c r="AQ487" s="153"/>
      <c r="AR487" s="153"/>
    </row>
    <row r="488" spans="1:44">
      <c r="A488" s="741">
        <f>Gases!A495</f>
        <v>470</v>
      </c>
      <c r="B488" s="153"/>
      <c r="C488" s="153"/>
      <c r="D488" s="153"/>
      <c r="E488" s="153"/>
      <c r="F488" s="153"/>
      <c r="G488" s="153"/>
      <c r="H488" s="153"/>
      <c r="I488" s="153"/>
      <c r="J488" s="153"/>
      <c r="K488" s="153"/>
      <c r="L488" s="153"/>
      <c r="M488" s="153"/>
      <c r="N488" s="153"/>
      <c r="O488" s="153"/>
      <c r="P488" s="153"/>
      <c r="Q488" s="153"/>
      <c r="R488" s="153"/>
      <c r="S488" s="153"/>
      <c r="T488" s="153"/>
      <c r="U488" s="153"/>
      <c r="V488" s="153"/>
      <c r="W488" s="153"/>
      <c r="X488" s="153"/>
      <c r="Y488" s="153"/>
      <c r="Z488" s="153"/>
      <c r="AA488" s="153"/>
      <c r="AB488" s="153"/>
      <c r="AC488" s="153"/>
      <c r="AD488" s="153"/>
      <c r="AE488" s="153"/>
      <c r="AF488" s="153"/>
      <c r="AG488" s="153"/>
      <c r="AH488" s="153"/>
      <c r="AI488" s="153"/>
      <c r="AJ488" s="153"/>
      <c r="AK488" s="153"/>
      <c r="AL488" s="153"/>
      <c r="AM488" s="153"/>
      <c r="AN488" s="153"/>
      <c r="AO488" s="153"/>
      <c r="AP488" s="153"/>
      <c r="AQ488" s="153"/>
      <c r="AR488" s="153"/>
    </row>
    <row r="489" spans="1:44">
      <c r="A489" s="741">
        <f>Gases!A496</f>
        <v>471</v>
      </c>
      <c r="B489" s="153"/>
      <c r="C489" s="153"/>
      <c r="D489" s="153"/>
      <c r="E489" s="153"/>
      <c r="F489" s="153"/>
      <c r="G489" s="153"/>
      <c r="H489" s="153"/>
      <c r="I489" s="153"/>
      <c r="J489" s="153"/>
      <c r="K489" s="153"/>
      <c r="L489" s="153"/>
      <c r="M489" s="153"/>
      <c r="N489" s="153"/>
      <c r="O489" s="153"/>
      <c r="P489" s="153"/>
      <c r="Q489" s="153"/>
      <c r="R489" s="153"/>
      <c r="S489" s="153"/>
      <c r="T489" s="153"/>
      <c r="U489" s="153"/>
      <c r="V489" s="153"/>
      <c r="W489" s="153"/>
      <c r="X489" s="153"/>
      <c r="Y489" s="153"/>
      <c r="Z489" s="153"/>
      <c r="AA489" s="153"/>
      <c r="AB489" s="153"/>
      <c r="AC489" s="153"/>
      <c r="AD489" s="153"/>
      <c r="AE489" s="153"/>
      <c r="AF489" s="153"/>
      <c r="AG489" s="153"/>
      <c r="AH489" s="153"/>
      <c r="AI489" s="153"/>
      <c r="AJ489" s="153"/>
      <c r="AK489" s="153"/>
      <c r="AL489" s="153"/>
      <c r="AM489" s="153"/>
      <c r="AN489" s="153"/>
      <c r="AO489" s="153"/>
      <c r="AP489" s="153"/>
      <c r="AQ489" s="153"/>
      <c r="AR489" s="153"/>
    </row>
    <row r="490" spans="1:44">
      <c r="A490" s="741">
        <f>Gases!A497</f>
        <v>472</v>
      </c>
      <c r="B490" s="153"/>
      <c r="C490" s="153"/>
      <c r="D490" s="153"/>
      <c r="E490" s="153"/>
      <c r="F490" s="153"/>
      <c r="G490" s="153"/>
      <c r="H490" s="153"/>
      <c r="I490" s="153"/>
      <c r="J490" s="153"/>
      <c r="K490" s="153"/>
      <c r="L490" s="153"/>
      <c r="M490" s="153"/>
      <c r="N490" s="153"/>
      <c r="O490" s="153"/>
      <c r="P490" s="153"/>
      <c r="Q490" s="153"/>
      <c r="R490" s="153"/>
      <c r="S490" s="153"/>
      <c r="T490" s="153"/>
      <c r="U490" s="153"/>
      <c r="V490" s="153"/>
      <c r="W490" s="153"/>
      <c r="X490" s="153"/>
      <c r="Y490" s="153"/>
      <c r="Z490" s="153"/>
      <c r="AA490" s="153"/>
      <c r="AB490" s="153"/>
      <c r="AC490" s="153"/>
      <c r="AD490" s="153"/>
      <c r="AE490" s="153"/>
      <c r="AF490" s="153"/>
      <c r="AG490" s="153"/>
      <c r="AH490" s="153"/>
      <c r="AI490" s="153"/>
      <c r="AJ490" s="153"/>
      <c r="AK490" s="153"/>
      <c r="AL490" s="153"/>
      <c r="AM490" s="153"/>
      <c r="AN490" s="153"/>
      <c r="AO490" s="153"/>
      <c r="AP490" s="153"/>
      <c r="AQ490" s="153"/>
      <c r="AR490" s="153"/>
    </row>
    <row r="491" spans="1:44">
      <c r="A491" s="741">
        <f>Gases!A498</f>
        <v>473</v>
      </c>
      <c r="B491" s="153"/>
      <c r="C491" s="153"/>
      <c r="D491" s="153"/>
      <c r="E491" s="153"/>
      <c r="F491" s="153"/>
      <c r="G491" s="153"/>
      <c r="H491" s="153"/>
      <c r="I491" s="153"/>
      <c r="J491" s="153"/>
      <c r="K491" s="153"/>
      <c r="L491" s="153"/>
      <c r="M491" s="153"/>
      <c r="N491" s="153"/>
      <c r="O491" s="153"/>
      <c r="P491" s="153"/>
      <c r="Q491" s="153"/>
      <c r="R491" s="153"/>
      <c r="S491" s="153"/>
      <c r="T491" s="153"/>
      <c r="U491" s="153"/>
      <c r="V491" s="153"/>
      <c r="W491" s="153"/>
      <c r="X491" s="153"/>
      <c r="Y491" s="153"/>
      <c r="Z491" s="153"/>
      <c r="AA491" s="153"/>
      <c r="AB491" s="153"/>
      <c r="AC491" s="153"/>
      <c r="AD491" s="153"/>
      <c r="AE491" s="153"/>
      <c r="AF491" s="153"/>
      <c r="AG491" s="153"/>
      <c r="AH491" s="153"/>
      <c r="AI491" s="153"/>
      <c r="AJ491" s="153"/>
      <c r="AK491" s="153"/>
      <c r="AL491" s="153"/>
      <c r="AM491" s="153"/>
      <c r="AN491" s="153"/>
      <c r="AO491" s="153"/>
      <c r="AP491" s="153"/>
      <c r="AQ491" s="153"/>
      <c r="AR491" s="153"/>
    </row>
    <row r="492" spans="1:44">
      <c r="A492" s="741">
        <f>Gases!A499</f>
        <v>474</v>
      </c>
      <c r="B492" s="153"/>
      <c r="C492" s="153"/>
      <c r="D492" s="153"/>
      <c r="E492" s="153"/>
      <c r="F492" s="153"/>
      <c r="G492" s="153"/>
      <c r="H492" s="153"/>
      <c r="I492" s="153"/>
      <c r="J492" s="153"/>
      <c r="K492" s="153"/>
      <c r="L492" s="153"/>
      <c r="M492" s="153"/>
      <c r="N492" s="153"/>
      <c r="O492" s="153"/>
      <c r="P492" s="153"/>
      <c r="Q492" s="153"/>
      <c r="R492" s="153"/>
      <c r="S492" s="153"/>
      <c r="T492" s="153"/>
      <c r="U492" s="153"/>
      <c r="V492" s="153"/>
      <c r="W492" s="153"/>
      <c r="X492" s="153"/>
      <c r="Y492" s="153"/>
      <c r="Z492" s="153"/>
      <c r="AA492" s="153"/>
      <c r="AB492" s="153"/>
      <c r="AC492" s="153"/>
      <c r="AD492" s="153"/>
      <c r="AE492" s="153"/>
      <c r="AF492" s="153"/>
      <c r="AG492" s="153"/>
      <c r="AH492" s="153"/>
      <c r="AI492" s="153"/>
      <c r="AJ492" s="153"/>
      <c r="AK492" s="153"/>
      <c r="AL492" s="153"/>
      <c r="AM492" s="153"/>
      <c r="AN492" s="153"/>
      <c r="AO492" s="153"/>
      <c r="AP492" s="153"/>
      <c r="AQ492" s="153"/>
      <c r="AR492" s="153"/>
    </row>
    <row r="493" spans="1:44">
      <c r="A493" s="741">
        <f>Gases!A500</f>
        <v>475</v>
      </c>
      <c r="B493" s="153"/>
      <c r="C493" s="153"/>
      <c r="D493" s="153"/>
      <c r="E493" s="153"/>
      <c r="F493" s="153"/>
      <c r="G493" s="153"/>
      <c r="H493" s="153"/>
      <c r="I493" s="153"/>
      <c r="J493" s="153"/>
      <c r="K493" s="153"/>
      <c r="L493" s="153"/>
      <c r="M493" s="153"/>
      <c r="N493" s="153"/>
      <c r="O493" s="153"/>
      <c r="P493" s="153"/>
      <c r="Q493" s="153"/>
      <c r="R493" s="153"/>
      <c r="S493" s="153"/>
      <c r="T493" s="153"/>
      <c r="U493" s="153"/>
      <c r="V493" s="153"/>
      <c r="W493" s="153"/>
      <c r="X493" s="153"/>
      <c r="Y493" s="153"/>
      <c r="Z493" s="153"/>
      <c r="AA493" s="153"/>
      <c r="AB493" s="153"/>
      <c r="AC493" s="153"/>
      <c r="AD493" s="153"/>
      <c r="AE493" s="153"/>
      <c r="AF493" s="153"/>
      <c r="AG493" s="153"/>
      <c r="AH493" s="153"/>
      <c r="AI493" s="153"/>
      <c r="AJ493" s="153"/>
      <c r="AK493" s="153"/>
      <c r="AL493" s="153"/>
      <c r="AM493" s="153"/>
      <c r="AN493" s="153"/>
      <c r="AO493" s="153"/>
      <c r="AP493" s="153"/>
      <c r="AQ493" s="153"/>
      <c r="AR493" s="153"/>
    </row>
    <row r="494" spans="1:44">
      <c r="A494" s="741">
        <f>Gases!A501</f>
        <v>476</v>
      </c>
      <c r="B494" s="153"/>
      <c r="C494" s="153"/>
      <c r="D494" s="153"/>
      <c r="E494" s="153"/>
      <c r="F494" s="153"/>
      <c r="G494" s="153"/>
      <c r="H494" s="153"/>
      <c r="I494" s="153"/>
      <c r="J494" s="153"/>
      <c r="K494" s="153"/>
      <c r="L494" s="153"/>
      <c r="M494" s="153"/>
      <c r="N494" s="153"/>
      <c r="O494" s="153"/>
      <c r="P494" s="153"/>
      <c r="Q494" s="153"/>
      <c r="R494" s="153"/>
      <c r="S494" s="153"/>
      <c r="T494" s="153"/>
      <c r="U494" s="153"/>
      <c r="V494" s="153"/>
      <c r="W494" s="153"/>
      <c r="X494" s="153"/>
      <c r="Y494" s="153"/>
      <c r="Z494" s="153"/>
      <c r="AA494" s="153"/>
      <c r="AB494" s="153"/>
      <c r="AC494" s="153"/>
      <c r="AD494" s="153"/>
      <c r="AE494" s="153"/>
      <c r="AF494" s="153"/>
      <c r="AG494" s="153"/>
      <c r="AH494" s="153"/>
      <c r="AI494" s="153"/>
      <c r="AJ494" s="153"/>
      <c r="AK494" s="153"/>
      <c r="AL494" s="153"/>
      <c r="AM494" s="153"/>
      <c r="AN494" s="153"/>
      <c r="AO494" s="153"/>
      <c r="AP494" s="153"/>
      <c r="AQ494" s="153"/>
      <c r="AR494" s="153"/>
    </row>
    <row r="495" spans="1:44">
      <c r="A495" s="741">
        <f>Gases!A502</f>
        <v>477</v>
      </c>
      <c r="B495" s="153"/>
      <c r="C495" s="153"/>
      <c r="D495" s="153"/>
      <c r="E495" s="153"/>
      <c r="F495" s="153"/>
      <c r="G495" s="153"/>
      <c r="H495" s="153"/>
      <c r="I495" s="153"/>
      <c r="J495" s="153"/>
      <c r="K495" s="153"/>
      <c r="L495" s="153"/>
      <c r="M495" s="153"/>
      <c r="N495" s="153"/>
      <c r="O495" s="153"/>
      <c r="P495" s="153"/>
      <c r="Q495" s="153"/>
      <c r="R495" s="153"/>
      <c r="S495" s="153"/>
      <c r="T495" s="153"/>
      <c r="U495" s="153"/>
      <c r="V495" s="153"/>
      <c r="W495" s="153"/>
      <c r="X495" s="153"/>
      <c r="Y495" s="153"/>
      <c r="Z495" s="153"/>
      <c r="AA495" s="153"/>
      <c r="AB495" s="153"/>
      <c r="AC495" s="153"/>
      <c r="AD495" s="153"/>
      <c r="AE495" s="153"/>
      <c r="AF495" s="153"/>
      <c r="AG495" s="153"/>
      <c r="AH495" s="153"/>
      <c r="AI495" s="153"/>
      <c r="AJ495" s="153"/>
      <c r="AK495" s="153"/>
      <c r="AL495" s="153"/>
      <c r="AM495" s="153"/>
      <c r="AN495" s="153"/>
      <c r="AO495" s="153"/>
      <c r="AP495" s="153"/>
      <c r="AQ495" s="153"/>
      <c r="AR495" s="153"/>
    </row>
    <row r="496" spans="1:44">
      <c r="A496" s="741">
        <f>Gases!A503</f>
        <v>478</v>
      </c>
      <c r="B496" s="153"/>
      <c r="C496" s="153"/>
      <c r="D496" s="153"/>
      <c r="E496" s="153"/>
      <c r="F496" s="153"/>
      <c r="G496" s="153"/>
      <c r="H496" s="153"/>
      <c r="I496" s="153"/>
      <c r="J496" s="153"/>
      <c r="K496" s="153"/>
      <c r="L496" s="153"/>
      <c r="M496" s="153"/>
      <c r="N496" s="153"/>
      <c r="O496" s="153"/>
      <c r="P496" s="153"/>
      <c r="Q496" s="153"/>
      <c r="R496" s="153"/>
      <c r="S496" s="153"/>
      <c r="T496" s="153"/>
      <c r="U496" s="153"/>
      <c r="V496" s="153"/>
      <c r="W496" s="153"/>
      <c r="X496" s="153"/>
      <c r="Y496" s="153"/>
      <c r="Z496" s="153"/>
      <c r="AA496" s="153"/>
      <c r="AB496" s="153"/>
      <c r="AC496" s="153"/>
      <c r="AD496" s="153"/>
      <c r="AE496" s="153"/>
      <c r="AF496" s="153"/>
      <c r="AG496" s="153"/>
      <c r="AH496" s="153"/>
      <c r="AI496" s="153"/>
      <c r="AJ496" s="153"/>
      <c r="AK496" s="153"/>
      <c r="AL496" s="153"/>
      <c r="AM496" s="153"/>
      <c r="AN496" s="153"/>
      <c r="AO496" s="153"/>
      <c r="AP496" s="153"/>
      <c r="AQ496" s="153"/>
      <c r="AR496" s="153"/>
    </row>
    <row r="497" spans="1:44">
      <c r="A497" s="741">
        <f>Gases!A504</f>
        <v>479</v>
      </c>
      <c r="B497" s="153"/>
      <c r="C497" s="153"/>
      <c r="D497" s="153"/>
      <c r="E497" s="153"/>
      <c r="F497" s="153"/>
      <c r="G497" s="153"/>
      <c r="H497" s="153"/>
      <c r="I497" s="153"/>
      <c r="J497" s="153"/>
      <c r="K497" s="153"/>
      <c r="L497" s="153"/>
      <c r="M497" s="153"/>
      <c r="N497" s="153"/>
      <c r="O497" s="153"/>
      <c r="P497" s="153"/>
      <c r="Q497" s="153"/>
      <c r="R497" s="153"/>
      <c r="S497" s="153"/>
      <c r="T497" s="153"/>
      <c r="U497" s="153"/>
      <c r="V497" s="153"/>
      <c r="W497" s="153"/>
      <c r="X497" s="153"/>
      <c r="Y497" s="153"/>
      <c r="Z497" s="153"/>
      <c r="AA497" s="153"/>
      <c r="AB497" s="153"/>
      <c r="AC497" s="153"/>
      <c r="AD497" s="153"/>
      <c r="AE497" s="153"/>
      <c r="AF497" s="153"/>
      <c r="AG497" s="153"/>
      <c r="AH497" s="153"/>
      <c r="AI497" s="153"/>
      <c r="AJ497" s="153"/>
      <c r="AK497" s="153"/>
      <c r="AL497" s="153"/>
      <c r="AM497" s="153"/>
      <c r="AN497" s="153"/>
      <c r="AO497" s="153"/>
      <c r="AP497" s="153"/>
      <c r="AQ497" s="153"/>
      <c r="AR497" s="153"/>
    </row>
    <row r="498" spans="1:44">
      <c r="A498" s="741">
        <f>Gases!A505</f>
        <v>480</v>
      </c>
      <c r="B498" s="153"/>
      <c r="C498" s="153"/>
      <c r="D498" s="153"/>
      <c r="E498" s="153"/>
      <c r="F498" s="153"/>
      <c r="G498" s="153"/>
      <c r="H498" s="153"/>
      <c r="I498" s="153"/>
      <c r="J498" s="153"/>
      <c r="K498" s="153"/>
      <c r="L498" s="153"/>
      <c r="M498" s="153"/>
      <c r="N498" s="153"/>
      <c r="O498" s="153"/>
      <c r="P498" s="153"/>
      <c r="Q498" s="153"/>
      <c r="R498" s="153"/>
      <c r="S498" s="153"/>
      <c r="T498" s="153"/>
      <c r="U498" s="153"/>
      <c r="V498" s="153"/>
      <c r="W498" s="153"/>
      <c r="X498" s="153"/>
      <c r="Y498" s="153"/>
      <c r="Z498" s="153"/>
      <c r="AA498" s="153"/>
      <c r="AB498" s="153"/>
      <c r="AC498" s="153"/>
      <c r="AD498" s="153"/>
      <c r="AE498" s="153"/>
      <c r="AF498" s="153"/>
      <c r="AG498" s="153"/>
      <c r="AH498" s="153"/>
      <c r="AI498" s="153"/>
      <c r="AJ498" s="153"/>
      <c r="AK498" s="153"/>
      <c r="AL498" s="153"/>
      <c r="AM498" s="153"/>
      <c r="AN498" s="153"/>
      <c r="AO498" s="153"/>
      <c r="AP498" s="153"/>
      <c r="AQ498" s="153"/>
      <c r="AR498" s="153"/>
    </row>
    <row r="499" spans="1:44">
      <c r="A499" s="741"/>
      <c r="B499" s="153"/>
      <c r="C499" s="153"/>
      <c r="D499" s="153"/>
      <c r="E499" s="153"/>
      <c r="F499" s="153"/>
      <c r="G499" s="153"/>
      <c r="H499" s="153"/>
      <c r="I499" s="153"/>
      <c r="J499" s="153"/>
      <c r="K499" s="153"/>
      <c r="L499" s="153"/>
      <c r="M499" s="153"/>
      <c r="N499" s="153"/>
      <c r="O499" s="153"/>
      <c r="P499" s="153"/>
      <c r="Q499" s="153"/>
      <c r="R499" s="153"/>
      <c r="S499" s="153"/>
      <c r="T499" s="153"/>
      <c r="U499" s="153"/>
      <c r="V499" s="153"/>
      <c r="W499" s="153"/>
      <c r="X499" s="153"/>
      <c r="Y499" s="153"/>
      <c r="Z499" s="153"/>
      <c r="AA499" s="153"/>
      <c r="AB499" s="153"/>
      <c r="AC499" s="153"/>
      <c r="AD499" s="153"/>
      <c r="AE499" s="153"/>
      <c r="AF499" s="153"/>
      <c r="AG499" s="153"/>
      <c r="AH499" s="153"/>
      <c r="AI499" s="153"/>
      <c r="AJ499" s="153"/>
      <c r="AK499" s="153"/>
      <c r="AL499" s="153"/>
      <c r="AM499" s="153"/>
      <c r="AN499" s="153"/>
      <c r="AO499" s="153"/>
      <c r="AP499" s="153"/>
      <c r="AQ499" s="153"/>
      <c r="AR499" s="153"/>
    </row>
    <row r="500" spans="1:44">
      <c r="A500" s="741"/>
      <c r="B500" s="153"/>
      <c r="C500" s="153"/>
      <c r="D500" s="153"/>
      <c r="E500" s="153"/>
      <c r="F500" s="153"/>
      <c r="G500" s="153"/>
      <c r="H500" s="153"/>
      <c r="I500" s="153"/>
      <c r="J500" s="153"/>
      <c r="K500" s="153"/>
      <c r="L500" s="153"/>
      <c r="M500" s="153"/>
      <c r="N500" s="153"/>
      <c r="O500" s="153"/>
      <c r="P500" s="153"/>
      <c r="Q500" s="153"/>
      <c r="R500" s="153"/>
      <c r="S500" s="153"/>
      <c r="T500" s="153"/>
      <c r="U500" s="153"/>
      <c r="V500" s="153"/>
      <c r="W500" s="153"/>
      <c r="X500" s="153"/>
      <c r="Y500" s="153"/>
      <c r="Z500" s="153"/>
      <c r="AA500" s="153"/>
      <c r="AB500" s="153"/>
      <c r="AC500" s="153"/>
      <c r="AD500" s="153"/>
      <c r="AE500" s="153"/>
      <c r="AF500" s="153"/>
      <c r="AG500" s="153"/>
      <c r="AH500" s="153"/>
      <c r="AI500" s="153"/>
      <c r="AJ500" s="153"/>
      <c r="AK500" s="153"/>
      <c r="AL500" s="153"/>
      <c r="AM500" s="153"/>
      <c r="AN500" s="153"/>
      <c r="AO500" s="153"/>
      <c r="AP500" s="153"/>
      <c r="AQ500" s="153"/>
      <c r="AR500" s="153"/>
    </row>
    <row r="501" spans="1:44">
      <c r="A501" s="741"/>
      <c r="B501" s="153"/>
      <c r="C501" s="153"/>
      <c r="D501" s="153"/>
      <c r="E501" s="153"/>
      <c r="F501" s="153"/>
      <c r="G501" s="153"/>
      <c r="H501" s="153"/>
      <c r="I501" s="153"/>
      <c r="J501" s="153"/>
      <c r="K501" s="153"/>
      <c r="L501" s="153"/>
      <c r="M501" s="153"/>
      <c r="N501" s="153"/>
      <c r="O501" s="153"/>
      <c r="P501" s="153"/>
      <c r="Q501" s="153"/>
      <c r="R501" s="153"/>
      <c r="S501" s="153"/>
      <c r="T501" s="153"/>
      <c r="U501" s="153"/>
      <c r="V501" s="153"/>
      <c r="W501" s="153"/>
      <c r="X501" s="153"/>
      <c r="Y501" s="153"/>
      <c r="Z501" s="153"/>
      <c r="AA501" s="153"/>
      <c r="AB501" s="153"/>
      <c r="AC501" s="153"/>
      <c r="AD501" s="153"/>
      <c r="AE501" s="153"/>
      <c r="AF501" s="153"/>
      <c r="AG501" s="153"/>
      <c r="AH501" s="153"/>
      <c r="AI501" s="153"/>
      <c r="AJ501" s="153"/>
      <c r="AK501" s="153"/>
      <c r="AL501" s="153"/>
      <c r="AM501" s="153"/>
      <c r="AN501" s="153"/>
      <c r="AO501" s="153"/>
      <c r="AP501" s="153"/>
      <c r="AQ501" s="153"/>
      <c r="AR501" s="153"/>
    </row>
    <row r="502" spans="1:44">
      <c r="A502" s="741"/>
      <c r="B502" s="153"/>
      <c r="C502" s="153"/>
      <c r="D502" s="153"/>
      <c r="E502" s="153"/>
      <c r="F502" s="153"/>
      <c r="G502" s="153"/>
      <c r="H502" s="153"/>
      <c r="I502" s="153"/>
      <c r="J502" s="153"/>
      <c r="K502" s="153"/>
      <c r="L502" s="153"/>
      <c r="M502" s="153"/>
      <c r="N502" s="153"/>
      <c r="O502" s="153"/>
      <c r="P502" s="153"/>
      <c r="Q502" s="153"/>
      <c r="R502" s="153"/>
      <c r="S502" s="153"/>
      <c r="T502" s="153"/>
      <c r="U502" s="153"/>
      <c r="V502" s="153"/>
      <c r="W502" s="153"/>
      <c r="X502" s="153"/>
      <c r="Y502" s="153"/>
      <c r="Z502" s="153"/>
      <c r="AA502" s="153"/>
      <c r="AB502" s="153"/>
      <c r="AC502" s="153"/>
      <c r="AD502" s="153"/>
      <c r="AE502" s="153"/>
      <c r="AF502" s="153"/>
      <c r="AG502" s="153"/>
      <c r="AH502" s="153"/>
      <c r="AI502" s="153"/>
      <c r="AJ502" s="153"/>
      <c r="AK502" s="153"/>
      <c r="AL502" s="153"/>
      <c r="AM502" s="153"/>
      <c r="AN502" s="153"/>
      <c r="AO502" s="153"/>
      <c r="AP502" s="153"/>
      <c r="AQ502" s="153"/>
      <c r="AR502" s="153"/>
    </row>
    <row r="503" spans="1:44">
      <c r="A503" s="741"/>
      <c r="B503" s="153"/>
      <c r="C503" s="153"/>
      <c r="D503" s="153"/>
      <c r="E503" s="153"/>
      <c r="F503" s="153"/>
      <c r="G503" s="153"/>
      <c r="H503" s="153"/>
      <c r="I503" s="153"/>
      <c r="J503" s="153"/>
      <c r="K503" s="153"/>
      <c r="L503" s="153"/>
      <c r="M503" s="153"/>
      <c r="N503" s="153"/>
      <c r="O503" s="153"/>
      <c r="P503" s="153"/>
      <c r="Q503" s="153"/>
      <c r="R503" s="153"/>
      <c r="S503" s="153"/>
      <c r="T503" s="153"/>
      <c r="U503" s="153"/>
      <c r="V503" s="153"/>
      <c r="W503" s="153"/>
      <c r="X503" s="153"/>
      <c r="Y503" s="153"/>
      <c r="Z503" s="153"/>
      <c r="AA503" s="153"/>
      <c r="AB503" s="153"/>
      <c r="AC503" s="153"/>
      <c r="AD503" s="153"/>
      <c r="AE503" s="153"/>
      <c r="AF503" s="153"/>
      <c r="AG503" s="153"/>
      <c r="AH503" s="153"/>
      <c r="AI503" s="153"/>
      <c r="AJ503" s="153"/>
      <c r="AK503" s="153"/>
      <c r="AL503" s="153"/>
      <c r="AM503" s="153"/>
      <c r="AN503" s="153"/>
      <c r="AO503" s="153"/>
      <c r="AP503" s="153"/>
      <c r="AQ503" s="153"/>
      <c r="AR503" s="153"/>
    </row>
    <row r="504" spans="1:44">
      <c r="A504" s="741"/>
      <c r="B504" s="153"/>
      <c r="C504" s="153"/>
      <c r="D504" s="153"/>
      <c r="E504" s="153"/>
      <c r="F504" s="153"/>
      <c r="G504" s="153"/>
      <c r="H504" s="153"/>
      <c r="I504" s="153"/>
      <c r="J504" s="153"/>
      <c r="K504" s="153"/>
      <c r="L504" s="153"/>
      <c r="M504" s="153"/>
      <c r="N504" s="153"/>
      <c r="O504" s="153"/>
      <c r="P504" s="153"/>
      <c r="Q504" s="153"/>
      <c r="R504" s="153"/>
      <c r="S504" s="153"/>
      <c r="T504" s="153"/>
      <c r="U504" s="153"/>
      <c r="V504" s="153"/>
      <c r="W504" s="153"/>
      <c r="X504" s="153"/>
      <c r="Y504" s="153"/>
      <c r="Z504" s="153"/>
      <c r="AA504" s="153"/>
      <c r="AB504" s="153"/>
      <c r="AC504" s="153"/>
      <c r="AD504" s="153"/>
      <c r="AE504" s="153"/>
      <c r="AF504" s="153"/>
      <c r="AG504" s="153"/>
      <c r="AH504" s="153"/>
      <c r="AI504" s="153"/>
      <c r="AJ504" s="153"/>
      <c r="AK504" s="153"/>
      <c r="AL504" s="153"/>
      <c r="AM504" s="153"/>
      <c r="AN504" s="153"/>
      <c r="AO504" s="153"/>
      <c r="AP504" s="153"/>
      <c r="AQ504" s="153"/>
      <c r="AR504" s="153"/>
    </row>
    <row r="505" spans="1:44">
      <c r="A505" s="741"/>
      <c r="B505" s="153"/>
      <c r="C505" s="153"/>
      <c r="D505" s="153"/>
      <c r="E505" s="153"/>
      <c r="F505" s="153"/>
      <c r="G505" s="153"/>
      <c r="H505" s="153"/>
      <c r="I505" s="153"/>
      <c r="J505" s="153"/>
      <c r="K505" s="153"/>
      <c r="L505" s="153"/>
      <c r="M505" s="153"/>
      <c r="N505" s="153"/>
      <c r="O505" s="153"/>
      <c r="P505" s="153"/>
      <c r="Q505" s="153"/>
      <c r="R505" s="153"/>
      <c r="S505" s="153"/>
      <c r="T505" s="153"/>
      <c r="U505" s="153"/>
      <c r="V505" s="153"/>
      <c r="W505" s="153"/>
      <c r="X505" s="153"/>
      <c r="Y505" s="153"/>
      <c r="Z505" s="153"/>
      <c r="AA505" s="153"/>
      <c r="AB505" s="153"/>
      <c r="AC505" s="153"/>
      <c r="AD505" s="153"/>
      <c r="AE505" s="153"/>
      <c r="AF505" s="153"/>
      <c r="AG505" s="153"/>
      <c r="AH505" s="153"/>
      <c r="AI505" s="153"/>
      <c r="AJ505" s="153"/>
      <c r="AK505" s="153"/>
      <c r="AL505" s="153"/>
      <c r="AM505" s="153"/>
      <c r="AN505" s="153"/>
      <c r="AO505" s="153"/>
      <c r="AP505" s="153"/>
      <c r="AQ505" s="153"/>
      <c r="AR505" s="153"/>
    </row>
    <row r="506" spans="1:44">
      <c r="A506" s="741"/>
      <c r="B506" s="153"/>
      <c r="C506" s="153"/>
      <c r="D506" s="153"/>
      <c r="E506" s="153"/>
      <c r="F506" s="153"/>
      <c r="G506" s="153"/>
      <c r="H506" s="153"/>
      <c r="I506" s="153"/>
      <c r="J506" s="153"/>
      <c r="K506" s="153"/>
      <c r="L506" s="153"/>
      <c r="M506" s="153"/>
      <c r="N506" s="153"/>
      <c r="O506" s="153"/>
      <c r="P506" s="153"/>
      <c r="Q506" s="153"/>
      <c r="R506" s="153"/>
      <c r="S506" s="153"/>
      <c r="T506" s="153"/>
      <c r="U506" s="153"/>
      <c r="V506" s="153"/>
      <c r="W506" s="153"/>
      <c r="X506" s="153"/>
      <c r="Y506" s="153"/>
      <c r="Z506" s="153"/>
      <c r="AA506" s="153"/>
      <c r="AB506" s="153"/>
      <c r="AC506" s="153"/>
      <c r="AD506" s="153"/>
      <c r="AE506" s="153"/>
      <c r="AF506" s="153"/>
      <c r="AG506" s="153"/>
      <c r="AH506" s="153"/>
      <c r="AI506" s="153"/>
      <c r="AJ506" s="153"/>
      <c r="AK506" s="153"/>
      <c r="AL506" s="153"/>
      <c r="AM506" s="153"/>
      <c r="AN506" s="153"/>
      <c r="AO506" s="153"/>
      <c r="AP506" s="153"/>
      <c r="AQ506" s="153"/>
      <c r="AR506" s="153"/>
    </row>
    <row r="507" spans="1:44">
      <c r="A507" s="741"/>
      <c r="B507" s="153"/>
      <c r="C507" s="153"/>
      <c r="D507" s="153"/>
      <c r="E507" s="153"/>
      <c r="F507" s="153"/>
      <c r="G507" s="153"/>
      <c r="H507" s="153"/>
      <c r="I507" s="153"/>
      <c r="J507" s="153"/>
      <c r="K507" s="153"/>
      <c r="L507" s="153"/>
      <c r="M507" s="153"/>
      <c r="N507" s="153"/>
      <c r="O507" s="153"/>
      <c r="P507" s="153"/>
      <c r="Q507" s="153"/>
      <c r="R507" s="153"/>
      <c r="S507" s="153"/>
      <c r="T507" s="153"/>
      <c r="U507" s="153"/>
      <c r="V507" s="153"/>
      <c r="W507" s="153"/>
      <c r="X507" s="153"/>
      <c r="Y507" s="153"/>
      <c r="Z507" s="153"/>
      <c r="AA507" s="153"/>
      <c r="AB507" s="153"/>
      <c r="AC507" s="153"/>
      <c r="AD507" s="153"/>
      <c r="AE507" s="153"/>
      <c r="AF507" s="153"/>
      <c r="AG507" s="153"/>
      <c r="AH507" s="153"/>
      <c r="AI507" s="153"/>
      <c r="AJ507" s="153"/>
      <c r="AK507" s="153"/>
      <c r="AL507" s="153"/>
      <c r="AM507" s="153"/>
      <c r="AN507" s="153"/>
      <c r="AO507" s="153"/>
      <c r="AP507" s="153"/>
      <c r="AQ507" s="153"/>
      <c r="AR507" s="153"/>
    </row>
    <row r="508" spans="1:44">
      <c r="A508" s="741"/>
      <c r="B508" s="153"/>
      <c r="C508" s="153"/>
      <c r="D508" s="153"/>
      <c r="E508" s="153"/>
      <c r="F508" s="153"/>
      <c r="G508" s="153"/>
      <c r="H508" s="153"/>
      <c r="I508" s="153"/>
      <c r="J508" s="153"/>
      <c r="K508" s="153"/>
      <c r="L508" s="153"/>
      <c r="M508" s="153"/>
      <c r="N508" s="153"/>
      <c r="O508" s="153"/>
      <c r="P508" s="153"/>
      <c r="Q508" s="153"/>
      <c r="R508" s="153"/>
      <c r="S508" s="153"/>
      <c r="T508" s="153"/>
      <c r="U508" s="153"/>
      <c r="V508" s="153"/>
      <c r="W508" s="153"/>
      <c r="X508" s="153"/>
      <c r="Y508" s="153"/>
      <c r="Z508" s="153"/>
      <c r="AA508" s="153"/>
      <c r="AB508" s="153"/>
      <c r="AC508" s="153"/>
      <c r="AD508" s="153"/>
      <c r="AE508" s="153"/>
      <c r="AF508" s="153"/>
      <c r="AG508" s="153"/>
      <c r="AH508" s="153"/>
      <c r="AI508" s="153"/>
      <c r="AJ508" s="153"/>
      <c r="AK508" s="153"/>
      <c r="AL508" s="153"/>
      <c r="AM508" s="153"/>
      <c r="AN508" s="153"/>
      <c r="AO508" s="153"/>
      <c r="AP508" s="153"/>
      <c r="AQ508" s="153"/>
      <c r="AR508" s="153"/>
    </row>
    <row r="509" spans="1:44">
      <c r="A509" s="741"/>
      <c r="B509" s="153"/>
      <c r="C509" s="153"/>
      <c r="D509" s="153"/>
      <c r="E509" s="153"/>
      <c r="F509" s="153"/>
      <c r="G509" s="153"/>
      <c r="H509" s="153"/>
      <c r="I509" s="153"/>
      <c r="J509" s="153"/>
      <c r="K509" s="153"/>
      <c r="L509" s="153"/>
      <c r="M509" s="153"/>
      <c r="N509" s="153"/>
      <c r="O509" s="153"/>
      <c r="P509" s="153"/>
      <c r="Q509" s="153"/>
      <c r="R509" s="153"/>
      <c r="S509" s="153"/>
      <c r="T509" s="153"/>
      <c r="U509" s="153"/>
      <c r="V509" s="153"/>
      <c r="W509" s="153"/>
      <c r="X509" s="153"/>
      <c r="Y509" s="153"/>
      <c r="Z509" s="153"/>
      <c r="AA509" s="153"/>
      <c r="AB509" s="153"/>
      <c r="AC509" s="153"/>
      <c r="AD509" s="153"/>
      <c r="AE509" s="153"/>
      <c r="AF509" s="153"/>
      <c r="AG509" s="153"/>
      <c r="AH509" s="153"/>
      <c r="AI509" s="153"/>
      <c r="AJ509" s="153"/>
      <c r="AK509" s="153"/>
      <c r="AL509" s="153"/>
      <c r="AM509" s="153"/>
      <c r="AN509" s="153"/>
      <c r="AO509" s="153"/>
      <c r="AP509" s="153"/>
      <c r="AQ509" s="153"/>
      <c r="AR509" s="153"/>
    </row>
    <row r="510" spans="1:44">
      <c r="A510" s="741"/>
      <c r="B510" s="153"/>
      <c r="C510" s="153"/>
      <c r="D510" s="153"/>
      <c r="E510" s="153"/>
      <c r="F510" s="153"/>
      <c r="G510" s="153"/>
      <c r="H510" s="153"/>
      <c r="I510" s="153"/>
      <c r="J510" s="153"/>
      <c r="K510" s="153"/>
      <c r="L510" s="153"/>
      <c r="M510" s="153"/>
      <c r="N510" s="153"/>
      <c r="O510" s="153"/>
      <c r="P510" s="153"/>
      <c r="Q510" s="153"/>
      <c r="R510" s="153"/>
      <c r="S510" s="153"/>
      <c r="T510" s="153"/>
      <c r="U510" s="153"/>
      <c r="V510" s="153"/>
      <c r="W510" s="153"/>
      <c r="X510" s="153"/>
      <c r="Y510" s="153"/>
      <c r="Z510" s="153"/>
      <c r="AA510" s="153"/>
      <c r="AB510" s="153"/>
      <c r="AC510" s="153"/>
      <c r="AD510" s="153"/>
      <c r="AE510" s="153"/>
      <c r="AF510" s="153"/>
      <c r="AG510" s="153"/>
      <c r="AH510" s="153"/>
      <c r="AI510" s="153"/>
      <c r="AJ510" s="153"/>
      <c r="AK510" s="153"/>
      <c r="AL510" s="153"/>
      <c r="AM510" s="153"/>
      <c r="AN510" s="153"/>
      <c r="AO510" s="153"/>
      <c r="AP510" s="153"/>
      <c r="AQ510" s="153"/>
      <c r="AR510" s="153"/>
    </row>
    <row r="511" spans="1:44">
      <c r="A511" s="741"/>
      <c r="B511" s="153"/>
      <c r="C511" s="153"/>
      <c r="D511" s="153"/>
      <c r="E511" s="153"/>
      <c r="F511" s="153"/>
      <c r="G511" s="153"/>
      <c r="H511" s="153"/>
      <c r="I511" s="153"/>
      <c r="J511" s="153"/>
      <c r="K511" s="153"/>
      <c r="L511" s="153"/>
      <c r="M511" s="153"/>
      <c r="N511" s="153"/>
      <c r="O511" s="153"/>
      <c r="P511" s="153"/>
      <c r="Q511" s="153"/>
      <c r="R511" s="153"/>
      <c r="S511" s="153"/>
      <c r="T511" s="153"/>
      <c r="U511" s="153"/>
      <c r="V511" s="153"/>
      <c r="W511" s="153"/>
      <c r="X511" s="153"/>
      <c r="Y511" s="153"/>
      <c r="Z511" s="153"/>
      <c r="AA511" s="153"/>
      <c r="AB511" s="153"/>
      <c r="AC511" s="153"/>
      <c r="AD511" s="153"/>
      <c r="AE511" s="153"/>
      <c r="AF511" s="153"/>
      <c r="AG511" s="153"/>
      <c r="AH511" s="153"/>
      <c r="AI511" s="153"/>
      <c r="AJ511" s="153"/>
      <c r="AK511" s="153"/>
      <c r="AL511" s="153"/>
      <c r="AM511" s="153"/>
      <c r="AN511" s="153"/>
      <c r="AO511" s="153"/>
      <c r="AP511" s="153"/>
      <c r="AQ511" s="153"/>
      <c r="AR511" s="153"/>
    </row>
    <row r="512" spans="1:44">
      <c r="A512" s="741"/>
      <c r="B512" s="153"/>
      <c r="C512" s="153"/>
      <c r="D512" s="153"/>
      <c r="E512" s="153"/>
      <c r="F512" s="153"/>
      <c r="G512" s="153"/>
      <c r="H512" s="153"/>
      <c r="I512" s="153"/>
      <c r="J512" s="153"/>
      <c r="K512" s="153"/>
      <c r="L512" s="153"/>
      <c r="M512" s="153"/>
      <c r="N512" s="153"/>
      <c r="O512" s="153"/>
      <c r="P512" s="153"/>
      <c r="Q512" s="153"/>
      <c r="R512" s="153"/>
      <c r="S512" s="153"/>
      <c r="T512" s="153"/>
      <c r="U512" s="153"/>
      <c r="V512" s="153"/>
      <c r="W512" s="153"/>
      <c r="X512" s="153"/>
      <c r="Y512" s="153"/>
      <c r="Z512" s="153"/>
      <c r="AA512" s="153"/>
      <c r="AB512" s="153"/>
      <c r="AC512" s="153"/>
      <c r="AD512" s="153"/>
      <c r="AE512" s="153"/>
      <c r="AF512" s="153"/>
      <c r="AG512" s="153"/>
      <c r="AH512" s="153"/>
      <c r="AI512" s="153"/>
      <c r="AJ512" s="153"/>
      <c r="AK512" s="153"/>
      <c r="AL512" s="153"/>
      <c r="AM512" s="153"/>
      <c r="AN512" s="153"/>
      <c r="AO512" s="153"/>
      <c r="AP512" s="153"/>
      <c r="AQ512" s="153"/>
      <c r="AR512" s="153"/>
    </row>
    <row r="513" spans="1:44">
      <c r="A513" s="741"/>
      <c r="B513" s="153"/>
      <c r="C513" s="153"/>
      <c r="D513" s="153"/>
      <c r="E513" s="153"/>
      <c r="F513" s="153"/>
      <c r="G513" s="153"/>
      <c r="H513" s="153"/>
      <c r="I513" s="153"/>
      <c r="J513" s="153"/>
      <c r="K513" s="153"/>
      <c r="L513" s="153"/>
      <c r="M513" s="153"/>
      <c r="N513" s="153"/>
      <c r="O513" s="153"/>
      <c r="P513" s="153"/>
      <c r="Q513" s="153"/>
      <c r="R513" s="153"/>
      <c r="S513" s="153"/>
      <c r="T513" s="153"/>
      <c r="U513" s="153"/>
      <c r="V513" s="153"/>
      <c r="W513" s="153"/>
      <c r="X513" s="153"/>
      <c r="Y513" s="153"/>
      <c r="Z513" s="153"/>
      <c r="AA513" s="153"/>
      <c r="AB513" s="153"/>
      <c r="AC513" s="153"/>
      <c r="AD513" s="153"/>
      <c r="AE513" s="153"/>
      <c r="AF513" s="153"/>
      <c r="AG513" s="153"/>
      <c r="AH513" s="153"/>
      <c r="AI513" s="153"/>
      <c r="AJ513" s="153"/>
      <c r="AK513" s="153"/>
      <c r="AL513" s="153"/>
      <c r="AM513" s="153"/>
      <c r="AN513" s="153"/>
      <c r="AO513" s="153"/>
      <c r="AP513" s="153"/>
      <c r="AQ513" s="153"/>
      <c r="AR513" s="153"/>
    </row>
    <row r="514" spans="1:44">
      <c r="A514" s="741"/>
      <c r="B514" s="153"/>
      <c r="C514" s="153"/>
      <c r="D514" s="153"/>
      <c r="E514" s="153"/>
      <c r="F514" s="153"/>
      <c r="G514" s="153"/>
      <c r="H514" s="153"/>
      <c r="I514" s="153"/>
      <c r="J514" s="153"/>
      <c r="K514" s="153"/>
      <c r="L514" s="153"/>
      <c r="M514" s="153"/>
      <c r="N514" s="153"/>
      <c r="O514" s="153"/>
      <c r="P514" s="153"/>
      <c r="Q514" s="153"/>
      <c r="R514" s="153"/>
      <c r="S514" s="153"/>
      <c r="T514" s="153"/>
      <c r="U514" s="153"/>
      <c r="V514" s="153"/>
      <c r="W514" s="153"/>
      <c r="X514" s="153"/>
      <c r="Y514" s="153"/>
      <c r="Z514" s="153"/>
      <c r="AA514" s="153"/>
      <c r="AB514" s="153"/>
      <c r="AC514" s="153"/>
      <c r="AD514" s="153"/>
      <c r="AE514" s="153"/>
      <c r="AF514" s="153"/>
      <c r="AG514" s="153"/>
      <c r="AH514" s="153"/>
      <c r="AI514" s="153"/>
      <c r="AJ514" s="153"/>
      <c r="AK514" s="153"/>
      <c r="AL514" s="153"/>
      <c r="AM514" s="153"/>
      <c r="AN514" s="153"/>
      <c r="AO514" s="153"/>
      <c r="AP514" s="153"/>
      <c r="AQ514" s="153"/>
      <c r="AR514" s="153"/>
    </row>
    <row r="515" spans="1:44">
      <c r="A515" s="741"/>
      <c r="B515" s="153"/>
      <c r="C515" s="153"/>
      <c r="D515" s="153"/>
      <c r="E515" s="153"/>
      <c r="F515" s="153"/>
      <c r="G515" s="153"/>
      <c r="H515" s="153"/>
      <c r="I515" s="153"/>
      <c r="J515" s="153"/>
      <c r="K515" s="153"/>
      <c r="L515" s="153"/>
      <c r="M515" s="153"/>
      <c r="N515" s="153"/>
      <c r="O515" s="153"/>
      <c r="P515" s="153"/>
      <c r="Q515" s="153"/>
      <c r="R515" s="153"/>
      <c r="S515" s="153"/>
      <c r="T515" s="153"/>
      <c r="U515" s="153"/>
      <c r="V515" s="153"/>
      <c r="W515" s="153"/>
      <c r="X515" s="153"/>
      <c r="Y515" s="153"/>
      <c r="Z515" s="153"/>
      <c r="AA515" s="153"/>
      <c r="AB515" s="153"/>
      <c r="AC515" s="153"/>
      <c r="AD515" s="153"/>
      <c r="AE515" s="153"/>
      <c r="AF515" s="153"/>
      <c r="AG515" s="153"/>
      <c r="AH515" s="153"/>
      <c r="AI515" s="153"/>
      <c r="AJ515" s="153"/>
      <c r="AK515" s="153"/>
      <c r="AL515" s="153"/>
      <c r="AM515" s="153"/>
      <c r="AN515" s="153"/>
      <c r="AO515" s="153"/>
      <c r="AP515" s="153"/>
      <c r="AQ515" s="153"/>
      <c r="AR515" s="153"/>
    </row>
    <row r="516" spans="1:44">
      <c r="A516" s="741"/>
      <c r="B516" s="153"/>
      <c r="C516" s="153"/>
      <c r="D516" s="153"/>
      <c r="E516" s="153"/>
      <c r="F516" s="153"/>
      <c r="G516" s="153"/>
      <c r="H516" s="153"/>
      <c r="I516" s="153"/>
      <c r="J516" s="153"/>
      <c r="K516" s="153"/>
      <c r="L516" s="153"/>
      <c r="M516" s="153"/>
      <c r="N516" s="153"/>
      <c r="O516" s="153"/>
      <c r="P516" s="153"/>
      <c r="Q516" s="153"/>
      <c r="R516" s="153"/>
      <c r="S516" s="153"/>
      <c r="T516" s="153"/>
      <c r="U516" s="153"/>
      <c r="V516" s="153"/>
      <c r="W516" s="153"/>
      <c r="X516" s="153"/>
      <c r="Y516" s="153"/>
      <c r="Z516" s="153"/>
      <c r="AA516" s="153"/>
      <c r="AB516" s="153"/>
      <c r="AC516" s="153"/>
      <c r="AD516" s="153"/>
      <c r="AE516" s="153"/>
      <c r="AF516" s="153"/>
      <c r="AG516" s="153"/>
      <c r="AH516" s="153"/>
      <c r="AI516" s="153"/>
      <c r="AJ516" s="153"/>
      <c r="AK516" s="153"/>
      <c r="AL516" s="153"/>
      <c r="AM516" s="153"/>
      <c r="AN516" s="153"/>
      <c r="AO516" s="153"/>
      <c r="AP516" s="153"/>
      <c r="AQ516" s="153"/>
      <c r="AR516" s="153"/>
    </row>
    <row r="517" spans="1:44">
      <c r="A517" s="741"/>
      <c r="B517" s="153"/>
      <c r="C517" s="153"/>
      <c r="D517" s="153"/>
      <c r="E517" s="153"/>
      <c r="F517" s="153"/>
      <c r="G517" s="153"/>
      <c r="H517" s="153"/>
      <c r="I517" s="153"/>
      <c r="J517" s="153"/>
      <c r="K517" s="153"/>
      <c r="L517" s="153"/>
      <c r="M517" s="153"/>
      <c r="N517" s="153"/>
      <c r="O517" s="153"/>
      <c r="P517" s="153"/>
      <c r="Q517" s="153"/>
      <c r="R517" s="153"/>
      <c r="S517" s="153"/>
      <c r="T517" s="153"/>
      <c r="U517" s="153"/>
      <c r="V517" s="153"/>
      <c r="W517" s="153"/>
      <c r="X517" s="153"/>
      <c r="Y517" s="153"/>
      <c r="Z517" s="153"/>
      <c r="AA517" s="153"/>
      <c r="AB517" s="153"/>
      <c r="AC517" s="153"/>
      <c r="AD517" s="153"/>
      <c r="AE517" s="153"/>
      <c r="AF517" s="153"/>
      <c r="AG517" s="153"/>
      <c r="AH517" s="153"/>
      <c r="AI517" s="153"/>
      <c r="AJ517" s="153"/>
      <c r="AK517" s="153"/>
      <c r="AL517" s="153"/>
      <c r="AM517" s="153"/>
      <c r="AN517" s="153"/>
      <c r="AO517" s="153"/>
      <c r="AP517" s="153"/>
      <c r="AQ517" s="153"/>
      <c r="AR517" s="153"/>
    </row>
    <row r="518" spans="1:44">
      <c r="A518" s="741"/>
      <c r="B518" s="153"/>
      <c r="C518" s="153"/>
      <c r="D518" s="153"/>
      <c r="E518" s="153"/>
      <c r="F518" s="153"/>
      <c r="G518" s="153"/>
      <c r="H518" s="153"/>
      <c r="I518" s="153"/>
      <c r="J518" s="153"/>
      <c r="K518" s="153"/>
      <c r="L518" s="153"/>
      <c r="M518" s="153"/>
      <c r="N518" s="153"/>
      <c r="O518" s="153"/>
      <c r="P518" s="153"/>
      <c r="Q518" s="153"/>
      <c r="R518" s="153"/>
      <c r="S518" s="153"/>
      <c r="T518" s="153"/>
      <c r="U518" s="153"/>
      <c r="V518" s="153"/>
      <c r="W518" s="153"/>
      <c r="X518" s="153"/>
      <c r="Y518" s="153"/>
      <c r="Z518" s="153"/>
      <c r="AA518" s="153"/>
      <c r="AB518" s="153"/>
      <c r="AC518" s="153"/>
      <c r="AD518" s="153"/>
      <c r="AE518" s="153"/>
      <c r="AF518" s="153"/>
      <c r="AG518" s="153"/>
      <c r="AH518" s="153"/>
      <c r="AI518" s="153"/>
      <c r="AJ518" s="153"/>
      <c r="AK518" s="153"/>
      <c r="AL518" s="153"/>
      <c r="AM518" s="153"/>
      <c r="AN518" s="153"/>
      <c r="AO518" s="153"/>
      <c r="AP518" s="153"/>
      <c r="AQ518" s="153"/>
      <c r="AR518" s="153"/>
    </row>
    <row r="519" spans="1:44">
      <c r="A519" s="741"/>
      <c r="B519" s="153"/>
      <c r="C519" s="153"/>
      <c r="D519" s="153"/>
      <c r="E519" s="153"/>
      <c r="F519" s="153"/>
      <c r="G519" s="153"/>
      <c r="H519" s="153"/>
      <c r="I519" s="153"/>
      <c r="J519" s="153"/>
      <c r="K519" s="153"/>
      <c r="L519" s="153"/>
      <c r="M519" s="153"/>
      <c r="N519" s="153"/>
      <c r="O519" s="153"/>
      <c r="P519" s="153"/>
      <c r="Q519" s="153"/>
      <c r="R519" s="153"/>
      <c r="S519" s="153"/>
      <c r="T519" s="153"/>
      <c r="U519" s="153"/>
      <c r="V519" s="153"/>
      <c r="W519" s="153"/>
      <c r="X519" s="153"/>
      <c r="Y519" s="153"/>
      <c r="Z519" s="153"/>
      <c r="AA519" s="153"/>
      <c r="AB519" s="153"/>
      <c r="AC519" s="153"/>
      <c r="AD519" s="153"/>
      <c r="AE519" s="153"/>
      <c r="AF519" s="153"/>
      <c r="AG519" s="153"/>
      <c r="AH519" s="153"/>
      <c r="AI519" s="153"/>
      <c r="AJ519" s="153"/>
      <c r="AK519" s="153"/>
      <c r="AL519" s="153"/>
      <c r="AM519" s="153"/>
      <c r="AN519" s="153"/>
      <c r="AO519" s="153"/>
      <c r="AP519" s="153"/>
      <c r="AQ519" s="153"/>
      <c r="AR519" s="153"/>
    </row>
    <row r="520" spans="1:44">
      <c r="A520" s="741"/>
      <c r="B520" s="153"/>
      <c r="C520" s="153"/>
      <c r="D520" s="153"/>
      <c r="E520" s="153"/>
      <c r="F520" s="153"/>
      <c r="G520" s="153"/>
      <c r="H520" s="153"/>
      <c r="I520" s="153"/>
      <c r="J520" s="153"/>
      <c r="K520" s="153"/>
      <c r="L520" s="153"/>
      <c r="M520" s="153"/>
      <c r="N520" s="153"/>
      <c r="O520" s="153"/>
      <c r="P520" s="153"/>
      <c r="Q520" s="153"/>
      <c r="R520" s="153"/>
      <c r="S520" s="153"/>
      <c r="T520" s="153"/>
      <c r="U520" s="153"/>
      <c r="V520" s="153"/>
      <c r="W520" s="153"/>
      <c r="X520" s="153"/>
      <c r="Y520" s="153"/>
      <c r="Z520" s="153"/>
      <c r="AA520" s="153"/>
      <c r="AB520" s="153"/>
      <c r="AC520" s="153"/>
      <c r="AD520" s="153"/>
      <c r="AE520" s="153"/>
      <c r="AF520" s="153"/>
      <c r="AG520" s="153"/>
      <c r="AH520" s="153"/>
      <c r="AI520" s="153"/>
      <c r="AJ520" s="153"/>
      <c r="AK520" s="153"/>
      <c r="AL520" s="153"/>
      <c r="AM520" s="153"/>
      <c r="AN520" s="153"/>
      <c r="AO520" s="153"/>
      <c r="AP520" s="153"/>
      <c r="AQ520" s="153"/>
      <c r="AR520" s="153"/>
    </row>
    <row r="521" spans="1:44">
      <c r="A521" s="741"/>
      <c r="B521" s="153"/>
      <c r="C521" s="153"/>
      <c r="D521" s="153"/>
      <c r="E521" s="153"/>
      <c r="F521" s="153"/>
      <c r="G521" s="153"/>
      <c r="H521" s="153"/>
      <c r="I521" s="153"/>
      <c r="J521" s="153"/>
      <c r="K521" s="153"/>
      <c r="L521" s="153"/>
      <c r="M521" s="153"/>
      <c r="N521" s="153"/>
      <c r="O521" s="153"/>
      <c r="P521" s="153"/>
      <c r="Q521" s="153"/>
      <c r="R521" s="153"/>
      <c r="S521" s="153"/>
      <c r="T521" s="153"/>
      <c r="U521" s="153"/>
      <c r="V521" s="153"/>
      <c r="W521" s="153"/>
      <c r="X521" s="153"/>
      <c r="Y521" s="153"/>
      <c r="Z521" s="153"/>
      <c r="AA521" s="153"/>
      <c r="AB521" s="153"/>
      <c r="AC521" s="153"/>
      <c r="AD521" s="153"/>
      <c r="AE521" s="153"/>
      <c r="AF521" s="153"/>
      <c r="AG521" s="153"/>
      <c r="AH521" s="153"/>
      <c r="AI521" s="153"/>
      <c r="AJ521" s="153"/>
      <c r="AK521" s="153"/>
      <c r="AL521" s="153"/>
      <c r="AM521" s="153"/>
      <c r="AN521" s="153"/>
      <c r="AO521" s="153"/>
      <c r="AP521" s="153"/>
      <c r="AQ521" s="153"/>
      <c r="AR521" s="153"/>
    </row>
    <row r="522" spans="1:44">
      <c r="A522" s="741"/>
      <c r="B522" s="153"/>
      <c r="C522" s="153"/>
      <c r="D522" s="153"/>
      <c r="E522" s="153"/>
      <c r="F522" s="153"/>
      <c r="G522" s="153"/>
      <c r="H522" s="153"/>
      <c r="I522" s="153"/>
      <c r="J522" s="153"/>
      <c r="K522" s="153"/>
      <c r="L522" s="153"/>
      <c r="M522" s="153"/>
      <c r="N522" s="153"/>
      <c r="O522" s="153"/>
      <c r="P522" s="153"/>
      <c r="Q522" s="153"/>
      <c r="R522" s="153"/>
      <c r="S522" s="153"/>
      <c r="T522" s="153"/>
      <c r="U522" s="153"/>
      <c r="V522" s="153"/>
      <c r="W522" s="153"/>
      <c r="X522" s="153"/>
      <c r="Y522" s="153"/>
      <c r="Z522" s="153"/>
      <c r="AA522" s="153"/>
      <c r="AB522" s="153"/>
      <c r="AC522" s="153"/>
      <c r="AD522" s="153"/>
      <c r="AE522" s="153"/>
      <c r="AF522" s="153"/>
      <c r="AG522" s="153"/>
      <c r="AH522" s="153"/>
      <c r="AI522" s="153"/>
      <c r="AJ522" s="153"/>
      <c r="AK522" s="153"/>
      <c r="AL522" s="153"/>
      <c r="AM522" s="153"/>
      <c r="AN522" s="153"/>
      <c r="AO522" s="153"/>
      <c r="AP522" s="153"/>
      <c r="AQ522" s="153"/>
      <c r="AR522" s="153"/>
    </row>
    <row r="523" spans="1:44">
      <c r="A523" s="741"/>
      <c r="B523" s="153"/>
      <c r="C523" s="153"/>
      <c r="D523" s="153"/>
      <c r="E523" s="153"/>
      <c r="F523" s="153"/>
      <c r="G523" s="153"/>
      <c r="H523" s="153"/>
      <c r="I523" s="153"/>
      <c r="J523" s="153"/>
      <c r="K523" s="153"/>
      <c r="L523" s="153"/>
      <c r="M523" s="153"/>
      <c r="N523" s="153"/>
      <c r="O523" s="153"/>
      <c r="P523" s="153"/>
      <c r="Q523" s="153"/>
      <c r="R523" s="153"/>
      <c r="S523" s="153"/>
      <c r="T523" s="153"/>
      <c r="U523" s="153"/>
      <c r="V523" s="153"/>
      <c r="W523" s="153"/>
      <c r="X523" s="153"/>
      <c r="Y523" s="153"/>
      <c r="Z523" s="153"/>
      <c r="AA523" s="153"/>
      <c r="AB523" s="153"/>
      <c r="AC523" s="153"/>
      <c r="AD523" s="153"/>
      <c r="AE523" s="153"/>
      <c r="AF523" s="153"/>
      <c r="AG523" s="153"/>
      <c r="AH523" s="153"/>
      <c r="AI523" s="153"/>
      <c r="AJ523" s="153"/>
      <c r="AK523" s="153"/>
      <c r="AL523" s="153"/>
      <c r="AM523" s="153"/>
      <c r="AN523" s="153"/>
      <c r="AO523" s="153"/>
      <c r="AP523" s="153"/>
      <c r="AQ523" s="153"/>
      <c r="AR523" s="153"/>
    </row>
    <row r="524" spans="1:44">
      <c r="A524" s="741"/>
      <c r="B524" s="153"/>
      <c r="C524" s="153"/>
      <c r="D524" s="153"/>
      <c r="E524" s="153"/>
      <c r="F524" s="153"/>
      <c r="G524" s="153"/>
      <c r="H524" s="153"/>
      <c r="I524" s="153"/>
      <c r="J524" s="153"/>
      <c r="K524" s="153"/>
      <c r="L524" s="153"/>
      <c r="M524" s="153"/>
      <c r="N524" s="153"/>
      <c r="O524" s="153"/>
      <c r="P524" s="153"/>
      <c r="Q524" s="153"/>
      <c r="R524" s="153"/>
      <c r="S524" s="153"/>
      <c r="T524" s="153"/>
      <c r="U524" s="153"/>
      <c r="V524" s="153"/>
      <c r="W524" s="153"/>
      <c r="X524" s="153"/>
      <c r="Y524" s="153"/>
      <c r="Z524" s="153"/>
      <c r="AA524" s="153"/>
      <c r="AB524" s="153"/>
      <c r="AC524" s="153"/>
      <c r="AD524" s="153"/>
      <c r="AE524" s="153"/>
      <c r="AF524" s="153"/>
      <c r="AG524" s="153"/>
      <c r="AH524" s="153"/>
      <c r="AI524" s="153"/>
      <c r="AJ524" s="153"/>
      <c r="AK524" s="153"/>
      <c r="AL524" s="153"/>
      <c r="AM524" s="153"/>
      <c r="AN524" s="153"/>
      <c r="AO524" s="153"/>
      <c r="AP524" s="153"/>
      <c r="AQ524" s="153"/>
      <c r="AR524" s="153"/>
    </row>
    <row r="525" spans="1:44">
      <c r="A525" s="741"/>
      <c r="B525" s="153"/>
      <c r="C525" s="153"/>
      <c r="D525" s="153"/>
      <c r="E525" s="153"/>
      <c r="F525" s="153"/>
      <c r="G525" s="153"/>
      <c r="H525" s="153"/>
      <c r="I525" s="153"/>
      <c r="J525" s="153"/>
      <c r="K525" s="153"/>
      <c r="L525" s="153"/>
      <c r="M525" s="153"/>
      <c r="N525" s="153"/>
      <c r="O525" s="153"/>
      <c r="P525" s="153"/>
      <c r="Q525" s="153"/>
      <c r="R525" s="153"/>
      <c r="S525" s="153"/>
      <c r="T525" s="153"/>
      <c r="U525" s="153"/>
      <c r="V525" s="153"/>
      <c r="W525" s="153"/>
      <c r="X525" s="153"/>
      <c r="Y525" s="153"/>
      <c r="Z525" s="153"/>
      <c r="AA525" s="153"/>
      <c r="AB525" s="153"/>
      <c r="AC525" s="153"/>
      <c r="AD525" s="153"/>
      <c r="AE525" s="153"/>
      <c r="AF525" s="153"/>
      <c r="AG525" s="153"/>
      <c r="AH525" s="153"/>
      <c r="AI525" s="153"/>
      <c r="AJ525" s="153"/>
      <c r="AK525" s="153"/>
      <c r="AL525" s="153"/>
      <c r="AM525" s="153"/>
      <c r="AN525" s="153"/>
      <c r="AO525" s="153"/>
      <c r="AP525" s="153"/>
      <c r="AQ525" s="153"/>
      <c r="AR525" s="153"/>
    </row>
    <row r="526" spans="1:44">
      <c r="A526" s="741"/>
      <c r="B526" s="153"/>
      <c r="C526" s="153"/>
      <c r="D526" s="153"/>
      <c r="E526" s="153"/>
      <c r="F526" s="153"/>
      <c r="G526" s="153"/>
      <c r="H526" s="153"/>
      <c r="I526" s="153"/>
      <c r="J526" s="153"/>
      <c r="K526" s="153"/>
      <c r="L526" s="153"/>
      <c r="M526" s="153"/>
      <c r="N526" s="153"/>
      <c r="O526" s="153"/>
      <c r="P526" s="153"/>
      <c r="Q526" s="153"/>
      <c r="R526" s="153"/>
      <c r="S526" s="153"/>
      <c r="T526" s="153"/>
      <c r="U526" s="153"/>
      <c r="V526" s="153"/>
      <c r="W526" s="153"/>
      <c r="X526" s="153"/>
      <c r="Y526" s="153"/>
      <c r="Z526" s="153"/>
      <c r="AA526" s="153"/>
      <c r="AB526" s="153"/>
      <c r="AC526" s="153"/>
      <c r="AD526" s="153"/>
      <c r="AE526" s="153"/>
      <c r="AF526" s="153"/>
      <c r="AG526" s="153"/>
      <c r="AH526" s="153"/>
      <c r="AI526" s="153"/>
      <c r="AJ526" s="153"/>
      <c r="AK526" s="153"/>
      <c r="AL526" s="153"/>
      <c r="AM526" s="153"/>
      <c r="AN526" s="153"/>
      <c r="AO526" s="153"/>
      <c r="AP526" s="153"/>
      <c r="AQ526" s="153"/>
      <c r="AR526" s="153"/>
    </row>
    <row r="527" spans="1:44">
      <c r="A527" s="741"/>
      <c r="B527" s="153"/>
      <c r="C527" s="153"/>
      <c r="D527" s="153"/>
      <c r="E527" s="153"/>
      <c r="F527" s="153"/>
      <c r="G527" s="153"/>
      <c r="H527" s="153"/>
      <c r="I527" s="153"/>
      <c r="J527" s="153"/>
      <c r="K527" s="153"/>
      <c r="L527" s="153"/>
      <c r="M527" s="153"/>
      <c r="N527" s="153"/>
      <c r="O527" s="153"/>
      <c r="P527" s="153"/>
      <c r="Q527" s="153"/>
      <c r="R527" s="153"/>
      <c r="S527" s="153"/>
      <c r="T527" s="153"/>
      <c r="U527" s="153"/>
      <c r="V527" s="153"/>
      <c r="W527" s="153"/>
      <c r="X527" s="153"/>
      <c r="Y527" s="153"/>
      <c r="Z527" s="153"/>
      <c r="AA527" s="153"/>
      <c r="AB527" s="153"/>
      <c r="AC527" s="153"/>
      <c r="AD527" s="153"/>
      <c r="AE527" s="153"/>
      <c r="AF527" s="153"/>
      <c r="AG527" s="153"/>
      <c r="AH527" s="153"/>
      <c r="AI527" s="153"/>
      <c r="AJ527" s="153"/>
      <c r="AK527" s="153"/>
      <c r="AL527" s="153"/>
      <c r="AM527" s="153"/>
      <c r="AN527" s="153"/>
      <c r="AO527" s="153"/>
      <c r="AP527" s="153"/>
      <c r="AQ527" s="153"/>
      <c r="AR527" s="153"/>
    </row>
    <row r="528" spans="1:44">
      <c r="A528" s="741"/>
      <c r="B528" s="153"/>
      <c r="C528" s="153"/>
      <c r="D528" s="153"/>
      <c r="E528" s="153"/>
      <c r="F528" s="153"/>
      <c r="G528" s="153"/>
      <c r="H528" s="153"/>
      <c r="I528" s="153"/>
      <c r="J528" s="153"/>
      <c r="K528" s="153"/>
      <c r="L528" s="153"/>
      <c r="M528" s="153"/>
      <c r="N528" s="153"/>
      <c r="O528" s="153"/>
      <c r="P528" s="153"/>
      <c r="Q528" s="153"/>
      <c r="R528" s="153"/>
      <c r="S528" s="153"/>
      <c r="T528" s="153"/>
      <c r="U528" s="153"/>
      <c r="V528" s="153"/>
      <c r="W528" s="153"/>
      <c r="X528" s="153"/>
      <c r="Y528" s="153"/>
      <c r="Z528" s="153"/>
      <c r="AA528" s="153"/>
      <c r="AB528" s="153"/>
      <c r="AC528" s="153"/>
      <c r="AD528" s="153"/>
      <c r="AE528" s="153"/>
      <c r="AF528" s="153"/>
      <c r="AG528" s="153"/>
      <c r="AH528" s="153"/>
      <c r="AI528" s="153"/>
      <c r="AJ528" s="153"/>
      <c r="AK528" s="153"/>
      <c r="AL528" s="153"/>
      <c r="AM528" s="153"/>
      <c r="AN528" s="153"/>
      <c r="AO528" s="153"/>
      <c r="AP528" s="153"/>
      <c r="AQ528" s="153"/>
      <c r="AR528" s="153"/>
    </row>
    <row r="529" spans="1:44">
      <c r="A529" s="741"/>
      <c r="B529" s="153"/>
      <c r="C529" s="153"/>
      <c r="D529" s="153"/>
      <c r="E529" s="153"/>
      <c r="F529" s="153"/>
      <c r="G529" s="153"/>
      <c r="H529" s="153"/>
      <c r="I529" s="153"/>
      <c r="J529" s="153"/>
      <c r="K529" s="153"/>
      <c r="L529" s="153"/>
      <c r="M529" s="153"/>
      <c r="N529" s="153"/>
      <c r="O529" s="153"/>
      <c r="P529" s="153"/>
      <c r="Q529" s="153"/>
      <c r="R529" s="153"/>
      <c r="S529" s="153"/>
      <c r="T529" s="153"/>
      <c r="U529" s="153"/>
      <c r="V529" s="153"/>
      <c r="W529" s="153"/>
      <c r="X529" s="153"/>
      <c r="Y529" s="153"/>
      <c r="Z529" s="153"/>
      <c r="AA529" s="153"/>
      <c r="AB529" s="153"/>
      <c r="AC529" s="153"/>
      <c r="AD529" s="153"/>
      <c r="AE529" s="153"/>
      <c r="AF529" s="153"/>
      <c r="AG529" s="153"/>
      <c r="AH529" s="153"/>
      <c r="AI529" s="153"/>
      <c r="AJ529" s="153"/>
      <c r="AK529" s="153"/>
      <c r="AL529" s="153"/>
      <c r="AM529" s="153"/>
      <c r="AN529" s="153"/>
      <c r="AO529" s="153"/>
      <c r="AP529" s="153"/>
      <c r="AQ529" s="153"/>
      <c r="AR529" s="153"/>
    </row>
    <row r="530" spans="1:44">
      <c r="A530" s="741"/>
      <c r="B530" s="153"/>
      <c r="C530" s="153"/>
      <c r="D530" s="153"/>
      <c r="E530" s="153"/>
      <c r="F530" s="153"/>
      <c r="G530" s="153"/>
      <c r="H530" s="153"/>
      <c r="I530" s="153"/>
      <c r="J530" s="153"/>
      <c r="K530" s="153"/>
      <c r="L530" s="153"/>
      <c r="M530" s="153"/>
      <c r="N530" s="153"/>
      <c r="O530" s="153"/>
      <c r="P530" s="153"/>
      <c r="Q530" s="153"/>
      <c r="R530" s="153"/>
      <c r="S530" s="153"/>
      <c r="T530" s="153"/>
      <c r="U530" s="153"/>
      <c r="V530" s="153"/>
      <c r="W530" s="153"/>
      <c r="X530" s="153"/>
      <c r="Y530" s="153"/>
      <c r="Z530" s="153"/>
      <c r="AA530" s="153"/>
      <c r="AB530" s="153"/>
      <c r="AC530" s="153"/>
      <c r="AD530" s="153"/>
      <c r="AE530" s="153"/>
      <c r="AF530" s="153"/>
      <c r="AG530" s="153"/>
      <c r="AH530" s="153"/>
      <c r="AI530" s="153"/>
      <c r="AJ530" s="153"/>
      <c r="AK530" s="153"/>
      <c r="AL530" s="153"/>
      <c r="AM530" s="153"/>
      <c r="AN530" s="153"/>
      <c r="AO530" s="153"/>
      <c r="AP530" s="153"/>
      <c r="AQ530" s="153"/>
      <c r="AR530" s="153"/>
    </row>
    <row r="531" spans="1:44">
      <c r="A531" s="741"/>
      <c r="B531" s="153"/>
      <c r="C531" s="153"/>
      <c r="D531" s="153"/>
      <c r="E531" s="153"/>
      <c r="F531" s="153"/>
      <c r="G531" s="153"/>
      <c r="H531" s="153"/>
      <c r="I531" s="153"/>
      <c r="J531" s="153"/>
      <c r="K531" s="153"/>
      <c r="L531" s="153"/>
      <c r="M531" s="153"/>
      <c r="N531" s="153"/>
      <c r="O531" s="153"/>
      <c r="P531" s="153"/>
      <c r="Q531" s="153"/>
      <c r="R531" s="153"/>
      <c r="S531" s="153"/>
      <c r="T531" s="153"/>
      <c r="U531" s="153"/>
      <c r="V531" s="153"/>
      <c r="W531" s="153"/>
      <c r="X531" s="153"/>
      <c r="Y531" s="153"/>
      <c r="Z531" s="153"/>
      <c r="AA531" s="153"/>
      <c r="AB531" s="153"/>
      <c r="AC531" s="153"/>
      <c r="AD531" s="153"/>
      <c r="AE531" s="153"/>
      <c r="AF531" s="153"/>
      <c r="AG531" s="153"/>
      <c r="AH531" s="153"/>
      <c r="AI531" s="153"/>
      <c r="AJ531" s="153"/>
      <c r="AK531" s="153"/>
      <c r="AL531" s="153"/>
      <c r="AM531" s="153"/>
      <c r="AN531" s="153"/>
      <c r="AO531" s="153"/>
      <c r="AP531" s="153"/>
      <c r="AQ531" s="153"/>
      <c r="AR531" s="153"/>
    </row>
    <row r="532" spans="1:44">
      <c r="A532" s="741"/>
      <c r="B532" s="153"/>
      <c r="C532" s="153"/>
      <c r="D532" s="153"/>
      <c r="E532" s="153"/>
      <c r="F532" s="153"/>
      <c r="G532" s="153"/>
      <c r="H532" s="153"/>
      <c r="I532" s="153"/>
      <c r="J532" s="153"/>
      <c r="K532" s="153"/>
      <c r="L532" s="153"/>
      <c r="M532" s="153"/>
      <c r="N532" s="153"/>
      <c r="O532" s="153"/>
      <c r="P532" s="153"/>
      <c r="Q532" s="153"/>
      <c r="R532" s="153"/>
      <c r="S532" s="153"/>
      <c r="T532" s="153"/>
      <c r="U532" s="153"/>
      <c r="V532" s="153"/>
      <c r="W532" s="153"/>
      <c r="X532" s="153"/>
      <c r="Y532" s="153"/>
      <c r="Z532" s="153"/>
      <c r="AA532" s="153"/>
      <c r="AB532" s="153"/>
      <c r="AC532" s="153"/>
      <c r="AD532" s="153"/>
      <c r="AE532" s="153"/>
      <c r="AF532" s="153"/>
      <c r="AG532" s="153"/>
      <c r="AH532" s="153"/>
      <c r="AI532" s="153"/>
      <c r="AJ532" s="153"/>
      <c r="AK532" s="153"/>
      <c r="AL532" s="153"/>
      <c r="AM532" s="153"/>
      <c r="AN532" s="153"/>
      <c r="AO532" s="153"/>
      <c r="AP532" s="153"/>
      <c r="AQ532" s="153"/>
      <c r="AR532" s="153"/>
    </row>
    <row r="533" spans="1:44">
      <c r="A533" s="741"/>
      <c r="B533" s="153"/>
      <c r="C533" s="153"/>
      <c r="D533" s="153"/>
      <c r="E533" s="153"/>
      <c r="F533" s="153"/>
      <c r="G533" s="153"/>
      <c r="H533" s="153"/>
      <c r="I533" s="153"/>
      <c r="J533" s="153"/>
      <c r="K533" s="153"/>
      <c r="L533" s="153"/>
      <c r="M533" s="153"/>
      <c r="N533" s="153"/>
      <c r="O533" s="153"/>
      <c r="P533" s="153"/>
      <c r="Q533" s="153"/>
      <c r="R533" s="153"/>
      <c r="S533" s="153"/>
      <c r="T533" s="153"/>
      <c r="U533" s="153"/>
      <c r="V533" s="153"/>
      <c r="W533" s="153"/>
      <c r="X533" s="153"/>
      <c r="Y533" s="153"/>
      <c r="Z533" s="153"/>
      <c r="AA533" s="153"/>
      <c r="AB533" s="153"/>
      <c r="AC533" s="153"/>
      <c r="AD533" s="153"/>
      <c r="AE533" s="153"/>
      <c r="AF533" s="153"/>
      <c r="AG533" s="153"/>
      <c r="AH533" s="153"/>
      <c r="AI533" s="153"/>
      <c r="AJ533" s="153"/>
      <c r="AK533" s="153"/>
      <c r="AL533" s="153"/>
      <c r="AM533" s="153"/>
      <c r="AN533" s="153"/>
      <c r="AO533" s="153"/>
      <c r="AP533" s="153"/>
      <c r="AQ533" s="153"/>
      <c r="AR533" s="153"/>
    </row>
    <row r="534" spans="1:44">
      <c r="A534" s="741"/>
      <c r="B534" s="153"/>
      <c r="C534" s="153"/>
      <c r="D534" s="153"/>
      <c r="E534" s="153"/>
      <c r="F534" s="153"/>
      <c r="G534" s="153"/>
      <c r="H534" s="153"/>
      <c r="I534" s="153"/>
      <c r="J534" s="153"/>
      <c r="K534" s="153"/>
      <c r="L534" s="153"/>
      <c r="M534" s="153"/>
      <c r="N534" s="153"/>
      <c r="O534" s="153"/>
      <c r="P534" s="153"/>
      <c r="Q534" s="153"/>
      <c r="R534" s="153"/>
      <c r="S534" s="153"/>
      <c r="T534" s="153"/>
      <c r="U534" s="153"/>
      <c r="V534" s="153"/>
      <c r="W534" s="153"/>
      <c r="X534" s="153"/>
      <c r="Y534" s="153"/>
      <c r="Z534" s="153"/>
      <c r="AA534" s="153"/>
      <c r="AB534" s="153"/>
      <c r="AC534" s="153"/>
      <c r="AD534" s="153"/>
      <c r="AE534" s="153"/>
      <c r="AF534" s="153"/>
      <c r="AG534" s="153"/>
      <c r="AH534" s="153"/>
      <c r="AI534" s="153"/>
      <c r="AJ534" s="153"/>
      <c r="AK534" s="153"/>
      <c r="AL534" s="153"/>
      <c r="AM534" s="153"/>
      <c r="AN534" s="153"/>
      <c r="AO534" s="153"/>
      <c r="AP534" s="153"/>
      <c r="AQ534" s="153"/>
      <c r="AR534" s="153"/>
    </row>
    <row r="535" spans="1:44">
      <c r="A535" s="741"/>
      <c r="B535" s="153"/>
      <c r="C535" s="153"/>
      <c r="D535" s="153"/>
      <c r="E535" s="153"/>
      <c r="F535" s="153"/>
      <c r="G535" s="153"/>
      <c r="H535" s="153"/>
      <c r="I535" s="153"/>
      <c r="J535" s="153"/>
      <c r="K535" s="153"/>
      <c r="L535" s="153"/>
      <c r="M535" s="153"/>
      <c r="N535" s="153"/>
      <c r="O535" s="153"/>
      <c r="P535" s="153"/>
      <c r="Q535" s="153"/>
      <c r="R535" s="153"/>
      <c r="S535" s="153"/>
      <c r="T535" s="153"/>
      <c r="U535" s="153"/>
      <c r="V535" s="153"/>
      <c r="W535" s="153"/>
      <c r="X535" s="153"/>
      <c r="Y535" s="153"/>
      <c r="Z535" s="153"/>
      <c r="AA535" s="153"/>
      <c r="AB535" s="153"/>
      <c r="AC535" s="153"/>
      <c r="AD535" s="153"/>
      <c r="AE535" s="153"/>
      <c r="AF535" s="153"/>
      <c r="AG535" s="153"/>
      <c r="AH535" s="153"/>
      <c r="AI535" s="153"/>
      <c r="AJ535" s="153"/>
      <c r="AK535" s="153"/>
      <c r="AL535" s="153"/>
      <c r="AM535" s="153"/>
      <c r="AN535" s="153"/>
      <c r="AO535" s="153"/>
      <c r="AP535" s="153"/>
      <c r="AQ535" s="153"/>
      <c r="AR535" s="153"/>
    </row>
    <row r="536" spans="1:44">
      <c r="A536" s="741"/>
      <c r="B536" s="153"/>
      <c r="C536" s="153"/>
      <c r="D536" s="153"/>
      <c r="E536" s="153"/>
      <c r="F536" s="153"/>
      <c r="G536" s="153"/>
      <c r="H536" s="153"/>
      <c r="I536" s="153"/>
      <c r="J536" s="153"/>
      <c r="K536" s="153"/>
      <c r="L536" s="153"/>
      <c r="M536" s="153"/>
      <c r="N536" s="153"/>
      <c r="O536" s="153"/>
      <c r="P536" s="153"/>
      <c r="Q536" s="153"/>
      <c r="R536" s="153"/>
      <c r="S536" s="153"/>
      <c r="T536" s="153"/>
      <c r="U536" s="153"/>
      <c r="V536" s="153"/>
      <c r="W536" s="153"/>
      <c r="X536" s="153"/>
      <c r="Y536" s="153"/>
      <c r="Z536" s="153"/>
      <c r="AA536" s="153"/>
      <c r="AB536" s="153"/>
      <c r="AC536" s="153"/>
      <c r="AD536" s="153"/>
      <c r="AE536" s="153"/>
      <c r="AF536" s="153"/>
      <c r="AG536" s="153"/>
      <c r="AH536" s="153"/>
      <c r="AI536" s="153"/>
      <c r="AJ536" s="153"/>
      <c r="AK536" s="153"/>
      <c r="AL536" s="153"/>
      <c r="AM536" s="153"/>
      <c r="AN536" s="153"/>
      <c r="AO536" s="153"/>
      <c r="AP536" s="153"/>
      <c r="AQ536" s="153"/>
      <c r="AR536" s="153"/>
    </row>
    <row r="537" spans="1:44">
      <c r="A537" s="741"/>
      <c r="B537" s="153"/>
      <c r="C537" s="153"/>
      <c r="D537" s="153"/>
      <c r="E537" s="153"/>
      <c r="F537" s="153"/>
      <c r="G537" s="153"/>
      <c r="H537" s="153"/>
      <c r="I537" s="153"/>
      <c r="J537" s="153"/>
      <c r="K537" s="153"/>
      <c r="L537" s="153"/>
      <c r="M537" s="153"/>
      <c r="N537" s="153"/>
      <c r="O537" s="153"/>
      <c r="P537" s="153"/>
      <c r="Q537" s="153"/>
      <c r="R537" s="153"/>
      <c r="S537" s="153"/>
      <c r="T537" s="153"/>
      <c r="U537" s="153"/>
      <c r="V537" s="153"/>
      <c r="W537" s="153"/>
      <c r="X537" s="153"/>
      <c r="Y537" s="153"/>
      <c r="Z537" s="153"/>
      <c r="AA537" s="153"/>
      <c r="AB537" s="153"/>
      <c r="AC537" s="153"/>
      <c r="AD537" s="153"/>
      <c r="AE537" s="153"/>
      <c r="AF537" s="153"/>
      <c r="AG537" s="153"/>
      <c r="AH537" s="153"/>
      <c r="AI537" s="153"/>
      <c r="AJ537" s="153"/>
      <c r="AK537" s="153"/>
      <c r="AL537" s="153"/>
      <c r="AM537" s="153"/>
      <c r="AN537" s="153"/>
      <c r="AO537" s="153"/>
      <c r="AP537" s="153"/>
      <c r="AQ537" s="153"/>
      <c r="AR537" s="153"/>
    </row>
    <row r="538" spans="1:44">
      <c r="A538" s="741"/>
      <c r="B538" s="153"/>
      <c r="C538" s="153"/>
      <c r="D538" s="153"/>
      <c r="E538" s="153"/>
      <c r="F538" s="153"/>
      <c r="G538" s="153"/>
      <c r="H538" s="153"/>
      <c r="I538" s="153"/>
      <c r="J538" s="153"/>
      <c r="K538" s="153"/>
      <c r="L538" s="153"/>
      <c r="M538" s="153"/>
      <c r="N538" s="153"/>
      <c r="O538" s="153"/>
      <c r="P538" s="153"/>
      <c r="Q538" s="153"/>
      <c r="R538" s="153"/>
      <c r="S538" s="153"/>
      <c r="T538" s="153"/>
      <c r="U538" s="153"/>
      <c r="V538" s="153"/>
      <c r="W538" s="153"/>
      <c r="X538" s="153"/>
      <c r="Y538" s="153"/>
      <c r="Z538" s="153"/>
      <c r="AA538" s="153"/>
      <c r="AB538" s="153"/>
      <c r="AC538" s="153"/>
      <c r="AD538" s="153"/>
      <c r="AE538" s="153"/>
      <c r="AF538" s="153"/>
      <c r="AG538" s="153"/>
      <c r="AH538" s="153"/>
      <c r="AI538" s="153"/>
      <c r="AJ538" s="153"/>
      <c r="AK538" s="153"/>
      <c r="AL538" s="153"/>
      <c r="AM538" s="153"/>
      <c r="AN538" s="153"/>
      <c r="AO538" s="153"/>
      <c r="AP538" s="153"/>
      <c r="AQ538" s="153"/>
      <c r="AR538" s="153"/>
    </row>
    <row r="539" spans="1:44">
      <c r="A539" s="741"/>
      <c r="B539" s="153"/>
      <c r="C539" s="153"/>
      <c r="D539" s="153"/>
      <c r="E539" s="153"/>
      <c r="F539" s="153"/>
      <c r="G539" s="153"/>
      <c r="H539" s="153"/>
      <c r="I539" s="153"/>
      <c r="J539" s="153"/>
      <c r="K539" s="153"/>
      <c r="L539" s="153"/>
      <c r="M539" s="153"/>
      <c r="N539" s="153"/>
      <c r="O539" s="153"/>
      <c r="P539" s="153"/>
      <c r="Q539" s="153"/>
      <c r="R539" s="153"/>
      <c r="S539" s="153"/>
      <c r="T539" s="153"/>
      <c r="U539" s="153"/>
      <c r="V539" s="153"/>
      <c r="W539" s="153"/>
      <c r="X539" s="153"/>
      <c r="Y539" s="153"/>
      <c r="Z539" s="153"/>
      <c r="AA539" s="153"/>
      <c r="AB539" s="153"/>
      <c r="AC539" s="153"/>
      <c r="AD539" s="153"/>
      <c r="AE539" s="153"/>
      <c r="AF539" s="153"/>
      <c r="AG539" s="153"/>
      <c r="AH539" s="153"/>
      <c r="AI539" s="153"/>
      <c r="AJ539" s="153"/>
      <c r="AK539" s="153"/>
      <c r="AL539" s="153"/>
      <c r="AM539" s="153"/>
      <c r="AN539" s="153"/>
      <c r="AO539" s="153"/>
      <c r="AP539" s="153"/>
      <c r="AQ539" s="153"/>
      <c r="AR539" s="153"/>
    </row>
    <row r="540" spans="1:44">
      <c r="A540" s="741"/>
      <c r="B540" s="153"/>
      <c r="C540" s="153"/>
      <c r="D540" s="153"/>
      <c r="E540" s="153"/>
      <c r="F540" s="153"/>
      <c r="G540" s="153"/>
      <c r="H540" s="153"/>
      <c r="I540" s="153"/>
      <c r="J540" s="153"/>
      <c r="K540" s="153"/>
      <c r="L540" s="153"/>
      <c r="M540" s="153"/>
      <c r="N540" s="153"/>
      <c r="O540" s="153"/>
      <c r="P540" s="153"/>
      <c r="Q540" s="153"/>
      <c r="R540" s="153"/>
      <c r="S540" s="153"/>
      <c r="T540" s="153"/>
      <c r="U540" s="153"/>
      <c r="V540" s="153"/>
      <c r="W540" s="153"/>
      <c r="X540" s="153"/>
      <c r="Y540" s="153"/>
      <c r="Z540" s="153"/>
      <c r="AA540" s="153"/>
      <c r="AB540" s="153"/>
      <c r="AC540" s="153"/>
      <c r="AD540" s="153"/>
      <c r="AE540" s="153"/>
      <c r="AF540" s="153"/>
      <c r="AG540" s="153"/>
      <c r="AH540" s="153"/>
      <c r="AI540" s="153"/>
      <c r="AJ540" s="153"/>
      <c r="AK540" s="153"/>
      <c r="AL540" s="153"/>
      <c r="AM540" s="153"/>
      <c r="AN540" s="153"/>
      <c r="AO540" s="153"/>
      <c r="AP540" s="153"/>
      <c r="AQ540" s="153"/>
      <c r="AR540" s="153"/>
    </row>
    <row r="541" spans="1:44">
      <c r="A541" s="741"/>
      <c r="B541" s="153"/>
      <c r="C541" s="153"/>
      <c r="D541" s="153"/>
      <c r="E541" s="153"/>
      <c r="F541" s="153"/>
      <c r="G541" s="153"/>
      <c r="H541" s="153"/>
      <c r="I541" s="153"/>
      <c r="J541" s="153"/>
      <c r="K541" s="153"/>
      <c r="L541" s="153"/>
      <c r="M541" s="153"/>
      <c r="N541" s="153"/>
      <c r="O541" s="153"/>
      <c r="P541" s="153"/>
      <c r="Q541" s="153"/>
      <c r="R541" s="153"/>
      <c r="S541" s="153"/>
      <c r="T541" s="153"/>
      <c r="U541" s="153"/>
      <c r="V541" s="153"/>
      <c r="W541" s="153"/>
      <c r="X541" s="153"/>
      <c r="Y541" s="153"/>
      <c r="Z541" s="153"/>
      <c r="AA541" s="153"/>
      <c r="AB541" s="153"/>
      <c r="AC541" s="153"/>
      <c r="AD541" s="153"/>
      <c r="AE541" s="153"/>
      <c r="AF541" s="153"/>
      <c r="AG541" s="153"/>
      <c r="AH541" s="153"/>
      <c r="AI541" s="153"/>
      <c r="AJ541" s="153"/>
      <c r="AK541" s="153"/>
      <c r="AL541" s="153"/>
      <c r="AM541" s="153"/>
      <c r="AN541" s="153"/>
      <c r="AO541" s="153"/>
      <c r="AP541" s="153"/>
      <c r="AQ541" s="153"/>
      <c r="AR541" s="153"/>
    </row>
    <row r="542" spans="1:44">
      <c r="A542" s="741"/>
      <c r="B542" s="153"/>
      <c r="C542" s="153"/>
      <c r="D542" s="153"/>
      <c r="E542" s="153"/>
      <c r="F542" s="153"/>
      <c r="G542" s="153"/>
      <c r="H542" s="153"/>
      <c r="I542" s="153"/>
      <c r="J542" s="153"/>
      <c r="K542" s="153"/>
      <c r="L542" s="153"/>
      <c r="M542" s="153"/>
      <c r="N542" s="153"/>
      <c r="O542" s="153"/>
      <c r="P542" s="153"/>
      <c r="Q542" s="153"/>
      <c r="R542" s="153"/>
      <c r="S542" s="153"/>
      <c r="T542" s="153"/>
      <c r="U542" s="153"/>
      <c r="V542" s="153"/>
      <c r="W542" s="153"/>
      <c r="X542" s="153"/>
      <c r="Y542" s="153"/>
      <c r="Z542" s="153"/>
      <c r="AA542" s="153"/>
      <c r="AB542" s="153"/>
      <c r="AC542" s="153"/>
      <c r="AD542" s="153"/>
      <c r="AE542" s="153"/>
      <c r="AF542" s="153"/>
      <c r="AG542" s="153"/>
      <c r="AH542" s="153"/>
      <c r="AI542" s="153"/>
      <c r="AJ542" s="153"/>
      <c r="AK542" s="153"/>
      <c r="AL542" s="153"/>
      <c r="AM542" s="153"/>
      <c r="AN542" s="153"/>
      <c r="AO542" s="153"/>
      <c r="AP542" s="153"/>
      <c r="AQ542" s="153"/>
      <c r="AR542" s="153"/>
    </row>
    <row r="543" spans="1:44">
      <c r="A543" s="741"/>
      <c r="B543" s="153"/>
      <c r="C543" s="153"/>
      <c r="D543" s="153"/>
      <c r="E543" s="153"/>
      <c r="F543" s="153"/>
      <c r="G543" s="153"/>
      <c r="H543" s="153"/>
      <c r="I543" s="153"/>
      <c r="J543" s="153"/>
      <c r="K543" s="153"/>
      <c r="L543" s="153"/>
      <c r="M543" s="153"/>
      <c r="N543" s="153"/>
      <c r="O543" s="153"/>
      <c r="P543" s="153"/>
      <c r="Q543" s="153"/>
      <c r="R543" s="153"/>
      <c r="S543" s="153"/>
      <c r="T543" s="153"/>
      <c r="U543" s="153"/>
      <c r="V543" s="153"/>
      <c r="W543" s="153"/>
      <c r="X543" s="153"/>
      <c r="Y543" s="153"/>
      <c r="Z543" s="153"/>
      <c r="AA543" s="153"/>
      <c r="AB543" s="153"/>
      <c r="AC543" s="153"/>
      <c r="AD543" s="153"/>
      <c r="AE543" s="153"/>
      <c r="AF543" s="153"/>
      <c r="AG543" s="153"/>
      <c r="AH543" s="153"/>
      <c r="AI543" s="153"/>
      <c r="AJ543" s="153"/>
      <c r="AK543" s="153"/>
      <c r="AL543" s="153"/>
      <c r="AM543" s="153"/>
      <c r="AN543" s="153"/>
      <c r="AO543" s="153"/>
      <c r="AP543" s="153"/>
      <c r="AQ543" s="153"/>
      <c r="AR543" s="153"/>
    </row>
    <row r="544" spans="1:44">
      <c r="A544" s="741"/>
      <c r="B544" s="153"/>
      <c r="C544" s="153"/>
      <c r="D544" s="153"/>
      <c r="E544" s="153"/>
      <c r="F544" s="153"/>
      <c r="G544" s="153"/>
      <c r="H544" s="153"/>
      <c r="I544" s="153"/>
      <c r="J544" s="153"/>
      <c r="K544" s="153"/>
      <c r="L544" s="153"/>
      <c r="M544" s="153"/>
      <c r="N544" s="153"/>
      <c r="O544" s="153"/>
      <c r="P544" s="153"/>
      <c r="Q544" s="153"/>
      <c r="R544" s="153"/>
      <c r="S544" s="153"/>
      <c r="T544" s="153"/>
      <c r="U544" s="153"/>
      <c r="V544" s="153"/>
      <c r="W544" s="153"/>
      <c r="X544" s="153"/>
      <c r="Y544" s="153"/>
      <c r="Z544" s="153"/>
      <c r="AA544" s="153"/>
      <c r="AB544" s="153"/>
      <c r="AC544" s="153"/>
      <c r="AD544" s="153"/>
      <c r="AE544" s="153"/>
      <c r="AF544" s="153"/>
      <c r="AG544" s="153"/>
      <c r="AH544" s="153"/>
      <c r="AI544" s="153"/>
      <c r="AJ544" s="153"/>
      <c r="AK544" s="153"/>
      <c r="AL544" s="153"/>
      <c r="AM544" s="153"/>
      <c r="AN544" s="153"/>
      <c r="AO544" s="153"/>
      <c r="AP544" s="153"/>
      <c r="AQ544" s="153"/>
      <c r="AR544" s="153"/>
    </row>
    <row r="545" spans="1:44">
      <c r="A545" s="741"/>
      <c r="B545" s="153"/>
      <c r="C545" s="153"/>
      <c r="D545" s="153"/>
      <c r="E545" s="153"/>
      <c r="F545" s="153"/>
      <c r="G545" s="153"/>
      <c r="H545" s="153"/>
      <c r="I545" s="153"/>
      <c r="J545" s="153"/>
      <c r="K545" s="153"/>
      <c r="L545" s="153"/>
      <c r="M545" s="153"/>
      <c r="N545" s="153"/>
      <c r="O545" s="153"/>
      <c r="P545" s="153"/>
      <c r="Q545" s="153"/>
      <c r="R545" s="153"/>
      <c r="S545" s="153"/>
      <c r="T545" s="153"/>
      <c r="U545" s="153"/>
      <c r="V545" s="153"/>
      <c r="W545" s="153"/>
      <c r="X545" s="153"/>
      <c r="Y545" s="153"/>
      <c r="Z545" s="153"/>
      <c r="AA545" s="153"/>
      <c r="AB545" s="153"/>
      <c r="AC545" s="153"/>
      <c r="AD545" s="153"/>
      <c r="AE545" s="153"/>
      <c r="AF545" s="153"/>
      <c r="AG545" s="153"/>
      <c r="AH545" s="153"/>
      <c r="AI545" s="153"/>
      <c r="AJ545" s="153"/>
      <c r="AK545" s="153"/>
      <c r="AL545" s="153"/>
      <c r="AM545" s="153"/>
      <c r="AN545" s="153"/>
      <c r="AO545" s="153"/>
      <c r="AP545" s="153"/>
      <c r="AQ545" s="153"/>
      <c r="AR545" s="153"/>
    </row>
    <row r="546" spans="1:44">
      <c r="A546" s="741"/>
      <c r="B546" s="153"/>
      <c r="C546" s="153"/>
      <c r="D546" s="153"/>
      <c r="E546" s="153"/>
      <c r="F546" s="153"/>
      <c r="G546" s="153"/>
      <c r="H546" s="153"/>
      <c r="I546" s="153"/>
      <c r="J546" s="153"/>
      <c r="K546" s="153"/>
      <c r="L546" s="153"/>
      <c r="M546" s="153"/>
      <c r="N546" s="153"/>
      <c r="O546" s="153"/>
      <c r="P546" s="153"/>
      <c r="Q546" s="153"/>
      <c r="R546" s="153"/>
      <c r="S546" s="153"/>
      <c r="T546" s="153"/>
      <c r="U546" s="153"/>
      <c r="V546" s="153"/>
      <c r="W546" s="153"/>
      <c r="X546" s="153"/>
      <c r="Y546" s="153"/>
      <c r="Z546" s="153"/>
      <c r="AA546" s="153"/>
      <c r="AB546" s="153"/>
      <c r="AC546" s="153"/>
      <c r="AD546" s="153"/>
      <c r="AE546" s="153"/>
      <c r="AF546" s="153"/>
      <c r="AG546" s="153"/>
      <c r="AH546" s="153"/>
      <c r="AI546" s="153"/>
      <c r="AJ546" s="153"/>
      <c r="AK546" s="153"/>
      <c r="AL546" s="153"/>
      <c r="AM546" s="153"/>
      <c r="AN546" s="153"/>
      <c r="AO546" s="153"/>
      <c r="AP546" s="153"/>
      <c r="AQ546" s="153"/>
      <c r="AR546" s="153"/>
    </row>
    <row r="547" spans="1:44">
      <c r="A547" s="741"/>
      <c r="B547" s="153"/>
      <c r="C547" s="153"/>
      <c r="D547" s="153"/>
      <c r="E547" s="153"/>
      <c r="F547" s="153"/>
      <c r="G547" s="153"/>
      <c r="H547" s="153"/>
      <c r="I547" s="153"/>
      <c r="J547" s="153"/>
      <c r="K547" s="153"/>
      <c r="L547" s="153"/>
      <c r="M547" s="153"/>
      <c r="N547" s="153"/>
      <c r="O547" s="153"/>
      <c r="P547" s="153"/>
      <c r="Q547" s="153"/>
      <c r="R547" s="153"/>
      <c r="S547" s="153"/>
      <c r="T547" s="153"/>
      <c r="U547" s="153"/>
      <c r="V547" s="153"/>
      <c r="W547" s="153"/>
      <c r="X547" s="153"/>
      <c r="Y547" s="153"/>
      <c r="Z547" s="153"/>
      <c r="AA547" s="153"/>
      <c r="AB547" s="153"/>
      <c r="AC547" s="153"/>
      <c r="AD547" s="153"/>
      <c r="AE547" s="153"/>
      <c r="AF547" s="153"/>
      <c r="AG547" s="153"/>
      <c r="AH547" s="153"/>
      <c r="AI547" s="153"/>
      <c r="AJ547" s="153"/>
      <c r="AK547" s="153"/>
      <c r="AL547" s="153"/>
      <c r="AM547" s="153"/>
      <c r="AN547" s="153"/>
      <c r="AO547" s="153"/>
      <c r="AP547" s="153"/>
      <c r="AQ547" s="153"/>
      <c r="AR547" s="153"/>
    </row>
    <row r="548" spans="1:44">
      <c r="A548" s="741"/>
      <c r="B548" s="153"/>
      <c r="C548" s="153"/>
      <c r="D548" s="153"/>
      <c r="E548" s="153"/>
      <c r="F548" s="153"/>
      <c r="G548" s="153"/>
      <c r="H548" s="153"/>
      <c r="I548" s="153"/>
      <c r="J548" s="153"/>
      <c r="K548" s="153"/>
      <c r="L548" s="153"/>
      <c r="M548" s="153"/>
      <c r="N548" s="153"/>
      <c r="O548" s="153"/>
      <c r="P548" s="153"/>
      <c r="Q548" s="153"/>
      <c r="R548" s="153"/>
      <c r="S548" s="153"/>
      <c r="T548" s="153"/>
      <c r="U548" s="153"/>
      <c r="V548" s="153"/>
      <c r="W548" s="153"/>
      <c r="X548" s="153"/>
      <c r="Y548" s="153"/>
      <c r="Z548" s="153"/>
      <c r="AA548" s="153"/>
      <c r="AB548" s="153"/>
      <c r="AC548" s="153"/>
      <c r="AD548" s="153"/>
      <c r="AE548" s="153"/>
      <c r="AF548" s="153"/>
      <c r="AG548" s="153"/>
      <c r="AH548" s="153"/>
      <c r="AI548" s="153"/>
      <c r="AJ548" s="153"/>
      <c r="AK548" s="153"/>
      <c r="AL548" s="153"/>
      <c r="AM548" s="153"/>
      <c r="AN548" s="153"/>
      <c r="AO548" s="153"/>
      <c r="AP548" s="153"/>
      <c r="AQ548" s="153"/>
      <c r="AR548" s="153"/>
    </row>
    <row r="549" spans="1:44">
      <c r="A549" s="741"/>
      <c r="B549" s="153"/>
      <c r="C549" s="153"/>
      <c r="D549" s="153"/>
      <c r="E549" s="153"/>
      <c r="F549" s="153"/>
      <c r="G549" s="153"/>
      <c r="H549" s="153"/>
      <c r="I549" s="153"/>
      <c r="J549" s="153"/>
      <c r="K549" s="153"/>
      <c r="L549" s="153"/>
      <c r="M549" s="153"/>
      <c r="N549" s="153"/>
      <c r="O549" s="153"/>
      <c r="P549" s="153"/>
      <c r="Q549" s="153"/>
      <c r="R549" s="153"/>
      <c r="S549" s="153"/>
      <c r="T549" s="153"/>
      <c r="U549" s="153"/>
      <c r="V549" s="153"/>
      <c r="W549" s="153"/>
      <c r="X549" s="153"/>
      <c r="Y549" s="153"/>
      <c r="Z549" s="153"/>
      <c r="AA549" s="153"/>
      <c r="AB549" s="153"/>
      <c r="AC549" s="153"/>
      <c r="AD549" s="153"/>
      <c r="AE549" s="153"/>
      <c r="AF549" s="153"/>
      <c r="AG549" s="153"/>
      <c r="AH549" s="153"/>
      <c r="AI549" s="153"/>
      <c r="AJ549" s="153"/>
      <c r="AK549" s="153"/>
      <c r="AL549" s="153"/>
      <c r="AM549" s="153"/>
      <c r="AN549" s="153"/>
      <c r="AO549" s="153"/>
      <c r="AP549" s="153"/>
      <c r="AQ549" s="153"/>
      <c r="AR549" s="153"/>
    </row>
    <row r="550" spans="1:44">
      <c r="A550" s="741"/>
      <c r="B550" s="153"/>
      <c r="C550" s="153"/>
      <c r="D550" s="153"/>
      <c r="E550" s="153"/>
      <c r="F550" s="153"/>
      <c r="G550" s="153"/>
      <c r="H550" s="153"/>
      <c r="I550" s="153"/>
      <c r="J550" s="153"/>
      <c r="K550" s="153"/>
      <c r="L550" s="153"/>
      <c r="M550" s="153"/>
      <c r="N550" s="153"/>
      <c r="O550" s="153"/>
      <c r="P550" s="153"/>
      <c r="Q550" s="153"/>
      <c r="R550" s="153"/>
      <c r="S550" s="153"/>
      <c r="T550" s="153"/>
      <c r="U550" s="153"/>
      <c r="V550" s="153"/>
      <c r="W550" s="153"/>
      <c r="X550" s="153"/>
      <c r="Y550" s="153"/>
      <c r="Z550" s="153"/>
      <c r="AA550" s="153"/>
      <c r="AB550" s="153"/>
      <c r="AC550" s="153"/>
      <c r="AD550" s="153"/>
      <c r="AE550" s="153"/>
      <c r="AF550" s="153"/>
      <c r="AG550" s="153"/>
      <c r="AH550" s="153"/>
      <c r="AI550" s="153"/>
      <c r="AJ550" s="153"/>
      <c r="AK550" s="153"/>
      <c r="AL550" s="153"/>
      <c r="AM550" s="153"/>
      <c r="AN550" s="153"/>
      <c r="AO550" s="153"/>
      <c r="AP550" s="153"/>
      <c r="AQ550" s="153"/>
      <c r="AR550" s="153"/>
    </row>
    <row r="551" spans="1:44">
      <c r="A551" s="741"/>
      <c r="B551" s="153"/>
      <c r="C551" s="153"/>
      <c r="D551" s="153"/>
      <c r="E551" s="153"/>
      <c r="F551" s="153"/>
      <c r="G551" s="153"/>
      <c r="H551" s="153"/>
      <c r="I551" s="153"/>
      <c r="J551" s="153"/>
      <c r="K551" s="153"/>
      <c r="L551" s="153"/>
      <c r="M551" s="153"/>
      <c r="N551" s="153"/>
      <c r="O551" s="153"/>
      <c r="P551" s="153"/>
      <c r="Q551" s="153"/>
      <c r="R551" s="153"/>
      <c r="S551" s="153"/>
      <c r="T551" s="153"/>
      <c r="U551" s="153"/>
      <c r="V551" s="153"/>
      <c r="W551" s="153"/>
      <c r="X551" s="153"/>
      <c r="Y551" s="153"/>
      <c r="Z551" s="153"/>
      <c r="AA551" s="153"/>
      <c r="AB551" s="153"/>
      <c r="AC551" s="153"/>
      <c r="AD551" s="153"/>
      <c r="AE551" s="153"/>
      <c r="AF551" s="153"/>
      <c r="AG551" s="153"/>
      <c r="AH551" s="153"/>
      <c r="AI551" s="153"/>
      <c r="AJ551" s="153"/>
      <c r="AK551" s="153"/>
      <c r="AL551" s="153"/>
      <c r="AM551" s="153"/>
      <c r="AN551" s="153"/>
      <c r="AO551" s="153"/>
      <c r="AP551" s="153"/>
      <c r="AQ551" s="153"/>
      <c r="AR551" s="153"/>
    </row>
    <row r="552" spans="1:44">
      <c r="A552" s="741"/>
      <c r="B552" s="153"/>
      <c r="C552" s="153"/>
      <c r="D552" s="153"/>
      <c r="E552" s="153"/>
      <c r="F552" s="153"/>
      <c r="G552" s="153"/>
      <c r="H552" s="153"/>
      <c r="I552" s="153"/>
      <c r="J552" s="153"/>
      <c r="K552" s="153"/>
      <c r="L552" s="153"/>
      <c r="M552" s="153"/>
      <c r="N552" s="153"/>
      <c r="O552" s="153"/>
      <c r="P552" s="153"/>
      <c r="Q552" s="153"/>
      <c r="R552" s="153"/>
      <c r="S552" s="153"/>
      <c r="T552" s="153"/>
      <c r="U552" s="153"/>
      <c r="V552" s="153"/>
      <c r="W552" s="153"/>
      <c r="X552" s="153"/>
      <c r="Y552" s="153"/>
      <c r="Z552" s="153"/>
      <c r="AA552" s="153"/>
      <c r="AB552" s="153"/>
      <c r="AC552" s="153"/>
      <c r="AD552" s="153"/>
      <c r="AE552" s="153"/>
      <c r="AF552" s="153"/>
      <c r="AG552" s="153"/>
      <c r="AH552" s="153"/>
      <c r="AI552" s="153"/>
      <c r="AJ552" s="153"/>
      <c r="AK552" s="153"/>
      <c r="AL552" s="153"/>
      <c r="AM552" s="153"/>
      <c r="AN552" s="153"/>
      <c r="AO552" s="153"/>
      <c r="AP552" s="153"/>
      <c r="AQ552" s="153"/>
      <c r="AR552" s="153"/>
    </row>
    <row r="553" spans="1:44">
      <c r="A553" s="741"/>
      <c r="B553" s="153"/>
      <c r="C553" s="153"/>
      <c r="D553" s="153"/>
      <c r="E553" s="153"/>
      <c r="F553" s="153"/>
      <c r="G553" s="153"/>
      <c r="H553" s="153"/>
      <c r="I553" s="153"/>
      <c r="J553" s="153"/>
      <c r="K553" s="153"/>
      <c r="L553" s="153"/>
      <c r="M553" s="153"/>
      <c r="N553" s="153"/>
      <c r="O553" s="153"/>
      <c r="P553" s="153"/>
      <c r="Q553" s="153"/>
      <c r="R553" s="153"/>
      <c r="S553" s="153"/>
      <c r="T553" s="153"/>
      <c r="U553" s="153"/>
      <c r="V553" s="153"/>
      <c r="W553" s="153"/>
      <c r="X553" s="153"/>
      <c r="Y553" s="153"/>
      <c r="Z553" s="153"/>
      <c r="AA553" s="153"/>
      <c r="AB553" s="153"/>
      <c r="AC553" s="153"/>
      <c r="AD553" s="153"/>
      <c r="AE553" s="153"/>
      <c r="AF553" s="153"/>
      <c r="AG553" s="153"/>
      <c r="AH553" s="153"/>
      <c r="AI553" s="153"/>
      <c r="AJ553" s="153"/>
      <c r="AK553" s="153"/>
      <c r="AL553" s="153"/>
      <c r="AM553" s="153"/>
      <c r="AN553" s="153"/>
      <c r="AO553" s="153"/>
      <c r="AP553" s="153"/>
      <c r="AQ553" s="153"/>
      <c r="AR553" s="153"/>
    </row>
    <row r="554" spans="1:44">
      <c r="A554" s="741"/>
      <c r="B554" s="153"/>
      <c r="C554" s="153"/>
      <c r="D554" s="153"/>
      <c r="E554" s="153"/>
      <c r="F554" s="153"/>
      <c r="G554" s="153"/>
      <c r="H554" s="153"/>
      <c r="I554" s="153"/>
      <c r="J554" s="153"/>
      <c r="K554" s="153"/>
      <c r="L554" s="153"/>
      <c r="M554" s="153"/>
      <c r="N554" s="153"/>
      <c r="O554" s="153"/>
      <c r="P554" s="153"/>
      <c r="Q554" s="153"/>
      <c r="R554" s="153"/>
      <c r="S554" s="153"/>
      <c r="T554" s="153"/>
      <c r="U554" s="153"/>
      <c r="V554" s="153"/>
      <c r="W554" s="153"/>
      <c r="X554" s="153"/>
      <c r="Y554" s="153"/>
      <c r="Z554" s="153"/>
      <c r="AA554" s="153"/>
      <c r="AB554" s="153"/>
      <c r="AC554" s="153"/>
      <c r="AD554" s="153"/>
      <c r="AE554" s="153"/>
      <c r="AF554" s="153"/>
      <c r="AG554" s="153"/>
      <c r="AH554" s="153"/>
      <c r="AI554" s="153"/>
      <c r="AJ554" s="153"/>
      <c r="AK554" s="153"/>
      <c r="AL554" s="153"/>
      <c r="AM554" s="153"/>
      <c r="AN554" s="153"/>
      <c r="AO554" s="153"/>
      <c r="AP554" s="153"/>
      <c r="AQ554" s="153"/>
      <c r="AR554" s="153"/>
    </row>
    <row r="555" spans="1:44">
      <c r="A555" s="741"/>
      <c r="B555" s="153"/>
      <c r="C555" s="153"/>
      <c r="D555" s="153"/>
      <c r="E555" s="153"/>
      <c r="F555" s="153"/>
      <c r="G555" s="153"/>
      <c r="H555" s="153"/>
      <c r="I555" s="153"/>
      <c r="J555" s="153"/>
      <c r="K555" s="153"/>
      <c r="L555" s="153"/>
      <c r="M555" s="153"/>
      <c r="N555" s="153"/>
      <c r="O555" s="153"/>
      <c r="P555" s="153"/>
      <c r="Q555" s="153"/>
      <c r="R555" s="153"/>
      <c r="S555" s="153"/>
      <c r="T555" s="153"/>
      <c r="U555" s="153"/>
      <c r="V555" s="153"/>
      <c r="W555" s="153"/>
      <c r="X555" s="153"/>
      <c r="Y555" s="153"/>
      <c r="Z555" s="153"/>
      <c r="AA555" s="153"/>
      <c r="AB555" s="153"/>
      <c r="AC555" s="153"/>
      <c r="AD555" s="153"/>
      <c r="AE555" s="153"/>
      <c r="AF555" s="153"/>
      <c r="AG555" s="153"/>
      <c r="AH555" s="153"/>
      <c r="AI555" s="153"/>
      <c r="AJ555" s="153"/>
      <c r="AK555" s="153"/>
      <c r="AL555" s="153"/>
      <c r="AM555" s="153"/>
      <c r="AN555" s="153"/>
      <c r="AO555" s="153"/>
      <c r="AP555" s="153"/>
      <c r="AQ555" s="153"/>
      <c r="AR555" s="153"/>
    </row>
    <row r="556" spans="1:44">
      <c r="A556" s="741"/>
      <c r="B556" s="153"/>
      <c r="C556" s="153"/>
      <c r="D556" s="153"/>
      <c r="E556" s="153"/>
      <c r="F556" s="153"/>
      <c r="G556" s="153"/>
      <c r="H556" s="153"/>
      <c r="I556" s="153"/>
      <c r="J556" s="153"/>
      <c r="K556" s="153"/>
      <c r="L556" s="153"/>
      <c r="M556" s="153"/>
      <c r="N556" s="153"/>
      <c r="O556" s="153"/>
      <c r="P556" s="153"/>
      <c r="Q556" s="153"/>
      <c r="R556" s="153"/>
      <c r="S556" s="153"/>
      <c r="T556" s="153"/>
      <c r="U556" s="153"/>
      <c r="V556" s="153"/>
      <c r="W556" s="153"/>
      <c r="X556" s="153"/>
      <c r="Y556" s="153"/>
      <c r="Z556" s="153"/>
      <c r="AA556" s="153"/>
      <c r="AB556" s="153"/>
      <c r="AC556" s="153"/>
      <c r="AD556" s="153"/>
      <c r="AE556" s="153"/>
      <c r="AF556" s="153"/>
      <c r="AG556" s="153"/>
      <c r="AH556" s="153"/>
      <c r="AI556" s="153"/>
      <c r="AJ556" s="153"/>
      <c r="AK556" s="153"/>
      <c r="AL556" s="153"/>
      <c r="AM556" s="153"/>
      <c r="AN556" s="153"/>
      <c r="AO556" s="153"/>
      <c r="AP556" s="153"/>
      <c r="AQ556" s="153"/>
      <c r="AR556" s="153"/>
    </row>
    <row r="557" spans="1:44">
      <c r="A557" s="741"/>
      <c r="B557" s="153"/>
      <c r="C557" s="153"/>
      <c r="D557" s="153"/>
      <c r="E557" s="153"/>
      <c r="F557" s="153"/>
      <c r="G557" s="153"/>
      <c r="H557" s="153"/>
      <c r="I557" s="153"/>
      <c r="J557" s="153"/>
      <c r="K557" s="153"/>
      <c r="L557" s="153"/>
      <c r="M557" s="153"/>
      <c r="N557" s="153"/>
      <c r="O557" s="153"/>
      <c r="P557" s="153"/>
      <c r="Q557" s="153"/>
      <c r="R557" s="153"/>
      <c r="S557" s="153"/>
      <c r="T557" s="153"/>
      <c r="U557" s="153"/>
      <c r="V557" s="153"/>
      <c r="W557" s="153"/>
      <c r="X557" s="153"/>
      <c r="Y557" s="153"/>
      <c r="Z557" s="153"/>
      <c r="AA557" s="153"/>
      <c r="AB557" s="153"/>
      <c r="AC557" s="153"/>
      <c r="AD557" s="153"/>
      <c r="AE557" s="153"/>
      <c r="AF557" s="153"/>
      <c r="AG557" s="153"/>
      <c r="AH557" s="153"/>
      <c r="AI557" s="153"/>
      <c r="AJ557" s="153"/>
      <c r="AK557" s="153"/>
      <c r="AL557" s="153"/>
      <c r="AM557" s="153"/>
      <c r="AN557" s="153"/>
      <c r="AO557" s="153"/>
      <c r="AP557" s="153"/>
      <c r="AQ557" s="153"/>
      <c r="AR557" s="153"/>
    </row>
    <row r="558" spans="1:44">
      <c r="A558" s="741"/>
      <c r="B558" s="153"/>
      <c r="C558" s="153"/>
      <c r="D558" s="153"/>
      <c r="E558" s="153"/>
      <c r="F558" s="153"/>
      <c r="G558" s="153"/>
      <c r="H558" s="153"/>
      <c r="I558" s="153"/>
      <c r="J558" s="153"/>
      <c r="K558" s="153"/>
      <c r="L558" s="153"/>
      <c r="M558" s="153"/>
      <c r="N558" s="153"/>
      <c r="O558" s="153"/>
      <c r="P558" s="153"/>
      <c r="Q558" s="153"/>
      <c r="R558" s="153"/>
      <c r="S558" s="153"/>
      <c r="T558" s="153"/>
      <c r="U558" s="153"/>
      <c r="V558" s="153"/>
      <c r="W558" s="153"/>
      <c r="X558" s="153"/>
      <c r="Y558" s="153"/>
      <c r="Z558" s="153"/>
      <c r="AA558" s="153"/>
      <c r="AB558" s="153"/>
      <c r="AC558" s="153"/>
      <c r="AD558" s="153"/>
      <c r="AE558" s="153"/>
      <c r="AF558" s="153"/>
      <c r="AG558" s="153"/>
      <c r="AH558" s="153"/>
      <c r="AI558" s="153"/>
      <c r="AJ558" s="153"/>
      <c r="AK558" s="153"/>
      <c r="AL558" s="153"/>
      <c r="AM558" s="153"/>
      <c r="AN558" s="153"/>
      <c r="AO558" s="153"/>
      <c r="AP558" s="153"/>
      <c r="AQ558" s="153"/>
      <c r="AR558" s="153"/>
    </row>
    <row r="559" spans="1:44">
      <c r="A559" s="741"/>
      <c r="B559" s="153"/>
      <c r="C559" s="153"/>
      <c r="D559" s="153"/>
      <c r="E559" s="153"/>
      <c r="F559" s="153"/>
      <c r="G559" s="153"/>
      <c r="H559" s="153"/>
      <c r="I559" s="153"/>
      <c r="J559" s="153"/>
      <c r="K559" s="153"/>
      <c r="L559" s="153"/>
      <c r="M559" s="153"/>
      <c r="N559" s="153"/>
      <c r="O559" s="153"/>
      <c r="P559" s="153"/>
      <c r="Q559" s="153"/>
      <c r="R559" s="153"/>
      <c r="S559" s="153"/>
      <c r="T559" s="153"/>
      <c r="U559" s="153"/>
      <c r="V559" s="153"/>
      <c r="W559" s="153"/>
      <c r="X559" s="153"/>
      <c r="Y559" s="153"/>
      <c r="Z559" s="153"/>
      <c r="AA559" s="153"/>
      <c r="AB559" s="153"/>
      <c r="AC559" s="153"/>
      <c r="AD559" s="153"/>
      <c r="AE559" s="153"/>
      <c r="AF559" s="153"/>
      <c r="AG559" s="153"/>
      <c r="AH559" s="153"/>
      <c r="AI559" s="153"/>
      <c r="AJ559" s="153"/>
      <c r="AK559" s="153"/>
      <c r="AL559" s="153"/>
      <c r="AM559" s="153"/>
      <c r="AN559" s="153"/>
      <c r="AO559" s="153"/>
      <c r="AP559" s="153"/>
      <c r="AQ559" s="153"/>
      <c r="AR559" s="153"/>
    </row>
    <row r="560" spans="1:44">
      <c r="A560" s="741"/>
      <c r="B560" s="153"/>
      <c r="C560" s="153"/>
      <c r="D560" s="153"/>
      <c r="E560" s="153"/>
      <c r="F560" s="153"/>
      <c r="G560" s="153"/>
      <c r="H560" s="153"/>
      <c r="I560" s="153"/>
      <c r="J560" s="153"/>
      <c r="K560" s="153"/>
      <c r="L560" s="153"/>
      <c r="M560" s="153"/>
      <c r="N560" s="153"/>
      <c r="O560" s="153"/>
      <c r="P560" s="153"/>
      <c r="Q560" s="153"/>
      <c r="R560" s="153"/>
      <c r="S560" s="153"/>
      <c r="T560" s="153"/>
      <c r="U560" s="153"/>
      <c r="V560" s="153"/>
      <c r="W560" s="153"/>
      <c r="X560" s="153"/>
      <c r="Y560" s="153"/>
      <c r="Z560" s="153"/>
      <c r="AA560" s="153"/>
      <c r="AB560" s="153"/>
      <c r="AC560" s="153"/>
      <c r="AD560" s="153"/>
      <c r="AE560" s="153"/>
      <c r="AF560" s="153"/>
      <c r="AG560" s="153"/>
      <c r="AH560" s="153"/>
      <c r="AI560" s="153"/>
      <c r="AJ560" s="153"/>
      <c r="AK560" s="153"/>
      <c r="AL560" s="153"/>
      <c r="AM560" s="153"/>
      <c r="AN560" s="153"/>
      <c r="AO560" s="153"/>
      <c r="AP560" s="153"/>
      <c r="AQ560" s="153"/>
      <c r="AR560" s="153"/>
    </row>
    <row r="561" spans="1:44">
      <c r="A561" s="741"/>
      <c r="B561" s="153"/>
      <c r="C561" s="153"/>
      <c r="D561" s="153"/>
      <c r="E561" s="153"/>
      <c r="F561" s="153"/>
      <c r="G561" s="153"/>
      <c r="H561" s="153"/>
      <c r="I561" s="153"/>
      <c r="J561" s="153"/>
      <c r="K561" s="153"/>
      <c r="L561" s="153"/>
      <c r="M561" s="153"/>
      <c r="N561" s="153"/>
      <c r="O561" s="153"/>
      <c r="P561" s="153"/>
      <c r="Q561" s="153"/>
      <c r="R561" s="153"/>
      <c r="S561" s="153"/>
      <c r="T561" s="153"/>
      <c r="U561" s="153"/>
      <c r="V561" s="153"/>
      <c r="W561" s="153"/>
      <c r="X561" s="153"/>
      <c r="Y561" s="153"/>
      <c r="Z561" s="153"/>
      <c r="AA561" s="153"/>
      <c r="AB561" s="153"/>
      <c r="AC561" s="153"/>
      <c r="AD561" s="153"/>
      <c r="AE561" s="153"/>
      <c r="AF561" s="153"/>
      <c r="AG561" s="153"/>
      <c r="AH561" s="153"/>
      <c r="AI561" s="153"/>
      <c r="AJ561" s="153"/>
      <c r="AK561" s="153"/>
      <c r="AL561" s="153"/>
      <c r="AM561" s="153"/>
      <c r="AN561" s="153"/>
      <c r="AO561" s="153"/>
      <c r="AP561" s="153"/>
      <c r="AQ561" s="153"/>
      <c r="AR561" s="153"/>
    </row>
    <row r="562" spans="1:44">
      <c r="A562" s="741"/>
      <c r="B562" s="153"/>
      <c r="C562" s="153"/>
      <c r="D562" s="153"/>
      <c r="E562" s="153"/>
      <c r="F562" s="153"/>
      <c r="G562" s="153"/>
      <c r="H562" s="153"/>
      <c r="I562" s="153"/>
      <c r="J562" s="153"/>
      <c r="K562" s="153"/>
      <c r="L562" s="153"/>
      <c r="M562" s="153"/>
      <c r="N562" s="153"/>
      <c r="O562" s="153"/>
      <c r="P562" s="153"/>
      <c r="Q562" s="153"/>
      <c r="R562" s="153"/>
      <c r="S562" s="153"/>
      <c r="T562" s="153"/>
      <c r="U562" s="153"/>
      <c r="V562" s="153"/>
      <c r="W562" s="153"/>
      <c r="X562" s="153"/>
      <c r="Y562" s="153"/>
      <c r="Z562" s="153"/>
      <c r="AA562" s="153"/>
      <c r="AB562" s="153"/>
      <c r="AC562" s="153"/>
      <c r="AD562" s="153"/>
      <c r="AE562" s="153"/>
      <c r="AF562" s="153"/>
      <c r="AG562" s="153"/>
      <c r="AH562" s="153"/>
      <c r="AI562" s="153"/>
      <c r="AJ562" s="153"/>
      <c r="AK562" s="153"/>
      <c r="AL562" s="153"/>
      <c r="AM562" s="153"/>
      <c r="AN562" s="153"/>
      <c r="AO562" s="153"/>
      <c r="AP562" s="153"/>
      <c r="AQ562" s="153"/>
      <c r="AR562" s="153"/>
    </row>
    <row r="563" spans="1:44">
      <c r="A563" s="741"/>
      <c r="B563" s="153"/>
      <c r="C563" s="153"/>
      <c r="D563" s="153"/>
      <c r="E563" s="153"/>
      <c r="F563" s="153"/>
      <c r="G563" s="153"/>
      <c r="H563" s="153"/>
      <c r="I563" s="153"/>
      <c r="J563" s="153"/>
      <c r="K563" s="153"/>
      <c r="L563" s="153"/>
      <c r="M563" s="153"/>
      <c r="N563" s="153"/>
      <c r="O563" s="153"/>
      <c r="P563" s="153"/>
      <c r="Q563" s="153"/>
      <c r="R563" s="153"/>
      <c r="S563" s="153"/>
      <c r="T563" s="153"/>
      <c r="U563" s="153"/>
      <c r="V563" s="153"/>
      <c r="W563" s="153"/>
      <c r="X563" s="153"/>
      <c r="Y563" s="153"/>
      <c r="Z563" s="153"/>
      <c r="AA563" s="153"/>
      <c r="AB563" s="153"/>
      <c r="AC563" s="153"/>
      <c r="AD563" s="153"/>
      <c r="AE563" s="153"/>
      <c r="AF563" s="153"/>
      <c r="AG563" s="153"/>
      <c r="AH563" s="153"/>
      <c r="AI563" s="153"/>
      <c r="AJ563" s="153"/>
      <c r="AK563" s="153"/>
      <c r="AL563" s="153"/>
      <c r="AM563" s="153"/>
      <c r="AN563" s="153"/>
      <c r="AO563" s="153"/>
      <c r="AP563" s="153"/>
      <c r="AQ563" s="153"/>
      <c r="AR563" s="153"/>
    </row>
    <row r="564" spans="1:44">
      <c r="A564" s="741"/>
      <c r="B564" s="153"/>
      <c r="C564" s="153"/>
      <c r="D564" s="153"/>
      <c r="E564" s="153"/>
      <c r="F564" s="153"/>
      <c r="G564" s="153"/>
      <c r="H564" s="153"/>
      <c r="I564" s="153"/>
      <c r="J564" s="153"/>
      <c r="K564" s="153"/>
      <c r="L564" s="153"/>
      <c r="M564" s="153"/>
      <c r="N564" s="153"/>
      <c r="O564" s="153"/>
      <c r="P564" s="153"/>
      <c r="Q564" s="153"/>
      <c r="R564" s="153"/>
      <c r="S564" s="153"/>
      <c r="T564" s="153"/>
      <c r="U564" s="153"/>
      <c r="V564" s="153"/>
      <c r="W564" s="153"/>
      <c r="X564" s="153"/>
      <c r="Y564" s="153"/>
      <c r="Z564" s="153"/>
      <c r="AA564" s="153"/>
      <c r="AB564" s="153"/>
      <c r="AC564" s="153"/>
      <c r="AD564" s="153"/>
      <c r="AE564" s="153"/>
      <c r="AF564" s="153"/>
      <c r="AG564" s="153"/>
      <c r="AH564" s="153"/>
      <c r="AI564" s="153"/>
      <c r="AJ564" s="153"/>
      <c r="AK564" s="153"/>
      <c r="AL564" s="153"/>
      <c r="AM564" s="153"/>
      <c r="AN564" s="153"/>
      <c r="AO564" s="153"/>
      <c r="AP564" s="153"/>
      <c r="AQ564" s="153"/>
      <c r="AR564" s="153"/>
    </row>
    <row r="565" spans="1:44">
      <c r="A565" s="741"/>
      <c r="B565" s="153"/>
      <c r="C565" s="153"/>
      <c r="D565" s="153"/>
      <c r="E565" s="153"/>
      <c r="F565" s="153"/>
      <c r="G565" s="153"/>
      <c r="H565" s="153"/>
      <c r="I565" s="153"/>
      <c r="J565" s="153"/>
      <c r="K565" s="153"/>
      <c r="L565" s="153"/>
      <c r="M565" s="153"/>
      <c r="N565" s="153"/>
      <c r="O565" s="153"/>
      <c r="P565" s="153"/>
      <c r="Q565" s="153"/>
      <c r="R565" s="153"/>
      <c r="S565" s="153"/>
      <c r="T565" s="153"/>
      <c r="U565" s="153"/>
      <c r="V565" s="153"/>
      <c r="W565" s="153"/>
      <c r="X565" s="153"/>
      <c r="Y565" s="153"/>
      <c r="Z565" s="153"/>
      <c r="AA565" s="153"/>
      <c r="AB565" s="153"/>
      <c r="AC565" s="153"/>
      <c r="AD565" s="153"/>
      <c r="AE565" s="153"/>
      <c r="AF565" s="153"/>
      <c r="AG565" s="153"/>
      <c r="AH565" s="153"/>
      <c r="AI565" s="153"/>
      <c r="AJ565" s="153"/>
      <c r="AK565" s="153"/>
      <c r="AL565" s="153"/>
      <c r="AM565" s="153"/>
      <c r="AN565" s="153"/>
      <c r="AO565" s="153"/>
      <c r="AP565" s="153"/>
      <c r="AQ565" s="153"/>
      <c r="AR565" s="153"/>
    </row>
    <row r="566" spans="1:44">
      <c r="A566" s="741"/>
      <c r="B566" s="153"/>
      <c r="C566" s="153"/>
      <c r="D566" s="153"/>
      <c r="E566" s="153"/>
      <c r="F566" s="153"/>
      <c r="G566" s="153"/>
      <c r="H566" s="153"/>
      <c r="I566" s="153"/>
      <c r="J566" s="153"/>
      <c r="K566" s="153"/>
      <c r="L566" s="153"/>
      <c r="M566" s="153"/>
      <c r="N566" s="153"/>
      <c r="O566" s="153"/>
      <c r="P566" s="153"/>
      <c r="Q566" s="153"/>
      <c r="R566" s="153"/>
      <c r="S566" s="153"/>
      <c r="T566" s="153"/>
      <c r="U566" s="153"/>
      <c r="V566" s="153"/>
      <c r="W566" s="153"/>
      <c r="X566" s="153"/>
      <c r="Y566" s="153"/>
      <c r="Z566" s="153"/>
      <c r="AA566" s="153"/>
      <c r="AB566" s="153"/>
      <c r="AC566" s="153"/>
      <c r="AD566" s="153"/>
      <c r="AE566" s="153"/>
      <c r="AF566" s="153"/>
      <c r="AG566" s="153"/>
      <c r="AH566" s="153"/>
      <c r="AI566" s="153"/>
      <c r="AJ566" s="153"/>
      <c r="AK566" s="153"/>
      <c r="AL566" s="153"/>
      <c r="AM566" s="153"/>
      <c r="AN566" s="153"/>
      <c r="AO566" s="153"/>
      <c r="AP566" s="153"/>
      <c r="AQ566" s="153"/>
      <c r="AR566" s="153"/>
    </row>
    <row r="567" spans="1:44">
      <c r="A567" s="741"/>
      <c r="B567" s="153"/>
      <c r="C567" s="153"/>
      <c r="D567" s="153"/>
      <c r="E567" s="153"/>
      <c r="F567" s="153"/>
      <c r="G567" s="153"/>
      <c r="H567" s="153"/>
      <c r="I567" s="153"/>
      <c r="J567" s="153"/>
      <c r="K567" s="153"/>
      <c r="L567" s="153"/>
      <c r="M567" s="153"/>
      <c r="N567" s="153"/>
      <c r="O567" s="153"/>
      <c r="P567" s="153"/>
      <c r="Q567" s="153"/>
      <c r="R567" s="153"/>
      <c r="S567" s="153"/>
      <c r="T567" s="153"/>
      <c r="U567" s="153"/>
      <c r="V567" s="153"/>
      <c r="W567" s="153"/>
      <c r="X567" s="153"/>
      <c r="Y567" s="153"/>
      <c r="Z567" s="153"/>
      <c r="AA567" s="153"/>
      <c r="AB567" s="153"/>
      <c r="AC567" s="153"/>
      <c r="AD567" s="153"/>
      <c r="AE567" s="153"/>
      <c r="AF567" s="153"/>
      <c r="AG567" s="153"/>
      <c r="AH567" s="153"/>
      <c r="AI567" s="153"/>
      <c r="AJ567" s="153"/>
      <c r="AK567" s="153"/>
      <c r="AL567" s="153"/>
      <c r="AM567" s="153"/>
      <c r="AN567" s="153"/>
      <c r="AO567" s="153"/>
      <c r="AP567" s="153"/>
      <c r="AQ567" s="153"/>
      <c r="AR567" s="153"/>
    </row>
    <row r="568" spans="1:44">
      <c r="A568" s="741"/>
      <c r="B568" s="153"/>
      <c r="C568" s="153"/>
      <c r="D568" s="153"/>
      <c r="E568" s="153"/>
      <c r="F568" s="153"/>
      <c r="G568" s="153"/>
      <c r="H568" s="153"/>
      <c r="I568" s="153"/>
      <c r="J568" s="153"/>
      <c r="K568" s="153"/>
      <c r="L568" s="153"/>
      <c r="M568" s="153"/>
      <c r="N568" s="153"/>
      <c r="O568" s="153"/>
      <c r="P568" s="153"/>
      <c r="Q568" s="153"/>
      <c r="R568" s="153"/>
      <c r="S568" s="153"/>
      <c r="T568" s="153"/>
      <c r="U568" s="153"/>
      <c r="V568" s="153"/>
      <c r="W568" s="153"/>
      <c r="X568" s="153"/>
      <c r="Y568" s="153"/>
      <c r="Z568" s="153"/>
      <c r="AA568" s="153"/>
      <c r="AB568" s="153"/>
      <c r="AC568" s="153"/>
      <c r="AD568" s="153"/>
      <c r="AE568" s="153"/>
      <c r="AF568" s="153"/>
      <c r="AG568" s="153"/>
      <c r="AH568" s="153"/>
      <c r="AI568" s="153"/>
      <c r="AJ568" s="153"/>
      <c r="AK568" s="153"/>
      <c r="AL568" s="153"/>
      <c r="AM568" s="153"/>
      <c r="AN568" s="153"/>
      <c r="AO568" s="153"/>
      <c r="AP568" s="153"/>
      <c r="AQ568" s="153"/>
      <c r="AR568" s="153"/>
    </row>
    <row r="569" spans="1:44">
      <c r="A569" s="741"/>
      <c r="B569" s="153"/>
      <c r="C569" s="153"/>
      <c r="D569" s="153"/>
      <c r="E569" s="153"/>
      <c r="F569" s="153"/>
      <c r="G569" s="153"/>
      <c r="H569" s="153"/>
      <c r="I569" s="153"/>
      <c r="J569" s="153"/>
      <c r="K569" s="153"/>
      <c r="L569" s="153"/>
      <c r="M569" s="153"/>
      <c r="N569" s="153"/>
      <c r="O569" s="153"/>
      <c r="P569" s="153"/>
      <c r="Q569" s="153"/>
      <c r="R569" s="153"/>
      <c r="S569" s="153"/>
      <c r="T569" s="153"/>
      <c r="U569" s="153"/>
      <c r="V569" s="153"/>
      <c r="W569" s="153"/>
      <c r="X569" s="153"/>
      <c r="Y569" s="153"/>
      <c r="Z569" s="153"/>
      <c r="AA569" s="153"/>
      <c r="AB569" s="153"/>
      <c r="AC569" s="153"/>
      <c r="AD569" s="153"/>
      <c r="AE569" s="153"/>
      <c r="AF569" s="153"/>
      <c r="AG569" s="153"/>
      <c r="AH569" s="153"/>
      <c r="AI569" s="153"/>
      <c r="AJ569" s="153"/>
      <c r="AK569" s="153"/>
      <c r="AL569" s="153"/>
      <c r="AM569" s="153"/>
      <c r="AN569" s="153"/>
      <c r="AO569" s="153"/>
      <c r="AP569" s="153"/>
      <c r="AQ569" s="153"/>
      <c r="AR569" s="153"/>
    </row>
    <row r="570" spans="1:44">
      <c r="A570" s="741"/>
      <c r="B570" s="153"/>
      <c r="C570" s="153"/>
      <c r="D570" s="153"/>
      <c r="E570" s="153"/>
      <c r="F570" s="153"/>
      <c r="G570" s="153"/>
      <c r="H570" s="153"/>
      <c r="I570" s="153"/>
      <c r="J570" s="153"/>
      <c r="K570" s="153"/>
      <c r="L570" s="153"/>
      <c r="M570" s="153"/>
      <c r="N570" s="153"/>
      <c r="O570" s="153"/>
      <c r="P570" s="153"/>
      <c r="Q570" s="153"/>
      <c r="R570" s="153"/>
      <c r="S570" s="153"/>
      <c r="T570" s="153"/>
      <c r="U570" s="153"/>
      <c r="V570" s="153"/>
      <c r="W570" s="153"/>
      <c r="X570" s="153"/>
      <c r="Y570" s="153"/>
      <c r="Z570" s="153"/>
      <c r="AA570" s="153"/>
      <c r="AB570" s="153"/>
      <c r="AC570" s="153"/>
      <c r="AD570" s="153"/>
      <c r="AE570" s="153"/>
      <c r="AF570" s="153"/>
      <c r="AG570" s="153"/>
      <c r="AH570" s="153"/>
      <c r="AI570" s="153"/>
      <c r="AJ570" s="153"/>
      <c r="AK570" s="153"/>
      <c r="AL570" s="153"/>
      <c r="AM570" s="153"/>
      <c r="AN570" s="153"/>
      <c r="AO570" s="153"/>
      <c r="AP570" s="153"/>
      <c r="AQ570" s="153"/>
      <c r="AR570" s="153"/>
    </row>
    <row r="571" spans="1:44">
      <c r="A571" s="741"/>
      <c r="B571" s="153"/>
      <c r="C571" s="153"/>
      <c r="D571" s="153"/>
      <c r="E571" s="153"/>
      <c r="F571" s="153"/>
      <c r="G571" s="153"/>
      <c r="H571" s="153"/>
      <c r="I571" s="153"/>
      <c r="J571" s="153"/>
      <c r="K571" s="153"/>
      <c r="L571" s="153"/>
      <c r="M571" s="153"/>
      <c r="N571" s="153"/>
      <c r="O571" s="153"/>
      <c r="P571" s="153"/>
      <c r="Q571" s="153"/>
      <c r="R571" s="153"/>
      <c r="S571" s="153"/>
      <c r="T571" s="153"/>
      <c r="U571" s="153"/>
      <c r="V571" s="153"/>
      <c r="W571" s="153"/>
      <c r="X571" s="153"/>
      <c r="Y571" s="153"/>
      <c r="Z571" s="153"/>
      <c r="AA571" s="153"/>
      <c r="AB571" s="153"/>
      <c r="AC571" s="153"/>
      <c r="AD571" s="153"/>
      <c r="AE571" s="153"/>
      <c r="AF571" s="153"/>
      <c r="AG571" s="153"/>
      <c r="AH571" s="153"/>
      <c r="AI571" s="153"/>
      <c r="AJ571" s="153"/>
      <c r="AK571" s="153"/>
      <c r="AL571" s="153"/>
      <c r="AM571" s="153"/>
      <c r="AN571" s="153"/>
      <c r="AO571" s="153"/>
      <c r="AP571" s="153"/>
      <c r="AQ571" s="153"/>
      <c r="AR571" s="153"/>
    </row>
    <row r="572" spans="1:44">
      <c r="A572" s="741"/>
      <c r="B572" s="166"/>
      <c r="C572" s="166"/>
      <c r="D572" s="166"/>
      <c r="E572" s="166"/>
      <c r="F572" s="166"/>
      <c r="G572" s="166"/>
      <c r="H572" s="166"/>
      <c r="I572" s="166"/>
      <c r="J572" s="166"/>
      <c r="K572" s="166"/>
      <c r="L572" s="166"/>
      <c r="M572" s="166"/>
      <c r="N572" s="166"/>
      <c r="O572" s="166"/>
      <c r="P572" s="166"/>
      <c r="Q572" s="166"/>
      <c r="R572" s="166"/>
      <c r="S572" s="166"/>
      <c r="T572" s="166"/>
      <c r="U572" s="166"/>
      <c r="V572" s="166"/>
      <c r="W572" s="166"/>
      <c r="X572" s="166"/>
      <c r="Y572" s="166"/>
      <c r="Z572" s="166"/>
      <c r="AA572" s="166"/>
      <c r="AB572" s="166"/>
      <c r="AC572" s="166"/>
      <c r="AD572" s="166"/>
      <c r="AE572" s="166"/>
      <c r="AF572" s="166"/>
      <c r="AG572" s="166"/>
      <c r="AH572" s="166"/>
      <c r="AI572" s="166"/>
      <c r="AJ572" s="166"/>
      <c r="AK572" s="166"/>
      <c r="AL572" s="166"/>
      <c r="AM572" s="166"/>
      <c r="AN572" s="166"/>
      <c r="AO572" s="166"/>
      <c r="AP572" s="166"/>
      <c r="AQ572" s="166"/>
      <c r="AR572" s="166"/>
    </row>
    <row r="573" spans="1:44">
      <c r="A573" s="741"/>
      <c r="B573" s="166"/>
      <c r="C573" s="166"/>
      <c r="D573" s="166"/>
      <c r="E573" s="166"/>
      <c r="F573" s="166"/>
      <c r="G573" s="166"/>
      <c r="H573" s="166"/>
      <c r="I573" s="166"/>
      <c r="J573" s="166"/>
      <c r="K573" s="166"/>
      <c r="L573" s="166"/>
      <c r="M573" s="166"/>
      <c r="N573" s="166"/>
      <c r="O573" s="166"/>
      <c r="P573" s="166"/>
      <c r="Q573" s="166"/>
      <c r="R573" s="166"/>
      <c r="S573" s="166"/>
      <c r="T573" s="166"/>
      <c r="U573" s="166"/>
      <c r="V573" s="166"/>
      <c r="W573" s="166"/>
      <c r="X573" s="166"/>
      <c r="Y573" s="166"/>
      <c r="Z573" s="166"/>
      <c r="AA573" s="166"/>
      <c r="AB573" s="166"/>
      <c r="AC573" s="166"/>
      <c r="AD573" s="166"/>
      <c r="AE573" s="166"/>
      <c r="AF573" s="166"/>
      <c r="AG573" s="166"/>
      <c r="AH573" s="166"/>
      <c r="AI573" s="166"/>
      <c r="AJ573" s="166"/>
      <c r="AK573" s="166"/>
      <c r="AL573" s="166"/>
      <c r="AM573" s="166"/>
      <c r="AN573" s="166"/>
      <c r="AO573" s="166"/>
      <c r="AP573" s="166"/>
      <c r="AQ573" s="166"/>
      <c r="AR573" s="166"/>
    </row>
    <row r="574" spans="1:44">
      <c r="A574" s="741"/>
      <c r="B574" s="166"/>
      <c r="C574" s="166"/>
      <c r="D574" s="166"/>
      <c r="E574" s="166"/>
      <c r="F574" s="166"/>
      <c r="G574" s="166"/>
      <c r="H574" s="166"/>
      <c r="I574" s="166"/>
      <c r="J574" s="166"/>
      <c r="K574" s="166"/>
      <c r="L574" s="166"/>
      <c r="M574" s="166"/>
      <c r="N574" s="166"/>
      <c r="O574" s="166"/>
      <c r="P574" s="166"/>
      <c r="Q574" s="166"/>
      <c r="R574" s="166"/>
      <c r="S574" s="166"/>
      <c r="T574" s="166"/>
      <c r="U574" s="166"/>
      <c r="V574" s="166"/>
      <c r="W574" s="166"/>
      <c r="X574" s="166"/>
      <c r="Y574" s="166"/>
      <c r="Z574" s="166"/>
      <c r="AA574" s="166"/>
      <c r="AB574" s="166"/>
      <c r="AC574" s="166"/>
      <c r="AD574" s="166"/>
      <c r="AE574" s="166"/>
      <c r="AF574" s="166"/>
      <c r="AG574" s="166"/>
      <c r="AH574" s="166"/>
      <c r="AI574" s="166"/>
      <c r="AJ574" s="166"/>
      <c r="AK574" s="166"/>
      <c r="AL574" s="166"/>
      <c r="AM574" s="166"/>
      <c r="AN574" s="166"/>
      <c r="AO574" s="166"/>
      <c r="AP574" s="166"/>
      <c r="AQ574" s="166"/>
      <c r="AR574" s="166"/>
    </row>
    <row r="575" spans="1:44">
      <c r="A575" s="741"/>
      <c r="B575" s="166"/>
      <c r="C575" s="166"/>
      <c r="D575" s="166"/>
      <c r="E575" s="166"/>
      <c r="F575" s="166"/>
      <c r="G575" s="166"/>
      <c r="H575" s="166"/>
      <c r="I575" s="166"/>
      <c r="J575" s="166"/>
      <c r="K575" s="166"/>
      <c r="L575" s="166"/>
      <c r="M575" s="166"/>
      <c r="N575" s="166"/>
      <c r="O575" s="166"/>
      <c r="P575" s="166"/>
      <c r="Q575" s="166"/>
      <c r="R575" s="166"/>
      <c r="S575" s="166"/>
      <c r="T575" s="166"/>
      <c r="U575" s="166"/>
      <c r="V575" s="166"/>
      <c r="W575" s="166"/>
      <c r="X575" s="166"/>
      <c r="Y575" s="166"/>
      <c r="Z575" s="166"/>
      <c r="AA575" s="166"/>
      <c r="AB575" s="166"/>
      <c r="AC575" s="166"/>
      <c r="AD575" s="166"/>
      <c r="AE575" s="166"/>
      <c r="AF575" s="166"/>
      <c r="AG575" s="166"/>
      <c r="AH575" s="166"/>
      <c r="AI575" s="166"/>
      <c r="AJ575" s="166"/>
      <c r="AK575" s="166"/>
      <c r="AL575" s="166"/>
      <c r="AM575" s="166"/>
      <c r="AN575" s="166"/>
      <c r="AO575" s="166"/>
      <c r="AP575" s="166"/>
      <c r="AQ575" s="166"/>
      <c r="AR575" s="166"/>
    </row>
    <row r="576" spans="1:44">
      <c r="A576" s="741"/>
      <c r="B576" s="166"/>
      <c r="C576" s="166"/>
      <c r="D576" s="166"/>
      <c r="E576" s="166"/>
      <c r="F576" s="166"/>
      <c r="G576" s="166"/>
      <c r="H576" s="166"/>
      <c r="I576" s="166"/>
      <c r="J576" s="166"/>
      <c r="K576" s="166"/>
      <c r="L576" s="166"/>
      <c r="M576" s="166"/>
      <c r="N576" s="166"/>
      <c r="O576" s="166"/>
      <c r="P576" s="166"/>
      <c r="Q576" s="166"/>
      <c r="R576" s="166"/>
      <c r="S576" s="166"/>
      <c r="T576" s="166"/>
      <c r="U576" s="166"/>
      <c r="V576" s="166"/>
      <c r="W576" s="166"/>
      <c r="X576" s="166"/>
      <c r="Y576" s="166"/>
      <c r="Z576" s="166"/>
      <c r="AA576" s="166"/>
      <c r="AB576" s="166"/>
      <c r="AC576" s="166"/>
      <c r="AD576" s="166"/>
      <c r="AE576" s="166"/>
      <c r="AF576" s="166"/>
      <c r="AG576" s="166"/>
      <c r="AH576" s="166"/>
      <c r="AI576" s="166"/>
      <c r="AJ576" s="166"/>
      <c r="AK576" s="166"/>
      <c r="AL576" s="166"/>
      <c r="AM576" s="166"/>
      <c r="AN576" s="166"/>
      <c r="AO576" s="166"/>
      <c r="AP576" s="166"/>
      <c r="AQ576" s="166"/>
      <c r="AR576" s="166"/>
    </row>
    <row r="577" spans="1:44">
      <c r="A577" s="741"/>
      <c r="B577" s="166"/>
      <c r="C577" s="166"/>
      <c r="D577" s="166"/>
      <c r="E577" s="166"/>
      <c r="F577" s="166"/>
      <c r="G577" s="166"/>
      <c r="H577" s="166"/>
      <c r="I577" s="166"/>
      <c r="J577" s="166"/>
      <c r="K577" s="166"/>
      <c r="L577" s="166"/>
      <c r="M577" s="166"/>
      <c r="N577" s="166"/>
      <c r="O577" s="166"/>
      <c r="P577" s="166"/>
      <c r="Q577" s="166"/>
      <c r="R577" s="166"/>
      <c r="S577" s="166"/>
      <c r="T577" s="166"/>
      <c r="U577" s="166"/>
      <c r="V577" s="166"/>
      <c r="W577" s="166"/>
      <c r="X577" s="166"/>
      <c r="Y577" s="166"/>
      <c r="Z577" s="166"/>
      <c r="AA577" s="166"/>
      <c r="AB577" s="166"/>
      <c r="AC577" s="166"/>
      <c r="AD577" s="166"/>
      <c r="AE577" s="166"/>
      <c r="AF577" s="166"/>
      <c r="AG577" s="166"/>
      <c r="AH577" s="166"/>
      <c r="AI577" s="166"/>
      <c r="AJ577" s="166"/>
      <c r="AK577" s="166"/>
      <c r="AL577" s="166"/>
      <c r="AM577" s="166"/>
      <c r="AN577" s="166"/>
      <c r="AO577" s="166"/>
      <c r="AP577" s="166"/>
      <c r="AQ577" s="166"/>
      <c r="AR577" s="166"/>
    </row>
    <row r="578" spans="1:44">
      <c r="A578" s="741"/>
      <c r="B578" s="166"/>
      <c r="C578" s="166"/>
      <c r="D578" s="166"/>
      <c r="E578" s="166"/>
      <c r="F578" s="166"/>
      <c r="G578" s="166"/>
      <c r="H578" s="166"/>
      <c r="I578" s="166"/>
      <c r="J578" s="166"/>
      <c r="K578" s="166"/>
      <c r="L578" s="166"/>
      <c r="M578" s="166"/>
      <c r="N578" s="166"/>
      <c r="O578" s="166"/>
      <c r="P578" s="166"/>
      <c r="Q578" s="166"/>
      <c r="R578" s="166"/>
      <c r="S578" s="166"/>
      <c r="T578" s="166"/>
      <c r="U578" s="166"/>
      <c r="V578" s="166"/>
      <c r="W578" s="166"/>
      <c r="X578" s="166"/>
      <c r="Y578" s="166"/>
      <c r="Z578" s="166"/>
      <c r="AA578" s="166"/>
      <c r="AB578" s="166"/>
      <c r="AC578" s="166"/>
      <c r="AD578" s="166"/>
      <c r="AE578" s="166"/>
      <c r="AF578" s="166"/>
      <c r="AG578" s="166"/>
      <c r="AH578" s="166"/>
      <c r="AI578" s="166"/>
      <c r="AJ578" s="166"/>
      <c r="AK578" s="166"/>
      <c r="AL578" s="166"/>
      <c r="AM578" s="166"/>
      <c r="AN578" s="166"/>
      <c r="AO578" s="166"/>
      <c r="AP578" s="166"/>
      <c r="AQ578" s="166"/>
      <c r="AR578" s="166"/>
    </row>
    <row r="579" spans="1:44">
      <c r="A579" s="741"/>
      <c r="B579" s="166"/>
      <c r="C579" s="166"/>
      <c r="D579" s="166"/>
      <c r="E579" s="166"/>
      <c r="F579" s="166"/>
      <c r="G579" s="166"/>
      <c r="H579" s="166"/>
      <c r="I579" s="166"/>
      <c r="J579" s="166"/>
      <c r="K579" s="166"/>
      <c r="L579" s="166"/>
      <c r="M579" s="166"/>
      <c r="N579" s="166"/>
      <c r="O579" s="166"/>
      <c r="P579" s="166"/>
      <c r="Q579" s="166"/>
      <c r="R579" s="166"/>
      <c r="S579" s="166"/>
      <c r="T579" s="166"/>
      <c r="U579" s="166"/>
      <c r="V579" s="166"/>
      <c r="W579" s="166"/>
      <c r="X579" s="166"/>
      <c r="Y579" s="166"/>
      <c r="Z579" s="166"/>
      <c r="AA579" s="166"/>
      <c r="AB579" s="166"/>
      <c r="AC579" s="166"/>
      <c r="AD579" s="166"/>
      <c r="AE579" s="166"/>
      <c r="AF579" s="166"/>
      <c r="AG579" s="166"/>
      <c r="AH579" s="166"/>
      <c r="AI579" s="166"/>
      <c r="AJ579" s="166"/>
      <c r="AK579" s="166"/>
      <c r="AL579" s="166"/>
      <c r="AM579" s="166"/>
      <c r="AN579" s="166"/>
      <c r="AO579" s="166"/>
      <c r="AP579" s="166"/>
      <c r="AQ579" s="166"/>
      <c r="AR579" s="166"/>
    </row>
    <row r="580" spans="1:44">
      <c r="A580" s="741"/>
      <c r="B580" s="166"/>
      <c r="C580" s="166"/>
      <c r="D580" s="166"/>
      <c r="E580" s="166"/>
      <c r="F580" s="166"/>
      <c r="G580" s="166"/>
      <c r="H580" s="166"/>
      <c r="I580" s="166"/>
      <c r="J580" s="166"/>
      <c r="K580" s="166"/>
      <c r="L580" s="166"/>
      <c r="M580" s="166"/>
      <c r="N580" s="166"/>
      <c r="O580" s="166"/>
      <c r="P580" s="166"/>
      <c r="Q580" s="166"/>
      <c r="R580" s="166"/>
      <c r="S580" s="166"/>
      <c r="T580" s="166"/>
      <c r="U580" s="166"/>
      <c r="V580" s="166"/>
      <c r="W580" s="166"/>
      <c r="X580" s="166"/>
      <c r="Y580" s="166"/>
      <c r="Z580" s="166"/>
      <c r="AA580" s="166"/>
      <c r="AB580" s="166"/>
      <c r="AC580" s="166"/>
      <c r="AD580" s="166"/>
      <c r="AE580" s="166"/>
      <c r="AF580" s="166"/>
      <c r="AG580" s="166"/>
      <c r="AH580" s="166"/>
      <c r="AI580" s="166"/>
      <c r="AJ580" s="166"/>
      <c r="AK580" s="166"/>
      <c r="AL580" s="166"/>
      <c r="AM580" s="166"/>
      <c r="AN580" s="166"/>
      <c r="AO580" s="166"/>
      <c r="AP580" s="166"/>
      <c r="AQ580" s="166"/>
      <c r="AR580" s="166"/>
    </row>
    <row r="581" spans="1:44">
      <c r="A581" s="741"/>
      <c r="B581" s="166"/>
      <c r="C581" s="166"/>
      <c r="D581" s="166"/>
      <c r="E581" s="166"/>
      <c r="F581" s="166"/>
      <c r="G581" s="166"/>
      <c r="H581" s="166"/>
      <c r="I581" s="166"/>
      <c r="J581" s="166"/>
      <c r="K581" s="166"/>
      <c r="L581" s="166"/>
      <c r="M581" s="166"/>
      <c r="N581" s="166"/>
      <c r="O581" s="166"/>
      <c r="P581" s="166"/>
      <c r="Q581" s="166"/>
      <c r="R581" s="166"/>
      <c r="S581" s="166"/>
      <c r="T581" s="166"/>
      <c r="U581" s="166"/>
      <c r="V581" s="166"/>
      <c r="W581" s="166"/>
      <c r="X581" s="166"/>
      <c r="Y581" s="166"/>
      <c r="Z581" s="166"/>
      <c r="AA581" s="166"/>
      <c r="AB581" s="166"/>
      <c r="AC581" s="166"/>
      <c r="AD581" s="166"/>
      <c r="AE581" s="166"/>
      <c r="AF581" s="166"/>
      <c r="AG581" s="166"/>
      <c r="AH581" s="166"/>
      <c r="AI581" s="166"/>
      <c r="AJ581" s="166"/>
      <c r="AK581" s="166"/>
      <c r="AL581" s="166"/>
      <c r="AM581" s="166"/>
      <c r="AN581" s="166"/>
      <c r="AO581" s="166"/>
      <c r="AP581" s="166"/>
      <c r="AQ581" s="166"/>
      <c r="AR581" s="166"/>
    </row>
    <row r="582" spans="1:44">
      <c r="A582" s="741"/>
      <c r="B582" s="166"/>
      <c r="C582" s="166"/>
      <c r="D582" s="166"/>
      <c r="E582" s="166"/>
      <c r="F582" s="166"/>
      <c r="G582" s="166"/>
      <c r="H582" s="166"/>
      <c r="I582" s="166"/>
      <c r="J582" s="166"/>
      <c r="K582" s="166"/>
      <c r="L582" s="166"/>
      <c r="M582" s="166"/>
      <c r="N582" s="166"/>
      <c r="O582" s="166"/>
      <c r="P582" s="166"/>
      <c r="Q582" s="166"/>
      <c r="R582" s="166"/>
      <c r="S582" s="166"/>
      <c r="T582" s="166"/>
      <c r="U582" s="166"/>
      <c r="V582" s="166"/>
      <c r="W582" s="166"/>
      <c r="X582" s="166"/>
      <c r="Y582" s="166"/>
      <c r="Z582" s="166"/>
      <c r="AA582" s="166"/>
      <c r="AB582" s="166"/>
      <c r="AC582" s="166"/>
      <c r="AD582" s="166"/>
      <c r="AE582" s="166"/>
      <c r="AF582" s="166"/>
      <c r="AG582" s="166"/>
      <c r="AH582" s="166"/>
      <c r="AI582" s="166"/>
      <c r="AJ582" s="166"/>
      <c r="AK582" s="166"/>
      <c r="AL582" s="166"/>
      <c r="AM582" s="166"/>
      <c r="AN582" s="166"/>
      <c r="AO582" s="166"/>
      <c r="AP582" s="166"/>
      <c r="AQ582" s="166"/>
      <c r="AR582" s="166"/>
    </row>
    <row r="583" spans="1:44">
      <c r="A583" s="741"/>
      <c r="B583" s="166"/>
      <c r="C583" s="166"/>
      <c r="D583" s="166"/>
      <c r="E583" s="166"/>
      <c r="F583" s="166"/>
      <c r="G583" s="166"/>
      <c r="H583" s="166"/>
      <c r="I583" s="166"/>
      <c r="J583" s="166"/>
      <c r="K583" s="166"/>
      <c r="L583" s="166"/>
      <c r="M583" s="166"/>
      <c r="N583" s="166"/>
      <c r="O583" s="166"/>
      <c r="P583" s="166"/>
      <c r="Q583" s="166"/>
      <c r="R583" s="166"/>
      <c r="S583" s="166"/>
      <c r="T583" s="166"/>
      <c r="U583" s="166"/>
      <c r="V583" s="166"/>
      <c r="W583" s="166"/>
      <c r="X583" s="166"/>
      <c r="Y583" s="166"/>
      <c r="Z583" s="166"/>
      <c r="AA583" s="166"/>
      <c r="AB583" s="166"/>
      <c r="AC583" s="166"/>
      <c r="AD583" s="166"/>
      <c r="AE583" s="166"/>
      <c r="AF583" s="166"/>
      <c r="AG583" s="166"/>
      <c r="AH583" s="166"/>
      <c r="AI583" s="166"/>
      <c r="AJ583" s="166"/>
      <c r="AK583" s="166"/>
      <c r="AL583" s="166"/>
      <c r="AM583" s="166"/>
      <c r="AN583" s="166"/>
      <c r="AO583" s="166"/>
      <c r="AP583" s="166"/>
      <c r="AQ583" s="166"/>
      <c r="AR583" s="166"/>
    </row>
    <row r="584" spans="1:44">
      <c r="A584" s="741"/>
      <c r="B584" s="166"/>
      <c r="C584" s="166"/>
      <c r="D584" s="166"/>
      <c r="E584" s="166"/>
      <c r="F584" s="166"/>
      <c r="G584" s="166"/>
      <c r="H584" s="166"/>
      <c r="I584" s="166"/>
      <c r="J584" s="166"/>
      <c r="K584" s="166"/>
      <c r="L584" s="166"/>
      <c r="M584" s="166"/>
      <c r="N584" s="166"/>
      <c r="O584" s="166"/>
      <c r="P584" s="166"/>
      <c r="Q584" s="166"/>
      <c r="R584" s="166"/>
      <c r="S584" s="166"/>
      <c r="T584" s="166"/>
      <c r="U584" s="166"/>
      <c r="V584" s="166"/>
      <c r="W584" s="166"/>
      <c r="X584" s="166"/>
      <c r="Y584" s="166"/>
      <c r="Z584" s="166"/>
      <c r="AA584" s="166"/>
      <c r="AB584" s="166"/>
      <c r="AC584" s="166"/>
      <c r="AD584" s="166"/>
      <c r="AE584" s="166"/>
      <c r="AF584" s="166"/>
      <c r="AG584" s="166"/>
      <c r="AH584" s="166"/>
      <c r="AI584" s="166"/>
      <c r="AJ584" s="166"/>
      <c r="AK584" s="166"/>
      <c r="AL584" s="166"/>
      <c r="AM584" s="166"/>
      <c r="AN584" s="166"/>
      <c r="AO584" s="166"/>
      <c r="AP584" s="166"/>
      <c r="AQ584" s="166"/>
      <c r="AR584" s="166"/>
    </row>
    <row r="585" spans="1:44">
      <c r="A585" s="741"/>
      <c r="B585" s="166"/>
      <c r="C585" s="166"/>
      <c r="D585" s="166"/>
      <c r="E585" s="166"/>
      <c r="F585" s="166"/>
      <c r="G585" s="166"/>
      <c r="H585" s="166"/>
      <c r="I585" s="166"/>
      <c r="J585" s="166"/>
      <c r="K585" s="166"/>
      <c r="L585" s="166"/>
      <c r="M585" s="166"/>
      <c r="N585" s="166"/>
      <c r="O585" s="166"/>
      <c r="P585" s="166"/>
      <c r="Q585" s="166"/>
      <c r="R585" s="166"/>
      <c r="S585" s="166"/>
      <c r="T585" s="166"/>
      <c r="U585" s="166"/>
      <c r="V585" s="166"/>
      <c r="W585" s="166"/>
      <c r="X585" s="166"/>
      <c r="Y585" s="166"/>
      <c r="Z585" s="166"/>
      <c r="AA585" s="166"/>
      <c r="AB585" s="166"/>
      <c r="AC585" s="166"/>
      <c r="AD585" s="166"/>
      <c r="AE585" s="166"/>
      <c r="AF585" s="166"/>
      <c r="AG585" s="166"/>
      <c r="AH585" s="166"/>
      <c r="AI585" s="166"/>
      <c r="AJ585" s="166"/>
      <c r="AK585" s="166"/>
      <c r="AL585" s="166"/>
      <c r="AM585" s="166"/>
      <c r="AN585" s="166"/>
      <c r="AO585" s="166"/>
      <c r="AP585" s="166"/>
      <c r="AQ585" s="166"/>
      <c r="AR585" s="166"/>
    </row>
    <row r="586" spans="1:44">
      <c r="A586" s="741"/>
      <c r="B586" s="166"/>
      <c r="C586" s="166"/>
      <c r="D586" s="166"/>
      <c r="E586" s="166"/>
      <c r="F586" s="166"/>
      <c r="G586" s="166"/>
      <c r="H586" s="166"/>
      <c r="I586" s="166"/>
      <c r="J586" s="166"/>
      <c r="K586" s="166"/>
      <c r="L586" s="166"/>
      <c r="M586" s="166"/>
      <c r="N586" s="166"/>
      <c r="O586" s="166"/>
      <c r="P586" s="166"/>
      <c r="Q586" s="166"/>
      <c r="R586" s="166"/>
      <c r="S586" s="166"/>
      <c r="T586" s="166"/>
      <c r="U586" s="166"/>
      <c r="V586" s="166"/>
      <c r="W586" s="166"/>
      <c r="X586" s="166"/>
      <c r="Y586" s="166"/>
      <c r="Z586" s="166"/>
      <c r="AA586" s="166"/>
      <c r="AB586" s="166"/>
      <c r="AC586" s="166"/>
      <c r="AD586" s="166"/>
      <c r="AE586" s="166"/>
      <c r="AF586" s="166"/>
      <c r="AG586" s="166"/>
      <c r="AH586" s="166"/>
      <c r="AI586" s="166"/>
      <c r="AJ586" s="166"/>
      <c r="AK586" s="166"/>
      <c r="AL586" s="166"/>
      <c r="AM586" s="166"/>
      <c r="AN586" s="166"/>
      <c r="AO586" s="166"/>
      <c r="AP586" s="166"/>
      <c r="AQ586" s="166"/>
      <c r="AR586" s="166"/>
    </row>
    <row r="587" spans="1:44">
      <c r="A587" s="741"/>
      <c r="B587" s="166"/>
      <c r="C587" s="166"/>
      <c r="D587" s="166"/>
      <c r="E587" s="166"/>
      <c r="F587" s="166"/>
      <c r="G587" s="166"/>
      <c r="H587" s="166"/>
      <c r="I587" s="166"/>
      <c r="J587" s="166"/>
      <c r="K587" s="166"/>
      <c r="L587" s="166"/>
      <c r="M587" s="166"/>
      <c r="N587" s="166"/>
      <c r="O587" s="166"/>
      <c r="P587" s="166"/>
      <c r="Q587" s="166"/>
      <c r="R587" s="166"/>
      <c r="S587" s="166"/>
      <c r="T587" s="166"/>
      <c r="U587" s="166"/>
      <c r="V587" s="166"/>
      <c r="W587" s="166"/>
      <c r="X587" s="166"/>
      <c r="Y587" s="166"/>
      <c r="Z587" s="166"/>
      <c r="AA587" s="166"/>
      <c r="AB587" s="166"/>
      <c r="AC587" s="166"/>
      <c r="AD587" s="166"/>
      <c r="AE587" s="166"/>
      <c r="AF587" s="166"/>
      <c r="AG587" s="166"/>
      <c r="AH587" s="166"/>
      <c r="AI587" s="166"/>
      <c r="AJ587" s="166"/>
      <c r="AK587" s="166"/>
      <c r="AL587" s="166"/>
      <c r="AM587" s="166"/>
      <c r="AN587" s="166"/>
      <c r="AO587" s="166"/>
      <c r="AP587" s="166"/>
      <c r="AQ587" s="166"/>
      <c r="AR587" s="166"/>
    </row>
    <row r="588" spans="1:44">
      <c r="A588" s="741"/>
      <c r="B588" s="166"/>
      <c r="C588" s="166"/>
      <c r="D588" s="166"/>
      <c r="E588" s="166"/>
      <c r="F588" s="166"/>
      <c r="G588" s="166"/>
      <c r="H588" s="166"/>
      <c r="I588" s="166"/>
      <c r="J588" s="166"/>
      <c r="K588" s="166"/>
      <c r="L588" s="166"/>
      <c r="M588" s="166"/>
      <c r="N588" s="166"/>
      <c r="O588" s="166"/>
      <c r="P588" s="166"/>
      <c r="Q588" s="166"/>
      <c r="R588" s="166"/>
      <c r="S588" s="166"/>
      <c r="T588" s="166"/>
      <c r="U588" s="166"/>
      <c r="V588" s="166"/>
      <c r="W588" s="166"/>
      <c r="X588" s="166"/>
      <c r="Y588" s="166"/>
      <c r="Z588" s="166"/>
      <c r="AA588" s="166"/>
      <c r="AB588" s="166"/>
      <c r="AC588" s="166"/>
      <c r="AD588" s="166"/>
      <c r="AE588" s="166"/>
      <c r="AF588" s="166"/>
      <c r="AG588" s="166"/>
      <c r="AH588" s="166"/>
      <c r="AI588" s="166"/>
      <c r="AJ588" s="166"/>
      <c r="AK588" s="166"/>
      <c r="AL588" s="166"/>
      <c r="AM588" s="166"/>
      <c r="AN588" s="166"/>
      <c r="AO588" s="166"/>
      <c r="AP588" s="166"/>
      <c r="AQ588" s="166"/>
      <c r="AR588" s="166"/>
    </row>
    <row r="589" spans="1:44">
      <c r="A589" s="741"/>
      <c r="B589" s="166"/>
      <c r="C589" s="166"/>
      <c r="D589" s="166"/>
      <c r="E589" s="166"/>
      <c r="F589" s="166"/>
      <c r="G589" s="166"/>
      <c r="H589" s="166"/>
      <c r="I589" s="166"/>
      <c r="J589" s="166"/>
      <c r="K589" s="166"/>
      <c r="L589" s="166"/>
      <c r="M589" s="166"/>
      <c r="N589" s="166"/>
      <c r="O589" s="166"/>
      <c r="P589" s="166"/>
      <c r="Q589" s="166"/>
      <c r="R589" s="166"/>
      <c r="S589" s="166"/>
      <c r="T589" s="166"/>
      <c r="U589" s="166"/>
      <c r="V589" s="166"/>
      <c r="W589" s="166"/>
      <c r="X589" s="166"/>
      <c r="Y589" s="166"/>
      <c r="Z589" s="166"/>
      <c r="AA589" s="166"/>
      <c r="AB589" s="166"/>
      <c r="AC589" s="166"/>
      <c r="AD589" s="166"/>
      <c r="AE589" s="166"/>
      <c r="AF589" s="166"/>
      <c r="AG589" s="166"/>
      <c r="AH589" s="166"/>
      <c r="AI589" s="166"/>
      <c r="AJ589" s="166"/>
      <c r="AK589" s="166"/>
      <c r="AL589" s="166"/>
      <c r="AM589" s="166"/>
      <c r="AN589" s="166"/>
      <c r="AO589" s="166"/>
      <c r="AP589" s="166"/>
      <c r="AQ589" s="166"/>
      <c r="AR589" s="166"/>
    </row>
    <row r="590" spans="1:44">
      <c r="A590" s="741"/>
      <c r="B590" s="166"/>
      <c r="C590" s="166"/>
      <c r="D590" s="166"/>
      <c r="E590" s="166"/>
      <c r="F590" s="166"/>
      <c r="G590" s="166"/>
      <c r="H590" s="166"/>
      <c r="I590" s="166"/>
      <c r="J590" s="166"/>
      <c r="K590" s="166"/>
      <c r="L590" s="166"/>
      <c r="M590" s="166"/>
      <c r="N590" s="166"/>
      <c r="O590" s="166"/>
      <c r="P590" s="166"/>
      <c r="Q590" s="166"/>
      <c r="R590" s="166"/>
      <c r="S590" s="166"/>
      <c r="T590" s="166"/>
      <c r="U590" s="166"/>
      <c r="V590" s="166"/>
      <c r="W590" s="166"/>
      <c r="X590" s="166"/>
      <c r="Y590" s="166"/>
      <c r="Z590" s="166"/>
      <c r="AA590" s="166"/>
      <c r="AB590" s="166"/>
      <c r="AC590" s="166"/>
      <c r="AD590" s="166"/>
      <c r="AE590" s="166"/>
      <c r="AF590" s="166"/>
      <c r="AG590" s="166"/>
      <c r="AH590" s="166"/>
      <c r="AI590" s="166"/>
      <c r="AJ590" s="166"/>
      <c r="AK590" s="166"/>
      <c r="AL590" s="166"/>
      <c r="AM590" s="166"/>
      <c r="AN590" s="166"/>
      <c r="AO590" s="166"/>
      <c r="AP590" s="166"/>
      <c r="AQ590" s="166"/>
      <c r="AR590" s="166"/>
    </row>
    <row r="591" spans="1:44">
      <c r="A591" s="741"/>
      <c r="B591" s="166"/>
      <c r="C591" s="166"/>
      <c r="D591" s="166"/>
      <c r="E591" s="166"/>
      <c r="F591" s="166"/>
      <c r="G591" s="166"/>
      <c r="H591" s="166"/>
      <c r="I591" s="166"/>
      <c r="J591" s="166"/>
      <c r="K591" s="166"/>
      <c r="L591" s="166"/>
      <c r="M591" s="166"/>
      <c r="N591" s="166"/>
      <c r="O591" s="166"/>
      <c r="P591" s="166"/>
      <c r="Q591" s="166"/>
      <c r="R591" s="166"/>
      <c r="S591" s="166"/>
      <c r="T591" s="166"/>
      <c r="U591" s="166"/>
      <c r="V591" s="166"/>
      <c r="W591" s="166"/>
      <c r="X591" s="166"/>
      <c r="Y591" s="166"/>
      <c r="Z591" s="166"/>
      <c r="AA591" s="166"/>
      <c r="AB591" s="166"/>
      <c r="AC591" s="166"/>
      <c r="AD591" s="166"/>
      <c r="AE591" s="166"/>
      <c r="AF591" s="166"/>
      <c r="AG591" s="166"/>
      <c r="AH591" s="166"/>
      <c r="AI591" s="166"/>
      <c r="AJ591" s="166"/>
      <c r="AK591" s="166"/>
      <c r="AL591" s="166"/>
      <c r="AM591" s="166"/>
      <c r="AN591" s="166"/>
      <c r="AO591" s="166"/>
      <c r="AP591" s="166"/>
      <c r="AQ591" s="166"/>
      <c r="AR591" s="166"/>
    </row>
    <row r="592" spans="1:44">
      <c r="A592" s="741"/>
      <c r="B592" s="166"/>
      <c r="C592" s="166"/>
      <c r="D592" s="166"/>
      <c r="E592" s="166"/>
      <c r="F592" s="166"/>
      <c r="G592" s="166"/>
      <c r="H592" s="166"/>
      <c r="I592" s="166"/>
      <c r="J592" s="166"/>
      <c r="K592" s="166"/>
      <c r="L592" s="166"/>
      <c r="M592" s="166"/>
      <c r="N592" s="166"/>
      <c r="O592" s="166"/>
      <c r="P592" s="166"/>
      <c r="Q592" s="166"/>
      <c r="R592" s="166"/>
      <c r="S592" s="166"/>
      <c r="T592" s="166"/>
      <c r="U592" s="166"/>
      <c r="V592" s="166"/>
      <c r="W592" s="166"/>
      <c r="X592" s="166"/>
      <c r="Y592" s="166"/>
      <c r="Z592" s="166"/>
      <c r="AA592" s="166"/>
      <c r="AB592" s="166"/>
      <c r="AC592" s="166"/>
      <c r="AD592" s="166"/>
      <c r="AE592" s="166"/>
      <c r="AF592" s="166"/>
      <c r="AG592" s="166"/>
      <c r="AH592" s="166"/>
      <c r="AI592" s="166"/>
      <c r="AJ592" s="166"/>
      <c r="AK592" s="166"/>
      <c r="AL592" s="166"/>
      <c r="AM592" s="166"/>
      <c r="AN592" s="166"/>
      <c r="AO592" s="166"/>
      <c r="AP592" s="166"/>
      <c r="AQ592" s="166"/>
      <c r="AR592" s="166"/>
    </row>
    <row r="593" spans="1:44">
      <c r="A593" s="741"/>
      <c r="B593" s="166"/>
      <c r="C593" s="166"/>
      <c r="D593" s="166"/>
      <c r="E593" s="166"/>
      <c r="F593" s="166"/>
      <c r="G593" s="166"/>
      <c r="H593" s="166"/>
      <c r="I593" s="166"/>
      <c r="J593" s="166"/>
      <c r="K593" s="166"/>
      <c r="L593" s="166"/>
      <c r="M593" s="166"/>
      <c r="N593" s="166"/>
      <c r="O593" s="166"/>
      <c r="P593" s="166"/>
      <c r="Q593" s="166"/>
      <c r="R593" s="166"/>
      <c r="S593" s="166"/>
      <c r="T593" s="166"/>
      <c r="U593" s="166"/>
      <c r="V593" s="166"/>
      <c r="W593" s="166"/>
      <c r="X593" s="166"/>
      <c r="Y593" s="166"/>
      <c r="Z593" s="166"/>
      <c r="AA593" s="166"/>
      <c r="AB593" s="166"/>
      <c r="AC593" s="166"/>
      <c r="AD593" s="166"/>
      <c r="AE593" s="166"/>
      <c r="AF593" s="166"/>
      <c r="AG593" s="166"/>
      <c r="AH593" s="166"/>
      <c r="AI593" s="166"/>
      <c r="AJ593" s="166"/>
      <c r="AK593" s="166"/>
      <c r="AL593" s="166"/>
      <c r="AM593" s="166"/>
      <c r="AN593" s="166"/>
      <c r="AO593" s="166"/>
      <c r="AP593" s="166"/>
      <c r="AQ593" s="166"/>
      <c r="AR593" s="166"/>
    </row>
    <row r="594" spans="1:44">
      <c r="A594" s="741"/>
      <c r="B594" s="166"/>
      <c r="C594" s="166"/>
      <c r="D594" s="166"/>
      <c r="E594" s="166"/>
      <c r="F594" s="166"/>
      <c r="G594" s="166"/>
      <c r="H594" s="166"/>
      <c r="I594" s="166"/>
      <c r="J594" s="166"/>
      <c r="K594" s="166"/>
      <c r="L594" s="166"/>
      <c r="M594" s="166"/>
      <c r="N594" s="166"/>
      <c r="O594" s="166"/>
      <c r="P594" s="166"/>
      <c r="Q594" s="166"/>
      <c r="R594" s="166"/>
      <c r="S594" s="166"/>
      <c r="T594" s="166"/>
      <c r="U594" s="166"/>
      <c r="V594" s="166"/>
      <c r="W594" s="166"/>
      <c r="X594" s="166"/>
      <c r="Y594" s="166"/>
      <c r="Z594" s="166"/>
      <c r="AA594" s="166"/>
      <c r="AB594" s="166"/>
      <c r="AC594" s="166"/>
      <c r="AD594" s="166"/>
      <c r="AE594" s="166"/>
      <c r="AF594" s="166"/>
      <c r="AG594" s="166"/>
      <c r="AH594" s="166"/>
      <c r="AI594" s="166"/>
      <c r="AJ594" s="166"/>
      <c r="AK594" s="166"/>
      <c r="AL594" s="166"/>
      <c r="AM594" s="166"/>
      <c r="AN594" s="166"/>
      <c r="AO594" s="166"/>
      <c r="AP594" s="166"/>
      <c r="AQ594" s="166"/>
      <c r="AR594" s="166"/>
    </row>
    <row r="595" spans="1:44">
      <c r="A595" s="741"/>
      <c r="B595" s="166"/>
      <c r="C595" s="166"/>
      <c r="D595" s="166"/>
      <c r="E595" s="166"/>
      <c r="F595" s="166"/>
      <c r="G595" s="166"/>
      <c r="H595" s="166"/>
      <c r="I595" s="166"/>
      <c r="J595" s="166"/>
      <c r="K595" s="166"/>
      <c r="L595" s="166"/>
      <c r="M595" s="166"/>
      <c r="N595" s="166"/>
      <c r="O595" s="166"/>
      <c r="P595" s="166"/>
      <c r="Q595" s="166"/>
      <c r="R595" s="166"/>
      <c r="S595" s="166"/>
      <c r="T595" s="166"/>
      <c r="U595" s="166"/>
      <c r="V595" s="166"/>
      <c r="W595" s="166"/>
      <c r="X595" s="166"/>
      <c r="Y595" s="166"/>
      <c r="Z595" s="166"/>
      <c r="AA595" s="166"/>
      <c r="AB595" s="166"/>
      <c r="AC595" s="166"/>
      <c r="AD595" s="166"/>
      <c r="AE595" s="166"/>
      <c r="AF595" s="166"/>
      <c r="AG595" s="166"/>
      <c r="AH595" s="166"/>
      <c r="AI595" s="166"/>
      <c r="AJ595" s="166"/>
      <c r="AK595" s="166"/>
      <c r="AL595" s="166"/>
      <c r="AM595" s="166"/>
      <c r="AN595" s="166"/>
      <c r="AO595" s="166"/>
      <c r="AP595" s="166"/>
      <c r="AQ595" s="166"/>
      <c r="AR595" s="166"/>
    </row>
    <row r="596" spans="1:44">
      <c r="A596" s="741"/>
      <c r="B596" s="166"/>
      <c r="C596" s="166"/>
      <c r="D596" s="166"/>
      <c r="E596" s="166"/>
      <c r="F596" s="166"/>
      <c r="G596" s="166"/>
      <c r="H596" s="166"/>
      <c r="I596" s="166"/>
      <c r="J596" s="166"/>
      <c r="K596" s="166"/>
      <c r="L596" s="166"/>
      <c r="M596" s="166"/>
      <c r="N596" s="166"/>
      <c r="O596" s="166"/>
      <c r="P596" s="166"/>
      <c r="Q596" s="166"/>
      <c r="R596" s="166"/>
      <c r="S596" s="166"/>
      <c r="T596" s="166"/>
      <c r="U596" s="166"/>
      <c r="V596" s="166"/>
      <c r="W596" s="166"/>
      <c r="X596" s="166"/>
      <c r="Y596" s="166"/>
      <c r="Z596" s="166"/>
      <c r="AA596" s="166"/>
      <c r="AB596" s="166"/>
      <c r="AC596" s="166"/>
      <c r="AD596" s="166"/>
      <c r="AE596" s="166"/>
      <c r="AF596" s="166"/>
      <c r="AG596" s="166"/>
      <c r="AH596" s="166"/>
      <c r="AI596" s="166"/>
      <c r="AJ596" s="166"/>
      <c r="AK596" s="166"/>
      <c r="AL596" s="166"/>
      <c r="AM596" s="166"/>
      <c r="AN596" s="166"/>
      <c r="AO596" s="166"/>
      <c r="AP596" s="166"/>
      <c r="AQ596" s="166"/>
      <c r="AR596" s="166"/>
    </row>
    <row r="597" spans="1:44">
      <c r="A597" s="741"/>
      <c r="B597" s="166"/>
      <c r="C597" s="166"/>
      <c r="D597" s="166"/>
      <c r="E597" s="166"/>
      <c r="F597" s="166"/>
      <c r="G597" s="166"/>
      <c r="H597" s="166"/>
      <c r="I597" s="166"/>
      <c r="J597" s="166"/>
      <c r="K597" s="166"/>
      <c r="L597" s="166"/>
      <c r="M597" s="166"/>
      <c r="N597" s="166"/>
      <c r="O597" s="166"/>
      <c r="P597" s="166"/>
      <c r="Q597" s="166"/>
      <c r="R597" s="166"/>
      <c r="S597" s="166"/>
      <c r="T597" s="166"/>
      <c r="U597" s="166"/>
      <c r="V597" s="166"/>
      <c r="W597" s="166"/>
      <c r="X597" s="166"/>
      <c r="Y597" s="166"/>
      <c r="Z597" s="166"/>
      <c r="AA597" s="166"/>
      <c r="AB597" s="166"/>
      <c r="AC597" s="166"/>
      <c r="AD597" s="166"/>
      <c r="AE597" s="166"/>
      <c r="AF597" s="166"/>
      <c r="AG597" s="166"/>
      <c r="AH597" s="166"/>
      <c r="AI597" s="166"/>
      <c r="AJ597" s="166"/>
      <c r="AK597" s="166"/>
      <c r="AL597" s="166"/>
      <c r="AM597" s="166"/>
      <c r="AN597" s="166"/>
      <c r="AO597" s="166"/>
      <c r="AP597" s="166"/>
      <c r="AQ597" s="166"/>
      <c r="AR597" s="166"/>
    </row>
    <row r="598" spans="1:44">
      <c r="A598" s="741"/>
      <c r="B598" s="166"/>
      <c r="C598" s="166"/>
      <c r="D598" s="166"/>
      <c r="E598" s="166"/>
      <c r="F598" s="166"/>
      <c r="G598" s="166"/>
      <c r="H598" s="166"/>
      <c r="I598" s="166"/>
      <c r="J598" s="166"/>
      <c r="K598" s="166"/>
      <c r="L598" s="166"/>
      <c r="M598" s="166"/>
      <c r="N598" s="166"/>
      <c r="O598" s="166"/>
      <c r="P598" s="166"/>
      <c r="Q598" s="166"/>
      <c r="R598" s="166"/>
      <c r="S598" s="166"/>
      <c r="T598" s="166"/>
      <c r="U598" s="166"/>
      <c r="V598" s="166"/>
      <c r="W598" s="166"/>
      <c r="X598" s="166"/>
      <c r="Y598" s="166"/>
      <c r="Z598" s="166"/>
      <c r="AA598" s="166"/>
      <c r="AB598" s="166"/>
      <c r="AC598" s="166"/>
      <c r="AD598" s="166"/>
      <c r="AE598" s="166"/>
      <c r="AF598" s="166"/>
      <c r="AG598" s="166"/>
      <c r="AH598" s="166"/>
      <c r="AI598" s="166"/>
      <c r="AJ598" s="166"/>
      <c r="AK598" s="166"/>
      <c r="AL598" s="166"/>
      <c r="AM598" s="166"/>
      <c r="AN598" s="166"/>
      <c r="AO598" s="166"/>
      <c r="AP598" s="166"/>
      <c r="AQ598" s="166"/>
      <c r="AR598" s="166"/>
    </row>
    <row r="599" spans="1:44">
      <c r="A599" s="741"/>
      <c r="B599" s="166"/>
      <c r="C599" s="166"/>
      <c r="D599" s="166"/>
      <c r="E599" s="166"/>
      <c r="F599" s="166"/>
      <c r="G599" s="166"/>
      <c r="H599" s="166"/>
      <c r="I599" s="166"/>
      <c r="J599" s="166"/>
      <c r="K599" s="166"/>
      <c r="L599" s="166"/>
      <c r="M599" s="166"/>
      <c r="N599" s="166"/>
      <c r="O599" s="166"/>
      <c r="P599" s="166"/>
      <c r="Q599" s="166"/>
      <c r="R599" s="166"/>
      <c r="S599" s="166"/>
      <c r="T599" s="166"/>
      <c r="U599" s="166"/>
      <c r="V599" s="166"/>
      <c r="W599" s="166"/>
      <c r="X599" s="166"/>
      <c r="Y599" s="166"/>
      <c r="Z599" s="166"/>
      <c r="AA599" s="166"/>
      <c r="AB599" s="166"/>
      <c r="AC599" s="166"/>
      <c r="AD599" s="166"/>
      <c r="AE599" s="166"/>
      <c r="AF599" s="166"/>
      <c r="AG599" s="166"/>
      <c r="AH599" s="166"/>
      <c r="AI599" s="166"/>
      <c r="AJ599" s="166"/>
      <c r="AK599" s="166"/>
      <c r="AL599" s="166"/>
      <c r="AM599" s="166"/>
      <c r="AN599" s="166"/>
      <c r="AO599" s="166"/>
      <c r="AP599" s="166"/>
      <c r="AQ599" s="166"/>
      <c r="AR599" s="166"/>
    </row>
    <row r="600" spans="1:44">
      <c r="A600" s="741"/>
      <c r="B600" s="166"/>
      <c r="C600" s="166"/>
      <c r="D600" s="166"/>
      <c r="E600" s="166"/>
      <c r="F600" s="166"/>
      <c r="G600" s="166"/>
      <c r="H600" s="166"/>
      <c r="I600" s="166"/>
      <c r="J600" s="166"/>
      <c r="K600" s="166"/>
      <c r="L600" s="166"/>
      <c r="M600" s="166"/>
      <c r="N600" s="166"/>
      <c r="O600" s="166"/>
      <c r="P600" s="166"/>
      <c r="Q600" s="166"/>
      <c r="R600" s="166"/>
      <c r="S600" s="166"/>
      <c r="T600" s="166"/>
      <c r="U600" s="166"/>
      <c r="V600" s="166"/>
      <c r="W600" s="166"/>
      <c r="X600" s="166"/>
      <c r="Y600" s="166"/>
      <c r="Z600" s="166"/>
      <c r="AA600" s="166"/>
      <c r="AB600" s="166"/>
      <c r="AC600" s="166"/>
      <c r="AD600" s="166"/>
      <c r="AE600" s="166"/>
      <c r="AF600" s="166"/>
      <c r="AG600" s="166"/>
      <c r="AH600" s="166"/>
      <c r="AI600" s="166"/>
      <c r="AJ600" s="166"/>
      <c r="AK600" s="166"/>
      <c r="AL600" s="166"/>
      <c r="AM600" s="166"/>
      <c r="AN600" s="166"/>
      <c r="AO600" s="166"/>
      <c r="AP600" s="166"/>
      <c r="AQ600" s="166"/>
      <c r="AR600" s="166"/>
    </row>
    <row r="601" spans="1:44">
      <c r="A601" s="741"/>
      <c r="B601" s="166"/>
      <c r="C601" s="166"/>
      <c r="D601" s="166"/>
      <c r="E601" s="166"/>
      <c r="F601" s="166"/>
      <c r="G601" s="166"/>
      <c r="H601" s="166"/>
      <c r="I601" s="166"/>
      <c r="J601" s="166"/>
      <c r="K601" s="166"/>
      <c r="L601" s="166"/>
      <c r="M601" s="166"/>
      <c r="N601" s="166"/>
      <c r="O601" s="166"/>
      <c r="P601" s="166"/>
      <c r="Q601" s="166"/>
      <c r="R601" s="166"/>
      <c r="S601" s="166"/>
      <c r="T601" s="166"/>
      <c r="U601" s="166"/>
      <c r="V601" s="166"/>
      <c r="W601" s="166"/>
      <c r="X601" s="166"/>
      <c r="Y601" s="166"/>
      <c r="Z601" s="166"/>
      <c r="AA601" s="166"/>
      <c r="AB601" s="166"/>
      <c r="AC601" s="166"/>
      <c r="AD601" s="166"/>
      <c r="AE601" s="166"/>
      <c r="AF601" s="166"/>
      <c r="AG601" s="166"/>
      <c r="AH601" s="166"/>
      <c r="AI601" s="166"/>
      <c r="AJ601" s="166"/>
      <c r="AK601" s="166"/>
      <c r="AL601" s="166"/>
      <c r="AM601" s="166"/>
      <c r="AN601" s="166"/>
      <c r="AO601" s="166"/>
      <c r="AP601" s="166"/>
      <c r="AQ601" s="166"/>
      <c r="AR601" s="166"/>
    </row>
    <row r="602" spans="1:44">
      <c r="A602" s="741"/>
      <c r="B602" s="166"/>
      <c r="C602" s="166"/>
      <c r="D602" s="166"/>
      <c r="E602" s="166"/>
      <c r="F602" s="166"/>
      <c r="G602" s="166"/>
      <c r="H602" s="166"/>
      <c r="I602" s="166"/>
      <c r="J602" s="166"/>
      <c r="K602" s="166"/>
      <c r="L602" s="166"/>
      <c r="M602" s="166"/>
      <c r="N602" s="166"/>
      <c r="O602" s="166"/>
      <c r="P602" s="166"/>
      <c r="Q602" s="166"/>
      <c r="R602" s="166"/>
      <c r="S602" s="166"/>
      <c r="T602" s="166"/>
      <c r="U602" s="166"/>
      <c r="V602" s="166"/>
      <c r="W602" s="166"/>
      <c r="X602" s="166"/>
      <c r="Y602" s="166"/>
      <c r="Z602" s="166"/>
      <c r="AA602" s="166"/>
      <c r="AB602" s="166"/>
      <c r="AC602" s="166"/>
      <c r="AD602" s="166"/>
      <c r="AE602" s="166"/>
      <c r="AF602" s="166"/>
      <c r="AG602" s="166"/>
      <c r="AH602" s="166"/>
      <c r="AI602" s="166"/>
      <c r="AJ602" s="166"/>
      <c r="AK602" s="166"/>
      <c r="AL602" s="166"/>
      <c r="AM602" s="166"/>
      <c r="AN602" s="166"/>
      <c r="AO602" s="166"/>
      <c r="AP602" s="166"/>
      <c r="AQ602" s="166"/>
      <c r="AR602" s="166"/>
    </row>
    <row r="603" spans="1:44">
      <c r="A603" s="741"/>
      <c r="B603" s="166"/>
      <c r="C603" s="166"/>
      <c r="D603" s="166"/>
      <c r="E603" s="166"/>
      <c r="F603" s="166"/>
      <c r="G603" s="166"/>
      <c r="H603" s="166"/>
      <c r="I603" s="166"/>
      <c r="J603" s="166"/>
      <c r="K603" s="166"/>
      <c r="L603" s="166"/>
      <c r="M603" s="166"/>
      <c r="N603" s="166"/>
      <c r="O603" s="166"/>
      <c r="P603" s="166"/>
      <c r="Q603" s="166"/>
      <c r="R603" s="166"/>
      <c r="S603" s="166"/>
      <c r="T603" s="166"/>
      <c r="U603" s="166"/>
      <c r="V603" s="166"/>
      <c r="W603" s="166"/>
      <c r="X603" s="166"/>
      <c r="Y603" s="166"/>
      <c r="Z603" s="166"/>
      <c r="AA603" s="166"/>
      <c r="AB603" s="166"/>
      <c r="AC603" s="166"/>
      <c r="AD603" s="166"/>
      <c r="AE603" s="166"/>
      <c r="AF603" s="166"/>
      <c r="AG603" s="166"/>
      <c r="AH603" s="166"/>
      <c r="AI603" s="166"/>
      <c r="AJ603" s="166"/>
      <c r="AK603" s="166"/>
      <c r="AL603" s="166"/>
      <c r="AM603" s="166"/>
      <c r="AN603" s="166"/>
      <c r="AO603" s="166"/>
      <c r="AP603" s="166"/>
      <c r="AQ603" s="166"/>
      <c r="AR603" s="166"/>
    </row>
    <row r="604" spans="1:44">
      <c r="A604" s="741"/>
      <c r="B604" s="166"/>
      <c r="C604" s="166"/>
      <c r="D604" s="166"/>
      <c r="E604" s="166"/>
      <c r="F604" s="166"/>
      <c r="G604" s="166"/>
      <c r="H604" s="166"/>
      <c r="I604" s="166"/>
      <c r="J604" s="166"/>
      <c r="K604" s="166"/>
      <c r="L604" s="166"/>
      <c r="M604" s="166"/>
      <c r="N604" s="166"/>
      <c r="O604" s="166"/>
      <c r="P604" s="166"/>
      <c r="Q604" s="166"/>
      <c r="R604" s="166"/>
      <c r="S604" s="166"/>
      <c r="T604" s="166"/>
      <c r="U604" s="166"/>
      <c r="V604" s="166"/>
      <c r="W604" s="166"/>
      <c r="X604" s="166"/>
      <c r="Y604" s="166"/>
      <c r="Z604" s="166"/>
      <c r="AA604" s="166"/>
      <c r="AB604" s="166"/>
      <c r="AC604" s="166"/>
      <c r="AD604" s="166"/>
      <c r="AE604" s="166"/>
      <c r="AF604" s="166"/>
      <c r="AG604" s="166"/>
      <c r="AH604" s="166"/>
      <c r="AI604" s="166"/>
      <c r="AJ604" s="166"/>
      <c r="AK604" s="166"/>
      <c r="AL604" s="166"/>
      <c r="AM604" s="166"/>
      <c r="AN604" s="166"/>
      <c r="AO604" s="166"/>
      <c r="AP604" s="166"/>
      <c r="AQ604" s="166"/>
      <c r="AR604" s="166"/>
    </row>
    <row r="605" spans="1:44">
      <c r="A605" s="741"/>
      <c r="B605" s="166"/>
      <c r="C605" s="166"/>
      <c r="D605" s="166"/>
      <c r="E605" s="166"/>
      <c r="F605" s="166"/>
      <c r="G605" s="166"/>
      <c r="H605" s="166"/>
      <c r="I605" s="166"/>
      <c r="J605" s="166"/>
      <c r="K605" s="166"/>
      <c r="L605" s="166"/>
      <c r="M605" s="166"/>
      <c r="N605" s="166"/>
      <c r="O605" s="166"/>
      <c r="P605" s="166"/>
      <c r="Q605" s="166"/>
      <c r="R605" s="166"/>
      <c r="S605" s="166"/>
      <c r="T605" s="166"/>
      <c r="U605" s="166"/>
      <c r="V605" s="166"/>
      <c r="W605" s="166"/>
      <c r="X605" s="166"/>
      <c r="Y605" s="166"/>
      <c r="Z605" s="166"/>
      <c r="AA605" s="166"/>
      <c r="AB605" s="166"/>
      <c r="AC605" s="166"/>
      <c r="AD605" s="166"/>
      <c r="AE605" s="166"/>
      <c r="AF605" s="166"/>
      <c r="AG605" s="166"/>
      <c r="AH605" s="166"/>
      <c r="AI605" s="166"/>
      <c r="AJ605" s="166"/>
      <c r="AK605" s="166"/>
      <c r="AL605" s="166"/>
      <c r="AM605" s="166"/>
      <c r="AN605" s="166"/>
      <c r="AO605" s="166"/>
      <c r="AP605" s="166"/>
      <c r="AQ605" s="166"/>
      <c r="AR605" s="166"/>
    </row>
    <row r="606" spans="1:44">
      <c r="A606" s="741"/>
      <c r="B606" s="166"/>
      <c r="C606" s="166"/>
      <c r="D606" s="166"/>
      <c r="E606" s="166"/>
      <c r="F606" s="166"/>
      <c r="G606" s="166"/>
      <c r="H606" s="166"/>
      <c r="I606" s="166"/>
      <c r="J606" s="166"/>
      <c r="K606" s="166"/>
      <c r="L606" s="166"/>
      <c r="M606" s="166"/>
      <c r="N606" s="166"/>
      <c r="O606" s="166"/>
      <c r="P606" s="166"/>
      <c r="Q606" s="166"/>
      <c r="R606" s="166"/>
      <c r="S606" s="166"/>
      <c r="T606" s="166"/>
      <c r="U606" s="166"/>
      <c r="V606" s="166"/>
      <c r="W606" s="166"/>
      <c r="X606" s="166"/>
      <c r="Y606" s="166"/>
      <c r="Z606" s="166"/>
      <c r="AA606" s="166"/>
      <c r="AB606" s="166"/>
      <c r="AC606" s="166"/>
      <c r="AD606" s="166"/>
      <c r="AE606" s="166"/>
      <c r="AF606" s="166"/>
      <c r="AG606" s="166"/>
      <c r="AH606" s="166"/>
      <c r="AI606" s="166"/>
      <c r="AJ606" s="166"/>
      <c r="AK606" s="166"/>
      <c r="AL606" s="166"/>
      <c r="AM606" s="166"/>
      <c r="AN606" s="166"/>
      <c r="AO606" s="166"/>
      <c r="AP606" s="166"/>
      <c r="AQ606" s="166"/>
      <c r="AR606" s="166"/>
    </row>
    <row r="607" spans="1:44">
      <c r="A607" s="741"/>
      <c r="B607" s="166"/>
      <c r="C607" s="166"/>
      <c r="D607" s="166"/>
      <c r="E607" s="166"/>
      <c r="F607" s="166"/>
      <c r="G607" s="166"/>
      <c r="H607" s="166"/>
      <c r="I607" s="166"/>
      <c r="J607" s="166"/>
      <c r="K607" s="166"/>
      <c r="L607" s="166"/>
      <c r="M607" s="166"/>
      <c r="N607" s="166"/>
      <c r="O607" s="166"/>
      <c r="P607" s="166"/>
      <c r="Q607" s="166"/>
      <c r="R607" s="166"/>
      <c r="S607" s="166"/>
      <c r="T607" s="166"/>
      <c r="U607" s="166"/>
      <c r="V607" s="166"/>
      <c r="W607" s="166"/>
      <c r="X607" s="166"/>
      <c r="Y607" s="166"/>
      <c r="Z607" s="166"/>
      <c r="AA607" s="166"/>
      <c r="AB607" s="166"/>
      <c r="AC607" s="166"/>
      <c r="AD607" s="166"/>
      <c r="AE607" s="166"/>
      <c r="AF607" s="166"/>
      <c r="AG607" s="166"/>
      <c r="AH607" s="166"/>
      <c r="AI607" s="166"/>
      <c r="AJ607" s="166"/>
      <c r="AK607" s="166"/>
      <c r="AL607" s="166"/>
      <c r="AM607" s="166"/>
      <c r="AN607" s="166"/>
      <c r="AO607" s="166"/>
      <c r="AP607" s="166"/>
      <c r="AQ607" s="166"/>
      <c r="AR607" s="166"/>
    </row>
    <row r="608" spans="1:44">
      <c r="A608" s="741"/>
      <c r="B608" s="166"/>
      <c r="C608" s="166"/>
      <c r="D608" s="166"/>
      <c r="E608" s="166"/>
      <c r="F608" s="166"/>
      <c r="G608" s="166"/>
      <c r="H608" s="166"/>
      <c r="I608" s="166"/>
      <c r="J608" s="166"/>
      <c r="K608" s="166"/>
      <c r="L608" s="166"/>
      <c r="M608" s="166"/>
      <c r="N608" s="166"/>
      <c r="O608" s="166"/>
      <c r="P608" s="166"/>
      <c r="Q608" s="166"/>
      <c r="R608" s="166"/>
      <c r="S608" s="166"/>
      <c r="T608" s="166"/>
      <c r="U608" s="166"/>
      <c r="V608" s="166"/>
      <c r="W608" s="166"/>
      <c r="X608" s="166"/>
      <c r="Y608" s="166"/>
      <c r="Z608" s="166"/>
      <c r="AA608" s="166"/>
      <c r="AB608" s="166"/>
      <c r="AC608" s="166"/>
      <c r="AD608" s="166"/>
      <c r="AE608" s="166"/>
      <c r="AF608" s="166"/>
      <c r="AG608" s="166"/>
      <c r="AH608" s="166"/>
      <c r="AI608" s="166"/>
      <c r="AJ608" s="166"/>
      <c r="AK608" s="166"/>
      <c r="AL608" s="166"/>
      <c r="AM608" s="166"/>
      <c r="AN608" s="166"/>
      <c r="AO608" s="166"/>
      <c r="AP608" s="166"/>
      <c r="AQ608" s="166"/>
      <c r="AR608" s="166"/>
    </row>
    <row r="609" spans="1:44">
      <c r="A609" s="741"/>
      <c r="B609" s="166"/>
      <c r="C609" s="166"/>
      <c r="D609" s="166"/>
      <c r="E609" s="166"/>
      <c r="F609" s="166"/>
      <c r="G609" s="166"/>
      <c r="H609" s="166"/>
      <c r="I609" s="166"/>
      <c r="J609" s="166"/>
      <c r="K609" s="166"/>
      <c r="L609" s="166"/>
      <c r="M609" s="166"/>
      <c r="N609" s="166"/>
      <c r="O609" s="166"/>
      <c r="P609" s="166"/>
      <c r="Q609" s="166"/>
      <c r="R609" s="166"/>
      <c r="S609" s="166"/>
      <c r="T609" s="166"/>
      <c r="U609" s="166"/>
      <c r="V609" s="166"/>
      <c r="W609" s="166"/>
      <c r="X609" s="166"/>
      <c r="Y609" s="166"/>
      <c r="Z609" s="166"/>
      <c r="AA609" s="166"/>
      <c r="AB609" s="166"/>
      <c r="AC609" s="166"/>
      <c r="AD609" s="166"/>
      <c r="AE609" s="166"/>
      <c r="AF609" s="166"/>
      <c r="AG609" s="166"/>
      <c r="AH609" s="166"/>
      <c r="AI609" s="166"/>
      <c r="AJ609" s="166"/>
      <c r="AK609" s="166"/>
      <c r="AL609" s="166"/>
      <c r="AM609" s="166"/>
      <c r="AN609" s="166"/>
      <c r="AO609" s="166"/>
      <c r="AP609" s="166"/>
      <c r="AQ609" s="166"/>
      <c r="AR609" s="166"/>
    </row>
    <row r="610" spans="1:44">
      <c r="A610" s="741"/>
      <c r="B610" s="166"/>
      <c r="C610" s="166"/>
      <c r="D610" s="166"/>
      <c r="E610" s="166"/>
      <c r="F610" s="166"/>
      <c r="G610" s="166"/>
      <c r="H610" s="166"/>
      <c r="I610" s="166"/>
      <c r="J610" s="166"/>
      <c r="K610" s="166"/>
      <c r="L610" s="166"/>
      <c r="M610" s="166"/>
      <c r="N610" s="166"/>
      <c r="O610" s="166"/>
      <c r="P610" s="166"/>
      <c r="Q610" s="166"/>
      <c r="R610" s="166"/>
      <c r="S610" s="166"/>
      <c r="T610" s="166"/>
      <c r="U610" s="166"/>
      <c r="V610" s="166"/>
      <c r="W610" s="166"/>
      <c r="X610" s="166"/>
      <c r="Y610" s="166"/>
      <c r="Z610" s="166"/>
      <c r="AA610" s="166"/>
      <c r="AB610" s="166"/>
      <c r="AC610" s="166"/>
      <c r="AD610" s="166"/>
      <c r="AE610" s="166"/>
      <c r="AF610" s="166"/>
      <c r="AG610" s="166"/>
      <c r="AH610" s="166"/>
      <c r="AI610" s="166"/>
      <c r="AJ610" s="166"/>
      <c r="AK610" s="166"/>
      <c r="AL610" s="166"/>
      <c r="AM610" s="166"/>
      <c r="AN610" s="166"/>
      <c r="AO610" s="166"/>
      <c r="AP610" s="166"/>
      <c r="AQ610" s="166"/>
      <c r="AR610" s="166"/>
    </row>
    <row r="611" spans="1:44">
      <c r="A611" s="741"/>
      <c r="B611" s="166"/>
      <c r="C611" s="166"/>
      <c r="D611" s="166"/>
      <c r="E611" s="166"/>
      <c r="F611" s="166"/>
      <c r="G611" s="166"/>
      <c r="H611" s="166"/>
      <c r="I611" s="166"/>
      <c r="J611" s="166"/>
      <c r="K611" s="166"/>
      <c r="L611" s="166"/>
      <c r="M611" s="166"/>
      <c r="N611" s="166"/>
      <c r="O611" s="166"/>
      <c r="P611" s="166"/>
      <c r="Q611" s="166"/>
      <c r="R611" s="166"/>
      <c r="S611" s="166"/>
      <c r="T611" s="166"/>
      <c r="U611" s="166"/>
      <c r="V611" s="166"/>
      <c r="W611" s="166"/>
      <c r="X611" s="166"/>
      <c r="Y611" s="166"/>
      <c r="Z611" s="166"/>
      <c r="AA611" s="166"/>
      <c r="AB611" s="166"/>
      <c r="AC611" s="166"/>
      <c r="AD611" s="166"/>
      <c r="AE611" s="166"/>
      <c r="AF611" s="166"/>
      <c r="AG611" s="166"/>
      <c r="AH611" s="166"/>
      <c r="AI611" s="166"/>
      <c r="AJ611" s="166"/>
      <c r="AK611" s="166"/>
      <c r="AL611" s="166"/>
      <c r="AM611" s="166"/>
      <c r="AN611" s="166"/>
      <c r="AO611" s="166"/>
      <c r="AP611" s="166"/>
      <c r="AQ611" s="166"/>
      <c r="AR611" s="166"/>
    </row>
    <row r="612" spans="1:44">
      <c r="A612" s="741"/>
      <c r="B612" s="166"/>
      <c r="C612" s="166"/>
      <c r="D612" s="166"/>
      <c r="E612" s="166"/>
      <c r="F612" s="166"/>
      <c r="G612" s="166"/>
      <c r="H612" s="166"/>
      <c r="I612" s="166"/>
      <c r="J612" s="166"/>
      <c r="K612" s="166"/>
      <c r="L612" s="166"/>
      <c r="M612" s="166"/>
      <c r="N612" s="166"/>
      <c r="O612" s="166"/>
      <c r="P612" s="166"/>
      <c r="Q612" s="166"/>
      <c r="R612" s="166"/>
      <c r="S612" s="166"/>
      <c r="T612" s="166"/>
      <c r="U612" s="166"/>
      <c r="V612" s="166"/>
      <c r="W612" s="166"/>
      <c r="X612" s="166"/>
      <c r="Y612" s="166"/>
      <c r="Z612" s="166"/>
      <c r="AA612" s="166"/>
      <c r="AB612" s="166"/>
      <c r="AC612" s="166"/>
      <c r="AD612" s="166"/>
      <c r="AE612" s="166"/>
      <c r="AF612" s="166"/>
      <c r="AG612" s="166"/>
      <c r="AH612" s="166"/>
      <c r="AI612" s="166"/>
      <c r="AJ612" s="166"/>
      <c r="AK612" s="166"/>
      <c r="AL612" s="166"/>
      <c r="AM612" s="166"/>
      <c r="AN612" s="166"/>
      <c r="AO612" s="166"/>
      <c r="AP612" s="166"/>
      <c r="AQ612" s="166"/>
      <c r="AR612" s="166"/>
    </row>
    <row r="613" spans="1:44">
      <c r="A613" s="741"/>
      <c r="B613" s="166"/>
      <c r="C613" s="166"/>
      <c r="D613" s="166"/>
      <c r="E613" s="166"/>
      <c r="F613" s="166"/>
      <c r="G613" s="166"/>
      <c r="H613" s="166"/>
      <c r="I613" s="166"/>
      <c r="J613" s="166"/>
      <c r="K613" s="166"/>
      <c r="L613" s="166"/>
      <c r="M613" s="166"/>
      <c r="N613" s="166"/>
      <c r="O613" s="166"/>
      <c r="P613" s="166"/>
      <c r="Q613" s="166"/>
      <c r="R613" s="166"/>
      <c r="S613" s="166"/>
      <c r="T613" s="166"/>
      <c r="U613" s="166"/>
      <c r="V613" s="166"/>
      <c r="W613" s="166"/>
      <c r="X613" s="166"/>
      <c r="Y613" s="166"/>
      <c r="Z613" s="166"/>
      <c r="AA613" s="166"/>
      <c r="AB613" s="166"/>
      <c r="AC613" s="166"/>
      <c r="AD613" s="166"/>
      <c r="AE613" s="166"/>
      <c r="AF613" s="166"/>
      <c r="AG613" s="166"/>
      <c r="AH613" s="166"/>
      <c r="AI613" s="166"/>
      <c r="AJ613" s="166"/>
      <c r="AK613" s="166"/>
      <c r="AL613" s="166"/>
      <c r="AM613" s="166"/>
      <c r="AN613" s="166"/>
      <c r="AO613" s="166"/>
      <c r="AP613" s="166"/>
      <c r="AQ613" s="166"/>
      <c r="AR613" s="166"/>
    </row>
    <row r="614" spans="1:44">
      <c r="A614" s="741"/>
      <c r="B614" s="166"/>
      <c r="C614" s="166"/>
      <c r="D614" s="166"/>
      <c r="E614" s="166"/>
      <c r="F614" s="166"/>
      <c r="G614" s="166"/>
      <c r="H614" s="166"/>
      <c r="I614" s="166"/>
      <c r="J614" s="166"/>
      <c r="K614" s="166"/>
      <c r="L614" s="166"/>
      <c r="M614" s="166"/>
      <c r="N614" s="166"/>
      <c r="O614" s="166"/>
      <c r="P614" s="166"/>
      <c r="Q614" s="166"/>
      <c r="R614" s="166"/>
      <c r="S614" s="166"/>
      <c r="T614" s="166"/>
      <c r="U614" s="166"/>
      <c r="V614" s="166"/>
      <c r="W614" s="166"/>
      <c r="X614" s="166"/>
      <c r="Y614" s="166"/>
      <c r="Z614" s="166"/>
      <c r="AA614" s="166"/>
      <c r="AB614" s="166"/>
      <c r="AC614" s="166"/>
      <c r="AD614" s="166"/>
      <c r="AE614" s="166"/>
      <c r="AF614" s="166"/>
      <c r="AG614" s="166"/>
      <c r="AH614" s="166"/>
      <c r="AI614" s="166"/>
      <c r="AJ614" s="166"/>
      <c r="AK614" s="166"/>
      <c r="AL614" s="166"/>
      <c r="AM614" s="166"/>
      <c r="AN614" s="166"/>
      <c r="AO614" s="166"/>
      <c r="AP614" s="166"/>
      <c r="AQ614" s="166"/>
      <c r="AR614" s="166"/>
    </row>
    <row r="615" spans="1:44">
      <c r="A615" s="741"/>
      <c r="B615" s="166"/>
      <c r="C615" s="166"/>
      <c r="D615" s="166"/>
      <c r="E615" s="166"/>
      <c r="F615" s="166"/>
      <c r="G615" s="166"/>
      <c r="H615" s="166"/>
      <c r="I615" s="166"/>
      <c r="J615" s="166"/>
      <c r="K615" s="166"/>
      <c r="L615" s="166"/>
      <c r="M615" s="166"/>
      <c r="N615" s="166"/>
      <c r="O615" s="166"/>
      <c r="P615" s="166"/>
      <c r="Q615" s="166"/>
      <c r="R615" s="166"/>
      <c r="S615" s="166"/>
      <c r="T615" s="166"/>
      <c r="U615" s="166"/>
      <c r="V615" s="166"/>
      <c r="W615" s="166"/>
      <c r="X615" s="166"/>
      <c r="Y615" s="166"/>
      <c r="Z615" s="166"/>
      <c r="AA615" s="166"/>
      <c r="AB615" s="166"/>
      <c r="AC615" s="166"/>
      <c r="AD615" s="166"/>
      <c r="AE615" s="166"/>
      <c r="AF615" s="166"/>
      <c r="AG615" s="166"/>
      <c r="AH615" s="166"/>
      <c r="AI615" s="166"/>
      <c r="AJ615" s="166"/>
      <c r="AK615" s="166"/>
      <c r="AL615" s="166"/>
      <c r="AM615" s="166"/>
      <c r="AN615" s="166"/>
      <c r="AO615" s="166"/>
      <c r="AP615" s="166"/>
      <c r="AQ615" s="166"/>
      <c r="AR615" s="166"/>
    </row>
    <row r="616" spans="1:44">
      <c r="A616" s="741"/>
      <c r="B616" s="166"/>
      <c r="C616" s="166"/>
      <c r="D616" s="166"/>
      <c r="E616" s="166"/>
      <c r="F616" s="166"/>
      <c r="G616" s="166"/>
      <c r="H616" s="166"/>
      <c r="I616" s="166"/>
      <c r="J616" s="166"/>
      <c r="K616" s="166"/>
      <c r="L616" s="166"/>
      <c r="M616" s="166"/>
      <c r="N616" s="166"/>
      <c r="O616" s="166"/>
      <c r="P616" s="166"/>
      <c r="Q616" s="166"/>
      <c r="R616" s="166"/>
      <c r="S616" s="166"/>
      <c r="T616" s="166"/>
      <c r="U616" s="166"/>
      <c r="V616" s="166"/>
      <c r="W616" s="166"/>
      <c r="X616" s="166"/>
      <c r="Y616" s="166"/>
      <c r="Z616" s="166"/>
      <c r="AA616" s="166"/>
      <c r="AB616" s="166"/>
      <c r="AC616" s="166"/>
      <c r="AD616" s="166"/>
      <c r="AE616" s="166"/>
      <c r="AF616" s="166"/>
      <c r="AG616" s="166"/>
      <c r="AH616" s="166"/>
      <c r="AI616" s="166"/>
      <c r="AJ616" s="166"/>
      <c r="AK616" s="166"/>
      <c r="AL616" s="166"/>
      <c r="AM616" s="166"/>
      <c r="AN616" s="166"/>
      <c r="AO616" s="166"/>
      <c r="AP616" s="166"/>
      <c r="AQ616" s="166"/>
      <c r="AR616" s="166"/>
    </row>
    <row r="617" spans="1:44">
      <c r="A617" s="741"/>
      <c r="B617" s="166"/>
      <c r="C617" s="166"/>
      <c r="D617" s="166"/>
      <c r="E617" s="166"/>
      <c r="F617" s="166"/>
      <c r="G617" s="166"/>
      <c r="H617" s="166"/>
      <c r="I617" s="166"/>
      <c r="J617" s="166"/>
      <c r="K617" s="166"/>
      <c r="L617" s="166"/>
      <c r="M617" s="166"/>
      <c r="N617" s="166"/>
      <c r="O617" s="166"/>
      <c r="P617" s="166"/>
      <c r="Q617" s="166"/>
      <c r="R617" s="166"/>
      <c r="S617" s="166"/>
      <c r="T617" s="166"/>
      <c r="U617" s="166"/>
      <c r="V617" s="166"/>
      <c r="W617" s="166"/>
      <c r="X617" s="166"/>
      <c r="Y617" s="166"/>
      <c r="Z617" s="166"/>
      <c r="AA617" s="166"/>
      <c r="AB617" s="166"/>
      <c r="AC617" s="166"/>
      <c r="AD617" s="166"/>
      <c r="AE617" s="166"/>
      <c r="AF617" s="166"/>
      <c r="AG617" s="166"/>
      <c r="AH617" s="166"/>
      <c r="AI617" s="166"/>
      <c r="AJ617" s="166"/>
      <c r="AK617" s="166"/>
      <c r="AL617" s="166"/>
      <c r="AM617" s="166"/>
      <c r="AN617" s="166"/>
      <c r="AO617" s="166"/>
      <c r="AP617" s="166"/>
      <c r="AQ617" s="166"/>
      <c r="AR617" s="166"/>
    </row>
    <row r="618" spans="1:44">
      <c r="A618" s="741"/>
      <c r="B618" s="166"/>
      <c r="C618" s="166"/>
      <c r="D618" s="166"/>
      <c r="E618" s="166"/>
      <c r="F618" s="166"/>
      <c r="G618" s="166"/>
      <c r="H618" s="166"/>
      <c r="I618" s="166"/>
      <c r="J618" s="166"/>
      <c r="K618" s="166"/>
      <c r="L618" s="166"/>
      <c r="M618" s="166"/>
      <c r="N618" s="166"/>
      <c r="O618" s="166"/>
      <c r="P618" s="166"/>
      <c r="Q618" s="166"/>
      <c r="R618" s="166"/>
      <c r="S618" s="166"/>
      <c r="T618" s="166"/>
      <c r="U618" s="166"/>
      <c r="V618" s="166"/>
      <c r="W618" s="166"/>
      <c r="X618" s="166"/>
      <c r="Y618" s="166"/>
      <c r="Z618" s="166"/>
      <c r="AA618" s="166"/>
      <c r="AB618" s="166"/>
      <c r="AC618" s="166"/>
      <c r="AD618" s="166"/>
      <c r="AE618" s="166"/>
      <c r="AF618" s="166"/>
      <c r="AG618" s="166"/>
      <c r="AH618" s="166"/>
      <c r="AI618" s="166"/>
      <c r="AJ618" s="166"/>
      <c r="AK618" s="166"/>
      <c r="AL618" s="166"/>
      <c r="AM618" s="166"/>
      <c r="AN618" s="166"/>
      <c r="AO618" s="166"/>
      <c r="AP618" s="166"/>
      <c r="AQ618" s="166"/>
      <c r="AR618" s="166"/>
    </row>
    <row r="619" spans="1:44">
      <c r="A619" s="741"/>
    </row>
    <row r="620" spans="1:44">
      <c r="A620" s="741"/>
    </row>
    <row r="621" spans="1:44">
      <c r="A621" s="741"/>
    </row>
    <row r="622" spans="1:44">
      <c r="A622" s="741"/>
    </row>
    <row r="623" spans="1:44">
      <c r="A623" s="741"/>
    </row>
    <row r="624" spans="1:44">
      <c r="A624" s="741"/>
    </row>
    <row r="625" spans="1:1">
      <c r="A625" s="741"/>
    </row>
    <row r="626" spans="1:1">
      <c r="A626" s="741"/>
    </row>
    <row r="627" spans="1:1">
      <c r="A627" s="741"/>
    </row>
    <row r="628" spans="1:1">
      <c r="A628" s="741"/>
    </row>
    <row r="629" spans="1:1">
      <c r="A629" s="741"/>
    </row>
    <row r="630" spans="1:1">
      <c r="A630" s="741"/>
    </row>
    <row r="631" spans="1:1">
      <c r="A631" s="741"/>
    </row>
    <row r="632" spans="1:1">
      <c r="A632" s="741"/>
    </row>
    <row r="633" spans="1:1">
      <c r="A633" s="741"/>
    </row>
    <row r="634" spans="1:1">
      <c r="A634" s="741"/>
    </row>
    <row r="635" spans="1:1">
      <c r="A635" s="741"/>
    </row>
    <row r="636" spans="1:1">
      <c r="A636" s="741"/>
    </row>
    <row r="637" spans="1:1">
      <c r="A637" s="741"/>
    </row>
    <row r="638" spans="1:1">
      <c r="A638" s="741"/>
    </row>
    <row r="639" spans="1:1">
      <c r="A639" s="741"/>
    </row>
    <row r="640" spans="1:1">
      <c r="A640" s="741"/>
    </row>
    <row r="641" spans="1:1">
      <c r="A641" s="741"/>
    </row>
    <row r="642" spans="1:1">
      <c r="A642" s="741"/>
    </row>
    <row r="643" spans="1:1">
      <c r="A643" s="741"/>
    </row>
    <row r="644" spans="1:1">
      <c r="A644" s="741"/>
    </row>
    <row r="645" spans="1:1">
      <c r="A645" s="741"/>
    </row>
    <row r="646" spans="1:1">
      <c r="A646" s="741"/>
    </row>
    <row r="647" spans="1:1">
      <c r="A647" s="741"/>
    </row>
    <row r="648" spans="1:1">
      <c r="A648" s="741"/>
    </row>
    <row r="649" spans="1:1">
      <c r="A649" s="741"/>
    </row>
    <row r="650" spans="1:1">
      <c r="A650" s="741"/>
    </row>
    <row r="651" spans="1:1">
      <c r="A651" s="741"/>
    </row>
    <row r="652" spans="1:1">
      <c r="A652" s="741"/>
    </row>
    <row r="653" spans="1:1">
      <c r="A653" s="741"/>
    </row>
    <row r="654" spans="1:1">
      <c r="A654" s="741"/>
    </row>
    <row r="655" spans="1:1">
      <c r="A655" s="741"/>
    </row>
    <row r="656" spans="1:1">
      <c r="A656" s="741"/>
    </row>
    <row r="657" spans="1:1">
      <c r="A657" s="741"/>
    </row>
    <row r="658" spans="1:1">
      <c r="A658" s="741"/>
    </row>
    <row r="659" spans="1:1">
      <c r="A659" s="741"/>
    </row>
    <row r="660" spans="1:1">
      <c r="A660" s="741"/>
    </row>
    <row r="661" spans="1:1">
      <c r="A661" s="741"/>
    </row>
    <row r="662" spans="1:1">
      <c r="A662" s="741"/>
    </row>
    <row r="663" spans="1:1">
      <c r="A663" s="741"/>
    </row>
    <row r="664" spans="1:1">
      <c r="A664" s="741"/>
    </row>
    <row r="665" spans="1:1">
      <c r="A665" s="741"/>
    </row>
    <row r="666" spans="1:1">
      <c r="A666" s="741"/>
    </row>
    <row r="667" spans="1:1">
      <c r="A667" s="741"/>
    </row>
    <row r="668" spans="1:1">
      <c r="A668" s="741"/>
    </row>
    <row r="669" spans="1:1">
      <c r="A669" s="741"/>
    </row>
    <row r="670" spans="1:1">
      <c r="A670" s="741"/>
    </row>
    <row r="671" spans="1:1">
      <c r="A671" s="741"/>
    </row>
    <row r="672" spans="1:1">
      <c r="A672" s="741"/>
    </row>
    <row r="673" spans="1:1">
      <c r="A673" s="741"/>
    </row>
    <row r="674" spans="1:1">
      <c r="A674" s="741"/>
    </row>
    <row r="675" spans="1:1">
      <c r="A675" s="741"/>
    </row>
    <row r="676" spans="1:1">
      <c r="A676" s="741"/>
    </row>
    <row r="677" spans="1:1">
      <c r="A677" s="741"/>
    </row>
    <row r="678" spans="1:1">
      <c r="A678" s="741"/>
    </row>
    <row r="679" spans="1:1">
      <c r="A679" s="741"/>
    </row>
    <row r="680" spans="1:1">
      <c r="A680" s="741"/>
    </row>
    <row r="681" spans="1:1">
      <c r="A681" s="741"/>
    </row>
    <row r="682" spans="1:1">
      <c r="A682" s="741"/>
    </row>
    <row r="683" spans="1:1">
      <c r="A683" s="741"/>
    </row>
    <row r="684" spans="1:1">
      <c r="A684" s="741"/>
    </row>
    <row r="685" spans="1:1">
      <c r="A685" s="741"/>
    </row>
    <row r="686" spans="1:1">
      <c r="A686" s="741"/>
    </row>
    <row r="687" spans="1:1">
      <c r="A687" s="741"/>
    </row>
    <row r="688" spans="1:1">
      <c r="A688" s="741"/>
    </row>
    <row r="689" spans="1:1">
      <c r="A689" s="741"/>
    </row>
    <row r="690" spans="1:1">
      <c r="A690" s="741"/>
    </row>
    <row r="691" spans="1:1">
      <c r="A691" s="741"/>
    </row>
    <row r="692" spans="1:1">
      <c r="A692" s="741"/>
    </row>
    <row r="693" spans="1:1">
      <c r="A693" s="741"/>
    </row>
    <row r="694" spans="1:1">
      <c r="A694" s="741"/>
    </row>
    <row r="695" spans="1:1">
      <c r="A695" s="741"/>
    </row>
    <row r="696" spans="1:1">
      <c r="A696" s="741"/>
    </row>
    <row r="697" spans="1:1">
      <c r="A697" s="741"/>
    </row>
    <row r="698" spans="1:1">
      <c r="A698" s="741"/>
    </row>
    <row r="699" spans="1:1">
      <c r="A699" s="741"/>
    </row>
    <row r="700" spans="1:1">
      <c r="A700" s="741"/>
    </row>
    <row r="701" spans="1:1">
      <c r="A701" s="741"/>
    </row>
    <row r="702" spans="1:1">
      <c r="A702" s="741"/>
    </row>
    <row r="703" spans="1:1">
      <c r="A703" s="741"/>
    </row>
    <row r="704" spans="1:1">
      <c r="A704" s="741"/>
    </row>
    <row r="705" spans="1:1">
      <c r="A705" s="741"/>
    </row>
    <row r="706" spans="1:1">
      <c r="A706" s="741"/>
    </row>
    <row r="707" spans="1:1">
      <c r="A707" s="741"/>
    </row>
    <row r="708" spans="1:1">
      <c r="A708" s="741"/>
    </row>
    <row r="709" spans="1:1">
      <c r="A709" s="741"/>
    </row>
    <row r="710" spans="1:1">
      <c r="A710" s="741"/>
    </row>
    <row r="711" spans="1:1">
      <c r="A711" s="741"/>
    </row>
    <row r="712" spans="1:1">
      <c r="A712" s="741"/>
    </row>
    <row r="713" spans="1:1">
      <c r="A713" s="741"/>
    </row>
    <row r="714" spans="1:1">
      <c r="A714" s="741"/>
    </row>
    <row r="715" spans="1:1">
      <c r="A715" s="741"/>
    </row>
    <row r="716" spans="1:1">
      <c r="A716" s="741"/>
    </row>
    <row r="717" spans="1:1">
      <c r="A717" s="741"/>
    </row>
    <row r="718" spans="1:1">
      <c r="A718" s="741"/>
    </row>
    <row r="719" spans="1:1">
      <c r="A719" s="741"/>
    </row>
    <row r="720" spans="1:1">
      <c r="A720" s="741"/>
    </row>
    <row r="721" spans="1:1">
      <c r="A721" s="741"/>
    </row>
    <row r="722" spans="1:1">
      <c r="A722" s="741"/>
    </row>
    <row r="723" spans="1:1">
      <c r="A723" s="741"/>
    </row>
    <row r="724" spans="1:1">
      <c r="A724" s="741"/>
    </row>
    <row r="725" spans="1:1">
      <c r="A725" s="741"/>
    </row>
    <row r="726" spans="1:1">
      <c r="A726" s="741"/>
    </row>
    <row r="727" spans="1:1">
      <c r="A727" s="741"/>
    </row>
    <row r="728" spans="1:1">
      <c r="A728" s="741"/>
    </row>
    <row r="729" spans="1:1">
      <c r="A729" s="741"/>
    </row>
    <row r="730" spans="1:1">
      <c r="A730" s="741"/>
    </row>
    <row r="731" spans="1:1">
      <c r="A731" s="741"/>
    </row>
    <row r="732" spans="1:1">
      <c r="A732" s="741"/>
    </row>
    <row r="733" spans="1:1">
      <c r="A733" s="741"/>
    </row>
    <row r="734" spans="1:1">
      <c r="A734" s="741"/>
    </row>
    <row r="735" spans="1:1">
      <c r="A735" s="741"/>
    </row>
    <row r="736" spans="1:1">
      <c r="A736" s="741"/>
    </row>
    <row r="737" spans="1:1">
      <c r="A737" s="741"/>
    </row>
    <row r="738" spans="1:1">
      <c r="A738" s="741"/>
    </row>
    <row r="739" spans="1:1">
      <c r="A739" s="741"/>
    </row>
    <row r="740" spans="1:1">
      <c r="A740" s="741"/>
    </row>
    <row r="741" spans="1:1">
      <c r="A741" s="741"/>
    </row>
    <row r="742" spans="1:1">
      <c r="A742" s="741"/>
    </row>
    <row r="743" spans="1:1">
      <c r="A743" s="741"/>
    </row>
    <row r="744" spans="1:1">
      <c r="A744" s="741"/>
    </row>
    <row r="745" spans="1:1">
      <c r="A745" s="741"/>
    </row>
    <row r="746" spans="1:1">
      <c r="A746" s="741"/>
    </row>
    <row r="747" spans="1:1">
      <c r="A747" s="741"/>
    </row>
    <row r="748" spans="1:1">
      <c r="A748" s="741"/>
    </row>
    <row r="749" spans="1:1">
      <c r="A749" s="741"/>
    </row>
    <row r="750" spans="1:1">
      <c r="A750" s="741"/>
    </row>
    <row r="751" spans="1:1">
      <c r="A751" s="741"/>
    </row>
    <row r="752" spans="1:1">
      <c r="A752" s="741"/>
    </row>
    <row r="753" spans="1:1">
      <c r="A753" s="741"/>
    </row>
    <row r="754" spans="1:1">
      <c r="A754" s="741"/>
    </row>
    <row r="755" spans="1:1">
      <c r="A755" s="741"/>
    </row>
    <row r="756" spans="1:1">
      <c r="A756" s="741"/>
    </row>
    <row r="757" spans="1:1">
      <c r="A757" s="741"/>
    </row>
    <row r="758" spans="1:1">
      <c r="A758" s="741"/>
    </row>
    <row r="759" spans="1:1">
      <c r="A759" s="741"/>
    </row>
    <row r="760" spans="1:1">
      <c r="A760" s="741"/>
    </row>
    <row r="761" spans="1:1">
      <c r="A761" s="741"/>
    </row>
    <row r="762" spans="1:1">
      <c r="A762" s="741"/>
    </row>
    <row r="763" spans="1:1">
      <c r="A763" s="741"/>
    </row>
    <row r="764" spans="1:1">
      <c r="A764" s="741"/>
    </row>
    <row r="765" spans="1:1">
      <c r="A765" s="741"/>
    </row>
    <row r="766" spans="1:1">
      <c r="A766" s="741"/>
    </row>
    <row r="767" spans="1:1">
      <c r="A767" s="741"/>
    </row>
    <row r="768" spans="1:1">
      <c r="A768" s="741"/>
    </row>
    <row r="769" spans="1:1">
      <c r="A769" s="741"/>
    </row>
    <row r="770" spans="1:1">
      <c r="A770" s="741"/>
    </row>
    <row r="771" spans="1:1">
      <c r="A771" s="741"/>
    </row>
    <row r="772" spans="1:1">
      <c r="A772" s="741"/>
    </row>
    <row r="773" spans="1:1">
      <c r="A773" s="741"/>
    </row>
    <row r="774" spans="1:1">
      <c r="A774" s="741"/>
    </row>
    <row r="775" spans="1:1">
      <c r="A775" s="741"/>
    </row>
    <row r="776" spans="1:1">
      <c r="A776" s="741"/>
    </row>
    <row r="777" spans="1:1">
      <c r="A777" s="741"/>
    </row>
    <row r="778" spans="1:1">
      <c r="A778" s="741"/>
    </row>
    <row r="779" spans="1:1">
      <c r="A779" s="741"/>
    </row>
    <row r="780" spans="1:1">
      <c r="A780" s="741"/>
    </row>
    <row r="781" spans="1:1">
      <c r="A781" s="741"/>
    </row>
    <row r="782" spans="1:1">
      <c r="A782" s="741"/>
    </row>
    <row r="783" spans="1:1">
      <c r="A783" s="741"/>
    </row>
    <row r="784" spans="1:1">
      <c r="A784" s="741"/>
    </row>
    <row r="785" spans="1:1">
      <c r="A785" s="741"/>
    </row>
    <row r="786" spans="1:1">
      <c r="A786" s="741"/>
    </row>
    <row r="787" spans="1:1">
      <c r="A787" s="741"/>
    </row>
    <row r="788" spans="1:1">
      <c r="A788" s="741"/>
    </row>
    <row r="789" spans="1:1">
      <c r="A789" s="741"/>
    </row>
    <row r="790" spans="1:1">
      <c r="A790" s="741"/>
    </row>
    <row r="791" spans="1:1">
      <c r="A791" s="741"/>
    </row>
    <row r="792" spans="1:1">
      <c r="A792" s="741"/>
    </row>
    <row r="793" spans="1:1">
      <c r="A793" s="741"/>
    </row>
    <row r="794" spans="1:1">
      <c r="A794" s="741"/>
    </row>
    <row r="795" spans="1:1">
      <c r="A795" s="741"/>
    </row>
    <row r="796" spans="1:1">
      <c r="A796" s="741"/>
    </row>
    <row r="797" spans="1:1">
      <c r="A797" s="741"/>
    </row>
    <row r="798" spans="1:1">
      <c r="A798" s="741"/>
    </row>
    <row r="799" spans="1:1">
      <c r="A799" s="741"/>
    </row>
    <row r="800" spans="1:1">
      <c r="A800" s="741"/>
    </row>
    <row r="801" spans="1:1">
      <c r="A801" s="741"/>
    </row>
    <row r="802" spans="1:1">
      <c r="A802" s="741"/>
    </row>
    <row r="803" spans="1:1">
      <c r="A803" s="741"/>
    </row>
    <row r="804" spans="1:1">
      <c r="A804" s="741"/>
    </row>
    <row r="805" spans="1:1">
      <c r="A805" s="741"/>
    </row>
    <row r="806" spans="1:1">
      <c r="A806" s="741"/>
    </row>
    <row r="807" spans="1:1">
      <c r="A807" s="741"/>
    </row>
    <row r="808" spans="1:1">
      <c r="A808" s="741"/>
    </row>
    <row r="809" spans="1:1">
      <c r="A809" s="741"/>
    </row>
    <row r="810" spans="1:1">
      <c r="A810" s="741"/>
    </row>
    <row r="811" spans="1:1">
      <c r="A811" s="741"/>
    </row>
    <row r="812" spans="1:1">
      <c r="A812" s="741"/>
    </row>
    <row r="813" spans="1:1">
      <c r="A813" s="741"/>
    </row>
    <row r="814" spans="1:1">
      <c r="A814" s="741"/>
    </row>
    <row r="815" spans="1:1">
      <c r="A815" s="741"/>
    </row>
    <row r="816" spans="1:1">
      <c r="A816" s="741"/>
    </row>
    <row r="817" spans="1:1">
      <c r="A817" s="741"/>
    </row>
    <row r="818" spans="1:1">
      <c r="A818" s="741"/>
    </row>
    <row r="819" spans="1:1">
      <c r="A819" s="741"/>
    </row>
    <row r="820" spans="1:1">
      <c r="A820" s="741"/>
    </row>
    <row r="821" spans="1:1">
      <c r="A821" s="741"/>
    </row>
    <row r="822" spans="1:1">
      <c r="A822" s="741"/>
    </row>
    <row r="823" spans="1:1">
      <c r="A823" s="741"/>
    </row>
    <row r="824" spans="1:1">
      <c r="A824" s="741"/>
    </row>
    <row r="825" spans="1:1">
      <c r="A825" s="741"/>
    </row>
    <row r="826" spans="1:1">
      <c r="A826" s="741"/>
    </row>
    <row r="827" spans="1:1">
      <c r="A827" s="741"/>
    </row>
    <row r="828" spans="1:1">
      <c r="A828" s="741"/>
    </row>
    <row r="829" spans="1:1">
      <c r="A829" s="741"/>
    </row>
    <row r="830" spans="1:1">
      <c r="A830" s="741"/>
    </row>
    <row r="831" spans="1:1">
      <c r="A831" s="741"/>
    </row>
    <row r="832" spans="1:1">
      <c r="A832" s="741"/>
    </row>
    <row r="833" spans="1:1">
      <c r="A833" s="741"/>
    </row>
    <row r="834" spans="1:1">
      <c r="A834" s="741"/>
    </row>
    <row r="835" spans="1:1">
      <c r="A835" s="741"/>
    </row>
    <row r="836" spans="1:1">
      <c r="A836" s="741"/>
    </row>
    <row r="837" spans="1:1">
      <c r="A837" s="741"/>
    </row>
    <row r="838" spans="1:1">
      <c r="A838" s="741"/>
    </row>
    <row r="839" spans="1:1">
      <c r="A839" s="741"/>
    </row>
    <row r="840" spans="1:1">
      <c r="A840" s="741"/>
    </row>
    <row r="841" spans="1:1">
      <c r="A841" s="741"/>
    </row>
    <row r="842" spans="1:1">
      <c r="A842" s="741"/>
    </row>
    <row r="843" spans="1:1">
      <c r="A843" s="741"/>
    </row>
    <row r="844" spans="1:1">
      <c r="A844" s="741"/>
    </row>
    <row r="845" spans="1:1">
      <c r="A845" s="741"/>
    </row>
    <row r="846" spans="1:1">
      <c r="A846" s="741"/>
    </row>
    <row r="847" spans="1:1">
      <c r="A847" s="741"/>
    </row>
    <row r="848" spans="1:1">
      <c r="A848" s="741"/>
    </row>
    <row r="849" spans="1:1">
      <c r="A849" s="741"/>
    </row>
    <row r="850" spans="1:1">
      <c r="A850" s="741"/>
    </row>
    <row r="851" spans="1:1">
      <c r="A851" s="741"/>
    </row>
    <row r="852" spans="1:1">
      <c r="A852" s="741"/>
    </row>
    <row r="853" spans="1:1">
      <c r="A853" s="741"/>
    </row>
    <row r="854" spans="1:1">
      <c r="A854" s="741"/>
    </row>
    <row r="855" spans="1:1">
      <c r="A855" s="741"/>
    </row>
    <row r="856" spans="1:1">
      <c r="A856" s="741"/>
    </row>
    <row r="857" spans="1:1">
      <c r="A857" s="741"/>
    </row>
    <row r="858" spans="1:1">
      <c r="A858" s="741"/>
    </row>
    <row r="859" spans="1:1">
      <c r="A859" s="741"/>
    </row>
    <row r="860" spans="1:1">
      <c r="A860" s="741"/>
    </row>
    <row r="861" spans="1:1">
      <c r="A861" s="741"/>
    </row>
    <row r="862" spans="1:1">
      <c r="A862" s="741"/>
    </row>
    <row r="863" spans="1:1">
      <c r="A863" s="741"/>
    </row>
    <row r="864" spans="1:1">
      <c r="A864" s="741"/>
    </row>
    <row r="865" spans="1:1">
      <c r="A865" s="741"/>
    </row>
    <row r="866" spans="1:1">
      <c r="A866" s="741"/>
    </row>
    <row r="867" spans="1:1">
      <c r="A867" s="741"/>
    </row>
    <row r="868" spans="1:1">
      <c r="A868" s="741"/>
    </row>
    <row r="869" spans="1:1">
      <c r="A869" s="741"/>
    </row>
    <row r="870" spans="1:1">
      <c r="A870" s="741"/>
    </row>
    <row r="871" spans="1:1">
      <c r="A871" s="741"/>
    </row>
    <row r="872" spans="1:1">
      <c r="A872" s="741"/>
    </row>
    <row r="873" spans="1:1">
      <c r="A873" s="741"/>
    </row>
    <row r="874" spans="1:1">
      <c r="A874" s="741"/>
    </row>
    <row r="875" spans="1:1">
      <c r="A875" s="741"/>
    </row>
    <row r="876" spans="1:1">
      <c r="A876" s="741"/>
    </row>
    <row r="877" spans="1:1">
      <c r="A877" s="741"/>
    </row>
    <row r="878" spans="1:1">
      <c r="A878" s="741"/>
    </row>
    <row r="879" spans="1:1">
      <c r="A879" s="741"/>
    </row>
    <row r="880" spans="1:1">
      <c r="A880" s="741"/>
    </row>
    <row r="881" spans="1:1">
      <c r="A881" s="741"/>
    </row>
    <row r="882" spans="1:1">
      <c r="A882" s="741"/>
    </row>
    <row r="883" spans="1:1">
      <c r="A883" s="741"/>
    </row>
    <row r="884" spans="1:1">
      <c r="A884" s="741"/>
    </row>
    <row r="885" spans="1:1">
      <c r="A885" s="741"/>
    </row>
    <row r="886" spans="1:1">
      <c r="A886" s="741"/>
    </row>
    <row r="887" spans="1:1">
      <c r="A887" s="741"/>
    </row>
    <row r="888" spans="1:1">
      <c r="A888" s="741"/>
    </row>
    <row r="889" spans="1:1">
      <c r="A889" s="741"/>
    </row>
    <row r="890" spans="1:1">
      <c r="A890" s="741"/>
    </row>
    <row r="891" spans="1:1">
      <c r="A891" s="741"/>
    </row>
    <row r="892" spans="1:1">
      <c r="A892" s="741"/>
    </row>
    <row r="893" spans="1:1">
      <c r="A893" s="741"/>
    </row>
    <row r="894" spans="1:1">
      <c r="A894" s="741"/>
    </row>
    <row r="895" spans="1:1">
      <c r="A895" s="741"/>
    </row>
    <row r="896" spans="1:1">
      <c r="A896" s="741"/>
    </row>
    <row r="897" spans="1:1">
      <c r="A897" s="741"/>
    </row>
    <row r="898" spans="1:1">
      <c r="A898" s="741"/>
    </row>
    <row r="899" spans="1:1">
      <c r="A899" s="741"/>
    </row>
    <row r="900" spans="1:1">
      <c r="A900" s="741"/>
    </row>
    <row r="901" spans="1:1">
      <c r="A901" s="741"/>
    </row>
    <row r="902" spans="1:1">
      <c r="A902" s="741"/>
    </row>
    <row r="903" spans="1:1">
      <c r="A903" s="741"/>
    </row>
    <row r="904" spans="1:1">
      <c r="A904" s="741"/>
    </row>
    <row r="905" spans="1:1">
      <c r="A905" s="741"/>
    </row>
    <row r="906" spans="1:1">
      <c r="A906" s="741"/>
    </row>
    <row r="907" spans="1:1">
      <c r="A907" s="741"/>
    </row>
    <row r="908" spans="1:1">
      <c r="A908" s="741"/>
    </row>
    <row r="909" spans="1:1">
      <c r="A909" s="741"/>
    </row>
    <row r="910" spans="1:1">
      <c r="A910" s="741"/>
    </row>
    <row r="911" spans="1:1">
      <c r="A911" s="741"/>
    </row>
    <row r="912" spans="1:1">
      <c r="A912" s="741"/>
    </row>
    <row r="913" spans="1:1">
      <c r="A913" s="741"/>
    </row>
    <row r="914" spans="1:1">
      <c r="A914" s="741"/>
    </row>
    <row r="915" spans="1:1">
      <c r="A915" s="741"/>
    </row>
    <row r="916" spans="1:1">
      <c r="A916" s="741"/>
    </row>
    <row r="917" spans="1:1">
      <c r="A917" s="741"/>
    </row>
    <row r="918" spans="1:1">
      <c r="A918" s="741"/>
    </row>
    <row r="919" spans="1:1">
      <c r="A919" s="741"/>
    </row>
    <row r="920" spans="1:1">
      <c r="A920" s="741"/>
    </row>
    <row r="921" spans="1:1">
      <c r="A921" s="741"/>
    </row>
    <row r="922" spans="1:1">
      <c r="A922" s="741"/>
    </row>
    <row r="923" spans="1:1">
      <c r="A923" s="741"/>
    </row>
    <row r="924" spans="1:1">
      <c r="A924" s="741"/>
    </row>
    <row r="925" spans="1:1">
      <c r="A925" s="741"/>
    </row>
    <row r="926" spans="1:1">
      <c r="A926" s="741"/>
    </row>
    <row r="927" spans="1:1">
      <c r="A927" s="741"/>
    </row>
    <row r="928" spans="1:1">
      <c r="A928" s="741"/>
    </row>
    <row r="929" spans="1:1">
      <c r="A929" s="741"/>
    </row>
    <row r="930" spans="1:1">
      <c r="A930" s="741"/>
    </row>
    <row r="931" spans="1:1">
      <c r="A931" s="741"/>
    </row>
    <row r="932" spans="1:1">
      <c r="A932" s="741"/>
    </row>
    <row r="933" spans="1:1">
      <c r="A933" s="741"/>
    </row>
    <row r="934" spans="1:1">
      <c r="A934" s="741"/>
    </row>
    <row r="935" spans="1:1">
      <c r="A935" s="741"/>
    </row>
    <row r="936" spans="1:1">
      <c r="A936" s="741"/>
    </row>
    <row r="937" spans="1:1">
      <c r="A937" s="741"/>
    </row>
    <row r="938" spans="1:1">
      <c r="A938" s="741"/>
    </row>
    <row r="939" spans="1:1">
      <c r="A939" s="741"/>
    </row>
    <row r="940" spans="1:1">
      <c r="A940" s="741"/>
    </row>
    <row r="941" spans="1:1">
      <c r="A941" s="741"/>
    </row>
    <row r="942" spans="1:1">
      <c r="A942" s="741"/>
    </row>
    <row r="943" spans="1:1">
      <c r="A943" s="741"/>
    </row>
    <row r="944" spans="1:1">
      <c r="A944" s="741"/>
    </row>
    <row r="945" spans="1:1">
      <c r="A945" s="741"/>
    </row>
    <row r="946" spans="1:1">
      <c r="A946" s="741"/>
    </row>
    <row r="947" spans="1:1">
      <c r="A947" s="741"/>
    </row>
    <row r="948" spans="1:1">
      <c r="A948" s="741"/>
    </row>
    <row r="949" spans="1:1">
      <c r="A949" s="741"/>
    </row>
    <row r="950" spans="1:1">
      <c r="A950" s="741"/>
    </row>
    <row r="951" spans="1:1">
      <c r="A951" s="741"/>
    </row>
    <row r="952" spans="1:1">
      <c r="A952" s="741"/>
    </row>
    <row r="953" spans="1:1">
      <c r="A953" s="741"/>
    </row>
    <row r="954" spans="1:1">
      <c r="A954" s="741"/>
    </row>
    <row r="955" spans="1:1">
      <c r="A955" s="741"/>
    </row>
    <row r="956" spans="1:1">
      <c r="A956" s="741"/>
    </row>
    <row r="957" spans="1:1">
      <c r="A957" s="741"/>
    </row>
    <row r="958" spans="1:1">
      <c r="A958" s="741"/>
    </row>
    <row r="959" spans="1:1">
      <c r="A959" s="741"/>
    </row>
    <row r="960" spans="1:1">
      <c r="A960" s="741"/>
    </row>
    <row r="961" spans="1:1">
      <c r="A961" s="741"/>
    </row>
    <row r="962" spans="1:1">
      <c r="A962" s="741"/>
    </row>
    <row r="963" spans="1:1">
      <c r="A963" s="741"/>
    </row>
    <row r="964" spans="1:1">
      <c r="A964" s="741"/>
    </row>
    <row r="965" spans="1:1">
      <c r="A965" s="741"/>
    </row>
    <row r="966" spans="1:1">
      <c r="A966" s="741"/>
    </row>
    <row r="967" spans="1:1">
      <c r="A967" s="741"/>
    </row>
    <row r="968" spans="1:1">
      <c r="A968" s="741"/>
    </row>
    <row r="969" spans="1:1">
      <c r="A969" s="741"/>
    </row>
    <row r="970" spans="1:1">
      <c r="A970" s="741"/>
    </row>
    <row r="971" spans="1:1">
      <c r="A971" s="741"/>
    </row>
    <row r="972" spans="1:1">
      <c r="A972" s="741"/>
    </row>
    <row r="973" spans="1:1">
      <c r="A973" s="741"/>
    </row>
    <row r="974" spans="1:1">
      <c r="A974" s="741"/>
    </row>
    <row r="975" spans="1:1">
      <c r="A975" s="741"/>
    </row>
    <row r="976" spans="1:1">
      <c r="A976" s="741"/>
    </row>
    <row r="977" spans="1:1">
      <c r="A977" s="741"/>
    </row>
    <row r="978" spans="1:1">
      <c r="A978" s="741"/>
    </row>
    <row r="979" spans="1:1">
      <c r="A979" s="741"/>
    </row>
    <row r="980" spans="1:1">
      <c r="A980" s="741"/>
    </row>
    <row r="981" spans="1:1">
      <c r="A981" s="741"/>
    </row>
    <row r="982" spans="1:1">
      <c r="A982" s="741"/>
    </row>
    <row r="983" spans="1:1">
      <c r="A983" s="741"/>
    </row>
    <row r="984" spans="1:1">
      <c r="A984" s="741"/>
    </row>
    <row r="985" spans="1:1">
      <c r="A985" s="741"/>
    </row>
    <row r="986" spans="1:1">
      <c r="A986" s="741"/>
    </row>
    <row r="987" spans="1:1">
      <c r="A987" s="741"/>
    </row>
    <row r="988" spans="1:1">
      <c r="A988" s="741"/>
    </row>
    <row r="989" spans="1:1">
      <c r="A989" s="741"/>
    </row>
    <row r="990" spans="1:1">
      <c r="A990" s="741"/>
    </row>
    <row r="991" spans="1:1">
      <c r="A991" s="741"/>
    </row>
    <row r="992" spans="1:1">
      <c r="A992" s="741"/>
    </row>
    <row r="993" spans="1:1">
      <c r="A993" s="741"/>
    </row>
    <row r="994" spans="1:1">
      <c r="A994" s="741"/>
    </row>
    <row r="995" spans="1:1">
      <c r="A995" s="741"/>
    </row>
    <row r="996" spans="1:1">
      <c r="A996" s="741"/>
    </row>
    <row r="997" spans="1:1">
      <c r="A997" s="741"/>
    </row>
    <row r="998" spans="1:1">
      <c r="A998" s="741"/>
    </row>
    <row r="999" spans="1:1">
      <c r="A999" s="741"/>
    </row>
    <row r="1000" spans="1:1">
      <c r="A1000" s="741"/>
    </row>
    <row r="1001" spans="1:1">
      <c r="A1001" s="741"/>
    </row>
    <row r="1002" spans="1:1">
      <c r="A1002" s="741"/>
    </row>
    <row r="1003" spans="1:1">
      <c r="A1003" s="741"/>
    </row>
    <row r="1004" spans="1:1">
      <c r="A1004" s="741"/>
    </row>
    <row r="1005" spans="1:1">
      <c r="A1005" s="741"/>
    </row>
    <row r="1006" spans="1:1">
      <c r="A1006" s="741"/>
    </row>
    <row r="1007" spans="1:1">
      <c r="A1007" s="741"/>
    </row>
    <row r="1008" spans="1:1">
      <c r="A1008" s="741"/>
    </row>
    <row r="1009" spans="1:1">
      <c r="A1009" s="741"/>
    </row>
    <row r="1010" spans="1:1">
      <c r="A1010" s="741"/>
    </row>
    <row r="1011" spans="1:1">
      <c r="A1011" s="741"/>
    </row>
    <row r="1012" spans="1:1">
      <c r="A1012" s="741"/>
    </row>
    <row r="1013" spans="1:1">
      <c r="A1013" s="741"/>
    </row>
    <row r="1014" spans="1:1">
      <c r="A1014" s="741"/>
    </row>
    <row r="1015" spans="1:1">
      <c r="A1015" s="741"/>
    </row>
    <row r="1016" spans="1:1">
      <c r="A1016" s="741"/>
    </row>
    <row r="1017" spans="1:1">
      <c r="A1017" s="741"/>
    </row>
    <row r="1018" spans="1:1">
      <c r="A1018" s="741"/>
    </row>
    <row r="1019" spans="1:1">
      <c r="A1019" s="741"/>
    </row>
    <row r="1020" spans="1:1">
      <c r="A1020" s="741"/>
    </row>
    <row r="1021" spans="1:1">
      <c r="A1021" s="741"/>
    </row>
    <row r="1022" spans="1:1">
      <c r="A1022" s="741"/>
    </row>
    <row r="1023" spans="1:1">
      <c r="A1023" s="741"/>
    </row>
    <row r="1024" spans="1:1">
      <c r="A1024" s="741"/>
    </row>
    <row r="1025" spans="1:1">
      <c r="A1025" s="741"/>
    </row>
    <row r="1026" spans="1:1">
      <c r="A1026" s="741"/>
    </row>
    <row r="1027" spans="1:1">
      <c r="A1027" s="741"/>
    </row>
    <row r="1028" spans="1:1">
      <c r="A1028" s="741"/>
    </row>
    <row r="1029" spans="1:1">
      <c r="A1029" s="741"/>
    </row>
    <row r="1030" spans="1:1">
      <c r="A1030" s="741"/>
    </row>
    <row r="1031" spans="1:1">
      <c r="A1031" s="741"/>
    </row>
    <row r="1032" spans="1:1">
      <c r="A1032" s="741"/>
    </row>
    <row r="1033" spans="1:1">
      <c r="A1033" s="741"/>
    </row>
    <row r="1034" spans="1:1">
      <c r="A1034" s="741"/>
    </row>
    <row r="1035" spans="1:1">
      <c r="A1035" s="741"/>
    </row>
    <row r="1036" spans="1:1">
      <c r="A1036" s="741"/>
    </row>
    <row r="1037" spans="1:1">
      <c r="A1037" s="741"/>
    </row>
    <row r="1038" spans="1:1">
      <c r="A1038" s="741"/>
    </row>
    <row r="1039" spans="1:1">
      <c r="A1039" s="741"/>
    </row>
    <row r="1040" spans="1:1">
      <c r="A1040" s="741"/>
    </row>
    <row r="1041" spans="1:1">
      <c r="A1041" s="741"/>
    </row>
    <row r="1042" spans="1:1">
      <c r="A1042" s="741"/>
    </row>
    <row r="1043" spans="1:1">
      <c r="A1043" s="741"/>
    </row>
    <row r="1044" spans="1:1">
      <c r="A1044" s="741"/>
    </row>
    <row r="1045" spans="1:1">
      <c r="A1045" s="741"/>
    </row>
    <row r="1046" spans="1:1">
      <c r="A1046" s="741"/>
    </row>
    <row r="1047" spans="1:1">
      <c r="A1047" s="741"/>
    </row>
    <row r="1048" spans="1:1">
      <c r="A1048" s="741"/>
    </row>
    <row r="1049" spans="1:1">
      <c r="A1049" s="741"/>
    </row>
    <row r="1050" spans="1:1">
      <c r="A1050" s="741"/>
    </row>
    <row r="1051" spans="1:1">
      <c r="A1051" s="741"/>
    </row>
    <row r="1052" spans="1:1">
      <c r="A1052" s="741"/>
    </row>
    <row r="1053" spans="1:1">
      <c r="A1053" s="741"/>
    </row>
    <row r="1054" spans="1:1">
      <c r="A1054" s="741"/>
    </row>
    <row r="1055" spans="1:1">
      <c r="A1055" s="741"/>
    </row>
    <row r="1056" spans="1:1">
      <c r="A1056" s="741"/>
    </row>
    <row r="1057" spans="1:1">
      <c r="A1057" s="741"/>
    </row>
    <row r="1058" spans="1:1">
      <c r="A1058" s="741"/>
    </row>
    <row r="1059" spans="1:1">
      <c r="A1059" s="741"/>
    </row>
    <row r="1060" spans="1:1">
      <c r="A1060" s="741"/>
    </row>
    <row r="1061" spans="1:1">
      <c r="A1061" s="741"/>
    </row>
    <row r="1062" spans="1:1">
      <c r="A1062" s="741"/>
    </row>
    <row r="1063" spans="1:1">
      <c r="A1063" s="741"/>
    </row>
    <row r="1064" spans="1:1">
      <c r="A1064" s="741"/>
    </row>
    <row r="1065" spans="1:1">
      <c r="A1065" s="741"/>
    </row>
    <row r="1066" spans="1:1">
      <c r="A1066" s="741"/>
    </row>
    <row r="1067" spans="1:1">
      <c r="A1067" s="741"/>
    </row>
    <row r="1068" spans="1:1">
      <c r="A1068" s="741"/>
    </row>
    <row r="1069" spans="1:1">
      <c r="A1069" s="741"/>
    </row>
    <row r="1070" spans="1:1">
      <c r="A1070" s="741"/>
    </row>
    <row r="1071" spans="1:1">
      <c r="A1071" s="741"/>
    </row>
    <row r="1072" spans="1:1">
      <c r="A1072" s="741"/>
    </row>
    <row r="1073" spans="1:1">
      <c r="A1073" s="741"/>
    </row>
    <row r="1074" spans="1:1">
      <c r="A1074" s="741"/>
    </row>
    <row r="1075" spans="1:1">
      <c r="A1075" s="741"/>
    </row>
    <row r="1076" spans="1:1">
      <c r="A1076" s="741"/>
    </row>
    <row r="1077" spans="1:1">
      <c r="A1077" s="741"/>
    </row>
    <row r="1078" spans="1:1">
      <c r="A1078" s="741"/>
    </row>
    <row r="1079" spans="1:1">
      <c r="A1079" s="741"/>
    </row>
    <row r="1080" spans="1:1">
      <c r="A1080" s="741"/>
    </row>
    <row r="1081" spans="1:1">
      <c r="A1081" s="741"/>
    </row>
    <row r="1082" spans="1:1">
      <c r="A1082" s="741"/>
    </row>
    <row r="1083" spans="1:1">
      <c r="A1083" s="741"/>
    </row>
    <row r="1084" spans="1:1">
      <c r="A1084" s="741"/>
    </row>
    <row r="1085" spans="1:1">
      <c r="A1085" s="741"/>
    </row>
    <row r="1086" spans="1:1">
      <c r="A1086" s="741"/>
    </row>
    <row r="1087" spans="1:1">
      <c r="A1087" s="741"/>
    </row>
    <row r="1088" spans="1:1">
      <c r="A1088" s="741"/>
    </row>
    <row r="1089" spans="1:1">
      <c r="A1089" s="741"/>
    </row>
    <row r="1090" spans="1:1">
      <c r="A1090" s="741"/>
    </row>
    <row r="1091" spans="1:1">
      <c r="A1091" s="741"/>
    </row>
    <row r="1092" spans="1:1">
      <c r="A1092" s="741"/>
    </row>
    <row r="1093" spans="1:1">
      <c r="A1093" s="741"/>
    </row>
    <row r="1094" spans="1:1">
      <c r="A1094" s="741"/>
    </row>
    <row r="1095" spans="1:1">
      <c r="A1095" s="741"/>
    </row>
    <row r="1096" spans="1:1">
      <c r="A1096" s="741"/>
    </row>
    <row r="1097" spans="1:1">
      <c r="A1097" s="741"/>
    </row>
    <row r="1098" spans="1:1">
      <c r="A1098" s="741"/>
    </row>
    <row r="1099" spans="1:1">
      <c r="A1099" s="741"/>
    </row>
    <row r="1100" spans="1:1">
      <c r="A1100" s="741"/>
    </row>
    <row r="1101" spans="1:1">
      <c r="A1101" s="741"/>
    </row>
    <row r="1102" spans="1:1">
      <c r="A1102" s="741"/>
    </row>
    <row r="1103" spans="1:1">
      <c r="A1103" s="741"/>
    </row>
    <row r="1104" spans="1:1">
      <c r="A1104" s="741"/>
    </row>
    <row r="1105" spans="1:1">
      <c r="A1105" s="741"/>
    </row>
    <row r="1106" spans="1:1">
      <c r="A1106" s="741"/>
    </row>
    <row r="1107" spans="1:1">
      <c r="A1107" s="741"/>
    </row>
    <row r="1108" spans="1:1">
      <c r="A1108" s="741"/>
    </row>
    <row r="1109" spans="1:1">
      <c r="A1109" s="741"/>
    </row>
    <row r="1110" spans="1:1">
      <c r="A1110" s="741"/>
    </row>
    <row r="1111" spans="1:1">
      <c r="A1111" s="741"/>
    </row>
    <row r="1112" spans="1:1">
      <c r="A1112" s="741"/>
    </row>
    <row r="1113" spans="1:1">
      <c r="A1113" s="741"/>
    </row>
    <row r="1114" spans="1:1">
      <c r="A1114" s="741"/>
    </row>
    <row r="1115" spans="1:1">
      <c r="A1115" s="741"/>
    </row>
    <row r="1116" spans="1:1">
      <c r="A1116" s="741"/>
    </row>
    <row r="1117" spans="1:1">
      <c r="A1117" s="741"/>
    </row>
    <row r="1118" spans="1:1">
      <c r="A1118" s="741"/>
    </row>
    <row r="1119" spans="1:1">
      <c r="A1119" s="741"/>
    </row>
    <row r="1120" spans="1:1">
      <c r="A1120" s="741"/>
    </row>
    <row r="1121" spans="1:1">
      <c r="A1121" s="741"/>
    </row>
    <row r="1122" spans="1:1">
      <c r="A1122" s="741"/>
    </row>
    <row r="1123" spans="1:1">
      <c r="A1123" s="741"/>
    </row>
    <row r="1124" spans="1:1">
      <c r="A1124" s="741"/>
    </row>
    <row r="1125" spans="1:1">
      <c r="A1125" s="741"/>
    </row>
    <row r="1126" spans="1:1">
      <c r="A1126" s="741"/>
    </row>
    <row r="1127" spans="1:1">
      <c r="A1127" s="741"/>
    </row>
    <row r="1128" spans="1:1">
      <c r="A1128" s="741"/>
    </row>
    <row r="1129" spans="1:1">
      <c r="A1129" s="741"/>
    </row>
    <row r="1130" spans="1:1">
      <c r="A1130" s="741"/>
    </row>
    <row r="1131" spans="1:1">
      <c r="A1131" s="741"/>
    </row>
    <row r="1132" spans="1:1">
      <c r="A1132" s="741"/>
    </row>
    <row r="1133" spans="1:1">
      <c r="A1133" s="741"/>
    </row>
    <row r="1134" spans="1:1">
      <c r="A1134" s="741"/>
    </row>
    <row r="1135" spans="1:1">
      <c r="A1135" s="741"/>
    </row>
    <row r="1136" spans="1:1">
      <c r="A1136" s="741"/>
    </row>
    <row r="1137" spans="1:1">
      <c r="A1137" s="741"/>
    </row>
    <row r="1138" spans="1:1">
      <c r="A1138" s="741"/>
    </row>
    <row r="1139" spans="1:1">
      <c r="A1139" s="741"/>
    </row>
    <row r="1140" spans="1:1">
      <c r="A1140" s="741"/>
    </row>
    <row r="1141" spans="1:1">
      <c r="A1141" s="741"/>
    </row>
    <row r="1142" spans="1:1">
      <c r="A1142" s="741"/>
    </row>
    <row r="1143" spans="1:1">
      <c r="A1143" s="741"/>
    </row>
    <row r="1144" spans="1:1">
      <c r="A1144" s="741"/>
    </row>
    <row r="1145" spans="1:1">
      <c r="A1145" s="741"/>
    </row>
    <row r="1146" spans="1:1">
      <c r="A1146" s="741"/>
    </row>
    <row r="1147" spans="1:1">
      <c r="A1147" s="741"/>
    </row>
    <row r="1148" spans="1:1">
      <c r="A1148" s="741"/>
    </row>
    <row r="1149" spans="1:1">
      <c r="A1149" s="741"/>
    </row>
    <row r="1150" spans="1:1">
      <c r="A1150" s="741"/>
    </row>
    <row r="1151" spans="1:1">
      <c r="A1151" s="741"/>
    </row>
    <row r="1152" spans="1:1">
      <c r="A1152" s="741"/>
    </row>
    <row r="1153" spans="1:1">
      <c r="A1153" s="741"/>
    </row>
    <row r="1154" spans="1:1">
      <c r="A1154" s="741"/>
    </row>
    <row r="1155" spans="1:1">
      <c r="A1155" s="741"/>
    </row>
    <row r="1156" spans="1:1">
      <c r="A1156" s="741"/>
    </row>
    <row r="1157" spans="1:1">
      <c r="A1157" s="741"/>
    </row>
    <row r="1158" spans="1:1">
      <c r="A1158" s="741"/>
    </row>
    <row r="1159" spans="1:1">
      <c r="A1159" s="741"/>
    </row>
    <row r="1160" spans="1:1">
      <c r="A1160" s="741"/>
    </row>
    <row r="1161" spans="1:1">
      <c r="A1161" s="741"/>
    </row>
    <row r="1162" spans="1:1">
      <c r="A1162" s="741"/>
    </row>
    <row r="1163" spans="1:1">
      <c r="A1163" s="741"/>
    </row>
    <row r="1164" spans="1:1">
      <c r="A1164" s="741"/>
    </row>
    <row r="1165" spans="1:1">
      <c r="A1165" s="741"/>
    </row>
    <row r="1166" spans="1:1">
      <c r="A1166" s="741"/>
    </row>
    <row r="1167" spans="1:1">
      <c r="A1167" s="741"/>
    </row>
    <row r="1168" spans="1:1">
      <c r="A1168" s="741"/>
    </row>
    <row r="1169" spans="1:1">
      <c r="A1169" s="741"/>
    </row>
    <row r="1170" spans="1:1">
      <c r="A1170" s="741"/>
    </row>
    <row r="1171" spans="1:1">
      <c r="A1171" s="741"/>
    </row>
    <row r="1172" spans="1:1">
      <c r="A1172" s="741"/>
    </row>
    <row r="1173" spans="1:1">
      <c r="A1173" s="741"/>
    </row>
    <row r="1174" spans="1:1">
      <c r="A1174" s="741"/>
    </row>
    <row r="1175" spans="1:1">
      <c r="A1175" s="741"/>
    </row>
    <row r="1176" spans="1:1">
      <c r="A1176" s="741"/>
    </row>
    <row r="1177" spans="1:1">
      <c r="A1177" s="741"/>
    </row>
    <row r="1178" spans="1:1">
      <c r="A1178" s="741"/>
    </row>
    <row r="1179" spans="1:1">
      <c r="A1179" s="741"/>
    </row>
    <row r="1180" spans="1:1">
      <c r="A1180" s="741"/>
    </row>
    <row r="1181" spans="1:1">
      <c r="A1181" s="741"/>
    </row>
    <row r="1182" spans="1:1">
      <c r="A1182" s="741"/>
    </row>
    <row r="1183" spans="1:1">
      <c r="A1183" s="741"/>
    </row>
    <row r="1184" spans="1:1">
      <c r="A1184" s="741"/>
    </row>
    <row r="1185" spans="1:1">
      <c r="A1185" s="741"/>
    </row>
    <row r="1186" spans="1:1">
      <c r="A1186" s="741"/>
    </row>
    <row r="1187" spans="1:1">
      <c r="A1187" s="741"/>
    </row>
    <row r="1188" spans="1:1">
      <c r="A1188" s="741"/>
    </row>
    <row r="1189" spans="1:1">
      <c r="A1189" s="741"/>
    </row>
    <row r="1190" spans="1:1">
      <c r="A1190" s="741"/>
    </row>
    <row r="1191" spans="1:1">
      <c r="A1191" s="741"/>
    </row>
    <row r="1192" spans="1:1">
      <c r="A1192" s="741"/>
    </row>
    <row r="1193" spans="1:1">
      <c r="A1193" s="741"/>
    </row>
    <row r="1194" spans="1:1">
      <c r="A1194" s="741"/>
    </row>
    <row r="1195" spans="1:1">
      <c r="A1195" s="741"/>
    </row>
    <row r="1196" spans="1:1">
      <c r="A1196" s="741"/>
    </row>
    <row r="1197" spans="1:1">
      <c r="A1197" s="741"/>
    </row>
    <row r="1198" spans="1:1">
      <c r="A1198" s="741"/>
    </row>
    <row r="1199" spans="1:1">
      <c r="A1199" s="741"/>
    </row>
    <row r="1200" spans="1:1">
      <c r="A1200" s="741"/>
    </row>
    <row r="1201" spans="1:1">
      <c r="A1201" s="741"/>
    </row>
    <row r="1202" spans="1:1">
      <c r="A1202" s="741"/>
    </row>
    <row r="1203" spans="1:1">
      <c r="A1203" s="741"/>
    </row>
    <row r="1204" spans="1:1">
      <c r="A1204" s="741"/>
    </row>
    <row r="1205" spans="1:1">
      <c r="A1205" s="741"/>
    </row>
    <row r="1206" spans="1:1">
      <c r="A1206" s="741"/>
    </row>
    <row r="1207" spans="1:1">
      <c r="A1207" s="741"/>
    </row>
    <row r="1208" spans="1:1">
      <c r="A1208" s="741"/>
    </row>
    <row r="1209" spans="1:1">
      <c r="A1209" s="741"/>
    </row>
    <row r="1210" spans="1:1">
      <c r="A1210" s="741"/>
    </row>
    <row r="1211" spans="1:1">
      <c r="A1211" s="741"/>
    </row>
    <row r="1212" spans="1:1">
      <c r="A1212" s="741"/>
    </row>
    <row r="1213" spans="1:1">
      <c r="A1213" s="741"/>
    </row>
    <row r="1214" spans="1:1">
      <c r="A1214" s="741"/>
    </row>
    <row r="1215" spans="1:1">
      <c r="A1215" s="741"/>
    </row>
    <row r="1216" spans="1:1">
      <c r="A1216" s="741"/>
    </row>
    <row r="1217" spans="1:1">
      <c r="A1217" s="741"/>
    </row>
    <row r="1218" spans="1:1">
      <c r="A1218" s="741"/>
    </row>
    <row r="1219" spans="1:1">
      <c r="A1219" s="741"/>
    </row>
    <row r="1220" spans="1:1">
      <c r="A1220" s="741"/>
    </row>
    <row r="1221" spans="1:1">
      <c r="A1221" s="741"/>
    </row>
    <row r="1222" spans="1:1">
      <c r="A1222" s="741"/>
    </row>
    <row r="1223" spans="1:1">
      <c r="A1223" s="741"/>
    </row>
    <row r="1224" spans="1:1">
      <c r="A1224" s="741"/>
    </row>
    <row r="1225" spans="1:1">
      <c r="A1225" s="741"/>
    </row>
    <row r="1226" spans="1:1">
      <c r="A1226" s="741"/>
    </row>
    <row r="1227" spans="1:1">
      <c r="A1227" s="741"/>
    </row>
    <row r="1228" spans="1:1">
      <c r="A1228" s="741"/>
    </row>
    <row r="1229" spans="1:1">
      <c r="A1229" s="741"/>
    </row>
    <row r="1230" spans="1:1">
      <c r="A1230" s="741"/>
    </row>
    <row r="1231" spans="1:1">
      <c r="A1231" s="741"/>
    </row>
    <row r="1232" spans="1:1">
      <c r="A1232" s="741"/>
    </row>
    <row r="1233" spans="1:1">
      <c r="A1233" s="741"/>
    </row>
    <row r="1234" spans="1:1">
      <c r="A1234" s="741"/>
    </row>
    <row r="1235" spans="1:1">
      <c r="A1235" s="741"/>
    </row>
    <row r="1236" spans="1:1">
      <c r="A1236" s="741"/>
    </row>
    <row r="1237" spans="1:1">
      <c r="A1237" s="741"/>
    </row>
    <row r="1238" spans="1:1">
      <c r="A1238" s="741"/>
    </row>
    <row r="1239" spans="1:1">
      <c r="A1239" s="741"/>
    </row>
    <row r="1240" spans="1:1">
      <c r="A1240" s="741"/>
    </row>
    <row r="1241" spans="1:1">
      <c r="A1241" s="741"/>
    </row>
    <row r="1242" spans="1:1">
      <c r="A1242" s="741"/>
    </row>
    <row r="1243" spans="1:1">
      <c r="A1243" s="741"/>
    </row>
    <row r="1244" spans="1:1">
      <c r="A1244" s="741"/>
    </row>
    <row r="1245" spans="1:1">
      <c r="A1245" s="741"/>
    </row>
    <row r="1246" spans="1:1">
      <c r="A1246" s="741"/>
    </row>
    <row r="1247" spans="1:1">
      <c r="A1247" s="741"/>
    </row>
    <row r="1248" spans="1:1">
      <c r="A1248" s="741"/>
    </row>
    <row r="1249" spans="1:1">
      <c r="A1249" s="741"/>
    </row>
    <row r="1250" spans="1:1">
      <c r="A1250" s="741"/>
    </row>
    <row r="1251" spans="1:1">
      <c r="A1251" s="741"/>
    </row>
    <row r="1252" spans="1:1">
      <c r="A1252" s="741"/>
    </row>
    <row r="1253" spans="1:1">
      <c r="A1253" s="741"/>
    </row>
    <row r="1254" spans="1:1">
      <c r="A1254" s="741"/>
    </row>
    <row r="1255" spans="1:1">
      <c r="A1255" s="741"/>
    </row>
    <row r="1256" spans="1:1">
      <c r="A1256" s="741"/>
    </row>
    <row r="1257" spans="1:1">
      <c r="A1257" s="741"/>
    </row>
    <row r="1258" spans="1:1">
      <c r="A1258" s="741"/>
    </row>
    <row r="1259" spans="1:1">
      <c r="A1259" s="741"/>
    </row>
    <row r="1260" spans="1:1">
      <c r="A1260" s="741"/>
    </row>
    <row r="1261" spans="1:1">
      <c r="A1261" s="741"/>
    </row>
    <row r="1262" spans="1:1">
      <c r="A1262" s="741"/>
    </row>
    <row r="1263" spans="1:1">
      <c r="A1263" s="741"/>
    </row>
    <row r="1264" spans="1:1">
      <c r="A1264" s="741"/>
    </row>
    <row r="1265" spans="1:1">
      <c r="A1265" s="741"/>
    </row>
    <row r="1266" spans="1:1">
      <c r="A1266" s="741"/>
    </row>
    <row r="1267" spans="1:1">
      <c r="A1267" s="741"/>
    </row>
    <row r="1268" spans="1:1">
      <c r="A1268" s="741"/>
    </row>
    <row r="1269" spans="1:1">
      <c r="A1269" s="741"/>
    </row>
    <row r="1270" spans="1:1">
      <c r="A1270" s="741"/>
    </row>
    <row r="1271" spans="1:1">
      <c r="A1271" s="741"/>
    </row>
    <row r="1272" spans="1:1">
      <c r="A1272" s="741"/>
    </row>
    <row r="1273" spans="1:1">
      <c r="A1273" s="741"/>
    </row>
    <row r="1274" spans="1:1">
      <c r="A1274" s="741"/>
    </row>
    <row r="1275" spans="1:1">
      <c r="A1275" s="741"/>
    </row>
    <row r="1276" spans="1:1">
      <c r="A1276" s="741"/>
    </row>
    <row r="1277" spans="1:1">
      <c r="A1277" s="741"/>
    </row>
    <row r="1278" spans="1:1">
      <c r="A1278" s="741"/>
    </row>
    <row r="1279" spans="1:1">
      <c r="A1279" s="741"/>
    </row>
    <row r="1280" spans="1:1">
      <c r="A1280" s="741"/>
    </row>
    <row r="1281" spans="1:1">
      <c r="A1281" s="741"/>
    </row>
    <row r="1282" spans="1:1">
      <c r="A1282" s="741"/>
    </row>
    <row r="1283" spans="1:1">
      <c r="A1283" s="741"/>
    </row>
    <row r="1284" spans="1:1">
      <c r="A1284" s="741"/>
    </row>
    <row r="1285" spans="1:1">
      <c r="A1285" s="741"/>
    </row>
    <row r="1286" spans="1:1">
      <c r="A1286" s="741"/>
    </row>
    <row r="1287" spans="1:1">
      <c r="A1287" s="741"/>
    </row>
    <row r="1288" spans="1:1">
      <c r="A1288" s="741"/>
    </row>
    <row r="1289" spans="1:1">
      <c r="A1289" s="741"/>
    </row>
    <row r="1290" spans="1:1">
      <c r="A1290" s="741"/>
    </row>
    <row r="1291" spans="1:1">
      <c r="A1291" s="741"/>
    </row>
    <row r="1292" spans="1:1">
      <c r="A1292" s="741"/>
    </row>
    <row r="1293" spans="1:1">
      <c r="A1293" s="741"/>
    </row>
    <row r="1294" spans="1:1">
      <c r="A1294" s="741"/>
    </row>
    <row r="1295" spans="1:1">
      <c r="A1295" s="741"/>
    </row>
    <row r="1296" spans="1:1">
      <c r="A1296" s="741"/>
    </row>
    <row r="1297" spans="1:1">
      <c r="A1297" s="741"/>
    </row>
    <row r="1298" spans="1:1">
      <c r="A1298" s="741"/>
    </row>
    <row r="1299" spans="1:1">
      <c r="A1299" s="741"/>
    </row>
    <row r="1300" spans="1:1">
      <c r="A1300" s="741"/>
    </row>
    <row r="1301" spans="1:1">
      <c r="A1301" s="741"/>
    </row>
    <row r="1302" spans="1:1">
      <c r="A1302" s="741"/>
    </row>
    <row r="1303" spans="1:1">
      <c r="A1303" s="741"/>
    </row>
    <row r="1304" spans="1:1">
      <c r="A1304" s="741"/>
    </row>
    <row r="1305" spans="1:1">
      <c r="A1305" s="741"/>
    </row>
    <row r="1306" spans="1:1">
      <c r="A1306" s="741"/>
    </row>
    <row r="1307" spans="1:1">
      <c r="A1307" s="741"/>
    </row>
    <row r="1308" spans="1:1">
      <c r="A1308" s="741"/>
    </row>
    <row r="1309" spans="1:1">
      <c r="A1309" s="741"/>
    </row>
    <row r="1310" spans="1:1">
      <c r="A1310" s="741"/>
    </row>
    <row r="1311" spans="1:1">
      <c r="A1311" s="741"/>
    </row>
    <row r="1312" spans="1:1">
      <c r="A1312" s="741"/>
    </row>
    <row r="1313" spans="1:1">
      <c r="A1313" s="741"/>
    </row>
    <row r="1314" spans="1:1">
      <c r="A1314" s="741"/>
    </row>
    <row r="1315" spans="1:1">
      <c r="A1315" s="741"/>
    </row>
    <row r="1316" spans="1:1">
      <c r="A1316" s="741"/>
    </row>
    <row r="1317" spans="1:1">
      <c r="A1317" s="741"/>
    </row>
    <row r="1318" spans="1:1">
      <c r="A1318" s="741"/>
    </row>
    <row r="1319" spans="1:1">
      <c r="A1319" s="741"/>
    </row>
    <row r="1320" spans="1:1">
      <c r="A1320" s="741"/>
    </row>
    <row r="1321" spans="1:1">
      <c r="A1321" s="741"/>
    </row>
    <row r="1322" spans="1:1">
      <c r="A1322" s="741"/>
    </row>
    <row r="1323" spans="1:1">
      <c r="A1323" s="741"/>
    </row>
    <row r="1324" spans="1:1">
      <c r="A1324" s="741"/>
    </row>
    <row r="1325" spans="1:1">
      <c r="A1325" s="741"/>
    </row>
    <row r="1326" spans="1:1">
      <c r="A1326" s="741"/>
    </row>
    <row r="1327" spans="1:1">
      <c r="A1327" s="741"/>
    </row>
    <row r="1328" spans="1:1">
      <c r="A1328" s="741"/>
    </row>
    <row r="1329" spans="1:1">
      <c r="A1329" s="741"/>
    </row>
    <row r="1330" spans="1:1">
      <c r="A1330" s="741"/>
    </row>
    <row r="1331" spans="1:1">
      <c r="A1331" s="741"/>
    </row>
    <row r="1332" spans="1:1">
      <c r="A1332" s="741"/>
    </row>
    <row r="1333" spans="1:1">
      <c r="A1333" s="741"/>
    </row>
    <row r="1334" spans="1:1">
      <c r="A1334" s="741"/>
    </row>
    <row r="1335" spans="1:1">
      <c r="A1335" s="741"/>
    </row>
    <row r="1336" spans="1:1">
      <c r="A1336" s="741"/>
    </row>
    <row r="1337" spans="1:1">
      <c r="A1337" s="741"/>
    </row>
    <row r="1338" spans="1:1">
      <c r="A1338" s="741"/>
    </row>
    <row r="1339" spans="1:1">
      <c r="A1339" s="741"/>
    </row>
    <row r="1340" spans="1:1">
      <c r="A1340" s="741"/>
    </row>
    <row r="1341" spans="1:1">
      <c r="A1341" s="741"/>
    </row>
    <row r="1342" spans="1:1">
      <c r="A1342" s="741"/>
    </row>
    <row r="1343" spans="1:1">
      <c r="A1343" s="741"/>
    </row>
    <row r="1344" spans="1:1">
      <c r="A1344" s="741"/>
    </row>
    <row r="1345" spans="1:1">
      <c r="A1345" s="741"/>
    </row>
    <row r="1346" spans="1:1">
      <c r="A1346" s="741"/>
    </row>
    <row r="1347" spans="1:1">
      <c r="A1347" s="741"/>
    </row>
    <row r="1348" spans="1:1">
      <c r="A1348" s="741"/>
    </row>
    <row r="1349" spans="1:1">
      <c r="A1349" s="741"/>
    </row>
    <row r="1350" spans="1:1">
      <c r="A1350" s="741"/>
    </row>
    <row r="1351" spans="1:1">
      <c r="A1351" s="741"/>
    </row>
    <row r="1352" spans="1:1">
      <c r="A1352" s="741"/>
    </row>
    <row r="1353" spans="1:1">
      <c r="A1353" s="741"/>
    </row>
    <row r="1354" spans="1:1">
      <c r="A1354" s="741"/>
    </row>
    <row r="1355" spans="1:1">
      <c r="A1355" s="741"/>
    </row>
    <row r="1356" spans="1:1">
      <c r="A1356" s="741"/>
    </row>
    <row r="1357" spans="1:1">
      <c r="A1357" s="741"/>
    </row>
    <row r="1358" spans="1:1">
      <c r="A1358" s="741"/>
    </row>
    <row r="1359" spans="1:1">
      <c r="A1359" s="741"/>
    </row>
    <row r="1360" spans="1:1">
      <c r="A1360" s="741"/>
    </row>
    <row r="1361" spans="1:1">
      <c r="A1361" s="741"/>
    </row>
    <row r="1362" spans="1:1">
      <c r="A1362" s="741"/>
    </row>
    <row r="1363" spans="1:1">
      <c r="A1363" s="741"/>
    </row>
    <row r="1364" spans="1:1">
      <c r="A1364" s="741"/>
    </row>
    <row r="1365" spans="1:1">
      <c r="A1365" s="741"/>
    </row>
    <row r="1366" spans="1:1">
      <c r="A1366" s="741"/>
    </row>
    <row r="1367" spans="1:1">
      <c r="A1367" s="741"/>
    </row>
    <row r="1368" spans="1:1">
      <c r="A1368" s="741"/>
    </row>
    <row r="1369" spans="1:1">
      <c r="A1369" s="741"/>
    </row>
    <row r="1370" spans="1:1">
      <c r="A1370" s="741"/>
    </row>
    <row r="1371" spans="1:1">
      <c r="A1371" s="741"/>
    </row>
    <row r="1372" spans="1:1">
      <c r="A1372" s="741"/>
    </row>
    <row r="1373" spans="1:1">
      <c r="A1373" s="741"/>
    </row>
    <row r="1374" spans="1:1">
      <c r="A1374" s="741"/>
    </row>
    <row r="1375" spans="1:1">
      <c r="A1375" s="741"/>
    </row>
    <row r="1376" spans="1:1">
      <c r="A1376" s="741"/>
    </row>
    <row r="1377" spans="1:1">
      <c r="A1377" s="741"/>
    </row>
    <row r="1378" spans="1:1">
      <c r="A1378" s="741"/>
    </row>
    <row r="1379" spans="1:1">
      <c r="A1379" s="741"/>
    </row>
    <row r="1380" spans="1:1">
      <c r="A1380" s="741"/>
    </row>
    <row r="1381" spans="1:1">
      <c r="A1381" s="741"/>
    </row>
    <row r="1382" spans="1:1">
      <c r="A1382" s="741"/>
    </row>
    <row r="1383" spans="1:1">
      <c r="A1383" s="741"/>
    </row>
    <row r="1384" spans="1:1">
      <c r="A1384" s="741"/>
    </row>
    <row r="1385" spans="1:1">
      <c r="A1385" s="741"/>
    </row>
    <row r="1386" spans="1:1">
      <c r="A1386" s="741"/>
    </row>
    <row r="1387" spans="1:1">
      <c r="A1387" s="741"/>
    </row>
    <row r="1388" spans="1:1">
      <c r="A1388" s="741"/>
    </row>
    <row r="1389" spans="1:1">
      <c r="A1389" s="741"/>
    </row>
    <row r="1390" spans="1:1">
      <c r="A1390" s="741"/>
    </row>
    <row r="1391" spans="1:1">
      <c r="A1391" s="741"/>
    </row>
    <row r="1392" spans="1:1">
      <c r="A1392" s="741"/>
    </row>
    <row r="1393" spans="1:1">
      <c r="A1393" s="741"/>
    </row>
    <row r="1394" spans="1:1">
      <c r="A1394" s="741"/>
    </row>
    <row r="1395" spans="1:1">
      <c r="A1395" s="741"/>
    </row>
    <row r="1396" spans="1:1">
      <c r="A1396" s="741"/>
    </row>
    <row r="1397" spans="1:1">
      <c r="A1397" s="741"/>
    </row>
    <row r="1398" spans="1:1">
      <c r="A1398" s="741"/>
    </row>
    <row r="1399" spans="1:1">
      <c r="A1399" s="741"/>
    </row>
    <row r="1400" spans="1:1">
      <c r="A1400" s="741"/>
    </row>
    <row r="1401" spans="1:1">
      <c r="A1401" s="741"/>
    </row>
    <row r="1402" spans="1:1">
      <c r="A1402" s="741"/>
    </row>
    <row r="1403" spans="1:1">
      <c r="A1403" s="741"/>
    </row>
    <row r="1404" spans="1:1">
      <c r="A1404" s="741"/>
    </row>
    <row r="1405" spans="1:1">
      <c r="A1405" s="741"/>
    </row>
    <row r="1406" spans="1:1">
      <c r="A1406" s="741"/>
    </row>
    <row r="1407" spans="1:1">
      <c r="A1407" s="741"/>
    </row>
    <row r="1408" spans="1:1">
      <c r="A1408" s="741"/>
    </row>
    <row r="1409" spans="1:1">
      <c r="A1409" s="741"/>
    </row>
    <row r="1410" spans="1:1">
      <c r="A1410" s="741"/>
    </row>
    <row r="1411" spans="1:1">
      <c r="A1411" s="741"/>
    </row>
    <row r="1412" spans="1:1">
      <c r="A1412" s="741"/>
    </row>
    <row r="1413" spans="1:1">
      <c r="A1413" s="741"/>
    </row>
    <row r="1414" spans="1:1">
      <c r="A1414" s="741"/>
    </row>
    <row r="1415" spans="1:1">
      <c r="A1415" s="741"/>
    </row>
    <row r="1416" spans="1:1">
      <c r="A1416" s="741"/>
    </row>
    <row r="1417" spans="1:1">
      <c r="A1417" s="741"/>
    </row>
    <row r="1418" spans="1:1">
      <c r="A1418" s="741"/>
    </row>
    <row r="1419" spans="1:1">
      <c r="A1419" s="741"/>
    </row>
    <row r="1420" spans="1:1">
      <c r="A1420" s="741"/>
    </row>
    <row r="1421" spans="1:1">
      <c r="A1421" s="741"/>
    </row>
    <row r="1422" spans="1:1">
      <c r="A1422" s="741"/>
    </row>
    <row r="1423" spans="1:1">
      <c r="A1423" s="741"/>
    </row>
    <row r="1424" spans="1:1">
      <c r="A1424" s="741"/>
    </row>
    <row r="1425" spans="1:1">
      <c r="A1425" s="741"/>
    </row>
    <row r="1426" spans="1:1">
      <c r="A1426" s="741"/>
    </row>
    <row r="1427" spans="1:1">
      <c r="A1427" s="741"/>
    </row>
    <row r="1428" spans="1:1">
      <c r="A1428" s="741"/>
    </row>
    <row r="1429" spans="1:1">
      <c r="A1429" s="741"/>
    </row>
    <row r="1430" spans="1:1">
      <c r="A1430" s="741"/>
    </row>
    <row r="1431" spans="1:1">
      <c r="A1431" s="741"/>
    </row>
    <row r="1432" spans="1:1">
      <c r="A1432" s="741"/>
    </row>
    <row r="1433" spans="1:1">
      <c r="A1433" s="741"/>
    </row>
    <row r="1434" spans="1:1">
      <c r="A1434" s="741"/>
    </row>
    <row r="1435" spans="1:1">
      <c r="A1435" s="741"/>
    </row>
    <row r="1436" spans="1:1">
      <c r="A1436" s="741"/>
    </row>
    <row r="1437" spans="1:1">
      <c r="A1437" s="741"/>
    </row>
    <row r="1438" spans="1:1">
      <c r="A1438" s="741"/>
    </row>
    <row r="1439" spans="1:1">
      <c r="A1439" s="741"/>
    </row>
    <row r="1440" spans="1:1">
      <c r="A1440" s="741"/>
    </row>
    <row r="1441" spans="1:1">
      <c r="A1441" s="741"/>
    </row>
    <row r="1442" spans="1:1">
      <c r="A1442" s="741"/>
    </row>
    <row r="1443" spans="1:1">
      <c r="A1443" s="741"/>
    </row>
    <row r="1444" spans="1:1">
      <c r="A1444" s="741"/>
    </row>
    <row r="1445" spans="1:1">
      <c r="A1445" s="741"/>
    </row>
    <row r="1446" spans="1:1">
      <c r="A1446" s="741"/>
    </row>
  </sheetData>
  <phoneticPr fontId="25" type="noConversion"/>
  <conditionalFormatting sqref="AI19:AI498">
    <cfRule type="cellIs" dxfId="2" priority="1" stopIfTrue="1" operator="greaterThan">
      <formula>20.9</formula>
    </cfRule>
  </conditionalFormatting>
  <printOptions horizontalCentered="1"/>
  <pageMargins left="0.19685039370078741" right="0.19685039370078741" top="0.62992125984251968" bottom="0.39370078740157483" header="0.31496062992125984" footer="0.19685039370078741"/>
  <pageSetup paperSize="9" orientation="portrait" horizontalDpi="4294967295" verticalDpi="96"/>
  <headerFooter alignWithMargins="0">
    <oddHeader>&amp;C&amp;"MS Sans Serif,Bold"&amp;16&amp;A</oddHeader>
    <oddFooter>&amp;L&amp;8&amp;Z&amp;F&amp;R&amp;8&amp;D &amp;T</oddFooter>
  </headerFooter>
  <legacyDrawing r:id="rId1"/>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enableFormatConditionsCalculation="0">
    <tabColor indexed="42"/>
  </sheetPr>
  <dimension ref="A1:Y1447"/>
  <sheetViews>
    <sheetView workbookViewId="0">
      <pane ySplit="18" topLeftCell="A19" activePane="bottomLeft" state="frozen"/>
      <selection pane="bottomLeft" activeCell="D19" sqref="D19"/>
    </sheetView>
  </sheetViews>
  <sheetFormatPr baseColWidth="10" defaultColWidth="8.7109375" defaultRowHeight="13" x14ac:dyDescent="0"/>
  <cols>
    <col min="2" max="2" width="8.7109375" style="658"/>
    <col min="3" max="3" width="20.7109375" style="156" customWidth="1"/>
    <col min="4" max="12" width="8.7109375" style="156"/>
    <col min="13" max="13" width="19.7109375" style="156" customWidth="1"/>
    <col min="14" max="18" width="8.7109375" style="156"/>
  </cols>
  <sheetData>
    <row r="1" spans="2:18">
      <c r="B1" s="967"/>
      <c r="C1" s="966" t="s">
        <v>1069</v>
      </c>
      <c r="D1" s="153"/>
      <c r="E1" s="153"/>
      <c r="F1" s="153"/>
      <c r="G1" s="153"/>
      <c r="H1" s="153"/>
      <c r="I1" s="153"/>
      <c r="J1" s="153"/>
      <c r="K1" s="153"/>
      <c r="L1" s="153"/>
      <c r="M1" s="153"/>
      <c r="N1" s="153"/>
      <c r="O1" s="153"/>
      <c r="P1" s="153"/>
      <c r="Q1" s="153"/>
      <c r="R1" s="153"/>
    </row>
    <row r="2" spans="2:18">
      <c r="B2" s="968" t="s">
        <v>1407</v>
      </c>
      <c r="C2" s="334"/>
      <c r="D2" s="153"/>
      <c r="E2" s="153"/>
      <c r="F2" s="153"/>
      <c r="G2" s="153"/>
      <c r="H2" s="153"/>
      <c r="I2" s="153"/>
      <c r="J2" s="153"/>
      <c r="K2" s="153"/>
      <c r="L2" s="153"/>
      <c r="M2" s="153"/>
      <c r="N2" s="153"/>
      <c r="O2" s="153"/>
      <c r="P2" s="153"/>
      <c r="Q2" s="153"/>
      <c r="R2" s="153"/>
    </row>
    <row r="3" spans="2:18">
      <c r="B3" s="967"/>
      <c r="C3" s="334"/>
      <c r="D3" s="153"/>
      <c r="E3" s="153"/>
      <c r="F3" s="153"/>
      <c r="G3" s="153"/>
      <c r="H3" s="153"/>
      <c r="I3" s="153"/>
      <c r="J3" s="153"/>
      <c r="K3" s="153"/>
      <c r="L3" s="153"/>
      <c r="M3" s="153"/>
      <c r="N3" s="153"/>
      <c r="O3" s="153"/>
      <c r="P3" s="153"/>
      <c r="Q3" s="153"/>
      <c r="R3" s="153"/>
    </row>
    <row r="4" spans="2:18">
      <c r="B4" s="967"/>
      <c r="C4" s="334"/>
      <c r="D4" s="153"/>
      <c r="E4" s="153"/>
      <c r="F4" s="153"/>
      <c r="G4" s="153"/>
      <c r="H4" s="153"/>
      <c r="I4" s="153"/>
      <c r="J4" s="153"/>
      <c r="K4" s="153"/>
      <c r="L4" s="153"/>
      <c r="M4" s="153"/>
      <c r="N4" s="153"/>
      <c r="O4" s="153"/>
      <c r="P4" s="153"/>
      <c r="Q4" s="153"/>
      <c r="R4" s="153"/>
    </row>
    <row r="5" spans="2:18">
      <c r="B5" s="967"/>
      <c r="C5" s="334"/>
      <c r="D5" s="153"/>
      <c r="E5" s="153"/>
      <c r="F5" s="153"/>
      <c r="G5" s="153"/>
      <c r="H5" s="153"/>
      <c r="I5" s="153"/>
      <c r="J5" s="153"/>
      <c r="K5" s="153"/>
      <c r="L5" s="153"/>
      <c r="M5" s="153"/>
      <c r="N5" s="153"/>
      <c r="O5" s="153"/>
      <c r="P5" s="153"/>
      <c r="Q5" s="153"/>
      <c r="R5" s="153"/>
    </row>
    <row r="6" spans="2:18">
      <c r="B6" s="967"/>
      <c r="C6" s="334"/>
    </row>
    <row r="7" spans="2:18">
      <c r="B7" s="967"/>
      <c r="C7" s="334"/>
      <c r="D7" s="153"/>
      <c r="E7" s="153"/>
      <c r="F7" s="153"/>
      <c r="G7" s="153"/>
      <c r="H7" s="153"/>
      <c r="I7" s="153"/>
      <c r="J7" s="153"/>
      <c r="K7" s="153"/>
      <c r="L7" s="153"/>
      <c r="M7" s="153"/>
      <c r="N7" s="153"/>
      <c r="O7" s="153"/>
      <c r="P7" s="153"/>
      <c r="Q7" s="153"/>
      <c r="R7" s="153"/>
    </row>
    <row r="8" spans="2:18">
      <c r="B8" s="967"/>
      <c r="C8" s="334"/>
      <c r="D8" s="153"/>
      <c r="E8" s="153"/>
      <c r="F8" s="153"/>
      <c r="G8" s="153"/>
      <c r="H8" s="153"/>
      <c r="I8" s="153"/>
      <c r="J8" s="153"/>
      <c r="K8" s="153"/>
      <c r="L8" s="153"/>
      <c r="M8" s="153"/>
      <c r="N8" s="153"/>
      <c r="O8" s="153"/>
      <c r="P8" s="153"/>
      <c r="Q8" s="153"/>
      <c r="R8" s="153"/>
    </row>
    <row r="9" spans="2:18">
      <c r="B9" s="967"/>
      <c r="C9" s="334"/>
      <c r="D9" s="153"/>
      <c r="E9" s="153"/>
      <c r="F9" s="153"/>
      <c r="G9" s="153"/>
      <c r="H9" s="153"/>
      <c r="I9" s="153"/>
      <c r="J9" s="153"/>
      <c r="K9" s="153"/>
      <c r="L9" s="153"/>
      <c r="M9" s="153"/>
      <c r="N9" s="153"/>
      <c r="O9" s="153"/>
      <c r="P9" s="153"/>
      <c r="Q9" s="153"/>
      <c r="R9" s="153"/>
    </row>
    <row r="10" spans="2:18">
      <c r="B10" s="967"/>
      <c r="C10" s="334"/>
      <c r="D10" s="153"/>
      <c r="E10" s="153"/>
      <c r="F10" s="153"/>
      <c r="G10" s="153"/>
      <c r="H10" s="153"/>
      <c r="I10" s="153"/>
      <c r="J10" s="153"/>
      <c r="K10" s="153"/>
      <c r="L10" s="153"/>
      <c r="M10" s="153"/>
      <c r="N10" s="153"/>
      <c r="O10" s="153"/>
      <c r="P10" s="153"/>
      <c r="Q10" s="153"/>
      <c r="R10" s="153"/>
    </row>
    <row r="11" spans="2:18">
      <c r="B11" s="967"/>
      <c r="C11" s="334"/>
      <c r="D11" s="153"/>
      <c r="E11" s="153"/>
      <c r="F11" s="153"/>
      <c r="G11" s="153"/>
      <c r="H11" s="153"/>
      <c r="I11" s="153"/>
      <c r="J11" s="153"/>
      <c r="K11" s="153"/>
      <c r="L11" s="153"/>
      <c r="M11" s="153"/>
      <c r="N11" s="153"/>
      <c r="O11" s="153"/>
      <c r="P11" s="153"/>
      <c r="Q11" s="153"/>
      <c r="R11" s="153"/>
    </row>
    <row r="12" spans="2:18">
      <c r="B12" s="967"/>
      <c r="C12" s="334"/>
      <c r="D12" s="153"/>
      <c r="E12" s="153"/>
      <c r="F12" s="153"/>
      <c r="G12" s="153"/>
      <c r="H12" s="153"/>
      <c r="I12" s="153"/>
      <c r="J12" s="153"/>
      <c r="K12" s="153"/>
      <c r="L12" s="153"/>
      <c r="M12" s="153"/>
      <c r="N12" s="153"/>
      <c r="O12" s="153"/>
      <c r="P12" s="153"/>
      <c r="Q12" s="153"/>
      <c r="R12" s="153"/>
    </row>
    <row r="13" spans="2:18">
      <c r="B13" s="967"/>
      <c r="C13" s="335"/>
      <c r="D13" s="153"/>
      <c r="E13" s="153"/>
      <c r="F13" s="153"/>
      <c r="G13" s="153"/>
      <c r="H13" s="153"/>
      <c r="I13" s="153"/>
      <c r="J13" s="153"/>
      <c r="K13" s="153"/>
      <c r="L13" s="153"/>
      <c r="M13" s="153"/>
      <c r="N13" s="153"/>
      <c r="O13" s="153"/>
      <c r="P13" s="153"/>
      <c r="Q13" s="153"/>
      <c r="R13" s="153"/>
    </row>
    <row r="14" spans="2:18">
      <c r="B14" s="967"/>
      <c r="C14" s="335"/>
      <c r="D14" s="153"/>
      <c r="E14" s="153"/>
      <c r="F14" s="153"/>
      <c r="G14" s="153"/>
      <c r="H14" s="153"/>
      <c r="I14" s="153"/>
      <c r="J14" s="153"/>
      <c r="K14" s="153"/>
      <c r="L14" s="153"/>
      <c r="M14" s="657"/>
      <c r="N14" s="159"/>
      <c r="O14" s="159"/>
      <c r="P14" s="159"/>
      <c r="Q14" s="159"/>
      <c r="R14" s="159"/>
    </row>
    <row r="15" spans="2:18">
      <c r="B15" s="967"/>
      <c r="C15" s="335"/>
      <c r="D15" s="153"/>
      <c r="E15" s="153"/>
      <c r="F15" s="159"/>
      <c r="G15" s="159"/>
      <c r="H15" s="159"/>
      <c r="I15" s="159"/>
      <c r="J15" s="159"/>
      <c r="K15" s="159"/>
      <c r="L15" s="159"/>
      <c r="M15" s="48"/>
      <c r="N15" s="48"/>
      <c r="O15" s="48"/>
      <c r="P15" s="48"/>
      <c r="Q15" s="48"/>
      <c r="R15" s="48"/>
    </row>
    <row r="16" spans="2:18">
      <c r="B16" s="967"/>
      <c r="C16" s="335"/>
      <c r="D16" s="153"/>
      <c r="E16" s="153"/>
      <c r="F16" s="334"/>
      <c r="G16" s="334"/>
      <c r="H16" s="334"/>
      <c r="I16" s="334"/>
      <c r="J16" s="334"/>
      <c r="K16" s="334"/>
      <c r="L16" s="334"/>
      <c r="M16" s="334"/>
      <c r="N16" s="334"/>
      <c r="O16" s="334"/>
      <c r="P16" s="334"/>
      <c r="Q16" s="334"/>
      <c r="R16" s="334"/>
    </row>
    <row r="17" spans="1:25" ht="16">
      <c r="B17" s="967"/>
      <c r="C17" s="1968" t="s">
        <v>1938</v>
      </c>
      <c r="D17" s="153"/>
      <c r="E17" s="153"/>
      <c r="F17" s="334"/>
      <c r="G17" s="334"/>
      <c r="H17" s="334"/>
      <c r="I17" s="334"/>
      <c r="J17" s="334"/>
      <c r="M17" s="1968" t="s">
        <v>1939</v>
      </c>
      <c r="N17" s="1968"/>
      <c r="O17" s="1968" t="s">
        <v>1926</v>
      </c>
      <c r="P17" s="1968"/>
      <c r="Q17" s="1968"/>
      <c r="R17" s="1968"/>
      <c r="S17" s="1968"/>
      <c r="T17" s="1969"/>
      <c r="U17" s="1969"/>
      <c r="V17" s="1969"/>
      <c r="W17" s="1969"/>
      <c r="X17" s="1969"/>
      <c r="Y17" s="1970" t="s">
        <v>1927</v>
      </c>
    </row>
    <row r="18" spans="1:25" s="1053" customFormat="1">
      <c r="A18" t="s">
        <v>1236</v>
      </c>
      <c r="B18" s="967"/>
      <c r="C18" s="969" t="s">
        <v>1071</v>
      </c>
      <c r="D18" s="969" t="s">
        <v>1072</v>
      </c>
      <c r="E18" s="969" t="s">
        <v>1073</v>
      </c>
      <c r="F18" s="969" t="s">
        <v>241</v>
      </c>
      <c r="G18" s="969" t="s">
        <v>1074</v>
      </c>
      <c r="H18" s="969" t="s">
        <v>240</v>
      </c>
      <c r="I18" s="969" t="s">
        <v>1075</v>
      </c>
      <c r="J18" s="969" t="s">
        <v>237</v>
      </c>
      <c r="L18" s="969" t="s">
        <v>1236</v>
      </c>
      <c r="M18" s="969" t="s">
        <v>2023</v>
      </c>
      <c r="N18" s="334"/>
      <c r="O18" s="1971" t="s">
        <v>1928</v>
      </c>
      <c r="P18" s="1971" t="s">
        <v>1929</v>
      </c>
      <c r="Q18" s="1971" t="s">
        <v>1930</v>
      </c>
      <c r="R18" s="1971" t="s">
        <v>1931</v>
      </c>
      <c r="S18" s="1971" t="s">
        <v>1932</v>
      </c>
      <c r="T18" s="1927" t="s">
        <v>1933</v>
      </c>
      <c r="U18" s="1927" t="s">
        <v>1934</v>
      </c>
      <c r="V18" s="1927" t="s">
        <v>1935</v>
      </c>
      <c r="W18" s="1927" t="s">
        <v>1936</v>
      </c>
      <c r="X18" s="1927" t="s">
        <v>1937</v>
      </c>
      <c r="Y18" s="1970" t="s">
        <v>823</v>
      </c>
    </row>
    <row r="19" spans="1:25">
      <c r="A19" s="1983"/>
      <c r="B19" s="968" t="s">
        <v>1407</v>
      </c>
      <c r="C19" s="1052"/>
      <c r="D19" s="1052"/>
      <c r="E19" s="1052"/>
      <c r="F19" s="1052"/>
      <c r="G19" s="1052"/>
      <c r="H19" s="1052"/>
      <c r="I19" s="1052"/>
      <c r="J19" s="1052"/>
      <c r="K19" s="968" t="s">
        <v>1407</v>
      </c>
      <c r="L19" s="969"/>
      <c r="M19" s="1052"/>
      <c r="N19" s="968" t="s">
        <v>1407</v>
      </c>
      <c r="O19" s="1971"/>
      <c r="P19" s="1971"/>
      <c r="Q19" s="1971"/>
      <c r="R19" s="1971"/>
      <c r="S19" s="1971"/>
      <c r="T19" s="1927"/>
      <c r="U19" s="1927"/>
      <c r="V19" s="1927"/>
      <c r="W19" s="1927"/>
      <c r="X19" s="1927"/>
      <c r="Y19" s="1972" t="s">
        <v>823</v>
      </c>
    </row>
    <row r="20" spans="1:25">
      <c r="A20" s="1983" t="str">
        <f t="shared" ref="A20:A83" si="0">IF(AND(C20="",Q19=""),"",IF(GasAnalyser="MRU",Q19,C20))</f>
        <v/>
      </c>
      <c r="B20" s="657">
        <f>Gases!A26</f>
        <v>1</v>
      </c>
      <c r="C20" s="970"/>
      <c r="D20" s="973"/>
      <c r="E20" s="973"/>
      <c r="F20" s="973"/>
      <c r="G20" s="973"/>
      <c r="H20" s="973"/>
      <c r="I20" s="976"/>
      <c r="J20" s="977"/>
      <c r="K20" s="965">
        <v>1</v>
      </c>
      <c r="L20" s="965"/>
      <c r="M20" s="978"/>
      <c r="N20" s="965">
        <v>1</v>
      </c>
      <c r="O20" s="159"/>
      <c r="P20" s="159"/>
      <c r="Q20" s="1973"/>
      <c r="R20" s="159"/>
      <c r="S20" s="159"/>
      <c r="T20" s="1001"/>
      <c r="U20" s="1001"/>
      <c r="V20" s="1001"/>
      <c r="W20" s="1001"/>
      <c r="X20" s="1001"/>
      <c r="Y20" s="1974" t="str">
        <f>IF(U20="","",SUM(U20:V20))</f>
        <v/>
      </c>
    </row>
    <row r="21" spans="1:25">
      <c r="A21" s="1983" t="str">
        <f t="shared" si="0"/>
        <v/>
      </c>
      <c r="B21" s="657">
        <f>Gases!A27</f>
        <v>2</v>
      </c>
      <c r="C21" s="970"/>
      <c r="D21" s="973"/>
      <c r="E21" s="973"/>
      <c r="F21" s="973"/>
      <c r="G21" s="973"/>
      <c r="H21" s="973"/>
      <c r="I21" s="976"/>
      <c r="J21" s="977"/>
      <c r="K21" s="965">
        <v>2</v>
      </c>
      <c r="L21" s="965"/>
      <c r="M21" s="978"/>
      <c r="N21" s="965">
        <v>2</v>
      </c>
      <c r="O21" s="159"/>
      <c r="P21" s="159"/>
      <c r="Q21" s="159"/>
      <c r="R21" s="159"/>
      <c r="S21" s="159"/>
      <c r="Y21" s="1975" t="str">
        <f>IF(U21="","",SUM(U21:V21))</f>
        <v/>
      </c>
    </row>
    <row r="22" spans="1:25">
      <c r="A22" s="1983" t="str">
        <f t="shared" si="0"/>
        <v/>
      </c>
      <c r="B22" s="657">
        <f>Gases!A28</f>
        <v>3</v>
      </c>
      <c r="C22" s="970"/>
      <c r="D22" s="973"/>
      <c r="E22" s="973"/>
      <c r="F22" s="973"/>
      <c r="G22" s="973"/>
      <c r="H22" s="973"/>
      <c r="I22" s="976"/>
      <c r="J22" s="977"/>
      <c r="K22" s="965">
        <v>3</v>
      </c>
      <c r="L22" s="965"/>
      <c r="M22" s="978"/>
      <c r="N22" s="965">
        <v>3</v>
      </c>
      <c r="O22" s="159"/>
      <c r="P22" s="159"/>
      <c r="Q22" s="159"/>
      <c r="R22" s="159"/>
      <c r="S22" s="159"/>
      <c r="Y22" s="1975" t="str">
        <f t="shared" ref="Y22:Y85" si="1">IF(U22="","",SUM(U22:V22))</f>
        <v/>
      </c>
    </row>
    <row r="23" spans="1:25">
      <c r="A23" s="1983" t="str">
        <f t="shared" si="0"/>
        <v/>
      </c>
      <c r="B23" s="657">
        <f>Gases!A29</f>
        <v>4</v>
      </c>
      <c r="C23" s="970"/>
      <c r="D23" s="973"/>
      <c r="E23" s="973"/>
      <c r="F23" s="973"/>
      <c r="G23" s="973"/>
      <c r="H23" s="973"/>
      <c r="I23" s="976"/>
      <c r="J23" s="977"/>
      <c r="K23" s="965">
        <v>4</v>
      </c>
      <c r="L23" s="965"/>
      <c r="M23" s="978"/>
      <c r="N23" s="965">
        <v>4</v>
      </c>
      <c r="O23" s="159"/>
      <c r="P23" s="159"/>
      <c r="Q23" s="159"/>
      <c r="R23" s="159"/>
      <c r="S23" s="159"/>
      <c r="Y23" s="1975" t="str">
        <f t="shared" si="1"/>
        <v/>
      </c>
    </row>
    <row r="24" spans="1:25">
      <c r="A24" s="1983" t="str">
        <f t="shared" si="0"/>
        <v/>
      </c>
      <c r="B24" s="657">
        <f>Gases!A30</f>
        <v>5</v>
      </c>
      <c r="C24" s="970"/>
      <c r="D24" s="973"/>
      <c r="E24" s="973"/>
      <c r="F24" s="973"/>
      <c r="G24" s="973"/>
      <c r="H24" s="973"/>
      <c r="I24" s="976"/>
      <c r="J24" s="977"/>
      <c r="K24" s="965">
        <v>5</v>
      </c>
      <c r="L24" s="965"/>
      <c r="M24" s="978"/>
      <c r="N24" s="965">
        <v>5</v>
      </c>
      <c r="O24" s="159"/>
      <c r="P24" s="159"/>
      <c r="Q24" s="159"/>
      <c r="R24" s="159"/>
      <c r="S24" s="159"/>
      <c r="Y24" s="1975" t="str">
        <f t="shared" si="1"/>
        <v/>
      </c>
    </row>
    <row r="25" spans="1:25">
      <c r="A25" s="1983" t="str">
        <f t="shared" si="0"/>
        <v/>
      </c>
      <c r="B25" s="657">
        <f>Gases!A31</f>
        <v>6</v>
      </c>
      <c r="C25" s="970"/>
      <c r="D25" s="973"/>
      <c r="E25" s="973"/>
      <c r="F25" s="973"/>
      <c r="G25" s="973"/>
      <c r="H25" s="973"/>
      <c r="I25" s="976"/>
      <c r="J25" s="977"/>
      <c r="K25" s="965">
        <v>6</v>
      </c>
      <c r="L25" s="965"/>
      <c r="M25" s="978"/>
      <c r="N25" s="965">
        <v>6</v>
      </c>
      <c r="O25" s="159"/>
      <c r="P25" s="159"/>
      <c r="Q25" s="159"/>
      <c r="R25" s="159"/>
      <c r="S25" s="159"/>
      <c r="Y25" s="1975" t="str">
        <f t="shared" si="1"/>
        <v/>
      </c>
    </row>
    <row r="26" spans="1:25">
      <c r="A26" s="1983" t="str">
        <f t="shared" si="0"/>
        <v/>
      </c>
      <c r="B26" s="657">
        <f>Gases!A32</f>
        <v>7</v>
      </c>
      <c r="C26" s="970"/>
      <c r="D26" s="973"/>
      <c r="E26" s="973"/>
      <c r="F26" s="973"/>
      <c r="G26" s="973"/>
      <c r="H26" s="973"/>
      <c r="I26" s="976"/>
      <c r="J26" s="977"/>
      <c r="K26" s="965">
        <v>7</v>
      </c>
      <c r="L26" s="965"/>
      <c r="M26" s="978"/>
      <c r="N26" s="965">
        <v>7</v>
      </c>
      <c r="O26" s="159"/>
      <c r="P26" s="159"/>
      <c r="Q26" s="159"/>
      <c r="R26" s="159"/>
      <c r="S26" s="159"/>
      <c r="Y26" s="1975" t="str">
        <f t="shared" si="1"/>
        <v/>
      </c>
    </row>
    <row r="27" spans="1:25">
      <c r="A27" s="1983" t="str">
        <f t="shared" si="0"/>
        <v/>
      </c>
      <c r="B27" s="657">
        <f>Gases!A33</f>
        <v>8</v>
      </c>
      <c r="C27" s="970"/>
      <c r="D27" s="973"/>
      <c r="E27" s="973"/>
      <c r="F27" s="973"/>
      <c r="G27" s="973"/>
      <c r="H27" s="973"/>
      <c r="I27" s="976"/>
      <c r="J27" s="977"/>
      <c r="K27" s="965">
        <v>8</v>
      </c>
      <c r="L27" s="965"/>
      <c r="M27" s="978"/>
      <c r="N27" s="965">
        <v>8</v>
      </c>
      <c r="O27" s="159"/>
      <c r="P27" s="159"/>
      <c r="Q27" s="159"/>
      <c r="R27" s="159"/>
      <c r="S27" s="159"/>
      <c r="Y27" s="1975" t="str">
        <f t="shared" si="1"/>
        <v/>
      </c>
    </row>
    <row r="28" spans="1:25">
      <c r="A28" s="1983" t="str">
        <f t="shared" si="0"/>
        <v/>
      </c>
      <c r="B28" s="657">
        <f>Gases!A34</f>
        <v>9</v>
      </c>
      <c r="C28" s="970"/>
      <c r="D28" s="973"/>
      <c r="E28" s="973"/>
      <c r="F28" s="973"/>
      <c r="G28" s="973"/>
      <c r="H28" s="973"/>
      <c r="I28" s="976"/>
      <c r="J28" s="977"/>
      <c r="K28" s="965">
        <v>9</v>
      </c>
      <c r="L28" s="965"/>
      <c r="M28" s="978"/>
      <c r="N28" s="965">
        <v>9</v>
      </c>
      <c r="O28" s="159"/>
      <c r="P28" s="159"/>
      <c r="Q28" s="159"/>
      <c r="R28" s="159"/>
      <c r="S28" s="159"/>
      <c r="Y28" s="1975" t="str">
        <f t="shared" si="1"/>
        <v/>
      </c>
    </row>
    <row r="29" spans="1:25">
      <c r="A29" s="1983" t="str">
        <f t="shared" si="0"/>
        <v/>
      </c>
      <c r="B29" s="657">
        <f>Gases!A35</f>
        <v>10</v>
      </c>
      <c r="C29" s="970"/>
      <c r="D29" s="973"/>
      <c r="E29" s="973"/>
      <c r="F29" s="973"/>
      <c r="G29" s="973"/>
      <c r="H29" s="973"/>
      <c r="I29" s="976"/>
      <c r="J29" s="977"/>
      <c r="K29" s="965">
        <v>10</v>
      </c>
      <c r="L29" s="965"/>
      <c r="M29" s="978"/>
      <c r="N29" s="965">
        <v>10</v>
      </c>
      <c r="O29" s="159"/>
      <c r="P29" s="159"/>
      <c r="Q29" s="159"/>
      <c r="R29" s="159"/>
      <c r="S29" s="159"/>
      <c r="Y29" s="1975" t="str">
        <f t="shared" si="1"/>
        <v/>
      </c>
    </row>
    <row r="30" spans="1:25">
      <c r="A30" s="1983" t="str">
        <f t="shared" si="0"/>
        <v/>
      </c>
      <c r="B30" s="657">
        <f>Gases!A36</f>
        <v>11</v>
      </c>
      <c r="C30" s="970"/>
      <c r="D30" s="973"/>
      <c r="E30" s="973"/>
      <c r="F30" s="973"/>
      <c r="G30" s="973"/>
      <c r="H30" s="973"/>
      <c r="I30" s="976"/>
      <c r="J30" s="977"/>
      <c r="K30" s="965">
        <v>11</v>
      </c>
      <c r="L30" s="965"/>
      <c r="M30" s="978"/>
      <c r="N30" s="965">
        <v>11</v>
      </c>
      <c r="O30" s="159"/>
      <c r="P30" s="159"/>
      <c r="Q30" s="159"/>
      <c r="R30" s="159"/>
      <c r="S30" s="159"/>
      <c r="Y30" s="1975" t="str">
        <f t="shared" si="1"/>
        <v/>
      </c>
    </row>
    <row r="31" spans="1:25">
      <c r="A31" s="1983" t="str">
        <f t="shared" si="0"/>
        <v/>
      </c>
      <c r="B31" s="657">
        <f>Gases!A37</f>
        <v>12</v>
      </c>
      <c r="C31" s="970"/>
      <c r="D31" s="973"/>
      <c r="E31" s="973"/>
      <c r="F31" s="973"/>
      <c r="G31" s="973"/>
      <c r="H31" s="973"/>
      <c r="I31" s="976"/>
      <c r="J31" s="977"/>
      <c r="K31" s="965">
        <v>12</v>
      </c>
      <c r="L31" s="965"/>
      <c r="M31" s="978"/>
      <c r="N31" s="965">
        <v>12</v>
      </c>
      <c r="O31" s="159"/>
      <c r="P31" s="159"/>
      <c r="Q31" s="159"/>
      <c r="R31" s="159"/>
      <c r="S31" s="159"/>
      <c r="Y31" s="1975" t="str">
        <f t="shared" si="1"/>
        <v/>
      </c>
    </row>
    <row r="32" spans="1:25">
      <c r="A32" s="1983" t="str">
        <f t="shared" si="0"/>
        <v/>
      </c>
      <c r="B32" s="657">
        <f>Gases!A38</f>
        <v>13</v>
      </c>
      <c r="C32" s="970"/>
      <c r="D32" s="973"/>
      <c r="E32" s="973"/>
      <c r="F32" s="973"/>
      <c r="G32" s="973"/>
      <c r="H32" s="973"/>
      <c r="I32" s="976"/>
      <c r="J32" s="977"/>
      <c r="K32" s="965">
        <v>13</v>
      </c>
      <c r="L32" s="965"/>
      <c r="M32" s="978"/>
      <c r="N32" s="965">
        <v>13</v>
      </c>
      <c r="O32" s="159"/>
      <c r="P32" s="159"/>
      <c r="Q32" s="159"/>
      <c r="R32" s="159"/>
      <c r="S32" s="159"/>
      <c r="Y32" s="1975" t="str">
        <f t="shared" si="1"/>
        <v/>
      </c>
    </row>
    <row r="33" spans="1:25">
      <c r="A33" s="1983" t="str">
        <f t="shared" si="0"/>
        <v/>
      </c>
      <c r="B33" s="657">
        <f>Gases!A39</f>
        <v>14</v>
      </c>
      <c r="C33" s="970"/>
      <c r="D33" s="973"/>
      <c r="E33" s="973"/>
      <c r="F33" s="973"/>
      <c r="G33" s="973"/>
      <c r="H33" s="973"/>
      <c r="I33" s="976"/>
      <c r="J33" s="977"/>
      <c r="K33" s="965">
        <v>14</v>
      </c>
      <c r="L33" s="965"/>
      <c r="M33" s="978"/>
      <c r="N33" s="965">
        <v>14</v>
      </c>
      <c r="O33" s="159"/>
      <c r="P33" s="159"/>
      <c r="Q33" s="159"/>
      <c r="R33" s="159"/>
      <c r="S33" s="159"/>
      <c r="Y33" s="1975" t="str">
        <f t="shared" si="1"/>
        <v/>
      </c>
    </row>
    <row r="34" spans="1:25">
      <c r="A34" s="1983" t="str">
        <f t="shared" si="0"/>
        <v/>
      </c>
      <c r="B34" s="657">
        <f>Gases!A40</f>
        <v>15</v>
      </c>
      <c r="C34" s="970"/>
      <c r="D34" s="973"/>
      <c r="E34" s="973"/>
      <c r="F34" s="973"/>
      <c r="G34" s="973"/>
      <c r="H34" s="973"/>
      <c r="I34" s="976"/>
      <c r="J34" s="977"/>
      <c r="K34" s="965">
        <v>15</v>
      </c>
      <c r="L34" s="965"/>
      <c r="M34" s="978"/>
      <c r="N34" s="965">
        <v>15</v>
      </c>
      <c r="O34" s="159"/>
      <c r="P34" s="159"/>
      <c r="Q34" s="159"/>
      <c r="R34" s="159"/>
      <c r="S34" s="159"/>
      <c r="Y34" s="1975" t="str">
        <f t="shared" si="1"/>
        <v/>
      </c>
    </row>
    <row r="35" spans="1:25">
      <c r="A35" s="1983" t="str">
        <f t="shared" si="0"/>
        <v/>
      </c>
      <c r="B35" s="657">
        <f>Gases!A41</f>
        <v>16</v>
      </c>
      <c r="C35" s="970"/>
      <c r="D35" s="973"/>
      <c r="E35" s="973"/>
      <c r="F35" s="973"/>
      <c r="G35" s="973"/>
      <c r="H35" s="973"/>
      <c r="I35" s="976"/>
      <c r="J35" s="977"/>
      <c r="K35" s="965">
        <v>16</v>
      </c>
      <c r="L35" s="965"/>
      <c r="M35" s="978"/>
      <c r="N35" s="965">
        <v>16</v>
      </c>
      <c r="O35" s="159"/>
      <c r="P35" s="159"/>
      <c r="Q35" s="159"/>
      <c r="R35" s="159"/>
      <c r="S35" s="159"/>
      <c r="Y35" s="1975" t="str">
        <f t="shared" si="1"/>
        <v/>
      </c>
    </row>
    <row r="36" spans="1:25">
      <c r="A36" s="1983" t="str">
        <f t="shared" si="0"/>
        <v/>
      </c>
      <c r="B36" s="657">
        <f>Gases!A42</f>
        <v>17</v>
      </c>
      <c r="C36" s="970"/>
      <c r="D36" s="973"/>
      <c r="E36" s="973"/>
      <c r="F36" s="973"/>
      <c r="G36" s="973"/>
      <c r="H36" s="973"/>
      <c r="I36" s="976"/>
      <c r="J36" s="977"/>
      <c r="K36" s="965">
        <v>17</v>
      </c>
      <c r="L36" s="965"/>
      <c r="M36" s="978"/>
      <c r="N36" s="965">
        <v>17</v>
      </c>
      <c r="O36" s="159"/>
      <c r="P36" s="159"/>
      <c r="Q36" s="159"/>
      <c r="R36" s="159"/>
      <c r="S36" s="159"/>
      <c r="Y36" s="1975" t="str">
        <f t="shared" si="1"/>
        <v/>
      </c>
    </row>
    <row r="37" spans="1:25">
      <c r="A37" s="1983" t="str">
        <f t="shared" si="0"/>
        <v/>
      </c>
      <c r="B37" s="657">
        <f>Gases!A43</f>
        <v>18</v>
      </c>
      <c r="C37" s="970"/>
      <c r="D37" s="973"/>
      <c r="E37" s="973"/>
      <c r="F37" s="973"/>
      <c r="G37" s="973"/>
      <c r="H37" s="973"/>
      <c r="I37" s="976"/>
      <c r="J37" s="977"/>
      <c r="K37" s="965">
        <v>18</v>
      </c>
      <c r="L37" s="965"/>
      <c r="M37" s="978"/>
      <c r="N37" s="965">
        <v>18</v>
      </c>
      <c r="O37" s="159"/>
      <c r="P37" s="159"/>
      <c r="Q37" s="159"/>
      <c r="R37" s="159"/>
      <c r="S37" s="159"/>
      <c r="Y37" s="1975" t="str">
        <f t="shared" si="1"/>
        <v/>
      </c>
    </row>
    <row r="38" spans="1:25">
      <c r="A38" s="1983" t="str">
        <f t="shared" si="0"/>
        <v/>
      </c>
      <c r="B38" s="657">
        <f>Gases!A44</f>
        <v>19</v>
      </c>
      <c r="C38" s="970"/>
      <c r="D38" s="973"/>
      <c r="E38" s="973"/>
      <c r="F38" s="973"/>
      <c r="G38" s="973"/>
      <c r="H38" s="973"/>
      <c r="I38" s="976"/>
      <c r="J38" s="977"/>
      <c r="K38" s="965">
        <v>19</v>
      </c>
      <c r="L38" s="965"/>
      <c r="M38" s="978"/>
      <c r="N38" s="965">
        <v>19</v>
      </c>
      <c r="O38" s="159"/>
      <c r="P38" s="159"/>
      <c r="Q38" s="159"/>
      <c r="R38" s="159"/>
      <c r="S38" s="159"/>
      <c r="Y38" s="1975" t="str">
        <f t="shared" si="1"/>
        <v/>
      </c>
    </row>
    <row r="39" spans="1:25">
      <c r="A39" s="1983" t="str">
        <f t="shared" si="0"/>
        <v/>
      </c>
      <c r="B39" s="657">
        <f>Gases!A45</f>
        <v>20</v>
      </c>
      <c r="C39" s="970"/>
      <c r="D39" s="973"/>
      <c r="E39" s="973"/>
      <c r="F39" s="973"/>
      <c r="G39" s="973"/>
      <c r="H39" s="973"/>
      <c r="I39" s="976"/>
      <c r="J39" s="977"/>
      <c r="K39" s="965">
        <v>20</v>
      </c>
      <c r="L39" s="965"/>
      <c r="M39" s="978"/>
      <c r="N39" s="965">
        <v>20</v>
      </c>
      <c r="O39" s="159"/>
      <c r="P39" s="159"/>
      <c r="Q39" s="159"/>
      <c r="R39" s="159"/>
      <c r="S39" s="159"/>
      <c r="Y39" s="1975" t="str">
        <f t="shared" si="1"/>
        <v/>
      </c>
    </row>
    <row r="40" spans="1:25">
      <c r="A40" s="1983" t="str">
        <f t="shared" si="0"/>
        <v/>
      </c>
      <c r="B40" s="657">
        <f>Gases!A46</f>
        <v>21</v>
      </c>
      <c r="C40" s="970"/>
      <c r="D40" s="973"/>
      <c r="E40" s="973"/>
      <c r="F40" s="973"/>
      <c r="G40" s="973"/>
      <c r="H40" s="973"/>
      <c r="I40" s="976"/>
      <c r="J40" s="977"/>
      <c r="K40" s="965">
        <v>21</v>
      </c>
      <c r="L40" s="965"/>
      <c r="M40" s="978"/>
      <c r="N40" s="965">
        <v>21</v>
      </c>
      <c r="O40" s="159"/>
      <c r="P40" s="159"/>
      <c r="Q40" s="159"/>
      <c r="R40" s="159"/>
      <c r="S40" s="159"/>
      <c r="Y40" s="1975" t="str">
        <f t="shared" si="1"/>
        <v/>
      </c>
    </row>
    <row r="41" spans="1:25">
      <c r="A41" s="1983" t="str">
        <f t="shared" si="0"/>
        <v/>
      </c>
      <c r="B41" s="657">
        <f>Gases!A47</f>
        <v>22</v>
      </c>
      <c r="C41" s="970"/>
      <c r="D41" s="973"/>
      <c r="E41" s="973"/>
      <c r="F41" s="973"/>
      <c r="G41" s="973"/>
      <c r="H41" s="973"/>
      <c r="I41" s="976"/>
      <c r="J41" s="977"/>
      <c r="K41" s="965">
        <v>22</v>
      </c>
      <c r="L41" s="965"/>
      <c r="M41" s="978"/>
      <c r="N41" s="965">
        <v>22</v>
      </c>
      <c r="O41" s="159"/>
      <c r="P41" s="159"/>
      <c r="Q41" s="159"/>
      <c r="R41" s="159"/>
      <c r="S41" s="159"/>
      <c r="Y41" s="1975" t="str">
        <f t="shared" si="1"/>
        <v/>
      </c>
    </row>
    <row r="42" spans="1:25">
      <c r="A42" s="1983" t="str">
        <f t="shared" si="0"/>
        <v/>
      </c>
      <c r="B42" s="657">
        <f>Gases!A48</f>
        <v>23</v>
      </c>
      <c r="C42" s="970"/>
      <c r="D42" s="973"/>
      <c r="E42" s="973"/>
      <c r="F42" s="973"/>
      <c r="G42" s="973"/>
      <c r="H42" s="973"/>
      <c r="I42" s="976"/>
      <c r="J42" s="977"/>
      <c r="K42" s="965">
        <v>23</v>
      </c>
      <c r="L42" s="965"/>
      <c r="M42" s="978"/>
      <c r="N42" s="965">
        <v>23</v>
      </c>
      <c r="O42" s="159"/>
      <c r="P42" s="159"/>
      <c r="Q42" s="159"/>
      <c r="R42" s="159"/>
      <c r="S42" s="159"/>
      <c r="Y42" s="1975" t="str">
        <f t="shared" si="1"/>
        <v/>
      </c>
    </row>
    <row r="43" spans="1:25">
      <c r="A43" s="1983" t="str">
        <f t="shared" si="0"/>
        <v/>
      </c>
      <c r="B43" s="657">
        <f>Gases!A49</f>
        <v>24</v>
      </c>
      <c r="C43" s="970"/>
      <c r="D43" s="973"/>
      <c r="E43" s="973"/>
      <c r="F43" s="973"/>
      <c r="G43" s="973"/>
      <c r="H43" s="973"/>
      <c r="I43" s="976"/>
      <c r="J43" s="977"/>
      <c r="K43" s="965">
        <v>24</v>
      </c>
      <c r="L43" s="965"/>
      <c r="M43" s="978"/>
      <c r="N43" s="965">
        <v>24</v>
      </c>
      <c r="O43" s="159"/>
      <c r="P43" s="159"/>
      <c r="Q43" s="159"/>
      <c r="R43" s="159"/>
      <c r="S43" s="159"/>
      <c r="Y43" s="1975" t="str">
        <f t="shared" si="1"/>
        <v/>
      </c>
    </row>
    <row r="44" spans="1:25">
      <c r="A44" s="1983" t="str">
        <f t="shared" si="0"/>
        <v/>
      </c>
      <c r="B44" s="657">
        <f>Gases!A50</f>
        <v>25</v>
      </c>
      <c r="C44" s="970"/>
      <c r="D44" s="973"/>
      <c r="E44" s="973"/>
      <c r="F44" s="973"/>
      <c r="G44" s="973"/>
      <c r="H44" s="973"/>
      <c r="I44" s="976"/>
      <c r="J44" s="977"/>
      <c r="K44" s="965">
        <v>25</v>
      </c>
      <c r="L44" s="965"/>
      <c r="M44" s="978"/>
      <c r="N44" s="965">
        <v>25</v>
      </c>
      <c r="O44" s="159"/>
      <c r="P44" s="159"/>
      <c r="Q44" s="159"/>
      <c r="R44" s="159"/>
      <c r="S44" s="159"/>
      <c r="Y44" s="1975" t="str">
        <f t="shared" si="1"/>
        <v/>
      </c>
    </row>
    <row r="45" spans="1:25">
      <c r="A45" s="1983" t="str">
        <f t="shared" si="0"/>
        <v/>
      </c>
      <c r="B45" s="657">
        <f>Gases!A51</f>
        <v>26</v>
      </c>
      <c r="C45" s="970"/>
      <c r="D45" s="973"/>
      <c r="E45" s="973"/>
      <c r="F45" s="973"/>
      <c r="G45" s="973"/>
      <c r="H45" s="973"/>
      <c r="I45" s="976"/>
      <c r="J45" s="977"/>
      <c r="K45" s="965">
        <v>26</v>
      </c>
      <c r="L45" s="965"/>
      <c r="M45" s="978"/>
      <c r="N45" s="965">
        <v>26</v>
      </c>
      <c r="O45" s="159"/>
      <c r="P45" s="159"/>
      <c r="Q45" s="159"/>
      <c r="R45" s="159"/>
      <c r="S45" s="159"/>
      <c r="Y45" s="1975" t="str">
        <f t="shared" si="1"/>
        <v/>
      </c>
    </row>
    <row r="46" spans="1:25">
      <c r="A46" s="1983" t="str">
        <f t="shared" si="0"/>
        <v/>
      </c>
      <c r="B46" s="657">
        <f>Gases!A52</f>
        <v>27</v>
      </c>
      <c r="C46" s="970"/>
      <c r="D46" s="973"/>
      <c r="E46" s="973"/>
      <c r="F46" s="973"/>
      <c r="G46" s="973"/>
      <c r="H46" s="973"/>
      <c r="I46" s="976"/>
      <c r="J46" s="977"/>
      <c r="K46" s="965">
        <v>27</v>
      </c>
      <c r="L46" s="965"/>
      <c r="M46" s="978"/>
      <c r="N46" s="965">
        <v>27</v>
      </c>
      <c r="O46" s="159"/>
      <c r="P46" s="159"/>
      <c r="Q46" s="159"/>
      <c r="R46" s="159"/>
      <c r="S46" s="159"/>
      <c r="Y46" s="1975" t="str">
        <f t="shared" si="1"/>
        <v/>
      </c>
    </row>
    <row r="47" spans="1:25">
      <c r="A47" s="1983" t="str">
        <f t="shared" si="0"/>
        <v/>
      </c>
      <c r="B47" s="657">
        <f>Gases!A53</f>
        <v>28</v>
      </c>
      <c r="C47" s="970"/>
      <c r="D47" s="973"/>
      <c r="E47" s="973"/>
      <c r="F47" s="973"/>
      <c r="G47" s="973"/>
      <c r="H47" s="973"/>
      <c r="I47" s="976"/>
      <c r="J47" s="977"/>
      <c r="K47" s="965">
        <v>28</v>
      </c>
      <c r="L47" s="965"/>
      <c r="M47" s="978"/>
      <c r="N47" s="965">
        <v>28</v>
      </c>
      <c r="O47" s="159"/>
      <c r="P47" s="159"/>
      <c r="Q47" s="159"/>
      <c r="R47" s="159"/>
      <c r="S47" s="159"/>
      <c r="Y47" s="1975" t="str">
        <f t="shared" si="1"/>
        <v/>
      </c>
    </row>
    <row r="48" spans="1:25">
      <c r="A48" s="1983" t="str">
        <f t="shared" si="0"/>
        <v/>
      </c>
      <c r="B48" s="657">
        <f>Gases!A54</f>
        <v>29</v>
      </c>
      <c r="C48" s="970"/>
      <c r="D48" s="973"/>
      <c r="E48" s="973"/>
      <c r="F48" s="973"/>
      <c r="G48" s="973"/>
      <c r="H48" s="973"/>
      <c r="I48" s="976"/>
      <c r="J48" s="977"/>
      <c r="K48" s="965">
        <v>29</v>
      </c>
      <c r="L48" s="965"/>
      <c r="M48" s="978"/>
      <c r="N48" s="965">
        <v>29</v>
      </c>
      <c r="O48" s="159"/>
      <c r="P48" s="159"/>
      <c r="Q48" s="159"/>
      <c r="R48" s="159"/>
      <c r="S48" s="159"/>
      <c r="Y48" s="1975" t="str">
        <f t="shared" si="1"/>
        <v/>
      </c>
    </row>
    <row r="49" spans="1:25">
      <c r="A49" s="1983" t="str">
        <f t="shared" si="0"/>
        <v/>
      </c>
      <c r="B49" s="657">
        <f>Gases!A55</f>
        <v>30</v>
      </c>
      <c r="C49" s="970"/>
      <c r="D49" s="973"/>
      <c r="E49" s="973"/>
      <c r="F49" s="973"/>
      <c r="G49" s="973"/>
      <c r="H49" s="973"/>
      <c r="I49" s="976"/>
      <c r="J49" s="977"/>
      <c r="K49" s="965">
        <v>30</v>
      </c>
      <c r="L49" s="965"/>
      <c r="M49" s="978"/>
      <c r="N49" s="965">
        <v>30</v>
      </c>
      <c r="O49" s="159"/>
      <c r="P49" s="159"/>
      <c r="Q49" s="159"/>
      <c r="R49" s="159"/>
      <c r="S49" s="159"/>
      <c r="Y49" s="1975" t="str">
        <f t="shared" si="1"/>
        <v/>
      </c>
    </row>
    <row r="50" spans="1:25">
      <c r="A50" s="1983" t="str">
        <f t="shared" si="0"/>
        <v/>
      </c>
      <c r="B50" s="657">
        <f>Gases!A56</f>
        <v>31</v>
      </c>
      <c r="C50" s="970"/>
      <c r="D50" s="973"/>
      <c r="E50" s="973"/>
      <c r="F50" s="973"/>
      <c r="G50" s="973"/>
      <c r="H50" s="973"/>
      <c r="I50" s="976"/>
      <c r="J50" s="977"/>
      <c r="K50" s="965">
        <v>31</v>
      </c>
      <c r="L50" s="965"/>
      <c r="M50" s="978"/>
      <c r="N50" s="965">
        <v>31</v>
      </c>
      <c r="O50" s="159"/>
      <c r="P50" s="159"/>
      <c r="Q50" s="159"/>
      <c r="R50" s="159"/>
      <c r="S50" s="159"/>
      <c r="Y50" s="1975" t="str">
        <f t="shared" si="1"/>
        <v/>
      </c>
    </row>
    <row r="51" spans="1:25">
      <c r="A51" s="1983" t="str">
        <f t="shared" si="0"/>
        <v/>
      </c>
      <c r="B51" s="657">
        <f>Gases!A57</f>
        <v>32</v>
      </c>
      <c r="C51" s="970"/>
      <c r="D51" s="973"/>
      <c r="E51" s="973"/>
      <c r="F51" s="973"/>
      <c r="G51" s="973"/>
      <c r="H51" s="973"/>
      <c r="I51" s="976"/>
      <c r="J51" s="977"/>
      <c r="K51" s="965">
        <v>32</v>
      </c>
      <c r="L51" s="965"/>
      <c r="M51" s="978"/>
      <c r="N51" s="965">
        <v>32</v>
      </c>
      <c r="O51" s="159"/>
      <c r="P51" s="159"/>
      <c r="Q51" s="159"/>
      <c r="R51" s="159"/>
      <c r="S51" s="159"/>
      <c r="Y51" s="1975" t="str">
        <f t="shared" si="1"/>
        <v/>
      </c>
    </row>
    <row r="52" spans="1:25">
      <c r="A52" s="1983" t="str">
        <f t="shared" si="0"/>
        <v/>
      </c>
      <c r="B52" s="657">
        <f>Gases!A58</f>
        <v>33</v>
      </c>
      <c r="C52" s="970"/>
      <c r="D52" s="973"/>
      <c r="E52" s="973"/>
      <c r="F52" s="973"/>
      <c r="G52" s="973"/>
      <c r="H52" s="973"/>
      <c r="I52" s="976"/>
      <c r="J52" s="977"/>
      <c r="K52" s="965">
        <v>33</v>
      </c>
      <c r="L52" s="965"/>
      <c r="M52" s="978"/>
      <c r="N52" s="965">
        <v>33</v>
      </c>
      <c r="O52" s="159"/>
      <c r="P52" s="159"/>
      <c r="Q52" s="159"/>
      <c r="R52" s="159"/>
      <c r="S52" s="159"/>
      <c r="Y52" s="1975" t="str">
        <f t="shared" si="1"/>
        <v/>
      </c>
    </row>
    <row r="53" spans="1:25">
      <c r="A53" s="1983" t="str">
        <f t="shared" si="0"/>
        <v/>
      </c>
      <c r="B53" s="657">
        <f>Gases!A59</f>
        <v>34</v>
      </c>
      <c r="C53" s="970"/>
      <c r="D53" s="973"/>
      <c r="E53" s="973"/>
      <c r="F53" s="973"/>
      <c r="G53" s="973"/>
      <c r="H53" s="973"/>
      <c r="I53" s="976"/>
      <c r="J53" s="977"/>
      <c r="K53" s="965">
        <v>34</v>
      </c>
      <c r="L53" s="965"/>
      <c r="M53" s="978"/>
      <c r="N53" s="965">
        <v>34</v>
      </c>
      <c r="O53" s="159"/>
      <c r="P53" s="159"/>
      <c r="Q53" s="159"/>
      <c r="R53" s="159"/>
      <c r="S53" s="159"/>
      <c r="Y53" s="1975" t="str">
        <f t="shared" si="1"/>
        <v/>
      </c>
    </row>
    <row r="54" spans="1:25">
      <c r="A54" s="1983" t="str">
        <f t="shared" si="0"/>
        <v/>
      </c>
      <c r="B54" s="657">
        <f>Gases!A60</f>
        <v>35</v>
      </c>
      <c r="C54" s="970"/>
      <c r="D54" s="973"/>
      <c r="E54" s="973"/>
      <c r="F54" s="973"/>
      <c r="G54" s="973"/>
      <c r="H54" s="973"/>
      <c r="I54" s="976"/>
      <c r="J54" s="977"/>
      <c r="K54" s="965">
        <v>35</v>
      </c>
      <c r="L54" s="965"/>
      <c r="M54" s="978"/>
      <c r="N54" s="965">
        <v>35</v>
      </c>
      <c r="O54" s="159"/>
      <c r="P54" s="159"/>
      <c r="Q54" s="159"/>
      <c r="R54" s="159"/>
      <c r="S54" s="159"/>
      <c r="Y54" s="1975" t="str">
        <f t="shared" si="1"/>
        <v/>
      </c>
    </row>
    <row r="55" spans="1:25">
      <c r="A55" s="1983" t="str">
        <f t="shared" si="0"/>
        <v/>
      </c>
      <c r="B55" s="657">
        <f>Gases!A61</f>
        <v>36</v>
      </c>
      <c r="C55" s="970"/>
      <c r="D55" s="973"/>
      <c r="E55" s="973"/>
      <c r="F55" s="973"/>
      <c r="G55" s="973"/>
      <c r="H55" s="973"/>
      <c r="I55" s="976"/>
      <c r="J55" s="977"/>
      <c r="K55" s="965">
        <v>36</v>
      </c>
      <c r="L55" s="965"/>
      <c r="M55" s="978"/>
      <c r="N55" s="965">
        <v>36</v>
      </c>
      <c r="O55" s="159"/>
      <c r="P55" s="159"/>
      <c r="Q55" s="159"/>
      <c r="R55" s="159"/>
      <c r="S55" s="159"/>
      <c r="Y55" s="1975" t="str">
        <f t="shared" si="1"/>
        <v/>
      </c>
    </row>
    <row r="56" spans="1:25">
      <c r="A56" s="1983" t="str">
        <f t="shared" si="0"/>
        <v/>
      </c>
      <c r="B56" s="657">
        <f>Gases!A62</f>
        <v>37</v>
      </c>
      <c r="C56" s="970"/>
      <c r="D56" s="973"/>
      <c r="E56" s="973"/>
      <c r="F56" s="973"/>
      <c r="G56" s="973"/>
      <c r="H56" s="973"/>
      <c r="I56" s="976"/>
      <c r="J56" s="977"/>
      <c r="K56" s="965">
        <v>37</v>
      </c>
      <c r="L56" s="965"/>
      <c r="M56" s="978"/>
      <c r="N56" s="965">
        <v>37</v>
      </c>
      <c r="O56" s="159"/>
      <c r="P56" s="159"/>
      <c r="Q56" s="159"/>
      <c r="R56" s="159"/>
      <c r="S56" s="159"/>
      <c r="Y56" s="1975" t="str">
        <f t="shared" si="1"/>
        <v/>
      </c>
    </row>
    <row r="57" spans="1:25">
      <c r="A57" s="1983" t="str">
        <f t="shared" si="0"/>
        <v/>
      </c>
      <c r="B57" s="657">
        <f>Gases!A63</f>
        <v>38</v>
      </c>
      <c r="C57" s="970"/>
      <c r="D57" s="973"/>
      <c r="E57" s="973"/>
      <c r="F57" s="973"/>
      <c r="G57" s="973"/>
      <c r="H57" s="973"/>
      <c r="I57" s="976"/>
      <c r="J57" s="977"/>
      <c r="K57" s="965">
        <v>38</v>
      </c>
      <c r="L57" s="965"/>
      <c r="M57" s="978"/>
      <c r="N57" s="965">
        <v>38</v>
      </c>
      <c r="O57" s="159"/>
      <c r="P57" s="159"/>
      <c r="Q57" s="159"/>
      <c r="R57" s="159"/>
      <c r="S57" s="159"/>
      <c r="Y57" s="1975" t="str">
        <f t="shared" si="1"/>
        <v/>
      </c>
    </row>
    <row r="58" spans="1:25">
      <c r="A58" s="1983" t="str">
        <f t="shared" si="0"/>
        <v/>
      </c>
      <c r="B58" s="657">
        <f>Gases!A64</f>
        <v>39</v>
      </c>
      <c r="C58" s="970"/>
      <c r="D58" s="973"/>
      <c r="E58" s="973"/>
      <c r="F58" s="973"/>
      <c r="G58" s="973"/>
      <c r="H58" s="973"/>
      <c r="I58" s="976"/>
      <c r="J58" s="977"/>
      <c r="K58" s="965">
        <v>39</v>
      </c>
      <c r="L58" s="965"/>
      <c r="M58" s="978"/>
      <c r="N58" s="965">
        <v>39</v>
      </c>
      <c r="O58" s="159"/>
      <c r="P58" s="159"/>
      <c r="Q58" s="159"/>
      <c r="R58" s="159"/>
      <c r="S58" s="159"/>
      <c r="Y58" s="1975" t="str">
        <f t="shared" si="1"/>
        <v/>
      </c>
    </row>
    <row r="59" spans="1:25">
      <c r="A59" s="1983" t="str">
        <f t="shared" si="0"/>
        <v/>
      </c>
      <c r="B59" s="741">
        <f>Gases!A65</f>
        <v>40</v>
      </c>
      <c r="C59" s="970"/>
      <c r="D59" s="973"/>
      <c r="E59" s="973"/>
      <c r="F59" s="973"/>
      <c r="G59" s="973"/>
      <c r="H59" s="973"/>
      <c r="I59" s="976"/>
      <c r="J59" s="977"/>
      <c r="K59" s="965">
        <v>40</v>
      </c>
      <c r="L59" s="965"/>
      <c r="M59" s="978"/>
      <c r="N59" s="965">
        <v>40</v>
      </c>
      <c r="O59" s="159"/>
      <c r="P59" s="159"/>
      <c r="Q59" s="159"/>
      <c r="R59" s="159"/>
      <c r="S59" s="159"/>
      <c r="Y59" s="1975" t="str">
        <f t="shared" si="1"/>
        <v/>
      </c>
    </row>
    <row r="60" spans="1:25">
      <c r="A60" s="1983" t="str">
        <f t="shared" si="0"/>
        <v/>
      </c>
      <c r="B60" s="741">
        <f>Gases!A66</f>
        <v>41</v>
      </c>
      <c r="C60" s="970"/>
      <c r="D60" s="973"/>
      <c r="E60" s="973"/>
      <c r="F60" s="973"/>
      <c r="G60" s="973"/>
      <c r="H60" s="973"/>
      <c r="I60" s="976"/>
      <c r="J60" s="977"/>
      <c r="K60" s="965">
        <v>41</v>
      </c>
      <c r="L60" s="965"/>
      <c r="M60" s="978"/>
      <c r="N60" s="965">
        <v>41</v>
      </c>
      <c r="O60" s="159"/>
      <c r="P60" s="159"/>
      <c r="Q60" s="159"/>
      <c r="R60" s="159"/>
      <c r="S60" s="159"/>
      <c r="Y60" s="1975" t="str">
        <f t="shared" si="1"/>
        <v/>
      </c>
    </row>
    <row r="61" spans="1:25">
      <c r="A61" s="1983" t="str">
        <f t="shared" si="0"/>
        <v/>
      </c>
      <c r="B61" s="741">
        <f>Gases!A67</f>
        <v>42</v>
      </c>
      <c r="C61" s="970"/>
      <c r="D61" s="973"/>
      <c r="E61" s="973"/>
      <c r="F61" s="973"/>
      <c r="G61" s="973"/>
      <c r="H61" s="973"/>
      <c r="I61" s="976"/>
      <c r="J61" s="977"/>
      <c r="K61" s="965">
        <v>42</v>
      </c>
      <c r="L61" s="965"/>
      <c r="M61" s="978"/>
      <c r="N61" s="965">
        <v>42</v>
      </c>
      <c r="O61" s="159"/>
      <c r="P61" s="159"/>
      <c r="Q61" s="159"/>
      <c r="R61" s="159"/>
      <c r="S61" s="159"/>
      <c r="Y61" s="1975" t="str">
        <f t="shared" si="1"/>
        <v/>
      </c>
    </row>
    <row r="62" spans="1:25">
      <c r="A62" s="1983" t="str">
        <f t="shared" si="0"/>
        <v/>
      </c>
      <c r="B62" s="741">
        <f>Gases!A68</f>
        <v>43</v>
      </c>
      <c r="C62" s="970"/>
      <c r="D62" s="973"/>
      <c r="E62" s="973"/>
      <c r="F62" s="973"/>
      <c r="G62" s="973"/>
      <c r="H62" s="973"/>
      <c r="I62" s="976"/>
      <c r="J62" s="977"/>
      <c r="K62" s="965">
        <v>43</v>
      </c>
      <c r="L62" s="965"/>
      <c r="M62" s="978"/>
      <c r="N62" s="965">
        <v>43</v>
      </c>
      <c r="O62" s="159"/>
      <c r="P62" s="159"/>
      <c r="Q62" s="159"/>
      <c r="R62" s="159"/>
      <c r="S62" s="159"/>
      <c r="Y62" s="1975" t="str">
        <f t="shared" si="1"/>
        <v/>
      </c>
    </row>
    <row r="63" spans="1:25">
      <c r="A63" s="1983" t="str">
        <f t="shared" si="0"/>
        <v/>
      </c>
      <c r="B63" s="741">
        <f>Gases!A69</f>
        <v>44</v>
      </c>
      <c r="C63" s="970"/>
      <c r="D63" s="973"/>
      <c r="E63" s="973"/>
      <c r="F63" s="973"/>
      <c r="G63" s="973"/>
      <c r="H63" s="973"/>
      <c r="I63" s="976"/>
      <c r="J63" s="977"/>
      <c r="K63" s="965">
        <v>44</v>
      </c>
      <c r="L63" s="965"/>
      <c r="M63" s="978"/>
      <c r="N63" s="965">
        <v>44</v>
      </c>
      <c r="O63" s="159"/>
      <c r="P63" s="159"/>
      <c r="Q63" s="159"/>
      <c r="R63" s="159"/>
      <c r="S63" s="159"/>
      <c r="Y63" s="1975" t="str">
        <f t="shared" si="1"/>
        <v/>
      </c>
    </row>
    <row r="64" spans="1:25">
      <c r="A64" s="1983" t="str">
        <f t="shared" si="0"/>
        <v/>
      </c>
      <c r="B64" s="741">
        <f>Gases!A70</f>
        <v>45</v>
      </c>
      <c r="C64" s="970"/>
      <c r="D64" s="973"/>
      <c r="E64" s="973"/>
      <c r="F64" s="973"/>
      <c r="G64" s="973"/>
      <c r="H64" s="973"/>
      <c r="I64" s="976"/>
      <c r="J64" s="977"/>
      <c r="K64" s="965">
        <v>45</v>
      </c>
      <c r="L64" s="965"/>
      <c r="M64" s="978"/>
      <c r="N64" s="965">
        <v>45</v>
      </c>
      <c r="O64" s="159"/>
      <c r="P64" s="159"/>
      <c r="Q64" s="159"/>
      <c r="R64" s="159"/>
      <c r="S64" s="159"/>
      <c r="Y64" s="1975" t="str">
        <f t="shared" si="1"/>
        <v/>
      </c>
    </row>
    <row r="65" spans="1:25">
      <c r="A65" s="1983" t="str">
        <f t="shared" si="0"/>
        <v/>
      </c>
      <c r="B65" s="741">
        <f>Gases!A71</f>
        <v>46</v>
      </c>
      <c r="C65" s="970"/>
      <c r="D65" s="973"/>
      <c r="E65" s="973"/>
      <c r="F65" s="973"/>
      <c r="G65" s="973"/>
      <c r="H65" s="973"/>
      <c r="I65" s="976"/>
      <c r="J65" s="977"/>
      <c r="K65" s="965">
        <v>46</v>
      </c>
      <c r="L65" s="965"/>
      <c r="M65" s="978"/>
      <c r="N65" s="965">
        <v>46</v>
      </c>
      <c r="O65" s="159"/>
      <c r="P65" s="159"/>
      <c r="Q65" s="159"/>
      <c r="R65" s="159"/>
      <c r="S65" s="159"/>
      <c r="Y65" s="1975" t="str">
        <f t="shared" si="1"/>
        <v/>
      </c>
    </row>
    <row r="66" spans="1:25">
      <c r="A66" s="1983" t="str">
        <f t="shared" si="0"/>
        <v/>
      </c>
      <c r="B66" s="741">
        <f>Gases!A72</f>
        <v>47</v>
      </c>
      <c r="C66" s="970"/>
      <c r="D66" s="973"/>
      <c r="E66" s="973"/>
      <c r="F66" s="973"/>
      <c r="G66" s="973"/>
      <c r="H66" s="973"/>
      <c r="I66" s="976"/>
      <c r="J66" s="977"/>
      <c r="K66" s="965">
        <v>47</v>
      </c>
      <c r="L66" s="965"/>
      <c r="M66" s="978"/>
      <c r="N66" s="965">
        <v>47</v>
      </c>
      <c r="O66" s="159"/>
      <c r="P66" s="159"/>
      <c r="Q66" s="159"/>
      <c r="R66" s="159"/>
      <c r="S66" s="159"/>
      <c r="Y66" s="1975" t="str">
        <f t="shared" si="1"/>
        <v/>
      </c>
    </row>
    <row r="67" spans="1:25">
      <c r="A67" s="1983" t="str">
        <f t="shared" si="0"/>
        <v/>
      </c>
      <c r="B67" s="741">
        <f>Gases!A73</f>
        <v>48</v>
      </c>
      <c r="C67" s="970"/>
      <c r="D67" s="973"/>
      <c r="E67" s="973"/>
      <c r="F67" s="973"/>
      <c r="G67" s="973"/>
      <c r="H67" s="973"/>
      <c r="I67" s="976"/>
      <c r="J67" s="977"/>
      <c r="K67" s="965">
        <v>48</v>
      </c>
      <c r="L67" s="965"/>
      <c r="M67" s="978"/>
      <c r="N67" s="965">
        <v>48</v>
      </c>
      <c r="O67" s="159"/>
      <c r="P67" s="159"/>
      <c r="Q67" s="159"/>
      <c r="R67" s="159"/>
      <c r="S67" s="159"/>
      <c r="Y67" s="1975" t="str">
        <f t="shared" si="1"/>
        <v/>
      </c>
    </row>
    <row r="68" spans="1:25">
      <c r="A68" s="1983" t="str">
        <f t="shared" si="0"/>
        <v/>
      </c>
      <c r="B68" s="741">
        <f>Gases!A74</f>
        <v>49</v>
      </c>
      <c r="C68" s="970"/>
      <c r="D68" s="973"/>
      <c r="E68" s="973"/>
      <c r="F68" s="973"/>
      <c r="G68" s="973"/>
      <c r="H68" s="973"/>
      <c r="I68" s="976"/>
      <c r="J68" s="977"/>
      <c r="K68" s="965">
        <v>49</v>
      </c>
      <c r="L68" s="965"/>
      <c r="M68" s="978"/>
      <c r="N68" s="965">
        <v>49</v>
      </c>
      <c r="O68" s="159"/>
      <c r="P68" s="159"/>
      <c r="Q68" s="159"/>
      <c r="R68" s="159"/>
      <c r="S68" s="159"/>
      <c r="Y68" s="1975" t="str">
        <f t="shared" si="1"/>
        <v/>
      </c>
    </row>
    <row r="69" spans="1:25">
      <c r="A69" s="1983" t="str">
        <f t="shared" si="0"/>
        <v/>
      </c>
      <c r="B69" s="741">
        <f>Gases!A75</f>
        <v>50</v>
      </c>
      <c r="C69" s="970"/>
      <c r="D69" s="973"/>
      <c r="E69" s="973"/>
      <c r="F69" s="973"/>
      <c r="G69" s="973"/>
      <c r="H69" s="973"/>
      <c r="I69" s="976"/>
      <c r="J69" s="977"/>
      <c r="K69" s="965">
        <v>50</v>
      </c>
      <c r="L69" s="965"/>
      <c r="M69" s="978"/>
      <c r="N69" s="965">
        <v>50</v>
      </c>
      <c r="O69" s="159"/>
      <c r="P69" s="159"/>
      <c r="Q69" s="159"/>
      <c r="R69" s="159"/>
      <c r="S69" s="159"/>
      <c r="Y69" s="1975" t="str">
        <f t="shared" si="1"/>
        <v/>
      </c>
    </row>
    <row r="70" spans="1:25">
      <c r="A70" s="1983" t="str">
        <f t="shared" si="0"/>
        <v/>
      </c>
      <c r="B70" s="741">
        <f>Gases!A76</f>
        <v>51</v>
      </c>
      <c r="C70" s="970"/>
      <c r="D70" s="973"/>
      <c r="E70" s="973"/>
      <c r="F70" s="973"/>
      <c r="G70" s="973"/>
      <c r="H70" s="973"/>
      <c r="I70" s="976"/>
      <c r="J70" s="977"/>
      <c r="K70" s="965">
        <v>51</v>
      </c>
      <c r="L70" s="965"/>
      <c r="M70" s="978"/>
      <c r="N70" s="965">
        <v>51</v>
      </c>
      <c r="O70" s="159"/>
      <c r="P70" s="159"/>
      <c r="Q70" s="159"/>
      <c r="R70" s="159"/>
      <c r="S70" s="159"/>
      <c r="Y70" s="1975" t="str">
        <f t="shared" si="1"/>
        <v/>
      </c>
    </row>
    <row r="71" spans="1:25">
      <c r="A71" s="1983" t="str">
        <f t="shared" si="0"/>
        <v/>
      </c>
      <c r="B71" s="741">
        <f>Gases!A77</f>
        <v>52</v>
      </c>
      <c r="C71" s="970"/>
      <c r="D71" s="973"/>
      <c r="E71" s="973"/>
      <c r="F71" s="973"/>
      <c r="G71" s="973"/>
      <c r="H71" s="973"/>
      <c r="I71" s="976"/>
      <c r="J71" s="977"/>
      <c r="K71" s="965">
        <v>52</v>
      </c>
      <c r="L71" s="965"/>
      <c r="M71" s="978"/>
      <c r="N71" s="965">
        <v>52</v>
      </c>
      <c r="O71" s="159"/>
      <c r="P71" s="159"/>
      <c r="Q71" s="159"/>
      <c r="R71" s="159"/>
      <c r="S71" s="159"/>
      <c r="Y71" s="1975" t="str">
        <f t="shared" si="1"/>
        <v/>
      </c>
    </row>
    <row r="72" spans="1:25">
      <c r="A72" s="1983" t="str">
        <f t="shared" si="0"/>
        <v/>
      </c>
      <c r="B72" s="741">
        <f>Gases!A78</f>
        <v>53</v>
      </c>
      <c r="C72" s="970"/>
      <c r="D72" s="973"/>
      <c r="E72" s="973"/>
      <c r="F72" s="973"/>
      <c r="G72" s="973"/>
      <c r="H72" s="973"/>
      <c r="I72" s="976"/>
      <c r="J72" s="977"/>
      <c r="K72" s="965">
        <v>53</v>
      </c>
      <c r="L72" s="965"/>
      <c r="M72" s="978"/>
      <c r="N72" s="965">
        <v>53</v>
      </c>
      <c r="O72" s="159"/>
      <c r="P72" s="159"/>
      <c r="Q72" s="159"/>
      <c r="R72" s="159"/>
      <c r="S72" s="159"/>
      <c r="Y72" s="1975" t="str">
        <f t="shared" si="1"/>
        <v/>
      </c>
    </row>
    <row r="73" spans="1:25">
      <c r="A73" s="1983" t="str">
        <f t="shared" si="0"/>
        <v/>
      </c>
      <c r="B73" s="741">
        <f>Gases!A79</f>
        <v>54</v>
      </c>
      <c r="C73" s="970"/>
      <c r="D73" s="973"/>
      <c r="E73" s="973"/>
      <c r="F73" s="973"/>
      <c r="G73" s="973"/>
      <c r="H73" s="973"/>
      <c r="I73" s="976"/>
      <c r="J73" s="977"/>
      <c r="K73" s="965">
        <v>54</v>
      </c>
      <c r="L73" s="965"/>
      <c r="M73" s="978"/>
      <c r="N73" s="965">
        <v>54</v>
      </c>
      <c r="O73" s="159"/>
      <c r="P73" s="159"/>
      <c r="Q73" s="159"/>
      <c r="R73" s="159"/>
      <c r="S73" s="159"/>
      <c r="Y73" s="1975" t="str">
        <f t="shared" si="1"/>
        <v/>
      </c>
    </row>
    <row r="74" spans="1:25">
      <c r="A74" s="1983" t="str">
        <f t="shared" si="0"/>
        <v/>
      </c>
      <c r="B74" s="741">
        <f>Gases!A80</f>
        <v>55</v>
      </c>
      <c r="C74" s="970"/>
      <c r="D74" s="973"/>
      <c r="E74" s="973"/>
      <c r="F74" s="973"/>
      <c r="G74" s="973"/>
      <c r="H74" s="973"/>
      <c r="I74" s="976"/>
      <c r="J74" s="977"/>
      <c r="K74" s="965">
        <v>55</v>
      </c>
      <c r="L74" s="965"/>
      <c r="M74" s="978"/>
      <c r="N74" s="965">
        <v>55</v>
      </c>
      <c r="O74" s="159"/>
      <c r="P74" s="159"/>
      <c r="Q74" s="159"/>
      <c r="R74" s="159"/>
      <c r="S74" s="159"/>
      <c r="Y74" s="1975" t="str">
        <f t="shared" si="1"/>
        <v/>
      </c>
    </row>
    <row r="75" spans="1:25">
      <c r="A75" s="1983" t="str">
        <f t="shared" si="0"/>
        <v/>
      </c>
      <c r="B75" s="741">
        <f>Gases!A81</f>
        <v>56</v>
      </c>
      <c r="C75" s="970"/>
      <c r="D75" s="973"/>
      <c r="E75" s="973"/>
      <c r="F75" s="973"/>
      <c r="G75" s="973"/>
      <c r="H75" s="973"/>
      <c r="I75" s="976"/>
      <c r="J75" s="977"/>
      <c r="K75" s="965">
        <v>56</v>
      </c>
      <c r="L75" s="965"/>
      <c r="M75" s="978"/>
      <c r="N75" s="965">
        <v>56</v>
      </c>
      <c r="O75" s="159"/>
      <c r="P75" s="159"/>
      <c r="Q75" s="159"/>
      <c r="R75" s="159"/>
      <c r="S75" s="159"/>
      <c r="Y75" s="1975" t="str">
        <f t="shared" si="1"/>
        <v/>
      </c>
    </row>
    <row r="76" spans="1:25">
      <c r="A76" s="1983" t="str">
        <f t="shared" si="0"/>
        <v/>
      </c>
      <c r="B76" s="741">
        <f>Gases!A82</f>
        <v>57</v>
      </c>
      <c r="C76" s="970"/>
      <c r="D76" s="973"/>
      <c r="E76" s="973"/>
      <c r="F76" s="973"/>
      <c r="G76" s="973"/>
      <c r="H76" s="973"/>
      <c r="I76" s="976"/>
      <c r="J76" s="977"/>
      <c r="K76" s="965">
        <v>57</v>
      </c>
      <c r="L76" s="965"/>
      <c r="M76" s="978"/>
      <c r="N76" s="965">
        <v>57</v>
      </c>
      <c r="O76" s="159"/>
      <c r="P76" s="159"/>
      <c r="Q76" s="159"/>
      <c r="R76" s="159"/>
      <c r="S76" s="159"/>
      <c r="Y76" s="1975" t="str">
        <f t="shared" si="1"/>
        <v/>
      </c>
    </row>
    <row r="77" spans="1:25">
      <c r="A77" s="1983" t="str">
        <f t="shared" si="0"/>
        <v/>
      </c>
      <c r="B77" s="741">
        <f>Gases!A83</f>
        <v>58</v>
      </c>
      <c r="C77" s="970"/>
      <c r="D77" s="973"/>
      <c r="E77" s="973"/>
      <c r="F77" s="973"/>
      <c r="G77" s="973"/>
      <c r="H77" s="973"/>
      <c r="I77" s="976"/>
      <c r="J77" s="977"/>
      <c r="K77" s="965">
        <v>58</v>
      </c>
      <c r="L77" s="965"/>
      <c r="M77" s="978"/>
      <c r="N77" s="965">
        <v>58</v>
      </c>
      <c r="O77" s="159"/>
      <c r="P77" s="159"/>
      <c r="Q77" s="159"/>
      <c r="R77" s="159"/>
      <c r="S77" s="159"/>
      <c r="Y77" s="1975" t="str">
        <f t="shared" si="1"/>
        <v/>
      </c>
    </row>
    <row r="78" spans="1:25">
      <c r="A78" s="1983" t="str">
        <f t="shared" si="0"/>
        <v/>
      </c>
      <c r="B78" s="741">
        <f>Gases!A84</f>
        <v>59</v>
      </c>
      <c r="C78" s="970"/>
      <c r="D78" s="973"/>
      <c r="E78" s="973"/>
      <c r="F78" s="973"/>
      <c r="G78" s="973"/>
      <c r="H78" s="973"/>
      <c r="I78" s="976"/>
      <c r="J78" s="977"/>
      <c r="K78" s="965">
        <v>59</v>
      </c>
      <c r="L78" s="965"/>
      <c r="M78" s="978"/>
      <c r="N78" s="965">
        <v>59</v>
      </c>
      <c r="O78" s="159"/>
      <c r="P78" s="159"/>
      <c r="Q78" s="159"/>
      <c r="R78" s="159"/>
      <c r="S78" s="159"/>
      <c r="Y78" s="1975" t="str">
        <f t="shared" si="1"/>
        <v/>
      </c>
    </row>
    <row r="79" spans="1:25">
      <c r="A79" s="1983" t="str">
        <f t="shared" si="0"/>
        <v/>
      </c>
      <c r="B79" s="741">
        <f>Gases!A85</f>
        <v>60</v>
      </c>
      <c r="C79" s="970"/>
      <c r="D79" s="973"/>
      <c r="E79" s="973"/>
      <c r="F79" s="973"/>
      <c r="G79" s="973"/>
      <c r="H79" s="973"/>
      <c r="I79" s="976"/>
      <c r="J79" s="977"/>
      <c r="K79" s="965">
        <v>60</v>
      </c>
      <c r="L79" s="965"/>
      <c r="M79" s="978"/>
      <c r="N79" s="965">
        <v>60</v>
      </c>
      <c r="O79" s="159"/>
      <c r="P79" s="159"/>
      <c r="Q79" s="159"/>
      <c r="R79" s="159"/>
      <c r="S79" s="159"/>
      <c r="Y79" s="1975" t="str">
        <f t="shared" si="1"/>
        <v/>
      </c>
    </row>
    <row r="80" spans="1:25">
      <c r="A80" s="1983" t="str">
        <f t="shared" si="0"/>
        <v/>
      </c>
      <c r="B80" s="741">
        <f>Gases!A86</f>
        <v>61</v>
      </c>
      <c r="C80" s="970"/>
      <c r="D80" s="973"/>
      <c r="E80" s="973"/>
      <c r="F80" s="973"/>
      <c r="G80" s="973"/>
      <c r="H80" s="973"/>
      <c r="I80" s="976"/>
      <c r="J80" s="977"/>
      <c r="K80" s="965">
        <v>61</v>
      </c>
      <c r="L80" s="965"/>
      <c r="M80" s="978"/>
      <c r="N80" s="965">
        <v>61</v>
      </c>
      <c r="O80" s="159"/>
      <c r="P80" s="159"/>
      <c r="Q80" s="159"/>
      <c r="R80" s="159"/>
      <c r="S80" s="159"/>
      <c r="Y80" s="1975" t="str">
        <f t="shared" si="1"/>
        <v/>
      </c>
    </row>
    <row r="81" spans="1:25">
      <c r="A81" s="1983" t="str">
        <f t="shared" si="0"/>
        <v/>
      </c>
      <c r="B81" s="741">
        <f>Gases!A87</f>
        <v>62</v>
      </c>
      <c r="C81" s="970"/>
      <c r="D81" s="973"/>
      <c r="E81" s="973"/>
      <c r="F81" s="973"/>
      <c r="G81" s="973"/>
      <c r="H81" s="973"/>
      <c r="I81" s="976"/>
      <c r="J81" s="977"/>
      <c r="K81" s="965">
        <v>62</v>
      </c>
      <c r="L81" s="965"/>
      <c r="M81" s="978"/>
      <c r="N81" s="965">
        <v>62</v>
      </c>
      <c r="O81" s="159"/>
      <c r="P81" s="159"/>
      <c r="Q81" s="159"/>
      <c r="R81" s="159"/>
      <c r="S81" s="159"/>
      <c r="Y81" s="1975" t="str">
        <f t="shared" si="1"/>
        <v/>
      </c>
    </row>
    <row r="82" spans="1:25">
      <c r="A82" s="1983" t="str">
        <f t="shared" si="0"/>
        <v/>
      </c>
      <c r="B82" s="741">
        <f>Gases!A88</f>
        <v>63</v>
      </c>
      <c r="C82" s="970"/>
      <c r="D82" s="973"/>
      <c r="E82" s="973"/>
      <c r="F82" s="973"/>
      <c r="G82" s="973"/>
      <c r="H82" s="973"/>
      <c r="I82" s="976"/>
      <c r="J82" s="977"/>
      <c r="K82" s="965">
        <v>63</v>
      </c>
      <c r="L82" s="965"/>
      <c r="M82" s="978"/>
      <c r="N82" s="965">
        <v>63</v>
      </c>
      <c r="O82" s="159"/>
      <c r="P82" s="159"/>
      <c r="Q82" s="159"/>
      <c r="R82" s="159"/>
      <c r="S82" s="159"/>
      <c r="Y82" s="1975" t="str">
        <f t="shared" si="1"/>
        <v/>
      </c>
    </row>
    <row r="83" spans="1:25">
      <c r="A83" s="1983" t="str">
        <f t="shared" si="0"/>
        <v/>
      </c>
      <c r="B83" s="741">
        <f>Gases!A89</f>
        <v>64</v>
      </c>
      <c r="C83" s="970"/>
      <c r="D83" s="973"/>
      <c r="E83" s="973"/>
      <c r="F83" s="973"/>
      <c r="G83" s="973"/>
      <c r="H83" s="973"/>
      <c r="I83" s="976"/>
      <c r="J83" s="977"/>
      <c r="K83" s="965">
        <v>64</v>
      </c>
      <c r="L83" s="965"/>
      <c r="M83" s="978"/>
      <c r="N83" s="965">
        <v>64</v>
      </c>
      <c r="O83" s="159"/>
      <c r="P83" s="159"/>
      <c r="Q83" s="159"/>
      <c r="R83" s="159"/>
      <c r="S83" s="159"/>
      <c r="Y83" s="1975" t="str">
        <f t="shared" si="1"/>
        <v/>
      </c>
    </row>
    <row r="84" spans="1:25">
      <c r="A84" s="1983" t="str">
        <f t="shared" ref="A84:A147" si="2">IF(AND(C84="",Q83=""),"",IF(GasAnalyser="MRU",Q83,C84))</f>
        <v/>
      </c>
      <c r="B84" s="741">
        <f>Gases!A90</f>
        <v>65</v>
      </c>
      <c r="C84" s="970"/>
      <c r="D84" s="973"/>
      <c r="E84" s="973"/>
      <c r="F84" s="973"/>
      <c r="G84" s="973"/>
      <c r="H84" s="973"/>
      <c r="I84" s="976"/>
      <c r="J84" s="977"/>
      <c r="K84" s="965">
        <v>65</v>
      </c>
      <c r="L84" s="965"/>
      <c r="M84" s="978"/>
      <c r="N84" s="965">
        <v>65</v>
      </c>
      <c r="O84" s="159"/>
      <c r="P84" s="159"/>
      <c r="Q84" s="159"/>
      <c r="R84" s="159"/>
      <c r="S84" s="159"/>
      <c r="Y84" s="1975" t="str">
        <f t="shared" si="1"/>
        <v/>
      </c>
    </row>
    <row r="85" spans="1:25">
      <c r="A85" s="1983" t="str">
        <f t="shared" si="2"/>
        <v/>
      </c>
      <c r="B85" s="741">
        <f>Gases!A91</f>
        <v>66</v>
      </c>
      <c r="C85" s="970"/>
      <c r="D85" s="973"/>
      <c r="E85" s="973"/>
      <c r="F85" s="973"/>
      <c r="G85" s="973"/>
      <c r="H85" s="973"/>
      <c r="I85" s="976"/>
      <c r="J85" s="977"/>
      <c r="K85" s="965">
        <v>66</v>
      </c>
      <c r="L85" s="965"/>
      <c r="M85" s="978"/>
      <c r="N85" s="965">
        <v>66</v>
      </c>
      <c r="O85" s="159"/>
      <c r="P85" s="159"/>
      <c r="Q85" s="159"/>
      <c r="R85" s="159"/>
      <c r="S85" s="159"/>
      <c r="Y85" s="1975" t="str">
        <f t="shared" si="1"/>
        <v/>
      </c>
    </row>
    <row r="86" spans="1:25">
      <c r="A86" s="1983" t="str">
        <f t="shared" si="2"/>
        <v/>
      </c>
      <c r="B86" s="741">
        <f>Gases!A92</f>
        <v>67</v>
      </c>
      <c r="C86" s="970"/>
      <c r="D86" s="973"/>
      <c r="E86" s="973"/>
      <c r="F86" s="973"/>
      <c r="G86" s="973"/>
      <c r="H86" s="973"/>
      <c r="I86" s="976"/>
      <c r="J86" s="977"/>
      <c r="K86" s="965">
        <v>67</v>
      </c>
      <c r="L86" s="965"/>
      <c r="M86" s="978"/>
      <c r="N86" s="965">
        <v>67</v>
      </c>
      <c r="O86" s="159"/>
      <c r="P86" s="159"/>
      <c r="Q86" s="159"/>
      <c r="R86" s="159"/>
      <c r="S86" s="159"/>
      <c r="Y86" s="1975" t="str">
        <f t="shared" ref="Y86:Y149" si="3">IF(U86="","",SUM(U86:V86))</f>
        <v/>
      </c>
    </row>
    <row r="87" spans="1:25">
      <c r="A87" s="1983" t="str">
        <f t="shared" si="2"/>
        <v/>
      </c>
      <c r="B87" s="741">
        <f>Gases!A93</f>
        <v>68</v>
      </c>
      <c r="C87" s="970"/>
      <c r="D87" s="973"/>
      <c r="E87" s="973"/>
      <c r="F87" s="973"/>
      <c r="G87" s="973"/>
      <c r="H87" s="973"/>
      <c r="I87" s="976"/>
      <c r="J87" s="977"/>
      <c r="K87" s="965">
        <v>68</v>
      </c>
      <c r="L87" s="965"/>
      <c r="M87" s="978"/>
      <c r="N87" s="965">
        <v>68</v>
      </c>
      <c r="O87" s="159"/>
      <c r="P87" s="159"/>
      <c r="Q87" s="159"/>
      <c r="R87" s="159"/>
      <c r="S87" s="159"/>
      <c r="Y87" s="1975" t="str">
        <f t="shared" si="3"/>
        <v/>
      </c>
    </row>
    <row r="88" spans="1:25">
      <c r="A88" s="1983" t="str">
        <f t="shared" si="2"/>
        <v/>
      </c>
      <c r="B88" s="741">
        <f>Gases!A94</f>
        <v>69</v>
      </c>
      <c r="C88" s="970"/>
      <c r="D88" s="973"/>
      <c r="E88" s="973"/>
      <c r="F88" s="973"/>
      <c r="G88" s="973"/>
      <c r="H88" s="973"/>
      <c r="I88" s="976"/>
      <c r="J88" s="977"/>
      <c r="K88" s="965">
        <v>69</v>
      </c>
      <c r="L88" s="965"/>
      <c r="M88" s="978"/>
      <c r="N88" s="965">
        <v>69</v>
      </c>
      <c r="O88" s="159"/>
      <c r="P88" s="159"/>
      <c r="Q88" s="159"/>
      <c r="R88" s="159"/>
      <c r="S88" s="159"/>
      <c r="Y88" s="1975" t="str">
        <f t="shared" si="3"/>
        <v/>
      </c>
    </row>
    <row r="89" spans="1:25">
      <c r="A89" s="1983" t="str">
        <f t="shared" si="2"/>
        <v/>
      </c>
      <c r="B89" s="741">
        <f>Gases!A95</f>
        <v>70</v>
      </c>
      <c r="C89" s="970"/>
      <c r="D89" s="973"/>
      <c r="E89" s="973"/>
      <c r="F89" s="973"/>
      <c r="G89" s="973"/>
      <c r="H89" s="973"/>
      <c r="I89" s="976"/>
      <c r="J89" s="977"/>
      <c r="K89" s="965">
        <v>70</v>
      </c>
      <c r="L89" s="965"/>
      <c r="M89" s="978"/>
      <c r="N89" s="965">
        <v>70</v>
      </c>
      <c r="O89" s="159"/>
      <c r="P89" s="159"/>
      <c r="Q89" s="159"/>
      <c r="R89" s="159"/>
      <c r="S89" s="159"/>
      <c r="Y89" s="1975" t="str">
        <f t="shared" si="3"/>
        <v/>
      </c>
    </row>
    <row r="90" spans="1:25">
      <c r="A90" s="1983" t="str">
        <f t="shared" si="2"/>
        <v/>
      </c>
      <c r="B90" s="741">
        <f>Gases!A96</f>
        <v>71</v>
      </c>
      <c r="C90" s="970"/>
      <c r="D90" s="973"/>
      <c r="E90" s="973"/>
      <c r="F90" s="973"/>
      <c r="G90" s="973"/>
      <c r="H90" s="973"/>
      <c r="I90" s="976"/>
      <c r="J90" s="977"/>
      <c r="K90" s="965">
        <v>71</v>
      </c>
      <c r="L90" s="965"/>
      <c r="M90" s="978"/>
      <c r="N90" s="965">
        <v>71</v>
      </c>
      <c r="O90" s="159"/>
      <c r="P90" s="159"/>
      <c r="Q90" s="159"/>
      <c r="R90" s="159"/>
      <c r="S90" s="159"/>
      <c r="Y90" s="1975" t="str">
        <f t="shared" si="3"/>
        <v/>
      </c>
    </row>
    <row r="91" spans="1:25">
      <c r="A91" s="1983" t="str">
        <f t="shared" si="2"/>
        <v/>
      </c>
      <c r="B91" s="741">
        <f>Gases!A97</f>
        <v>72</v>
      </c>
      <c r="C91" s="970"/>
      <c r="D91" s="973"/>
      <c r="E91" s="973"/>
      <c r="F91" s="973"/>
      <c r="G91" s="973"/>
      <c r="H91" s="973"/>
      <c r="I91" s="976"/>
      <c r="J91" s="977"/>
      <c r="K91" s="965">
        <v>72</v>
      </c>
      <c r="L91" s="965"/>
      <c r="M91" s="978"/>
      <c r="N91" s="965">
        <v>72</v>
      </c>
      <c r="O91" s="159"/>
      <c r="P91" s="159"/>
      <c r="Q91" s="159"/>
      <c r="R91" s="159"/>
      <c r="S91" s="159"/>
      <c r="Y91" s="1975" t="str">
        <f t="shared" si="3"/>
        <v/>
      </c>
    </row>
    <row r="92" spans="1:25">
      <c r="A92" s="1983" t="str">
        <f t="shared" si="2"/>
        <v/>
      </c>
      <c r="B92" s="741">
        <f>Gases!A98</f>
        <v>73</v>
      </c>
      <c r="C92" s="970"/>
      <c r="D92" s="973"/>
      <c r="E92" s="973"/>
      <c r="F92" s="973"/>
      <c r="G92" s="973"/>
      <c r="H92" s="973"/>
      <c r="I92" s="976"/>
      <c r="J92" s="977"/>
      <c r="K92" s="965">
        <v>73</v>
      </c>
      <c r="L92" s="965"/>
      <c r="M92" s="978"/>
      <c r="N92" s="965">
        <v>73</v>
      </c>
      <c r="O92" s="159"/>
      <c r="P92" s="159"/>
      <c r="Q92" s="159"/>
      <c r="R92" s="159"/>
      <c r="S92" s="159"/>
      <c r="Y92" s="1975" t="str">
        <f t="shared" si="3"/>
        <v/>
      </c>
    </row>
    <row r="93" spans="1:25">
      <c r="A93" s="1983" t="str">
        <f t="shared" si="2"/>
        <v/>
      </c>
      <c r="B93" s="741">
        <f>Gases!A99</f>
        <v>74</v>
      </c>
      <c r="C93" s="970"/>
      <c r="D93" s="973"/>
      <c r="E93" s="973"/>
      <c r="F93" s="973"/>
      <c r="G93" s="973"/>
      <c r="H93" s="973"/>
      <c r="I93" s="976"/>
      <c r="J93" s="977"/>
      <c r="K93" s="965">
        <v>74</v>
      </c>
      <c r="L93" s="965"/>
      <c r="M93" s="978"/>
      <c r="N93" s="965">
        <v>74</v>
      </c>
      <c r="O93" s="159"/>
      <c r="P93" s="159"/>
      <c r="Q93" s="159"/>
      <c r="R93" s="159"/>
      <c r="S93" s="159"/>
      <c r="Y93" s="1975" t="str">
        <f t="shared" si="3"/>
        <v/>
      </c>
    </row>
    <row r="94" spans="1:25">
      <c r="A94" s="1983" t="str">
        <f t="shared" si="2"/>
        <v/>
      </c>
      <c r="B94" s="741">
        <f>Gases!A100</f>
        <v>75</v>
      </c>
      <c r="C94" s="970"/>
      <c r="D94" s="973"/>
      <c r="E94" s="973"/>
      <c r="F94" s="973"/>
      <c r="G94" s="973"/>
      <c r="H94" s="973"/>
      <c r="I94" s="976"/>
      <c r="J94" s="977"/>
      <c r="K94" s="965">
        <v>75</v>
      </c>
      <c r="L94" s="965"/>
      <c r="M94" s="978"/>
      <c r="N94" s="965">
        <v>75</v>
      </c>
      <c r="O94" s="159"/>
      <c r="P94" s="159"/>
      <c r="Q94" s="159"/>
      <c r="R94" s="159"/>
      <c r="S94" s="159"/>
      <c r="Y94" s="1975" t="str">
        <f t="shared" si="3"/>
        <v/>
      </c>
    </row>
    <row r="95" spans="1:25">
      <c r="A95" s="1983" t="str">
        <f t="shared" si="2"/>
        <v/>
      </c>
      <c r="B95" s="741">
        <f>Gases!A101</f>
        <v>76</v>
      </c>
      <c r="C95" s="970"/>
      <c r="D95" s="973"/>
      <c r="E95" s="973"/>
      <c r="F95" s="973"/>
      <c r="G95" s="973"/>
      <c r="H95" s="973"/>
      <c r="I95" s="976"/>
      <c r="J95" s="977"/>
      <c r="K95" s="965">
        <v>76</v>
      </c>
      <c r="L95" s="965"/>
      <c r="M95" s="978"/>
      <c r="N95" s="965">
        <v>76</v>
      </c>
      <c r="O95" s="159"/>
      <c r="P95" s="159"/>
      <c r="Q95" s="159"/>
      <c r="R95" s="159"/>
      <c r="S95" s="159"/>
      <c r="Y95" s="1975" t="str">
        <f t="shared" si="3"/>
        <v/>
      </c>
    </row>
    <row r="96" spans="1:25">
      <c r="A96" s="1983" t="str">
        <f t="shared" si="2"/>
        <v/>
      </c>
      <c r="B96" s="741">
        <f>Gases!A102</f>
        <v>77</v>
      </c>
      <c r="C96" s="970"/>
      <c r="D96" s="973"/>
      <c r="E96" s="973"/>
      <c r="F96" s="973"/>
      <c r="G96" s="973"/>
      <c r="H96" s="973"/>
      <c r="I96" s="976"/>
      <c r="J96" s="977"/>
      <c r="K96" s="965">
        <v>77</v>
      </c>
      <c r="L96" s="965"/>
      <c r="M96" s="978"/>
      <c r="N96" s="965">
        <v>77</v>
      </c>
      <c r="O96" s="159"/>
      <c r="P96" s="159"/>
      <c r="Q96" s="159"/>
      <c r="R96" s="159"/>
      <c r="S96" s="159"/>
      <c r="Y96" s="1975" t="str">
        <f t="shared" si="3"/>
        <v/>
      </c>
    </row>
    <row r="97" spans="1:25">
      <c r="A97" s="1983" t="str">
        <f t="shared" si="2"/>
        <v/>
      </c>
      <c r="B97" s="741">
        <f>Gases!A103</f>
        <v>78</v>
      </c>
      <c r="C97" s="970"/>
      <c r="D97" s="973"/>
      <c r="E97" s="973"/>
      <c r="F97" s="973"/>
      <c r="G97" s="973"/>
      <c r="H97" s="973"/>
      <c r="I97" s="976"/>
      <c r="J97" s="977"/>
      <c r="K97" s="965">
        <v>78</v>
      </c>
      <c r="L97" s="965"/>
      <c r="M97" s="978"/>
      <c r="N97" s="965">
        <v>78</v>
      </c>
      <c r="O97" s="159"/>
      <c r="P97" s="159"/>
      <c r="Q97" s="159"/>
      <c r="R97" s="159"/>
      <c r="S97" s="159"/>
      <c r="Y97" s="1975" t="str">
        <f t="shared" si="3"/>
        <v/>
      </c>
    </row>
    <row r="98" spans="1:25">
      <c r="A98" s="1983" t="str">
        <f t="shared" si="2"/>
        <v/>
      </c>
      <c r="B98" s="741">
        <f>Gases!A104</f>
        <v>79</v>
      </c>
      <c r="C98" s="970"/>
      <c r="D98" s="973"/>
      <c r="E98" s="973"/>
      <c r="F98" s="973"/>
      <c r="G98" s="973"/>
      <c r="H98" s="973"/>
      <c r="I98" s="976"/>
      <c r="J98" s="977"/>
      <c r="K98" s="965">
        <v>79</v>
      </c>
      <c r="L98" s="965"/>
      <c r="M98" s="978"/>
      <c r="N98" s="965">
        <v>79</v>
      </c>
      <c r="O98" s="159"/>
      <c r="P98" s="159"/>
      <c r="Q98" s="159"/>
      <c r="R98" s="159"/>
      <c r="S98" s="159"/>
      <c r="Y98" s="1975" t="str">
        <f t="shared" si="3"/>
        <v/>
      </c>
    </row>
    <row r="99" spans="1:25">
      <c r="A99" s="1983" t="str">
        <f t="shared" si="2"/>
        <v/>
      </c>
      <c r="B99" s="741">
        <f>Gases!A105</f>
        <v>80</v>
      </c>
      <c r="C99" s="970"/>
      <c r="D99" s="973"/>
      <c r="E99" s="973"/>
      <c r="F99" s="973"/>
      <c r="G99" s="973"/>
      <c r="H99" s="973"/>
      <c r="I99" s="976"/>
      <c r="J99" s="977"/>
      <c r="K99" s="965">
        <v>80</v>
      </c>
      <c r="L99" s="965"/>
      <c r="M99" s="978"/>
      <c r="N99" s="965">
        <v>80</v>
      </c>
      <c r="O99" s="159"/>
      <c r="P99" s="159"/>
      <c r="Q99" s="159"/>
      <c r="R99" s="159"/>
      <c r="S99" s="159"/>
      <c r="Y99" s="1975" t="str">
        <f t="shared" si="3"/>
        <v/>
      </c>
    </row>
    <row r="100" spans="1:25">
      <c r="A100" s="1983" t="str">
        <f t="shared" si="2"/>
        <v/>
      </c>
      <c r="B100" s="741">
        <f>Gases!A106</f>
        <v>81</v>
      </c>
      <c r="C100" s="970"/>
      <c r="D100" s="973"/>
      <c r="E100" s="973"/>
      <c r="F100" s="973"/>
      <c r="G100" s="973"/>
      <c r="H100" s="973"/>
      <c r="I100" s="976"/>
      <c r="J100" s="977"/>
      <c r="K100" s="965">
        <v>81</v>
      </c>
      <c r="L100" s="965"/>
      <c r="M100" s="978"/>
      <c r="N100" s="965">
        <v>81</v>
      </c>
      <c r="O100" s="159"/>
      <c r="P100" s="159"/>
      <c r="Q100" s="159"/>
      <c r="R100" s="159"/>
      <c r="S100" s="159"/>
      <c r="Y100" s="1975" t="str">
        <f t="shared" si="3"/>
        <v/>
      </c>
    </row>
    <row r="101" spans="1:25">
      <c r="A101" s="1983" t="str">
        <f t="shared" si="2"/>
        <v/>
      </c>
      <c r="B101" s="741">
        <f>Gases!A107</f>
        <v>82</v>
      </c>
      <c r="C101" s="970"/>
      <c r="D101" s="973"/>
      <c r="E101" s="973"/>
      <c r="F101" s="973"/>
      <c r="G101" s="973"/>
      <c r="H101" s="973"/>
      <c r="I101" s="976"/>
      <c r="J101" s="977"/>
      <c r="K101" s="965">
        <v>82</v>
      </c>
      <c r="L101" s="965"/>
      <c r="M101" s="978"/>
      <c r="N101" s="965">
        <v>82</v>
      </c>
      <c r="O101" s="159"/>
      <c r="P101" s="159"/>
      <c r="Q101" s="159"/>
      <c r="R101" s="159"/>
      <c r="S101" s="159"/>
      <c r="Y101" s="1975" t="str">
        <f t="shared" si="3"/>
        <v/>
      </c>
    </row>
    <row r="102" spans="1:25">
      <c r="A102" s="1983" t="str">
        <f t="shared" si="2"/>
        <v/>
      </c>
      <c r="B102" s="741">
        <f>Gases!A108</f>
        <v>83</v>
      </c>
      <c r="C102" s="970"/>
      <c r="D102" s="973"/>
      <c r="E102" s="973"/>
      <c r="F102" s="973"/>
      <c r="G102" s="973"/>
      <c r="H102" s="973"/>
      <c r="I102" s="976"/>
      <c r="J102" s="977"/>
      <c r="K102" s="965">
        <v>83</v>
      </c>
      <c r="L102" s="965"/>
      <c r="M102" s="978"/>
      <c r="N102" s="965">
        <v>83</v>
      </c>
      <c r="O102" s="159"/>
      <c r="P102" s="159"/>
      <c r="Q102" s="159"/>
      <c r="R102" s="159"/>
      <c r="S102" s="159"/>
      <c r="Y102" s="1975" t="str">
        <f t="shared" si="3"/>
        <v/>
      </c>
    </row>
    <row r="103" spans="1:25">
      <c r="A103" s="1983" t="str">
        <f t="shared" si="2"/>
        <v/>
      </c>
      <c r="B103" s="741">
        <f>Gases!A109</f>
        <v>84</v>
      </c>
      <c r="C103" s="970"/>
      <c r="D103" s="973"/>
      <c r="E103" s="973"/>
      <c r="F103" s="973"/>
      <c r="G103" s="973"/>
      <c r="H103" s="973"/>
      <c r="I103" s="976"/>
      <c r="J103" s="977"/>
      <c r="K103" s="965">
        <v>84</v>
      </c>
      <c r="L103" s="965"/>
      <c r="M103" s="978"/>
      <c r="N103" s="965">
        <v>84</v>
      </c>
      <c r="O103" s="159"/>
      <c r="P103" s="159"/>
      <c r="Q103" s="159"/>
      <c r="R103" s="159"/>
      <c r="S103" s="159"/>
      <c r="Y103" s="1975" t="str">
        <f t="shared" si="3"/>
        <v/>
      </c>
    </row>
    <row r="104" spans="1:25">
      <c r="A104" s="1983" t="str">
        <f t="shared" si="2"/>
        <v/>
      </c>
      <c r="B104" s="741">
        <f>Gases!A110</f>
        <v>85</v>
      </c>
      <c r="C104" s="970"/>
      <c r="D104" s="973"/>
      <c r="E104" s="973"/>
      <c r="F104" s="973"/>
      <c r="G104" s="973"/>
      <c r="H104" s="973"/>
      <c r="I104" s="976"/>
      <c r="J104" s="977"/>
      <c r="K104" s="965">
        <v>85</v>
      </c>
      <c r="L104" s="965"/>
      <c r="M104" s="978"/>
      <c r="N104" s="965">
        <v>85</v>
      </c>
      <c r="O104" s="159"/>
      <c r="P104" s="159"/>
      <c r="Q104" s="159"/>
      <c r="R104" s="159"/>
      <c r="S104" s="159"/>
      <c r="Y104" s="1975" t="str">
        <f t="shared" si="3"/>
        <v/>
      </c>
    </row>
    <row r="105" spans="1:25">
      <c r="A105" s="1983" t="str">
        <f t="shared" si="2"/>
        <v/>
      </c>
      <c r="B105" s="741">
        <f>Gases!A111</f>
        <v>86</v>
      </c>
      <c r="C105" s="970"/>
      <c r="D105" s="973"/>
      <c r="E105" s="973"/>
      <c r="F105" s="973"/>
      <c r="G105" s="973"/>
      <c r="H105" s="973"/>
      <c r="I105" s="976"/>
      <c r="J105" s="977"/>
      <c r="K105" s="965">
        <v>86</v>
      </c>
      <c r="L105" s="965"/>
      <c r="M105" s="978"/>
      <c r="N105" s="965">
        <v>86</v>
      </c>
      <c r="O105" s="159"/>
      <c r="P105" s="159"/>
      <c r="Q105" s="159"/>
      <c r="R105" s="159"/>
      <c r="S105" s="159"/>
      <c r="Y105" s="1975" t="str">
        <f t="shared" si="3"/>
        <v/>
      </c>
    </row>
    <row r="106" spans="1:25">
      <c r="A106" s="1983" t="str">
        <f t="shared" si="2"/>
        <v/>
      </c>
      <c r="B106" s="741">
        <f>Gases!A112</f>
        <v>87</v>
      </c>
      <c r="C106" s="970"/>
      <c r="D106" s="973"/>
      <c r="E106" s="973"/>
      <c r="F106" s="973"/>
      <c r="G106" s="973"/>
      <c r="H106" s="973"/>
      <c r="I106" s="976"/>
      <c r="J106" s="977"/>
      <c r="K106" s="965">
        <v>87</v>
      </c>
      <c r="L106" s="965"/>
      <c r="M106" s="978"/>
      <c r="N106" s="965">
        <v>87</v>
      </c>
      <c r="O106" s="159"/>
      <c r="P106" s="159"/>
      <c r="Q106" s="159"/>
      <c r="R106" s="159"/>
      <c r="S106" s="159"/>
      <c r="Y106" s="1975" t="str">
        <f t="shared" si="3"/>
        <v/>
      </c>
    </row>
    <row r="107" spans="1:25">
      <c r="A107" s="1983" t="str">
        <f t="shared" si="2"/>
        <v/>
      </c>
      <c r="B107" s="741">
        <f>Gases!A113</f>
        <v>88</v>
      </c>
      <c r="C107" s="970"/>
      <c r="D107" s="973"/>
      <c r="E107" s="973"/>
      <c r="F107" s="973"/>
      <c r="G107" s="973"/>
      <c r="H107" s="973"/>
      <c r="I107" s="976"/>
      <c r="J107" s="977"/>
      <c r="K107" s="965">
        <v>88</v>
      </c>
      <c r="L107" s="965"/>
      <c r="M107" s="978"/>
      <c r="N107" s="965">
        <v>88</v>
      </c>
      <c r="O107" s="159"/>
      <c r="P107" s="159"/>
      <c r="Q107" s="159"/>
      <c r="R107" s="159"/>
      <c r="S107" s="159"/>
      <c r="Y107" s="1975" t="str">
        <f t="shared" si="3"/>
        <v/>
      </c>
    </row>
    <row r="108" spans="1:25">
      <c r="A108" s="1983" t="str">
        <f t="shared" si="2"/>
        <v/>
      </c>
      <c r="B108" s="741">
        <f>Gases!A114</f>
        <v>89</v>
      </c>
      <c r="C108" s="970"/>
      <c r="D108" s="973"/>
      <c r="E108" s="973"/>
      <c r="F108" s="973"/>
      <c r="G108" s="973"/>
      <c r="H108" s="973"/>
      <c r="I108" s="976"/>
      <c r="J108" s="977"/>
      <c r="K108" s="965">
        <v>89</v>
      </c>
      <c r="L108" s="965"/>
      <c r="M108" s="978"/>
      <c r="N108" s="965">
        <v>89</v>
      </c>
      <c r="O108" s="159"/>
      <c r="P108" s="159"/>
      <c r="Q108" s="159"/>
      <c r="R108" s="159"/>
      <c r="S108" s="159"/>
      <c r="Y108" s="1975" t="str">
        <f t="shared" si="3"/>
        <v/>
      </c>
    </row>
    <row r="109" spans="1:25">
      <c r="A109" s="1983" t="str">
        <f t="shared" si="2"/>
        <v/>
      </c>
      <c r="B109" s="741">
        <f>Gases!A115</f>
        <v>90</v>
      </c>
      <c r="C109" s="970"/>
      <c r="D109" s="973"/>
      <c r="E109" s="973"/>
      <c r="F109" s="973"/>
      <c r="G109" s="973"/>
      <c r="H109" s="973"/>
      <c r="I109" s="976"/>
      <c r="J109" s="977"/>
      <c r="K109" s="965">
        <v>90</v>
      </c>
      <c r="L109" s="965"/>
      <c r="M109" s="978"/>
      <c r="N109" s="965">
        <v>90</v>
      </c>
      <c r="O109" s="159"/>
      <c r="P109" s="159"/>
      <c r="Q109" s="159"/>
      <c r="R109" s="159"/>
      <c r="S109" s="159"/>
      <c r="Y109" s="1975" t="str">
        <f t="shared" si="3"/>
        <v/>
      </c>
    </row>
    <row r="110" spans="1:25">
      <c r="A110" s="1983" t="str">
        <f t="shared" si="2"/>
        <v/>
      </c>
      <c r="B110" s="741">
        <f>Gases!A116</f>
        <v>91</v>
      </c>
      <c r="C110" s="970"/>
      <c r="D110" s="973"/>
      <c r="E110" s="973"/>
      <c r="F110" s="973"/>
      <c r="G110" s="973"/>
      <c r="H110" s="973"/>
      <c r="I110" s="976"/>
      <c r="J110" s="977"/>
      <c r="K110" s="965">
        <v>91</v>
      </c>
      <c r="L110" s="965"/>
      <c r="M110" s="978"/>
      <c r="N110" s="965">
        <v>91</v>
      </c>
      <c r="O110" s="159"/>
      <c r="P110" s="159"/>
      <c r="Q110" s="159"/>
      <c r="R110" s="159"/>
      <c r="S110" s="159"/>
      <c r="Y110" s="1975" t="str">
        <f t="shared" si="3"/>
        <v/>
      </c>
    </row>
    <row r="111" spans="1:25">
      <c r="A111" s="1983" t="str">
        <f t="shared" si="2"/>
        <v/>
      </c>
      <c r="B111" s="741">
        <f>Gases!A117</f>
        <v>92</v>
      </c>
      <c r="C111" s="970"/>
      <c r="D111" s="973"/>
      <c r="E111" s="973"/>
      <c r="F111" s="973"/>
      <c r="G111" s="973"/>
      <c r="H111" s="973"/>
      <c r="I111" s="976"/>
      <c r="J111" s="977"/>
      <c r="K111" s="965">
        <v>92</v>
      </c>
      <c r="L111" s="965"/>
      <c r="M111" s="978"/>
      <c r="N111" s="965">
        <v>92</v>
      </c>
      <c r="O111" s="159"/>
      <c r="P111" s="159"/>
      <c r="Q111" s="159"/>
      <c r="R111" s="159"/>
      <c r="S111" s="159"/>
      <c r="Y111" s="1975" t="str">
        <f t="shared" si="3"/>
        <v/>
      </c>
    </row>
    <row r="112" spans="1:25">
      <c r="A112" s="1983" t="str">
        <f t="shared" si="2"/>
        <v/>
      </c>
      <c r="B112" s="741">
        <f>Gases!A118</f>
        <v>93</v>
      </c>
      <c r="C112" s="970"/>
      <c r="D112" s="973"/>
      <c r="E112" s="973"/>
      <c r="F112" s="973"/>
      <c r="G112" s="973"/>
      <c r="H112" s="973"/>
      <c r="I112" s="976"/>
      <c r="J112" s="977"/>
      <c r="K112" s="965">
        <v>93</v>
      </c>
      <c r="L112" s="965"/>
      <c r="M112" s="978"/>
      <c r="N112" s="965">
        <v>93</v>
      </c>
      <c r="O112" s="159"/>
      <c r="P112" s="159"/>
      <c r="Q112" s="159"/>
      <c r="R112" s="159"/>
      <c r="S112" s="159"/>
      <c r="Y112" s="1975" t="str">
        <f t="shared" si="3"/>
        <v/>
      </c>
    </row>
    <row r="113" spans="1:25">
      <c r="A113" s="1983" t="str">
        <f t="shared" si="2"/>
        <v/>
      </c>
      <c r="B113" s="741">
        <f>Gases!A119</f>
        <v>94</v>
      </c>
      <c r="C113" s="970"/>
      <c r="D113" s="973"/>
      <c r="E113" s="973"/>
      <c r="F113" s="973"/>
      <c r="G113" s="973"/>
      <c r="H113" s="973"/>
      <c r="I113" s="976"/>
      <c r="J113" s="977"/>
      <c r="K113" s="965">
        <v>94</v>
      </c>
      <c r="L113" s="965"/>
      <c r="M113" s="978"/>
      <c r="N113" s="965">
        <v>94</v>
      </c>
      <c r="O113" s="159"/>
      <c r="P113" s="159"/>
      <c r="Q113" s="159"/>
      <c r="R113" s="159"/>
      <c r="S113" s="159"/>
      <c r="Y113" s="1975" t="str">
        <f t="shared" si="3"/>
        <v/>
      </c>
    </row>
    <row r="114" spans="1:25">
      <c r="A114" s="1983" t="str">
        <f t="shared" si="2"/>
        <v/>
      </c>
      <c r="B114" s="741">
        <f>Gases!A120</f>
        <v>95</v>
      </c>
      <c r="C114" s="970"/>
      <c r="D114" s="973"/>
      <c r="E114" s="973"/>
      <c r="F114" s="973"/>
      <c r="G114" s="973"/>
      <c r="H114" s="973"/>
      <c r="I114" s="976"/>
      <c r="J114" s="977"/>
      <c r="K114" s="965">
        <v>95</v>
      </c>
      <c r="L114" s="965"/>
      <c r="M114" s="978"/>
      <c r="N114" s="965">
        <v>95</v>
      </c>
      <c r="O114" s="159"/>
      <c r="P114" s="159"/>
      <c r="Q114" s="159"/>
      <c r="R114" s="159"/>
      <c r="S114" s="159"/>
      <c r="Y114" s="1975" t="str">
        <f t="shared" si="3"/>
        <v/>
      </c>
    </row>
    <row r="115" spans="1:25">
      <c r="A115" s="1983" t="str">
        <f t="shared" si="2"/>
        <v/>
      </c>
      <c r="B115" s="741">
        <f>Gases!A121</f>
        <v>96</v>
      </c>
      <c r="C115" s="970"/>
      <c r="D115" s="973"/>
      <c r="E115" s="973"/>
      <c r="F115" s="973"/>
      <c r="G115" s="973"/>
      <c r="H115" s="973"/>
      <c r="I115" s="976"/>
      <c r="J115" s="977"/>
      <c r="K115" s="965">
        <v>96</v>
      </c>
      <c r="L115" s="965"/>
      <c r="M115" s="978"/>
      <c r="N115" s="965">
        <v>96</v>
      </c>
      <c r="O115" s="159"/>
      <c r="P115" s="159"/>
      <c r="Q115" s="159"/>
      <c r="R115" s="159"/>
      <c r="S115" s="159"/>
      <c r="Y115" s="1975" t="str">
        <f t="shared" si="3"/>
        <v/>
      </c>
    </row>
    <row r="116" spans="1:25">
      <c r="A116" s="1983" t="str">
        <f t="shared" si="2"/>
        <v/>
      </c>
      <c r="B116" s="741">
        <f>Gases!A122</f>
        <v>97</v>
      </c>
      <c r="C116" s="970"/>
      <c r="D116" s="973"/>
      <c r="E116" s="973"/>
      <c r="F116" s="973"/>
      <c r="G116" s="973"/>
      <c r="H116" s="973"/>
      <c r="I116" s="976"/>
      <c r="J116" s="977"/>
      <c r="K116" s="965">
        <v>97</v>
      </c>
      <c r="L116" s="965"/>
      <c r="M116" s="978"/>
      <c r="N116" s="965">
        <v>97</v>
      </c>
      <c r="O116" s="159"/>
      <c r="P116" s="159"/>
      <c r="Q116" s="159"/>
      <c r="R116" s="159"/>
      <c r="S116" s="159"/>
      <c r="Y116" s="1975" t="str">
        <f t="shared" si="3"/>
        <v/>
      </c>
    </row>
    <row r="117" spans="1:25">
      <c r="A117" s="1983" t="str">
        <f t="shared" si="2"/>
        <v/>
      </c>
      <c r="B117" s="741">
        <f>Gases!A123</f>
        <v>98</v>
      </c>
      <c r="C117" s="970"/>
      <c r="D117" s="973"/>
      <c r="E117" s="973"/>
      <c r="F117" s="973"/>
      <c r="G117" s="973"/>
      <c r="H117" s="973"/>
      <c r="I117" s="976"/>
      <c r="J117" s="977"/>
      <c r="K117" s="965">
        <v>98</v>
      </c>
      <c r="L117" s="965"/>
      <c r="M117" s="978"/>
      <c r="N117" s="965">
        <v>98</v>
      </c>
      <c r="O117" s="159"/>
      <c r="P117" s="159"/>
      <c r="Q117" s="159"/>
      <c r="R117" s="159"/>
      <c r="S117" s="159"/>
      <c r="Y117" s="1975" t="str">
        <f t="shared" si="3"/>
        <v/>
      </c>
    </row>
    <row r="118" spans="1:25">
      <c r="A118" s="1983" t="str">
        <f t="shared" si="2"/>
        <v/>
      </c>
      <c r="B118" s="741">
        <f>Gases!A124</f>
        <v>99</v>
      </c>
      <c r="C118" s="970"/>
      <c r="D118" s="973"/>
      <c r="E118" s="973"/>
      <c r="F118" s="973"/>
      <c r="G118" s="973"/>
      <c r="H118" s="973"/>
      <c r="I118" s="976"/>
      <c r="J118" s="977"/>
      <c r="K118" s="965">
        <v>99</v>
      </c>
      <c r="L118" s="965"/>
      <c r="M118" s="978"/>
      <c r="N118" s="965">
        <v>99</v>
      </c>
      <c r="O118" s="159"/>
      <c r="P118" s="159"/>
      <c r="Q118" s="159"/>
      <c r="R118" s="159"/>
      <c r="S118" s="159"/>
      <c r="Y118" s="1975" t="str">
        <f t="shared" si="3"/>
        <v/>
      </c>
    </row>
    <row r="119" spans="1:25">
      <c r="A119" s="1983" t="str">
        <f t="shared" si="2"/>
        <v/>
      </c>
      <c r="B119" s="741">
        <f>Gases!A125</f>
        <v>100</v>
      </c>
      <c r="C119" s="970"/>
      <c r="D119" s="973"/>
      <c r="E119" s="973"/>
      <c r="F119" s="973"/>
      <c r="G119" s="973"/>
      <c r="H119" s="973"/>
      <c r="I119" s="976"/>
      <c r="J119" s="977"/>
      <c r="K119" s="965">
        <v>100</v>
      </c>
      <c r="L119" s="965"/>
      <c r="M119" s="978"/>
      <c r="N119" s="965">
        <v>100</v>
      </c>
      <c r="O119" s="159"/>
      <c r="P119" s="159"/>
      <c r="Q119" s="159"/>
      <c r="R119" s="159"/>
      <c r="S119" s="159"/>
      <c r="Y119" s="1975" t="str">
        <f t="shared" si="3"/>
        <v/>
      </c>
    </row>
    <row r="120" spans="1:25">
      <c r="A120" s="1983" t="str">
        <f t="shared" si="2"/>
        <v/>
      </c>
      <c r="B120" s="741">
        <f>Gases!A126</f>
        <v>101</v>
      </c>
      <c r="C120" s="970"/>
      <c r="D120" s="973"/>
      <c r="E120" s="973"/>
      <c r="F120" s="973"/>
      <c r="G120" s="973"/>
      <c r="H120" s="973"/>
      <c r="I120" s="976"/>
      <c r="J120" s="977"/>
      <c r="K120" s="965">
        <v>101</v>
      </c>
      <c r="L120" s="965"/>
      <c r="M120" s="978"/>
      <c r="N120" s="965">
        <v>101</v>
      </c>
      <c r="O120" s="159"/>
      <c r="P120" s="159"/>
      <c r="Q120" s="159"/>
      <c r="R120" s="159"/>
      <c r="S120" s="159"/>
      <c r="Y120" s="1975" t="str">
        <f t="shared" si="3"/>
        <v/>
      </c>
    </row>
    <row r="121" spans="1:25">
      <c r="A121" s="1983" t="str">
        <f t="shared" si="2"/>
        <v/>
      </c>
      <c r="B121" s="741">
        <f>Gases!A127</f>
        <v>102</v>
      </c>
      <c r="C121" s="970"/>
      <c r="D121" s="973"/>
      <c r="E121" s="973"/>
      <c r="F121" s="973"/>
      <c r="G121" s="973"/>
      <c r="H121" s="973"/>
      <c r="I121" s="976"/>
      <c r="J121" s="977"/>
      <c r="K121" s="965">
        <v>102</v>
      </c>
      <c r="L121" s="965"/>
      <c r="M121" s="978"/>
      <c r="N121" s="965">
        <v>102</v>
      </c>
      <c r="O121" s="159"/>
      <c r="P121" s="159"/>
      <c r="Q121" s="159"/>
      <c r="R121" s="159"/>
      <c r="S121" s="159"/>
      <c r="Y121" s="1975" t="str">
        <f t="shared" si="3"/>
        <v/>
      </c>
    </row>
    <row r="122" spans="1:25">
      <c r="A122" s="1983" t="str">
        <f t="shared" si="2"/>
        <v/>
      </c>
      <c r="B122" s="741">
        <f>Gases!A128</f>
        <v>103</v>
      </c>
      <c r="C122" s="970"/>
      <c r="D122" s="973"/>
      <c r="E122" s="973"/>
      <c r="F122" s="973"/>
      <c r="G122" s="973"/>
      <c r="H122" s="973"/>
      <c r="I122" s="976"/>
      <c r="J122" s="977"/>
      <c r="K122" s="965">
        <v>103</v>
      </c>
      <c r="L122" s="965"/>
      <c r="M122" s="978"/>
      <c r="N122" s="965">
        <v>103</v>
      </c>
      <c r="O122" s="159"/>
      <c r="P122" s="159"/>
      <c r="Q122" s="159"/>
      <c r="R122" s="159"/>
      <c r="S122" s="159"/>
      <c r="Y122" s="1975" t="str">
        <f t="shared" si="3"/>
        <v/>
      </c>
    </row>
    <row r="123" spans="1:25">
      <c r="A123" s="1983" t="str">
        <f t="shared" si="2"/>
        <v/>
      </c>
      <c r="B123" s="741">
        <f>Gases!A129</f>
        <v>104</v>
      </c>
      <c r="C123" s="970"/>
      <c r="D123" s="973"/>
      <c r="E123" s="973"/>
      <c r="F123" s="973"/>
      <c r="G123" s="973"/>
      <c r="H123" s="973"/>
      <c r="I123" s="976"/>
      <c r="J123" s="977"/>
      <c r="K123" s="965">
        <v>104</v>
      </c>
      <c r="L123" s="965"/>
      <c r="M123" s="978"/>
      <c r="N123" s="965">
        <v>104</v>
      </c>
      <c r="O123" s="159"/>
      <c r="P123" s="159"/>
      <c r="Q123" s="159"/>
      <c r="R123" s="159"/>
      <c r="S123" s="159"/>
      <c r="Y123" s="1975" t="str">
        <f t="shared" si="3"/>
        <v/>
      </c>
    </row>
    <row r="124" spans="1:25">
      <c r="A124" s="1983" t="str">
        <f t="shared" si="2"/>
        <v/>
      </c>
      <c r="B124" s="741">
        <f>Gases!A130</f>
        <v>105</v>
      </c>
      <c r="C124" s="970"/>
      <c r="D124" s="973"/>
      <c r="E124" s="973"/>
      <c r="F124" s="973"/>
      <c r="G124" s="973"/>
      <c r="H124" s="973"/>
      <c r="I124" s="976"/>
      <c r="J124" s="977"/>
      <c r="K124" s="965">
        <v>105</v>
      </c>
      <c r="L124" s="965"/>
      <c r="M124" s="978"/>
      <c r="N124" s="965">
        <v>105</v>
      </c>
      <c r="O124" s="159"/>
      <c r="P124" s="159"/>
      <c r="Q124" s="159"/>
      <c r="R124" s="159"/>
      <c r="S124" s="159"/>
      <c r="Y124" s="1975" t="str">
        <f t="shared" si="3"/>
        <v/>
      </c>
    </row>
    <row r="125" spans="1:25">
      <c r="A125" s="1983" t="str">
        <f t="shared" si="2"/>
        <v/>
      </c>
      <c r="B125" s="741">
        <f>Gases!A131</f>
        <v>106</v>
      </c>
      <c r="C125" s="970"/>
      <c r="D125" s="973"/>
      <c r="E125" s="973"/>
      <c r="F125" s="973"/>
      <c r="G125" s="973"/>
      <c r="H125" s="973"/>
      <c r="I125" s="976"/>
      <c r="J125" s="977"/>
      <c r="K125" s="965">
        <v>106</v>
      </c>
      <c r="L125" s="965"/>
      <c r="M125" s="978"/>
      <c r="N125" s="965">
        <v>106</v>
      </c>
      <c r="O125" s="159"/>
      <c r="P125" s="159"/>
      <c r="Q125" s="159"/>
      <c r="R125" s="159"/>
      <c r="S125" s="159"/>
      <c r="Y125" s="1975" t="str">
        <f t="shared" si="3"/>
        <v/>
      </c>
    </row>
    <row r="126" spans="1:25">
      <c r="A126" s="1983" t="str">
        <f t="shared" si="2"/>
        <v/>
      </c>
      <c r="B126" s="741">
        <f>Gases!A132</f>
        <v>107</v>
      </c>
      <c r="C126" s="970"/>
      <c r="D126" s="973"/>
      <c r="E126" s="973"/>
      <c r="F126" s="973"/>
      <c r="G126" s="973"/>
      <c r="H126" s="973"/>
      <c r="I126" s="976"/>
      <c r="J126" s="977"/>
      <c r="K126" s="965">
        <v>107</v>
      </c>
      <c r="L126" s="965"/>
      <c r="M126" s="978"/>
      <c r="N126" s="965">
        <v>107</v>
      </c>
      <c r="O126" s="159"/>
      <c r="P126" s="159"/>
      <c r="Q126" s="159"/>
      <c r="R126" s="159"/>
      <c r="S126" s="159"/>
      <c r="Y126" s="1975" t="str">
        <f t="shared" si="3"/>
        <v/>
      </c>
    </row>
    <row r="127" spans="1:25">
      <c r="A127" s="1983" t="str">
        <f t="shared" si="2"/>
        <v/>
      </c>
      <c r="B127" s="657">
        <f>Gases!A133</f>
        <v>108</v>
      </c>
      <c r="C127" s="970"/>
      <c r="D127" s="973"/>
      <c r="E127" s="973"/>
      <c r="F127" s="973"/>
      <c r="G127" s="973"/>
      <c r="H127" s="973"/>
      <c r="I127" s="976"/>
      <c r="J127" s="977"/>
      <c r="K127" s="965">
        <v>108</v>
      </c>
      <c r="L127" s="965"/>
      <c r="M127" s="978"/>
      <c r="N127" s="965">
        <v>108</v>
      </c>
      <c r="O127" s="159"/>
      <c r="P127" s="159"/>
      <c r="Q127" s="159"/>
      <c r="R127" s="159"/>
      <c r="S127" s="159"/>
      <c r="Y127" s="1975" t="str">
        <f t="shared" si="3"/>
        <v/>
      </c>
    </row>
    <row r="128" spans="1:25">
      <c r="A128" s="1983" t="str">
        <f t="shared" si="2"/>
        <v/>
      </c>
      <c r="B128" s="657">
        <f>Gases!A134</f>
        <v>109</v>
      </c>
      <c r="C128" s="970"/>
      <c r="D128" s="973"/>
      <c r="E128" s="973"/>
      <c r="F128" s="973"/>
      <c r="G128" s="973"/>
      <c r="H128" s="973"/>
      <c r="I128" s="976"/>
      <c r="J128" s="977"/>
      <c r="K128" s="965">
        <v>109</v>
      </c>
      <c r="L128" s="965"/>
      <c r="M128" s="978"/>
      <c r="N128" s="965">
        <v>109</v>
      </c>
      <c r="O128" s="159"/>
      <c r="P128" s="159"/>
      <c r="Q128" s="159"/>
      <c r="R128" s="159"/>
      <c r="S128" s="159"/>
      <c r="Y128" s="1975" t="str">
        <f t="shared" si="3"/>
        <v/>
      </c>
    </row>
    <row r="129" spans="1:25">
      <c r="A129" s="1983" t="str">
        <f t="shared" si="2"/>
        <v/>
      </c>
      <c r="B129" s="657">
        <f>Gases!A135</f>
        <v>110</v>
      </c>
      <c r="C129" s="970"/>
      <c r="D129" s="973"/>
      <c r="E129" s="973"/>
      <c r="F129" s="973"/>
      <c r="G129" s="973"/>
      <c r="H129" s="973"/>
      <c r="I129" s="976"/>
      <c r="J129" s="977"/>
      <c r="K129" s="965">
        <v>110</v>
      </c>
      <c r="L129" s="965"/>
      <c r="M129" s="978"/>
      <c r="N129" s="965">
        <v>110</v>
      </c>
      <c r="O129" s="159"/>
      <c r="P129" s="159"/>
      <c r="Q129" s="159"/>
      <c r="R129" s="159"/>
      <c r="S129" s="159"/>
      <c r="Y129" s="1975" t="str">
        <f t="shared" si="3"/>
        <v/>
      </c>
    </row>
    <row r="130" spans="1:25">
      <c r="A130" s="1983" t="str">
        <f t="shared" si="2"/>
        <v/>
      </c>
      <c r="B130" s="657">
        <f>Gases!A136</f>
        <v>111</v>
      </c>
      <c r="C130" s="970"/>
      <c r="D130" s="973"/>
      <c r="E130" s="973"/>
      <c r="F130" s="973"/>
      <c r="G130" s="973"/>
      <c r="H130" s="973"/>
      <c r="I130" s="976"/>
      <c r="J130" s="977"/>
      <c r="K130" s="965">
        <v>111</v>
      </c>
      <c r="L130" s="965"/>
      <c r="M130" s="978"/>
      <c r="N130" s="965">
        <v>111</v>
      </c>
      <c r="O130" s="159"/>
      <c r="P130" s="159"/>
      <c r="Q130" s="159"/>
      <c r="R130" s="159"/>
      <c r="S130" s="159"/>
      <c r="Y130" s="1975" t="str">
        <f t="shared" si="3"/>
        <v/>
      </c>
    </row>
    <row r="131" spans="1:25">
      <c r="A131" s="1983" t="str">
        <f t="shared" si="2"/>
        <v/>
      </c>
      <c r="B131" s="657">
        <f>Gases!A137</f>
        <v>112</v>
      </c>
      <c r="C131" s="970"/>
      <c r="D131" s="973"/>
      <c r="E131" s="973"/>
      <c r="F131" s="973"/>
      <c r="G131" s="973"/>
      <c r="H131" s="973"/>
      <c r="I131" s="976"/>
      <c r="J131" s="977"/>
      <c r="K131" s="965">
        <v>112</v>
      </c>
      <c r="L131" s="965"/>
      <c r="M131" s="978"/>
      <c r="N131" s="965">
        <v>112</v>
      </c>
      <c r="O131" s="159"/>
      <c r="P131" s="159"/>
      <c r="Q131" s="159"/>
      <c r="R131" s="159"/>
      <c r="S131" s="159"/>
      <c r="Y131" s="1975" t="str">
        <f t="shared" si="3"/>
        <v/>
      </c>
    </row>
    <row r="132" spans="1:25">
      <c r="A132" s="1983" t="str">
        <f t="shared" si="2"/>
        <v/>
      </c>
      <c r="B132" s="657">
        <f>Gases!A138</f>
        <v>113</v>
      </c>
      <c r="C132" s="970"/>
      <c r="D132" s="973"/>
      <c r="E132" s="973"/>
      <c r="F132" s="973"/>
      <c r="G132" s="973"/>
      <c r="H132" s="973"/>
      <c r="I132" s="976"/>
      <c r="J132" s="977"/>
      <c r="K132" s="965">
        <v>113</v>
      </c>
      <c r="L132" s="965"/>
      <c r="M132" s="978"/>
      <c r="N132" s="965">
        <v>113</v>
      </c>
      <c r="O132" s="159"/>
      <c r="P132" s="159"/>
      <c r="Q132" s="159"/>
      <c r="R132" s="159"/>
      <c r="S132" s="159"/>
      <c r="Y132" s="1975" t="str">
        <f t="shared" si="3"/>
        <v/>
      </c>
    </row>
    <row r="133" spans="1:25">
      <c r="A133" s="1983" t="str">
        <f t="shared" si="2"/>
        <v/>
      </c>
      <c r="B133" s="657">
        <f>Gases!A139</f>
        <v>114</v>
      </c>
      <c r="C133" s="970"/>
      <c r="D133" s="973"/>
      <c r="E133" s="973"/>
      <c r="F133" s="973"/>
      <c r="G133" s="973"/>
      <c r="H133" s="973"/>
      <c r="I133" s="976"/>
      <c r="J133" s="977"/>
      <c r="K133" s="965">
        <v>114</v>
      </c>
      <c r="L133" s="965"/>
      <c r="M133" s="978"/>
      <c r="N133" s="965">
        <v>114</v>
      </c>
      <c r="O133" s="159"/>
      <c r="P133" s="159"/>
      <c r="Q133" s="159"/>
      <c r="R133" s="159"/>
      <c r="S133" s="159"/>
      <c r="Y133" s="1975" t="str">
        <f t="shared" si="3"/>
        <v/>
      </c>
    </row>
    <row r="134" spans="1:25">
      <c r="A134" s="1983" t="str">
        <f t="shared" si="2"/>
        <v/>
      </c>
      <c r="B134" s="657">
        <f>Gases!A140</f>
        <v>115</v>
      </c>
      <c r="C134" s="970"/>
      <c r="D134" s="973"/>
      <c r="E134" s="973"/>
      <c r="F134" s="973"/>
      <c r="G134" s="973"/>
      <c r="H134" s="973"/>
      <c r="I134" s="976"/>
      <c r="J134" s="977"/>
      <c r="K134" s="965">
        <v>115</v>
      </c>
      <c r="L134" s="965"/>
      <c r="M134" s="978"/>
      <c r="N134" s="965">
        <v>115</v>
      </c>
      <c r="O134" s="159"/>
      <c r="P134" s="159"/>
      <c r="Q134" s="159"/>
      <c r="R134" s="159"/>
      <c r="S134" s="159"/>
      <c r="Y134" s="1975" t="str">
        <f t="shared" si="3"/>
        <v/>
      </c>
    </row>
    <row r="135" spans="1:25">
      <c r="A135" s="1983" t="str">
        <f t="shared" si="2"/>
        <v/>
      </c>
      <c r="B135" s="657">
        <f>Gases!A141</f>
        <v>116</v>
      </c>
      <c r="C135" s="970"/>
      <c r="D135" s="973"/>
      <c r="E135" s="973"/>
      <c r="F135" s="973"/>
      <c r="G135" s="973"/>
      <c r="H135" s="973"/>
      <c r="I135" s="976"/>
      <c r="J135" s="977"/>
      <c r="K135" s="965">
        <v>116</v>
      </c>
      <c r="L135" s="965"/>
      <c r="M135" s="978"/>
      <c r="N135" s="965">
        <v>116</v>
      </c>
      <c r="O135" s="159"/>
      <c r="P135" s="159"/>
      <c r="Q135" s="159"/>
      <c r="R135" s="159"/>
      <c r="S135" s="159"/>
      <c r="Y135" s="1975" t="str">
        <f t="shared" si="3"/>
        <v/>
      </c>
    </row>
    <row r="136" spans="1:25">
      <c r="A136" s="1983" t="str">
        <f t="shared" si="2"/>
        <v/>
      </c>
      <c r="B136" s="657">
        <f>Gases!A142</f>
        <v>117</v>
      </c>
      <c r="C136" s="970"/>
      <c r="D136" s="973"/>
      <c r="E136" s="973"/>
      <c r="F136" s="973"/>
      <c r="G136" s="973"/>
      <c r="H136" s="973"/>
      <c r="I136" s="976"/>
      <c r="J136" s="977"/>
      <c r="K136" s="965">
        <v>117</v>
      </c>
      <c r="L136" s="965"/>
      <c r="M136" s="978"/>
      <c r="N136" s="965">
        <v>117</v>
      </c>
      <c r="O136" s="159"/>
      <c r="P136" s="159"/>
      <c r="Q136" s="159"/>
      <c r="R136" s="159"/>
      <c r="S136" s="159"/>
      <c r="Y136" s="1975" t="str">
        <f t="shared" si="3"/>
        <v/>
      </c>
    </row>
    <row r="137" spans="1:25">
      <c r="A137" s="1983" t="str">
        <f t="shared" si="2"/>
        <v/>
      </c>
      <c r="B137" s="657">
        <f>Gases!A143</f>
        <v>118</v>
      </c>
      <c r="C137" s="970"/>
      <c r="D137" s="973"/>
      <c r="E137" s="973"/>
      <c r="F137" s="973"/>
      <c r="G137" s="973"/>
      <c r="H137" s="973"/>
      <c r="I137" s="976"/>
      <c r="J137" s="977"/>
      <c r="K137" s="965">
        <v>118</v>
      </c>
      <c r="L137" s="965"/>
      <c r="M137" s="978"/>
      <c r="N137" s="965">
        <v>118</v>
      </c>
      <c r="O137" s="159"/>
      <c r="P137" s="159"/>
      <c r="Q137" s="159"/>
      <c r="R137" s="159"/>
      <c r="S137" s="159"/>
      <c r="Y137" s="1975" t="str">
        <f t="shared" si="3"/>
        <v/>
      </c>
    </row>
    <row r="138" spans="1:25">
      <c r="A138" s="1983" t="str">
        <f t="shared" si="2"/>
        <v/>
      </c>
      <c r="B138" s="657">
        <f>Gases!A144</f>
        <v>119</v>
      </c>
      <c r="C138" s="970"/>
      <c r="D138" s="973"/>
      <c r="E138" s="973"/>
      <c r="F138" s="973"/>
      <c r="G138" s="973"/>
      <c r="H138" s="973"/>
      <c r="I138" s="976"/>
      <c r="J138" s="977"/>
      <c r="K138" s="965">
        <v>119</v>
      </c>
      <c r="L138" s="965"/>
      <c r="M138" s="978"/>
      <c r="N138" s="965">
        <v>119</v>
      </c>
      <c r="O138" s="159"/>
      <c r="P138" s="159"/>
      <c r="Q138" s="159"/>
      <c r="R138" s="159"/>
      <c r="S138" s="159"/>
      <c r="Y138" s="1975" t="str">
        <f t="shared" si="3"/>
        <v/>
      </c>
    </row>
    <row r="139" spans="1:25">
      <c r="A139" s="1983" t="str">
        <f t="shared" si="2"/>
        <v/>
      </c>
      <c r="B139" s="657">
        <f>Gases!A145</f>
        <v>120</v>
      </c>
      <c r="C139" s="970"/>
      <c r="D139" s="973"/>
      <c r="E139" s="973"/>
      <c r="F139" s="973"/>
      <c r="G139" s="973"/>
      <c r="H139" s="973"/>
      <c r="I139" s="976"/>
      <c r="J139" s="977"/>
      <c r="K139" s="965">
        <v>120</v>
      </c>
      <c r="L139" s="965"/>
      <c r="M139" s="978"/>
      <c r="N139" s="965">
        <v>120</v>
      </c>
      <c r="O139" s="159"/>
      <c r="P139" s="159"/>
      <c r="Q139" s="159"/>
      <c r="R139" s="159"/>
      <c r="S139" s="159"/>
      <c r="Y139" s="1975" t="str">
        <f t="shared" si="3"/>
        <v/>
      </c>
    </row>
    <row r="140" spans="1:25">
      <c r="A140" s="1983" t="str">
        <f t="shared" si="2"/>
        <v/>
      </c>
      <c r="B140" s="657">
        <f>Gases!A146</f>
        <v>121</v>
      </c>
      <c r="C140" s="970"/>
      <c r="D140" s="973"/>
      <c r="E140" s="973"/>
      <c r="F140" s="973"/>
      <c r="G140" s="973"/>
      <c r="H140" s="973"/>
      <c r="I140" s="976"/>
      <c r="J140" s="977"/>
      <c r="K140" s="965">
        <v>121</v>
      </c>
      <c r="L140" s="965"/>
      <c r="M140" s="978"/>
      <c r="N140" s="965">
        <v>121</v>
      </c>
      <c r="O140" s="159"/>
      <c r="P140" s="159"/>
      <c r="Q140" s="159"/>
      <c r="R140" s="159"/>
      <c r="S140" s="159"/>
      <c r="Y140" s="1975" t="str">
        <f t="shared" si="3"/>
        <v/>
      </c>
    </row>
    <row r="141" spans="1:25">
      <c r="A141" s="1983" t="str">
        <f t="shared" si="2"/>
        <v/>
      </c>
      <c r="B141" s="657">
        <f>Gases!A147</f>
        <v>122</v>
      </c>
      <c r="C141" s="970"/>
      <c r="D141" s="973"/>
      <c r="E141" s="973"/>
      <c r="F141" s="973"/>
      <c r="G141" s="973"/>
      <c r="H141" s="973"/>
      <c r="I141" s="976"/>
      <c r="J141" s="977"/>
      <c r="K141" s="965">
        <v>122</v>
      </c>
      <c r="L141" s="965"/>
      <c r="M141" s="978"/>
      <c r="N141" s="965">
        <v>122</v>
      </c>
      <c r="O141" s="159"/>
      <c r="P141" s="159"/>
      <c r="Q141" s="159"/>
      <c r="R141" s="159"/>
      <c r="S141" s="159"/>
      <c r="Y141" s="1975" t="str">
        <f t="shared" si="3"/>
        <v/>
      </c>
    </row>
    <row r="142" spans="1:25">
      <c r="A142" s="1983" t="str">
        <f t="shared" si="2"/>
        <v/>
      </c>
      <c r="B142" s="657">
        <f>Gases!A148</f>
        <v>123</v>
      </c>
      <c r="C142" s="970"/>
      <c r="D142" s="973"/>
      <c r="E142" s="973"/>
      <c r="F142" s="973"/>
      <c r="G142" s="973"/>
      <c r="H142" s="973"/>
      <c r="I142" s="976"/>
      <c r="J142" s="977"/>
      <c r="K142" s="965">
        <v>123</v>
      </c>
      <c r="L142" s="965"/>
      <c r="M142" s="978"/>
      <c r="N142" s="965">
        <v>123</v>
      </c>
      <c r="O142" s="159"/>
      <c r="P142" s="159"/>
      <c r="Q142" s="159"/>
      <c r="R142" s="159"/>
      <c r="S142" s="159"/>
      <c r="Y142" s="1975" t="str">
        <f t="shared" si="3"/>
        <v/>
      </c>
    </row>
    <row r="143" spans="1:25">
      <c r="A143" s="1983" t="str">
        <f t="shared" si="2"/>
        <v/>
      </c>
      <c r="B143" s="657">
        <f>Gases!A149</f>
        <v>124</v>
      </c>
      <c r="C143" s="970"/>
      <c r="D143" s="973"/>
      <c r="E143" s="973"/>
      <c r="F143" s="973"/>
      <c r="G143" s="973"/>
      <c r="H143" s="973"/>
      <c r="I143" s="976"/>
      <c r="J143" s="977"/>
      <c r="K143" s="965">
        <v>124</v>
      </c>
      <c r="L143" s="965"/>
      <c r="M143" s="978"/>
      <c r="N143" s="965">
        <v>124</v>
      </c>
      <c r="O143" s="159"/>
      <c r="P143" s="159"/>
      <c r="Q143" s="159"/>
      <c r="R143" s="159"/>
      <c r="S143" s="159"/>
      <c r="Y143" s="1975" t="str">
        <f t="shared" si="3"/>
        <v/>
      </c>
    </row>
    <row r="144" spans="1:25">
      <c r="A144" s="1983" t="str">
        <f t="shared" si="2"/>
        <v/>
      </c>
      <c r="B144" s="657">
        <f>Gases!A150</f>
        <v>125</v>
      </c>
      <c r="C144" s="970"/>
      <c r="D144" s="973"/>
      <c r="E144" s="973"/>
      <c r="F144" s="973"/>
      <c r="G144" s="973"/>
      <c r="H144" s="973"/>
      <c r="I144" s="976"/>
      <c r="J144" s="977"/>
      <c r="K144" s="965">
        <v>125</v>
      </c>
      <c r="L144" s="965"/>
      <c r="M144" s="978"/>
      <c r="N144" s="965">
        <v>125</v>
      </c>
      <c r="O144" s="159"/>
      <c r="P144" s="159"/>
      <c r="Q144" s="159"/>
      <c r="R144" s="159"/>
      <c r="S144" s="159"/>
      <c r="Y144" s="1975" t="str">
        <f t="shared" si="3"/>
        <v/>
      </c>
    </row>
    <row r="145" spans="1:25">
      <c r="A145" s="1983" t="str">
        <f t="shared" si="2"/>
        <v/>
      </c>
      <c r="B145" s="657">
        <f>Gases!A151</f>
        <v>126</v>
      </c>
      <c r="C145" s="970"/>
      <c r="D145" s="973"/>
      <c r="E145" s="973"/>
      <c r="F145" s="973"/>
      <c r="G145" s="973"/>
      <c r="H145" s="973"/>
      <c r="I145" s="976"/>
      <c r="J145" s="977"/>
      <c r="K145" s="965">
        <v>126</v>
      </c>
      <c r="L145" s="965"/>
      <c r="M145" s="978"/>
      <c r="N145" s="965">
        <v>126</v>
      </c>
      <c r="O145" s="159"/>
      <c r="P145" s="159"/>
      <c r="Q145" s="159"/>
      <c r="R145" s="159"/>
      <c r="S145" s="159"/>
      <c r="Y145" s="1975" t="str">
        <f t="shared" si="3"/>
        <v/>
      </c>
    </row>
    <row r="146" spans="1:25">
      <c r="A146" s="1983" t="str">
        <f t="shared" si="2"/>
        <v/>
      </c>
      <c r="B146" s="657">
        <f>Gases!A152</f>
        <v>127</v>
      </c>
      <c r="C146" s="970"/>
      <c r="D146" s="973"/>
      <c r="E146" s="973"/>
      <c r="F146" s="973"/>
      <c r="G146" s="973"/>
      <c r="H146" s="973"/>
      <c r="I146" s="976"/>
      <c r="J146" s="977"/>
      <c r="K146" s="965">
        <v>127</v>
      </c>
      <c r="L146" s="965"/>
      <c r="M146" s="978"/>
      <c r="N146" s="965">
        <v>127</v>
      </c>
      <c r="O146" s="159"/>
      <c r="P146" s="159"/>
      <c r="Q146" s="159"/>
      <c r="R146" s="159"/>
      <c r="S146" s="159"/>
      <c r="Y146" s="1975" t="str">
        <f t="shared" si="3"/>
        <v/>
      </c>
    </row>
    <row r="147" spans="1:25">
      <c r="A147" s="1983" t="str">
        <f t="shared" si="2"/>
        <v/>
      </c>
      <c r="B147" s="657">
        <f>Gases!A153</f>
        <v>128</v>
      </c>
      <c r="C147" s="970"/>
      <c r="D147" s="973"/>
      <c r="E147" s="973"/>
      <c r="F147" s="973"/>
      <c r="G147" s="973"/>
      <c r="H147" s="973"/>
      <c r="I147" s="976"/>
      <c r="J147" s="977"/>
      <c r="K147" s="965">
        <v>128</v>
      </c>
      <c r="L147" s="965"/>
      <c r="M147" s="978"/>
      <c r="N147" s="965">
        <v>128</v>
      </c>
      <c r="O147" s="159"/>
      <c r="P147" s="159"/>
      <c r="Q147" s="159"/>
      <c r="R147" s="159"/>
      <c r="S147" s="159"/>
      <c r="Y147" s="1975" t="str">
        <f t="shared" si="3"/>
        <v/>
      </c>
    </row>
    <row r="148" spans="1:25">
      <c r="A148" s="1983" t="str">
        <f t="shared" ref="A148:A211" si="4">IF(AND(C148="",Q147=""),"",IF(GasAnalyser="MRU",Q147,C148))</f>
        <v/>
      </c>
      <c r="B148" s="657">
        <f>Gases!A154</f>
        <v>129</v>
      </c>
      <c r="C148" s="970"/>
      <c r="D148" s="973"/>
      <c r="E148" s="973"/>
      <c r="F148" s="973"/>
      <c r="G148" s="973"/>
      <c r="H148" s="973"/>
      <c r="I148" s="976"/>
      <c r="J148" s="977"/>
      <c r="K148" s="965">
        <v>129</v>
      </c>
      <c r="L148" s="965"/>
      <c r="M148" s="978"/>
      <c r="N148" s="965">
        <v>129</v>
      </c>
      <c r="O148" s="159"/>
      <c r="P148" s="159"/>
      <c r="Q148" s="159"/>
      <c r="R148" s="159"/>
      <c r="S148" s="159"/>
      <c r="Y148" s="1975" t="str">
        <f t="shared" si="3"/>
        <v/>
      </c>
    </row>
    <row r="149" spans="1:25">
      <c r="A149" s="1983" t="str">
        <f t="shared" si="4"/>
        <v/>
      </c>
      <c r="B149" s="657">
        <f>Gases!A155</f>
        <v>130</v>
      </c>
      <c r="C149" s="970"/>
      <c r="D149" s="973"/>
      <c r="E149" s="973"/>
      <c r="F149" s="973"/>
      <c r="G149" s="973"/>
      <c r="H149" s="973"/>
      <c r="I149" s="976"/>
      <c r="J149" s="977"/>
      <c r="K149" s="965">
        <v>130</v>
      </c>
      <c r="L149" s="965"/>
      <c r="M149" s="978"/>
      <c r="N149" s="965">
        <v>130</v>
      </c>
      <c r="O149" s="159"/>
      <c r="P149" s="159"/>
      <c r="Q149" s="159"/>
      <c r="R149" s="159"/>
      <c r="S149" s="159"/>
      <c r="Y149" s="1975" t="str">
        <f t="shared" si="3"/>
        <v/>
      </c>
    </row>
    <row r="150" spans="1:25">
      <c r="A150" s="1983" t="str">
        <f t="shared" si="4"/>
        <v/>
      </c>
      <c r="B150" s="657">
        <f>Gases!A156</f>
        <v>131</v>
      </c>
      <c r="C150" s="970"/>
      <c r="D150" s="973"/>
      <c r="E150" s="973"/>
      <c r="F150" s="973"/>
      <c r="G150" s="973"/>
      <c r="H150" s="973"/>
      <c r="I150" s="976"/>
      <c r="J150" s="977"/>
      <c r="K150" s="965">
        <v>131</v>
      </c>
      <c r="L150" s="965"/>
      <c r="M150" s="978"/>
      <c r="N150" s="965">
        <v>131</v>
      </c>
      <c r="O150" s="159"/>
      <c r="P150" s="159"/>
      <c r="Q150" s="159"/>
      <c r="R150" s="159"/>
      <c r="S150" s="159"/>
      <c r="Y150" s="1975" t="str">
        <f t="shared" ref="Y150:Y213" si="5">IF(U150="","",SUM(U150:V150))</f>
        <v/>
      </c>
    </row>
    <row r="151" spans="1:25">
      <c r="A151" s="1983" t="str">
        <f t="shared" si="4"/>
        <v/>
      </c>
      <c r="B151" s="657">
        <f>Gases!A157</f>
        <v>132</v>
      </c>
      <c r="C151" s="970"/>
      <c r="D151" s="973"/>
      <c r="E151" s="973"/>
      <c r="F151" s="973"/>
      <c r="G151" s="973"/>
      <c r="H151" s="973"/>
      <c r="I151" s="976"/>
      <c r="J151" s="977"/>
      <c r="K151" s="965">
        <v>132</v>
      </c>
      <c r="L151" s="965"/>
      <c r="M151" s="978"/>
      <c r="N151" s="965">
        <v>132</v>
      </c>
      <c r="O151" s="159"/>
      <c r="P151" s="159"/>
      <c r="Q151" s="159"/>
      <c r="R151" s="159"/>
      <c r="S151" s="159"/>
      <c r="Y151" s="1975" t="str">
        <f t="shared" si="5"/>
        <v/>
      </c>
    </row>
    <row r="152" spans="1:25">
      <c r="A152" s="1983" t="str">
        <f t="shared" si="4"/>
        <v/>
      </c>
      <c r="B152" s="657">
        <f>Gases!A158</f>
        <v>133</v>
      </c>
      <c r="C152" s="970"/>
      <c r="D152" s="973"/>
      <c r="E152" s="973"/>
      <c r="F152" s="973"/>
      <c r="G152" s="973"/>
      <c r="H152" s="973"/>
      <c r="I152" s="976"/>
      <c r="J152" s="977"/>
      <c r="K152" s="965">
        <v>133</v>
      </c>
      <c r="L152" s="965"/>
      <c r="M152" s="978"/>
      <c r="N152" s="965">
        <v>133</v>
      </c>
      <c r="O152" s="159"/>
      <c r="P152" s="159"/>
      <c r="Q152" s="159"/>
      <c r="R152" s="159"/>
      <c r="S152" s="159"/>
      <c r="Y152" s="1975" t="str">
        <f t="shared" si="5"/>
        <v/>
      </c>
    </row>
    <row r="153" spans="1:25">
      <c r="A153" s="1983" t="str">
        <f t="shared" si="4"/>
        <v/>
      </c>
      <c r="B153" s="657">
        <f>Gases!A159</f>
        <v>134</v>
      </c>
      <c r="C153" s="970"/>
      <c r="D153" s="973"/>
      <c r="E153" s="973"/>
      <c r="F153" s="973"/>
      <c r="G153" s="973"/>
      <c r="H153" s="973"/>
      <c r="I153" s="976"/>
      <c r="J153" s="977"/>
      <c r="K153" s="965">
        <v>134</v>
      </c>
      <c r="L153" s="965"/>
      <c r="M153" s="978"/>
      <c r="N153" s="965">
        <v>134</v>
      </c>
      <c r="O153" s="159"/>
      <c r="P153" s="159"/>
      <c r="Q153" s="159"/>
      <c r="R153" s="159"/>
      <c r="S153" s="159"/>
      <c r="Y153" s="1975" t="str">
        <f t="shared" si="5"/>
        <v/>
      </c>
    </row>
    <row r="154" spans="1:25">
      <c r="A154" s="1983" t="str">
        <f t="shared" si="4"/>
        <v/>
      </c>
      <c r="B154" s="657">
        <f>Gases!A160</f>
        <v>135</v>
      </c>
      <c r="C154" s="970"/>
      <c r="D154" s="973"/>
      <c r="E154" s="973"/>
      <c r="F154" s="973"/>
      <c r="G154" s="973"/>
      <c r="H154" s="973"/>
      <c r="I154" s="976"/>
      <c r="J154" s="977"/>
      <c r="K154" s="965">
        <v>135</v>
      </c>
      <c r="L154" s="965"/>
      <c r="M154" s="978"/>
      <c r="N154" s="965">
        <v>135</v>
      </c>
      <c r="O154" s="159"/>
      <c r="P154" s="159"/>
      <c r="Q154" s="159"/>
      <c r="R154" s="159"/>
      <c r="S154" s="159"/>
      <c r="Y154" s="1975" t="str">
        <f t="shared" si="5"/>
        <v/>
      </c>
    </row>
    <row r="155" spans="1:25">
      <c r="A155" s="1983" t="str">
        <f t="shared" si="4"/>
        <v/>
      </c>
      <c r="B155" s="657">
        <f>Gases!A161</f>
        <v>136</v>
      </c>
      <c r="C155" s="970"/>
      <c r="D155" s="973"/>
      <c r="E155" s="973"/>
      <c r="F155" s="973"/>
      <c r="G155" s="973"/>
      <c r="H155" s="973"/>
      <c r="I155" s="976"/>
      <c r="J155" s="977"/>
      <c r="K155" s="965">
        <v>136</v>
      </c>
      <c r="L155" s="965"/>
      <c r="M155" s="978"/>
      <c r="N155" s="965">
        <v>136</v>
      </c>
      <c r="O155" s="159"/>
      <c r="P155" s="159"/>
      <c r="Q155" s="159"/>
      <c r="R155" s="159"/>
      <c r="S155" s="159"/>
      <c r="Y155" s="1975" t="str">
        <f t="shared" si="5"/>
        <v/>
      </c>
    </row>
    <row r="156" spans="1:25">
      <c r="A156" s="1983" t="str">
        <f t="shared" si="4"/>
        <v/>
      </c>
      <c r="B156" s="657">
        <f>Gases!A162</f>
        <v>137</v>
      </c>
      <c r="C156" s="970"/>
      <c r="D156" s="973"/>
      <c r="E156" s="973"/>
      <c r="F156" s="973"/>
      <c r="G156" s="973"/>
      <c r="H156" s="973"/>
      <c r="I156" s="976"/>
      <c r="J156" s="977"/>
      <c r="K156" s="965">
        <v>137</v>
      </c>
      <c r="L156" s="965"/>
      <c r="M156" s="978"/>
      <c r="N156" s="965">
        <v>137</v>
      </c>
      <c r="O156" s="159"/>
      <c r="P156" s="159"/>
      <c r="Q156" s="159"/>
      <c r="R156" s="159"/>
      <c r="S156" s="159"/>
      <c r="Y156" s="1975" t="str">
        <f t="shared" si="5"/>
        <v/>
      </c>
    </row>
    <row r="157" spans="1:25">
      <c r="A157" s="1983" t="str">
        <f t="shared" si="4"/>
        <v/>
      </c>
      <c r="B157" s="657">
        <f>Gases!A163</f>
        <v>138</v>
      </c>
      <c r="C157" s="970"/>
      <c r="D157" s="973"/>
      <c r="E157" s="973"/>
      <c r="F157" s="973"/>
      <c r="G157" s="973"/>
      <c r="H157" s="973"/>
      <c r="I157" s="976"/>
      <c r="J157" s="977"/>
      <c r="K157" s="965">
        <v>138</v>
      </c>
      <c r="L157" s="965"/>
      <c r="M157" s="978"/>
      <c r="N157" s="965">
        <v>138</v>
      </c>
      <c r="O157" s="159"/>
      <c r="P157" s="159"/>
      <c r="Q157" s="159"/>
      <c r="R157" s="159"/>
      <c r="S157" s="159"/>
      <c r="Y157" s="1975" t="str">
        <f t="shared" si="5"/>
        <v/>
      </c>
    </row>
    <row r="158" spans="1:25">
      <c r="A158" s="1983" t="str">
        <f t="shared" si="4"/>
        <v/>
      </c>
      <c r="B158" s="657">
        <f>Gases!A164</f>
        <v>139</v>
      </c>
      <c r="C158" s="970"/>
      <c r="D158" s="973"/>
      <c r="E158" s="973"/>
      <c r="F158" s="973"/>
      <c r="G158" s="973"/>
      <c r="H158" s="973"/>
      <c r="I158" s="976"/>
      <c r="J158" s="977"/>
      <c r="K158" s="965">
        <v>139</v>
      </c>
      <c r="L158" s="965"/>
      <c r="M158" s="978"/>
      <c r="N158" s="965">
        <v>139</v>
      </c>
      <c r="O158" s="159"/>
      <c r="P158" s="159"/>
      <c r="Q158" s="159"/>
      <c r="R158" s="159"/>
      <c r="S158" s="159"/>
      <c r="Y158" s="1975" t="str">
        <f t="shared" si="5"/>
        <v/>
      </c>
    </row>
    <row r="159" spans="1:25">
      <c r="A159" s="1983" t="str">
        <f t="shared" si="4"/>
        <v/>
      </c>
      <c r="B159" s="657">
        <f>Gases!A165</f>
        <v>140</v>
      </c>
      <c r="C159" s="970"/>
      <c r="D159" s="973"/>
      <c r="E159" s="973"/>
      <c r="F159" s="973"/>
      <c r="G159" s="973"/>
      <c r="H159" s="973"/>
      <c r="I159" s="976"/>
      <c r="J159" s="977"/>
      <c r="K159" s="965">
        <v>140</v>
      </c>
      <c r="L159" s="965"/>
      <c r="M159" s="978"/>
      <c r="N159" s="965">
        <v>140</v>
      </c>
      <c r="O159" s="159"/>
      <c r="P159" s="159"/>
      <c r="Q159" s="159"/>
      <c r="R159" s="159"/>
      <c r="S159" s="159"/>
      <c r="Y159" s="1975" t="str">
        <f t="shared" si="5"/>
        <v/>
      </c>
    </row>
    <row r="160" spans="1:25">
      <c r="A160" s="1983" t="str">
        <f t="shared" si="4"/>
        <v/>
      </c>
      <c r="B160" s="657">
        <f>Gases!A166</f>
        <v>141</v>
      </c>
      <c r="C160" s="970"/>
      <c r="D160" s="973"/>
      <c r="E160" s="973"/>
      <c r="F160" s="973"/>
      <c r="G160" s="973"/>
      <c r="H160" s="973"/>
      <c r="I160" s="976"/>
      <c r="J160" s="977"/>
      <c r="K160" s="965">
        <v>141</v>
      </c>
      <c r="L160" s="965"/>
      <c r="M160" s="978"/>
      <c r="N160" s="965">
        <v>141</v>
      </c>
      <c r="O160" s="159"/>
      <c r="P160" s="159"/>
      <c r="Q160" s="159"/>
      <c r="R160" s="159"/>
      <c r="S160" s="159"/>
      <c r="Y160" s="1975" t="str">
        <f t="shared" si="5"/>
        <v/>
      </c>
    </row>
    <row r="161" spans="1:25">
      <c r="A161" s="1983" t="str">
        <f t="shared" si="4"/>
        <v/>
      </c>
      <c r="B161" s="657">
        <f>Gases!A167</f>
        <v>142</v>
      </c>
      <c r="C161" s="970"/>
      <c r="D161" s="973"/>
      <c r="E161" s="973"/>
      <c r="F161" s="973"/>
      <c r="G161" s="973"/>
      <c r="H161" s="973"/>
      <c r="I161" s="976"/>
      <c r="J161" s="977"/>
      <c r="K161" s="965">
        <v>142</v>
      </c>
      <c r="L161" s="965"/>
      <c r="M161" s="978"/>
      <c r="N161" s="965">
        <v>142</v>
      </c>
      <c r="O161" s="159"/>
      <c r="P161" s="159"/>
      <c r="Q161" s="159"/>
      <c r="R161" s="159"/>
      <c r="S161" s="159"/>
      <c r="Y161" s="1975" t="str">
        <f t="shared" si="5"/>
        <v/>
      </c>
    </row>
    <row r="162" spans="1:25">
      <c r="A162" s="1983" t="str">
        <f t="shared" si="4"/>
        <v/>
      </c>
      <c r="B162" s="657">
        <f>Gases!A168</f>
        <v>143</v>
      </c>
      <c r="C162" s="970"/>
      <c r="D162" s="973"/>
      <c r="E162" s="973"/>
      <c r="F162" s="973"/>
      <c r="G162" s="973"/>
      <c r="H162" s="973"/>
      <c r="I162" s="976"/>
      <c r="J162" s="977"/>
      <c r="K162" s="965">
        <v>143</v>
      </c>
      <c r="L162" s="965"/>
      <c r="M162" s="978"/>
      <c r="N162" s="965">
        <v>143</v>
      </c>
      <c r="O162" s="159"/>
      <c r="P162" s="159"/>
      <c r="Q162" s="159"/>
      <c r="R162" s="159"/>
      <c r="S162" s="159"/>
      <c r="Y162" s="1975" t="str">
        <f t="shared" si="5"/>
        <v/>
      </c>
    </row>
    <row r="163" spans="1:25">
      <c r="A163" s="1983" t="str">
        <f t="shared" si="4"/>
        <v/>
      </c>
      <c r="B163" s="657">
        <f>Gases!A169</f>
        <v>144</v>
      </c>
      <c r="C163" s="970"/>
      <c r="D163" s="973"/>
      <c r="E163" s="973"/>
      <c r="F163" s="973"/>
      <c r="G163" s="973"/>
      <c r="H163" s="973"/>
      <c r="I163" s="976"/>
      <c r="J163" s="977"/>
      <c r="K163" s="965">
        <v>144</v>
      </c>
      <c r="L163" s="965"/>
      <c r="M163" s="978"/>
      <c r="N163" s="965">
        <v>144</v>
      </c>
      <c r="O163" s="159"/>
      <c r="P163" s="159"/>
      <c r="Q163" s="159"/>
      <c r="R163" s="159"/>
      <c r="S163" s="159"/>
      <c r="Y163" s="1975" t="str">
        <f t="shared" si="5"/>
        <v/>
      </c>
    </row>
    <row r="164" spans="1:25">
      <c r="A164" s="1983" t="str">
        <f t="shared" si="4"/>
        <v/>
      </c>
      <c r="B164" s="657">
        <f>Gases!A170</f>
        <v>145</v>
      </c>
      <c r="C164" s="970"/>
      <c r="D164" s="973"/>
      <c r="E164" s="973"/>
      <c r="F164" s="973"/>
      <c r="G164" s="973"/>
      <c r="H164" s="973"/>
      <c r="I164" s="976"/>
      <c r="J164" s="977"/>
      <c r="K164" s="965">
        <v>145</v>
      </c>
      <c r="L164" s="965"/>
      <c r="M164" s="978"/>
      <c r="N164" s="965">
        <v>145</v>
      </c>
      <c r="O164" s="159"/>
      <c r="P164" s="159"/>
      <c r="Q164" s="159"/>
      <c r="R164" s="159"/>
      <c r="S164" s="159"/>
      <c r="Y164" s="1975" t="str">
        <f t="shared" si="5"/>
        <v/>
      </c>
    </row>
    <row r="165" spans="1:25">
      <c r="A165" s="1983" t="str">
        <f t="shared" si="4"/>
        <v/>
      </c>
      <c r="B165" s="657">
        <f>Gases!A171</f>
        <v>146</v>
      </c>
      <c r="C165" s="970"/>
      <c r="D165" s="973"/>
      <c r="E165" s="973"/>
      <c r="F165" s="973"/>
      <c r="G165" s="973"/>
      <c r="H165" s="973"/>
      <c r="I165" s="976"/>
      <c r="J165" s="977"/>
      <c r="K165" s="965">
        <v>146</v>
      </c>
      <c r="L165" s="965"/>
      <c r="M165" s="978"/>
      <c r="N165" s="965">
        <v>146</v>
      </c>
      <c r="O165" s="159"/>
      <c r="P165" s="159"/>
      <c r="Q165" s="159"/>
      <c r="R165" s="159"/>
      <c r="S165" s="159"/>
      <c r="Y165" s="1975" t="str">
        <f t="shared" si="5"/>
        <v/>
      </c>
    </row>
    <row r="166" spans="1:25">
      <c r="A166" s="1983" t="str">
        <f t="shared" si="4"/>
        <v/>
      </c>
      <c r="B166" s="657">
        <f>Gases!A172</f>
        <v>147</v>
      </c>
      <c r="C166" s="970"/>
      <c r="D166" s="973"/>
      <c r="E166" s="973"/>
      <c r="F166" s="973"/>
      <c r="G166" s="973"/>
      <c r="H166" s="973"/>
      <c r="I166" s="976"/>
      <c r="J166" s="977"/>
      <c r="K166" s="965">
        <v>147</v>
      </c>
      <c r="L166" s="965"/>
      <c r="M166" s="978"/>
      <c r="N166" s="965">
        <v>147</v>
      </c>
      <c r="O166" s="159"/>
      <c r="P166" s="159"/>
      <c r="Q166" s="159"/>
      <c r="R166" s="159"/>
      <c r="S166" s="159"/>
      <c r="Y166" s="1975" t="str">
        <f t="shared" si="5"/>
        <v/>
      </c>
    </row>
    <row r="167" spans="1:25">
      <c r="A167" s="1983" t="str">
        <f t="shared" si="4"/>
        <v/>
      </c>
      <c r="B167" s="657">
        <f>Gases!A173</f>
        <v>148</v>
      </c>
      <c r="C167" s="970"/>
      <c r="D167" s="973"/>
      <c r="E167" s="973"/>
      <c r="F167" s="973"/>
      <c r="G167" s="973"/>
      <c r="H167" s="973"/>
      <c r="I167" s="976"/>
      <c r="J167" s="977"/>
      <c r="K167" s="965">
        <v>148</v>
      </c>
      <c r="L167" s="965"/>
      <c r="M167" s="978"/>
      <c r="N167" s="965">
        <v>148</v>
      </c>
      <c r="O167" s="159"/>
      <c r="P167" s="159"/>
      <c r="Q167" s="159"/>
      <c r="R167" s="159"/>
      <c r="S167" s="159"/>
      <c r="Y167" s="1975" t="str">
        <f t="shared" si="5"/>
        <v/>
      </c>
    </row>
    <row r="168" spans="1:25">
      <c r="A168" s="1983" t="str">
        <f t="shared" si="4"/>
        <v/>
      </c>
      <c r="B168" s="657">
        <f>Gases!A174</f>
        <v>149</v>
      </c>
      <c r="C168" s="970"/>
      <c r="D168" s="973"/>
      <c r="E168" s="973"/>
      <c r="F168" s="973"/>
      <c r="G168" s="973"/>
      <c r="H168" s="973"/>
      <c r="I168" s="976"/>
      <c r="J168" s="977"/>
      <c r="K168" s="965">
        <v>149</v>
      </c>
      <c r="L168" s="965"/>
      <c r="M168" s="978"/>
      <c r="N168" s="965">
        <v>149</v>
      </c>
      <c r="O168" s="159"/>
      <c r="P168" s="159"/>
      <c r="Q168" s="159"/>
      <c r="R168" s="159"/>
      <c r="S168" s="159"/>
      <c r="Y168" s="1975" t="str">
        <f t="shared" si="5"/>
        <v/>
      </c>
    </row>
    <row r="169" spans="1:25">
      <c r="A169" s="1983" t="str">
        <f t="shared" si="4"/>
        <v/>
      </c>
      <c r="B169" s="657">
        <f>Gases!A175</f>
        <v>150</v>
      </c>
      <c r="C169" s="970"/>
      <c r="D169" s="973"/>
      <c r="E169" s="973"/>
      <c r="F169" s="973"/>
      <c r="G169" s="973"/>
      <c r="H169" s="973"/>
      <c r="I169" s="976"/>
      <c r="J169" s="977"/>
      <c r="K169" s="965">
        <v>150</v>
      </c>
      <c r="L169" s="965"/>
      <c r="M169" s="978"/>
      <c r="N169" s="965">
        <v>150</v>
      </c>
      <c r="O169" s="159"/>
      <c r="P169" s="159"/>
      <c r="Q169" s="159"/>
      <c r="R169" s="159"/>
      <c r="S169" s="159"/>
      <c r="Y169" s="1975" t="str">
        <f t="shared" si="5"/>
        <v/>
      </c>
    </row>
    <row r="170" spans="1:25">
      <c r="A170" s="1983" t="str">
        <f t="shared" si="4"/>
        <v/>
      </c>
      <c r="B170" s="657">
        <f>Gases!A176</f>
        <v>151</v>
      </c>
      <c r="C170" s="970"/>
      <c r="D170" s="973"/>
      <c r="E170" s="973"/>
      <c r="F170" s="973"/>
      <c r="G170" s="973"/>
      <c r="H170" s="973"/>
      <c r="I170" s="976"/>
      <c r="J170" s="977"/>
      <c r="K170" s="965">
        <v>151</v>
      </c>
      <c r="L170" s="965"/>
      <c r="M170" s="978"/>
      <c r="N170" s="965">
        <v>151</v>
      </c>
      <c r="O170" s="159"/>
      <c r="P170" s="159"/>
      <c r="Q170" s="159"/>
      <c r="R170" s="159"/>
      <c r="S170" s="159"/>
      <c r="Y170" s="1975" t="str">
        <f t="shared" si="5"/>
        <v/>
      </c>
    </row>
    <row r="171" spans="1:25">
      <c r="A171" s="1983" t="str">
        <f t="shared" si="4"/>
        <v/>
      </c>
      <c r="B171" s="657">
        <f>Gases!A177</f>
        <v>152</v>
      </c>
      <c r="C171" s="970"/>
      <c r="D171" s="973"/>
      <c r="E171" s="973"/>
      <c r="F171" s="973"/>
      <c r="G171" s="973"/>
      <c r="H171" s="973"/>
      <c r="I171" s="976"/>
      <c r="J171" s="977"/>
      <c r="K171" s="965">
        <v>152</v>
      </c>
      <c r="L171" s="965"/>
      <c r="M171" s="978"/>
      <c r="N171" s="965">
        <v>152</v>
      </c>
      <c r="O171" s="159"/>
      <c r="P171" s="159"/>
      <c r="Q171" s="159"/>
      <c r="R171" s="159"/>
      <c r="S171" s="159"/>
      <c r="Y171" s="1975" t="str">
        <f t="shared" si="5"/>
        <v/>
      </c>
    </row>
    <row r="172" spans="1:25">
      <c r="A172" s="1983" t="str">
        <f t="shared" si="4"/>
        <v/>
      </c>
      <c r="B172" s="657">
        <f>Gases!A178</f>
        <v>153</v>
      </c>
      <c r="C172" s="970"/>
      <c r="D172" s="973"/>
      <c r="E172" s="973"/>
      <c r="F172" s="973"/>
      <c r="G172" s="973"/>
      <c r="H172" s="973"/>
      <c r="I172" s="976"/>
      <c r="J172" s="977"/>
      <c r="K172" s="965">
        <v>153</v>
      </c>
      <c r="L172" s="965"/>
      <c r="M172" s="978"/>
      <c r="N172" s="965">
        <v>153</v>
      </c>
      <c r="O172" s="159"/>
      <c r="P172" s="159"/>
      <c r="Q172" s="159"/>
      <c r="R172" s="159"/>
      <c r="S172" s="159"/>
      <c r="Y172" s="1975" t="str">
        <f t="shared" si="5"/>
        <v/>
      </c>
    </row>
    <row r="173" spans="1:25">
      <c r="A173" s="1983" t="str">
        <f t="shared" si="4"/>
        <v/>
      </c>
      <c r="B173" s="657">
        <f>Gases!A179</f>
        <v>154</v>
      </c>
      <c r="C173" s="970"/>
      <c r="D173" s="973"/>
      <c r="E173" s="973"/>
      <c r="F173" s="973"/>
      <c r="G173" s="973"/>
      <c r="H173" s="973"/>
      <c r="I173" s="976"/>
      <c r="J173" s="977"/>
      <c r="K173" s="965">
        <v>154</v>
      </c>
      <c r="L173" s="965"/>
      <c r="M173" s="978"/>
      <c r="N173" s="965">
        <v>154</v>
      </c>
      <c r="O173" s="159"/>
      <c r="P173" s="159"/>
      <c r="Q173" s="159"/>
      <c r="R173" s="159"/>
      <c r="S173" s="159"/>
      <c r="Y173" s="1975" t="str">
        <f t="shared" si="5"/>
        <v/>
      </c>
    </row>
    <row r="174" spans="1:25">
      <c r="A174" s="1983" t="str">
        <f t="shared" si="4"/>
        <v/>
      </c>
      <c r="B174" s="657">
        <f>Gases!A180</f>
        <v>155</v>
      </c>
      <c r="C174" s="970"/>
      <c r="D174" s="973"/>
      <c r="E174" s="973"/>
      <c r="F174" s="973"/>
      <c r="G174" s="973"/>
      <c r="H174" s="973"/>
      <c r="I174" s="976"/>
      <c r="J174" s="977"/>
      <c r="K174" s="965">
        <v>155</v>
      </c>
      <c r="L174" s="965"/>
      <c r="M174" s="978"/>
      <c r="N174" s="965">
        <v>155</v>
      </c>
      <c r="O174" s="159"/>
      <c r="P174" s="159"/>
      <c r="Q174" s="159"/>
      <c r="R174" s="159"/>
      <c r="S174" s="159"/>
      <c r="Y174" s="1975" t="str">
        <f t="shared" si="5"/>
        <v/>
      </c>
    </row>
    <row r="175" spans="1:25">
      <c r="A175" s="1983" t="str">
        <f t="shared" si="4"/>
        <v/>
      </c>
      <c r="B175" s="657">
        <f>Gases!A181</f>
        <v>156</v>
      </c>
      <c r="C175" s="970"/>
      <c r="D175" s="973"/>
      <c r="E175" s="973"/>
      <c r="F175" s="973"/>
      <c r="G175" s="973"/>
      <c r="H175" s="973"/>
      <c r="I175" s="976"/>
      <c r="J175" s="977"/>
      <c r="K175" s="965">
        <v>156</v>
      </c>
      <c r="L175" s="965"/>
      <c r="M175" s="978"/>
      <c r="N175" s="965">
        <v>156</v>
      </c>
      <c r="O175" s="159"/>
      <c r="P175" s="159"/>
      <c r="Q175" s="159"/>
      <c r="R175" s="159"/>
      <c r="S175" s="159"/>
      <c r="Y175" s="1975" t="str">
        <f t="shared" si="5"/>
        <v/>
      </c>
    </row>
    <row r="176" spans="1:25">
      <c r="A176" s="1983" t="str">
        <f t="shared" si="4"/>
        <v/>
      </c>
      <c r="B176" s="657">
        <f>Gases!A182</f>
        <v>157</v>
      </c>
      <c r="C176" s="970"/>
      <c r="D176" s="973"/>
      <c r="E176" s="973"/>
      <c r="F176" s="973"/>
      <c r="G176" s="973"/>
      <c r="H176" s="973"/>
      <c r="I176" s="976"/>
      <c r="J176" s="977"/>
      <c r="K176" s="965">
        <v>157</v>
      </c>
      <c r="L176" s="965"/>
      <c r="M176" s="978"/>
      <c r="N176" s="965">
        <v>157</v>
      </c>
      <c r="O176" s="159"/>
      <c r="P176" s="159"/>
      <c r="Q176" s="159"/>
      <c r="R176" s="159"/>
      <c r="S176" s="159"/>
      <c r="Y176" s="1975" t="str">
        <f t="shared" si="5"/>
        <v/>
      </c>
    </row>
    <row r="177" spans="1:25">
      <c r="A177" s="1983" t="str">
        <f t="shared" si="4"/>
        <v/>
      </c>
      <c r="B177" s="657">
        <f>Gases!A183</f>
        <v>158</v>
      </c>
      <c r="C177" s="970"/>
      <c r="D177" s="973"/>
      <c r="E177" s="973"/>
      <c r="F177" s="973"/>
      <c r="G177" s="973"/>
      <c r="H177" s="973"/>
      <c r="I177" s="976"/>
      <c r="J177" s="977"/>
      <c r="K177" s="965">
        <v>158</v>
      </c>
      <c r="L177" s="965"/>
      <c r="M177" s="978"/>
      <c r="N177" s="965">
        <v>158</v>
      </c>
      <c r="O177" s="159"/>
      <c r="P177" s="159"/>
      <c r="Q177" s="159"/>
      <c r="R177" s="159"/>
      <c r="S177" s="159"/>
      <c r="Y177" s="1975" t="str">
        <f t="shared" si="5"/>
        <v/>
      </c>
    </row>
    <row r="178" spans="1:25">
      <c r="A178" s="1983" t="str">
        <f t="shared" si="4"/>
        <v/>
      </c>
      <c r="B178" s="657">
        <f>Gases!A184</f>
        <v>159</v>
      </c>
      <c r="C178" s="970"/>
      <c r="D178" s="973"/>
      <c r="E178" s="973"/>
      <c r="F178" s="973"/>
      <c r="G178" s="973"/>
      <c r="H178" s="973"/>
      <c r="I178" s="976"/>
      <c r="J178" s="977"/>
      <c r="K178" s="965">
        <v>159</v>
      </c>
      <c r="L178" s="965"/>
      <c r="M178" s="978"/>
      <c r="N178" s="965">
        <v>159</v>
      </c>
      <c r="O178" s="159"/>
      <c r="P178" s="159"/>
      <c r="Q178" s="159"/>
      <c r="R178" s="159"/>
      <c r="S178" s="159"/>
      <c r="Y178" s="1975" t="str">
        <f t="shared" si="5"/>
        <v/>
      </c>
    </row>
    <row r="179" spans="1:25">
      <c r="A179" s="1983" t="str">
        <f t="shared" si="4"/>
        <v/>
      </c>
      <c r="B179" s="657">
        <f>Gases!A185</f>
        <v>160</v>
      </c>
      <c r="C179" s="970"/>
      <c r="D179" s="973"/>
      <c r="E179" s="973"/>
      <c r="F179" s="973"/>
      <c r="G179" s="973"/>
      <c r="H179" s="973"/>
      <c r="I179" s="976"/>
      <c r="J179" s="977"/>
      <c r="K179" s="965">
        <v>160</v>
      </c>
      <c r="L179" s="965"/>
      <c r="M179" s="978"/>
      <c r="N179" s="965">
        <v>160</v>
      </c>
      <c r="O179" s="159"/>
      <c r="P179" s="159"/>
      <c r="Q179" s="159"/>
      <c r="R179" s="159"/>
      <c r="S179" s="159"/>
      <c r="Y179" s="1975" t="str">
        <f t="shared" si="5"/>
        <v/>
      </c>
    </row>
    <row r="180" spans="1:25">
      <c r="A180" s="1983" t="str">
        <f t="shared" si="4"/>
        <v/>
      </c>
      <c r="B180" s="657">
        <f>Gases!A186</f>
        <v>161</v>
      </c>
      <c r="C180" s="970"/>
      <c r="D180" s="973"/>
      <c r="E180" s="973"/>
      <c r="F180" s="973"/>
      <c r="G180" s="973"/>
      <c r="H180" s="973"/>
      <c r="I180" s="976"/>
      <c r="J180" s="977"/>
      <c r="K180" s="965">
        <v>161</v>
      </c>
      <c r="L180" s="965"/>
      <c r="M180" s="978"/>
      <c r="N180" s="965">
        <v>161</v>
      </c>
      <c r="O180" s="159"/>
      <c r="P180" s="159"/>
      <c r="Q180" s="159"/>
      <c r="R180" s="159"/>
      <c r="S180" s="159"/>
      <c r="Y180" s="1975" t="str">
        <f t="shared" si="5"/>
        <v/>
      </c>
    </row>
    <row r="181" spans="1:25">
      <c r="A181" s="1983" t="str">
        <f t="shared" si="4"/>
        <v/>
      </c>
      <c r="B181" s="657">
        <f>Gases!A187</f>
        <v>162</v>
      </c>
      <c r="C181" s="970"/>
      <c r="D181" s="973"/>
      <c r="E181" s="973"/>
      <c r="F181" s="973"/>
      <c r="G181" s="973"/>
      <c r="H181" s="973"/>
      <c r="I181" s="976"/>
      <c r="J181" s="977"/>
      <c r="K181" s="965">
        <v>162</v>
      </c>
      <c r="L181" s="965"/>
      <c r="M181" s="978"/>
      <c r="N181" s="965">
        <v>162</v>
      </c>
      <c r="O181" s="159"/>
      <c r="P181" s="159"/>
      <c r="Q181" s="159"/>
      <c r="R181" s="159"/>
      <c r="S181" s="159"/>
      <c r="Y181" s="1975" t="str">
        <f t="shared" si="5"/>
        <v/>
      </c>
    </row>
    <row r="182" spans="1:25">
      <c r="A182" s="1983" t="str">
        <f t="shared" si="4"/>
        <v/>
      </c>
      <c r="B182" s="657">
        <f>Gases!A188</f>
        <v>163</v>
      </c>
      <c r="C182" s="970"/>
      <c r="D182" s="973"/>
      <c r="E182" s="973"/>
      <c r="F182" s="973"/>
      <c r="G182" s="973"/>
      <c r="H182" s="973"/>
      <c r="I182" s="976"/>
      <c r="J182" s="977"/>
      <c r="K182" s="965">
        <v>163</v>
      </c>
      <c r="L182" s="965"/>
      <c r="M182" s="978"/>
      <c r="N182" s="965">
        <v>163</v>
      </c>
      <c r="O182" s="159"/>
      <c r="P182" s="159"/>
      <c r="Q182" s="159"/>
      <c r="R182" s="159"/>
      <c r="S182" s="159"/>
      <c r="Y182" s="1975" t="str">
        <f t="shared" si="5"/>
        <v/>
      </c>
    </row>
    <row r="183" spans="1:25">
      <c r="A183" s="1983" t="str">
        <f t="shared" si="4"/>
        <v/>
      </c>
      <c r="B183" s="741">
        <f>Gases!A189</f>
        <v>164</v>
      </c>
      <c r="C183" s="970"/>
      <c r="D183" s="973"/>
      <c r="E183" s="973"/>
      <c r="F183" s="973"/>
      <c r="G183" s="973"/>
      <c r="H183" s="973"/>
      <c r="I183" s="976"/>
      <c r="J183" s="977"/>
      <c r="K183" s="965">
        <v>164</v>
      </c>
      <c r="L183" s="965"/>
      <c r="M183" s="978"/>
      <c r="N183" s="965">
        <v>164</v>
      </c>
      <c r="O183" s="159"/>
      <c r="P183" s="159"/>
      <c r="Q183" s="159"/>
      <c r="R183" s="159"/>
      <c r="S183" s="159"/>
      <c r="Y183" s="1975" t="str">
        <f t="shared" si="5"/>
        <v/>
      </c>
    </row>
    <row r="184" spans="1:25">
      <c r="A184" s="1983" t="str">
        <f t="shared" si="4"/>
        <v/>
      </c>
      <c r="B184" s="741">
        <f>Gases!A190</f>
        <v>165</v>
      </c>
      <c r="C184" s="970"/>
      <c r="D184" s="973"/>
      <c r="E184" s="973"/>
      <c r="F184" s="973"/>
      <c r="G184" s="973"/>
      <c r="H184" s="973"/>
      <c r="I184" s="976"/>
      <c r="J184" s="977"/>
      <c r="K184" s="965">
        <v>165</v>
      </c>
      <c r="L184" s="965"/>
      <c r="M184" s="978"/>
      <c r="N184" s="965">
        <v>165</v>
      </c>
      <c r="O184" s="159"/>
      <c r="P184" s="159"/>
      <c r="Q184" s="159"/>
      <c r="R184" s="159"/>
      <c r="S184" s="159"/>
      <c r="Y184" s="1975" t="str">
        <f t="shared" si="5"/>
        <v/>
      </c>
    </row>
    <row r="185" spans="1:25">
      <c r="A185" s="1983" t="str">
        <f t="shared" si="4"/>
        <v/>
      </c>
      <c r="B185" s="741">
        <f>Gases!A191</f>
        <v>166</v>
      </c>
      <c r="C185" s="970"/>
      <c r="D185" s="973"/>
      <c r="E185" s="973"/>
      <c r="F185" s="973"/>
      <c r="G185" s="973"/>
      <c r="H185" s="973"/>
      <c r="I185" s="976"/>
      <c r="J185" s="977"/>
      <c r="K185" s="965">
        <v>166</v>
      </c>
      <c r="L185" s="965"/>
      <c r="M185" s="978"/>
      <c r="N185" s="965">
        <v>166</v>
      </c>
      <c r="O185" s="159"/>
      <c r="P185" s="159"/>
      <c r="Q185" s="159"/>
      <c r="R185" s="159"/>
      <c r="S185" s="159"/>
      <c r="Y185" s="1975" t="str">
        <f t="shared" si="5"/>
        <v/>
      </c>
    </row>
    <row r="186" spans="1:25">
      <c r="A186" s="1983" t="str">
        <f t="shared" si="4"/>
        <v/>
      </c>
      <c r="B186" s="741">
        <f>Gases!A192</f>
        <v>167</v>
      </c>
      <c r="C186" s="970"/>
      <c r="D186" s="973"/>
      <c r="E186" s="973"/>
      <c r="F186" s="973"/>
      <c r="G186" s="973"/>
      <c r="H186" s="973"/>
      <c r="I186" s="976"/>
      <c r="J186" s="977"/>
      <c r="K186" s="965">
        <v>167</v>
      </c>
      <c r="L186" s="965"/>
      <c r="M186" s="978"/>
      <c r="N186" s="965">
        <v>167</v>
      </c>
      <c r="O186" s="159"/>
      <c r="P186" s="159"/>
      <c r="Q186" s="159"/>
      <c r="R186" s="159"/>
      <c r="S186" s="159"/>
      <c r="Y186" s="1975" t="str">
        <f t="shared" si="5"/>
        <v/>
      </c>
    </row>
    <row r="187" spans="1:25">
      <c r="A187" s="1983" t="str">
        <f t="shared" si="4"/>
        <v/>
      </c>
      <c r="B187" s="741">
        <f>Gases!A193</f>
        <v>168</v>
      </c>
      <c r="C187" s="970"/>
      <c r="D187" s="973"/>
      <c r="E187" s="973"/>
      <c r="F187" s="973"/>
      <c r="G187" s="973"/>
      <c r="H187" s="973"/>
      <c r="I187" s="976"/>
      <c r="J187" s="977"/>
      <c r="K187" s="965">
        <v>168</v>
      </c>
      <c r="L187" s="965"/>
      <c r="M187" s="978"/>
      <c r="N187" s="965">
        <v>168</v>
      </c>
      <c r="O187" s="159"/>
      <c r="P187" s="159"/>
      <c r="Q187" s="159"/>
      <c r="R187" s="159"/>
      <c r="S187" s="159"/>
      <c r="Y187" s="1975" t="str">
        <f t="shared" si="5"/>
        <v/>
      </c>
    </row>
    <row r="188" spans="1:25">
      <c r="A188" s="1983" t="str">
        <f t="shared" si="4"/>
        <v/>
      </c>
      <c r="B188" s="741">
        <f>Gases!A194</f>
        <v>169</v>
      </c>
      <c r="C188" s="970"/>
      <c r="D188" s="973"/>
      <c r="E188" s="973"/>
      <c r="F188" s="973"/>
      <c r="G188" s="973"/>
      <c r="H188" s="973"/>
      <c r="I188" s="976"/>
      <c r="J188" s="977"/>
      <c r="K188" s="965">
        <v>169</v>
      </c>
      <c r="L188" s="965"/>
      <c r="M188" s="978"/>
      <c r="N188" s="965">
        <v>169</v>
      </c>
      <c r="O188" s="159"/>
      <c r="P188" s="159"/>
      <c r="Q188" s="159"/>
      <c r="R188" s="159"/>
      <c r="S188" s="159"/>
      <c r="Y188" s="1975" t="str">
        <f t="shared" si="5"/>
        <v/>
      </c>
    </row>
    <row r="189" spans="1:25">
      <c r="A189" s="1983" t="str">
        <f t="shared" si="4"/>
        <v/>
      </c>
      <c r="B189" s="741">
        <f>Gases!A195</f>
        <v>170</v>
      </c>
      <c r="C189" s="970"/>
      <c r="D189" s="973"/>
      <c r="E189" s="973"/>
      <c r="F189" s="973"/>
      <c r="G189" s="973"/>
      <c r="H189" s="973"/>
      <c r="I189" s="976"/>
      <c r="J189" s="977"/>
      <c r="K189" s="965">
        <v>170</v>
      </c>
      <c r="L189" s="965"/>
      <c r="M189" s="978"/>
      <c r="N189" s="965">
        <v>170</v>
      </c>
      <c r="O189" s="159"/>
      <c r="P189" s="159"/>
      <c r="Q189" s="159"/>
      <c r="R189" s="159"/>
      <c r="S189" s="159"/>
      <c r="Y189" s="1975" t="str">
        <f t="shared" si="5"/>
        <v/>
      </c>
    </row>
    <row r="190" spans="1:25">
      <c r="A190" s="1983" t="str">
        <f t="shared" si="4"/>
        <v/>
      </c>
      <c r="B190" s="741">
        <f>Gases!A196</f>
        <v>171</v>
      </c>
      <c r="C190" s="970"/>
      <c r="D190" s="973"/>
      <c r="E190" s="973"/>
      <c r="F190" s="973"/>
      <c r="G190" s="973"/>
      <c r="H190" s="973"/>
      <c r="I190" s="976"/>
      <c r="J190" s="977"/>
      <c r="K190" s="965">
        <v>171</v>
      </c>
      <c r="L190" s="965"/>
      <c r="M190" s="978"/>
      <c r="N190" s="965">
        <v>171</v>
      </c>
      <c r="O190" s="159"/>
      <c r="P190" s="159"/>
      <c r="Q190" s="159"/>
      <c r="R190" s="159"/>
      <c r="S190" s="159"/>
      <c r="Y190" s="1975" t="str">
        <f t="shared" si="5"/>
        <v/>
      </c>
    </row>
    <row r="191" spans="1:25">
      <c r="A191" s="1983" t="str">
        <f t="shared" si="4"/>
        <v/>
      </c>
      <c r="B191" s="741">
        <f>Gases!A197</f>
        <v>172</v>
      </c>
      <c r="C191" s="970"/>
      <c r="D191" s="973"/>
      <c r="E191" s="973"/>
      <c r="F191" s="973"/>
      <c r="G191" s="973"/>
      <c r="H191" s="973"/>
      <c r="I191" s="976"/>
      <c r="J191" s="977"/>
      <c r="K191" s="965">
        <v>172</v>
      </c>
      <c r="L191" s="965"/>
      <c r="M191" s="978"/>
      <c r="N191" s="965">
        <v>172</v>
      </c>
      <c r="O191" s="159"/>
      <c r="P191" s="159"/>
      <c r="Q191" s="159"/>
      <c r="R191" s="159"/>
      <c r="S191" s="159"/>
      <c r="Y191" s="1975" t="str">
        <f t="shared" si="5"/>
        <v/>
      </c>
    </row>
    <row r="192" spans="1:25">
      <c r="A192" s="1983" t="str">
        <f t="shared" si="4"/>
        <v/>
      </c>
      <c r="B192" s="741">
        <f>Gases!A198</f>
        <v>173</v>
      </c>
      <c r="C192" s="970"/>
      <c r="D192" s="973"/>
      <c r="E192" s="973"/>
      <c r="F192" s="973"/>
      <c r="G192" s="973"/>
      <c r="H192" s="973"/>
      <c r="I192" s="976"/>
      <c r="J192" s="977"/>
      <c r="K192" s="965">
        <v>173</v>
      </c>
      <c r="L192" s="965"/>
      <c r="M192" s="978"/>
      <c r="N192" s="965">
        <v>173</v>
      </c>
      <c r="O192" s="159"/>
      <c r="P192" s="159"/>
      <c r="Q192" s="159"/>
      <c r="R192" s="159"/>
      <c r="S192" s="159"/>
      <c r="Y192" s="1975" t="str">
        <f t="shared" si="5"/>
        <v/>
      </c>
    </row>
    <row r="193" spans="1:25">
      <c r="A193" s="1983" t="str">
        <f t="shared" si="4"/>
        <v/>
      </c>
      <c r="B193" s="741">
        <f>Gases!A199</f>
        <v>174</v>
      </c>
      <c r="C193" s="970"/>
      <c r="D193" s="973"/>
      <c r="E193" s="973"/>
      <c r="F193" s="973"/>
      <c r="G193" s="973"/>
      <c r="H193" s="973"/>
      <c r="I193" s="976"/>
      <c r="J193" s="977"/>
      <c r="K193" s="965">
        <v>174</v>
      </c>
      <c r="L193" s="965"/>
      <c r="M193" s="978"/>
      <c r="N193" s="965">
        <v>174</v>
      </c>
      <c r="O193" s="159"/>
      <c r="P193" s="159"/>
      <c r="Q193" s="159"/>
      <c r="R193" s="159"/>
      <c r="S193" s="159"/>
      <c r="Y193" s="1975" t="str">
        <f t="shared" si="5"/>
        <v/>
      </c>
    </row>
    <row r="194" spans="1:25">
      <c r="A194" s="1983" t="str">
        <f t="shared" si="4"/>
        <v/>
      </c>
      <c r="B194" s="741">
        <f>Gases!A200</f>
        <v>175</v>
      </c>
      <c r="C194" s="970"/>
      <c r="D194" s="973"/>
      <c r="E194" s="973"/>
      <c r="F194" s="973"/>
      <c r="G194" s="973"/>
      <c r="H194" s="973"/>
      <c r="I194" s="976"/>
      <c r="J194" s="977"/>
      <c r="K194" s="965">
        <v>175</v>
      </c>
      <c r="L194" s="965"/>
      <c r="M194" s="978"/>
      <c r="N194" s="965">
        <v>175</v>
      </c>
      <c r="O194" s="159"/>
      <c r="P194" s="159"/>
      <c r="Q194" s="159"/>
      <c r="R194" s="159"/>
      <c r="S194" s="159"/>
      <c r="Y194" s="1975" t="str">
        <f t="shared" si="5"/>
        <v/>
      </c>
    </row>
    <row r="195" spans="1:25">
      <c r="A195" s="1983" t="str">
        <f t="shared" si="4"/>
        <v/>
      </c>
      <c r="B195" s="741">
        <f>Gases!A201</f>
        <v>176</v>
      </c>
      <c r="C195" s="970"/>
      <c r="D195" s="973"/>
      <c r="E195" s="973"/>
      <c r="F195" s="973"/>
      <c r="G195" s="973"/>
      <c r="H195" s="973"/>
      <c r="I195" s="976"/>
      <c r="J195" s="977"/>
      <c r="K195" s="965">
        <v>176</v>
      </c>
      <c r="L195" s="965"/>
      <c r="M195" s="978"/>
      <c r="N195" s="965">
        <v>176</v>
      </c>
      <c r="O195" s="159"/>
      <c r="P195" s="159"/>
      <c r="Q195" s="159"/>
      <c r="R195" s="159"/>
      <c r="S195" s="159"/>
      <c r="Y195" s="1975" t="str">
        <f t="shared" si="5"/>
        <v/>
      </c>
    </row>
    <row r="196" spans="1:25">
      <c r="A196" s="1983" t="str">
        <f t="shared" si="4"/>
        <v/>
      </c>
      <c r="B196" s="741">
        <f>Gases!A202</f>
        <v>177</v>
      </c>
      <c r="C196" s="970"/>
      <c r="D196" s="973"/>
      <c r="E196" s="973"/>
      <c r="F196" s="973"/>
      <c r="G196" s="973"/>
      <c r="H196" s="973"/>
      <c r="I196" s="976"/>
      <c r="J196" s="977"/>
      <c r="K196" s="965">
        <v>177</v>
      </c>
      <c r="L196" s="965"/>
      <c r="M196" s="978"/>
      <c r="N196" s="965">
        <v>177</v>
      </c>
      <c r="O196" s="159"/>
      <c r="P196" s="159"/>
      <c r="Q196" s="159"/>
      <c r="R196" s="159"/>
      <c r="S196" s="159"/>
      <c r="Y196" s="1975" t="str">
        <f t="shared" si="5"/>
        <v/>
      </c>
    </row>
    <row r="197" spans="1:25">
      <c r="A197" s="1983" t="str">
        <f t="shared" si="4"/>
        <v/>
      </c>
      <c r="B197" s="741">
        <f>Gases!A203</f>
        <v>178</v>
      </c>
      <c r="C197" s="970"/>
      <c r="D197" s="973"/>
      <c r="E197" s="973"/>
      <c r="F197" s="973"/>
      <c r="G197" s="973"/>
      <c r="H197" s="973"/>
      <c r="I197" s="976"/>
      <c r="J197" s="977"/>
      <c r="K197" s="965">
        <v>178</v>
      </c>
      <c r="L197" s="965"/>
      <c r="M197" s="978"/>
      <c r="N197" s="965">
        <v>178</v>
      </c>
      <c r="O197" s="159"/>
      <c r="P197" s="159"/>
      <c r="Q197" s="159"/>
      <c r="R197" s="159"/>
      <c r="S197" s="159"/>
      <c r="Y197" s="1975" t="str">
        <f t="shared" si="5"/>
        <v/>
      </c>
    </row>
    <row r="198" spans="1:25">
      <c r="A198" s="1983" t="str">
        <f t="shared" si="4"/>
        <v/>
      </c>
      <c r="B198" s="741">
        <f>Gases!A204</f>
        <v>179</v>
      </c>
      <c r="C198" s="970"/>
      <c r="D198" s="973"/>
      <c r="E198" s="973"/>
      <c r="F198" s="973"/>
      <c r="G198" s="973"/>
      <c r="H198" s="973"/>
      <c r="I198" s="976"/>
      <c r="J198" s="977"/>
      <c r="K198" s="965">
        <v>179</v>
      </c>
      <c r="L198" s="965"/>
      <c r="M198" s="978"/>
      <c r="N198" s="965">
        <v>179</v>
      </c>
      <c r="O198" s="159"/>
      <c r="P198" s="159"/>
      <c r="Q198" s="159"/>
      <c r="R198" s="159"/>
      <c r="S198" s="159"/>
      <c r="Y198" s="1975" t="str">
        <f t="shared" si="5"/>
        <v/>
      </c>
    </row>
    <row r="199" spans="1:25">
      <c r="A199" s="1983" t="str">
        <f t="shared" si="4"/>
        <v/>
      </c>
      <c r="B199" s="741">
        <f>Gases!A205</f>
        <v>180</v>
      </c>
      <c r="C199" s="970"/>
      <c r="D199" s="973"/>
      <c r="E199" s="973"/>
      <c r="F199" s="973"/>
      <c r="G199" s="973"/>
      <c r="H199" s="973"/>
      <c r="I199" s="976"/>
      <c r="J199" s="977"/>
      <c r="K199" s="965">
        <v>180</v>
      </c>
      <c r="L199" s="965"/>
      <c r="M199" s="978"/>
      <c r="N199" s="965">
        <v>180</v>
      </c>
      <c r="O199" s="159"/>
      <c r="P199" s="159"/>
      <c r="Q199" s="159"/>
      <c r="R199" s="159"/>
      <c r="S199" s="159"/>
      <c r="Y199" s="1975" t="str">
        <f t="shared" si="5"/>
        <v/>
      </c>
    </row>
    <row r="200" spans="1:25">
      <c r="A200" s="1983" t="str">
        <f t="shared" si="4"/>
        <v/>
      </c>
      <c r="B200" s="741">
        <f>Gases!A206</f>
        <v>181</v>
      </c>
      <c r="C200" s="970"/>
      <c r="D200" s="973"/>
      <c r="E200" s="973"/>
      <c r="F200" s="973"/>
      <c r="G200" s="973"/>
      <c r="H200" s="973"/>
      <c r="I200" s="976"/>
      <c r="J200" s="977"/>
      <c r="K200" s="965">
        <v>181</v>
      </c>
      <c r="L200" s="965"/>
      <c r="M200" s="978"/>
      <c r="N200" s="965">
        <v>181</v>
      </c>
      <c r="O200" s="159"/>
      <c r="P200" s="159"/>
      <c r="Q200" s="159"/>
      <c r="R200" s="159"/>
      <c r="S200" s="159"/>
      <c r="Y200" s="1975" t="str">
        <f t="shared" si="5"/>
        <v/>
      </c>
    </row>
    <row r="201" spans="1:25">
      <c r="A201" s="1983" t="str">
        <f t="shared" si="4"/>
        <v/>
      </c>
      <c r="B201" s="741">
        <f>Gases!A207</f>
        <v>182</v>
      </c>
      <c r="C201" s="970"/>
      <c r="D201" s="973"/>
      <c r="E201" s="973"/>
      <c r="F201" s="973"/>
      <c r="G201" s="973"/>
      <c r="H201" s="973"/>
      <c r="I201" s="976"/>
      <c r="J201" s="977"/>
      <c r="K201" s="965">
        <v>182</v>
      </c>
      <c r="L201" s="965"/>
      <c r="M201" s="978"/>
      <c r="N201" s="965">
        <v>182</v>
      </c>
      <c r="O201" s="159"/>
      <c r="P201" s="159"/>
      <c r="Q201" s="159"/>
      <c r="R201" s="159"/>
      <c r="S201" s="159"/>
      <c r="Y201" s="1975" t="str">
        <f t="shared" si="5"/>
        <v/>
      </c>
    </row>
    <row r="202" spans="1:25">
      <c r="A202" s="1983" t="str">
        <f t="shared" si="4"/>
        <v/>
      </c>
      <c r="B202" s="741">
        <f>Gases!A208</f>
        <v>183</v>
      </c>
      <c r="C202" s="970"/>
      <c r="D202" s="973"/>
      <c r="E202" s="973"/>
      <c r="F202" s="973"/>
      <c r="G202" s="973"/>
      <c r="H202" s="973"/>
      <c r="I202" s="976"/>
      <c r="J202" s="977"/>
      <c r="K202" s="965">
        <v>183</v>
      </c>
      <c r="L202" s="965"/>
      <c r="M202" s="978"/>
      <c r="N202" s="965">
        <v>183</v>
      </c>
      <c r="O202" s="159"/>
      <c r="P202" s="159"/>
      <c r="Q202" s="159"/>
      <c r="R202" s="159"/>
      <c r="S202" s="159"/>
      <c r="Y202" s="1975" t="str">
        <f t="shared" si="5"/>
        <v/>
      </c>
    </row>
    <row r="203" spans="1:25">
      <c r="A203" s="1983" t="str">
        <f t="shared" si="4"/>
        <v/>
      </c>
      <c r="B203" s="741">
        <f>Gases!A209</f>
        <v>184</v>
      </c>
      <c r="C203" s="970"/>
      <c r="D203" s="973"/>
      <c r="E203" s="973"/>
      <c r="F203" s="973"/>
      <c r="G203" s="973"/>
      <c r="H203" s="973"/>
      <c r="I203" s="976"/>
      <c r="J203" s="977"/>
      <c r="K203" s="965">
        <v>184</v>
      </c>
      <c r="L203" s="965"/>
      <c r="M203" s="978"/>
      <c r="N203" s="965">
        <v>184</v>
      </c>
      <c r="O203" s="159"/>
      <c r="P203" s="159"/>
      <c r="Q203" s="159"/>
      <c r="R203" s="159"/>
      <c r="S203" s="159"/>
      <c r="Y203" s="1975" t="str">
        <f t="shared" si="5"/>
        <v/>
      </c>
    </row>
    <row r="204" spans="1:25">
      <c r="A204" s="1983" t="str">
        <f t="shared" si="4"/>
        <v/>
      </c>
      <c r="B204" s="741">
        <f>Gases!A210</f>
        <v>185</v>
      </c>
      <c r="C204" s="970"/>
      <c r="D204" s="973"/>
      <c r="E204" s="973"/>
      <c r="F204" s="973"/>
      <c r="G204" s="973"/>
      <c r="H204" s="973"/>
      <c r="I204" s="976"/>
      <c r="J204" s="977"/>
      <c r="K204" s="965">
        <v>185</v>
      </c>
      <c r="L204" s="965"/>
      <c r="M204" s="978"/>
      <c r="N204" s="965">
        <v>185</v>
      </c>
      <c r="O204" s="159"/>
      <c r="P204" s="159"/>
      <c r="Q204" s="159"/>
      <c r="R204" s="159"/>
      <c r="S204" s="159"/>
      <c r="Y204" s="1975" t="str">
        <f t="shared" si="5"/>
        <v/>
      </c>
    </row>
    <row r="205" spans="1:25">
      <c r="A205" s="1983" t="str">
        <f t="shared" si="4"/>
        <v/>
      </c>
      <c r="B205" s="741">
        <f>Gases!A211</f>
        <v>186</v>
      </c>
      <c r="C205" s="970"/>
      <c r="D205" s="973"/>
      <c r="E205" s="973"/>
      <c r="F205" s="973"/>
      <c r="G205" s="973"/>
      <c r="H205" s="973"/>
      <c r="I205" s="976"/>
      <c r="J205" s="977"/>
      <c r="K205" s="965">
        <v>186</v>
      </c>
      <c r="L205" s="965"/>
      <c r="M205" s="978"/>
      <c r="N205" s="965">
        <v>186</v>
      </c>
      <c r="O205" s="159"/>
      <c r="P205" s="159"/>
      <c r="Q205" s="159"/>
      <c r="R205" s="159"/>
      <c r="S205" s="159"/>
      <c r="Y205" s="1975" t="str">
        <f t="shared" si="5"/>
        <v/>
      </c>
    </row>
    <row r="206" spans="1:25">
      <c r="A206" s="1983" t="str">
        <f t="shared" si="4"/>
        <v/>
      </c>
      <c r="B206" s="741">
        <f>Gases!A212</f>
        <v>187</v>
      </c>
      <c r="C206" s="970"/>
      <c r="D206" s="973"/>
      <c r="E206" s="973"/>
      <c r="F206" s="973"/>
      <c r="G206" s="973"/>
      <c r="H206" s="973"/>
      <c r="I206" s="976"/>
      <c r="J206" s="977"/>
      <c r="K206" s="965">
        <v>187</v>
      </c>
      <c r="L206" s="965"/>
      <c r="M206" s="978"/>
      <c r="N206" s="965">
        <v>187</v>
      </c>
      <c r="O206" s="159"/>
      <c r="P206" s="159"/>
      <c r="Q206" s="159"/>
      <c r="R206" s="159"/>
      <c r="S206" s="159"/>
      <c r="Y206" s="1975" t="str">
        <f t="shared" si="5"/>
        <v/>
      </c>
    </row>
    <row r="207" spans="1:25">
      <c r="A207" s="1983" t="str">
        <f t="shared" si="4"/>
        <v/>
      </c>
      <c r="B207" s="741">
        <f>Gases!A213</f>
        <v>188</v>
      </c>
      <c r="C207" s="970"/>
      <c r="D207" s="973"/>
      <c r="E207" s="973"/>
      <c r="F207" s="973"/>
      <c r="G207" s="973"/>
      <c r="H207" s="973"/>
      <c r="I207" s="976"/>
      <c r="J207" s="977"/>
      <c r="K207" s="965">
        <v>188</v>
      </c>
      <c r="L207" s="965"/>
      <c r="M207" s="978"/>
      <c r="N207" s="965">
        <v>188</v>
      </c>
      <c r="O207" s="159"/>
      <c r="P207" s="159"/>
      <c r="Q207" s="159"/>
      <c r="R207" s="159"/>
      <c r="S207" s="159"/>
      <c r="Y207" s="1975" t="str">
        <f t="shared" si="5"/>
        <v/>
      </c>
    </row>
    <row r="208" spans="1:25">
      <c r="A208" s="1983" t="str">
        <f t="shared" si="4"/>
        <v/>
      </c>
      <c r="B208" s="741">
        <f>Gases!A214</f>
        <v>189</v>
      </c>
      <c r="C208" s="970"/>
      <c r="D208" s="973"/>
      <c r="E208" s="973"/>
      <c r="F208" s="973"/>
      <c r="G208" s="973"/>
      <c r="H208" s="973"/>
      <c r="I208" s="976"/>
      <c r="J208" s="977"/>
      <c r="K208" s="965">
        <v>189</v>
      </c>
      <c r="L208" s="965"/>
      <c r="M208" s="978"/>
      <c r="N208" s="965">
        <v>189</v>
      </c>
      <c r="O208" s="159"/>
      <c r="P208" s="159"/>
      <c r="Q208" s="159"/>
      <c r="R208" s="159"/>
      <c r="S208" s="159"/>
      <c r="Y208" s="1975" t="str">
        <f t="shared" si="5"/>
        <v/>
      </c>
    </row>
    <row r="209" spans="1:25">
      <c r="A209" s="1983" t="str">
        <f t="shared" si="4"/>
        <v/>
      </c>
      <c r="B209" s="741">
        <f>Gases!A215</f>
        <v>190</v>
      </c>
      <c r="C209" s="970"/>
      <c r="D209" s="973"/>
      <c r="E209" s="973"/>
      <c r="F209" s="973"/>
      <c r="G209" s="973"/>
      <c r="H209" s="973"/>
      <c r="I209" s="976"/>
      <c r="J209" s="977"/>
      <c r="K209" s="965">
        <v>190</v>
      </c>
      <c r="L209" s="965"/>
      <c r="M209" s="978"/>
      <c r="N209" s="965">
        <v>190</v>
      </c>
      <c r="O209" s="159"/>
      <c r="P209" s="159"/>
      <c r="Q209" s="159"/>
      <c r="R209" s="159"/>
      <c r="S209" s="159"/>
      <c r="Y209" s="1975" t="str">
        <f t="shared" si="5"/>
        <v/>
      </c>
    </row>
    <row r="210" spans="1:25">
      <c r="A210" s="1983" t="str">
        <f t="shared" si="4"/>
        <v/>
      </c>
      <c r="B210" s="741">
        <f>Gases!A216</f>
        <v>191</v>
      </c>
      <c r="C210" s="970"/>
      <c r="D210" s="973"/>
      <c r="E210" s="973"/>
      <c r="F210" s="973"/>
      <c r="G210" s="973"/>
      <c r="H210" s="973"/>
      <c r="I210" s="976"/>
      <c r="J210" s="977"/>
      <c r="K210" s="965">
        <v>191</v>
      </c>
      <c r="L210" s="965"/>
      <c r="M210" s="978"/>
      <c r="N210" s="965">
        <v>191</v>
      </c>
      <c r="O210" s="159"/>
      <c r="P210" s="159"/>
      <c r="Q210" s="159"/>
      <c r="R210" s="159"/>
      <c r="S210" s="159"/>
      <c r="Y210" s="1975" t="str">
        <f t="shared" si="5"/>
        <v/>
      </c>
    </row>
    <row r="211" spans="1:25">
      <c r="A211" s="1983" t="str">
        <f t="shared" si="4"/>
        <v/>
      </c>
      <c r="B211" s="741">
        <f>Gases!A217</f>
        <v>192</v>
      </c>
      <c r="C211" s="970"/>
      <c r="D211" s="973"/>
      <c r="E211" s="973"/>
      <c r="F211" s="973"/>
      <c r="G211" s="973"/>
      <c r="H211" s="973"/>
      <c r="I211" s="976"/>
      <c r="J211" s="977"/>
      <c r="K211" s="965">
        <v>192</v>
      </c>
      <c r="L211" s="965"/>
      <c r="M211" s="978"/>
      <c r="N211" s="965">
        <v>192</v>
      </c>
      <c r="O211" s="159"/>
      <c r="P211" s="159"/>
      <c r="Q211" s="159"/>
      <c r="R211" s="159"/>
      <c r="S211" s="159"/>
      <c r="Y211" s="1975" t="str">
        <f t="shared" si="5"/>
        <v/>
      </c>
    </row>
    <row r="212" spans="1:25">
      <c r="A212" s="1983" t="str">
        <f t="shared" ref="A212:A275" si="6">IF(AND(C212="",Q211=""),"",IF(GasAnalyser="MRU",Q211,C212))</f>
        <v/>
      </c>
      <c r="B212" s="741">
        <f>Gases!A218</f>
        <v>193</v>
      </c>
      <c r="C212" s="970"/>
      <c r="D212" s="973"/>
      <c r="E212" s="973"/>
      <c r="F212" s="973"/>
      <c r="G212" s="973"/>
      <c r="H212" s="973"/>
      <c r="I212" s="976"/>
      <c r="J212" s="977"/>
      <c r="K212" s="965">
        <v>193</v>
      </c>
      <c r="L212" s="965"/>
      <c r="M212" s="978"/>
      <c r="N212" s="965">
        <v>193</v>
      </c>
      <c r="O212" s="159"/>
      <c r="P212" s="159"/>
      <c r="Q212" s="159"/>
      <c r="R212" s="159"/>
      <c r="S212" s="159"/>
      <c r="Y212" s="1975" t="str">
        <f t="shared" si="5"/>
        <v/>
      </c>
    </row>
    <row r="213" spans="1:25">
      <c r="A213" s="1983" t="str">
        <f t="shared" si="6"/>
        <v/>
      </c>
      <c r="B213" s="741">
        <f>Gases!A219</f>
        <v>194</v>
      </c>
      <c r="C213" s="970"/>
      <c r="D213" s="973"/>
      <c r="E213" s="973"/>
      <c r="F213" s="973"/>
      <c r="G213" s="973"/>
      <c r="H213" s="973"/>
      <c r="I213" s="976"/>
      <c r="J213" s="977"/>
      <c r="K213" s="965">
        <v>194</v>
      </c>
      <c r="L213" s="965"/>
      <c r="M213" s="978"/>
      <c r="N213" s="965">
        <v>194</v>
      </c>
      <c r="O213" s="159"/>
      <c r="P213" s="159"/>
      <c r="Q213" s="159"/>
      <c r="R213" s="159"/>
      <c r="S213" s="159"/>
      <c r="Y213" s="1975" t="str">
        <f t="shared" si="5"/>
        <v/>
      </c>
    </row>
    <row r="214" spans="1:25">
      <c r="A214" s="1983" t="str">
        <f t="shared" si="6"/>
        <v/>
      </c>
      <c r="B214" s="741">
        <f>Gases!A220</f>
        <v>195</v>
      </c>
      <c r="C214" s="970"/>
      <c r="D214" s="973"/>
      <c r="E214" s="973"/>
      <c r="F214" s="973"/>
      <c r="G214" s="973"/>
      <c r="H214" s="973"/>
      <c r="I214" s="976"/>
      <c r="J214" s="977"/>
      <c r="K214" s="965">
        <v>195</v>
      </c>
      <c r="L214" s="965"/>
      <c r="M214" s="978"/>
      <c r="N214" s="965">
        <v>195</v>
      </c>
      <c r="O214" s="159"/>
      <c r="P214" s="159"/>
      <c r="Q214" s="159"/>
      <c r="R214" s="159"/>
      <c r="S214" s="159"/>
      <c r="Y214" s="1975" t="str">
        <f t="shared" ref="Y214:Y277" si="7">IF(U214="","",SUM(U214:V214))</f>
        <v/>
      </c>
    </row>
    <row r="215" spans="1:25">
      <c r="A215" s="1983" t="str">
        <f t="shared" si="6"/>
        <v/>
      </c>
      <c r="B215" s="741">
        <f>Gases!A221</f>
        <v>196</v>
      </c>
      <c r="C215" s="970"/>
      <c r="D215" s="973"/>
      <c r="E215" s="973"/>
      <c r="F215" s="973"/>
      <c r="G215" s="973"/>
      <c r="H215" s="973"/>
      <c r="I215" s="976"/>
      <c r="J215" s="977"/>
      <c r="K215" s="965">
        <v>196</v>
      </c>
      <c r="L215" s="965"/>
      <c r="M215" s="978"/>
      <c r="N215" s="965">
        <v>196</v>
      </c>
      <c r="O215" s="159"/>
      <c r="P215" s="159"/>
      <c r="Q215" s="159"/>
      <c r="R215" s="159"/>
      <c r="S215" s="159"/>
      <c r="Y215" s="1975" t="str">
        <f t="shared" si="7"/>
        <v/>
      </c>
    </row>
    <row r="216" spans="1:25">
      <c r="A216" s="1983" t="str">
        <f t="shared" si="6"/>
        <v/>
      </c>
      <c r="B216" s="741">
        <f>Gases!A222</f>
        <v>197</v>
      </c>
      <c r="C216" s="970"/>
      <c r="D216" s="973"/>
      <c r="E216" s="973"/>
      <c r="F216" s="973"/>
      <c r="G216" s="973"/>
      <c r="H216" s="973"/>
      <c r="I216" s="976"/>
      <c r="J216" s="977"/>
      <c r="K216" s="965">
        <v>197</v>
      </c>
      <c r="L216" s="965"/>
      <c r="M216" s="978"/>
      <c r="N216" s="965">
        <v>197</v>
      </c>
      <c r="O216" s="159"/>
      <c r="P216" s="159"/>
      <c r="Q216" s="159"/>
      <c r="R216" s="159"/>
      <c r="S216" s="159"/>
      <c r="Y216" s="1975" t="str">
        <f t="shared" si="7"/>
        <v/>
      </c>
    </row>
    <row r="217" spans="1:25">
      <c r="A217" s="1983" t="str">
        <f t="shared" si="6"/>
        <v/>
      </c>
      <c r="B217" s="741">
        <f>Gases!A223</f>
        <v>198</v>
      </c>
      <c r="C217" s="970"/>
      <c r="D217" s="973"/>
      <c r="E217" s="973"/>
      <c r="F217" s="973"/>
      <c r="G217" s="973"/>
      <c r="H217" s="973"/>
      <c r="I217" s="976"/>
      <c r="J217" s="977"/>
      <c r="K217" s="965">
        <v>198</v>
      </c>
      <c r="L217" s="965"/>
      <c r="M217" s="978"/>
      <c r="N217" s="965">
        <v>198</v>
      </c>
      <c r="O217" s="159"/>
      <c r="P217" s="159"/>
      <c r="Q217" s="159"/>
      <c r="R217" s="159"/>
      <c r="S217" s="159"/>
      <c r="Y217" s="1975" t="str">
        <f t="shared" si="7"/>
        <v/>
      </c>
    </row>
    <row r="218" spans="1:25">
      <c r="A218" s="1983" t="str">
        <f t="shared" si="6"/>
        <v/>
      </c>
      <c r="B218" s="741">
        <f>Gases!A224</f>
        <v>199</v>
      </c>
      <c r="C218" s="970"/>
      <c r="D218" s="973"/>
      <c r="E218" s="973"/>
      <c r="F218" s="973"/>
      <c r="G218" s="973"/>
      <c r="H218" s="973"/>
      <c r="I218" s="976"/>
      <c r="J218" s="977"/>
      <c r="K218" s="965">
        <v>199</v>
      </c>
      <c r="L218" s="965"/>
      <c r="M218" s="978"/>
      <c r="N218" s="965">
        <v>199</v>
      </c>
      <c r="O218" s="159"/>
      <c r="P218" s="159"/>
      <c r="Q218" s="159"/>
      <c r="R218" s="159"/>
      <c r="S218" s="159"/>
      <c r="Y218" s="1975" t="str">
        <f t="shared" si="7"/>
        <v/>
      </c>
    </row>
    <row r="219" spans="1:25">
      <c r="A219" s="1983" t="str">
        <f t="shared" si="6"/>
        <v/>
      </c>
      <c r="B219" s="741">
        <f>Gases!A225</f>
        <v>200</v>
      </c>
      <c r="C219" s="970"/>
      <c r="D219" s="973"/>
      <c r="E219" s="973"/>
      <c r="F219" s="973"/>
      <c r="G219" s="973"/>
      <c r="H219" s="973"/>
      <c r="I219" s="976"/>
      <c r="J219" s="977"/>
      <c r="K219" s="965">
        <v>200</v>
      </c>
      <c r="L219" s="965"/>
      <c r="M219" s="978"/>
      <c r="N219" s="965">
        <v>200</v>
      </c>
      <c r="O219" s="159"/>
      <c r="P219" s="159"/>
      <c r="Q219" s="159"/>
      <c r="R219" s="159"/>
      <c r="S219" s="159"/>
      <c r="Y219" s="1975" t="str">
        <f t="shared" si="7"/>
        <v/>
      </c>
    </row>
    <row r="220" spans="1:25">
      <c r="A220" s="1983" t="str">
        <f t="shared" si="6"/>
        <v/>
      </c>
      <c r="B220" s="741">
        <f>Gases!A226</f>
        <v>201</v>
      </c>
      <c r="C220" s="970"/>
      <c r="D220" s="973"/>
      <c r="E220" s="973"/>
      <c r="F220" s="973"/>
      <c r="G220" s="973"/>
      <c r="H220" s="973"/>
      <c r="I220" s="976"/>
      <c r="J220" s="977"/>
      <c r="K220" s="965">
        <v>201</v>
      </c>
      <c r="L220" s="965"/>
      <c r="M220" s="978"/>
      <c r="N220" s="965">
        <v>201</v>
      </c>
      <c r="O220" s="159"/>
      <c r="P220" s="159"/>
      <c r="Q220" s="159"/>
      <c r="R220" s="159"/>
      <c r="S220" s="159"/>
      <c r="Y220" s="1975" t="str">
        <f t="shared" si="7"/>
        <v/>
      </c>
    </row>
    <row r="221" spans="1:25">
      <c r="A221" s="1983" t="str">
        <f t="shared" si="6"/>
        <v/>
      </c>
      <c r="B221" s="741">
        <f>Gases!A227</f>
        <v>202</v>
      </c>
      <c r="C221" s="970"/>
      <c r="D221" s="973"/>
      <c r="E221" s="973"/>
      <c r="F221" s="973"/>
      <c r="G221" s="973"/>
      <c r="H221" s="973"/>
      <c r="I221" s="976"/>
      <c r="J221" s="977"/>
      <c r="K221" s="965">
        <v>202</v>
      </c>
      <c r="L221" s="965"/>
      <c r="M221" s="978"/>
      <c r="N221" s="965">
        <v>202</v>
      </c>
      <c r="O221" s="159"/>
      <c r="P221" s="159"/>
      <c r="Q221" s="159"/>
      <c r="R221" s="159"/>
      <c r="S221" s="159"/>
      <c r="Y221" s="1975" t="str">
        <f t="shared" si="7"/>
        <v/>
      </c>
    </row>
    <row r="222" spans="1:25">
      <c r="A222" s="1983" t="str">
        <f t="shared" si="6"/>
        <v/>
      </c>
      <c r="B222" s="741">
        <f>Gases!A228</f>
        <v>203</v>
      </c>
      <c r="C222" s="970"/>
      <c r="D222" s="973"/>
      <c r="E222" s="973"/>
      <c r="F222" s="973"/>
      <c r="G222" s="973"/>
      <c r="H222" s="973"/>
      <c r="I222" s="976"/>
      <c r="J222" s="977"/>
      <c r="K222" s="965">
        <v>203</v>
      </c>
      <c r="L222" s="965"/>
      <c r="M222" s="978"/>
      <c r="N222" s="965">
        <v>203</v>
      </c>
      <c r="O222" s="159"/>
      <c r="P222" s="159"/>
      <c r="Q222" s="159"/>
      <c r="R222" s="159"/>
      <c r="S222" s="159"/>
      <c r="Y222" s="1975" t="str">
        <f t="shared" si="7"/>
        <v/>
      </c>
    </row>
    <row r="223" spans="1:25">
      <c r="A223" s="1983" t="str">
        <f t="shared" si="6"/>
        <v/>
      </c>
      <c r="B223" s="741">
        <f>Gases!A229</f>
        <v>204</v>
      </c>
      <c r="C223" s="970"/>
      <c r="D223" s="973"/>
      <c r="E223" s="973"/>
      <c r="F223" s="973"/>
      <c r="G223" s="973"/>
      <c r="H223" s="973"/>
      <c r="I223" s="976"/>
      <c r="J223" s="977"/>
      <c r="K223" s="965">
        <v>204</v>
      </c>
      <c r="L223" s="965"/>
      <c r="M223" s="978"/>
      <c r="N223" s="965">
        <v>204</v>
      </c>
      <c r="O223" s="159"/>
      <c r="P223" s="159"/>
      <c r="Q223" s="159"/>
      <c r="R223" s="159"/>
      <c r="S223" s="159"/>
      <c r="Y223" s="1975" t="str">
        <f t="shared" si="7"/>
        <v/>
      </c>
    </row>
    <row r="224" spans="1:25">
      <c r="A224" s="1983" t="str">
        <f t="shared" si="6"/>
        <v/>
      </c>
      <c r="B224" s="741">
        <f>Gases!A230</f>
        <v>205</v>
      </c>
      <c r="C224" s="970"/>
      <c r="D224" s="973"/>
      <c r="E224" s="973"/>
      <c r="F224" s="973"/>
      <c r="G224" s="973"/>
      <c r="H224" s="973"/>
      <c r="I224" s="976"/>
      <c r="J224" s="977"/>
      <c r="K224" s="965">
        <v>205</v>
      </c>
      <c r="L224" s="965"/>
      <c r="M224" s="978"/>
      <c r="N224" s="965">
        <v>205</v>
      </c>
      <c r="O224" s="159"/>
      <c r="P224" s="159"/>
      <c r="Q224" s="159"/>
      <c r="R224" s="159"/>
      <c r="S224" s="159"/>
      <c r="Y224" s="1975" t="str">
        <f t="shared" si="7"/>
        <v/>
      </c>
    </row>
    <row r="225" spans="1:25">
      <c r="A225" s="1983" t="str">
        <f t="shared" si="6"/>
        <v/>
      </c>
      <c r="B225" s="741">
        <f>Gases!A231</f>
        <v>206</v>
      </c>
      <c r="C225" s="970"/>
      <c r="D225" s="973"/>
      <c r="E225" s="973"/>
      <c r="F225" s="973"/>
      <c r="G225" s="973"/>
      <c r="H225" s="973"/>
      <c r="I225" s="976"/>
      <c r="J225" s="977"/>
      <c r="K225" s="965">
        <v>206</v>
      </c>
      <c r="L225" s="965"/>
      <c r="M225" s="978"/>
      <c r="N225" s="965">
        <v>206</v>
      </c>
      <c r="O225" s="159"/>
      <c r="P225" s="159"/>
      <c r="Q225" s="159"/>
      <c r="R225" s="159"/>
      <c r="S225" s="159"/>
      <c r="Y225" s="1975" t="str">
        <f t="shared" si="7"/>
        <v/>
      </c>
    </row>
    <row r="226" spans="1:25">
      <c r="A226" s="1983" t="str">
        <f t="shared" si="6"/>
        <v/>
      </c>
      <c r="B226" s="741">
        <f>Gases!A232</f>
        <v>207</v>
      </c>
      <c r="C226" s="970"/>
      <c r="D226" s="973"/>
      <c r="E226" s="973"/>
      <c r="F226" s="973"/>
      <c r="G226" s="973"/>
      <c r="H226" s="973"/>
      <c r="I226" s="976"/>
      <c r="J226" s="977"/>
      <c r="K226" s="965">
        <v>207</v>
      </c>
      <c r="L226" s="965"/>
      <c r="M226" s="978"/>
      <c r="N226" s="965">
        <v>207</v>
      </c>
      <c r="O226" s="159"/>
      <c r="P226" s="159"/>
      <c r="Q226" s="159"/>
      <c r="R226" s="159"/>
      <c r="S226" s="159"/>
      <c r="Y226" s="1975" t="str">
        <f t="shared" si="7"/>
        <v/>
      </c>
    </row>
    <row r="227" spans="1:25">
      <c r="A227" s="1983" t="str">
        <f t="shared" si="6"/>
        <v/>
      </c>
      <c r="B227" s="741">
        <f>Gases!A233</f>
        <v>208</v>
      </c>
      <c r="C227" s="970"/>
      <c r="D227" s="973"/>
      <c r="E227" s="973"/>
      <c r="F227" s="973"/>
      <c r="G227" s="973"/>
      <c r="H227" s="973"/>
      <c r="I227" s="976"/>
      <c r="J227" s="977"/>
      <c r="K227" s="965">
        <v>208</v>
      </c>
      <c r="L227" s="965"/>
      <c r="M227" s="978"/>
      <c r="N227" s="965">
        <v>208</v>
      </c>
      <c r="O227" s="159"/>
      <c r="P227" s="159"/>
      <c r="Q227" s="159"/>
      <c r="R227" s="159"/>
      <c r="S227" s="159"/>
      <c r="Y227" s="1975" t="str">
        <f t="shared" si="7"/>
        <v/>
      </c>
    </row>
    <row r="228" spans="1:25">
      <c r="A228" s="1983" t="str">
        <f t="shared" si="6"/>
        <v/>
      </c>
      <c r="B228" s="741">
        <f>Gases!A234</f>
        <v>209</v>
      </c>
      <c r="C228" s="970"/>
      <c r="D228" s="973"/>
      <c r="E228" s="973"/>
      <c r="F228" s="973"/>
      <c r="G228" s="973"/>
      <c r="H228" s="973"/>
      <c r="I228" s="976"/>
      <c r="J228" s="977"/>
      <c r="K228" s="965">
        <v>209</v>
      </c>
      <c r="L228" s="965"/>
      <c r="M228" s="978"/>
      <c r="N228" s="965">
        <v>209</v>
      </c>
      <c r="O228" s="159"/>
      <c r="P228" s="159"/>
      <c r="Q228" s="159"/>
      <c r="R228" s="159"/>
      <c r="S228" s="159"/>
      <c r="Y228" s="1975" t="str">
        <f t="shared" si="7"/>
        <v/>
      </c>
    </row>
    <row r="229" spans="1:25">
      <c r="A229" s="1983" t="str">
        <f t="shared" si="6"/>
        <v/>
      </c>
      <c r="B229" s="741">
        <f>Gases!A235</f>
        <v>210</v>
      </c>
      <c r="C229" s="970"/>
      <c r="D229" s="973"/>
      <c r="E229" s="973"/>
      <c r="F229" s="973"/>
      <c r="G229" s="973"/>
      <c r="H229" s="973"/>
      <c r="I229" s="976"/>
      <c r="J229" s="977"/>
      <c r="K229" s="965">
        <v>210</v>
      </c>
      <c r="L229" s="965"/>
      <c r="M229" s="978"/>
      <c r="N229" s="965">
        <v>210</v>
      </c>
      <c r="O229" s="159"/>
      <c r="P229" s="159"/>
      <c r="Q229" s="159"/>
      <c r="R229" s="159"/>
      <c r="S229" s="159"/>
      <c r="Y229" s="1975" t="str">
        <f t="shared" si="7"/>
        <v/>
      </c>
    </row>
    <row r="230" spans="1:25">
      <c r="A230" s="1983" t="str">
        <f t="shared" si="6"/>
        <v/>
      </c>
      <c r="B230" s="741">
        <f>Gases!A236</f>
        <v>211</v>
      </c>
      <c r="C230" s="970"/>
      <c r="D230" s="973"/>
      <c r="E230" s="973"/>
      <c r="F230" s="973"/>
      <c r="G230" s="973"/>
      <c r="H230" s="973"/>
      <c r="I230" s="976"/>
      <c r="J230" s="977"/>
      <c r="K230" s="965">
        <v>211</v>
      </c>
      <c r="L230" s="965"/>
      <c r="M230" s="978"/>
      <c r="N230" s="965">
        <v>211</v>
      </c>
      <c r="O230" s="159"/>
      <c r="P230" s="159"/>
      <c r="Q230" s="159"/>
      <c r="R230" s="159"/>
      <c r="S230" s="159"/>
      <c r="Y230" s="1975" t="str">
        <f t="shared" si="7"/>
        <v/>
      </c>
    </row>
    <row r="231" spans="1:25">
      <c r="A231" s="1983" t="str">
        <f t="shared" si="6"/>
        <v/>
      </c>
      <c r="B231" s="741">
        <f>Gases!A237</f>
        <v>212</v>
      </c>
      <c r="C231" s="970"/>
      <c r="D231" s="973"/>
      <c r="E231" s="973"/>
      <c r="F231" s="973"/>
      <c r="G231" s="973"/>
      <c r="H231" s="973"/>
      <c r="I231" s="976"/>
      <c r="J231" s="977"/>
      <c r="K231" s="965">
        <v>212</v>
      </c>
      <c r="L231" s="965"/>
      <c r="M231" s="978"/>
      <c r="N231" s="965">
        <v>212</v>
      </c>
      <c r="O231" s="159"/>
      <c r="P231" s="159"/>
      <c r="Q231" s="159"/>
      <c r="R231" s="159"/>
      <c r="S231" s="159"/>
      <c r="Y231" s="1975" t="str">
        <f t="shared" si="7"/>
        <v/>
      </c>
    </row>
    <row r="232" spans="1:25">
      <c r="A232" s="1983" t="str">
        <f t="shared" si="6"/>
        <v/>
      </c>
      <c r="B232" s="741">
        <f>Gases!A238</f>
        <v>213</v>
      </c>
      <c r="C232" s="970"/>
      <c r="D232" s="973"/>
      <c r="E232" s="973"/>
      <c r="F232" s="973"/>
      <c r="G232" s="973"/>
      <c r="H232" s="973"/>
      <c r="I232" s="976"/>
      <c r="J232" s="977"/>
      <c r="K232" s="965">
        <v>213</v>
      </c>
      <c r="L232" s="965"/>
      <c r="M232" s="978"/>
      <c r="N232" s="965">
        <v>213</v>
      </c>
      <c r="O232" s="159"/>
      <c r="P232" s="159"/>
      <c r="Q232" s="159"/>
      <c r="R232" s="159"/>
      <c r="S232" s="159"/>
      <c r="Y232" s="1975" t="str">
        <f t="shared" si="7"/>
        <v/>
      </c>
    </row>
    <row r="233" spans="1:25">
      <c r="A233" s="1983" t="str">
        <f t="shared" si="6"/>
        <v/>
      </c>
      <c r="B233" s="741">
        <f>Gases!A239</f>
        <v>214</v>
      </c>
      <c r="C233" s="970"/>
      <c r="D233" s="973"/>
      <c r="E233" s="973"/>
      <c r="F233" s="973"/>
      <c r="G233" s="973"/>
      <c r="H233" s="973"/>
      <c r="I233" s="976"/>
      <c r="J233" s="977"/>
      <c r="K233" s="965">
        <v>214</v>
      </c>
      <c r="L233" s="965"/>
      <c r="M233" s="978"/>
      <c r="N233" s="965">
        <v>214</v>
      </c>
      <c r="O233" s="159"/>
      <c r="P233" s="159"/>
      <c r="Q233" s="159"/>
      <c r="R233" s="159"/>
      <c r="S233" s="159"/>
      <c r="Y233" s="1975" t="str">
        <f t="shared" si="7"/>
        <v/>
      </c>
    </row>
    <row r="234" spans="1:25">
      <c r="A234" s="1983" t="str">
        <f t="shared" si="6"/>
        <v/>
      </c>
      <c r="B234" s="741">
        <f>Gases!A240</f>
        <v>215</v>
      </c>
      <c r="C234" s="970"/>
      <c r="D234" s="973"/>
      <c r="E234" s="973"/>
      <c r="F234" s="973"/>
      <c r="G234" s="973"/>
      <c r="H234" s="973"/>
      <c r="I234" s="976"/>
      <c r="J234" s="977"/>
      <c r="K234" s="965">
        <v>215</v>
      </c>
      <c r="L234" s="965"/>
      <c r="M234" s="978"/>
      <c r="N234" s="965">
        <v>215</v>
      </c>
      <c r="O234" s="159"/>
      <c r="P234" s="159"/>
      <c r="Q234" s="159"/>
      <c r="R234" s="159"/>
      <c r="S234" s="159"/>
      <c r="Y234" s="1975" t="str">
        <f t="shared" si="7"/>
        <v/>
      </c>
    </row>
    <row r="235" spans="1:25">
      <c r="A235" s="1983" t="str">
        <f t="shared" si="6"/>
        <v/>
      </c>
      <c r="B235" s="741">
        <f>Gases!A241</f>
        <v>216</v>
      </c>
      <c r="C235" s="970"/>
      <c r="D235" s="973"/>
      <c r="E235" s="973"/>
      <c r="F235" s="973"/>
      <c r="G235" s="973"/>
      <c r="H235" s="973"/>
      <c r="I235" s="976"/>
      <c r="J235" s="977"/>
      <c r="K235" s="965">
        <v>216</v>
      </c>
      <c r="L235" s="965"/>
      <c r="M235" s="978"/>
      <c r="N235" s="965">
        <v>216</v>
      </c>
      <c r="O235" s="159"/>
      <c r="P235" s="159"/>
      <c r="Q235" s="159"/>
      <c r="R235" s="159"/>
      <c r="S235" s="159"/>
      <c r="Y235" s="1975" t="str">
        <f t="shared" si="7"/>
        <v/>
      </c>
    </row>
    <row r="236" spans="1:25">
      <c r="A236" s="1983" t="str">
        <f t="shared" si="6"/>
        <v/>
      </c>
      <c r="B236" s="741">
        <f>Gases!A242</f>
        <v>217</v>
      </c>
      <c r="C236" s="970"/>
      <c r="D236" s="973"/>
      <c r="E236" s="973"/>
      <c r="F236" s="973"/>
      <c r="G236" s="973"/>
      <c r="H236" s="973"/>
      <c r="I236" s="976"/>
      <c r="J236" s="977"/>
      <c r="K236" s="965">
        <v>217</v>
      </c>
      <c r="L236" s="965"/>
      <c r="M236" s="978"/>
      <c r="N236" s="965">
        <v>217</v>
      </c>
      <c r="O236" s="159"/>
      <c r="P236" s="159"/>
      <c r="Q236" s="159"/>
      <c r="R236" s="159"/>
      <c r="S236" s="159"/>
      <c r="Y236" s="1975" t="str">
        <f t="shared" si="7"/>
        <v/>
      </c>
    </row>
    <row r="237" spans="1:25">
      <c r="A237" s="1983" t="str">
        <f t="shared" si="6"/>
        <v/>
      </c>
      <c r="B237" s="741">
        <f>Gases!A243</f>
        <v>218</v>
      </c>
      <c r="C237" s="970"/>
      <c r="D237" s="973"/>
      <c r="E237" s="973"/>
      <c r="F237" s="973"/>
      <c r="G237" s="973"/>
      <c r="H237" s="973"/>
      <c r="I237" s="976"/>
      <c r="J237" s="977"/>
      <c r="K237" s="965">
        <v>218</v>
      </c>
      <c r="L237" s="965"/>
      <c r="M237" s="978"/>
      <c r="N237" s="965">
        <v>218</v>
      </c>
      <c r="O237" s="159"/>
      <c r="P237" s="159"/>
      <c r="Q237" s="159"/>
      <c r="R237" s="159"/>
      <c r="S237" s="159"/>
      <c r="Y237" s="1975" t="str">
        <f t="shared" si="7"/>
        <v/>
      </c>
    </row>
    <row r="238" spans="1:25">
      <c r="A238" s="1983" t="str">
        <f t="shared" si="6"/>
        <v/>
      </c>
      <c r="B238" s="741">
        <f>Gases!A244</f>
        <v>219</v>
      </c>
      <c r="C238" s="970"/>
      <c r="D238" s="973"/>
      <c r="E238" s="973"/>
      <c r="F238" s="973"/>
      <c r="G238" s="973"/>
      <c r="H238" s="973"/>
      <c r="I238" s="976"/>
      <c r="J238" s="977"/>
      <c r="K238" s="965">
        <v>219</v>
      </c>
      <c r="L238" s="965"/>
      <c r="M238" s="978"/>
      <c r="N238" s="965">
        <v>219</v>
      </c>
      <c r="O238" s="159"/>
      <c r="P238" s="159"/>
      <c r="Q238" s="159"/>
      <c r="R238" s="159"/>
      <c r="S238" s="159"/>
      <c r="Y238" s="1975" t="str">
        <f t="shared" si="7"/>
        <v/>
      </c>
    </row>
    <row r="239" spans="1:25">
      <c r="A239" s="1983" t="str">
        <f t="shared" si="6"/>
        <v/>
      </c>
      <c r="B239" s="741">
        <f>Gases!A245</f>
        <v>220</v>
      </c>
      <c r="C239" s="970"/>
      <c r="D239" s="973"/>
      <c r="E239" s="973"/>
      <c r="F239" s="973"/>
      <c r="G239" s="973"/>
      <c r="H239" s="973"/>
      <c r="I239" s="976"/>
      <c r="J239" s="977"/>
      <c r="K239" s="965">
        <v>220</v>
      </c>
      <c r="L239" s="965"/>
      <c r="M239" s="978"/>
      <c r="N239" s="965">
        <v>220</v>
      </c>
      <c r="O239" s="159"/>
      <c r="P239" s="159"/>
      <c r="Q239" s="159"/>
      <c r="R239" s="159"/>
      <c r="S239" s="159"/>
      <c r="Y239" s="1975" t="str">
        <f t="shared" si="7"/>
        <v/>
      </c>
    </row>
    <row r="240" spans="1:25">
      <c r="A240" s="1983" t="str">
        <f t="shared" si="6"/>
        <v/>
      </c>
      <c r="B240" s="741">
        <f>Gases!A246</f>
        <v>221</v>
      </c>
      <c r="C240" s="970"/>
      <c r="D240" s="973"/>
      <c r="E240" s="973"/>
      <c r="F240" s="973"/>
      <c r="G240" s="973"/>
      <c r="H240" s="973"/>
      <c r="I240" s="976"/>
      <c r="J240" s="977"/>
      <c r="K240" s="965">
        <v>221</v>
      </c>
      <c r="L240" s="965"/>
      <c r="M240" s="978"/>
      <c r="N240" s="965">
        <v>221</v>
      </c>
      <c r="O240" s="159"/>
      <c r="P240" s="159"/>
      <c r="Q240" s="159"/>
      <c r="R240" s="159"/>
      <c r="S240" s="159"/>
      <c r="Y240" s="1975" t="str">
        <f t="shared" si="7"/>
        <v/>
      </c>
    </row>
    <row r="241" spans="1:25">
      <c r="A241" s="1983" t="str">
        <f t="shared" si="6"/>
        <v/>
      </c>
      <c r="B241" s="741">
        <f>Gases!A247</f>
        <v>222</v>
      </c>
      <c r="C241" s="970"/>
      <c r="D241" s="973"/>
      <c r="E241" s="973"/>
      <c r="F241" s="973"/>
      <c r="G241" s="973"/>
      <c r="H241" s="973"/>
      <c r="I241" s="976"/>
      <c r="J241" s="977"/>
      <c r="K241" s="965">
        <v>222</v>
      </c>
      <c r="L241" s="965"/>
      <c r="M241" s="978"/>
      <c r="N241" s="965">
        <v>222</v>
      </c>
      <c r="O241" s="159"/>
      <c r="P241" s="159"/>
      <c r="Q241" s="159"/>
      <c r="R241" s="159"/>
      <c r="S241" s="159"/>
      <c r="Y241" s="1975" t="str">
        <f t="shared" si="7"/>
        <v/>
      </c>
    </row>
    <row r="242" spans="1:25">
      <c r="A242" s="1983" t="str">
        <f t="shared" si="6"/>
        <v/>
      </c>
      <c r="B242" s="741">
        <f>Gases!A248</f>
        <v>223</v>
      </c>
      <c r="C242" s="970"/>
      <c r="D242" s="973"/>
      <c r="E242" s="973"/>
      <c r="F242" s="973"/>
      <c r="G242" s="973"/>
      <c r="H242" s="973"/>
      <c r="I242" s="976"/>
      <c r="J242" s="977"/>
      <c r="K242" s="965">
        <v>223</v>
      </c>
      <c r="L242" s="965"/>
      <c r="M242" s="978"/>
      <c r="N242" s="965">
        <v>223</v>
      </c>
      <c r="O242" s="159"/>
      <c r="P242" s="159"/>
      <c r="Q242" s="159"/>
      <c r="R242" s="159"/>
      <c r="S242" s="159"/>
      <c r="Y242" s="1975" t="str">
        <f t="shared" si="7"/>
        <v/>
      </c>
    </row>
    <row r="243" spans="1:25">
      <c r="A243" s="1983" t="str">
        <f t="shared" si="6"/>
        <v/>
      </c>
      <c r="B243" s="741">
        <f>Gases!A249</f>
        <v>224</v>
      </c>
      <c r="C243" s="970"/>
      <c r="D243" s="973"/>
      <c r="E243" s="973"/>
      <c r="F243" s="973"/>
      <c r="G243" s="973"/>
      <c r="H243" s="973"/>
      <c r="I243" s="976"/>
      <c r="J243" s="977"/>
      <c r="K243" s="965">
        <v>224</v>
      </c>
      <c r="L243" s="965"/>
      <c r="M243" s="978"/>
      <c r="N243" s="965">
        <v>224</v>
      </c>
      <c r="O243" s="159"/>
      <c r="P243" s="159"/>
      <c r="Q243" s="159"/>
      <c r="R243" s="159"/>
      <c r="S243" s="159"/>
      <c r="Y243" s="1975" t="str">
        <f t="shared" si="7"/>
        <v/>
      </c>
    </row>
    <row r="244" spans="1:25">
      <c r="A244" s="1983" t="str">
        <f t="shared" si="6"/>
        <v/>
      </c>
      <c r="B244" s="741">
        <f>Gases!A250</f>
        <v>225</v>
      </c>
      <c r="C244" s="970"/>
      <c r="D244" s="973"/>
      <c r="E244" s="973"/>
      <c r="F244" s="973"/>
      <c r="G244" s="973"/>
      <c r="H244" s="973"/>
      <c r="I244" s="976"/>
      <c r="J244" s="977"/>
      <c r="K244" s="965">
        <v>225</v>
      </c>
      <c r="L244" s="965"/>
      <c r="M244" s="978"/>
      <c r="N244" s="965">
        <v>225</v>
      </c>
      <c r="O244" s="159"/>
      <c r="P244" s="159"/>
      <c r="Q244" s="159"/>
      <c r="R244" s="159"/>
      <c r="S244" s="159"/>
      <c r="Y244" s="1975" t="str">
        <f t="shared" si="7"/>
        <v/>
      </c>
    </row>
    <row r="245" spans="1:25">
      <c r="A245" s="1983" t="str">
        <f t="shared" si="6"/>
        <v/>
      </c>
      <c r="B245" s="741">
        <f>Gases!A251</f>
        <v>226</v>
      </c>
      <c r="C245" s="970"/>
      <c r="D245" s="973"/>
      <c r="E245" s="973"/>
      <c r="F245" s="973"/>
      <c r="G245" s="973"/>
      <c r="H245" s="973"/>
      <c r="I245" s="976"/>
      <c r="J245" s="977"/>
      <c r="K245" s="965">
        <v>226</v>
      </c>
      <c r="L245" s="965"/>
      <c r="M245" s="978"/>
      <c r="N245" s="965">
        <v>226</v>
      </c>
      <c r="O245" s="159"/>
      <c r="P245" s="159"/>
      <c r="Q245" s="159"/>
      <c r="R245" s="159"/>
      <c r="S245" s="159"/>
      <c r="Y245" s="1975" t="str">
        <f t="shared" si="7"/>
        <v/>
      </c>
    </row>
    <row r="246" spans="1:25">
      <c r="A246" s="1983" t="str">
        <f t="shared" si="6"/>
        <v/>
      </c>
      <c r="B246" s="741">
        <f>Gases!A252</f>
        <v>227</v>
      </c>
      <c r="C246" s="970"/>
      <c r="D246" s="973"/>
      <c r="E246" s="973"/>
      <c r="F246" s="973"/>
      <c r="G246" s="973"/>
      <c r="H246" s="973"/>
      <c r="I246" s="976"/>
      <c r="J246" s="977"/>
      <c r="K246" s="965">
        <v>227</v>
      </c>
      <c r="L246" s="965"/>
      <c r="M246" s="978"/>
      <c r="N246" s="965">
        <v>227</v>
      </c>
      <c r="O246" s="159"/>
      <c r="P246" s="159"/>
      <c r="Q246" s="159"/>
      <c r="R246" s="159"/>
      <c r="S246" s="159"/>
      <c r="Y246" s="1975" t="str">
        <f t="shared" si="7"/>
        <v/>
      </c>
    </row>
    <row r="247" spans="1:25">
      <c r="A247" s="1983" t="str">
        <f t="shared" si="6"/>
        <v/>
      </c>
      <c r="B247" s="741">
        <f>Gases!A253</f>
        <v>228</v>
      </c>
      <c r="C247" s="970"/>
      <c r="D247" s="973"/>
      <c r="E247" s="973"/>
      <c r="F247" s="973"/>
      <c r="G247" s="973"/>
      <c r="H247" s="973"/>
      <c r="I247" s="976"/>
      <c r="J247" s="977"/>
      <c r="K247" s="965">
        <v>228</v>
      </c>
      <c r="L247" s="965"/>
      <c r="M247" s="978"/>
      <c r="N247" s="965">
        <v>228</v>
      </c>
      <c r="O247" s="159"/>
      <c r="P247" s="159"/>
      <c r="Q247" s="159"/>
      <c r="R247" s="159"/>
      <c r="S247" s="159"/>
      <c r="Y247" s="1975" t="str">
        <f t="shared" si="7"/>
        <v/>
      </c>
    </row>
    <row r="248" spans="1:25">
      <c r="A248" s="1983" t="str">
        <f t="shared" si="6"/>
        <v/>
      </c>
      <c r="B248" s="741">
        <f>Gases!A254</f>
        <v>229</v>
      </c>
      <c r="C248" s="970"/>
      <c r="D248" s="973"/>
      <c r="E248" s="973"/>
      <c r="F248" s="973"/>
      <c r="G248" s="973"/>
      <c r="H248" s="973"/>
      <c r="I248" s="976"/>
      <c r="J248" s="977"/>
      <c r="K248" s="965">
        <v>229</v>
      </c>
      <c r="L248" s="965"/>
      <c r="M248" s="978"/>
      <c r="N248" s="965">
        <v>229</v>
      </c>
      <c r="O248" s="159"/>
      <c r="P248" s="159"/>
      <c r="Q248" s="159"/>
      <c r="R248" s="159"/>
      <c r="S248" s="159"/>
      <c r="Y248" s="1975" t="str">
        <f t="shared" si="7"/>
        <v/>
      </c>
    </row>
    <row r="249" spans="1:25">
      <c r="A249" s="1983" t="str">
        <f t="shared" si="6"/>
        <v/>
      </c>
      <c r="B249" s="741">
        <f>Gases!A255</f>
        <v>230</v>
      </c>
      <c r="C249" s="970"/>
      <c r="D249" s="973"/>
      <c r="E249" s="973"/>
      <c r="F249" s="973"/>
      <c r="G249" s="973"/>
      <c r="H249" s="973"/>
      <c r="I249" s="976"/>
      <c r="J249" s="977"/>
      <c r="K249" s="965">
        <v>230</v>
      </c>
      <c r="L249" s="965"/>
      <c r="M249" s="978"/>
      <c r="N249" s="965">
        <v>230</v>
      </c>
      <c r="O249" s="159"/>
      <c r="P249" s="159"/>
      <c r="Q249" s="159"/>
      <c r="R249" s="159"/>
      <c r="S249" s="159"/>
      <c r="Y249" s="1975" t="str">
        <f t="shared" si="7"/>
        <v/>
      </c>
    </row>
    <row r="250" spans="1:25">
      <c r="A250" s="1983" t="str">
        <f t="shared" si="6"/>
        <v/>
      </c>
      <c r="B250" s="741">
        <f>Gases!A256</f>
        <v>231</v>
      </c>
      <c r="C250" s="970"/>
      <c r="D250" s="973"/>
      <c r="E250" s="973"/>
      <c r="F250" s="973"/>
      <c r="G250" s="973"/>
      <c r="H250" s="973"/>
      <c r="I250" s="976"/>
      <c r="J250" s="977"/>
      <c r="K250" s="965">
        <v>231</v>
      </c>
      <c r="L250" s="965"/>
      <c r="M250" s="978"/>
      <c r="N250" s="965">
        <v>231</v>
      </c>
      <c r="O250" s="159"/>
      <c r="P250" s="159"/>
      <c r="Q250" s="159"/>
      <c r="R250" s="159"/>
      <c r="S250" s="159"/>
      <c r="Y250" s="1975" t="str">
        <f t="shared" si="7"/>
        <v/>
      </c>
    </row>
    <row r="251" spans="1:25">
      <c r="A251" s="1983" t="str">
        <f t="shared" si="6"/>
        <v/>
      </c>
      <c r="B251" s="741">
        <f>Gases!A257</f>
        <v>232</v>
      </c>
      <c r="C251" s="970"/>
      <c r="D251" s="973"/>
      <c r="E251" s="973"/>
      <c r="F251" s="973"/>
      <c r="G251" s="973"/>
      <c r="H251" s="973"/>
      <c r="I251" s="976"/>
      <c r="J251" s="977"/>
      <c r="K251" s="965">
        <v>232</v>
      </c>
      <c r="L251" s="965"/>
      <c r="M251" s="978"/>
      <c r="N251" s="965">
        <v>232</v>
      </c>
      <c r="O251" s="159"/>
      <c r="P251" s="159"/>
      <c r="Q251" s="159"/>
      <c r="R251" s="159"/>
      <c r="S251" s="159"/>
      <c r="Y251" s="1975" t="str">
        <f t="shared" si="7"/>
        <v/>
      </c>
    </row>
    <row r="252" spans="1:25">
      <c r="A252" s="1983" t="str">
        <f t="shared" si="6"/>
        <v/>
      </c>
      <c r="B252" s="741">
        <f>Gases!A258</f>
        <v>233</v>
      </c>
      <c r="C252" s="970"/>
      <c r="D252" s="973"/>
      <c r="E252" s="973"/>
      <c r="F252" s="973"/>
      <c r="G252" s="973"/>
      <c r="H252" s="973"/>
      <c r="I252" s="976"/>
      <c r="J252" s="977"/>
      <c r="K252" s="965">
        <v>233</v>
      </c>
      <c r="L252" s="965"/>
      <c r="M252" s="978"/>
      <c r="N252" s="965">
        <v>233</v>
      </c>
      <c r="O252" s="159"/>
      <c r="P252" s="159"/>
      <c r="Q252" s="159"/>
      <c r="R252" s="159"/>
      <c r="S252" s="159"/>
      <c r="Y252" s="1975" t="str">
        <f t="shared" si="7"/>
        <v/>
      </c>
    </row>
    <row r="253" spans="1:25">
      <c r="A253" s="1983" t="str">
        <f t="shared" si="6"/>
        <v/>
      </c>
      <c r="B253" s="741">
        <f>Gases!A259</f>
        <v>234</v>
      </c>
      <c r="C253" s="970"/>
      <c r="D253" s="973"/>
      <c r="E253" s="973"/>
      <c r="F253" s="973"/>
      <c r="G253" s="973"/>
      <c r="H253" s="973"/>
      <c r="I253" s="976"/>
      <c r="J253" s="977"/>
      <c r="K253" s="965">
        <v>234</v>
      </c>
      <c r="L253" s="965"/>
      <c r="M253" s="978"/>
      <c r="N253" s="965">
        <v>234</v>
      </c>
      <c r="O253" s="159"/>
      <c r="P253" s="159"/>
      <c r="Q253" s="159"/>
      <c r="R253" s="159"/>
      <c r="S253" s="159"/>
      <c r="Y253" s="1975" t="str">
        <f t="shared" si="7"/>
        <v/>
      </c>
    </row>
    <row r="254" spans="1:25">
      <c r="A254" s="1983" t="str">
        <f t="shared" si="6"/>
        <v/>
      </c>
      <c r="B254" s="741">
        <f>Gases!A260</f>
        <v>235</v>
      </c>
      <c r="C254" s="970"/>
      <c r="D254" s="973"/>
      <c r="E254" s="973"/>
      <c r="F254" s="973"/>
      <c r="G254" s="973"/>
      <c r="H254" s="973"/>
      <c r="I254" s="976"/>
      <c r="J254" s="977"/>
      <c r="K254" s="965">
        <v>235</v>
      </c>
      <c r="L254" s="965"/>
      <c r="M254" s="978"/>
      <c r="N254" s="965">
        <v>235</v>
      </c>
      <c r="O254" s="159"/>
      <c r="P254" s="159"/>
      <c r="Q254" s="159"/>
      <c r="R254" s="159"/>
      <c r="S254" s="159"/>
      <c r="Y254" s="1975" t="str">
        <f t="shared" si="7"/>
        <v/>
      </c>
    </row>
    <row r="255" spans="1:25">
      <c r="A255" s="1983" t="str">
        <f t="shared" si="6"/>
        <v/>
      </c>
      <c r="B255" s="741">
        <f>Gases!A261</f>
        <v>236</v>
      </c>
      <c r="C255" s="970"/>
      <c r="D255" s="973"/>
      <c r="E255" s="973"/>
      <c r="F255" s="973"/>
      <c r="G255" s="973"/>
      <c r="H255" s="973"/>
      <c r="I255" s="976"/>
      <c r="J255" s="977"/>
      <c r="K255" s="965">
        <v>236</v>
      </c>
      <c r="L255" s="965"/>
      <c r="M255" s="978"/>
      <c r="N255" s="965">
        <v>236</v>
      </c>
      <c r="O255" s="159"/>
      <c r="P255" s="159"/>
      <c r="Q255" s="159"/>
      <c r="R255" s="159"/>
      <c r="S255" s="159"/>
      <c r="Y255" s="1975" t="str">
        <f t="shared" si="7"/>
        <v/>
      </c>
    </row>
    <row r="256" spans="1:25">
      <c r="A256" s="1983" t="str">
        <f t="shared" si="6"/>
        <v/>
      </c>
      <c r="B256" s="741">
        <f>Gases!A262</f>
        <v>237</v>
      </c>
      <c r="C256" s="970"/>
      <c r="D256" s="973"/>
      <c r="E256" s="973"/>
      <c r="F256" s="973"/>
      <c r="G256" s="973"/>
      <c r="H256" s="973"/>
      <c r="I256" s="976"/>
      <c r="J256" s="977"/>
      <c r="K256" s="965">
        <v>237</v>
      </c>
      <c r="L256" s="965"/>
      <c r="M256" s="978"/>
      <c r="N256" s="965">
        <v>237</v>
      </c>
      <c r="O256" s="159"/>
      <c r="P256" s="159"/>
      <c r="Q256" s="159"/>
      <c r="R256" s="159"/>
      <c r="S256" s="159"/>
      <c r="Y256" s="1975" t="str">
        <f t="shared" si="7"/>
        <v/>
      </c>
    </row>
    <row r="257" spans="1:25">
      <c r="A257" s="1983" t="str">
        <f t="shared" si="6"/>
        <v/>
      </c>
      <c r="B257" s="741">
        <f>Gases!A263</f>
        <v>238</v>
      </c>
      <c r="C257" s="970"/>
      <c r="D257" s="973"/>
      <c r="E257" s="973"/>
      <c r="F257" s="973"/>
      <c r="G257" s="973"/>
      <c r="H257" s="973"/>
      <c r="I257" s="976"/>
      <c r="J257" s="977"/>
      <c r="K257" s="965">
        <v>238</v>
      </c>
      <c r="L257" s="965"/>
      <c r="M257" s="978"/>
      <c r="N257" s="965">
        <v>238</v>
      </c>
      <c r="O257" s="159"/>
      <c r="P257" s="159"/>
      <c r="Q257" s="159"/>
      <c r="R257" s="159"/>
      <c r="S257" s="159"/>
      <c r="Y257" s="1975" t="str">
        <f t="shared" si="7"/>
        <v/>
      </c>
    </row>
    <row r="258" spans="1:25">
      <c r="A258" s="1983" t="str">
        <f t="shared" si="6"/>
        <v/>
      </c>
      <c r="B258" s="741">
        <f>Gases!A264</f>
        <v>239</v>
      </c>
      <c r="C258" s="970"/>
      <c r="D258" s="973"/>
      <c r="E258" s="973"/>
      <c r="F258" s="973"/>
      <c r="G258" s="973"/>
      <c r="H258" s="973"/>
      <c r="I258" s="976"/>
      <c r="J258" s="977"/>
      <c r="K258" s="965">
        <v>239</v>
      </c>
      <c r="L258" s="965"/>
      <c r="M258" s="978"/>
      <c r="N258" s="965">
        <v>239</v>
      </c>
      <c r="O258" s="159"/>
      <c r="P258" s="159"/>
      <c r="Q258" s="159"/>
      <c r="R258" s="159"/>
      <c r="S258" s="159"/>
      <c r="Y258" s="1975" t="str">
        <f t="shared" si="7"/>
        <v/>
      </c>
    </row>
    <row r="259" spans="1:25">
      <c r="A259" s="1983" t="str">
        <f t="shared" si="6"/>
        <v/>
      </c>
      <c r="B259" s="741">
        <f>Gases!A265</f>
        <v>240</v>
      </c>
      <c r="C259" s="970"/>
      <c r="D259" s="973"/>
      <c r="E259" s="973"/>
      <c r="F259" s="973"/>
      <c r="G259" s="973"/>
      <c r="H259" s="973"/>
      <c r="I259" s="976"/>
      <c r="J259" s="977"/>
      <c r="K259" s="965">
        <v>240</v>
      </c>
      <c r="L259" s="965"/>
      <c r="M259" s="978"/>
      <c r="N259" s="965">
        <v>240</v>
      </c>
      <c r="O259" s="159"/>
      <c r="P259" s="159"/>
      <c r="Q259" s="159"/>
      <c r="R259" s="159"/>
      <c r="S259" s="159"/>
      <c r="Y259" s="1975" t="str">
        <f t="shared" si="7"/>
        <v/>
      </c>
    </row>
    <row r="260" spans="1:25">
      <c r="A260" s="1983" t="str">
        <f t="shared" si="6"/>
        <v/>
      </c>
      <c r="B260" s="741">
        <f>Gases!A266</f>
        <v>241</v>
      </c>
      <c r="C260" s="970"/>
      <c r="D260" s="973"/>
      <c r="E260" s="973"/>
      <c r="F260" s="973"/>
      <c r="G260" s="973"/>
      <c r="H260" s="973"/>
      <c r="I260" s="976"/>
      <c r="J260" s="977"/>
      <c r="K260" s="965">
        <v>241</v>
      </c>
      <c r="L260" s="965"/>
      <c r="M260" s="978"/>
      <c r="N260" s="965">
        <v>241</v>
      </c>
      <c r="O260" s="159"/>
      <c r="P260" s="159"/>
      <c r="Q260" s="159"/>
      <c r="R260" s="159"/>
      <c r="S260" s="159"/>
      <c r="Y260" s="1975" t="str">
        <f t="shared" si="7"/>
        <v/>
      </c>
    </row>
    <row r="261" spans="1:25">
      <c r="A261" s="1983" t="str">
        <f t="shared" si="6"/>
        <v/>
      </c>
      <c r="B261" s="741">
        <f>Gases!A267</f>
        <v>242</v>
      </c>
      <c r="C261" s="970"/>
      <c r="D261" s="973"/>
      <c r="E261" s="973"/>
      <c r="F261" s="973"/>
      <c r="G261" s="973"/>
      <c r="H261" s="973"/>
      <c r="I261" s="976"/>
      <c r="J261" s="977"/>
      <c r="K261" s="965">
        <v>242</v>
      </c>
      <c r="L261" s="965"/>
      <c r="M261" s="978"/>
      <c r="N261" s="965">
        <v>242</v>
      </c>
      <c r="O261" s="159"/>
      <c r="P261" s="159"/>
      <c r="Q261" s="159"/>
      <c r="R261" s="159"/>
      <c r="S261" s="159"/>
      <c r="Y261" s="1975" t="str">
        <f t="shared" si="7"/>
        <v/>
      </c>
    </row>
    <row r="262" spans="1:25">
      <c r="A262" s="1983" t="str">
        <f t="shared" si="6"/>
        <v/>
      </c>
      <c r="B262" s="741">
        <f>Gases!A268</f>
        <v>243</v>
      </c>
      <c r="C262" s="970"/>
      <c r="D262" s="973"/>
      <c r="E262" s="973"/>
      <c r="F262" s="973"/>
      <c r="G262" s="973"/>
      <c r="H262" s="973"/>
      <c r="I262" s="976"/>
      <c r="J262" s="977"/>
      <c r="K262" s="965">
        <v>243</v>
      </c>
      <c r="L262" s="965"/>
      <c r="M262" s="978"/>
      <c r="N262" s="965">
        <v>243</v>
      </c>
      <c r="O262" s="159"/>
      <c r="P262" s="159"/>
      <c r="Q262" s="159"/>
      <c r="R262" s="159"/>
      <c r="S262" s="159"/>
      <c r="Y262" s="1975" t="str">
        <f t="shared" si="7"/>
        <v/>
      </c>
    </row>
    <row r="263" spans="1:25">
      <c r="A263" s="1983" t="str">
        <f t="shared" si="6"/>
        <v/>
      </c>
      <c r="B263" s="741">
        <f>Gases!A269</f>
        <v>244</v>
      </c>
      <c r="C263" s="970"/>
      <c r="D263" s="973"/>
      <c r="E263" s="973"/>
      <c r="F263" s="973"/>
      <c r="G263" s="973"/>
      <c r="H263" s="973"/>
      <c r="I263" s="976"/>
      <c r="J263" s="977"/>
      <c r="K263" s="965">
        <v>244</v>
      </c>
      <c r="L263" s="965"/>
      <c r="M263" s="978"/>
      <c r="N263" s="965">
        <v>244</v>
      </c>
      <c r="O263" s="159"/>
      <c r="P263" s="159"/>
      <c r="Q263" s="159"/>
      <c r="R263" s="159"/>
      <c r="S263" s="159"/>
      <c r="Y263" s="1975" t="str">
        <f t="shared" si="7"/>
        <v/>
      </c>
    </row>
    <row r="264" spans="1:25">
      <c r="A264" s="1983" t="str">
        <f t="shared" si="6"/>
        <v/>
      </c>
      <c r="B264" s="741">
        <f>Gases!A270</f>
        <v>245</v>
      </c>
      <c r="C264" s="970"/>
      <c r="D264" s="973"/>
      <c r="E264" s="973"/>
      <c r="F264" s="973"/>
      <c r="G264" s="973"/>
      <c r="H264" s="973"/>
      <c r="I264" s="976"/>
      <c r="J264" s="977"/>
      <c r="K264" s="965">
        <v>245</v>
      </c>
      <c r="L264" s="965"/>
      <c r="M264" s="978"/>
      <c r="N264" s="965">
        <v>245</v>
      </c>
      <c r="O264" s="159"/>
      <c r="P264" s="159"/>
      <c r="Q264" s="159"/>
      <c r="R264" s="159"/>
      <c r="S264" s="159"/>
      <c r="Y264" s="1975" t="str">
        <f t="shared" si="7"/>
        <v/>
      </c>
    </row>
    <row r="265" spans="1:25">
      <c r="A265" s="1983" t="str">
        <f t="shared" si="6"/>
        <v/>
      </c>
      <c r="B265" s="741">
        <f>Gases!A271</f>
        <v>246</v>
      </c>
      <c r="C265" s="970"/>
      <c r="D265" s="973"/>
      <c r="E265" s="973"/>
      <c r="F265" s="973"/>
      <c r="G265" s="973"/>
      <c r="H265" s="973"/>
      <c r="I265" s="976"/>
      <c r="J265" s="977"/>
      <c r="K265" s="965">
        <v>246</v>
      </c>
      <c r="L265" s="965"/>
      <c r="M265" s="978"/>
      <c r="N265" s="965">
        <v>246</v>
      </c>
      <c r="O265" s="159"/>
      <c r="P265" s="159"/>
      <c r="Q265" s="159"/>
      <c r="R265" s="159"/>
      <c r="S265" s="159"/>
      <c r="Y265" s="1975" t="str">
        <f t="shared" si="7"/>
        <v/>
      </c>
    </row>
    <row r="266" spans="1:25">
      <c r="A266" s="1983" t="str">
        <f t="shared" si="6"/>
        <v/>
      </c>
      <c r="B266" s="741">
        <f>Gases!A272</f>
        <v>247</v>
      </c>
      <c r="C266" s="970"/>
      <c r="D266" s="973"/>
      <c r="E266" s="973"/>
      <c r="F266" s="973"/>
      <c r="G266" s="973"/>
      <c r="H266" s="973"/>
      <c r="I266" s="976"/>
      <c r="J266" s="977"/>
      <c r="K266" s="965">
        <v>247</v>
      </c>
      <c r="L266" s="965"/>
      <c r="M266" s="978"/>
      <c r="N266" s="965">
        <v>247</v>
      </c>
      <c r="O266" s="159"/>
      <c r="P266" s="159"/>
      <c r="Q266" s="159"/>
      <c r="R266" s="159"/>
      <c r="S266" s="159"/>
      <c r="Y266" s="1975" t="str">
        <f t="shared" si="7"/>
        <v/>
      </c>
    </row>
    <row r="267" spans="1:25">
      <c r="A267" s="1983" t="str">
        <f t="shared" si="6"/>
        <v/>
      </c>
      <c r="B267" s="741">
        <f>Gases!A273</f>
        <v>248</v>
      </c>
      <c r="C267" s="970"/>
      <c r="D267" s="973"/>
      <c r="E267" s="973"/>
      <c r="F267" s="973"/>
      <c r="G267" s="973"/>
      <c r="H267" s="973"/>
      <c r="I267" s="976"/>
      <c r="J267" s="977"/>
      <c r="K267" s="965">
        <v>248</v>
      </c>
      <c r="L267" s="965"/>
      <c r="M267" s="978"/>
      <c r="N267" s="965">
        <v>248</v>
      </c>
      <c r="O267" s="159"/>
      <c r="P267" s="159"/>
      <c r="Q267" s="159"/>
      <c r="R267" s="159"/>
      <c r="S267" s="159"/>
      <c r="Y267" s="1975" t="str">
        <f t="shared" si="7"/>
        <v/>
      </c>
    </row>
    <row r="268" spans="1:25">
      <c r="A268" s="1983" t="str">
        <f t="shared" si="6"/>
        <v/>
      </c>
      <c r="B268" s="741">
        <f>Gases!A274</f>
        <v>249</v>
      </c>
      <c r="C268" s="970"/>
      <c r="D268" s="973"/>
      <c r="E268" s="973"/>
      <c r="F268" s="973"/>
      <c r="G268" s="973"/>
      <c r="H268" s="973"/>
      <c r="I268" s="976"/>
      <c r="J268" s="977"/>
      <c r="K268" s="965">
        <v>249</v>
      </c>
      <c r="L268" s="965"/>
      <c r="M268" s="978"/>
      <c r="N268" s="965">
        <v>249</v>
      </c>
      <c r="O268" s="159"/>
      <c r="P268" s="159"/>
      <c r="Q268" s="159"/>
      <c r="R268" s="159"/>
      <c r="S268" s="159"/>
      <c r="Y268" s="1975" t="str">
        <f t="shared" si="7"/>
        <v/>
      </c>
    </row>
    <row r="269" spans="1:25">
      <c r="A269" s="1983" t="str">
        <f t="shared" si="6"/>
        <v/>
      </c>
      <c r="B269" s="741">
        <f>Gases!A275</f>
        <v>250</v>
      </c>
      <c r="C269" s="970"/>
      <c r="D269" s="973"/>
      <c r="E269" s="973"/>
      <c r="F269" s="973"/>
      <c r="G269" s="973"/>
      <c r="H269" s="973"/>
      <c r="I269" s="976"/>
      <c r="J269" s="977"/>
      <c r="K269" s="965">
        <v>250</v>
      </c>
      <c r="L269" s="965"/>
      <c r="M269" s="978"/>
      <c r="N269" s="965">
        <v>250</v>
      </c>
      <c r="O269" s="159"/>
      <c r="P269" s="159"/>
      <c r="Q269" s="159"/>
      <c r="R269" s="159"/>
      <c r="S269" s="159"/>
      <c r="Y269" s="1975" t="str">
        <f t="shared" si="7"/>
        <v/>
      </c>
    </row>
    <row r="270" spans="1:25">
      <c r="A270" s="1983" t="str">
        <f t="shared" si="6"/>
        <v/>
      </c>
      <c r="B270" s="741">
        <f>Gases!A276</f>
        <v>251</v>
      </c>
      <c r="C270" s="970"/>
      <c r="D270" s="973"/>
      <c r="E270" s="973"/>
      <c r="F270" s="973"/>
      <c r="G270" s="973"/>
      <c r="H270" s="973"/>
      <c r="I270" s="976"/>
      <c r="J270" s="977"/>
      <c r="K270" s="965">
        <v>251</v>
      </c>
      <c r="L270" s="965"/>
      <c r="M270" s="978"/>
      <c r="N270" s="965">
        <v>251</v>
      </c>
      <c r="O270" s="159"/>
      <c r="P270" s="159"/>
      <c r="Q270" s="159"/>
      <c r="R270" s="159"/>
      <c r="S270" s="159"/>
      <c r="Y270" s="1975" t="str">
        <f t="shared" si="7"/>
        <v/>
      </c>
    </row>
    <row r="271" spans="1:25">
      <c r="A271" s="1983" t="str">
        <f t="shared" si="6"/>
        <v/>
      </c>
      <c r="B271" s="741">
        <f>Gases!A277</f>
        <v>252</v>
      </c>
      <c r="C271" s="970"/>
      <c r="D271" s="973"/>
      <c r="E271" s="973"/>
      <c r="F271" s="973"/>
      <c r="G271" s="973"/>
      <c r="H271" s="973"/>
      <c r="I271" s="976"/>
      <c r="J271" s="977"/>
      <c r="K271" s="965">
        <v>252</v>
      </c>
      <c r="L271" s="965"/>
      <c r="M271" s="978"/>
      <c r="N271" s="965">
        <v>252</v>
      </c>
      <c r="O271" s="159"/>
      <c r="P271" s="159"/>
      <c r="Q271" s="159"/>
      <c r="R271" s="159"/>
      <c r="S271" s="159"/>
      <c r="Y271" s="1975" t="str">
        <f t="shared" si="7"/>
        <v/>
      </c>
    </row>
    <row r="272" spans="1:25">
      <c r="A272" s="1983" t="str">
        <f t="shared" si="6"/>
        <v/>
      </c>
      <c r="B272" s="741">
        <f>Gases!A278</f>
        <v>253</v>
      </c>
      <c r="C272" s="970"/>
      <c r="D272" s="973"/>
      <c r="E272" s="973"/>
      <c r="F272" s="973"/>
      <c r="G272" s="973"/>
      <c r="H272" s="973"/>
      <c r="I272" s="976"/>
      <c r="J272" s="977"/>
      <c r="K272" s="965">
        <v>253</v>
      </c>
      <c r="L272" s="965"/>
      <c r="M272" s="978"/>
      <c r="N272" s="965">
        <v>253</v>
      </c>
      <c r="O272" s="159"/>
      <c r="P272" s="159"/>
      <c r="Q272" s="159"/>
      <c r="R272" s="159"/>
      <c r="S272" s="159"/>
      <c r="Y272" s="1975" t="str">
        <f t="shared" si="7"/>
        <v/>
      </c>
    </row>
    <row r="273" spans="1:25">
      <c r="A273" s="1983" t="str">
        <f t="shared" si="6"/>
        <v/>
      </c>
      <c r="B273" s="741">
        <f>Gases!A279</f>
        <v>254</v>
      </c>
      <c r="C273" s="970"/>
      <c r="D273" s="973"/>
      <c r="E273" s="973"/>
      <c r="F273" s="973"/>
      <c r="G273" s="973"/>
      <c r="H273" s="973"/>
      <c r="I273" s="976"/>
      <c r="J273" s="977"/>
      <c r="K273" s="965">
        <v>254</v>
      </c>
      <c r="L273" s="965"/>
      <c r="M273" s="978"/>
      <c r="N273" s="965">
        <v>254</v>
      </c>
      <c r="O273" s="159"/>
      <c r="P273" s="159"/>
      <c r="Q273" s="159"/>
      <c r="R273" s="159"/>
      <c r="S273" s="159"/>
      <c r="Y273" s="1975" t="str">
        <f t="shared" si="7"/>
        <v/>
      </c>
    </row>
    <row r="274" spans="1:25">
      <c r="A274" s="1983" t="str">
        <f t="shared" si="6"/>
        <v/>
      </c>
      <c r="B274" s="741">
        <f>Gases!A280</f>
        <v>255</v>
      </c>
      <c r="C274" s="970"/>
      <c r="D274" s="973"/>
      <c r="E274" s="973"/>
      <c r="F274" s="973"/>
      <c r="G274" s="973"/>
      <c r="H274" s="973"/>
      <c r="I274" s="976"/>
      <c r="J274" s="977"/>
      <c r="K274" s="965">
        <v>255</v>
      </c>
      <c r="L274" s="965"/>
      <c r="M274" s="978"/>
      <c r="N274" s="965">
        <v>255</v>
      </c>
      <c r="O274" s="159"/>
      <c r="P274" s="159"/>
      <c r="Q274" s="159"/>
      <c r="R274" s="159"/>
      <c r="S274" s="159"/>
      <c r="Y274" s="1975" t="str">
        <f t="shared" si="7"/>
        <v/>
      </c>
    </row>
    <row r="275" spans="1:25">
      <c r="A275" s="1983" t="str">
        <f t="shared" si="6"/>
        <v/>
      </c>
      <c r="B275" s="741">
        <f>Gases!A281</f>
        <v>256</v>
      </c>
      <c r="C275" s="970"/>
      <c r="D275" s="973"/>
      <c r="E275" s="973"/>
      <c r="F275" s="973"/>
      <c r="G275" s="973"/>
      <c r="H275" s="973"/>
      <c r="I275" s="976"/>
      <c r="J275" s="977"/>
      <c r="K275" s="965">
        <v>256</v>
      </c>
      <c r="L275" s="965"/>
      <c r="M275" s="978"/>
      <c r="N275" s="965">
        <v>256</v>
      </c>
      <c r="O275" s="159"/>
      <c r="P275" s="159"/>
      <c r="Q275" s="159"/>
      <c r="R275" s="159"/>
      <c r="S275" s="159"/>
      <c r="Y275" s="1975" t="str">
        <f t="shared" si="7"/>
        <v/>
      </c>
    </row>
    <row r="276" spans="1:25">
      <c r="A276" s="1983" t="str">
        <f t="shared" ref="A276:A339" si="8">IF(AND(C276="",Q275=""),"",IF(GasAnalyser="MRU",Q275,C276))</f>
        <v/>
      </c>
      <c r="B276" s="741">
        <f>Gases!A282</f>
        <v>257</v>
      </c>
      <c r="C276" s="970"/>
      <c r="D276" s="973"/>
      <c r="E276" s="973"/>
      <c r="F276" s="973"/>
      <c r="G276" s="973"/>
      <c r="H276" s="973"/>
      <c r="I276" s="976"/>
      <c r="J276" s="977"/>
      <c r="K276" s="965">
        <v>257</v>
      </c>
      <c r="L276" s="965"/>
      <c r="M276" s="978"/>
      <c r="N276" s="965">
        <v>257</v>
      </c>
      <c r="O276" s="159"/>
      <c r="P276" s="159"/>
      <c r="Q276" s="159"/>
      <c r="R276" s="159"/>
      <c r="S276" s="159"/>
      <c r="Y276" s="1975" t="str">
        <f t="shared" si="7"/>
        <v/>
      </c>
    </row>
    <row r="277" spans="1:25">
      <c r="A277" s="1983" t="str">
        <f t="shared" si="8"/>
        <v/>
      </c>
      <c r="B277" s="741">
        <f>Gases!A283</f>
        <v>258</v>
      </c>
      <c r="C277" s="970"/>
      <c r="D277" s="973"/>
      <c r="E277" s="973"/>
      <c r="F277" s="973"/>
      <c r="G277" s="973"/>
      <c r="H277" s="973"/>
      <c r="I277" s="976"/>
      <c r="J277" s="977"/>
      <c r="K277" s="965">
        <v>258</v>
      </c>
      <c r="L277" s="965"/>
      <c r="M277" s="978"/>
      <c r="N277" s="965">
        <v>258</v>
      </c>
      <c r="O277" s="159"/>
      <c r="P277" s="159"/>
      <c r="Q277" s="159"/>
      <c r="R277" s="159"/>
      <c r="S277" s="159"/>
      <c r="Y277" s="1975" t="str">
        <f t="shared" si="7"/>
        <v/>
      </c>
    </row>
    <row r="278" spans="1:25">
      <c r="A278" s="1983" t="str">
        <f t="shared" si="8"/>
        <v/>
      </c>
      <c r="B278" s="741">
        <f>Gases!A284</f>
        <v>259</v>
      </c>
      <c r="C278" s="970"/>
      <c r="D278" s="973"/>
      <c r="E278" s="973"/>
      <c r="F278" s="973"/>
      <c r="G278" s="973"/>
      <c r="H278" s="973"/>
      <c r="I278" s="976"/>
      <c r="J278" s="977"/>
      <c r="K278" s="965">
        <v>259</v>
      </c>
      <c r="L278" s="965"/>
      <c r="M278" s="978"/>
      <c r="N278" s="965">
        <v>259</v>
      </c>
      <c r="O278" s="159"/>
      <c r="P278" s="159"/>
      <c r="Q278" s="159"/>
      <c r="R278" s="159"/>
      <c r="S278" s="159"/>
      <c r="Y278" s="1975" t="str">
        <f t="shared" ref="Y278:Y341" si="9">IF(U278="","",SUM(U278:V278))</f>
        <v/>
      </c>
    </row>
    <row r="279" spans="1:25">
      <c r="A279" s="1983" t="str">
        <f t="shared" si="8"/>
        <v/>
      </c>
      <c r="B279" s="741">
        <f>Gases!A285</f>
        <v>260</v>
      </c>
      <c r="C279" s="970"/>
      <c r="D279" s="973"/>
      <c r="E279" s="973"/>
      <c r="F279" s="973"/>
      <c r="G279" s="973"/>
      <c r="H279" s="973"/>
      <c r="I279" s="976"/>
      <c r="J279" s="977"/>
      <c r="K279" s="965">
        <v>260</v>
      </c>
      <c r="L279" s="965"/>
      <c r="M279" s="978"/>
      <c r="N279" s="965">
        <v>260</v>
      </c>
      <c r="O279" s="159"/>
      <c r="P279" s="159"/>
      <c r="Q279" s="159"/>
      <c r="R279" s="159"/>
      <c r="S279" s="159"/>
      <c r="Y279" s="1975" t="str">
        <f t="shared" si="9"/>
        <v/>
      </c>
    </row>
    <row r="280" spans="1:25">
      <c r="A280" s="1983" t="str">
        <f t="shared" si="8"/>
        <v/>
      </c>
      <c r="B280" s="741">
        <f>Gases!A286</f>
        <v>261</v>
      </c>
      <c r="C280" s="970"/>
      <c r="D280" s="973"/>
      <c r="E280" s="973"/>
      <c r="F280" s="973"/>
      <c r="G280" s="973"/>
      <c r="H280" s="973"/>
      <c r="I280" s="976"/>
      <c r="J280" s="977"/>
      <c r="K280" s="965">
        <v>261</v>
      </c>
      <c r="L280" s="965"/>
      <c r="M280" s="978"/>
      <c r="N280" s="965">
        <v>261</v>
      </c>
      <c r="O280" s="159"/>
      <c r="P280" s="159"/>
      <c r="Q280" s="159"/>
      <c r="R280" s="159"/>
      <c r="S280" s="159"/>
      <c r="Y280" s="1975" t="str">
        <f t="shared" si="9"/>
        <v/>
      </c>
    </row>
    <row r="281" spans="1:25">
      <c r="A281" s="1983" t="str">
        <f t="shared" si="8"/>
        <v/>
      </c>
      <c r="B281" s="741">
        <f>Gases!A287</f>
        <v>262</v>
      </c>
      <c r="C281" s="970"/>
      <c r="D281" s="973"/>
      <c r="E281" s="973"/>
      <c r="F281" s="973"/>
      <c r="G281" s="973"/>
      <c r="H281" s="973"/>
      <c r="I281" s="976"/>
      <c r="J281" s="977"/>
      <c r="K281" s="965">
        <v>262</v>
      </c>
      <c r="L281" s="965"/>
      <c r="M281" s="978"/>
      <c r="N281" s="965">
        <v>262</v>
      </c>
      <c r="O281" s="159"/>
      <c r="P281" s="159"/>
      <c r="Q281" s="159"/>
      <c r="R281" s="159"/>
      <c r="S281" s="159"/>
      <c r="Y281" s="1975" t="str">
        <f t="shared" si="9"/>
        <v/>
      </c>
    </row>
    <row r="282" spans="1:25">
      <c r="A282" s="1983" t="str">
        <f t="shared" si="8"/>
        <v/>
      </c>
      <c r="B282" s="741">
        <f>Gases!A288</f>
        <v>263</v>
      </c>
      <c r="C282" s="970"/>
      <c r="D282" s="973"/>
      <c r="E282" s="973"/>
      <c r="F282" s="973"/>
      <c r="G282" s="973"/>
      <c r="H282" s="973"/>
      <c r="I282" s="976"/>
      <c r="J282" s="977"/>
      <c r="K282" s="965">
        <v>263</v>
      </c>
      <c r="L282" s="965"/>
      <c r="M282" s="978"/>
      <c r="N282" s="965">
        <v>263</v>
      </c>
      <c r="O282" s="159"/>
      <c r="P282" s="159"/>
      <c r="Q282" s="159"/>
      <c r="R282" s="159"/>
      <c r="S282" s="159"/>
      <c r="Y282" s="1975" t="str">
        <f t="shared" si="9"/>
        <v/>
      </c>
    </row>
    <row r="283" spans="1:25">
      <c r="A283" s="1983" t="str">
        <f t="shared" si="8"/>
        <v/>
      </c>
      <c r="B283" s="741">
        <f>Gases!A289</f>
        <v>264</v>
      </c>
      <c r="C283" s="970"/>
      <c r="D283" s="973"/>
      <c r="E283" s="973"/>
      <c r="F283" s="973"/>
      <c r="G283" s="973"/>
      <c r="H283" s="973"/>
      <c r="I283" s="976"/>
      <c r="J283" s="977"/>
      <c r="K283" s="965">
        <v>264</v>
      </c>
      <c r="L283" s="965"/>
      <c r="M283" s="978"/>
      <c r="N283" s="965">
        <v>264</v>
      </c>
      <c r="O283" s="159"/>
      <c r="P283" s="159"/>
      <c r="Q283" s="159"/>
      <c r="R283" s="159"/>
      <c r="S283" s="159"/>
      <c r="Y283" s="1975" t="str">
        <f t="shared" si="9"/>
        <v/>
      </c>
    </row>
    <row r="284" spans="1:25">
      <c r="A284" s="1983" t="str">
        <f t="shared" si="8"/>
        <v/>
      </c>
      <c r="B284" s="741">
        <f>Gases!A290</f>
        <v>265</v>
      </c>
      <c r="C284" s="970"/>
      <c r="D284" s="973"/>
      <c r="E284" s="973"/>
      <c r="F284" s="973"/>
      <c r="G284" s="973"/>
      <c r="H284" s="973"/>
      <c r="I284" s="976"/>
      <c r="J284" s="977"/>
      <c r="K284" s="965">
        <v>265</v>
      </c>
      <c r="L284" s="965"/>
      <c r="M284" s="978"/>
      <c r="N284" s="965">
        <v>265</v>
      </c>
      <c r="O284" s="159"/>
      <c r="P284" s="159"/>
      <c r="Q284" s="159"/>
      <c r="R284" s="159"/>
      <c r="S284" s="159"/>
      <c r="Y284" s="1975" t="str">
        <f t="shared" si="9"/>
        <v/>
      </c>
    </row>
    <row r="285" spans="1:25">
      <c r="A285" s="1983" t="str">
        <f t="shared" si="8"/>
        <v/>
      </c>
      <c r="B285" s="741">
        <f>Gases!A291</f>
        <v>266</v>
      </c>
      <c r="C285" s="970"/>
      <c r="D285" s="973"/>
      <c r="E285" s="973"/>
      <c r="F285" s="973"/>
      <c r="G285" s="973"/>
      <c r="H285" s="973"/>
      <c r="I285" s="976"/>
      <c r="J285" s="977"/>
      <c r="K285" s="965">
        <v>266</v>
      </c>
      <c r="L285" s="965"/>
      <c r="M285" s="978"/>
      <c r="N285" s="965">
        <v>266</v>
      </c>
      <c r="O285" s="159"/>
      <c r="P285" s="159"/>
      <c r="Q285" s="159"/>
      <c r="R285" s="159"/>
      <c r="S285" s="159"/>
      <c r="Y285" s="1975" t="str">
        <f t="shared" si="9"/>
        <v/>
      </c>
    </row>
    <row r="286" spans="1:25">
      <c r="A286" s="1983" t="str">
        <f t="shared" si="8"/>
        <v/>
      </c>
      <c r="B286" s="741">
        <f>Gases!A292</f>
        <v>267</v>
      </c>
      <c r="C286" s="970"/>
      <c r="D286" s="973"/>
      <c r="E286" s="973"/>
      <c r="F286" s="973"/>
      <c r="G286" s="973"/>
      <c r="H286" s="973"/>
      <c r="I286" s="976"/>
      <c r="J286" s="977"/>
      <c r="K286" s="965">
        <v>267</v>
      </c>
      <c r="L286" s="965"/>
      <c r="M286" s="978"/>
      <c r="N286" s="965">
        <v>267</v>
      </c>
      <c r="O286" s="159"/>
      <c r="P286" s="159"/>
      <c r="Q286" s="159"/>
      <c r="R286" s="159"/>
      <c r="S286" s="159"/>
      <c r="Y286" s="1975" t="str">
        <f t="shared" si="9"/>
        <v/>
      </c>
    </row>
    <row r="287" spans="1:25">
      <c r="A287" s="1983" t="str">
        <f t="shared" si="8"/>
        <v/>
      </c>
      <c r="B287" s="741">
        <f>Gases!A293</f>
        <v>268</v>
      </c>
      <c r="C287" s="970"/>
      <c r="D287" s="973"/>
      <c r="E287" s="973"/>
      <c r="F287" s="973"/>
      <c r="G287" s="973"/>
      <c r="H287" s="973"/>
      <c r="I287" s="976"/>
      <c r="J287" s="977"/>
      <c r="K287" s="965">
        <v>268</v>
      </c>
      <c r="L287" s="965"/>
      <c r="M287" s="978"/>
      <c r="N287" s="965">
        <v>268</v>
      </c>
      <c r="O287" s="159"/>
      <c r="P287" s="159"/>
      <c r="Q287" s="159"/>
      <c r="R287" s="159"/>
      <c r="S287" s="159"/>
      <c r="Y287" s="1975" t="str">
        <f t="shared" si="9"/>
        <v/>
      </c>
    </row>
    <row r="288" spans="1:25">
      <c r="A288" s="1983" t="str">
        <f t="shared" si="8"/>
        <v/>
      </c>
      <c r="B288" s="741">
        <f>Gases!A294</f>
        <v>269</v>
      </c>
      <c r="C288" s="970"/>
      <c r="D288" s="973"/>
      <c r="E288" s="973"/>
      <c r="F288" s="973"/>
      <c r="G288" s="973"/>
      <c r="H288" s="973"/>
      <c r="I288" s="976"/>
      <c r="J288" s="977"/>
      <c r="K288" s="965">
        <v>269</v>
      </c>
      <c r="L288" s="965"/>
      <c r="M288" s="978"/>
      <c r="N288" s="965">
        <v>269</v>
      </c>
      <c r="O288" s="159"/>
      <c r="P288" s="159"/>
      <c r="Q288" s="159"/>
      <c r="R288" s="159"/>
      <c r="S288" s="159"/>
      <c r="Y288" s="1975" t="str">
        <f t="shared" si="9"/>
        <v/>
      </c>
    </row>
    <row r="289" spans="1:25">
      <c r="A289" s="1983" t="str">
        <f t="shared" si="8"/>
        <v/>
      </c>
      <c r="B289" s="741">
        <f>Gases!A295</f>
        <v>270</v>
      </c>
      <c r="C289" s="970"/>
      <c r="D289" s="973"/>
      <c r="E289" s="973"/>
      <c r="F289" s="973"/>
      <c r="G289" s="973"/>
      <c r="H289" s="973"/>
      <c r="I289" s="976"/>
      <c r="J289" s="977"/>
      <c r="K289" s="965">
        <v>270</v>
      </c>
      <c r="L289" s="965"/>
      <c r="M289" s="978"/>
      <c r="N289" s="965">
        <v>270</v>
      </c>
      <c r="O289" s="159"/>
      <c r="P289" s="159"/>
      <c r="Q289" s="159"/>
      <c r="R289" s="159"/>
      <c r="S289" s="159"/>
      <c r="Y289" s="1975" t="str">
        <f t="shared" si="9"/>
        <v/>
      </c>
    </row>
    <row r="290" spans="1:25">
      <c r="A290" s="1983" t="str">
        <f t="shared" si="8"/>
        <v/>
      </c>
      <c r="B290" s="741">
        <f>Gases!A296</f>
        <v>271</v>
      </c>
      <c r="C290" s="970"/>
      <c r="D290" s="973"/>
      <c r="E290" s="973"/>
      <c r="F290" s="973"/>
      <c r="G290" s="973"/>
      <c r="H290" s="973"/>
      <c r="I290" s="976"/>
      <c r="J290" s="977"/>
      <c r="K290" s="965">
        <v>271</v>
      </c>
      <c r="L290" s="965"/>
      <c r="M290" s="978"/>
      <c r="N290" s="965">
        <v>271</v>
      </c>
      <c r="O290" s="159"/>
      <c r="P290" s="159"/>
      <c r="Q290" s="159"/>
      <c r="R290" s="159"/>
      <c r="S290" s="159"/>
      <c r="Y290" s="1975" t="str">
        <f t="shared" si="9"/>
        <v/>
      </c>
    </row>
    <row r="291" spans="1:25">
      <c r="A291" s="1983" t="str">
        <f t="shared" si="8"/>
        <v/>
      </c>
      <c r="B291" s="741">
        <f>Gases!A297</f>
        <v>272</v>
      </c>
      <c r="C291" s="970"/>
      <c r="D291" s="973"/>
      <c r="E291" s="973"/>
      <c r="F291" s="973"/>
      <c r="G291" s="973"/>
      <c r="H291" s="973"/>
      <c r="I291" s="976"/>
      <c r="J291" s="977"/>
      <c r="K291" s="965">
        <v>272</v>
      </c>
      <c r="L291" s="965"/>
      <c r="M291" s="978"/>
      <c r="N291" s="965">
        <v>272</v>
      </c>
      <c r="O291" s="159"/>
      <c r="P291" s="159"/>
      <c r="Q291" s="159"/>
      <c r="R291" s="159"/>
      <c r="S291" s="159"/>
      <c r="Y291" s="1975" t="str">
        <f t="shared" si="9"/>
        <v/>
      </c>
    </row>
    <row r="292" spans="1:25">
      <c r="A292" s="1983" t="str">
        <f t="shared" si="8"/>
        <v/>
      </c>
      <c r="B292" s="741">
        <f>Gases!A298</f>
        <v>273</v>
      </c>
      <c r="C292" s="970"/>
      <c r="D292" s="973"/>
      <c r="E292" s="973"/>
      <c r="F292" s="973"/>
      <c r="G292" s="973"/>
      <c r="H292" s="973"/>
      <c r="I292" s="976"/>
      <c r="J292" s="977"/>
      <c r="K292" s="965">
        <v>273</v>
      </c>
      <c r="L292" s="965"/>
      <c r="M292" s="978"/>
      <c r="N292" s="965">
        <v>273</v>
      </c>
      <c r="O292" s="159"/>
      <c r="P292" s="159"/>
      <c r="Q292" s="159"/>
      <c r="R292" s="159"/>
      <c r="S292" s="159"/>
      <c r="Y292" s="1975" t="str">
        <f t="shared" si="9"/>
        <v/>
      </c>
    </row>
    <row r="293" spans="1:25">
      <c r="A293" s="1983" t="str">
        <f t="shared" si="8"/>
        <v/>
      </c>
      <c r="B293" s="741">
        <f>Gases!A299</f>
        <v>274</v>
      </c>
      <c r="C293" s="970"/>
      <c r="D293" s="973"/>
      <c r="E293" s="973"/>
      <c r="F293" s="973"/>
      <c r="G293" s="973"/>
      <c r="H293" s="973"/>
      <c r="I293" s="976"/>
      <c r="J293" s="977"/>
      <c r="K293" s="965">
        <v>274</v>
      </c>
      <c r="L293" s="965"/>
      <c r="M293" s="978"/>
      <c r="N293" s="965">
        <v>274</v>
      </c>
      <c r="O293" s="159"/>
      <c r="P293" s="159"/>
      <c r="Q293" s="159"/>
      <c r="R293" s="159"/>
      <c r="S293" s="159"/>
      <c r="Y293" s="1975" t="str">
        <f t="shared" si="9"/>
        <v/>
      </c>
    </row>
    <row r="294" spans="1:25">
      <c r="A294" s="1983" t="str">
        <f t="shared" si="8"/>
        <v/>
      </c>
      <c r="B294" s="741">
        <f>Gases!A300</f>
        <v>275</v>
      </c>
      <c r="C294" s="970"/>
      <c r="D294" s="973"/>
      <c r="E294" s="973"/>
      <c r="F294" s="973"/>
      <c r="G294" s="973"/>
      <c r="H294" s="973"/>
      <c r="I294" s="976"/>
      <c r="J294" s="977"/>
      <c r="K294" s="965">
        <v>275</v>
      </c>
      <c r="L294" s="965"/>
      <c r="M294" s="978"/>
      <c r="N294" s="965">
        <v>275</v>
      </c>
      <c r="O294" s="159"/>
      <c r="P294" s="159"/>
      <c r="Q294" s="159"/>
      <c r="R294" s="159"/>
      <c r="S294" s="159"/>
      <c r="Y294" s="1975" t="str">
        <f t="shared" si="9"/>
        <v/>
      </c>
    </row>
    <row r="295" spans="1:25">
      <c r="A295" s="1983" t="str">
        <f t="shared" si="8"/>
        <v/>
      </c>
      <c r="B295" s="741">
        <f>Gases!A301</f>
        <v>276</v>
      </c>
      <c r="C295" s="970"/>
      <c r="D295" s="973"/>
      <c r="E295" s="973"/>
      <c r="F295" s="973"/>
      <c r="G295" s="973"/>
      <c r="H295" s="973"/>
      <c r="I295" s="976"/>
      <c r="J295" s="977"/>
      <c r="K295" s="965">
        <v>276</v>
      </c>
      <c r="L295" s="965"/>
      <c r="M295" s="978"/>
      <c r="N295" s="965">
        <v>276</v>
      </c>
      <c r="O295" s="159"/>
      <c r="P295" s="159"/>
      <c r="Q295" s="159"/>
      <c r="R295" s="159"/>
      <c r="S295" s="159"/>
      <c r="Y295" s="1975" t="str">
        <f t="shared" si="9"/>
        <v/>
      </c>
    </row>
    <row r="296" spans="1:25">
      <c r="A296" s="1983" t="str">
        <f t="shared" si="8"/>
        <v/>
      </c>
      <c r="B296" s="741">
        <f>Gases!A302</f>
        <v>277</v>
      </c>
      <c r="C296" s="970"/>
      <c r="D296" s="973"/>
      <c r="E296" s="973"/>
      <c r="F296" s="973"/>
      <c r="G296" s="973"/>
      <c r="H296" s="973"/>
      <c r="I296" s="976"/>
      <c r="J296" s="977"/>
      <c r="K296" s="965">
        <v>277</v>
      </c>
      <c r="L296" s="965"/>
      <c r="M296" s="978"/>
      <c r="N296" s="965">
        <v>277</v>
      </c>
      <c r="O296" s="159"/>
      <c r="P296" s="159"/>
      <c r="Q296" s="159"/>
      <c r="R296" s="159"/>
      <c r="S296" s="159"/>
      <c r="Y296" s="1975" t="str">
        <f t="shared" si="9"/>
        <v/>
      </c>
    </row>
    <row r="297" spans="1:25">
      <c r="A297" s="1983" t="str">
        <f t="shared" si="8"/>
        <v/>
      </c>
      <c r="B297" s="741">
        <f>Gases!A303</f>
        <v>278</v>
      </c>
      <c r="C297" s="970"/>
      <c r="D297" s="973"/>
      <c r="E297" s="973"/>
      <c r="F297" s="973"/>
      <c r="G297" s="973"/>
      <c r="H297" s="973"/>
      <c r="I297" s="976"/>
      <c r="J297" s="977"/>
      <c r="K297" s="965">
        <v>278</v>
      </c>
      <c r="L297" s="965"/>
      <c r="M297" s="978"/>
      <c r="N297" s="965">
        <v>278</v>
      </c>
      <c r="O297" s="159"/>
      <c r="P297" s="159"/>
      <c r="Q297" s="159"/>
      <c r="R297" s="159"/>
      <c r="S297" s="159"/>
      <c r="Y297" s="1975" t="str">
        <f t="shared" si="9"/>
        <v/>
      </c>
    </row>
    <row r="298" spans="1:25">
      <c r="A298" s="1983" t="str">
        <f t="shared" si="8"/>
        <v/>
      </c>
      <c r="B298" s="741">
        <f>Gases!A304</f>
        <v>279</v>
      </c>
      <c r="C298" s="970"/>
      <c r="D298" s="973"/>
      <c r="E298" s="973"/>
      <c r="F298" s="973"/>
      <c r="G298" s="973"/>
      <c r="H298" s="973"/>
      <c r="I298" s="976"/>
      <c r="J298" s="977"/>
      <c r="K298" s="965">
        <v>279</v>
      </c>
      <c r="L298" s="965"/>
      <c r="M298" s="978"/>
      <c r="N298" s="965">
        <v>279</v>
      </c>
      <c r="O298" s="159"/>
      <c r="P298" s="159"/>
      <c r="Q298" s="159"/>
      <c r="R298" s="159"/>
      <c r="S298" s="159"/>
      <c r="Y298" s="1975" t="str">
        <f t="shared" si="9"/>
        <v/>
      </c>
    </row>
    <row r="299" spans="1:25">
      <c r="A299" s="1983" t="str">
        <f t="shared" si="8"/>
        <v/>
      </c>
      <c r="B299" s="741">
        <f>Gases!A305</f>
        <v>280</v>
      </c>
      <c r="C299" s="970"/>
      <c r="D299" s="973"/>
      <c r="E299" s="973"/>
      <c r="F299" s="973"/>
      <c r="G299" s="973"/>
      <c r="H299" s="973"/>
      <c r="I299" s="976"/>
      <c r="J299" s="977"/>
      <c r="K299" s="965">
        <v>280</v>
      </c>
      <c r="L299" s="965"/>
      <c r="M299" s="978"/>
      <c r="N299" s="965">
        <v>280</v>
      </c>
      <c r="O299" s="159"/>
      <c r="P299" s="159"/>
      <c r="Q299" s="159"/>
      <c r="R299" s="159"/>
      <c r="S299" s="159"/>
      <c r="Y299" s="1975" t="str">
        <f t="shared" si="9"/>
        <v/>
      </c>
    </row>
    <row r="300" spans="1:25">
      <c r="A300" s="1983" t="str">
        <f t="shared" si="8"/>
        <v/>
      </c>
      <c r="B300" s="741">
        <f>Gases!A306</f>
        <v>281</v>
      </c>
      <c r="C300" s="970"/>
      <c r="D300" s="973"/>
      <c r="E300" s="973"/>
      <c r="F300" s="973"/>
      <c r="G300" s="973"/>
      <c r="H300" s="973"/>
      <c r="I300" s="976"/>
      <c r="J300" s="977"/>
      <c r="K300" s="965">
        <v>281</v>
      </c>
      <c r="L300" s="965"/>
      <c r="M300" s="978"/>
      <c r="N300" s="965">
        <v>281</v>
      </c>
      <c r="O300" s="159"/>
      <c r="P300" s="159"/>
      <c r="Q300" s="159"/>
      <c r="R300" s="159"/>
      <c r="S300" s="159"/>
      <c r="Y300" s="1975" t="str">
        <f t="shared" si="9"/>
        <v/>
      </c>
    </row>
    <row r="301" spans="1:25">
      <c r="A301" s="1983" t="str">
        <f t="shared" si="8"/>
        <v/>
      </c>
      <c r="B301" s="741">
        <f>Gases!A307</f>
        <v>282</v>
      </c>
      <c r="C301" s="970"/>
      <c r="D301" s="973"/>
      <c r="E301" s="973"/>
      <c r="F301" s="973"/>
      <c r="G301" s="973"/>
      <c r="H301" s="973"/>
      <c r="I301" s="976"/>
      <c r="J301" s="977"/>
      <c r="K301" s="965">
        <v>282</v>
      </c>
      <c r="L301" s="965"/>
      <c r="M301" s="978"/>
      <c r="N301" s="965">
        <v>282</v>
      </c>
      <c r="O301" s="159"/>
      <c r="P301" s="159"/>
      <c r="Q301" s="159"/>
      <c r="R301" s="159"/>
      <c r="S301" s="159"/>
      <c r="Y301" s="1975" t="str">
        <f t="shared" si="9"/>
        <v/>
      </c>
    </row>
    <row r="302" spans="1:25">
      <c r="A302" s="1983" t="str">
        <f t="shared" si="8"/>
        <v/>
      </c>
      <c r="B302" s="741">
        <f>Gases!A308</f>
        <v>283</v>
      </c>
      <c r="C302" s="970"/>
      <c r="D302" s="973"/>
      <c r="E302" s="973"/>
      <c r="F302" s="973"/>
      <c r="G302" s="973"/>
      <c r="H302" s="973"/>
      <c r="I302" s="976"/>
      <c r="J302" s="977"/>
      <c r="K302" s="965">
        <v>283</v>
      </c>
      <c r="L302" s="965"/>
      <c r="M302" s="978"/>
      <c r="N302" s="965">
        <v>283</v>
      </c>
      <c r="O302" s="159"/>
      <c r="P302" s="159"/>
      <c r="Q302" s="159"/>
      <c r="R302" s="159"/>
      <c r="S302" s="159"/>
      <c r="Y302" s="1975" t="str">
        <f t="shared" si="9"/>
        <v/>
      </c>
    </row>
    <row r="303" spans="1:25">
      <c r="A303" s="1983" t="str">
        <f t="shared" si="8"/>
        <v/>
      </c>
      <c r="B303" s="741">
        <f>Gases!A309</f>
        <v>284</v>
      </c>
      <c r="C303" s="970"/>
      <c r="D303" s="973"/>
      <c r="E303" s="973"/>
      <c r="F303" s="973"/>
      <c r="G303" s="973"/>
      <c r="H303" s="973"/>
      <c r="I303" s="976"/>
      <c r="J303" s="977"/>
      <c r="K303" s="965">
        <v>284</v>
      </c>
      <c r="L303" s="965"/>
      <c r="M303" s="978"/>
      <c r="N303" s="965">
        <v>284</v>
      </c>
      <c r="O303" s="159"/>
      <c r="P303" s="159"/>
      <c r="Q303" s="159"/>
      <c r="R303" s="159"/>
      <c r="S303" s="159"/>
      <c r="Y303" s="1975" t="str">
        <f t="shared" si="9"/>
        <v/>
      </c>
    </row>
    <row r="304" spans="1:25">
      <c r="A304" s="1983" t="str">
        <f t="shared" si="8"/>
        <v/>
      </c>
      <c r="B304" s="741">
        <f>Gases!A310</f>
        <v>285</v>
      </c>
      <c r="C304" s="970"/>
      <c r="D304" s="973"/>
      <c r="E304" s="973"/>
      <c r="F304" s="973"/>
      <c r="G304" s="973"/>
      <c r="H304" s="973"/>
      <c r="I304" s="976"/>
      <c r="J304" s="977"/>
      <c r="K304" s="965">
        <v>285</v>
      </c>
      <c r="L304" s="965"/>
      <c r="M304" s="978"/>
      <c r="N304" s="965">
        <v>285</v>
      </c>
      <c r="O304" s="159"/>
      <c r="P304" s="159"/>
      <c r="Q304" s="159"/>
      <c r="R304" s="159"/>
      <c r="S304" s="159"/>
      <c r="Y304" s="1975" t="str">
        <f t="shared" si="9"/>
        <v/>
      </c>
    </row>
    <row r="305" spans="1:25">
      <c r="A305" s="1983" t="str">
        <f t="shared" si="8"/>
        <v/>
      </c>
      <c r="B305" s="741">
        <f>Gases!A311</f>
        <v>286</v>
      </c>
      <c r="C305" s="970"/>
      <c r="D305" s="973"/>
      <c r="E305" s="973"/>
      <c r="F305" s="973"/>
      <c r="G305" s="973"/>
      <c r="H305" s="973"/>
      <c r="I305" s="976"/>
      <c r="J305" s="977"/>
      <c r="K305" s="965">
        <v>286</v>
      </c>
      <c r="L305" s="965"/>
      <c r="M305" s="978"/>
      <c r="N305" s="965">
        <v>286</v>
      </c>
      <c r="O305" s="159"/>
      <c r="P305" s="159"/>
      <c r="Q305" s="159"/>
      <c r="R305" s="159"/>
      <c r="S305" s="159"/>
      <c r="Y305" s="1975" t="str">
        <f t="shared" si="9"/>
        <v/>
      </c>
    </row>
    <row r="306" spans="1:25">
      <c r="A306" s="1983" t="str">
        <f t="shared" si="8"/>
        <v/>
      </c>
      <c r="B306" s="741">
        <f>Gases!A312</f>
        <v>287</v>
      </c>
      <c r="C306" s="970"/>
      <c r="D306" s="973"/>
      <c r="E306" s="973"/>
      <c r="F306" s="973"/>
      <c r="G306" s="973"/>
      <c r="H306" s="973"/>
      <c r="I306" s="976"/>
      <c r="J306" s="977"/>
      <c r="K306" s="965">
        <v>287</v>
      </c>
      <c r="L306" s="965"/>
      <c r="M306" s="978"/>
      <c r="N306" s="965">
        <v>287</v>
      </c>
      <c r="O306" s="159"/>
      <c r="P306" s="159"/>
      <c r="Q306" s="159"/>
      <c r="R306" s="159"/>
      <c r="S306" s="159"/>
      <c r="Y306" s="1975" t="str">
        <f t="shared" si="9"/>
        <v/>
      </c>
    </row>
    <row r="307" spans="1:25">
      <c r="A307" s="1983" t="str">
        <f t="shared" si="8"/>
        <v/>
      </c>
      <c r="B307" s="741">
        <f>Gases!A313</f>
        <v>288</v>
      </c>
      <c r="C307" s="970"/>
      <c r="D307" s="973"/>
      <c r="E307" s="973"/>
      <c r="F307" s="973"/>
      <c r="G307" s="973"/>
      <c r="H307" s="973"/>
      <c r="I307" s="976"/>
      <c r="J307" s="977"/>
      <c r="K307" s="965">
        <v>288</v>
      </c>
      <c r="L307" s="965"/>
      <c r="M307" s="978"/>
      <c r="N307" s="965">
        <v>288</v>
      </c>
      <c r="O307" s="159"/>
      <c r="P307" s="159"/>
      <c r="Q307" s="159"/>
      <c r="R307" s="159"/>
      <c r="S307" s="159"/>
      <c r="Y307" s="1975" t="str">
        <f t="shared" si="9"/>
        <v/>
      </c>
    </row>
    <row r="308" spans="1:25">
      <c r="A308" s="1983" t="str">
        <f t="shared" si="8"/>
        <v/>
      </c>
      <c r="B308" s="741">
        <f>Gases!A314</f>
        <v>289</v>
      </c>
      <c r="C308" s="970"/>
      <c r="D308" s="973"/>
      <c r="E308" s="973"/>
      <c r="F308" s="973"/>
      <c r="G308" s="973"/>
      <c r="H308" s="973"/>
      <c r="I308" s="976"/>
      <c r="J308" s="977"/>
      <c r="K308" s="965">
        <v>289</v>
      </c>
      <c r="L308" s="965"/>
      <c r="M308" s="978"/>
      <c r="N308" s="965">
        <v>289</v>
      </c>
      <c r="O308" s="159"/>
      <c r="P308" s="159"/>
      <c r="Q308" s="159"/>
      <c r="R308" s="159"/>
      <c r="S308" s="159"/>
      <c r="Y308" s="1975" t="str">
        <f t="shared" si="9"/>
        <v/>
      </c>
    </row>
    <row r="309" spans="1:25">
      <c r="A309" s="1983" t="str">
        <f t="shared" si="8"/>
        <v/>
      </c>
      <c r="B309" s="741">
        <f>Gases!A315</f>
        <v>290</v>
      </c>
      <c r="C309" s="970"/>
      <c r="D309" s="973"/>
      <c r="E309" s="973"/>
      <c r="F309" s="973"/>
      <c r="G309" s="973"/>
      <c r="H309" s="973"/>
      <c r="I309" s="976"/>
      <c r="J309" s="977"/>
      <c r="K309" s="965">
        <v>290</v>
      </c>
      <c r="L309" s="965"/>
      <c r="M309" s="978"/>
      <c r="N309" s="965">
        <v>290</v>
      </c>
      <c r="O309" s="159"/>
      <c r="P309" s="159"/>
      <c r="Q309" s="159"/>
      <c r="R309" s="159"/>
      <c r="S309" s="159"/>
      <c r="Y309" s="1975" t="str">
        <f t="shared" si="9"/>
        <v/>
      </c>
    </row>
    <row r="310" spans="1:25">
      <c r="A310" s="1983" t="str">
        <f t="shared" si="8"/>
        <v/>
      </c>
      <c r="B310" s="741">
        <f>Gases!A316</f>
        <v>291</v>
      </c>
      <c r="C310" s="970"/>
      <c r="D310" s="973"/>
      <c r="E310" s="973"/>
      <c r="F310" s="973"/>
      <c r="G310" s="973"/>
      <c r="H310" s="973"/>
      <c r="I310" s="976"/>
      <c r="J310" s="977"/>
      <c r="K310" s="965">
        <v>291</v>
      </c>
      <c r="L310" s="965"/>
      <c r="M310" s="978"/>
      <c r="N310" s="965">
        <v>291</v>
      </c>
      <c r="O310" s="159"/>
      <c r="P310" s="159"/>
      <c r="Q310" s="159"/>
      <c r="R310" s="159"/>
      <c r="S310" s="159"/>
      <c r="Y310" s="1975" t="str">
        <f t="shared" si="9"/>
        <v/>
      </c>
    </row>
    <row r="311" spans="1:25">
      <c r="A311" s="1983" t="str">
        <f t="shared" si="8"/>
        <v/>
      </c>
      <c r="B311" s="741">
        <f>Gases!A317</f>
        <v>292</v>
      </c>
      <c r="C311" s="970"/>
      <c r="D311" s="973"/>
      <c r="E311" s="973"/>
      <c r="F311" s="973"/>
      <c r="G311" s="973"/>
      <c r="H311" s="973"/>
      <c r="I311" s="976"/>
      <c r="J311" s="977"/>
      <c r="K311" s="965">
        <v>292</v>
      </c>
      <c r="L311" s="965"/>
      <c r="M311" s="978"/>
      <c r="N311" s="965">
        <v>292</v>
      </c>
      <c r="O311" s="159"/>
      <c r="P311" s="159"/>
      <c r="Q311" s="159"/>
      <c r="R311" s="159"/>
      <c r="S311" s="159"/>
      <c r="Y311" s="1975" t="str">
        <f t="shared" si="9"/>
        <v/>
      </c>
    </row>
    <row r="312" spans="1:25">
      <c r="A312" s="1983" t="str">
        <f t="shared" si="8"/>
        <v/>
      </c>
      <c r="B312" s="741">
        <f>Gases!A318</f>
        <v>293</v>
      </c>
      <c r="C312" s="970"/>
      <c r="D312" s="973"/>
      <c r="E312" s="973"/>
      <c r="F312" s="973"/>
      <c r="G312" s="973"/>
      <c r="H312" s="973"/>
      <c r="I312" s="976"/>
      <c r="J312" s="977"/>
      <c r="K312" s="965">
        <v>293</v>
      </c>
      <c r="L312" s="965"/>
      <c r="M312" s="978"/>
      <c r="N312" s="965">
        <v>293</v>
      </c>
      <c r="O312" s="159"/>
      <c r="P312" s="159"/>
      <c r="Q312" s="159"/>
      <c r="R312" s="159"/>
      <c r="S312" s="159"/>
      <c r="Y312" s="1975" t="str">
        <f t="shared" si="9"/>
        <v/>
      </c>
    </row>
    <row r="313" spans="1:25">
      <c r="A313" s="1983" t="str">
        <f t="shared" si="8"/>
        <v/>
      </c>
      <c r="B313" s="741">
        <f>Gases!A319</f>
        <v>294</v>
      </c>
      <c r="C313" s="970"/>
      <c r="D313" s="973"/>
      <c r="E313" s="973"/>
      <c r="F313" s="973"/>
      <c r="G313" s="973"/>
      <c r="H313" s="973"/>
      <c r="I313" s="976"/>
      <c r="J313" s="977"/>
      <c r="K313" s="965">
        <v>294</v>
      </c>
      <c r="L313" s="965"/>
      <c r="M313" s="978"/>
      <c r="N313" s="965">
        <v>294</v>
      </c>
      <c r="O313" s="159"/>
      <c r="P313" s="159"/>
      <c r="Q313" s="159"/>
      <c r="R313" s="159"/>
      <c r="S313" s="159"/>
      <c r="Y313" s="1975" t="str">
        <f t="shared" si="9"/>
        <v/>
      </c>
    </row>
    <row r="314" spans="1:25">
      <c r="A314" s="1983" t="str">
        <f t="shared" si="8"/>
        <v/>
      </c>
      <c r="B314" s="741">
        <f>Gases!A320</f>
        <v>295</v>
      </c>
      <c r="C314" s="970"/>
      <c r="D314" s="973"/>
      <c r="E314" s="973"/>
      <c r="F314" s="973"/>
      <c r="G314" s="973"/>
      <c r="H314" s="973"/>
      <c r="I314" s="976"/>
      <c r="J314" s="977"/>
      <c r="K314" s="965">
        <v>295</v>
      </c>
      <c r="L314" s="965"/>
      <c r="M314" s="978"/>
      <c r="N314" s="965">
        <v>295</v>
      </c>
      <c r="O314" s="159"/>
      <c r="P314" s="159"/>
      <c r="Q314" s="159"/>
      <c r="R314" s="159"/>
      <c r="S314" s="159"/>
      <c r="Y314" s="1975" t="str">
        <f t="shared" si="9"/>
        <v/>
      </c>
    </row>
    <row r="315" spans="1:25">
      <c r="A315" s="1983" t="str">
        <f t="shared" si="8"/>
        <v/>
      </c>
      <c r="B315" s="741">
        <f>Gases!A321</f>
        <v>296</v>
      </c>
      <c r="C315" s="970"/>
      <c r="D315" s="973"/>
      <c r="E315" s="973"/>
      <c r="F315" s="973"/>
      <c r="G315" s="973"/>
      <c r="H315" s="973"/>
      <c r="I315" s="976"/>
      <c r="J315" s="977"/>
      <c r="K315" s="965">
        <v>296</v>
      </c>
      <c r="L315" s="965"/>
      <c r="M315" s="978"/>
      <c r="N315" s="965">
        <v>296</v>
      </c>
      <c r="O315" s="159"/>
      <c r="P315" s="159"/>
      <c r="Q315" s="159"/>
      <c r="R315" s="159"/>
      <c r="S315" s="159"/>
      <c r="Y315" s="1975" t="str">
        <f t="shared" si="9"/>
        <v/>
      </c>
    </row>
    <row r="316" spans="1:25">
      <c r="A316" s="1983" t="str">
        <f t="shared" si="8"/>
        <v/>
      </c>
      <c r="B316" s="741">
        <f>Gases!A322</f>
        <v>297</v>
      </c>
      <c r="C316" s="970"/>
      <c r="D316" s="973"/>
      <c r="E316" s="973"/>
      <c r="F316" s="973"/>
      <c r="G316" s="973"/>
      <c r="H316" s="973"/>
      <c r="I316" s="976"/>
      <c r="J316" s="977"/>
      <c r="K316" s="965">
        <v>297</v>
      </c>
      <c r="L316" s="965"/>
      <c r="M316" s="978"/>
      <c r="N316" s="965">
        <v>297</v>
      </c>
      <c r="O316" s="159"/>
      <c r="P316" s="159"/>
      <c r="Q316" s="159"/>
      <c r="R316" s="159"/>
      <c r="S316" s="159"/>
      <c r="Y316" s="1975" t="str">
        <f t="shared" si="9"/>
        <v/>
      </c>
    </row>
    <row r="317" spans="1:25">
      <c r="A317" s="1983" t="str">
        <f t="shared" si="8"/>
        <v/>
      </c>
      <c r="B317" s="741">
        <f>Gases!A323</f>
        <v>298</v>
      </c>
      <c r="C317" s="970"/>
      <c r="D317" s="973"/>
      <c r="E317" s="973"/>
      <c r="F317" s="973"/>
      <c r="G317" s="973"/>
      <c r="H317" s="973"/>
      <c r="I317" s="976"/>
      <c r="J317" s="977"/>
      <c r="K317" s="965">
        <v>298</v>
      </c>
      <c r="L317" s="965"/>
      <c r="M317" s="978"/>
      <c r="N317" s="965">
        <v>298</v>
      </c>
      <c r="O317" s="159"/>
      <c r="P317" s="159"/>
      <c r="Q317" s="159"/>
      <c r="R317" s="159"/>
      <c r="S317" s="159"/>
      <c r="Y317" s="1975" t="str">
        <f t="shared" si="9"/>
        <v/>
      </c>
    </row>
    <row r="318" spans="1:25">
      <c r="A318" s="1983" t="str">
        <f t="shared" si="8"/>
        <v/>
      </c>
      <c r="B318" s="741">
        <f>Gases!A324</f>
        <v>299</v>
      </c>
      <c r="C318" s="970"/>
      <c r="D318" s="973"/>
      <c r="E318" s="973"/>
      <c r="F318" s="973"/>
      <c r="G318" s="973"/>
      <c r="H318" s="973"/>
      <c r="I318" s="976"/>
      <c r="J318" s="977"/>
      <c r="K318" s="965">
        <v>299</v>
      </c>
      <c r="L318" s="965"/>
      <c r="M318" s="978"/>
      <c r="N318" s="965">
        <v>299</v>
      </c>
      <c r="O318" s="159"/>
      <c r="P318" s="159"/>
      <c r="Q318" s="159"/>
      <c r="R318" s="159"/>
      <c r="S318" s="159"/>
      <c r="Y318" s="1975" t="str">
        <f t="shared" si="9"/>
        <v/>
      </c>
    </row>
    <row r="319" spans="1:25">
      <c r="A319" s="1983" t="str">
        <f t="shared" si="8"/>
        <v/>
      </c>
      <c r="B319" s="741">
        <f>Gases!A325</f>
        <v>300</v>
      </c>
      <c r="C319" s="970"/>
      <c r="D319" s="973"/>
      <c r="E319" s="973"/>
      <c r="F319" s="973"/>
      <c r="G319" s="973"/>
      <c r="H319" s="973"/>
      <c r="I319" s="976"/>
      <c r="J319" s="977"/>
      <c r="K319" s="965">
        <v>300</v>
      </c>
      <c r="L319" s="965"/>
      <c r="M319" s="978"/>
      <c r="N319" s="965">
        <v>300</v>
      </c>
      <c r="O319" s="159"/>
      <c r="P319" s="159"/>
      <c r="Q319" s="159"/>
      <c r="R319" s="159"/>
      <c r="S319" s="159"/>
      <c r="Y319" s="1975" t="str">
        <f t="shared" si="9"/>
        <v/>
      </c>
    </row>
    <row r="320" spans="1:25">
      <c r="A320" s="1983" t="str">
        <f t="shared" si="8"/>
        <v/>
      </c>
      <c r="B320" s="741">
        <f>Gases!A326</f>
        <v>301</v>
      </c>
      <c r="C320" s="970"/>
      <c r="D320" s="973"/>
      <c r="E320" s="973"/>
      <c r="F320" s="973"/>
      <c r="G320" s="973"/>
      <c r="H320" s="973"/>
      <c r="I320" s="976"/>
      <c r="J320" s="977"/>
      <c r="K320" s="965">
        <v>301</v>
      </c>
      <c r="L320" s="965"/>
      <c r="M320" s="978"/>
      <c r="N320" s="965">
        <v>301</v>
      </c>
      <c r="O320" s="159"/>
      <c r="P320" s="159"/>
      <c r="Q320" s="159"/>
      <c r="R320" s="159"/>
      <c r="S320" s="159"/>
      <c r="Y320" s="1975" t="str">
        <f t="shared" si="9"/>
        <v/>
      </c>
    </row>
    <row r="321" spans="1:25">
      <c r="A321" s="1983" t="str">
        <f t="shared" si="8"/>
        <v/>
      </c>
      <c r="B321" s="741">
        <f>Gases!A327</f>
        <v>302</v>
      </c>
      <c r="C321" s="970"/>
      <c r="D321" s="973"/>
      <c r="E321" s="973"/>
      <c r="F321" s="973"/>
      <c r="G321" s="973"/>
      <c r="H321" s="973"/>
      <c r="I321" s="976"/>
      <c r="J321" s="977"/>
      <c r="K321" s="965">
        <v>302</v>
      </c>
      <c r="L321" s="965"/>
      <c r="M321" s="978"/>
      <c r="N321" s="965">
        <v>302</v>
      </c>
      <c r="O321" s="159"/>
      <c r="P321" s="159"/>
      <c r="Q321" s="159"/>
      <c r="R321" s="159"/>
      <c r="S321" s="159"/>
      <c r="Y321" s="1975" t="str">
        <f t="shared" si="9"/>
        <v/>
      </c>
    </row>
    <row r="322" spans="1:25">
      <c r="A322" s="1983" t="str">
        <f t="shared" si="8"/>
        <v/>
      </c>
      <c r="B322" s="741">
        <f>Gases!A328</f>
        <v>303</v>
      </c>
      <c r="C322" s="970"/>
      <c r="D322" s="973"/>
      <c r="E322" s="973"/>
      <c r="F322" s="973"/>
      <c r="G322" s="973"/>
      <c r="H322" s="973"/>
      <c r="I322" s="976"/>
      <c r="J322" s="977"/>
      <c r="K322" s="965">
        <v>303</v>
      </c>
      <c r="L322" s="965"/>
      <c r="M322" s="978"/>
      <c r="N322" s="965">
        <v>303</v>
      </c>
      <c r="O322" s="159"/>
      <c r="P322" s="159"/>
      <c r="Q322" s="159"/>
      <c r="R322" s="159"/>
      <c r="S322" s="159"/>
      <c r="Y322" s="1975" t="str">
        <f t="shared" si="9"/>
        <v/>
      </c>
    </row>
    <row r="323" spans="1:25">
      <c r="A323" s="1983" t="str">
        <f t="shared" si="8"/>
        <v/>
      </c>
      <c r="B323" s="741">
        <f>Gases!A329</f>
        <v>304</v>
      </c>
      <c r="C323" s="970"/>
      <c r="D323" s="973"/>
      <c r="E323" s="973"/>
      <c r="F323" s="973"/>
      <c r="G323" s="973"/>
      <c r="H323" s="973"/>
      <c r="I323" s="976"/>
      <c r="J323" s="977"/>
      <c r="K323" s="965">
        <v>304</v>
      </c>
      <c r="L323" s="965"/>
      <c r="M323" s="978"/>
      <c r="N323" s="965">
        <v>304</v>
      </c>
      <c r="O323" s="159"/>
      <c r="P323" s="159"/>
      <c r="Q323" s="159"/>
      <c r="R323" s="159"/>
      <c r="S323" s="159"/>
      <c r="Y323" s="1975" t="str">
        <f t="shared" si="9"/>
        <v/>
      </c>
    </row>
    <row r="324" spans="1:25">
      <c r="A324" s="1983" t="str">
        <f t="shared" si="8"/>
        <v/>
      </c>
      <c r="B324" s="741">
        <f>Gases!A330</f>
        <v>305</v>
      </c>
      <c r="C324" s="970"/>
      <c r="D324" s="973"/>
      <c r="E324" s="973"/>
      <c r="F324" s="973"/>
      <c r="G324" s="973"/>
      <c r="H324" s="973"/>
      <c r="I324" s="976"/>
      <c r="J324" s="977"/>
      <c r="K324" s="965">
        <v>305</v>
      </c>
      <c r="L324" s="965"/>
      <c r="M324" s="978"/>
      <c r="N324" s="965">
        <v>305</v>
      </c>
      <c r="O324" s="159"/>
      <c r="P324" s="159"/>
      <c r="Q324" s="159"/>
      <c r="R324" s="159"/>
      <c r="S324" s="159"/>
      <c r="Y324" s="1975" t="str">
        <f t="shared" si="9"/>
        <v/>
      </c>
    </row>
    <row r="325" spans="1:25">
      <c r="A325" s="1983" t="str">
        <f t="shared" si="8"/>
        <v/>
      </c>
      <c r="B325" s="741">
        <f>Gases!A331</f>
        <v>306</v>
      </c>
      <c r="C325" s="970"/>
      <c r="D325" s="973"/>
      <c r="E325" s="973"/>
      <c r="F325" s="973"/>
      <c r="G325" s="973"/>
      <c r="H325" s="973"/>
      <c r="I325" s="976"/>
      <c r="J325" s="977"/>
      <c r="K325" s="965">
        <v>306</v>
      </c>
      <c r="L325" s="965"/>
      <c r="M325" s="978"/>
      <c r="N325" s="965">
        <v>306</v>
      </c>
      <c r="O325" s="159"/>
      <c r="P325" s="159"/>
      <c r="Q325" s="159"/>
      <c r="R325" s="159"/>
      <c r="S325" s="159"/>
      <c r="Y325" s="1975" t="str">
        <f t="shared" si="9"/>
        <v/>
      </c>
    </row>
    <row r="326" spans="1:25">
      <c r="A326" s="1983" t="str">
        <f t="shared" si="8"/>
        <v/>
      </c>
      <c r="B326" s="741">
        <f>Gases!A332</f>
        <v>307</v>
      </c>
      <c r="C326" s="970"/>
      <c r="D326" s="973"/>
      <c r="E326" s="973"/>
      <c r="F326" s="973"/>
      <c r="G326" s="973"/>
      <c r="H326" s="973"/>
      <c r="I326" s="976"/>
      <c r="J326" s="977"/>
      <c r="K326" s="965">
        <v>307</v>
      </c>
      <c r="L326" s="965"/>
      <c r="M326" s="978"/>
      <c r="N326" s="965">
        <v>307</v>
      </c>
      <c r="O326" s="159"/>
      <c r="P326" s="159"/>
      <c r="Q326" s="159"/>
      <c r="R326" s="159"/>
      <c r="S326" s="159"/>
      <c r="Y326" s="1975" t="str">
        <f t="shared" si="9"/>
        <v/>
      </c>
    </row>
    <row r="327" spans="1:25">
      <c r="A327" s="1983" t="str">
        <f t="shared" si="8"/>
        <v/>
      </c>
      <c r="B327" s="741">
        <f>Gases!A333</f>
        <v>308</v>
      </c>
      <c r="C327" s="970"/>
      <c r="D327" s="973"/>
      <c r="E327" s="973"/>
      <c r="F327" s="973"/>
      <c r="G327" s="973"/>
      <c r="H327" s="973"/>
      <c r="I327" s="976"/>
      <c r="J327" s="977"/>
      <c r="K327" s="965">
        <v>308</v>
      </c>
      <c r="L327" s="965"/>
      <c r="M327" s="978"/>
      <c r="N327" s="965">
        <v>308</v>
      </c>
      <c r="O327" s="159"/>
      <c r="P327" s="159"/>
      <c r="Q327" s="159"/>
      <c r="R327" s="159"/>
      <c r="S327" s="159"/>
      <c r="Y327" s="1975" t="str">
        <f t="shared" si="9"/>
        <v/>
      </c>
    </row>
    <row r="328" spans="1:25">
      <c r="A328" s="1983" t="str">
        <f t="shared" si="8"/>
        <v/>
      </c>
      <c r="B328" s="741">
        <f>Gases!A334</f>
        <v>309</v>
      </c>
      <c r="C328" s="970"/>
      <c r="D328" s="973"/>
      <c r="E328" s="973"/>
      <c r="F328" s="973"/>
      <c r="G328" s="973"/>
      <c r="H328" s="973"/>
      <c r="I328" s="976"/>
      <c r="J328" s="977"/>
      <c r="K328" s="965">
        <v>309</v>
      </c>
      <c r="L328" s="965"/>
      <c r="M328" s="978"/>
      <c r="N328" s="965">
        <v>309</v>
      </c>
      <c r="O328" s="159"/>
      <c r="P328" s="159"/>
      <c r="Q328" s="159"/>
      <c r="R328" s="159"/>
      <c r="S328" s="159"/>
      <c r="Y328" s="1975" t="str">
        <f t="shared" si="9"/>
        <v/>
      </c>
    </row>
    <row r="329" spans="1:25">
      <c r="A329" s="1983" t="str">
        <f t="shared" si="8"/>
        <v/>
      </c>
      <c r="B329" s="741">
        <f>Gases!A335</f>
        <v>310</v>
      </c>
      <c r="C329" s="970"/>
      <c r="D329" s="973"/>
      <c r="E329" s="973"/>
      <c r="F329" s="973"/>
      <c r="G329" s="973"/>
      <c r="H329" s="973"/>
      <c r="I329" s="976"/>
      <c r="J329" s="977"/>
      <c r="K329" s="965">
        <v>310</v>
      </c>
      <c r="L329" s="965"/>
      <c r="M329" s="978"/>
      <c r="N329" s="965">
        <v>310</v>
      </c>
      <c r="O329" s="159"/>
      <c r="P329" s="159"/>
      <c r="Q329" s="159"/>
      <c r="R329" s="159"/>
      <c r="S329" s="159"/>
      <c r="Y329" s="1975" t="str">
        <f t="shared" si="9"/>
        <v/>
      </c>
    </row>
    <row r="330" spans="1:25">
      <c r="A330" s="1983" t="str">
        <f t="shared" si="8"/>
        <v/>
      </c>
      <c r="B330" s="741">
        <f>Gases!A336</f>
        <v>311</v>
      </c>
      <c r="C330" s="970"/>
      <c r="D330" s="973"/>
      <c r="E330" s="973"/>
      <c r="F330" s="973"/>
      <c r="G330" s="973"/>
      <c r="H330" s="973"/>
      <c r="I330" s="976"/>
      <c r="J330" s="977"/>
      <c r="K330" s="965">
        <v>311</v>
      </c>
      <c r="L330" s="965"/>
      <c r="M330" s="978"/>
      <c r="N330" s="965">
        <v>311</v>
      </c>
      <c r="O330" s="159"/>
      <c r="P330" s="159"/>
      <c r="Q330" s="159"/>
      <c r="R330" s="159"/>
      <c r="S330" s="159"/>
      <c r="Y330" s="1975" t="str">
        <f t="shared" si="9"/>
        <v/>
      </c>
    </row>
    <row r="331" spans="1:25">
      <c r="A331" s="1983" t="str">
        <f t="shared" si="8"/>
        <v/>
      </c>
      <c r="B331" s="741">
        <f>Gases!A337</f>
        <v>312</v>
      </c>
      <c r="C331" s="970"/>
      <c r="D331" s="973"/>
      <c r="E331" s="973"/>
      <c r="F331" s="973"/>
      <c r="G331" s="973"/>
      <c r="H331" s="973"/>
      <c r="I331" s="976"/>
      <c r="J331" s="977"/>
      <c r="K331" s="965">
        <v>312</v>
      </c>
      <c r="L331" s="965"/>
      <c r="M331" s="978"/>
      <c r="N331" s="965">
        <v>312</v>
      </c>
      <c r="O331" s="159"/>
      <c r="P331" s="159"/>
      <c r="Q331" s="159"/>
      <c r="R331" s="159"/>
      <c r="S331" s="159"/>
      <c r="Y331" s="1975" t="str">
        <f t="shared" si="9"/>
        <v/>
      </c>
    </row>
    <row r="332" spans="1:25">
      <c r="A332" s="1983" t="str">
        <f t="shared" si="8"/>
        <v/>
      </c>
      <c r="B332" s="741">
        <f>Gases!A338</f>
        <v>313</v>
      </c>
      <c r="C332" s="970"/>
      <c r="D332" s="973"/>
      <c r="E332" s="973"/>
      <c r="F332" s="973"/>
      <c r="G332" s="973"/>
      <c r="H332" s="973"/>
      <c r="I332" s="976"/>
      <c r="J332" s="977"/>
      <c r="K332" s="965">
        <v>313</v>
      </c>
      <c r="L332" s="965"/>
      <c r="M332" s="978"/>
      <c r="N332" s="965">
        <v>313</v>
      </c>
      <c r="O332" s="159"/>
      <c r="P332" s="159"/>
      <c r="Q332" s="159"/>
      <c r="R332" s="159"/>
      <c r="S332" s="159"/>
      <c r="Y332" s="1975" t="str">
        <f t="shared" si="9"/>
        <v/>
      </c>
    </row>
    <row r="333" spans="1:25">
      <c r="A333" s="1983" t="str">
        <f t="shared" si="8"/>
        <v/>
      </c>
      <c r="B333" s="741">
        <f>Gases!A339</f>
        <v>314</v>
      </c>
      <c r="C333" s="970"/>
      <c r="D333" s="973"/>
      <c r="E333" s="973"/>
      <c r="F333" s="973"/>
      <c r="G333" s="973"/>
      <c r="H333" s="973"/>
      <c r="I333" s="976"/>
      <c r="J333" s="977"/>
      <c r="K333" s="965">
        <v>314</v>
      </c>
      <c r="L333" s="965"/>
      <c r="M333" s="978"/>
      <c r="N333" s="965">
        <v>314</v>
      </c>
      <c r="O333" s="159"/>
      <c r="P333" s="159"/>
      <c r="Q333" s="159"/>
      <c r="R333" s="159"/>
      <c r="S333" s="159"/>
      <c r="Y333" s="1975" t="str">
        <f t="shared" si="9"/>
        <v/>
      </c>
    </row>
    <row r="334" spans="1:25">
      <c r="A334" s="1983" t="str">
        <f t="shared" si="8"/>
        <v/>
      </c>
      <c r="B334" s="741">
        <f>Gases!A340</f>
        <v>315</v>
      </c>
      <c r="C334" s="970"/>
      <c r="D334" s="973"/>
      <c r="E334" s="973"/>
      <c r="F334" s="973"/>
      <c r="G334" s="973"/>
      <c r="H334" s="973"/>
      <c r="I334" s="976"/>
      <c r="J334" s="977"/>
      <c r="K334" s="965">
        <v>315</v>
      </c>
      <c r="L334" s="965"/>
      <c r="M334" s="978"/>
      <c r="N334" s="965">
        <v>315</v>
      </c>
      <c r="O334" s="159"/>
      <c r="P334" s="159"/>
      <c r="Q334" s="159"/>
      <c r="R334" s="159"/>
      <c r="S334" s="159"/>
      <c r="Y334" s="1975" t="str">
        <f t="shared" si="9"/>
        <v/>
      </c>
    </row>
    <row r="335" spans="1:25">
      <c r="A335" s="1983" t="str">
        <f t="shared" si="8"/>
        <v/>
      </c>
      <c r="B335" s="741">
        <f>Gases!A341</f>
        <v>316</v>
      </c>
      <c r="C335" s="970"/>
      <c r="D335" s="973"/>
      <c r="E335" s="973"/>
      <c r="F335" s="973"/>
      <c r="G335" s="973"/>
      <c r="H335" s="973"/>
      <c r="I335" s="976"/>
      <c r="J335" s="977"/>
      <c r="K335" s="965">
        <v>316</v>
      </c>
      <c r="L335" s="965"/>
      <c r="M335" s="978"/>
      <c r="N335" s="965">
        <v>316</v>
      </c>
      <c r="O335" s="159"/>
      <c r="P335" s="159"/>
      <c r="Q335" s="159"/>
      <c r="R335" s="159"/>
      <c r="S335" s="159"/>
      <c r="Y335" s="1975" t="str">
        <f t="shared" si="9"/>
        <v/>
      </c>
    </row>
    <row r="336" spans="1:25">
      <c r="A336" s="1983" t="str">
        <f t="shared" si="8"/>
        <v/>
      </c>
      <c r="B336" s="741">
        <f>Gases!A342</f>
        <v>317</v>
      </c>
      <c r="C336" s="970"/>
      <c r="D336" s="973"/>
      <c r="E336" s="973"/>
      <c r="F336" s="973"/>
      <c r="G336" s="973"/>
      <c r="H336" s="973"/>
      <c r="I336" s="976"/>
      <c r="J336" s="977"/>
      <c r="K336" s="965">
        <v>317</v>
      </c>
      <c r="L336" s="965"/>
      <c r="M336" s="978"/>
      <c r="N336" s="965">
        <v>317</v>
      </c>
      <c r="O336" s="159"/>
      <c r="P336" s="159"/>
      <c r="Q336" s="159"/>
      <c r="R336" s="159"/>
      <c r="S336" s="159"/>
      <c r="Y336" s="1975" t="str">
        <f t="shared" si="9"/>
        <v/>
      </c>
    </row>
    <row r="337" spans="1:25">
      <c r="A337" s="1983" t="str">
        <f t="shared" si="8"/>
        <v/>
      </c>
      <c r="B337" s="741">
        <f>Gases!A343</f>
        <v>318</v>
      </c>
      <c r="C337" s="970"/>
      <c r="D337" s="973"/>
      <c r="E337" s="973"/>
      <c r="F337" s="973"/>
      <c r="G337" s="973"/>
      <c r="H337" s="973"/>
      <c r="I337" s="976"/>
      <c r="J337" s="977"/>
      <c r="K337" s="965">
        <v>318</v>
      </c>
      <c r="L337" s="965"/>
      <c r="M337" s="978"/>
      <c r="N337" s="965">
        <v>318</v>
      </c>
      <c r="O337" s="159"/>
      <c r="P337" s="159"/>
      <c r="Q337" s="159"/>
      <c r="R337" s="159"/>
      <c r="S337" s="159"/>
      <c r="Y337" s="1975" t="str">
        <f t="shared" si="9"/>
        <v/>
      </c>
    </row>
    <row r="338" spans="1:25">
      <c r="A338" s="1983" t="str">
        <f t="shared" si="8"/>
        <v/>
      </c>
      <c r="B338" s="741">
        <f>Gases!A344</f>
        <v>319</v>
      </c>
      <c r="C338" s="970"/>
      <c r="D338" s="973"/>
      <c r="E338" s="973"/>
      <c r="F338" s="973"/>
      <c r="G338" s="973"/>
      <c r="H338" s="973"/>
      <c r="I338" s="976"/>
      <c r="J338" s="977"/>
      <c r="K338" s="965">
        <v>319</v>
      </c>
      <c r="L338" s="965"/>
      <c r="M338" s="978"/>
      <c r="N338" s="965">
        <v>319</v>
      </c>
      <c r="O338" s="159"/>
      <c r="P338" s="159"/>
      <c r="Q338" s="159"/>
      <c r="R338" s="159"/>
      <c r="S338" s="159"/>
      <c r="Y338" s="1975" t="str">
        <f t="shared" si="9"/>
        <v/>
      </c>
    </row>
    <row r="339" spans="1:25">
      <c r="A339" s="1983" t="str">
        <f t="shared" si="8"/>
        <v/>
      </c>
      <c r="B339" s="741">
        <f>Gases!A345</f>
        <v>320</v>
      </c>
      <c r="C339" s="970"/>
      <c r="D339" s="973"/>
      <c r="E339" s="973"/>
      <c r="F339" s="973"/>
      <c r="G339" s="973"/>
      <c r="H339" s="973"/>
      <c r="I339" s="976"/>
      <c r="J339" s="977"/>
      <c r="K339" s="965">
        <v>320</v>
      </c>
      <c r="L339" s="965"/>
      <c r="M339" s="978"/>
      <c r="N339" s="965">
        <v>320</v>
      </c>
      <c r="O339" s="159"/>
      <c r="P339" s="159"/>
      <c r="Q339" s="159"/>
      <c r="R339" s="159"/>
      <c r="S339" s="159"/>
      <c r="Y339" s="1975" t="str">
        <f t="shared" si="9"/>
        <v/>
      </c>
    </row>
    <row r="340" spans="1:25">
      <c r="A340" s="1983" t="str">
        <f t="shared" ref="A340:A403" si="10">IF(AND(C340="",Q339=""),"",IF(GasAnalyser="MRU",Q339,C340))</f>
        <v/>
      </c>
      <c r="B340" s="741">
        <f>Gases!A346</f>
        <v>321</v>
      </c>
      <c r="C340" s="970"/>
      <c r="D340" s="973"/>
      <c r="E340" s="973"/>
      <c r="F340" s="973"/>
      <c r="G340" s="973"/>
      <c r="H340" s="973"/>
      <c r="I340" s="976"/>
      <c r="J340" s="977"/>
      <c r="K340" s="965">
        <v>321</v>
      </c>
      <c r="L340" s="965"/>
      <c r="M340" s="978"/>
      <c r="N340" s="965">
        <v>321</v>
      </c>
      <c r="O340" s="159"/>
      <c r="P340" s="159"/>
      <c r="Q340" s="159"/>
      <c r="R340" s="159"/>
      <c r="S340" s="159"/>
      <c r="Y340" s="1975" t="str">
        <f t="shared" si="9"/>
        <v/>
      </c>
    </row>
    <row r="341" spans="1:25">
      <c r="A341" s="1983" t="str">
        <f t="shared" si="10"/>
        <v/>
      </c>
      <c r="B341" s="741">
        <f>Gases!A347</f>
        <v>322</v>
      </c>
      <c r="C341" s="970"/>
      <c r="D341" s="973"/>
      <c r="E341" s="973"/>
      <c r="F341" s="973"/>
      <c r="G341" s="973"/>
      <c r="H341" s="973"/>
      <c r="I341" s="976"/>
      <c r="J341" s="977"/>
      <c r="K341" s="965">
        <v>322</v>
      </c>
      <c r="L341" s="965"/>
      <c r="M341" s="978"/>
      <c r="N341" s="965">
        <v>322</v>
      </c>
      <c r="O341" s="159"/>
      <c r="P341" s="159"/>
      <c r="Q341" s="159"/>
      <c r="R341" s="159"/>
      <c r="S341" s="159"/>
      <c r="Y341" s="1975" t="str">
        <f t="shared" si="9"/>
        <v/>
      </c>
    </row>
    <row r="342" spans="1:25">
      <c r="A342" s="1983" t="str">
        <f t="shared" si="10"/>
        <v/>
      </c>
      <c r="B342" s="741">
        <f>Gases!A348</f>
        <v>323</v>
      </c>
      <c r="C342" s="970"/>
      <c r="D342" s="973"/>
      <c r="E342" s="973"/>
      <c r="F342" s="973"/>
      <c r="G342" s="973"/>
      <c r="H342" s="973"/>
      <c r="I342" s="976"/>
      <c r="J342" s="977"/>
      <c r="K342" s="965">
        <v>323</v>
      </c>
      <c r="L342" s="965"/>
      <c r="M342" s="978"/>
      <c r="N342" s="965">
        <v>323</v>
      </c>
      <c r="O342" s="159"/>
      <c r="P342" s="159"/>
      <c r="Q342" s="159"/>
      <c r="R342" s="159"/>
      <c r="S342" s="159"/>
      <c r="Y342" s="1975" t="str">
        <f t="shared" ref="Y342:Y405" si="11">IF(U342="","",SUM(U342:V342))</f>
        <v/>
      </c>
    </row>
    <row r="343" spans="1:25">
      <c r="A343" s="1983" t="str">
        <f t="shared" si="10"/>
        <v/>
      </c>
      <c r="B343" s="741">
        <f>Gases!A349</f>
        <v>324</v>
      </c>
      <c r="C343" s="970"/>
      <c r="D343" s="973"/>
      <c r="E343" s="973"/>
      <c r="F343" s="973"/>
      <c r="G343" s="973"/>
      <c r="H343" s="973"/>
      <c r="I343" s="976"/>
      <c r="J343" s="977"/>
      <c r="K343" s="965">
        <v>324</v>
      </c>
      <c r="L343" s="965"/>
      <c r="M343" s="978"/>
      <c r="N343" s="965">
        <v>324</v>
      </c>
      <c r="O343" s="159"/>
      <c r="P343" s="159"/>
      <c r="Q343" s="159"/>
      <c r="R343" s="159"/>
      <c r="S343" s="159"/>
      <c r="Y343" s="1975" t="str">
        <f t="shared" si="11"/>
        <v/>
      </c>
    </row>
    <row r="344" spans="1:25">
      <c r="A344" s="1983" t="str">
        <f t="shared" si="10"/>
        <v/>
      </c>
      <c r="B344" s="741">
        <f>Gases!A350</f>
        <v>325</v>
      </c>
      <c r="C344" s="970"/>
      <c r="D344" s="973"/>
      <c r="E344" s="973"/>
      <c r="F344" s="973"/>
      <c r="G344" s="973"/>
      <c r="H344" s="973"/>
      <c r="I344" s="976"/>
      <c r="J344" s="977"/>
      <c r="K344" s="965">
        <v>325</v>
      </c>
      <c r="L344" s="965"/>
      <c r="M344" s="978"/>
      <c r="N344" s="965">
        <v>325</v>
      </c>
      <c r="O344" s="159"/>
      <c r="P344" s="159"/>
      <c r="Q344" s="159"/>
      <c r="R344" s="159"/>
      <c r="S344" s="159"/>
      <c r="Y344" s="1975" t="str">
        <f t="shared" si="11"/>
        <v/>
      </c>
    </row>
    <row r="345" spans="1:25">
      <c r="A345" s="1983" t="str">
        <f t="shared" si="10"/>
        <v/>
      </c>
      <c r="B345" s="741">
        <f>Gases!A351</f>
        <v>326</v>
      </c>
      <c r="C345" s="970"/>
      <c r="D345" s="973"/>
      <c r="E345" s="973"/>
      <c r="F345" s="973"/>
      <c r="G345" s="973"/>
      <c r="H345" s="973"/>
      <c r="I345" s="976"/>
      <c r="J345" s="977"/>
      <c r="K345" s="965">
        <v>326</v>
      </c>
      <c r="L345" s="965"/>
      <c r="M345" s="978"/>
      <c r="N345" s="965">
        <v>326</v>
      </c>
      <c r="O345" s="159"/>
      <c r="P345" s="159"/>
      <c r="Q345" s="159"/>
      <c r="R345" s="159"/>
      <c r="S345" s="159"/>
      <c r="Y345" s="1975" t="str">
        <f t="shared" si="11"/>
        <v/>
      </c>
    </row>
    <row r="346" spans="1:25">
      <c r="A346" s="1983" t="str">
        <f t="shared" si="10"/>
        <v/>
      </c>
      <c r="B346" s="741">
        <f>Gases!A352</f>
        <v>327</v>
      </c>
      <c r="C346" s="970"/>
      <c r="D346" s="973"/>
      <c r="E346" s="973"/>
      <c r="F346" s="973"/>
      <c r="G346" s="973"/>
      <c r="H346" s="973"/>
      <c r="I346" s="976"/>
      <c r="J346" s="977"/>
      <c r="K346" s="965">
        <v>327</v>
      </c>
      <c r="L346" s="965"/>
      <c r="M346" s="978"/>
      <c r="N346" s="965">
        <v>327</v>
      </c>
      <c r="O346" s="159"/>
      <c r="P346" s="159"/>
      <c r="Q346" s="159"/>
      <c r="R346" s="159"/>
      <c r="S346" s="159"/>
      <c r="Y346" s="1975" t="str">
        <f t="shared" si="11"/>
        <v/>
      </c>
    </row>
    <row r="347" spans="1:25">
      <c r="A347" s="1983" t="str">
        <f t="shared" si="10"/>
        <v/>
      </c>
      <c r="B347" s="741">
        <f>Gases!A353</f>
        <v>328</v>
      </c>
      <c r="C347" s="970"/>
      <c r="D347" s="973"/>
      <c r="E347" s="973"/>
      <c r="F347" s="973"/>
      <c r="G347" s="973"/>
      <c r="H347" s="973"/>
      <c r="I347" s="976"/>
      <c r="J347" s="977"/>
      <c r="K347" s="965">
        <v>328</v>
      </c>
      <c r="L347" s="965"/>
      <c r="M347" s="978"/>
      <c r="N347" s="965">
        <v>328</v>
      </c>
      <c r="O347" s="159"/>
      <c r="P347" s="159"/>
      <c r="Q347" s="159"/>
      <c r="R347" s="159"/>
      <c r="S347" s="159"/>
      <c r="Y347" s="1975" t="str">
        <f t="shared" si="11"/>
        <v/>
      </c>
    </row>
    <row r="348" spans="1:25">
      <c r="A348" s="1983" t="str">
        <f t="shared" si="10"/>
        <v/>
      </c>
      <c r="B348" s="741">
        <f>Gases!A354</f>
        <v>329</v>
      </c>
      <c r="C348" s="970"/>
      <c r="D348" s="973"/>
      <c r="E348" s="973"/>
      <c r="F348" s="973"/>
      <c r="G348" s="973"/>
      <c r="H348" s="973"/>
      <c r="I348" s="976"/>
      <c r="J348" s="977"/>
      <c r="K348" s="965">
        <v>329</v>
      </c>
      <c r="L348" s="965"/>
      <c r="M348" s="978"/>
      <c r="N348" s="965">
        <v>329</v>
      </c>
      <c r="O348" s="159"/>
      <c r="P348" s="159"/>
      <c r="Q348" s="159"/>
      <c r="R348" s="159"/>
      <c r="S348" s="159"/>
      <c r="Y348" s="1975" t="str">
        <f t="shared" si="11"/>
        <v/>
      </c>
    </row>
    <row r="349" spans="1:25">
      <c r="A349" s="1983" t="str">
        <f t="shared" si="10"/>
        <v/>
      </c>
      <c r="B349" s="741">
        <f>Gases!A355</f>
        <v>330</v>
      </c>
      <c r="C349" s="970"/>
      <c r="D349" s="973"/>
      <c r="E349" s="973"/>
      <c r="F349" s="973"/>
      <c r="G349" s="973"/>
      <c r="H349" s="973"/>
      <c r="I349" s="976"/>
      <c r="J349" s="977"/>
      <c r="K349" s="965">
        <v>330</v>
      </c>
      <c r="L349" s="965"/>
      <c r="M349" s="978"/>
      <c r="N349" s="965">
        <v>330</v>
      </c>
      <c r="O349" s="159"/>
      <c r="P349" s="159"/>
      <c r="Q349" s="159"/>
      <c r="R349" s="159"/>
      <c r="S349" s="159"/>
      <c r="Y349" s="1975" t="str">
        <f t="shared" si="11"/>
        <v/>
      </c>
    </row>
    <row r="350" spans="1:25">
      <c r="A350" s="1983" t="str">
        <f t="shared" si="10"/>
        <v/>
      </c>
      <c r="B350" s="741">
        <f>Gases!A356</f>
        <v>331</v>
      </c>
      <c r="C350" s="970"/>
      <c r="D350" s="973"/>
      <c r="E350" s="973"/>
      <c r="F350" s="973"/>
      <c r="G350" s="973"/>
      <c r="H350" s="973"/>
      <c r="I350" s="976"/>
      <c r="J350" s="977"/>
      <c r="K350" s="965">
        <v>331</v>
      </c>
      <c r="L350" s="965"/>
      <c r="M350" s="978"/>
      <c r="N350" s="965">
        <v>331</v>
      </c>
      <c r="O350" s="159"/>
      <c r="P350" s="159"/>
      <c r="Q350" s="159"/>
      <c r="R350" s="159"/>
      <c r="S350" s="159"/>
      <c r="Y350" s="1975" t="str">
        <f t="shared" si="11"/>
        <v/>
      </c>
    </row>
    <row r="351" spans="1:25">
      <c r="A351" s="1983" t="str">
        <f t="shared" si="10"/>
        <v/>
      </c>
      <c r="B351" s="741">
        <f>Gases!A357</f>
        <v>332</v>
      </c>
      <c r="C351" s="970"/>
      <c r="D351" s="973"/>
      <c r="E351" s="973"/>
      <c r="F351" s="973"/>
      <c r="G351" s="973"/>
      <c r="H351" s="973"/>
      <c r="I351" s="976"/>
      <c r="J351" s="977"/>
      <c r="K351" s="965">
        <v>332</v>
      </c>
      <c r="L351" s="965"/>
      <c r="M351" s="978"/>
      <c r="N351" s="965">
        <v>332</v>
      </c>
      <c r="O351" s="159"/>
      <c r="P351" s="159"/>
      <c r="Q351" s="159"/>
      <c r="R351" s="159"/>
      <c r="S351" s="159"/>
      <c r="Y351" s="1975" t="str">
        <f t="shared" si="11"/>
        <v/>
      </c>
    </row>
    <row r="352" spans="1:25">
      <c r="A352" s="1983" t="str">
        <f t="shared" si="10"/>
        <v/>
      </c>
      <c r="B352" s="741">
        <f>Gases!A358</f>
        <v>333</v>
      </c>
      <c r="C352" s="970"/>
      <c r="D352" s="973"/>
      <c r="E352" s="973"/>
      <c r="F352" s="973"/>
      <c r="G352" s="973"/>
      <c r="H352" s="973"/>
      <c r="I352" s="976"/>
      <c r="J352" s="977"/>
      <c r="K352" s="965">
        <v>333</v>
      </c>
      <c r="L352" s="965"/>
      <c r="M352" s="978"/>
      <c r="N352" s="965">
        <v>333</v>
      </c>
      <c r="O352" s="159"/>
      <c r="P352" s="159"/>
      <c r="Q352" s="159"/>
      <c r="R352" s="159"/>
      <c r="S352" s="159"/>
      <c r="Y352" s="1975" t="str">
        <f t="shared" si="11"/>
        <v/>
      </c>
    </row>
    <row r="353" spans="1:25">
      <c r="A353" s="1983" t="str">
        <f t="shared" si="10"/>
        <v/>
      </c>
      <c r="B353" s="741">
        <f>Gases!A359</f>
        <v>334</v>
      </c>
      <c r="C353" s="970"/>
      <c r="D353" s="973"/>
      <c r="E353" s="973"/>
      <c r="F353" s="973"/>
      <c r="G353" s="973"/>
      <c r="H353" s="973"/>
      <c r="I353" s="976"/>
      <c r="J353" s="977"/>
      <c r="K353" s="965">
        <v>334</v>
      </c>
      <c r="L353" s="965"/>
      <c r="M353" s="978"/>
      <c r="N353" s="965">
        <v>334</v>
      </c>
      <c r="O353" s="159"/>
      <c r="P353" s="159"/>
      <c r="Q353" s="159"/>
      <c r="R353" s="159"/>
      <c r="S353" s="159"/>
      <c r="Y353" s="1975" t="str">
        <f t="shared" si="11"/>
        <v/>
      </c>
    </row>
    <row r="354" spans="1:25">
      <c r="A354" s="1983" t="str">
        <f t="shared" si="10"/>
        <v/>
      </c>
      <c r="B354" s="741">
        <f>Gases!A360</f>
        <v>335</v>
      </c>
      <c r="C354" s="970"/>
      <c r="D354" s="973"/>
      <c r="E354" s="973"/>
      <c r="F354" s="973"/>
      <c r="G354" s="973"/>
      <c r="H354" s="973"/>
      <c r="I354" s="976"/>
      <c r="J354" s="977"/>
      <c r="K354" s="965">
        <v>335</v>
      </c>
      <c r="L354" s="965"/>
      <c r="M354" s="978"/>
      <c r="N354" s="965">
        <v>335</v>
      </c>
      <c r="O354" s="159"/>
      <c r="P354" s="159"/>
      <c r="Q354" s="159"/>
      <c r="R354" s="159"/>
      <c r="S354" s="159"/>
      <c r="Y354" s="1975" t="str">
        <f t="shared" si="11"/>
        <v/>
      </c>
    </row>
    <row r="355" spans="1:25">
      <c r="A355" s="1983" t="str">
        <f t="shared" si="10"/>
        <v/>
      </c>
      <c r="B355" s="741">
        <f>Gases!A361</f>
        <v>336</v>
      </c>
      <c r="C355" s="970"/>
      <c r="D355" s="973"/>
      <c r="E355" s="973"/>
      <c r="F355" s="973"/>
      <c r="G355" s="973"/>
      <c r="H355" s="973"/>
      <c r="I355" s="976"/>
      <c r="J355" s="977"/>
      <c r="K355" s="965">
        <v>336</v>
      </c>
      <c r="L355" s="965"/>
      <c r="M355" s="978"/>
      <c r="N355" s="965">
        <v>336</v>
      </c>
      <c r="O355" s="159"/>
      <c r="P355" s="159"/>
      <c r="Q355" s="159"/>
      <c r="R355" s="159"/>
      <c r="S355" s="159"/>
      <c r="Y355" s="1975" t="str">
        <f t="shared" si="11"/>
        <v/>
      </c>
    </row>
    <row r="356" spans="1:25">
      <c r="A356" s="1983" t="str">
        <f t="shared" si="10"/>
        <v/>
      </c>
      <c r="B356" s="741">
        <f>Gases!A362</f>
        <v>337</v>
      </c>
      <c r="C356" s="970"/>
      <c r="D356" s="973"/>
      <c r="E356" s="973"/>
      <c r="F356" s="973"/>
      <c r="G356" s="973"/>
      <c r="H356" s="973"/>
      <c r="I356" s="976"/>
      <c r="J356" s="977"/>
      <c r="K356" s="965">
        <v>337</v>
      </c>
      <c r="L356" s="965"/>
      <c r="M356" s="978"/>
      <c r="N356" s="965">
        <v>337</v>
      </c>
      <c r="O356" s="159"/>
      <c r="P356" s="159"/>
      <c r="Q356" s="159"/>
      <c r="R356" s="159"/>
      <c r="S356" s="159"/>
      <c r="Y356" s="1975" t="str">
        <f t="shared" si="11"/>
        <v/>
      </c>
    </row>
    <row r="357" spans="1:25">
      <c r="A357" s="1983" t="str">
        <f t="shared" si="10"/>
        <v/>
      </c>
      <c r="B357" s="741">
        <f>Gases!A363</f>
        <v>338</v>
      </c>
      <c r="C357" s="970"/>
      <c r="D357" s="973"/>
      <c r="E357" s="973"/>
      <c r="F357" s="973"/>
      <c r="G357" s="973"/>
      <c r="H357" s="973"/>
      <c r="I357" s="976"/>
      <c r="J357" s="977"/>
      <c r="K357" s="965">
        <v>338</v>
      </c>
      <c r="L357" s="965"/>
      <c r="M357" s="978"/>
      <c r="N357" s="965">
        <v>338</v>
      </c>
      <c r="O357" s="159"/>
      <c r="P357" s="159"/>
      <c r="Q357" s="159"/>
      <c r="R357" s="159"/>
      <c r="S357" s="159"/>
      <c r="Y357" s="1975" t="str">
        <f t="shared" si="11"/>
        <v/>
      </c>
    </row>
    <row r="358" spans="1:25">
      <c r="A358" s="1983" t="str">
        <f t="shared" si="10"/>
        <v/>
      </c>
      <c r="B358" s="741">
        <f>Gases!A364</f>
        <v>339</v>
      </c>
      <c r="C358" s="970"/>
      <c r="D358" s="973"/>
      <c r="E358" s="973"/>
      <c r="F358" s="973"/>
      <c r="G358" s="973"/>
      <c r="H358" s="973"/>
      <c r="I358" s="976"/>
      <c r="J358" s="977"/>
      <c r="K358" s="965">
        <v>339</v>
      </c>
      <c r="L358" s="965"/>
      <c r="M358" s="978"/>
      <c r="N358" s="965">
        <v>339</v>
      </c>
      <c r="O358" s="159"/>
      <c r="P358" s="159"/>
      <c r="Q358" s="159"/>
      <c r="R358" s="159"/>
      <c r="S358" s="159"/>
      <c r="Y358" s="1975" t="str">
        <f t="shared" si="11"/>
        <v/>
      </c>
    </row>
    <row r="359" spans="1:25">
      <c r="A359" s="1983" t="str">
        <f t="shared" si="10"/>
        <v/>
      </c>
      <c r="B359" s="741">
        <f>Gases!A365</f>
        <v>340</v>
      </c>
      <c r="C359" s="970"/>
      <c r="D359" s="973"/>
      <c r="E359" s="973"/>
      <c r="F359" s="973"/>
      <c r="G359" s="973"/>
      <c r="H359" s="973"/>
      <c r="I359" s="976"/>
      <c r="J359" s="977"/>
      <c r="K359" s="965">
        <v>340</v>
      </c>
      <c r="L359" s="965"/>
      <c r="M359" s="978"/>
      <c r="N359" s="965">
        <v>340</v>
      </c>
      <c r="O359" s="159"/>
      <c r="P359" s="159"/>
      <c r="Q359" s="159"/>
      <c r="R359" s="159"/>
      <c r="S359" s="159"/>
      <c r="Y359" s="1975" t="str">
        <f t="shared" si="11"/>
        <v/>
      </c>
    </row>
    <row r="360" spans="1:25">
      <c r="A360" s="1983" t="str">
        <f t="shared" si="10"/>
        <v/>
      </c>
      <c r="B360" s="741">
        <f>Gases!A366</f>
        <v>341</v>
      </c>
      <c r="C360" s="970"/>
      <c r="D360" s="973"/>
      <c r="E360" s="973"/>
      <c r="F360" s="973"/>
      <c r="G360" s="973"/>
      <c r="H360" s="973"/>
      <c r="I360" s="976"/>
      <c r="J360" s="977"/>
      <c r="K360" s="965">
        <v>341</v>
      </c>
      <c r="L360" s="965"/>
      <c r="M360" s="978"/>
      <c r="N360" s="965">
        <v>341</v>
      </c>
      <c r="O360" s="159"/>
      <c r="P360" s="159"/>
      <c r="Q360" s="159"/>
      <c r="R360" s="159"/>
      <c r="S360" s="159"/>
      <c r="Y360" s="1975" t="str">
        <f t="shared" si="11"/>
        <v/>
      </c>
    </row>
    <row r="361" spans="1:25">
      <c r="A361" s="1983" t="str">
        <f t="shared" si="10"/>
        <v/>
      </c>
      <c r="B361" s="741">
        <f>Gases!A367</f>
        <v>342</v>
      </c>
      <c r="C361" s="970"/>
      <c r="D361" s="973"/>
      <c r="E361" s="973"/>
      <c r="F361" s="973"/>
      <c r="G361" s="973"/>
      <c r="H361" s="973"/>
      <c r="I361" s="976"/>
      <c r="J361" s="977"/>
      <c r="K361" s="965">
        <v>342</v>
      </c>
      <c r="L361" s="965"/>
      <c r="M361" s="978"/>
      <c r="N361" s="965">
        <v>342</v>
      </c>
      <c r="O361" s="159"/>
      <c r="P361" s="159"/>
      <c r="Q361" s="159"/>
      <c r="R361" s="159"/>
      <c r="S361" s="159"/>
      <c r="Y361" s="1975" t="str">
        <f t="shared" si="11"/>
        <v/>
      </c>
    </row>
    <row r="362" spans="1:25">
      <c r="A362" s="1983" t="str">
        <f t="shared" si="10"/>
        <v/>
      </c>
      <c r="B362" s="741">
        <f>Gases!A368</f>
        <v>343</v>
      </c>
      <c r="C362" s="970"/>
      <c r="D362" s="973"/>
      <c r="E362" s="973"/>
      <c r="F362" s="973"/>
      <c r="G362" s="973"/>
      <c r="H362" s="973"/>
      <c r="I362" s="976"/>
      <c r="J362" s="977"/>
      <c r="K362" s="965">
        <v>343</v>
      </c>
      <c r="L362" s="965"/>
      <c r="M362" s="978"/>
      <c r="N362" s="965">
        <v>343</v>
      </c>
      <c r="O362" s="159"/>
      <c r="P362" s="159"/>
      <c r="Q362" s="159"/>
      <c r="R362" s="159"/>
      <c r="S362" s="159"/>
      <c r="Y362" s="1975" t="str">
        <f t="shared" si="11"/>
        <v/>
      </c>
    </row>
    <row r="363" spans="1:25">
      <c r="A363" s="1983" t="str">
        <f t="shared" si="10"/>
        <v/>
      </c>
      <c r="B363" s="741">
        <f>Gases!A369</f>
        <v>344</v>
      </c>
      <c r="C363" s="970"/>
      <c r="D363" s="973"/>
      <c r="E363" s="973"/>
      <c r="F363" s="973"/>
      <c r="G363" s="973"/>
      <c r="H363" s="973"/>
      <c r="I363" s="976"/>
      <c r="J363" s="977"/>
      <c r="K363" s="965">
        <v>344</v>
      </c>
      <c r="L363" s="965"/>
      <c r="M363" s="978"/>
      <c r="N363" s="965">
        <v>344</v>
      </c>
      <c r="O363" s="159"/>
      <c r="P363" s="159"/>
      <c r="Q363" s="159"/>
      <c r="R363" s="159"/>
      <c r="S363" s="159"/>
      <c r="Y363" s="1975" t="str">
        <f t="shared" si="11"/>
        <v/>
      </c>
    </row>
    <row r="364" spans="1:25">
      <c r="A364" s="1983" t="str">
        <f t="shared" si="10"/>
        <v/>
      </c>
      <c r="B364" s="741">
        <f>Gases!A370</f>
        <v>345</v>
      </c>
      <c r="C364" s="970"/>
      <c r="D364" s="973"/>
      <c r="E364" s="973"/>
      <c r="F364" s="973"/>
      <c r="G364" s="973"/>
      <c r="H364" s="973"/>
      <c r="I364" s="976"/>
      <c r="J364" s="977"/>
      <c r="K364" s="965">
        <v>345</v>
      </c>
      <c r="L364" s="965"/>
      <c r="M364" s="978"/>
      <c r="N364" s="965">
        <v>345</v>
      </c>
      <c r="O364" s="159"/>
      <c r="P364" s="159"/>
      <c r="Q364" s="159"/>
      <c r="R364" s="159"/>
      <c r="S364" s="159"/>
      <c r="Y364" s="1975" t="str">
        <f t="shared" si="11"/>
        <v/>
      </c>
    </row>
    <row r="365" spans="1:25">
      <c r="A365" s="1983" t="str">
        <f t="shared" si="10"/>
        <v/>
      </c>
      <c r="B365" s="741">
        <f>Gases!A371</f>
        <v>346</v>
      </c>
      <c r="C365" s="970"/>
      <c r="D365" s="973"/>
      <c r="E365" s="973"/>
      <c r="F365" s="973"/>
      <c r="G365" s="973"/>
      <c r="H365" s="973"/>
      <c r="I365" s="976"/>
      <c r="J365" s="977"/>
      <c r="K365" s="965">
        <v>346</v>
      </c>
      <c r="L365" s="965"/>
      <c r="M365" s="978"/>
      <c r="N365" s="965">
        <v>346</v>
      </c>
      <c r="O365" s="159"/>
      <c r="P365" s="159"/>
      <c r="Q365" s="159"/>
      <c r="R365" s="159"/>
      <c r="S365" s="159"/>
      <c r="Y365" s="1975" t="str">
        <f t="shared" si="11"/>
        <v/>
      </c>
    </row>
    <row r="366" spans="1:25">
      <c r="A366" s="1983" t="str">
        <f t="shared" si="10"/>
        <v/>
      </c>
      <c r="B366" s="741">
        <f>Gases!A372</f>
        <v>347</v>
      </c>
      <c r="C366" s="970"/>
      <c r="D366" s="973"/>
      <c r="E366" s="973"/>
      <c r="F366" s="973"/>
      <c r="G366" s="973"/>
      <c r="H366" s="973"/>
      <c r="I366" s="976"/>
      <c r="J366" s="977"/>
      <c r="K366" s="965">
        <v>347</v>
      </c>
      <c r="L366" s="965"/>
      <c r="M366" s="978"/>
      <c r="N366" s="965">
        <v>347</v>
      </c>
      <c r="O366" s="159"/>
      <c r="P366" s="159"/>
      <c r="Q366" s="159"/>
      <c r="R366" s="159"/>
      <c r="S366" s="159"/>
      <c r="Y366" s="1975" t="str">
        <f t="shared" si="11"/>
        <v/>
      </c>
    </row>
    <row r="367" spans="1:25">
      <c r="A367" s="1983" t="str">
        <f t="shared" si="10"/>
        <v/>
      </c>
      <c r="B367" s="741">
        <f>Gases!A373</f>
        <v>348</v>
      </c>
      <c r="C367" s="970"/>
      <c r="D367" s="973"/>
      <c r="E367" s="973"/>
      <c r="F367" s="973"/>
      <c r="G367" s="973"/>
      <c r="H367" s="973"/>
      <c r="I367" s="976"/>
      <c r="J367" s="977"/>
      <c r="K367" s="965">
        <v>348</v>
      </c>
      <c r="L367" s="965"/>
      <c r="M367" s="978"/>
      <c r="N367" s="965">
        <v>348</v>
      </c>
      <c r="O367" s="159"/>
      <c r="P367" s="159"/>
      <c r="Q367" s="159"/>
      <c r="R367" s="159"/>
      <c r="S367" s="159"/>
      <c r="Y367" s="1975" t="str">
        <f t="shared" si="11"/>
        <v/>
      </c>
    </row>
    <row r="368" spans="1:25">
      <c r="A368" s="1983" t="str">
        <f t="shared" si="10"/>
        <v/>
      </c>
      <c r="B368" s="741">
        <f>Gases!A374</f>
        <v>349</v>
      </c>
      <c r="C368" s="970"/>
      <c r="D368" s="973"/>
      <c r="E368" s="973"/>
      <c r="F368" s="973"/>
      <c r="G368" s="973"/>
      <c r="H368" s="973"/>
      <c r="I368" s="976"/>
      <c r="J368" s="977"/>
      <c r="K368" s="965">
        <v>349</v>
      </c>
      <c r="L368" s="965"/>
      <c r="M368" s="978"/>
      <c r="N368" s="965">
        <v>349</v>
      </c>
      <c r="O368" s="159"/>
      <c r="P368" s="159"/>
      <c r="Q368" s="159"/>
      <c r="R368" s="159"/>
      <c r="S368" s="159"/>
      <c r="Y368" s="1975" t="str">
        <f t="shared" si="11"/>
        <v/>
      </c>
    </row>
    <row r="369" spans="1:25">
      <c r="A369" s="1983" t="str">
        <f t="shared" si="10"/>
        <v/>
      </c>
      <c r="B369" s="741">
        <f>Gases!A375</f>
        <v>350</v>
      </c>
      <c r="C369" s="970"/>
      <c r="D369" s="973"/>
      <c r="E369" s="973"/>
      <c r="F369" s="973"/>
      <c r="G369" s="973"/>
      <c r="H369" s="973"/>
      <c r="I369" s="976"/>
      <c r="J369" s="977"/>
      <c r="K369" s="965">
        <v>350</v>
      </c>
      <c r="L369" s="965"/>
      <c r="M369" s="978"/>
      <c r="N369" s="965">
        <v>350</v>
      </c>
      <c r="O369" s="159"/>
      <c r="P369" s="159"/>
      <c r="Q369" s="159"/>
      <c r="R369" s="159"/>
      <c r="S369" s="159"/>
      <c r="Y369" s="1975" t="str">
        <f t="shared" si="11"/>
        <v/>
      </c>
    </row>
    <row r="370" spans="1:25">
      <c r="A370" s="1983" t="str">
        <f t="shared" si="10"/>
        <v/>
      </c>
      <c r="B370" s="741">
        <f>Gases!A376</f>
        <v>351</v>
      </c>
      <c r="C370" s="970"/>
      <c r="D370" s="973"/>
      <c r="E370" s="973"/>
      <c r="F370" s="973"/>
      <c r="G370" s="973"/>
      <c r="H370" s="973"/>
      <c r="I370" s="976"/>
      <c r="J370" s="977"/>
      <c r="K370" s="965">
        <v>351</v>
      </c>
      <c r="L370" s="965"/>
      <c r="M370" s="978"/>
      <c r="N370" s="965">
        <v>351</v>
      </c>
      <c r="O370" s="159"/>
      <c r="P370" s="159"/>
      <c r="Q370" s="159"/>
      <c r="R370" s="159"/>
      <c r="S370" s="159"/>
      <c r="Y370" s="1975" t="str">
        <f t="shared" si="11"/>
        <v/>
      </c>
    </row>
    <row r="371" spans="1:25">
      <c r="A371" s="1983" t="str">
        <f t="shared" si="10"/>
        <v/>
      </c>
      <c r="B371" s="741">
        <f>Gases!A377</f>
        <v>352</v>
      </c>
      <c r="C371" s="970"/>
      <c r="D371" s="973"/>
      <c r="E371" s="973"/>
      <c r="F371" s="973"/>
      <c r="G371" s="973"/>
      <c r="H371" s="973"/>
      <c r="I371" s="976"/>
      <c r="J371" s="977"/>
      <c r="K371" s="965">
        <v>352</v>
      </c>
      <c r="L371" s="965"/>
      <c r="M371" s="978"/>
      <c r="N371" s="965">
        <v>352</v>
      </c>
      <c r="O371" s="159"/>
      <c r="P371" s="159"/>
      <c r="Q371" s="159"/>
      <c r="R371" s="159"/>
      <c r="S371" s="159"/>
      <c r="Y371" s="1975" t="str">
        <f t="shared" si="11"/>
        <v/>
      </c>
    </row>
    <row r="372" spans="1:25">
      <c r="A372" s="1983" t="str">
        <f t="shared" si="10"/>
        <v/>
      </c>
      <c r="B372" s="741">
        <f>Gases!A378</f>
        <v>353</v>
      </c>
      <c r="C372" s="970"/>
      <c r="D372" s="973"/>
      <c r="E372" s="973"/>
      <c r="F372" s="973"/>
      <c r="G372" s="973"/>
      <c r="H372" s="973"/>
      <c r="I372" s="976"/>
      <c r="J372" s="977"/>
      <c r="K372" s="965">
        <v>353</v>
      </c>
      <c r="L372" s="965"/>
      <c r="M372" s="978"/>
      <c r="N372" s="965">
        <v>353</v>
      </c>
      <c r="O372" s="159"/>
      <c r="P372" s="159"/>
      <c r="Q372" s="159"/>
      <c r="R372" s="159"/>
      <c r="S372" s="159"/>
      <c r="Y372" s="1975" t="str">
        <f t="shared" si="11"/>
        <v/>
      </c>
    </row>
    <row r="373" spans="1:25">
      <c r="A373" s="1983" t="str">
        <f t="shared" si="10"/>
        <v/>
      </c>
      <c r="B373" s="741">
        <f>Gases!A379</f>
        <v>354</v>
      </c>
      <c r="C373" s="970"/>
      <c r="D373" s="973"/>
      <c r="E373" s="973"/>
      <c r="F373" s="973"/>
      <c r="G373" s="973"/>
      <c r="H373" s="973"/>
      <c r="I373" s="976"/>
      <c r="J373" s="977"/>
      <c r="K373" s="965">
        <v>354</v>
      </c>
      <c r="L373" s="965"/>
      <c r="M373" s="978"/>
      <c r="N373" s="965">
        <v>354</v>
      </c>
      <c r="O373" s="159"/>
      <c r="P373" s="159"/>
      <c r="Q373" s="159"/>
      <c r="R373" s="159"/>
      <c r="S373" s="159"/>
      <c r="Y373" s="1975" t="str">
        <f t="shared" si="11"/>
        <v/>
      </c>
    </row>
    <row r="374" spans="1:25">
      <c r="A374" s="1983" t="str">
        <f t="shared" si="10"/>
        <v/>
      </c>
      <c r="B374" s="741">
        <f>Gases!A380</f>
        <v>355</v>
      </c>
      <c r="C374" s="970"/>
      <c r="D374" s="973"/>
      <c r="E374" s="973"/>
      <c r="F374" s="973"/>
      <c r="G374" s="973"/>
      <c r="H374" s="973"/>
      <c r="I374" s="976"/>
      <c r="J374" s="977"/>
      <c r="K374" s="965">
        <v>355</v>
      </c>
      <c r="L374" s="965"/>
      <c r="M374" s="978"/>
      <c r="N374" s="965">
        <v>355</v>
      </c>
      <c r="O374" s="159"/>
      <c r="P374" s="159"/>
      <c r="Q374" s="159"/>
      <c r="R374" s="159"/>
      <c r="S374" s="159"/>
      <c r="Y374" s="1975" t="str">
        <f t="shared" si="11"/>
        <v/>
      </c>
    </row>
    <row r="375" spans="1:25">
      <c r="A375" s="1983" t="str">
        <f t="shared" si="10"/>
        <v/>
      </c>
      <c r="B375" s="741">
        <f>Gases!A381</f>
        <v>356</v>
      </c>
      <c r="C375" s="970"/>
      <c r="D375" s="973"/>
      <c r="E375" s="973"/>
      <c r="F375" s="973"/>
      <c r="G375" s="973"/>
      <c r="H375" s="973"/>
      <c r="I375" s="976"/>
      <c r="J375" s="977"/>
      <c r="K375" s="965">
        <v>356</v>
      </c>
      <c r="L375" s="965"/>
      <c r="M375" s="978"/>
      <c r="N375" s="965">
        <v>356</v>
      </c>
      <c r="O375" s="159"/>
      <c r="P375" s="159"/>
      <c r="Q375" s="159"/>
      <c r="R375" s="159"/>
      <c r="S375" s="159"/>
      <c r="Y375" s="1975" t="str">
        <f t="shared" si="11"/>
        <v/>
      </c>
    </row>
    <row r="376" spans="1:25">
      <c r="A376" s="1983" t="str">
        <f t="shared" si="10"/>
        <v/>
      </c>
      <c r="B376" s="741">
        <f>Gases!A382</f>
        <v>357</v>
      </c>
      <c r="C376" s="970"/>
      <c r="D376" s="973"/>
      <c r="E376" s="973"/>
      <c r="F376" s="973"/>
      <c r="G376" s="973"/>
      <c r="H376" s="973"/>
      <c r="I376" s="976"/>
      <c r="J376" s="977"/>
      <c r="K376" s="965">
        <v>357</v>
      </c>
      <c r="L376" s="965"/>
      <c r="M376" s="978"/>
      <c r="N376" s="965">
        <v>357</v>
      </c>
      <c r="O376" s="159"/>
      <c r="P376" s="159"/>
      <c r="Q376" s="159"/>
      <c r="R376" s="159"/>
      <c r="S376" s="159"/>
      <c r="Y376" s="1975" t="str">
        <f t="shared" si="11"/>
        <v/>
      </c>
    </row>
    <row r="377" spans="1:25">
      <c r="A377" s="1983" t="str">
        <f t="shared" si="10"/>
        <v/>
      </c>
      <c r="B377" s="741">
        <f>Gases!A383</f>
        <v>358</v>
      </c>
      <c r="C377" s="970"/>
      <c r="D377" s="973"/>
      <c r="E377" s="973"/>
      <c r="F377" s="973"/>
      <c r="G377" s="973"/>
      <c r="H377" s="973"/>
      <c r="I377" s="976"/>
      <c r="J377" s="977"/>
      <c r="K377" s="965">
        <v>358</v>
      </c>
      <c r="L377" s="965"/>
      <c r="M377" s="978"/>
      <c r="N377" s="965">
        <v>358</v>
      </c>
      <c r="O377" s="159"/>
      <c r="P377" s="159"/>
      <c r="Q377" s="159"/>
      <c r="R377" s="159"/>
      <c r="S377" s="159"/>
      <c r="Y377" s="1975" t="str">
        <f t="shared" si="11"/>
        <v/>
      </c>
    </row>
    <row r="378" spans="1:25">
      <c r="A378" s="1983" t="str">
        <f t="shared" si="10"/>
        <v/>
      </c>
      <c r="B378" s="741">
        <f>Gases!A384</f>
        <v>359</v>
      </c>
      <c r="C378" s="970"/>
      <c r="D378" s="973"/>
      <c r="E378" s="973"/>
      <c r="F378" s="973"/>
      <c r="G378" s="973"/>
      <c r="H378" s="973"/>
      <c r="I378" s="976"/>
      <c r="J378" s="977"/>
      <c r="K378" s="965">
        <v>359</v>
      </c>
      <c r="L378" s="965"/>
      <c r="M378" s="978"/>
      <c r="N378" s="965">
        <v>359</v>
      </c>
      <c r="O378" s="159"/>
      <c r="P378" s="159"/>
      <c r="Q378" s="159"/>
      <c r="R378" s="159"/>
      <c r="S378" s="159"/>
      <c r="Y378" s="1975" t="str">
        <f t="shared" si="11"/>
        <v/>
      </c>
    </row>
    <row r="379" spans="1:25">
      <c r="A379" s="1983" t="str">
        <f t="shared" si="10"/>
        <v/>
      </c>
      <c r="B379" s="741">
        <f>Gases!A385</f>
        <v>360</v>
      </c>
      <c r="C379" s="970"/>
      <c r="D379" s="973"/>
      <c r="E379" s="973"/>
      <c r="F379" s="973"/>
      <c r="G379" s="973"/>
      <c r="H379" s="973"/>
      <c r="I379" s="976"/>
      <c r="J379" s="977"/>
      <c r="K379" s="965">
        <v>360</v>
      </c>
      <c r="L379" s="965"/>
      <c r="M379" s="978"/>
      <c r="N379" s="965">
        <v>360</v>
      </c>
      <c r="O379" s="159"/>
      <c r="P379" s="159"/>
      <c r="Q379" s="159"/>
      <c r="R379" s="159"/>
      <c r="S379" s="159"/>
      <c r="Y379" s="1975" t="str">
        <f t="shared" si="11"/>
        <v/>
      </c>
    </row>
    <row r="380" spans="1:25">
      <c r="A380" s="1983" t="str">
        <f t="shared" si="10"/>
        <v/>
      </c>
      <c r="B380" s="741">
        <f>Gases!A386</f>
        <v>361</v>
      </c>
      <c r="C380" s="970"/>
      <c r="D380" s="973"/>
      <c r="E380" s="973"/>
      <c r="F380" s="973"/>
      <c r="G380" s="973"/>
      <c r="H380" s="973"/>
      <c r="I380" s="976"/>
      <c r="J380" s="977"/>
      <c r="K380" s="965">
        <v>361</v>
      </c>
      <c r="L380" s="965"/>
      <c r="M380" s="978"/>
      <c r="N380" s="965">
        <v>361</v>
      </c>
      <c r="O380" s="159"/>
      <c r="P380" s="159"/>
      <c r="Q380" s="159"/>
      <c r="R380" s="159"/>
      <c r="S380" s="159"/>
      <c r="Y380" s="1975" t="str">
        <f t="shared" si="11"/>
        <v/>
      </c>
    </row>
    <row r="381" spans="1:25">
      <c r="A381" s="1983" t="str">
        <f t="shared" si="10"/>
        <v/>
      </c>
      <c r="B381" s="741">
        <f>Gases!A387</f>
        <v>362</v>
      </c>
      <c r="C381" s="970"/>
      <c r="D381" s="973"/>
      <c r="E381" s="973"/>
      <c r="F381" s="973"/>
      <c r="G381" s="973"/>
      <c r="H381" s="973"/>
      <c r="I381" s="976"/>
      <c r="J381" s="977"/>
      <c r="K381" s="965">
        <v>362</v>
      </c>
      <c r="L381" s="965"/>
      <c r="M381" s="978"/>
      <c r="N381" s="965">
        <v>362</v>
      </c>
      <c r="O381" s="159"/>
      <c r="P381" s="159"/>
      <c r="Q381" s="159"/>
      <c r="R381" s="159"/>
      <c r="S381" s="159"/>
      <c r="Y381" s="1975" t="str">
        <f t="shared" si="11"/>
        <v/>
      </c>
    </row>
    <row r="382" spans="1:25">
      <c r="A382" s="1983" t="str">
        <f t="shared" si="10"/>
        <v/>
      </c>
      <c r="B382" s="741">
        <f>Gases!A388</f>
        <v>363</v>
      </c>
      <c r="C382" s="970"/>
      <c r="D382" s="973"/>
      <c r="E382" s="973"/>
      <c r="F382" s="973"/>
      <c r="G382" s="973"/>
      <c r="H382" s="973"/>
      <c r="I382" s="976"/>
      <c r="J382" s="977"/>
      <c r="K382" s="965">
        <v>363</v>
      </c>
      <c r="L382" s="965"/>
      <c r="M382" s="978"/>
      <c r="N382" s="965">
        <v>363</v>
      </c>
      <c r="O382" s="159"/>
      <c r="P382" s="159"/>
      <c r="Q382" s="159"/>
      <c r="R382" s="159"/>
      <c r="S382" s="159"/>
      <c r="Y382" s="1975" t="str">
        <f t="shared" si="11"/>
        <v/>
      </c>
    </row>
    <row r="383" spans="1:25">
      <c r="A383" s="1983" t="str">
        <f t="shared" si="10"/>
        <v/>
      </c>
      <c r="B383" s="741">
        <f>Gases!A389</f>
        <v>364</v>
      </c>
      <c r="C383" s="970"/>
      <c r="D383" s="973"/>
      <c r="E383" s="973"/>
      <c r="F383" s="973"/>
      <c r="G383" s="973"/>
      <c r="H383" s="973"/>
      <c r="I383" s="976"/>
      <c r="J383" s="977"/>
      <c r="K383" s="965">
        <v>364</v>
      </c>
      <c r="L383" s="965"/>
      <c r="M383" s="978"/>
      <c r="N383" s="965">
        <v>364</v>
      </c>
      <c r="O383" s="159"/>
      <c r="P383" s="159"/>
      <c r="Q383" s="159"/>
      <c r="R383" s="159"/>
      <c r="S383" s="159"/>
      <c r="Y383" s="1975" t="str">
        <f t="shared" si="11"/>
        <v/>
      </c>
    </row>
    <row r="384" spans="1:25">
      <c r="A384" s="1983" t="str">
        <f t="shared" si="10"/>
        <v/>
      </c>
      <c r="B384" s="741">
        <f>Gases!A390</f>
        <v>365</v>
      </c>
      <c r="C384" s="970"/>
      <c r="D384" s="973"/>
      <c r="E384" s="973"/>
      <c r="F384" s="973"/>
      <c r="G384" s="973"/>
      <c r="H384" s="973"/>
      <c r="I384" s="976"/>
      <c r="J384" s="977"/>
      <c r="K384" s="965">
        <v>365</v>
      </c>
      <c r="L384" s="965"/>
      <c r="M384" s="978"/>
      <c r="N384" s="965">
        <v>365</v>
      </c>
      <c r="O384" s="159"/>
      <c r="P384" s="159"/>
      <c r="Q384" s="159"/>
      <c r="R384" s="159"/>
      <c r="S384" s="159"/>
      <c r="Y384" s="1975" t="str">
        <f t="shared" si="11"/>
        <v/>
      </c>
    </row>
    <row r="385" spans="1:25">
      <c r="A385" s="1983" t="str">
        <f t="shared" si="10"/>
        <v/>
      </c>
      <c r="B385" s="741">
        <f>Gases!A391</f>
        <v>366</v>
      </c>
      <c r="C385" s="970"/>
      <c r="D385" s="973"/>
      <c r="E385" s="973"/>
      <c r="F385" s="973"/>
      <c r="G385" s="973"/>
      <c r="H385" s="973"/>
      <c r="I385" s="976"/>
      <c r="J385" s="977"/>
      <c r="K385" s="965">
        <v>366</v>
      </c>
      <c r="L385" s="965"/>
      <c r="M385" s="978"/>
      <c r="N385" s="965">
        <v>366</v>
      </c>
      <c r="O385" s="159"/>
      <c r="P385" s="159"/>
      <c r="Q385" s="159"/>
      <c r="R385" s="159"/>
      <c r="S385" s="159"/>
      <c r="Y385" s="1975" t="str">
        <f t="shared" si="11"/>
        <v/>
      </c>
    </row>
    <row r="386" spans="1:25">
      <c r="A386" s="1983" t="str">
        <f t="shared" si="10"/>
        <v/>
      </c>
      <c r="B386" s="741">
        <f>Gases!A392</f>
        <v>367</v>
      </c>
      <c r="C386" s="970"/>
      <c r="D386" s="973"/>
      <c r="E386" s="973"/>
      <c r="F386" s="973"/>
      <c r="G386" s="973"/>
      <c r="H386" s="973"/>
      <c r="I386" s="976"/>
      <c r="J386" s="977"/>
      <c r="K386" s="965">
        <v>367</v>
      </c>
      <c r="L386" s="965"/>
      <c r="M386" s="978"/>
      <c r="N386" s="965">
        <v>367</v>
      </c>
      <c r="O386" s="159"/>
      <c r="P386" s="159"/>
      <c r="Q386" s="159"/>
      <c r="R386" s="159"/>
      <c r="S386" s="159"/>
      <c r="Y386" s="1975" t="str">
        <f t="shared" si="11"/>
        <v/>
      </c>
    </row>
    <row r="387" spans="1:25">
      <c r="A387" s="1983" t="str">
        <f t="shared" si="10"/>
        <v/>
      </c>
      <c r="B387" s="741">
        <f>Gases!A393</f>
        <v>368</v>
      </c>
      <c r="C387" s="970"/>
      <c r="D387" s="973"/>
      <c r="E387" s="973"/>
      <c r="F387" s="973"/>
      <c r="G387" s="973"/>
      <c r="H387" s="973"/>
      <c r="I387" s="976"/>
      <c r="J387" s="977"/>
      <c r="K387" s="965">
        <v>368</v>
      </c>
      <c r="L387" s="965"/>
      <c r="M387" s="978"/>
      <c r="N387" s="965">
        <v>368</v>
      </c>
      <c r="O387" s="159"/>
      <c r="P387" s="159"/>
      <c r="Q387" s="159"/>
      <c r="R387" s="159"/>
      <c r="S387" s="159"/>
      <c r="Y387" s="1975" t="str">
        <f t="shared" si="11"/>
        <v/>
      </c>
    </row>
    <row r="388" spans="1:25">
      <c r="A388" s="1983" t="str">
        <f t="shared" si="10"/>
        <v/>
      </c>
      <c r="B388" s="741">
        <f>Gases!A394</f>
        <v>369</v>
      </c>
      <c r="C388" s="970"/>
      <c r="D388" s="973"/>
      <c r="E388" s="973"/>
      <c r="F388" s="973"/>
      <c r="G388" s="973"/>
      <c r="H388" s="973"/>
      <c r="I388" s="976"/>
      <c r="J388" s="977"/>
      <c r="K388" s="965">
        <v>369</v>
      </c>
      <c r="L388" s="965"/>
      <c r="M388" s="978"/>
      <c r="N388" s="965">
        <v>369</v>
      </c>
      <c r="O388" s="159"/>
      <c r="P388" s="159"/>
      <c r="Q388" s="159"/>
      <c r="R388" s="159"/>
      <c r="S388" s="159"/>
      <c r="Y388" s="1975" t="str">
        <f t="shared" si="11"/>
        <v/>
      </c>
    </row>
    <row r="389" spans="1:25">
      <c r="A389" s="1983" t="str">
        <f t="shared" si="10"/>
        <v/>
      </c>
      <c r="B389" s="741">
        <f>Gases!A395</f>
        <v>370</v>
      </c>
      <c r="C389" s="970"/>
      <c r="D389" s="973"/>
      <c r="E389" s="973"/>
      <c r="F389" s="973"/>
      <c r="G389" s="973"/>
      <c r="H389" s="973"/>
      <c r="I389" s="976"/>
      <c r="J389" s="977"/>
      <c r="K389" s="965">
        <v>370</v>
      </c>
      <c r="L389" s="965"/>
      <c r="M389" s="978"/>
      <c r="N389" s="965">
        <v>370</v>
      </c>
      <c r="O389" s="159"/>
      <c r="P389" s="159"/>
      <c r="Q389" s="159"/>
      <c r="R389" s="159"/>
      <c r="S389" s="159"/>
      <c r="Y389" s="1975" t="str">
        <f t="shared" si="11"/>
        <v/>
      </c>
    </row>
    <row r="390" spans="1:25">
      <c r="A390" s="1983" t="str">
        <f t="shared" si="10"/>
        <v/>
      </c>
      <c r="B390" s="741">
        <f>Gases!A396</f>
        <v>371</v>
      </c>
      <c r="C390" s="970"/>
      <c r="D390" s="973"/>
      <c r="E390" s="973"/>
      <c r="F390" s="973"/>
      <c r="G390" s="973"/>
      <c r="H390" s="973"/>
      <c r="I390" s="976"/>
      <c r="J390" s="977"/>
      <c r="K390" s="965">
        <v>371</v>
      </c>
      <c r="L390" s="965"/>
      <c r="M390" s="978"/>
      <c r="N390" s="965">
        <v>371</v>
      </c>
      <c r="O390" s="159"/>
      <c r="P390" s="159"/>
      <c r="Q390" s="159"/>
      <c r="R390" s="159"/>
      <c r="S390" s="159"/>
      <c r="Y390" s="1975" t="str">
        <f t="shared" si="11"/>
        <v/>
      </c>
    </row>
    <row r="391" spans="1:25">
      <c r="A391" s="1983" t="str">
        <f t="shared" si="10"/>
        <v/>
      </c>
      <c r="B391" s="741">
        <f>Gases!A397</f>
        <v>372</v>
      </c>
      <c r="C391" s="970"/>
      <c r="D391" s="973"/>
      <c r="E391" s="973"/>
      <c r="F391" s="973"/>
      <c r="G391" s="973"/>
      <c r="H391" s="973"/>
      <c r="I391" s="976"/>
      <c r="J391" s="977"/>
      <c r="K391" s="965">
        <v>372</v>
      </c>
      <c r="L391" s="965"/>
      <c r="M391" s="978"/>
      <c r="N391" s="965">
        <v>372</v>
      </c>
      <c r="O391" s="159"/>
      <c r="P391" s="159"/>
      <c r="Q391" s="159"/>
      <c r="R391" s="159"/>
      <c r="S391" s="159"/>
      <c r="Y391" s="1975" t="str">
        <f t="shared" si="11"/>
        <v/>
      </c>
    </row>
    <row r="392" spans="1:25">
      <c r="A392" s="1983" t="str">
        <f t="shared" si="10"/>
        <v/>
      </c>
      <c r="B392" s="741">
        <f>Gases!A398</f>
        <v>373</v>
      </c>
      <c r="C392" s="970"/>
      <c r="D392" s="973"/>
      <c r="E392" s="973"/>
      <c r="F392" s="973"/>
      <c r="G392" s="973"/>
      <c r="H392" s="973"/>
      <c r="I392" s="976"/>
      <c r="J392" s="977"/>
      <c r="K392" s="965">
        <v>373</v>
      </c>
      <c r="L392" s="965"/>
      <c r="M392" s="978"/>
      <c r="N392" s="965">
        <v>373</v>
      </c>
      <c r="O392" s="159"/>
      <c r="P392" s="159"/>
      <c r="Q392" s="159"/>
      <c r="R392" s="159"/>
      <c r="S392" s="159"/>
      <c r="Y392" s="1975" t="str">
        <f t="shared" si="11"/>
        <v/>
      </c>
    </row>
    <row r="393" spans="1:25">
      <c r="A393" s="1983" t="str">
        <f t="shared" si="10"/>
        <v/>
      </c>
      <c r="B393" s="741">
        <f>Gases!A399</f>
        <v>374</v>
      </c>
      <c r="C393" s="970"/>
      <c r="D393" s="973"/>
      <c r="E393" s="973"/>
      <c r="F393" s="973"/>
      <c r="G393" s="973"/>
      <c r="H393" s="973"/>
      <c r="I393" s="976"/>
      <c r="J393" s="977"/>
      <c r="K393" s="965">
        <v>374</v>
      </c>
      <c r="L393" s="965"/>
      <c r="M393" s="978"/>
      <c r="N393" s="965">
        <v>374</v>
      </c>
      <c r="O393" s="159"/>
      <c r="P393" s="159"/>
      <c r="Q393" s="159"/>
      <c r="R393" s="159"/>
      <c r="S393" s="159"/>
      <c r="Y393" s="1975" t="str">
        <f t="shared" si="11"/>
        <v/>
      </c>
    </row>
    <row r="394" spans="1:25">
      <c r="A394" s="1983" t="str">
        <f t="shared" si="10"/>
        <v/>
      </c>
      <c r="B394" s="741">
        <f>Gases!A400</f>
        <v>375</v>
      </c>
      <c r="C394" s="970"/>
      <c r="D394" s="973"/>
      <c r="E394" s="973"/>
      <c r="F394" s="973"/>
      <c r="G394" s="973"/>
      <c r="H394" s="973"/>
      <c r="I394" s="976"/>
      <c r="J394" s="977"/>
      <c r="K394" s="965">
        <v>375</v>
      </c>
      <c r="L394" s="965"/>
      <c r="M394" s="978"/>
      <c r="N394" s="965">
        <v>375</v>
      </c>
      <c r="O394" s="159"/>
      <c r="P394" s="159"/>
      <c r="Q394" s="159"/>
      <c r="R394" s="159"/>
      <c r="S394" s="159"/>
      <c r="Y394" s="1975" t="str">
        <f t="shared" si="11"/>
        <v/>
      </c>
    </row>
    <row r="395" spans="1:25">
      <c r="A395" s="1983" t="str">
        <f t="shared" si="10"/>
        <v/>
      </c>
      <c r="B395" s="741">
        <f>Gases!A401</f>
        <v>376</v>
      </c>
      <c r="C395" s="970"/>
      <c r="D395" s="973"/>
      <c r="E395" s="973"/>
      <c r="F395" s="973"/>
      <c r="G395" s="973"/>
      <c r="H395" s="973"/>
      <c r="I395" s="976"/>
      <c r="J395" s="977"/>
      <c r="K395" s="965">
        <v>376</v>
      </c>
      <c r="L395" s="965"/>
      <c r="M395" s="978"/>
      <c r="N395" s="965">
        <v>376</v>
      </c>
      <c r="O395" s="159"/>
      <c r="P395" s="159"/>
      <c r="Q395" s="159"/>
      <c r="R395" s="159"/>
      <c r="S395" s="159"/>
      <c r="Y395" s="1975" t="str">
        <f t="shared" si="11"/>
        <v/>
      </c>
    </row>
    <row r="396" spans="1:25">
      <c r="A396" s="1983" t="str">
        <f t="shared" si="10"/>
        <v/>
      </c>
      <c r="B396" s="741">
        <f>Gases!A402</f>
        <v>377</v>
      </c>
      <c r="C396" s="970"/>
      <c r="D396" s="973"/>
      <c r="E396" s="973"/>
      <c r="F396" s="973"/>
      <c r="G396" s="973"/>
      <c r="H396" s="973"/>
      <c r="I396" s="976"/>
      <c r="J396" s="977"/>
      <c r="K396" s="965">
        <v>377</v>
      </c>
      <c r="L396" s="965"/>
      <c r="M396" s="978"/>
      <c r="N396" s="965">
        <v>377</v>
      </c>
      <c r="O396" s="159"/>
      <c r="P396" s="159"/>
      <c r="Q396" s="159"/>
      <c r="R396" s="159"/>
      <c r="S396" s="159"/>
      <c r="Y396" s="1975" t="str">
        <f t="shared" si="11"/>
        <v/>
      </c>
    </row>
    <row r="397" spans="1:25">
      <c r="A397" s="1983" t="str">
        <f t="shared" si="10"/>
        <v/>
      </c>
      <c r="B397" s="741">
        <f>Gases!A403</f>
        <v>378</v>
      </c>
      <c r="C397" s="970"/>
      <c r="D397" s="973"/>
      <c r="E397" s="973"/>
      <c r="F397" s="973"/>
      <c r="G397" s="973"/>
      <c r="H397" s="973"/>
      <c r="I397" s="976"/>
      <c r="J397" s="977"/>
      <c r="K397" s="965">
        <v>378</v>
      </c>
      <c r="L397" s="965"/>
      <c r="M397" s="978"/>
      <c r="N397" s="965">
        <v>378</v>
      </c>
      <c r="O397" s="159"/>
      <c r="P397" s="159"/>
      <c r="Q397" s="159"/>
      <c r="R397" s="159"/>
      <c r="S397" s="159"/>
      <c r="Y397" s="1975" t="str">
        <f t="shared" si="11"/>
        <v/>
      </c>
    </row>
    <row r="398" spans="1:25">
      <c r="A398" s="1983" t="str">
        <f t="shared" si="10"/>
        <v/>
      </c>
      <c r="B398" s="741">
        <f>Gases!A404</f>
        <v>379</v>
      </c>
      <c r="C398" s="970"/>
      <c r="D398" s="973"/>
      <c r="E398" s="973"/>
      <c r="F398" s="973"/>
      <c r="G398" s="973"/>
      <c r="H398" s="973"/>
      <c r="I398" s="976"/>
      <c r="J398" s="977"/>
      <c r="K398" s="965">
        <v>379</v>
      </c>
      <c r="L398" s="965"/>
      <c r="M398" s="978"/>
      <c r="N398" s="965">
        <v>379</v>
      </c>
      <c r="O398" s="159"/>
      <c r="P398" s="159"/>
      <c r="Q398" s="159"/>
      <c r="R398" s="159"/>
      <c r="S398" s="159"/>
      <c r="Y398" s="1975" t="str">
        <f t="shared" si="11"/>
        <v/>
      </c>
    </row>
    <row r="399" spans="1:25">
      <c r="A399" s="1983" t="str">
        <f t="shared" si="10"/>
        <v/>
      </c>
      <c r="B399" s="741">
        <f>Gases!A405</f>
        <v>380</v>
      </c>
      <c r="C399" s="970"/>
      <c r="D399" s="973"/>
      <c r="E399" s="973"/>
      <c r="F399" s="973"/>
      <c r="G399" s="973"/>
      <c r="H399" s="973"/>
      <c r="I399" s="976"/>
      <c r="J399" s="977"/>
      <c r="K399" s="965">
        <v>380</v>
      </c>
      <c r="L399" s="965"/>
      <c r="M399" s="978"/>
      <c r="N399" s="965">
        <v>380</v>
      </c>
      <c r="O399" s="159"/>
      <c r="P399" s="159"/>
      <c r="Q399" s="159"/>
      <c r="R399" s="159"/>
      <c r="S399" s="159"/>
      <c r="Y399" s="1975" t="str">
        <f t="shared" si="11"/>
        <v/>
      </c>
    </row>
    <row r="400" spans="1:25">
      <c r="A400" s="1983" t="str">
        <f t="shared" si="10"/>
        <v/>
      </c>
      <c r="B400" s="741">
        <f>Gases!A406</f>
        <v>381</v>
      </c>
      <c r="C400" s="970"/>
      <c r="D400" s="973"/>
      <c r="E400" s="973"/>
      <c r="F400" s="973"/>
      <c r="G400" s="973"/>
      <c r="H400" s="973"/>
      <c r="I400" s="976"/>
      <c r="J400" s="977"/>
      <c r="K400" s="965">
        <v>381</v>
      </c>
      <c r="L400" s="965"/>
      <c r="M400" s="978"/>
      <c r="N400" s="965">
        <v>381</v>
      </c>
      <c r="O400" s="159"/>
      <c r="P400" s="159"/>
      <c r="Q400" s="159"/>
      <c r="R400" s="159"/>
      <c r="S400" s="159"/>
      <c r="Y400" s="1975" t="str">
        <f t="shared" si="11"/>
        <v/>
      </c>
    </row>
    <row r="401" spans="1:25">
      <c r="A401" s="1983" t="str">
        <f t="shared" si="10"/>
        <v/>
      </c>
      <c r="B401" s="741">
        <f>Gases!A407</f>
        <v>382</v>
      </c>
      <c r="C401" s="970"/>
      <c r="D401" s="973"/>
      <c r="E401" s="973"/>
      <c r="F401" s="973"/>
      <c r="G401" s="973"/>
      <c r="H401" s="973"/>
      <c r="I401" s="976"/>
      <c r="J401" s="977"/>
      <c r="K401" s="965">
        <v>382</v>
      </c>
      <c r="L401" s="965"/>
      <c r="M401" s="978"/>
      <c r="N401" s="965">
        <v>382</v>
      </c>
      <c r="O401" s="159"/>
      <c r="P401" s="159"/>
      <c r="Q401" s="159"/>
      <c r="R401" s="159"/>
      <c r="S401" s="159"/>
      <c r="Y401" s="1975" t="str">
        <f t="shared" si="11"/>
        <v/>
      </c>
    </row>
    <row r="402" spans="1:25">
      <c r="A402" s="1983" t="str">
        <f t="shared" si="10"/>
        <v/>
      </c>
      <c r="B402" s="741">
        <f>Gases!A408</f>
        <v>383</v>
      </c>
      <c r="C402" s="970"/>
      <c r="D402" s="973"/>
      <c r="E402" s="973"/>
      <c r="F402" s="973"/>
      <c r="G402" s="973"/>
      <c r="H402" s="973"/>
      <c r="I402" s="976"/>
      <c r="J402" s="977"/>
      <c r="K402" s="965">
        <v>383</v>
      </c>
      <c r="L402" s="965"/>
      <c r="M402" s="978"/>
      <c r="N402" s="965">
        <v>383</v>
      </c>
      <c r="O402" s="159"/>
      <c r="P402" s="159"/>
      <c r="Q402" s="159"/>
      <c r="R402" s="159"/>
      <c r="S402" s="159"/>
      <c r="Y402" s="1975" t="str">
        <f t="shared" si="11"/>
        <v/>
      </c>
    </row>
    <row r="403" spans="1:25">
      <c r="A403" s="1983" t="str">
        <f t="shared" si="10"/>
        <v/>
      </c>
      <c r="B403" s="741">
        <f>Gases!A409</f>
        <v>384</v>
      </c>
      <c r="C403" s="970"/>
      <c r="D403" s="973"/>
      <c r="E403" s="973"/>
      <c r="F403" s="973"/>
      <c r="G403" s="973"/>
      <c r="H403" s="973"/>
      <c r="I403" s="976"/>
      <c r="J403" s="977"/>
      <c r="K403" s="965">
        <v>384</v>
      </c>
      <c r="L403" s="965"/>
      <c r="M403" s="978"/>
      <c r="N403" s="965">
        <v>384</v>
      </c>
      <c r="O403" s="159"/>
      <c r="P403" s="159"/>
      <c r="Q403" s="159"/>
      <c r="R403" s="159"/>
      <c r="S403" s="159"/>
      <c r="Y403" s="1975" t="str">
        <f t="shared" si="11"/>
        <v/>
      </c>
    </row>
    <row r="404" spans="1:25">
      <c r="A404" s="1983" t="str">
        <f t="shared" ref="A404:A467" si="12">IF(AND(C404="",Q403=""),"",IF(GasAnalyser="MRU",Q403,C404))</f>
        <v/>
      </c>
      <c r="B404" s="741">
        <f>Gases!A410</f>
        <v>385</v>
      </c>
      <c r="C404" s="970"/>
      <c r="D404" s="973"/>
      <c r="E404" s="973"/>
      <c r="F404" s="973"/>
      <c r="G404" s="973"/>
      <c r="H404" s="973"/>
      <c r="I404" s="976"/>
      <c r="J404" s="977"/>
      <c r="K404" s="965">
        <v>385</v>
      </c>
      <c r="L404" s="965"/>
      <c r="M404" s="978"/>
      <c r="N404" s="965">
        <v>385</v>
      </c>
      <c r="O404" s="159"/>
      <c r="P404" s="159"/>
      <c r="Q404" s="159"/>
      <c r="R404" s="159"/>
      <c r="S404" s="159"/>
      <c r="Y404" s="1975" t="str">
        <f t="shared" si="11"/>
        <v/>
      </c>
    </row>
    <row r="405" spans="1:25">
      <c r="A405" s="1983" t="str">
        <f t="shared" si="12"/>
        <v/>
      </c>
      <c r="B405" s="741">
        <f>Gases!A411</f>
        <v>386</v>
      </c>
      <c r="C405" s="970"/>
      <c r="D405" s="973"/>
      <c r="E405" s="973"/>
      <c r="F405" s="973"/>
      <c r="G405" s="973"/>
      <c r="H405" s="973"/>
      <c r="I405" s="976"/>
      <c r="J405" s="977"/>
      <c r="K405" s="965">
        <v>386</v>
      </c>
      <c r="L405" s="965"/>
      <c r="M405" s="978"/>
      <c r="N405" s="965">
        <v>386</v>
      </c>
      <c r="O405" s="159"/>
      <c r="P405" s="159"/>
      <c r="Q405" s="159"/>
      <c r="R405" s="159"/>
      <c r="S405" s="159"/>
      <c r="Y405" s="1975" t="str">
        <f t="shared" si="11"/>
        <v/>
      </c>
    </row>
    <row r="406" spans="1:25">
      <c r="A406" s="1983" t="str">
        <f t="shared" si="12"/>
        <v/>
      </c>
      <c r="B406" s="741">
        <f>Gases!A412</f>
        <v>387</v>
      </c>
      <c r="C406" s="970"/>
      <c r="D406" s="973"/>
      <c r="E406" s="973"/>
      <c r="F406" s="973"/>
      <c r="G406" s="973"/>
      <c r="H406" s="973"/>
      <c r="I406" s="976"/>
      <c r="J406" s="977"/>
      <c r="K406" s="965">
        <v>387</v>
      </c>
      <c r="L406" s="965"/>
      <c r="M406" s="978"/>
      <c r="N406" s="965">
        <v>387</v>
      </c>
      <c r="O406" s="159"/>
      <c r="P406" s="159"/>
      <c r="Q406" s="159"/>
      <c r="R406" s="159"/>
      <c r="S406" s="159"/>
      <c r="Y406" s="1975" t="str">
        <f t="shared" ref="Y406:Y469" si="13">IF(U406="","",SUM(U406:V406))</f>
        <v/>
      </c>
    </row>
    <row r="407" spans="1:25">
      <c r="A407" s="1983" t="str">
        <f t="shared" si="12"/>
        <v/>
      </c>
      <c r="B407" s="741">
        <f>Gases!A413</f>
        <v>388</v>
      </c>
      <c r="C407" s="970"/>
      <c r="D407" s="973"/>
      <c r="E407" s="973"/>
      <c r="F407" s="973"/>
      <c r="G407" s="973"/>
      <c r="H407" s="973"/>
      <c r="I407" s="976"/>
      <c r="J407" s="977"/>
      <c r="K407" s="965">
        <v>388</v>
      </c>
      <c r="L407" s="965"/>
      <c r="M407" s="978"/>
      <c r="N407" s="965">
        <v>388</v>
      </c>
      <c r="O407" s="159"/>
      <c r="P407" s="159"/>
      <c r="Q407" s="159"/>
      <c r="R407" s="159"/>
      <c r="S407" s="159"/>
      <c r="Y407" s="1975" t="str">
        <f t="shared" si="13"/>
        <v/>
      </c>
    </row>
    <row r="408" spans="1:25">
      <c r="A408" s="1983" t="str">
        <f t="shared" si="12"/>
        <v/>
      </c>
      <c r="B408" s="741">
        <f>Gases!A414</f>
        <v>389</v>
      </c>
      <c r="C408" s="970"/>
      <c r="D408" s="973"/>
      <c r="E408" s="973"/>
      <c r="F408" s="973"/>
      <c r="G408" s="973"/>
      <c r="H408" s="973"/>
      <c r="I408" s="976"/>
      <c r="J408" s="977"/>
      <c r="K408" s="965">
        <v>389</v>
      </c>
      <c r="L408" s="965"/>
      <c r="M408" s="978"/>
      <c r="N408" s="965">
        <v>389</v>
      </c>
      <c r="O408" s="159"/>
      <c r="P408" s="159"/>
      <c r="Q408" s="159"/>
      <c r="R408" s="159"/>
      <c r="S408" s="159"/>
      <c r="Y408" s="1975" t="str">
        <f t="shared" si="13"/>
        <v/>
      </c>
    </row>
    <row r="409" spans="1:25">
      <c r="A409" s="1983" t="str">
        <f t="shared" si="12"/>
        <v/>
      </c>
      <c r="B409" s="741">
        <f>Gases!A415</f>
        <v>390</v>
      </c>
      <c r="C409" s="970"/>
      <c r="D409" s="973"/>
      <c r="E409" s="973"/>
      <c r="F409" s="973"/>
      <c r="G409" s="973"/>
      <c r="H409" s="973"/>
      <c r="I409" s="976"/>
      <c r="J409" s="977"/>
      <c r="K409" s="965">
        <v>390</v>
      </c>
      <c r="L409" s="965"/>
      <c r="M409" s="978"/>
      <c r="N409" s="965">
        <v>390</v>
      </c>
      <c r="O409" s="159"/>
      <c r="P409" s="159"/>
      <c r="Q409" s="159"/>
      <c r="R409" s="159"/>
      <c r="S409" s="159"/>
      <c r="Y409" s="1975" t="str">
        <f t="shared" si="13"/>
        <v/>
      </c>
    </row>
    <row r="410" spans="1:25">
      <c r="A410" s="1983" t="str">
        <f t="shared" si="12"/>
        <v/>
      </c>
      <c r="B410" s="741">
        <f>Gases!A416</f>
        <v>391</v>
      </c>
      <c r="C410" s="970"/>
      <c r="D410" s="973"/>
      <c r="E410" s="973"/>
      <c r="F410" s="973"/>
      <c r="G410" s="973"/>
      <c r="H410" s="973"/>
      <c r="I410" s="976"/>
      <c r="J410" s="977"/>
      <c r="K410" s="965">
        <v>391</v>
      </c>
      <c r="L410" s="965"/>
      <c r="M410" s="978"/>
      <c r="N410" s="965">
        <v>391</v>
      </c>
      <c r="O410" s="159"/>
      <c r="P410" s="159"/>
      <c r="Q410" s="159"/>
      <c r="R410" s="159"/>
      <c r="S410" s="159"/>
      <c r="Y410" s="1975" t="str">
        <f t="shared" si="13"/>
        <v/>
      </c>
    </row>
    <row r="411" spans="1:25">
      <c r="A411" s="1983" t="str">
        <f t="shared" si="12"/>
        <v/>
      </c>
      <c r="B411" s="741">
        <f>Gases!A417</f>
        <v>392</v>
      </c>
      <c r="C411" s="970"/>
      <c r="D411" s="973"/>
      <c r="E411" s="973"/>
      <c r="F411" s="973"/>
      <c r="G411" s="973"/>
      <c r="H411" s="973"/>
      <c r="I411" s="976"/>
      <c r="J411" s="977"/>
      <c r="K411" s="965">
        <v>392</v>
      </c>
      <c r="L411" s="965"/>
      <c r="M411" s="978"/>
      <c r="N411" s="965">
        <v>392</v>
      </c>
      <c r="O411" s="159"/>
      <c r="P411" s="159"/>
      <c r="Q411" s="159"/>
      <c r="R411" s="159"/>
      <c r="S411" s="159"/>
      <c r="Y411" s="1975" t="str">
        <f t="shared" si="13"/>
        <v/>
      </c>
    </row>
    <row r="412" spans="1:25">
      <c r="A412" s="1983" t="str">
        <f t="shared" si="12"/>
        <v/>
      </c>
      <c r="B412" s="741">
        <f>Gases!A418</f>
        <v>393</v>
      </c>
      <c r="C412" s="970"/>
      <c r="D412" s="973"/>
      <c r="E412" s="973"/>
      <c r="F412" s="973"/>
      <c r="G412" s="973"/>
      <c r="H412" s="973"/>
      <c r="I412" s="976"/>
      <c r="J412" s="977"/>
      <c r="K412" s="965">
        <v>393</v>
      </c>
      <c r="L412" s="965"/>
      <c r="M412" s="978"/>
      <c r="N412" s="965">
        <v>393</v>
      </c>
      <c r="O412" s="159"/>
      <c r="P412" s="159"/>
      <c r="Q412" s="159"/>
      <c r="R412" s="159"/>
      <c r="S412" s="159"/>
      <c r="Y412" s="1975" t="str">
        <f t="shared" si="13"/>
        <v/>
      </c>
    </row>
    <row r="413" spans="1:25">
      <c r="A413" s="1983" t="str">
        <f t="shared" si="12"/>
        <v/>
      </c>
      <c r="B413" s="741">
        <f>Gases!A419</f>
        <v>394</v>
      </c>
      <c r="C413" s="970"/>
      <c r="D413" s="973"/>
      <c r="E413" s="973"/>
      <c r="F413" s="973"/>
      <c r="G413" s="973"/>
      <c r="H413" s="973"/>
      <c r="I413" s="976"/>
      <c r="J413" s="977"/>
      <c r="K413" s="965">
        <v>394</v>
      </c>
      <c r="L413" s="965"/>
      <c r="M413" s="978"/>
      <c r="N413" s="965">
        <v>394</v>
      </c>
      <c r="O413" s="159"/>
      <c r="P413" s="159"/>
      <c r="Q413" s="159"/>
      <c r="R413" s="159"/>
      <c r="S413" s="159"/>
      <c r="Y413" s="1975" t="str">
        <f t="shared" si="13"/>
        <v/>
      </c>
    </row>
    <row r="414" spans="1:25">
      <c r="A414" s="1983" t="str">
        <f t="shared" si="12"/>
        <v/>
      </c>
      <c r="B414" s="741">
        <f>Gases!A420</f>
        <v>395</v>
      </c>
      <c r="C414" s="970"/>
      <c r="D414" s="973"/>
      <c r="E414" s="973"/>
      <c r="F414" s="973"/>
      <c r="G414" s="973"/>
      <c r="H414" s="973"/>
      <c r="I414" s="976"/>
      <c r="J414" s="977"/>
      <c r="K414" s="965">
        <v>395</v>
      </c>
      <c r="L414" s="965"/>
      <c r="M414" s="978"/>
      <c r="N414" s="965">
        <v>395</v>
      </c>
      <c r="O414" s="159"/>
      <c r="P414" s="159"/>
      <c r="Q414" s="159"/>
      <c r="R414" s="159"/>
      <c r="S414" s="159"/>
      <c r="Y414" s="1975" t="str">
        <f t="shared" si="13"/>
        <v/>
      </c>
    </row>
    <row r="415" spans="1:25">
      <c r="A415" s="1983" t="str">
        <f t="shared" si="12"/>
        <v/>
      </c>
      <c r="B415" s="741">
        <f>Gases!A421</f>
        <v>396</v>
      </c>
      <c r="C415" s="970"/>
      <c r="D415" s="973"/>
      <c r="E415" s="973"/>
      <c r="F415" s="973"/>
      <c r="G415" s="973"/>
      <c r="H415" s="973"/>
      <c r="I415" s="976"/>
      <c r="J415" s="977"/>
      <c r="K415" s="965">
        <v>396</v>
      </c>
      <c r="L415" s="965"/>
      <c r="M415" s="978"/>
      <c r="N415" s="965">
        <v>396</v>
      </c>
      <c r="O415" s="159"/>
      <c r="P415" s="159"/>
      <c r="Q415" s="159"/>
      <c r="R415" s="159"/>
      <c r="S415" s="159"/>
      <c r="Y415" s="1975" t="str">
        <f t="shared" si="13"/>
        <v/>
      </c>
    </row>
    <row r="416" spans="1:25">
      <c r="A416" s="1983" t="str">
        <f t="shared" si="12"/>
        <v/>
      </c>
      <c r="B416" s="741">
        <f>Gases!A422</f>
        <v>397</v>
      </c>
      <c r="C416" s="970"/>
      <c r="D416" s="973"/>
      <c r="E416" s="973"/>
      <c r="F416" s="973"/>
      <c r="G416" s="973"/>
      <c r="H416" s="973"/>
      <c r="I416" s="976"/>
      <c r="J416" s="977"/>
      <c r="K416" s="965">
        <v>397</v>
      </c>
      <c r="L416" s="965"/>
      <c r="M416" s="978"/>
      <c r="N416" s="965">
        <v>397</v>
      </c>
      <c r="O416" s="159"/>
      <c r="P416" s="159"/>
      <c r="Q416" s="159"/>
      <c r="R416" s="159"/>
      <c r="S416" s="159"/>
      <c r="Y416" s="1975" t="str">
        <f t="shared" si="13"/>
        <v/>
      </c>
    </row>
    <row r="417" spans="1:25">
      <c r="A417" s="1983" t="str">
        <f t="shared" si="12"/>
        <v/>
      </c>
      <c r="B417" s="741">
        <f>Gases!A423</f>
        <v>398</v>
      </c>
      <c r="C417" s="970"/>
      <c r="D417" s="973"/>
      <c r="E417" s="973"/>
      <c r="F417" s="973"/>
      <c r="G417" s="973"/>
      <c r="H417" s="973"/>
      <c r="I417" s="976"/>
      <c r="J417" s="977"/>
      <c r="K417" s="965">
        <v>398</v>
      </c>
      <c r="L417" s="965"/>
      <c r="M417" s="978"/>
      <c r="N417" s="965">
        <v>398</v>
      </c>
      <c r="O417" s="159"/>
      <c r="P417" s="159"/>
      <c r="Q417" s="159"/>
      <c r="R417" s="159"/>
      <c r="S417" s="159"/>
      <c r="Y417" s="1975" t="str">
        <f t="shared" si="13"/>
        <v/>
      </c>
    </row>
    <row r="418" spans="1:25">
      <c r="A418" s="1983" t="str">
        <f t="shared" si="12"/>
        <v/>
      </c>
      <c r="B418" s="741">
        <f>Gases!A424</f>
        <v>399</v>
      </c>
      <c r="C418" s="970"/>
      <c r="D418" s="973"/>
      <c r="E418" s="973"/>
      <c r="F418" s="973"/>
      <c r="G418" s="973"/>
      <c r="H418" s="973"/>
      <c r="I418" s="976"/>
      <c r="J418" s="977"/>
      <c r="K418" s="965">
        <v>399</v>
      </c>
      <c r="L418" s="965"/>
      <c r="M418" s="978"/>
      <c r="N418" s="965">
        <v>399</v>
      </c>
      <c r="O418" s="159"/>
      <c r="P418" s="159"/>
      <c r="Q418" s="159"/>
      <c r="R418" s="159"/>
      <c r="S418" s="159"/>
      <c r="Y418" s="1975" t="str">
        <f t="shared" si="13"/>
        <v/>
      </c>
    </row>
    <row r="419" spans="1:25">
      <c r="A419" s="1983" t="str">
        <f t="shared" si="12"/>
        <v/>
      </c>
      <c r="B419" s="741">
        <f>Gases!A425</f>
        <v>400</v>
      </c>
      <c r="C419" s="970"/>
      <c r="D419" s="973"/>
      <c r="E419" s="973"/>
      <c r="F419" s="973"/>
      <c r="G419" s="973"/>
      <c r="H419" s="973"/>
      <c r="I419" s="976"/>
      <c r="J419" s="977"/>
      <c r="K419" s="965">
        <v>400</v>
      </c>
      <c r="L419" s="965"/>
      <c r="M419" s="978"/>
      <c r="N419" s="965">
        <v>400</v>
      </c>
      <c r="O419" s="159"/>
      <c r="P419" s="159"/>
      <c r="Q419" s="159"/>
      <c r="R419" s="159"/>
      <c r="S419" s="159"/>
      <c r="Y419" s="1975" t="str">
        <f t="shared" si="13"/>
        <v/>
      </c>
    </row>
    <row r="420" spans="1:25">
      <c r="A420" s="1983" t="str">
        <f t="shared" si="12"/>
        <v/>
      </c>
      <c r="B420" s="741">
        <f>Gases!A426</f>
        <v>401</v>
      </c>
      <c r="C420" s="970"/>
      <c r="D420" s="973"/>
      <c r="E420" s="973"/>
      <c r="F420" s="973"/>
      <c r="G420" s="973"/>
      <c r="H420" s="973"/>
      <c r="I420" s="976"/>
      <c r="J420" s="977"/>
      <c r="K420" s="965">
        <v>401</v>
      </c>
      <c r="L420" s="965"/>
      <c r="M420" s="978"/>
      <c r="N420" s="965">
        <v>401</v>
      </c>
      <c r="O420" s="159"/>
      <c r="P420" s="159"/>
      <c r="Q420" s="159"/>
      <c r="R420" s="159"/>
      <c r="S420" s="159"/>
      <c r="Y420" s="1975" t="str">
        <f t="shared" si="13"/>
        <v/>
      </c>
    </row>
    <row r="421" spans="1:25">
      <c r="A421" s="1983" t="str">
        <f t="shared" si="12"/>
        <v/>
      </c>
      <c r="B421" s="741">
        <f>Gases!A427</f>
        <v>402</v>
      </c>
      <c r="C421" s="970"/>
      <c r="D421" s="973"/>
      <c r="E421" s="973"/>
      <c r="F421" s="973"/>
      <c r="G421" s="973"/>
      <c r="H421" s="973"/>
      <c r="I421" s="976"/>
      <c r="J421" s="977"/>
      <c r="K421" s="965">
        <v>402</v>
      </c>
      <c r="L421" s="965"/>
      <c r="M421" s="978"/>
      <c r="N421" s="965">
        <v>402</v>
      </c>
      <c r="O421" s="159"/>
      <c r="P421" s="159"/>
      <c r="Q421" s="159"/>
      <c r="R421" s="159"/>
      <c r="S421" s="159"/>
      <c r="Y421" s="1975" t="str">
        <f t="shared" si="13"/>
        <v/>
      </c>
    </row>
    <row r="422" spans="1:25">
      <c r="A422" s="1983" t="str">
        <f t="shared" si="12"/>
        <v/>
      </c>
      <c r="B422" s="741">
        <f>Gases!A428</f>
        <v>403</v>
      </c>
      <c r="C422" s="970"/>
      <c r="D422" s="973"/>
      <c r="E422" s="973"/>
      <c r="F422" s="973"/>
      <c r="G422" s="973"/>
      <c r="H422" s="973"/>
      <c r="I422" s="976"/>
      <c r="J422" s="977"/>
      <c r="K422" s="965">
        <v>403</v>
      </c>
      <c r="L422" s="965"/>
      <c r="M422" s="978"/>
      <c r="N422" s="965">
        <v>403</v>
      </c>
      <c r="O422" s="159"/>
      <c r="P422" s="159"/>
      <c r="Q422" s="159"/>
      <c r="R422" s="159"/>
      <c r="S422" s="159"/>
      <c r="Y422" s="1975" t="str">
        <f t="shared" si="13"/>
        <v/>
      </c>
    </row>
    <row r="423" spans="1:25">
      <c r="A423" s="1983" t="str">
        <f t="shared" si="12"/>
        <v/>
      </c>
      <c r="B423" s="741">
        <f>Gases!A429</f>
        <v>404</v>
      </c>
      <c r="C423" s="970"/>
      <c r="D423" s="973"/>
      <c r="E423" s="973"/>
      <c r="F423" s="973"/>
      <c r="G423" s="973"/>
      <c r="H423" s="973"/>
      <c r="I423" s="976"/>
      <c r="J423" s="977"/>
      <c r="K423" s="965">
        <v>404</v>
      </c>
      <c r="L423" s="965"/>
      <c r="M423" s="978"/>
      <c r="N423" s="965">
        <v>404</v>
      </c>
      <c r="O423" s="159"/>
      <c r="P423" s="159"/>
      <c r="Q423" s="159"/>
      <c r="R423" s="159"/>
      <c r="S423" s="159"/>
      <c r="Y423" s="1975" t="str">
        <f t="shared" si="13"/>
        <v/>
      </c>
    </row>
    <row r="424" spans="1:25">
      <c r="A424" s="1983" t="str">
        <f t="shared" si="12"/>
        <v/>
      </c>
      <c r="B424" s="741">
        <f>Gases!A430</f>
        <v>405</v>
      </c>
      <c r="C424" s="970"/>
      <c r="D424" s="973"/>
      <c r="E424" s="973"/>
      <c r="F424" s="973"/>
      <c r="G424" s="973"/>
      <c r="H424" s="973"/>
      <c r="I424" s="976"/>
      <c r="J424" s="977"/>
      <c r="K424" s="965">
        <v>405</v>
      </c>
      <c r="L424" s="965"/>
      <c r="M424" s="978"/>
      <c r="N424" s="965">
        <v>405</v>
      </c>
      <c r="O424" s="159"/>
      <c r="P424" s="159"/>
      <c r="Q424" s="159"/>
      <c r="R424" s="159"/>
      <c r="S424" s="159"/>
      <c r="Y424" s="1975" t="str">
        <f t="shared" si="13"/>
        <v/>
      </c>
    </row>
    <row r="425" spans="1:25">
      <c r="A425" s="1983" t="str">
        <f t="shared" si="12"/>
        <v/>
      </c>
      <c r="B425" s="741">
        <f>Gases!A431</f>
        <v>406</v>
      </c>
      <c r="C425" s="970"/>
      <c r="D425" s="973"/>
      <c r="E425" s="973"/>
      <c r="F425" s="973"/>
      <c r="G425" s="973"/>
      <c r="H425" s="973"/>
      <c r="I425" s="976"/>
      <c r="J425" s="977"/>
      <c r="K425" s="965">
        <v>406</v>
      </c>
      <c r="L425" s="965"/>
      <c r="M425" s="978"/>
      <c r="N425" s="965">
        <v>406</v>
      </c>
      <c r="O425" s="159"/>
      <c r="P425" s="159"/>
      <c r="Q425" s="159"/>
      <c r="R425" s="159"/>
      <c r="S425" s="159"/>
      <c r="Y425" s="1975" t="str">
        <f t="shared" si="13"/>
        <v/>
      </c>
    </row>
    <row r="426" spans="1:25">
      <c r="A426" s="1983" t="str">
        <f t="shared" si="12"/>
        <v/>
      </c>
      <c r="B426" s="741">
        <f>Gases!A432</f>
        <v>407</v>
      </c>
      <c r="C426" s="970"/>
      <c r="D426" s="973"/>
      <c r="E426" s="973"/>
      <c r="F426" s="973"/>
      <c r="G426" s="973"/>
      <c r="H426" s="973"/>
      <c r="I426" s="976"/>
      <c r="J426" s="977"/>
      <c r="K426" s="965">
        <v>407</v>
      </c>
      <c r="L426" s="965"/>
      <c r="M426" s="978"/>
      <c r="N426" s="965">
        <v>407</v>
      </c>
      <c r="O426" s="159"/>
      <c r="P426" s="159"/>
      <c r="Q426" s="159"/>
      <c r="R426" s="159"/>
      <c r="S426" s="159"/>
      <c r="Y426" s="1975" t="str">
        <f t="shared" si="13"/>
        <v/>
      </c>
    </row>
    <row r="427" spans="1:25">
      <c r="A427" s="1983" t="str">
        <f t="shared" si="12"/>
        <v/>
      </c>
      <c r="B427" s="741">
        <f>Gases!A433</f>
        <v>408</v>
      </c>
      <c r="C427" s="970"/>
      <c r="D427" s="973"/>
      <c r="E427" s="973"/>
      <c r="F427" s="973"/>
      <c r="G427" s="973"/>
      <c r="H427" s="973"/>
      <c r="I427" s="976"/>
      <c r="J427" s="977"/>
      <c r="K427" s="965">
        <v>408</v>
      </c>
      <c r="L427" s="965"/>
      <c r="M427" s="978"/>
      <c r="N427" s="965">
        <v>408</v>
      </c>
      <c r="O427" s="159"/>
      <c r="P427" s="159"/>
      <c r="Q427" s="159"/>
      <c r="R427" s="159"/>
      <c r="S427" s="159"/>
      <c r="Y427" s="1975" t="str">
        <f t="shared" si="13"/>
        <v/>
      </c>
    </row>
    <row r="428" spans="1:25">
      <c r="A428" s="1983" t="str">
        <f t="shared" si="12"/>
        <v/>
      </c>
      <c r="B428" s="741">
        <f>Gases!A434</f>
        <v>409</v>
      </c>
      <c r="C428" s="970"/>
      <c r="D428" s="973"/>
      <c r="E428" s="973"/>
      <c r="F428" s="973"/>
      <c r="G428" s="973"/>
      <c r="H428" s="973"/>
      <c r="I428" s="976"/>
      <c r="J428" s="977"/>
      <c r="K428" s="965">
        <v>409</v>
      </c>
      <c r="L428" s="965"/>
      <c r="M428" s="978"/>
      <c r="N428" s="965">
        <v>409</v>
      </c>
      <c r="O428" s="159"/>
      <c r="P428" s="159"/>
      <c r="Q428" s="159"/>
      <c r="R428" s="159"/>
      <c r="S428" s="159"/>
      <c r="Y428" s="1975" t="str">
        <f t="shared" si="13"/>
        <v/>
      </c>
    </row>
    <row r="429" spans="1:25">
      <c r="A429" s="1983" t="str">
        <f t="shared" si="12"/>
        <v/>
      </c>
      <c r="B429" s="741">
        <f>Gases!A435</f>
        <v>410</v>
      </c>
      <c r="C429" s="970"/>
      <c r="D429" s="973"/>
      <c r="E429" s="973"/>
      <c r="F429" s="973"/>
      <c r="G429" s="973"/>
      <c r="H429" s="973"/>
      <c r="I429" s="976"/>
      <c r="J429" s="977"/>
      <c r="K429" s="965">
        <v>410</v>
      </c>
      <c r="L429" s="965"/>
      <c r="M429" s="978"/>
      <c r="N429" s="965">
        <v>410</v>
      </c>
      <c r="O429" s="159"/>
      <c r="P429" s="159"/>
      <c r="Q429" s="159"/>
      <c r="R429" s="159"/>
      <c r="S429" s="159"/>
      <c r="Y429" s="1975" t="str">
        <f t="shared" si="13"/>
        <v/>
      </c>
    </row>
    <row r="430" spans="1:25">
      <c r="A430" s="1983" t="str">
        <f t="shared" si="12"/>
        <v/>
      </c>
      <c r="B430" s="741">
        <f>Gases!A436</f>
        <v>411</v>
      </c>
      <c r="C430" s="970"/>
      <c r="D430" s="973"/>
      <c r="E430" s="973"/>
      <c r="F430" s="973"/>
      <c r="G430" s="973"/>
      <c r="H430" s="973"/>
      <c r="I430" s="976"/>
      <c r="J430" s="977"/>
      <c r="K430" s="965">
        <v>411</v>
      </c>
      <c r="L430" s="965"/>
      <c r="M430" s="978"/>
      <c r="N430" s="965">
        <v>411</v>
      </c>
      <c r="O430" s="159"/>
      <c r="P430" s="159"/>
      <c r="Q430" s="159"/>
      <c r="R430" s="159"/>
      <c r="S430" s="159"/>
      <c r="Y430" s="1975" t="str">
        <f t="shared" si="13"/>
        <v/>
      </c>
    </row>
    <row r="431" spans="1:25">
      <c r="A431" s="1983" t="str">
        <f t="shared" si="12"/>
        <v/>
      </c>
      <c r="B431" s="741">
        <f>Gases!A437</f>
        <v>412</v>
      </c>
      <c r="C431" s="970"/>
      <c r="D431" s="973"/>
      <c r="E431" s="973"/>
      <c r="F431" s="973"/>
      <c r="G431" s="973"/>
      <c r="H431" s="973"/>
      <c r="I431" s="976"/>
      <c r="J431" s="977"/>
      <c r="K431" s="965">
        <v>412</v>
      </c>
      <c r="L431" s="965"/>
      <c r="M431" s="978"/>
      <c r="N431" s="965">
        <v>412</v>
      </c>
      <c r="O431" s="159"/>
      <c r="P431" s="159"/>
      <c r="Q431" s="159"/>
      <c r="R431" s="159"/>
      <c r="S431" s="159"/>
      <c r="Y431" s="1975" t="str">
        <f t="shared" si="13"/>
        <v/>
      </c>
    </row>
    <row r="432" spans="1:25">
      <c r="A432" s="1983" t="str">
        <f t="shared" si="12"/>
        <v/>
      </c>
      <c r="B432" s="741">
        <f>Gases!A438</f>
        <v>413</v>
      </c>
      <c r="C432" s="970"/>
      <c r="D432" s="973"/>
      <c r="E432" s="973"/>
      <c r="F432" s="973"/>
      <c r="G432" s="973"/>
      <c r="H432" s="973"/>
      <c r="I432" s="976"/>
      <c r="J432" s="977"/>
      <c r="K432" s="965">
        <v>413</v>
      </c>
      <c r="L432" s="965"/>
      <c r="M432" s="978"/>
      <c r="N432" s="965">
        <v>413</v>
      </c>
      <c r="O432" s="159"/>
      <c r="P432" s="159"/>
      <c r="Q432" s="159"/>
      <c r="R432" s="159"/>
      <c r="S432" s="159"/>
      <c r="Y432" s="1975" t="str">
        <f t="shared" si="13"/>
        <v/>
      </c>
    </row>
    <row r="433" spans="1:25">
      <c r="A433" s="1983" t="str">
        <f t="shared" si="12"/>
        <v/>
      </c>
      <c r="B433" s="741">
        <f>Gases!A439</f>
        <v>414</v>
      </c>
      <c r="C433" s="970"/>
      <c r="D433" s="973"/>
      <c r="E433" s="973"/>
      <c r="F433" s="973"/>
      <c r="G433" s="973"/>
      <c r="H433" s="973"/>
      <c r="I433" s="976"/>
      <c r="J433" s="977"/>
      <c r="K433" s="965">
        <v>414</v>
      </c>
      <c r="L433" s="965"/>
      <c r="M433" s="978"/>
      <c r="N433" s="965">
        <v>414</v>
      </c>
      <c r="O433" s="159"/>
      <c r="P433" s="159"/>
      <c r="Q433" s="159"/>
      <c r="R433" s="159"/>
      <c r="S433" s="159"/>
      <c r="Y433" s="1975" t="str">
        <f t="shared" si="13"/>
        <v/>
      </c>
    </row>
    <row r="434" spans="1:25">
      <c r="A434" s="1983" t="str">
        <f t="shared" si="12"/>
        <v/>
      </c>
      <c r="B434" s="741">
        <f>Gases!A440</f>
        <v>415</v>
      </c>
      <c r="C434" s="970"/>
      <c r="D434" s="973"/>
      <c r="E434" s="973"/>
      <c r="F434" s="973"/>
      <c r="G434" s="973"/>
      <c r="H434" s="973"/>
      <c r="I434" s="976"/>
      <c r="J434" s="977"/>
      <c r="K434" s="965">
        <v>415</v>
      </c>
      <c r="L434" s="965"/>
      <c r="M434" s="978"/>
      <c r="N434" s="965">
        <v>415</v>
      </c>
      <c r="O434" s="159"/>
      <c r="P434" s="159"/>
      <c r="Q434" s="159"/>
      <c r="R434" s="159"/>
      <c r="S434" s="159"/>
      <c r="Y434" s="1975" t="str">
        <f t="shared" si="13"/>
        <v/>
      </c>
    </row>
    <row r="435" spans="1:25">
      <c r="A435" s="1983" t="str">
        <f t="shared" si="12"/>
        <v/>
      </c>
      <c r="B435" s="741">
        <f>Gases!A441</f>
        <v>416</v>
      </c>
      <c r="C435" s="970"/>
      <c r="D435" s="973"/>
      <c r="E435" s="973"/>
      <c r="F435" s="973"/>
      <c r="G435" s="973"/>
      <c r="H435" s="973"/>
      <c r="I435" s="976"/>
      <c r="J435" s="977"/>
      <c r="K435" s="965">
        <v>416</v>
      </c>
      <c r="L435" s="965"/>
      <c r="M435" s="978"/>
      <c r="N435" s="965">
        <v>416</v>
      </c>
      <c r="O435" s="159"/>
      <c r="P435" s="159"/>
      <c r="Q435" s="159"/>
      <c r="R435" s="159"/>
      <c r="S435" s="159"/>
      <c r="Y435" s="1975" t="str">
        <f t="shared" si="13"/>
        <v/>
      </c>
    </row>
    <row r="436" spans="1:25">
      <c r="A436" s="1983" t="str">
        <f t="shared" si="12"/>
        <v/>
      </c>
      <c r="B436" s="741">
        <f>Gases!A442</f>
        <v>417</v>
      </c>
      <c r="C436" s="970"/>
      <c r="D436" s="973"/>
      <c r="E436" s="973"/>
      <c r="F436" s="973"/>
      <c r="G436" s="973"/>
      <c r="H436" s="973"/>
      <c r="I436" s="976"/>
      <c r="J436" s="977"/>
      <c r="K436" s="965">
        <v>417</v>
      </c>
      <c r="L436" s="965"/>
      <c r="M436" s="978"/>
      <c r="N436" s="965">
        <v>417</v>
      </c>
      <c r="O436" s="159"/>
      <c r="P436" s="159"/>
      <c r="Q436" s="159"/>
      <c r="R436" s="159"/>
      <c r="S436" s="159"/>
      <c r="Y436" s="1975" t="str">
        <f t="shared" si="13"/>
        <v/>
      </c>
    </row>
    <row r="437" spans="1:25">
      <c r="A437" s="1983" t="str">
        <f t="shared" si="12"/>
        <v/>
      </c>
      <c r="B437" s="741">
        <f>Gases!A443</f>
        <v>418</v>
      </c>
      <c r="C437" s="970"/>
      <c r="D437" s="973"/>
      <c r="E437" s="973"/>
      <c r="F437" s="973"/>
      <c r="G437" s="973"/>
      <c r="H437" s="973"/>
      <c r="I437" s="976"/>
      <c r="J437" s="977"/>
      <c r="K437" s="965">
        <v>418</v>
      </c>
      <c r="L437" s="965"/>
      <c r="M437" s="978"/>
      <c r="N437" s="965">
        <v>418</v>
      </c>
      <c r="O437" s="159"/>
      <c r="P437" s="159"/>
      <c r="Q437" s="159"/>
      <c r="R437" s="159"/>
      <c r="S437" s="159"/>
      <c r="Y437" s="1975" t="str">
        <f t="shared" si="13"/>
        <v/>
      </c>
    </row>
    <row r="438" spans="1:25">
      <c r="A438" s="1983" t="str">
        <f t="shared" si="12"/>
        <v/>
      </c>
      <c r="B438" s="741">
        <f>Gases!A444</f>
        <v>419</v>
      </c>
      <c r="C438" s="970"/>
      <c r="D438" s="973"/>
      <c r="E438" s="973"/>
      <c r="F438" s="973"/>
      <c r="G438" s="973"/>
      <c r="H438" s="973"/>
      <c r="I438" s="976"/>
      <c r="J438" s="977"/>
      <c r="K438" s="965">
        <v>419</v>
      </c>
      <c r="L438" s="965"/>
      <c r="M438" s="978"/>
      <c r="N438" s="965">
        <v>419</v>
      </c>
      <c r="O438" s="159"/>
      <c r="P438" s="159"/>
      <c r="Q438" s="159"/>
      <c r="R438" s="159"/>
      <c r="S438" s="159"/>
      <c r="Y438" s="1975" t="str">
        <f t="shared" si="13"/>
        <v/>
      </c>
    </row>
    <row r="439" spans="1:25">
      <c r="A439" s="1983" t="str">
        <f t="shared" si="12"/>
        <v/>
      </c>
      <c r="B439" s="741">
        <f>Gases!A445</f>
        <v>420</v>
      </c>
      <c r="C439" s="970"/>
      <c r="D439" s="973"/>
      <c r="E439" s="973"/>
      <c r="F439" s="973"/>
      <c r="G439" s="973"/>
      <c r="H439" s="973"/>
      <c r="I439" s="976"/>
      <c r="J439" s="977"/>
      <c r="K439" s="965">
        <v>420</v>
      </c>
      <c r="L439" s="965"/>
      <c r="M439" s="978"/>
      <c r="N439" s="965">
        <v>420</v>
      </c>
      <c r="O439" s="159"/>
      <c r="P439" s="159"/>
      <c r="Q439" s="159"/>
      <c r="R439" s="159"/>
      <c r="S439" s="159"/>
      <c r="Y439" s="1975" t="str">
        <f t="shared" si="13"/>
        <v/>
      </c>
    </row>
    <row r="440" spans="1:25">
      <c r="A440" s="1983" t="str">
        <f t="shared" si="12"/>
        <v/>
      </c>
      <c r="B440" s="741">
        <f>Gases!A446</f>
        <v>421</v>
      </c>
      <c r="C440" s="970"/>
      <c r="D440" s="973"/>
      <c r="E440" s="973"/>
      <c r="F440" s="973"/>
      <c r="G440" s="973"/>
      <c r="H440" s="973"/>
      <c r="I440" s="976"/>
      <c r="J440" s="977"/>
      <c r="K440" s="965">
        <v>421</v>
      </c>
      <c r="L440" s="965"/>
      <c r="M440" s="978"/>
      <c r="N440" s="965">
        <v>421</v>
      </c>
      <c r="O440" s="159"/>
      <c r="P440" s="159"/>
      <c r="Q440" s="159"/>
      <c r="R440" s="159"/>
      <c r="S440" s="159"/>
      <c r="Y440" s="1975" t="str">
        <f t="shared" si="13"/>
        <v/>
      </c>
    </row>
    <row r="441" spans="1:25">
      <c r="A441" s="1983" t="str">
        <f t="shared" si="12"/>
        <v/>
      </c>
      <c r="B441" s="741">
        <f>Gases!A447</f>
        <v>422</v>
      </c>
      <c r="C441" s="970"/>
      <c r="D441" s="973"/>
      <c r="E441" s="973"/>
      <c r="F441" s="973"/>
      <c r="G441" s="973"/>
      <c r="H441" s="973"/>
      <c r="I441" s="976"/>
      <c r="J441" s="977"/>
      <c r="K441" s="965">
        <v>422</v>
      </c>
      <c r="L441" s="965"/>
      <c r="M441" s="978"/>
      <c r="N441" s="965">
        <v>422</v>
      </c>
      <c r="O441" s="159"/>
      <c r="P441" s="159"/>
      <c r="Q441" s="159"/>
      <c r="R441" s="159"/>
      <c r="S441" s="159"/>
      <c r="Y441" s="1975" t="str">
        <f t="shared" si="13"/>
        <v/>
      </c>
    </row>
    <row r="442" spans="1:25">
      <c r="A442" s="1983" t="str">
        <f t="shared" si="12"/>
        <v/>
      </c>
      <c r="B442" s="741">
        <f>Gases!A448</f>
        <v>423</v>
      </c>
      <c r="C442" s="970"/>
      <c r="D442" s="973"/>
      <c r="E442" s="973"/>
      <c r="F442" s="973"/>
      <c r="G442" s="973"/>
      <c r="H442" s="973"/>
      <c r="I442" s="976"/>
      <c r="J442" s="977"/>
      <c r="K442" s="965">
        <v>423</v>
      </c>
      <c r="L442" s="965"/>
      <c r="M442" s="978"/>
      <c r="N442" s="965">
        <v>423</v>
      </c>
      <c r="O442" s="159"/>
      <c r="P442" s="159"/>
      <c r="Q442" s="159"/>
      <c r="R442" s="159"/>
      <c r="S442" s="159"/>
      <c r="Y442" s="1975" t="str">
        <f t="shared" si="13"/>
        <v/>
      </c>
    </row>
    <row r="443" spans="1:25">
      <c r="A443" s="1983" t="str">
        <f t="shared" si="12"/>
        <v/>
      </c>
      <c r="B443" s="741">
        <f>Gases!A449</f>
        <v>424</v>
      </c>
      <c r="C443" s="970"/>
      <c r="D443" s="973"/>
      <c r="E443" s="973"/>
      <c r="F443" s="973"/>
      <c r="G443" s="973"/>
      <c r="H443" s="973"/>
      <c r="I443" s="976"/>
      <c r="J443" s="977"/>
      <c r="K443" s="965">
        <v>424</v>
      </c>
      <c r="L443" s="965"/>
      <c r="M443" s="978"/>
      <c r="N443" s="965">
        <v>424</v>
      </c>
      <c r="O443" s="159"/>
      <c r="P443" s="159"/>
      <c r="Q443" s="159"/>
      <c r="R443" s="159"/>
      <c r="S443" s="159"/>
      <c r="Y443" s="1975" t="str">
        <f t="shared" si="13"/>
        <v/>
      </c>
    </row>
    <row r="444" spans="1:25">
      <c r="A444" s="1983" t="str">
        <f t="shared" si="12"/>
        <v/>
      </c>
      <c r="B444" s="741">
        <f>Gases!A450</f>
        <v>425</v>
      </c>
      <c r="C444" s="970"/>
      <c r="D444" s="973"/>
      <c r="E444" s="973"/>
      <c r="F444" s="973"/>
      <c r="G444" s="973"/>
      <c r="H444" s="973"/>
      <c r="I444" s="976"/>
      <c r="J444" s="977"/>
      <c r="K444" s="965">
        <v>425</v>
      </c>
      <c r="L444" s="965"/>
      <c r="M444" s="978"/>
      <c r="N444" s="965">
        <v>425</v>
      </c>
      <c r="O444" s="159"/>
      <c r="P444" s="159"/>
      <c r="Q444" s="159"/>
      <c r="R444" s="159"/>
      <c r="S444" s="159"/>
      <c r="Y444" s="1975" t="str">
        <f t="shared" si="13"/>
        <v/>
      </c>
    </row>
    <row r="445" spans="1:25">
      <c r="A445" s="1983" t="str">
        <f t="shared" si="12"/>
        <v/>
      </c>
      <c r="B445" s="741">
        <f>Gases!A451</f>
        <v>426</v>
      </c>
      <c r="C445" s="970"/>
      <c r="D445" s="973"/>
      <c r="E445" s="973"/>
      <c r="F445" s="973"/>
      <c r="G445" s="973"/>
      <c r="H445" s="973"/>
      <c r="I445" s="976"/>
      <c r="J445" s="977"/>
      <c r="K445" s="965">
        <v>426</v>
      </c>
      <c r="L445" s="965"/>
      <c r="M445" s="978"/>
      <c r="N445" s="965">
        <v>426</v>
      </c>
      <c r="O445" s="159"/>
      <c r="P445" s="159"/>
      <c r="Q445" s="159"/>
      <c r="R445" s="159"/>
      <c r="S445" s="159"/>
      <c r="Y445" s="1975" t="str">
        <f t="shared" si="13"/>
        <v/>
      </c>
    </row>
    <row r="446" spans="1:25">
      <c r="A446" s="1983" t="str">
        <f t="shared" si="12"/>
        <v/>
      </c>
      <c r="B446" s="741">
        <f>Gases!A452</f>
        <v>427</v>
      </c>
      <c r="C446" s="970"/>
      <c r="D446" s="973"/>
      <c r="E446" s="973"/>
      <c r="F446" s="973"/>
      <c r="G446" s="973"/>
      <c r="H446" s="973"/>
      <c r="I446" s="976"/>
      <c r="J446" s="977"/>
      <c r="K446" s="965">
        <v>427</v>
      </c>
      <c r="L446" s="965"/>
      <c r="M446" s="978"/>
      <c r="N446" s="965">
        <v>427</v>
      </c>
      <c r="O446" s="159"/>
      <c r="P446" s="159"/>
      <c r="Q446" s="159"/>
      <c r="R446" s="159"/>
      <c r="S446" s="159"/>
      <c r="Y446" s="1975" t="str">
        <f t="shared" si="13"/>
        <v/>
      </c>
    </row>
    <row r="447" spans="1:25">
      <c r="A447" s="1983" t="str">
        <f t="shared" si="12"/>
        <v/>
      </c>
      <c r="B447" s="741">
        <f>Gases!A453</f>
        <v>428</v>
      </c>
      <c r="C447" s="970"/>
      <c r="D447" s="973"/>
      <c r="E447" s="973"/>
      <c r="F447" s="973"/>
      <c r="G447" s="973"/>
      <c r="H447" s="973"/>
      <c r="I447" s="976"/>
      <c r="J447" s="977"/>
      <c r="K447" s="965">
        <v>428</v>
      </c>
      <c r="L447" s="965"/>
      <c r="M447" s="978"/>
      <c r="N447" s="965">
        <v>428</v>
      </c>
      <c r="O447" s="159"/>
      <c r="P447" s="159"/>
      <c r="Q447" s="159"/>
      <c r="R447" s="159"/>
      <c r="S447" s="159"/>
      <c r="Y447" s="1975" t="str">
        <f t="shared" si="13"/>
        <v/>
      </c>
    </row>
    <row r="448" spans="1:25">
      <c r="A448" s="1983" t="str">
        <f t="shared" si="12"/>
        <v/>
      </c>
      <c r="B448" s="741">
        <f>Gases!A454</f>
        <v>429</v>
      </c>
      <c r="C448" s="970"/>
      <c r="D448" s="973"/>
      <c r="E448" s="973"/>
      <c r="F448" s="973"/>
      <c r="G448" s="973"/>
      <c r="H448" s="973"/>
      <c r="I448" s="976"/>
      <c r="J448" s="977"/>
      <c r="K448" s="965">
        <v>429</v>
      </c>
      <c r="L448" s="965"/>
      <c r="M448" s="978"/>
      <c r="N448" s="965">
        <v>429</v>
      </c>
      <c r="O448" s="159"/>
      <c r="P448" s="159"/>
      <c r="Q448" s="159"/>
      <c r="R448" s="159"/>
      <c r="S448" s="159"/>
      <c r="Y448" s="1975" t="str">
        <f t="shared" si="13"/>
        <v/>
      </c>
    </row>
    <row r="449" spans="1:25">
      <c r="A449" s="1983" t="str">
        <f t="shared" si="12"/>
        <v/>
      </c>
      <c r="B449" s="741">
        <f>Gases!A455</f>
        <v>430</v>
      </c>
      <c r="C449" s="970"/>
      <c r="D449" s="973"/>
      <c r="E449" s="973"/>
      <c r="F449" s="973"/>
      <c r="G449" s="973"/>
      <c r="H449" s="973"/>
      <c r="I449" s="976"/>
      <c r="J449" s="977"/>
      <c r="K449" s="965">
        <v>430</v>
      </c>
      <c r="L449" s="965"/>
      <c r="M449" s="978"/>
      <c r="N449" s="965">
        <v>430</v>
      </c>
      <c r="O449" s="159"/>
      <c r="P449" s="159"/>
      <c r="Q449" s="159"/>
      <c r="R449" s="159"/>
      <c r="S449" s="159"/>
      <c r="Y449" s="1975" t="str">
        <f t="shared" si="13"/>
        <v/>
      </c>
    </row>
    <row r="450" spans="1:25">
      <c r="A450" s="1983" t="str">
        <f t="shared" si="12"/>
        <v/>
      </c>
      <c r="B450" s="741">
        <f>Gases!A456</f>
        <v>431</v>
      </c>
      <c r="C450" s="970"/>
      <c r="D450" s="973"/>
      <c r="E450" s="973"/>
      <c r="F450" s="973"/>
      <c r="G450" s="973"/>
      <c r="H450" s="973"/>
      <c r="I450" s="976"/>
      <c r="J450" s="977"/>
      <c r="K450" s="965">
        <v>431</v>
      </c>
      <c r="L450" s="965"/>
      <c r="M450" s="978"/>
      <c r="N450" s="965">
        <v>431</v>
      </c>
      <c r="O450" s="159"/>
      <c r="P450" s="159"/>
      <c r="Q450" s="159"/>
      <c r="R450" s="159"/>
      <c r="S450" s="159"/>
      <c r="Y450" s="1975" t="str">
        <f t="shared" si="13"/>
        <v/>
      </c>
    </row>
    <row r="451" spans="1:25">
      <c r="A451" s="1983" t="str">
        <f t="shared" si="12"/>
        <v/>
      </c>
      <c r="B451" s="741">
        <f>Gases!A457</f>
        <v>432</v>
      </c>
      <c r="C451" s="970"/>
      <c r="D451" s="973"/>
      <c r="E451" s="973"/>
      <c r="F451" s="973"/>
      <c r="G451" s="973"/>
      <c r="H451" s="973"/>
      <c r="I451" s="976"/>
      <c r="J451" s="977"/>
      <c r="K451" s="965">
        <v>432</v>
      </c>
      <c r="L451" s="965"/>
      <c r="M451" s="978"/>
      <c r="N451" s="965">
        <v>432</v>
      </c>
      <c r="O451" s="159"/>
      <c r="P451" s="159"/>
      <c r="Q451" s="159"/>
      <c r="R451" s="159"/>
      <c r="S451" s="159"/>
      <c r="Y451" s="1975" t="str">
        <f t="shared" si="13"/>
        <v/>
      </c>
    </row>
    <row r="452" spans="1:25">
      <c r="A452" s="1983" t="str">
        <f t="shared" si="12"/>
        <v/>
      </c>
      <c r="B452" s="741">
        <f>Gases!A458</f>
        <v>433</v>
      </c>
      <c r="C452" s="970"/>
      <c r="D452" s="973"/>
      <c r="E452" s="973"/>
      <c r="F452" s="973"/>
      <c r="G452" s="973"/>
      <c r="H452" s="973"/>
      <c r="I452" s="976"/>
      <c r="J452" s="977"/>
      <c r="K452" s="965">
        <v>433</v>
      </c>
      <c r="L452" s="965"/>
      <c r="M452" s="978"/>
      <c r="N452" s="965">
        <v>433</v>
      </c>
      <c r="O452" s="159"/>
      <c r="P452" s="159"/>
      <c r="Q452" s="159"/>
      <c r="R452" s="159"/>
      <c r="S452" s="159"/>
      <c r="Y452" s="1975" t="str">
        <f t="shared" si="13"/>
        <v/>
      </c>
    </row>
    <row r="453" spans="1:25">
      <c r="A453" s="1983" t="str">
        <f t="shared" si="12"/>
        <v/>
      </c>
      <c r="B453" s="741">
        <f>Gases!A459</f>
        <v>434</v>
      </c>
      <c r="C453" s="970"/>
      <c r="D453" s="973"/>
      <c r="E453" s="973"/>
      <c r="F453" s="973"/>
      <c r="G453" s="973"/>
      <c r="H453" s="973"/>
      <c r="I453" s="976"/>
      <c r="J453" s="977"/>
      <c r="K453" s="965">
        <v>434</v>
      </c>
      <c r="L453" s="965"/>
      <c r="M453" s="978"/>
      <c r="N453" s="965">
        <v>434</v>
      </c>
      <c r="O453" s="159"/>
      <c r="P453" s="159"/>
      <c r="Q453" s="159"/>
      <c r="R453" s="159"/>
      <c r="S453" s="159"/>
      <c r="Y453" s="1975" t="str">
        <f t="shared" si="13"/>
        <v/>
      </c>
    </row>
    <row r="454" spans="1:25">
      <c r="A454" s="1983" t="str">
        <f t="shared" si="12"/>
        <v/>
      </c>
      <c r="B454" s="741">
        <f>Gases!A460</f>
        <v>435</v>
      </c>
      <c r="C454" s="970"/>
      <c r="D454" s="973"/>
      <c r="E454" s="973"/>
      <c r="F454" s="973"/>
      <c r="G454" s="973"/>
      <c r="H454" s="973"/>
      <c r="I454" s="976"/>
      <c r="J454" s="977"/>
      <c r="K454" s="965">
        <v>435</v>
      </c>
      <c r="L454" s="965"/>
      <c r="M454" s="978"/>
      <c r="N454" s="965">
        <v>435</v>
      </c>
      <c r="O454" s="159"/>
      <c r="P454" s="159"/>
      <c r="Q454" s="159"/>
      <c r="R454" s="159"/>
      <c r="S454" s="159"/>
      <c r="Y454" s="1975" t="str">
        <f t="shared" si="13"/>
        <v/>
      </c>
    </row>
    <row r="455" spans="1:25">
      <c r="A455" s="1983" t="str">
        <f t="shared" si="12"/>
        <v/>
      </c>
      <c r="B455" s="741">
        <f>Gases!A461</f>
        <v>436</v>
      </c>
      <c r="C455" s="970"/>
      <c r="D455" s="973"/>
      <c r="E455" s="973"/>
      <c r="F455" s="973"/>
      <c r="G455" s="973"/>
      <c r="H455" s="973"/>
      <c r="I455" s="976"/>
      <c r="J455" s="977"/>
      <c r="K455" s="965">
        <v>436</v>
      </c>
      <c r="L455" s="965"/>
      <c r="M455" s="978"/>
      <c r="N455" s="965">
        <v>436</v>
      </c>
      <c r="O455" s="159"/>
      <c r="P455" s="159"/>
      <c r="Q455" s="159"/>
      <c r="R455" s="159"/>
      <c r="S455" s="159"/>
      <c r="Y455" s="1975" t="str">
        <f t="shared" si="13"/>
        <v/>
      </c>
    </row>
    <row r="456" spans="1:25">
      <c r="A456" s="1983" t="str">
        <f t="shared" si="12"/>
        <v/>
      </c>
      <c r="B456" s="741">
        <f>Gases!A462</f>
        <v>437</v>
      </c>
      <c r="C456" s="970"/>
      <c r="D456" s="973"/>
      <c r="E456" s="973"/>
      <c r="F456" s="973"/>
      <c r="G456" s="973"/>
      <c r="H456" s="973"/>
      <c r="I456" s="976"/>
      <c r="J456" s="977"/>
      <c r="K456" s="965">
        <v>437</v>
      </c>
      <c r="L456" s="965"/>
      <c r="M456" s="978"/>
      <c r="N456" s="965">
        <v>437</v>
      </c>
      <c r="O456" s="159"/>
      <c r="P456" s="159"/>
      <c r="Q456" s="159"/>
      <c r="R456" s="159"/>
      <c r="S456" s="159"/>
      <c r="Y456" s="1975" t="str">
        <f t="shared" si="13"/>
        <v/>
      </c>
    </row>
    <row r="457" spans="1:25">
      <c r="A457" s="1983" t="str">
        <f t="shared" si="12"/>
        <v/>
      </c>
      <c r="B457" s="741">
        <f>Gases!A463</f>
        <v>438</v>
      </c>
      <c r="C457" s="970"/>
      <c r="D457" s="973"/>
      <c r="E457" s="973"/>
      <c r="F457" s="973"/>
      <c r="G457" s="973"/>
      <c r="H457" s="973"/>
      <c r="I457" s="976"/>
      <c r="J457" s="977"/>
      <c r="K457" s="965">
        <v>438</v>
      </c>
      <c r="L457" s="965"/>
      <c r="M457" s="978"/>
      <c r="N457" s="965">
        <v>438</v>
      </c>
      <c r="O457" s="159"/>
      <c r="P457" s="159"/>
      <c r="Q457" s="159"/>
      <c r="R457" s="159"/>
      <c r="S457" s="159"/>
      <c r="Y457" s="1975" t="str">
        <f t="shared" si="13"/>
        <v/>
      </c>
    </row>
    <row r="458" spans="1:25">
      <c r="A458" s="1983" t="str">
        <f t="shared" si="12"/>
        <v/>
      </c>
      <c r="B458" s="741">
        <f>Gases!A464</f>
        <v>439</v>
      </c>
      <c r="C458" s="970"/>
      <c r="D458" s="973"/>
      <c r="E458" s="973"/>
      <c r="F458" s="973"/>
      <c r="G458" s="973"/>
      <c r="H458" s="973"/>
      <c r="I458" s="976"/>
      <c r="J458" s="977"/>
      <c r="K458" s="965">
        <v>439</v>
      </c>
      <c r="L458" s="965"/>
      <c r="M458" s="978"/>
      <c r="N458" s="965">
        <v>439</v>
      </c>
      <c r="O458" s="159"/>
      <c r="P458" s="159"/>
      <c r="Q458" s="159"/>
      <c r="R458" s="159"/>
      <c r="S458" s="159"/>
      <c r="Y458" s="1975" t="str">
        <f t="shared" si="13"/>
        <v/>
      </c>
    </row>
    <row r="459" spans="1:25">
      <c r="A459" s="1983" t="str">
        <f t="shared" si="12"/>
        <v/>
      </c>
      <c r="B459" s="741">
        <f>Gases!A465</f>
        <v>440</v>
      </c>
      <c r="C459" s="970"/>
      <c r="D459" s="973"/>
      <c r="E459" s="973"/>
      <c r="F459" s="973"/>
      <c r="G459" s="973"/>
      <c r="H459" s="973"/>
      <c r="I459" s="976"/>
      <c r="J459" s="977"/>
      <c r="K459" s="965">
        <v>440</v>
      </c>
      <c r="L459" s="965"/>
      <c r="M459" s="978"/>
      <c r="N459" s="965">
        <v>440</v>
      </c>
      <c r="O459" s="159"/>
      <c r="P459" s="159"/>
      <c r="Q459" s="159"/>
      <c r="R459" s="159"/>
      <c r="S459" s="159"/>
      <c r="Y459" s="1975" t="str">
        <f t="shared" si="13"/>
        <v/>
      </c>
    </row>
    <row r="460" spans="1:25">
      <c r="A460" s="1983" t="str">
        <f t="shared" si="12"/>
        <v/>
      </c>
      <c r="B460" s="741">
        <f>Gases!A466</f>
        <v>441</v>
      </c>
      <c r="C460" s="970"/>
      <c r="D460" s="973"/>
      <c r="E460" s="973"/>
      <c r="F460" s="973"/>
      <c r="G460" s="973"/>
      <c r="H460" s="973"/>
      <c r="I460" s="976"/>
      <c r="J460" s="977"/>
      <c r="K460" s="965">
        <v>441</v>
      </c>
      <c r="L460" s="965"/>
      <c r="M460" s="978"/>
      <c r="N460" s="965">
        <v>441</v>
      </c>
      <c r="O460" s="159"/>
      <c r="P460" s="159"/>
      <c r="Q460" s="159"/>
      <c r="R460" s="159"/>
      <c r="S460" s="159"/>
      <c r="Y460" s="1975" t="str">
        <f t="shared" si="13"/>
        <v/>
      </c>
    </row>
    <row r="461" spans="1:25">
      <c r="A461" s="1983" t="str">
        <f t="shared" si="12"/>
        <v/>
      </c>
      <c r="B461" s="741">
        <f>Gases!A467</f>
        <v>442</v>
      </c>
      <c r="C461" s="970"/>
      <c r="D461" s="973"/>
      <c r="E461" s="973"/>
      <c r="F461" s="973"/>
      <c r="G461" s="973"/>
      <c r="H461" s="973"/>
      <c r="I461" s="976"/>
      <c r="J461" s="977"/>
      <c r="K461" s="965">
        <v>442</v>
      </c>
      <c r="L461" s="965"/>
      <c r="M461" s="978"/>
      <c r="N461" s="965">
        <v>442</v>
      </c>
      <c r="O461" s="159"/>
      <c r="P461" s="159"/>
      <c r="Q461" s="159"/>
      <c r="R461" s="159"/>
      <c r="S461" s="159"/>
      <c r="Y461" s="1975" t="str">
        <f t="shared" si="13"/>
        <v/>
      </c>
    </row>
    <row r="462" spans="1:25">
      <c r="A462" s="1983" t="str">
        <f t="shared" si="12"/>
        <v/>
      </c>
      <c r="B462" s="741">
        <f>Gases!A468</f>
        <v>443</v>
      </c>
      <c r="C462" s="970"/>
      <c r="D462" s="973"/>
      <c r="E462" s="973"/>
      <c r="F462" s="973"/>
      <c r="G462" s="973"/>
      <c r="H462" s="973"/>
      <c r="I462" s="976"/>
      <c r="J462" s="977"/>
      <c r="K462" s="965">
        <v>443</v>
      </c>
      <c r="L462" s="965"/>
      <c r="M462" s="978"/>
      <c r="N462" s="965">
        <v>443</v>
      </c>
      <c r="O462" s="159"/>
      <c r="P462" s="159"/>
      <c r="Q462" s="159"/>
      <c r="R462" s="159"/>
      <c r="S462" s="159"/>
      <c r="Y462" s="1975" t="str">
        <f t="shared" si="13"/>
        <v/>
      </c>
    </row>
    <row r="463" spans="1:25">
      <c r="A463" s="1983" t="str">
        <f t="shared" si="12"/>
        <v/>
      </c>
      <c r="B463" s="741">
        <f>Gases!A469</f>
        <v>444</v>
      </c>
      <c r="C463" s="970"/>
      <c r="D463" s="973"/>
      <c r="E463" s="973"/>
      <c r="F463" s="973"/>
      <c r="G463" s="973"/>
      <c r="H463" s="973"/>
      <c r="I463" s="976"/>
      <c r="J463" s="977"/>
      <c r="K463" s="965">
        <v>444</v>
      </c>
      <c r="L463" s="965"/>
      <c r="M463" s="978"/>
      <c r="N463" s="965">
        <v>444</v>
      </c>
      <c r="O463" s="159"/>
      <c r="P463" s="159"/>
      <c r="Q463" s="159"/>
      <c r="R463" s="159"/>
      <c r="S463" s="159"/>
      <c r="Y463" s="1975" t="str">
        <f t="shared" si="13"/>
        <v/>
      </c>
    </row>
    <row r="464" spans="1:25">
      <c r="A464" s="1983" t="str">
        <f t="shared" si="12"/>
        <v/>
      </c>
      <c r="B464" s="741">
        <f>Gases!A470</f>
        <v>445</v>
      </c>
      <c r="C464" s="970"/>
      <c r="D464" s="973"/>
      <c r="E464" s="973"/>
      <c r="F464" s="973"/>
      <c r="G464" s="973"/>
      <c r="H464" s="973"/>
      <c r="I464" s="976"/>
      <c r="J464" s="977"/>
      <c r="K464" s="965">
        <v>445</v>
      </c>
      <c r="L464" s="965"/>
      <c r="M464" s="978"/>
      <c r="N464" s="965">
        <v>445</v>
      </c>
      <c r="O464" s="159"/>
      <c r="P464" s="159"/>
      <c r="Q464" s="159"/>
      <c r="R464" s="159"/>
      <c r="S464" s="159"/>
      <c r="Y464" s="1975" t="str">
        <f t="shared" si="13"/>
        <v/>
      </c>
    </row>
    <row r="465" spans="1:25">
      <c r="A465" s="1983" t="str">
        <f t="shared" si="12"/>
        <v/>
      </c>
      <c r="B465" s="741">
        <f>Gases!A471</f>
        <v>446</v>
      </c>
      <c r="C465" s="970"/>
      <c r="D465" s="973"/>
      <c r="E465" s="973"/>
      <c r="F465" s="973"/>
      <c r="G465" s="973"/>
      <c r="H465" s="973"/>
      <c r="I465" s="976"/>
      <c r="J465" s="977"/>
      <c r="K465" s="965">
        <v>446</v>
      </c>
      <c r="L465" s="965"/>
      <c r="M465" s="978"/>
      <c r="N465" s="965">
        <v>446</v>
      </c>
      <c r="O465" s="159"/>
      <c r="P465" s="159"/>
      <c r="Q465" s="159"/>
      <c r="R465" s="159"/>
      <c r="S465" s="159"/>
      <c r="Y465" s="1975" t="str">
        <f t="shared" si="13"/>
        <v/>
      </c>
    </row>
    <row r="466" spans="1:25">
      <c r="A466" s="1983" t="str">
        <f t="shared" si="12"/>
        <v/>
      </c>
      <c r="B466" s="741">
        <f>Gases!A472</f>
        <v>447</v>
      </c>
      <c r="C466" s="970"/>
      <c r="D466" s="973"/>
      <c r="E466" s="973"/>
      <c r="F466" s="973"/>
      <c r="G466" s="973"/>
      <c r="H466" s="973"/>
      <c r="I466" s="976"/>
      <c r="J466" s="977"/>
      <c r="K466" s="965">
        <v>447</v>
      </c>
      <c r="L466" s="965"/>
      <c r="M466" s="978"/>
      <c r="N466" s="965">
        <v>447</v>
      </c>
      <c r="O466" s="159"/>
      <c r="P466" s="159"/>
      <c r="Q466" s="159"/>
      <c r="R466" s="159"/>
      <c r="S466" s="159"/>
      <c r="Y466" s="1975" t="str">
        <f t="shared" si="13"/>
        <v/>
      </c>
    </row>
    <row r="467" spans="1:25">
      <c r="A467" s="1983" t="str">
        <f t="shared" si="12"/>
        <v/>
      </c>
      <c r="B467" s="741">
        <f>Gases!A473</f>
        <v>448</v>
      </c>
      <c r="C467" s="970"/>
      <c r="D467" s="973"/>
      <c r="E467" s="973"/>
      <c r="F467" s="973"/>
      <c r="G467" s="973"/>
      <c r="H467" s="973"/>
      <c r="I467" s="976"/>
      <c r="J467" s="977"/>
      <c r="K467" s="965">
        <v>448</v>
      </c>
      <c r="L467" s="965"/>
      <c r="M467" s="978"/>
      <c r="N467" s="965">
        <v>448</v>
      </c>
      <c r="O467" s="159"/>
      <c r="P467" s="159"/>
      <c r="Q467" s="159"/>
      <c r="R467" s="159"/>
      <c r="S467" s="159"/>
      <c r="Y467" s="1975" t="str">
        <f t="shared" si="13"/>
        <v/>
      </c>
    </row>
    <row r="468" spans="1:25">
      <c r="A468" s="1983" t="str">
        <f t="shared" ref="A468:A499" si="14">IF(AND(C468="",Q467=""),"",IF(GasAnalyser="MRU",Q467,C468))</f>
        <v/>
      </c>
      <c r="B468" s="741">
        <f>Gases!A474</f>
        <v>449</v>
      </c>
      <c r="C468" s="970"/>
      <c r="D468" s="973"/>
      <c r="E468" s="973"/>
      <c r="F468" s="973"/>
      <c r="G468" s="973"/>
      <c r="H468" s="973"/>
      <c r="I468" s="976"/>
      <c r="J468" s="977"/>
      <c r="K468" s="965">
        <v>449</v>
      </c>
      <c r="L468" s="965"/>
      <c r="M468" s="978"/>
      <c r="N468" s="965">
        <v>449</v>
      </c>
      <c r="O468" s="159"/>
      <c r="P468" s="159"/>
      <c r="Q468" s="159"/>
      <c r="R468" s="159"/>
      <c r="S468" s="159"/>
      <c r="Y468" s="1975" t="str">
        <f t="shared" si="13"/>
        <v/>
      </c>
    </row>
    <row r="469" spans="1:25">
      <c r="A469" s="1983" t="str">
        <f t="shared" si="14"/>
        <v/>
      </c>
      <c r="B469" s="741">
        <f>Gases!A475</f>
        <v>450</v>
      </c>
      <c r="C469" s="970"/>
      <c r="D469" s="973"/>
      <c r="E469" s="973"/>
      <c r="F469" s="973"/>
      <c r="G469" s="973"/>
      <c r="H469" s="973"/>
      <c r="I469" s="976"/>
      <c r="J469" s="977"/>
      <c r="K469" s="965">
        <v>450</v>
      </c>
      <c r="L469" s="965"/>
      <c r="M469" s="978"/>
      <c r="N469" s="965">
        <v>450</v>
      </c>
      <c r="O469" s="159"/>
      <c r="P469" s="159"/>
      <c r="Q469" s="159"/>
      <c r="R469" s="159"/>
      <c r="S469" s="159"/>
      <c r="Y469" s="1975" t="str">
        <f t="shared" si="13"/>
        <v/>
      </c>
    </row>
    <row r="470" spans="1:25">
      <c r="A470" s="1983" t="str">
        <f t="shared" si="14"/>
        <v/>
      </c>
      <c r="B470" s="741">
        <f>Gases!A476</f>
        <v>451</v>
      </c>
      <c r="C470" s="970"/>
      <c r="D470" s="973"/>
      <c r="E470" s="973"/>
      <c r="F470" s="973"/>
      <c r="G470" s="973"/>
      <c r="H470" s="973"/>
      <c r="I470" s="976"/>
      <c r="J470" s="977"/>
      <c r="K470" s="965">
        <v>451</v>
      </c>
      <c r="L470" s="965"/>
      <c r="M470" s="978"/>
      <c r="N470" s="965">
        <v>451</v>
      </c>
      <c r="O470" s="159"/>
      <c r="P470" s="159"/>
      <c r="Q470" s="159"/>
      <c r="R470" s="159"/>
      <c r="S470" s="159"/>
      <c r="Y470" s="1975" t="str">
        <f t="shared" ref="Y470:Y498" si="15">IF(U470="","",SUM(U470:V470))</f>
        <v/>
      </c>
    </row>
    <row r="471" spans="1:25">
      <c r="A471" s="1983" t="str">
        <f t="shared" si="14"/>
        <v/>
      </c>
      <c r="B471" s="741">
        <f>Gases!A477</f>
        <v>452</v>
      </c>
      <c r="C471" s="970"/>
      <c r="D471" s="973"/>
      <c r="E471" s="973"/>
      <c r="F471" s="973"/>
      <c r="G471" s="973"/>
      <c r="H471" s="973"/>
      <c r="I471" s="976"/>
      <c r="J471" s="977"/>
      <c r="K471" s="965">
        <v>452</v>
      </c>
      <c r="L471" s="965"/>
      <c r="M471" s="978"/>
      <c r="N471" s="965">
        <v>452</v>
      </c>
      <c r="O471" s="159"/>
      <c r="P471" s="159"/>
      <c r="Q471" s="159"/>
      <c r="R471" s="159"/>
      <c r="S471" s="159"/>
      <c r="Y471" s="1975" t="str">
        <f t="shared" si="15"/>
        <v/>
      </c>
    </row>
    <row r="472" spans="1:25">
      <c r="A472" s="1983" t="str">
        <f t="shared" si="14"/>
        <v/>
      </c>
      <c r="B472" s="741">
        <f>Gases!A478</f>
        <v>453</v>
      </c>
      <c r="C472" s="970"/>
      <c r="D472" s="973"/>
      <c r="E472" s="973"/>
      <c r="F472" s="973"/>
      <c r="G472" s="973"/>
      <c r="H472" s="973"/>
      <c r="I472" s="976"/>
      <c r="J472" s="977"/>
      <c r="K472" s="965">
        <v>453</v>
      </c>
      <c r="L472" s="965"/>
      <c r="M472" s="978"/>
      <c r="N472" s="965">
        <v>453</v>
      </c>
      <c r="O472" s="159"/>
      <c r="P472" s="159"/>
      <c r="Q472" s="159"/>
      <c r="R472" s="159"/>
      <c r="S472" s="159"/>
      <c r="Y472" s="1975" t="str">
        <f t="shared" si="15"/>
        <v/>
      </c>
    </row>
    <row r="473" spans="1:25">
      <c r="A473" s="1983" t="str">
        <f t="shared" si="14"/>
        <v/>
      </c>
      <c r="B473" s="741">
        <f>Gases!A479</f>
        <v>454</v>
      </c>
      <c r="C473" s="970"/>
      <c r="D473" s="973"/>
      <c r="E473" s="973"/>
      <c r="F473" s="973"/>
      <c r="G473" s="973"/>
      <c r="H473" s="973"/>
      <c r="I473" s="976"/>
      <c r="J473" s="977"/>
      <c r="K473" s="965">
        <v>454</v>
      </c>
      <c r="L473" s="965"/>
      <c r="M473" s="978"/>
      <c r="N473" s="965">
        <v>454</v>
      </c>
      <c r="O473" s="159"/>
      <c r="P473" s="159"/>
      <c r="Q473" s="159"/>
      <c r="R473" s="159"/>
      <c r="S473" s="159"/>
      <c r="Y473" s="1975" t="str">
        <f t="shared" si="15"/>
        <v/>
      </c>
    </row>
    <row r="474" spans="1:25">
      <c r="A474" s="1983" t="str">
        <f t="shared" si="14"/>
        <v/>
      </c>
      <c r="B474" s="741">
        <f>Gases!A480</f>
        <v>455</v>
      </c>
      <c r="C474" s="970"/>
      <c r="D474" s="973"/>
      <c r="E474" s="973"/>
      <c r="F474" s="973"/>
      <c r="G474" s="973"/>
      <c r="H474" s="973"/>
      <c r="I474" s="976"/>
      <c r="J474" s="977"/>
      <c r="K474" s="965">
        <v>455</v>
      </c>
      <c r="L474" s="965"/>
      <c r="M474" s="978"/>
      <c r="N474" s="965">
        <v>455</v>
      </c>
      <c r="O474" s="159"/>
      <c r="P474" s="159"/>
      <c r="Q474" s="159"/>
      <c r="R474" s="159"/>
      <c r="S474" s="159"/>
      <c r="Y474" s="1975" t="str">
        <f t="shared" si="15"/>
        <v/>
      </c>
    </row>
    <row r="475" spans="1:25">
      <c r="A475" s="1983" t="str">
        <f t="shared" si="14"/>
        <v/>
      </c>
      <c r="B475" s="741">
        <f>Gases!A481</f>
        <v>456</v>
      </c>
      <c r="C475" s="970"/>
      <c r="D475" s="973"/>
      <c r="E475" s="973"/>
      <c r="F475" s="973"/>
      <c r="G475" s="973"/>
      <c r="H475" s="973"/>
      <c r="I475" s="976"/>
      <c r="J475" s="977"/>
      <c r="K475" s="965">
        <v>456</v>
      </c>
      <c r="L475" s="965"/>
      <c r="M475" s="978"/>
      <c r="N475" s="965">
        <v>456</v>
      </c>
      <c r="O475" s="159"/>
      <c r="P475" s="159"/>
      <c r="Q475" s="159"/>
      <c r="R475" s="159"/>
      <c r="S475" s="159"/>
      <c r="Y475" s="1975" t="str">
        <f t="shared" si="15"/>
        <v/>
      </c>
    </row>
    <row r="476" spans="1:25">
      <c r="A476" s="1983" t="str">
        <f t="shared" si="14"/>
        <v/>
      </c>
      <c r="B476" s="741">
        <f>Gases!A482</f>
        <v>457</v>
      </c>
      <c r="C476" s="970"/>
      <c r="D476" s="973"/>
      <c r="E476" s="973"/>
      <c r="F476" s="973"/>
      <c r="G476" s="973"/>
      <c r="H476" s="973"/>
      <c r="I476" s="976"/>
      <c r="J476" s="977"/>
      <c r="K476" s="965">
        <v>457</v>
      </c>
      <c r="L476" s="965"/>
      <c r="M476" s="978"/>
      <c r="N476" s="965">
        <v>457</v>
      </c>
      <c r="O476" s="159"/>
      <c r="P476" s="159"/>
      <c r="Q476" s="159"/>
      <c r="R476" s="159"/>
      <c r="S476" s="159"/>
      <c r="Y476" s="1975" t="str">
        <f t="shared" si="15"/>
        <v/>
      </c>
    </row>
    <row r="477" spans="1:25">
      <c r="A477" s="1983" t="str">
        <f t="shared" si="14"/>
        <v/>
      </c>
      <c r="B477" s="741">
        <f>Gases!A483</f>
        <v>458</v>
      </c>
      <c r="C477" s="970"/>
      <c r="D477" s="973"/>
      <c r="E477" s="973"/>
      <c r="F477" s="973"/>
      <c r="G477" s="973"/>
      <c r="H477" s="973"/>
      <c r="I477" s="976"/>
      <c r="J477" s="977"/>
      <c r="K477" s="965">
        <v>458</v>
      </c>
      <c r="L477" s="965"/>
      <c r="M477" s="978"/>
      <c r="N477" s="965">
        <v>458</v>
      </c>
      <c r="O477" s="159"/>
      <c r="P477" s="159"/>
      <c r="Q477" s="159"/>
      <c r="R477" s="159"/>
      <c r="S477" s="159"/>
      <c r="Y477" s="1975" t="str">
        <f t="shared" si="15"/>
        <v/>
      </c>
    </row>
    <row r="478" spans="1:25">
      <c r="A478" s="1983" t="str">
        <f t="shared" si="14"/>
        <v/>
      </c>
      <c r="B478" s="741">
        <f>Gases!A484</f>
        <v>459</v>
      </c>
      <c r="C478" s="970"/>
      <c r="D478" s="973"/>
      <c r="E478" s="973"/>
      <c r="F478" s="973"/>
      <c r="G478" s="973"/>
      <c r="H478" s="973"/>
      <c r="I478" s="976"/>
      <c r="J478" s="977"/>
      <c r="K478" s="965">
        <v>459</v>
      </c>
      <c r="L478" s="965"/>
      <c r="M478" s="978"/>
      <c r="N478" s="965">
        <v>459</v>
      </c>
      <c r="O478" s="159"/>
      <c r="P478" s="159"/>
      <c r="Q478" s="159"/>
      <c r="R478" s="159"/>
      <c r="S478" s="159"/>
      <c r="Y478" s="1975" t="str">
        <f t="shared" si="15"/>
        <v/>
      </c>
    </row>
    <row r="479" spans="1:25">
      <c r="A479" s="1983" t="str">
        <f t="shared" si="14"/>
        <v/>
      </c>
      <c r="B479" s="741">
        <f>Gases!A485</f>
        <v>460</v>
      </c>
      <c r="C479" s="970"/>
      <c r="D479" s="973"/>
      <c r="E479" s="973"/>
      <c r="F479" s="973"/>
      <c r="G479" s="973"/>
      <c r="H479" s="973"/>
      <c r="I479" s="976"/>
      <c r="J479" s="977"/>
      <c r="K479" s="965">
        <v>460</v>
      </c>
      <c r="L479" s="965"/>
      <c r="M479" s="978"/>
      <c r="N479" s="965">
        <v>460</v>
      </c>
      <c r="O479" s="159"/>
      <c r="P479" s="159"/>
      <c r="Q479" s="159"/>
      <c r="R479" s="159"/>
      <c r="S479" s="159"/>
      <c r="Y479" s="1975" t="str">
        <f t="shared" si="15"/>
        <v/>
      </c>
    </row>
    <row r="480" spans="1:25">
      <c r="A480" s="1983" t="str">
        <f t="shared" si="14"/>
        <v/>
      </c>
      <c r="B480" s="741">
        <f>Gases!A486</f>
        <v>461</v>
      </c>
      <c r="C480" s="970"/>
      <c r="D480" s="973"/>
      <c r="E480" s="973"/>
      <c r="F480" s="973"/>
      <c r="G480" s="973"/>
      <c r="H480" s="973"/>
      <c r="I480" s="976"/>
      <c r="J480" s="977"/>
      <c r="K480" s="965">
        <v>461</v>
      </c>
      <c r="L480" s="965"/>
      <c r="M480" s="978"/>
      <c r="N480" s="965">
        <v>461</v>
      </c>
      <c r="O480" s="159"/>
      <c r="P480" s="159"/>
      <c r="Q480" s="159"/>
      <c r="R480" s="159"/>
      <c r="S480" s="159"/>
      <c r="Y480" s="1975" t="str">
        <f t="shared" si="15"/>
        <v/>
      </c>
    </row>
    <row r="481" spans="1:25">
      <c r="A481" s="1983" t="str">
        <f t="shared" si="14"/>
        <v/>
      </c>
      <c r="B481" s="741">
        <f>Gases!A487</f>
        <v>462</v>
      </c>
      <c r="C481" s="970"/>
      <c r="D481" s="973"/>
      <c r="E481" s="973"/>
      <c r="F481" s="973"/>
      <c r="G481" s="973"/>
      <c r="H481" s="973"/>
      <c r="I481" s="976"/>
      <c r="J481" s="977"/>
      <c r="K481" s="965">
        <v>462</v>
      </c>
      <c r="L481" s="965"/>
      <c r="M481" s="978"/>
      <c r="N481" s="965">
        <v>462</v>
      </c>
      <c r="O481" s="159"/>
      <c r="P481" s="159"/>
      <c r="Q481" s="159"/>
      <c r="R481" s="159"/>
      <c r="S481" s="159"/>
      <c r="Y481" s="1975" t="str">
        <f t="shared" si="15"/>
        <v/>
      </c>
    </row>
    <row r="482" spans="1:25">
      <c r="A482" s="1983" t="str">
        <f t="shared" si="14"/>
        <v/>
      </c>
      <c r="B482" s="741">
        <f>Gases!A488</f>
        <v>463</v>
      </c>
      <c r="C482" s="970"/>
      <c r="D482" s="973"/>
      <c r="E482" s="973"/>
      <c r="F482" s="973"/>
      <c r="G482" s="973"/>
      <c r="H482" s="973"/>
      <c r="I482" s="976"/>
      <c r="J482" s="977"/>
      <c r="K482" s="965">
        <v>463</v>
      </c>
      <c r="L482" s="965"/>
      <c r="M482" s="978"/>
      <c r="N482" s="965">
        <v>463</v>
      </c>
      <c r="O482" s="159"/>
      <c r="P482" s="159"/>
      <c r="Q482" s="159"/>
      <c r="R482" s="159"/>
      <c r="S482" s="159"/>
      <c r="Y482" s="1975" t="str">
        <f t="shared" si="15"/>
        <v/>
      </c>
    </row>
    <row r="483" spans="1:25">
      <c r="A483" s="1983" t="str">
        <f t="shared" si="14"/>
        <v/>
      </c>
      <c r="B483" s="741">
        <f>Gases!A489</f>
        <v>464</v>
      </c>
      <c r="C483" s="970"/>
      <c r="D483" s="973"/>
      <c r="E483" s="973"/>
      <c r="F483" s="973"/>
      <c r="G483" s="973"/>
      <c r="H483" s="973"/>
      <c r="I483" s="976"/>
      <c r="J483" s="977"/>
      <c r="K483" s="965">
        <v>464</v>
      </c>
      <c r="L483" s="965"/>
      <c r="M483" s="978"/>
      <c r="N483" s="965">
        <v>464</v>
      </c>
      <c r="O483" s="159"/>
      <c r="P483" s="159"/>
      <c r="Q483" s="159"/>
      <c r="R483" s="159"/>
      <c r="S483" s="159"/>
      <c r="Y483" s="1975" t="str">
        <f t="shared" si="15"/>
        <v/>
      </c>
    </row>
    <row r="484" spans="1:25">
      <c r="A484" s="1983" t="str">
        <f t="shared" si="14"/>
        <v/>
      </c>
      <c r="B484" s="741">
        <f>Gases!A490</f>
        <v>465</v>
      </c>
      <c r="C484" s="970"/>
      <c r="D484" s="973"/>
      <c r="E484" s="973"/>
      <c r="F484" s="973"/>
      <c r="G484" s="973"/>
      <c r="H484" s="973"/>
      <c r="I484" s="976"/>
      <c r="J484" s="977"/>
      <c r="K484" s="965">
        <v>465</v>
      </c>
      <c r="L484" s="965"/>
      <c r="M484" s="978"/>
      <c r="N484" s="965">
        <v>465</v>
      </c>
      <c r="O484" s="159"/>
      <c r="P484" s="159"/>
      <c r="Q484" s="159"/>
      <c r="R484" s="159"/>
      <c r="S484" s="159"/>
      <c r="Y484" s="1975" t="str">
        <f t="shared" si="15"/>
        <v/>
      </c>
    </row>
    <row r="485" spans="1:25">
      <c r="A485" s="1983" t="str">
        <f t="shared" si="14"/>
        <v/>
      </c>
      <c r="B485" s="741">
        <f>Gases!A491</f>
        <v>466</v>
      </c>
      <c r="C485" s="970"/>
      <c r="D485" s="973"/>
      <c r="E485" s="973"/>
      <c r="F485" s="973"/>
      <c r="G485" s="973"/>
      <c r="H485" s="973"/>
      <c r="I485" s="976"/>
      <c r="J485" s="977"/>
      <c r="K485" s="965">
        <v>466</v>
      </c>
      <c r="L485" s="965"/>
      <c r="M485" s="978"/>
      <c r="N485" s="965">
        <v>466</v>
      </c>
      <c r="O485" s="159"/>
      <c r="P485" s="159"/>
      <c r="Q485" s="159"/>
      <c r="R485" s="159"/>
      <c r="S485" s="159"/>
      <c r="Y485" s="1975" t="str">
        <f t="shared" si="15"/>
        <v/>
      </c>
    </row>
    <row r="486" spans="1:25">
      <c r="A486" s="1983" t="str">
        <f t="shared" si="14"/>
        <v/>
      </c>
      <c r="B486" s="741">
        <f>Gases!A492</f>
        <v>467</v>
      </c>
      <c r="C486" s="970"/>
      <c r="D486" s="973"/>
      <c r="E486" s="973"/>
      <c r="F486" s="973"/>
      <c r="G486" s="973"/>
      <c r="H486" s="973"/>
      <c r="I486" s="976"/>
      <c r="J486" s="977"/>
      <c r="K486" s="965">
        <v>467</v>
      </c>
      <c r="L486" s="965"/>
      <c r="M486" s="978"/>
      <c r="N486" s="965">
        <v>467</v>
      </c>
      <c r="O486" s="159"/>
      <c r="P486" s="159"/>
      <c r="Q486" s="159"/>
      <c r="R486" s="159"/>
      <c r="S486" s="159"/>
      <c r="Y486" s="1975" t="str">
        <f t="shared" si="15"/>
        <v/>
      </c>
    </row>
    <row r="487" spans="1:25">
      <c r="A487" s="1983" t="str">
        <f t="shared" si="14"/>
        <v/>
      </c>
      <c r="B487" s="741">
        <f>Gases!A493</f>
        <v>468</v>
      </c>
      <c r="C487" s="970"/>
      <c r="D487" s="973"/>
      <c r="E487" s="973"/>
      <c r="F487" s="973"/>
      <c r="G487" s="973"/>
      <c r="H487" s="973"/>
      <c r="I487" s="976"/>
      <c r="J487" s="977"/>
      <c r="K487" s="965">
        <v>468</v>
      </c>
      <c r="L487" s="965"/>
      <c r="M487" s="978"/>
      <c r="N487" s="965">
        <v>468</v>
      </c>
      <c r="O487" s="159"/>
      <c r="P487" s="159"/>
      <c r="Q487" s="159"/>
      <c r="R487" s="159"/>
      <c r="S487" s="159"/>
      <c r="Y487" s="1975" t="str">
        <f t="shared" si="15"/>
        <v/>
      </c>
    </row>
    <row r="488" spans="1:25">
      <c r="A488" s="1983" t="str">
        <f t="shared" si="14"/>
        <v/>
      </c>
      <c r="B488" s="741">
        <f>Gases!A494</f>
        <v>469</v>
      </c>
      <c r="C488" s="970"/>
      <c r="D488" s="973"/>
      <c r="E488" s="973"/>
      <c r="F488" s="973"/>
      <c r="G488" s="973"/>
      <c r="H488" s="973"/>
      <c r="I488" s="976"/>
      <c r="J488" s="977"/>
      <c r="K488" s="965">
        <v>469</v>
      </c>
      <c r="L488" s="965"/>
      <c r="M488" s="978"/>
      <c r="N488" s="965">
        <v>469</v>
      </c>
      <c r="O488" s="159"/>
      <c r="P488" s="159"/>
      <c r="Q488" s="159"/>
      <c r="R488" s="159"/>
      <c r="S488" s="159"/>
      <c r="Y488" s="1975" t="str">
        <f t="shared" si="15"/>
        <v/>
      </c>
    </row>
    <row r="489" spans="1:25">
      <c r="A489" s="1983" t="str">
        <f t="shared" si="14"/>
        <v/>
      </c>
      <c r="B489" s="741">
        <f>Gases!A495</f>
        <v>470</v>
      </c>
      <c r="C489" s="970"/>
      <c r="D489" s="973"/>
      <c r="E489" s="973"/>
      <c r="F489" s="973"/>
      <c r="G489" s="973"/>
      <c r="H489" s="973"/>
      <c r="I489" s="976"/>
      <c r="J489" s="977"/>
      <c r="K489" s="965">
        <v>470</v>
      </c>
      <c r="L489" s="965"/>
      <c r="M489" s="978"/>
      <c r="N489" s="965">
        <v>470</v>
      </c>
      <c r="O489" s="159"/>
      <c r="P489" s="159"/>
      <c r="Q489" s="159"/>
      <c r="R489" s="159"/>
      <c r="S489" s="159"/>
      <c r="Y489" s="1975" t="str">
        <f t="shared" si="15"/>
        <v/>
      </c>
    </row>
    <row r="490" spans="1:25">
      <c r="A490" s="1983" t="str">
        <f t="shared" si="14"/>
        <v/>
      </c>
      <c r="B490" s="741">
        <f>Gases!A496</f>
        <v>471</v>
      </c>
      <c r="C490" s="970"/>
      <c r="D490" s="973"/>
      <c r="E490" s="973"/>
      <c r="F490" s="973"/>
      <c r="G490" s="973"/>
      <c r="H490" s="973"/>
      <c r="I490" s="976"/>
      <c r="J490" s="977"/>
      <c r="K490" s="965">
        <v>471</v>
      </c>
      <c r="L490" s="965"/>
      <c r="M490" s="978"/>
      <c r="N490" s="965">
        <v>471</v>
      </c>
      <c r="O490" s="159"/>
      <c r="P490" s="159"/>
      <c r="Q490" s="159"/>
      <c r="R490" s="159"/>
      <c r="S490" s="159"/>
      <c r="Y490" s="1975" t="str">
        <f t="shared" si="15"/>
        <v/>
      </c>
    </row>
    <row r="491" spans="1:25">
      <c r="A491" s="1983" t="str">
        <f t="shared" si="14"/>
        <v/>
      </c>
      <c r="B491" s="741">
        <f>Gases!A497</f>
        <v>472</v>
      </c>
      <c r="C491" s="970"/>
      <c r="D491" s="973"/>
      <c r="E491" s="973"/>
      <c r="F491" s="973"/>
      <c r="G491" s="973"/>
      <c r="H491" s="973"/>
      <c r="I491" s="976"/>
      <c r="J491" s="977"/>
      <c r="K491" s="965">
        <v>472</v>
      </c>
      <c r="L491" s="965"/>
      <c r="M491" s="978"/>
      <c r="N491" s="965">
        <v>472</v>
      </c>
      <c r="O491" s="159"/>
      <c r="P491" s="159"/>
      <c r="Q491" s="159"/>
      <c r="R491" s="159"/>
      <c r="S491" s="159"/>
      <c r="Y491" s="1975" t="str">
        <f t="shared" si="15"/>
        <v/>
      </c>
    </row>
    <row r="492" spans="1:25">
      <c r="A492" s="1983" t="str">
        <f t="shared" si="14"/>
        <v/>
      </c>
      <c r="B492" s="741">
        <f>Gases!A498</f>
        <v>473</v>
      </c>
      <c r="C492" s="970"/>
      <c r="D492" s="973"/>
      <c r="E492" s="973"/>
      <c r="F492" s="973"/>
      <c r="G492" s="973"/>
      <c r="H492" s="973"/>
      <c r="I492" s="976"/>
      <c r="J492" s="977"/>
      <c r="K492" s="965">
        <v>473</v>
      </c>
      <c r="L492" s="965"/>
      <c r="M492" s="978"/>
      <c r="N492" s="965">
        <v>473</v>
      </c>
      <c r="O492" s="159"/>
      <c r="P492" s="159"/>
      <c r="Q492" s="159"/>
      <c r="R492" s="159"/>
      <c r="S492" s="159"/>
      <c r="Y492" s="1975" t="str">
        <f t="shared" si="15"/>
        <v/>
      </c>
    </row>
    <row r="493" spans="1:25">
      <c r="A493" s="1983" t="str">
        <f t="shared" si="14"/>
        <v/>
      </c>
      <c r="B493" s="741">
        <f>Gases!A499</f>
        <v>474</v>
      </c>
      <c r="C493" s="970"/>
      <c r="D493" s="973"/>
      <c r="E493" s="973"/>
      <c r="F493" s="973"/>
      <c r="G493" s="973"/>
      <c r="H493" s="973"/>
      <c r="I493" s="976"/>
      <c r="J493" s="977"/>
      <c r="K493" s="965">
        <v>474</v>
      </c>
      <c r="L493" s="965"/>
      <c r="M493" s="978"/>
      <c r="N493" s="965">
        <v>474</v>
      </c>
      <c r="O493" s="159"/>
      <c r="P493" s="159"/>
      <c r="Q493" s="159"/>
      <c r="R493" s="159"/>
      <c r="S493" s="159"/>
      <c r="Y493" s="1975" t="str">
        <f t="shared" si="15"/>
        <v/>
      </c>
    </row>
    <row r="494" spans="1:25">
      <c r="A494" s="1983" t="str">
        <f t="shared" si="14"/>
        <v/>
      </c>
      <c r="B494" s="741">
        <f>Gases!A500</f>
        <v>475</v>
      </c>
      <c r="C494" s="970"/>
      <c r="D494" s="973"/>
      <c r="E494" s="973"/>
      <c r="F494" s="973"/>
      <c r="G494" s="973"/>
      <c r="H494" s="973"/>
      <c r="I494" s="976"/>
      <c r="J494" s="977"/>
      <c r="K494" s="965">
        <v>475</v>
      </c>
      <c r="L494" s="965"/>
      <c r="M494" s="978"/>
      <c r="N494" s="965">
        <v>475</v>
      </c>
      <c r="O494" s="159"/>
      <c r="P494" s="159"/>
      <c r="Q494" s="159"/>
      <c r="R494" s="159"/>
      <c r="S494" s="159"/>
      <c r="Y494" s="1975" t="str">
        <f t="shared" si="15"/>
        <v/>
      </c>
    </row>
    <row r="495" spans="1:25">
      <c r="A495" s="1983" t="str">
        <f t="shared" si="14"/>
        <v/>
      </c>
      <c r="B495" s="741">
        <f>Gases!A501</f>
        <v>476</v>
      </c>
      <c r="C495" s="970"/>
      <c r="D495" s="973"/>
      <c r="E495" s="973"/>
      <c r="F495" s="973"/>
      <c r="G495" s="973"/>
      <c r="H495" s="973"/>
      <c r="I495" s="976"/>
      <c r="J495" s="977"/>
      <c r="K495" s="965">
        <v>476</v>
      </c>
      <c r="L495" s="965"/>
      <c r="M495" s="978"/>
      <c r="N495" s="965">
        <v>476</v>
      </c>
      <c r="O495" s="159"/>
      <c r="P495" s="159"/>
      <c r="Q495" s="159"/>
      <c r="R495" s="159"/>
      <c r="S495" s="159"/>
      <c r="Y495" s="1975" t="str">
        <f t="shared" si="15"/>
        <v/>
      </c>
    </row>
    <row r="496" spans="1:25">
      <c r="A496" s="1983" t="str">
        <f t="shared" si="14"/>
        <v/>
      </c>
      <c r="B496" s="741">
        <f>Gases!A502</f>
        <v>477</v>
      </c>
      <c r="C496" s="970"/>
      <c r="D496" s="973"/>
      <c r="E496" s="973"/>
      <c r="F496" s="973"/>
      <c r="G496" s="973"/>
      <c r="H496" s="973"/>
      <c r="I496" s="976"/>
      <c r="J496" s="977"/>
      <c r="K496" s="965">
        <v>477</v>
      </c>
      <c r="L496" s="965"/>
      <c r="M496" s="978"/>
      <c r="N496" s="965">
        <v>477</v>
      </c>
      <c r="O496" s="159"/>
      <c r="P496" s="159"/>
      <c r="Q496" s="159"/>
      <c r="R496" s="159"/>
      <c r="S496" s="159"/>
      <c r="Y496" s="1975" t="str">
        <f t="shared" si="15"/>
        <v/>
      </c>
    </row>
    <row r="497" spans="1:25">
      <c r="A497" s="1983" t="str">
        <f t="shared" si="14"/>
        <v/>
      </c>
      <c r="B497" s="741">
        <f>Gases!A503</f>
        <v>478</v>
      </c>
      <c r="C497" s="970"/>
      <c r="D497" s="973"/>
      <c r="E497" s="973"/>
      <c r="F497" s="973"/>
      <c r="G497" s="973"/>
      <c r="H497" s="973"/>
      <c r="I497" s="976"/>
      <c r="J497" s="977"/>
      <c r="K497" s="965">
        <v>478</v>
      </c>
      <c r="L497" s="965"/>
      <c r="M497" s="978"/>
      <c r="N497" s="965">
        <v>478</v>
      </c>
      <c r="O497" s="159"/>
      <c r="P497" s="159"/>
      <c r="Q497" s="159"/>
      <c r="R497" s="159"/>
      <c r="S497" s="159"/>
      <c r="Y497" s="1975" t="str">
        <f t="shared" si="15"/>
        <v/>
      </c>
    </row>
    <row r="498" spans="1:25">
      <c r="A498" s="1983" t="str">
        <f t="shared" si="14"/>
        <v/>
      </c>
      <c r="B498" s="741">
        <f>Gases!A504</f>
        <v>479</v>
      </c>
      <c r="C498" s="970"/>
      <c r="D498" s="973"/>
      <c r="E498" s="973"/>
      <c r="F498" s="973"/>
      <c r="G498" s="973"/>
      <c r="H498" s="973"/>
      <c r="I498" s="976"/>
      <c r="J498" s="977"/>
      <c r="K498" s="965">
        <v>479</v>
      </c>
      <c r="L498" s="965"/>
      <c r="M498" s="978"/>
      <c r="N498" s="965">
        <v>479</v>
      </c>
      <c r="O498" s="159"/>
      <c r="P498" s="159"/>
      <c r="Q498" s="159"/>
      <c r="R498" s="159"/>
      <c r="S498" s="159"/>
      <c r="Y498" s="1975" t="str">
        <f t="shared" si="15"/>
        <v/>
      </c>
    </row>
    <row r="499" spans="1:25">
      <c r="A499" s="1983" t="str">
        <f t="shared" si="14"/>
        <v/>
      </c>
      <c r="B499" s="741">
        <f>Gases!A505</f>
        <v>480</v>
      </c>
      <c r="C499" s="970"/>
      <c r="D499" s="973"/>
      <c r="E499" s="973"/>
      <c r="F499" s="973"/>
      <c r="G499" s="973"/>
      <c r="H499" s="973"/>
      <c r="I499" s="976"/>
      <c r="J499" s="977"/>
      <c r="K499" s="965">
        <v>480</v>
      </c>
      <c r="L499" s="965"/>
      <c r="M499" s="978"/>
      <c r="N499" s="965">
        <v>480</v>
      </c>
      <c r="O499" s="159"/>
      <c r="P499" s="159"/>
      <c r="Q499" s="159"/>
      <c r="R499" s="159"/>
      <c r="S499" s="159"/>
      <c r="Y499" s="1975" t="str">
        <f>IF(U499="","",SUM(U499:V499))</f>
        <v/>
      </c>
    </row>
    <row r="500" spans="1:25">
      <c r="B500" s="741"/>
      <c r="C500" s="970"/>
      <c r="D500" s="971"/>
      <c r="E500" s="972"/>
      <c r="F500" s="973"/>
      <c r="G500" s="974"/>
      <c r="H500" s="975"/>
      <c r="I500" s="976"/>
      <c r="J500" s="977"/>
      <c r="M500" s="978"/>
      <c r="N500" s="1976"/>
      <c r="O500" s="1976"/>
      <c r="P500" s="1976"/>
      <c r="Q500" s="1976"/>
      <c r="R500" s="1976"/>
      <c r="S500" s="1976"/>
      <c r="T500" s="1977"/>
      <c r="U500" s="1977"/>
      <c r="V500" s="1977"/>
      <c r="W500" s="1977"/>
      <c r="X500" s="1977"/>
      <c r="Y500" s="1978"/>
    </row>
    <row r="501" spans="1:25">
      <c r="B501" s="741"/>
      <c r="C501" s="970"/>
      <c r="D501" s="971"/>
      <c r="E501" s="972"/>
      <c r="F501" s="973"/>
      <c r="G501" s="974"/>
      <c r="H501" s="975"/>
      <c r="I501" s="976"/>
      <c r="J501" s="977"/>
      <c r="M501" s="978"/>
      <c r="N501" s="1056"/>
      <c r="O501" s="1056"/>
      <c r="P501" s="1056"/>
      <c r="Q501" s="1056"/>
      <c r="R501" s="1056"/>
      <c r="S501" s="1056"/>
      <c r="T501" s="1680"/>
      <c r="U501" s="1680"/>
      <c r="V501" s="1680"/>
      <c r="W501" s="1680"/>
      <c r="X501" s="1680"/>
      <c r="Y501" s="1979"/>
    </row>
    <row r="502" spans="1:25">
      <c r="B502" s="741"/>
      <c r="C502" s="970"/>
      <c r="D502" s="971"/>
      <c r="E502" s="972"/>
      <c r="F502" s="973"/>
      <c r="G502" s="974"/>
      <c r="H502" s="975"/>
      <c r="I502" s="976"/>
      <c r="J502" s="977"/>
      <c r="M502" s="978"/>
      <c r="N502" s="1980"/>
      <c r="O502" s="1980"/>
      <c r="P502" s="1980"/>
      <c r="Q502" s="1980"/>
      <c r="R502" s="1980"/>
      <c r="S502" s="1980"/>
      <c r="T502" s="1981"/>
      <c r="U502" s="1981"/>
      <c r="V502" s="1981"/>
      <c r="W502" s="1981"/>
      <c r="X502" s="1981"/>
      <c r="Y502" s="1982"/>
    </row>
    <row r="503" spans="1:25">
      <c r="B503" s="741"/>
      <c r="C503" s="970"/>
      <c r="D503" s="971"/>
      <c r="E503" s="972"/>
      <c r="F503" s="973"/>
      <c r="G503" s="974"/>
      <c r="H503" s="975"/>
      <c r="I503" s="976"/>
      <c r="J503" s="977"/>
      <c r="M503" s="978"/>
      <c r="N503" s="153"/>
      <c r="O503" s="153"/>
      <c r="P503" s="153"/>
      <c r="Q503" s="153"/>
      <c r="R503" s="153"/>
    </row>
    <row r="504" spans="1:25">
      <c r="B504" s="741"/>
      <c r="C504" s="970"/>
      <c r="D504" s="971"/>
      <c r="E504" s="972"/>
      <c r="F504" s="973"/>
      <c r="G504" s="974"/>
      <c r="H504" s="975"/>
      <c r="I504" s="976"/>
      <c r="J504" s="977"/>
      <c r="M504" s="978"/>
      <c r="N504" s="153"/>
      <c r="O504" s="153"/>
      <c r="P504" s="153"/>
      <c r="Q504" s="153"/>
      <c r="R504" s="153"/>
    </row>
    <row r="505" spans="1:25">
      <c r="B505" s="741"/>
      <c r="C505" s="970"/>
      <c r="D505" s="971"/>
      <c r="E505" s="972"/>
      <c r="F505" s="973"/>
      <c r="G505" s="974"/>
      <c r="H505" s="975"/>
      <c r="I505" s="976"/>
      <c r="J505" s="977"/>
      <c r="M505" s="978"/>
      <c r="N505" s="153"/>
      <c r="O505" s="153"/>
      <c r="P505" s="153"/>
      <c r="Q505" s="153"/>
      <c r="R505" s="153"/>
    </row>
    <row r="506" spans="1:25">
      <c r="B506" s="741"/>
      <c r="C506" s="970"/>
      <c r="D506" s="971"/>
      <c r="E506" s="972"/>
      <c r="F506" s="973"/>
      <c r="G506" s="974"/>
      <c r="H506" s="975"/>
      <c r="I506" s="976"/>
      <c r="J506" s="977"/>
      <c r="M506" s="978"/>
      <c r="N506" s="153"/>
      <c r="O506" s="153"/>
      <c r="P506" s="153"/>
      <c r="Q506" s="153"/>
      <c r="R506" s="153"/>
    </row>
    <row r="507" spans="1:25">
      <c r="B507" s="741"/>
      <c r="C507" s="970"/>
      <c r="D507" s="971"/>
      <c r="E507" s="972"/>
      <c r="F507" s="973"/>
      <c r="G507" s="974"/>
      <c r="H507" s="975"/>
      <c r="I507" s="976"/>
      <c r="J507" s="977"/>
      <c r="M507" s="978"/>
      <c r="N507" s="153"/>
      <c r="O507" s="153"/>
      <c r="P507" s="153"/>
      <c r="Q507" s="153"/>
      <c r="R507" s="153"/>
    </row>
    <row r="508" spans="1:25">
      <c r="B508" s="741"/>
      <c r="C508" s="970"/>
      <c r="D508" s="971"/>
      <c r="E508" s="972"/>
      <c r="F508" s="973"/>
      <c r="G508" s="974"/>
      <c r="H508" s="975"/>
      <c r="I508" s="976"/>
      <c r="J508" s="977"/>
      <c r="M508" s="978"/>
      <c r="N508" s="153"/>
      <c r="O508" s="153"/>
      <c r="P508" s="153"/>
      <c r="Q508" s="153"/>
      <c r="R508" s="153"/>
    </row>
    <row r="509" spans="1:25">
      <c r="B509" s="741"/>
      <c r="C509" s="970"/>
      <c r="D509" s="971"/>
      <c r="E509" s="972"/>
      <c r="F509" s="973"/>
      <c r="G509" s="974"/>
      <c r="H509" s="975"/>
      <c r="I509" s="976"/>
      <c r="J509" s="977"/>
      <c r="M509" s="978"/>
      <c r="N509" s="153"/>
      <c r="O509" s="153"/>
      <c r="P509" s="153"/>
      <c r="Q509" s="153"/>
      <c r="R509" s="153"/>
    </row>
    <row r="510" spans="1:25">
      <c r="B510" s="741"/>
      <c r="C510" s="970"/>
      <c r="D510" s="971"/>
      <c r="E510" s="972"/>
      <c r="F510" s="973"/>
      <c r="G510" s="974"/>
      <c r="H510" s="975"/>
      <c r="I510" s="976"/>
      <c r="J510" s="977"/>
      <c r="M510" s="978"/>
      <c r="N510" s="153"/>
      <c r="O510" s="153"/>
      <c r="P510" s="153"/>
      <c r="Q510" s="153"/>
      <c r="R510" s="153"/>
    </row>
    <row r="511" spans="1:25">
      <c r="B511" s="741"/>
      <c r="C511" s="970"/>
      <c r="D511" s="971"/>
      <c r="E511" s="972"/>
      <c r="F511" s="973"/>
      <c r="G511" s="974"/>
      <c r="H511" s="975"/>
      <c r="I511" s="976"/>
      <c r="J511" s="977"/>
      <c r="M511" s="978"/>
      <c r="N511" s="153"/>
      <c r="O511" s="153"/>
      <c r="P511" s="153"/>
      <c r="Q511" s="153"/>
      <c r="R511" s="153"/>
    </row>
    <row r="512" spans="1:25">
      <c r="B512" s="741"/>
      <c r="C512" s="970"/>
      <c r="D512" s="971"/>
      <c r="E512" s="972"/>
      <c r="F512" s="973"/>
      <c r="G512" s="974"/>
      <c r="H512" s="975"/>
      <c r="I512" s="976"/>
      <c r="J512" s="977"/>
      <c r="M512" s="978"/>
      <c r="N512" s="153"/>
      <c r="O512" s="153"/>
      <c r="P512" s="153"/>
      <c r="Q512" s="153"/>
      <c r="R512" s="153"/>
    </row>
    <row r="513" spans="2:18">
      <c r="B513" s="741"/>
      <c r="C513" s="970"/>
      <c r="D513" s="971"/>
      <c r="E513" s="972"/>
      <c r="F513" s="973"/>
      <c r="G513" s="974"/>
      <c r="H513" s="975"/>
      <c r="I513" s="976"/>
      <c r="J513" s="977"/>
      <c r="M513" s="978"/>
      <c r="N513" s="153"/>
      <c r="O513" s="153"/>
      <c r="P513" s="153"/>
      <c r="Q513" s="153"/>
      <c r="R513" s="153"/>
    </row>
    <row r="514" spans="2:18">
      <c r="B514" s="741"/>
      <c r="C514" s="970"/>
      <c r="D514" s="971"/>
      <c r="E514" s="972"/>
      <c r="F514" s="973"/>
      <c r="G514" s="974"/>
      <c r="H514" s="975"/>
      <c r="I514" s="976"/>
      <c r="J514" s="977"/>
      <c r="M514" s="978"/>
      <c r="N514" s="153"/>
      <c r="O514" s="153"/>
      <c r="P514" s="153"/>
      <c r="Q514" s="153"/>
      <c r="R514" s="153"/>
    </row>
    <row r="515" spans="2:18">
      <c r="B515" s="741"/>
      <c r="C515" s="970"/>
      <c r="D515" s="971"/>
      <c r="E515" s="972"/>
      <c r="F515" s="973"/>
      <c r="G515" s="974"/>
      <c r="H515" s="975"/>
      <c r="I515" s="976"/>
      <c r="J515" s="977"/>
      <c r="M515" s="978"/>
      <c r="N515" s="153"/>
      <c r="O515" s="153"/>
      <c r="P515" s="153"/>
      <c r="Q515" s="153"/>
      <c r="R515" s="153"/>
    </row>
    <row r="516" spans="2:18">
      <c r="B516" s="741"/>
      <c r="C516" s="970"/>
      <c r="D516" s="971"/>
      <c r="E516" s="972"/>
      <c r="F516" s="973"/>
      <c r="G516" s="974"/>
      <c r="H516" s="975"/>
      <c r="I516" s="976"/>
      <c r="J516" s="977"/>
      <c r="M516" s="978"/>
      <c r="N516" s="153"/>
      <c r="O516" s="153"/>
      <c r="P516" s="153"/>
      <c r="Q516" s="153"/>
      <c r="R516" s="153"/>
    </row>
    <row r="517" spans="2:18">
      <c r="B517" s="741"/>
      <c r="C517" s="970"/>
      <c r="D517" s="971"/>
      <c r="E517" s="972"/>
      <c r="F517" s="973"/>
      <c r="G517" s="974"/>
      <c r="H517" s="975"/>
      <c r="I517" s="976"/>
      <c r="J517" s="977"/>
      <c r="M517" s="978"/>
      <c r="N517" s="153"/>
      <c r="O517" s="153"/>
      <c r="P517" s="153"/>
      <c r="Q517" s="153"/>
      <c r="R517" s="153"/>
    </row>
    <row r="518" spans="2:18">
      <c r="B518" s="741"/>
      <c r="C518" s="970"/>
      <c r="D518" s="971"/>
      <c r="E518" s="972"/>
      <c r="F518" s="973"/>
      <c r="G518" s="974"/>
      <c r="H518" s="975"/>
      <c r="I518" s="976"/>
      <c r="J518" s="977"/>
      <c r="M518" s="978"/>
      <c r="N518" s="153"/>
      <c r="O518" s="153"/>
      <c r="P518" s="153"/>
      <c r="Q518" s="153"/>
      <c r="R518" s="153"/>
    </row>
    <row r="519" spans="2:18">
      <c r="B519" s="741"/>
      <c r="C519" s="970"/>
      <c r="D519" s="971"/>
      <c r="E519" s="972"/>
      <c r="F519" s="973"/>
      <c r="G519" s="974"/>
      <c r="H519" s="975"/>
      <c r="I519" s="976"/>
      <c r="J519" s="977"/>
      <c r="M519" s="978"/>
      <c r="N519" s="153"/>
      <c r="O519" s="153"/>
      <c r="P519" s="153"/>
      <c r="Q519" s="153"/>
      <c r="R519" s="153"/>
    </row>
    <row r="520" spans="2:18">
      <c r="B520" s="741"/>
      <c r="C520" s="153"/>
      <c r="D520" s="153"/>
      <c r="E520" s="153"/>
      <c r="F520" s="153"/>
      <c r="G520" s="153"/>
      <c r="H520" s="153"/>
      <c r="I520" s="153"/>
      <c r="J520" s="153"/>
      <c r="M520" s="153"/>
      <c r="N520" s="153"/>
      <c r="O520" s="153"/>
      <c r="P520" s="153"/>
      <c r="Q520" s="153"/>
      <c r="R520" s="153"/>
    </row>
    <row r="521" spans="2:18">
      <c r="B521" s="741"/>
      <c r="C521" s="153"/>
      <c r="D521" s="153"/>
      <c r="E521" s="153"/>
      <c r="F521" s="153"/>
      <c r="G521" s="153"/>
      <c r="H521" s="153"/>
      <c r="I521" s="153"/>
      <c r="J521" s="153"/>
      <c r="M521" s="153"/>
      <c r="N521" s="153"/>
      <c r="O521" s="153"/>
      <c r="P521" s="153"/>
      <c r="Q521" s="153"/>
      <c r="R521" s="153"/>
    </row>
    <row r="522" spans="2:18">
      <c r="B522" s="741"/>
      <c r="C522" s="153"/>
      <c r="D522" s="153"/>
      <c r="E522" s="153"/>
      <c r="F522" s="153"/>
      <c r="G522" s="153"/>
      <c r="H522" s="153"/>
      <c r="I522" s="153"/>
      <c r="J522" s="153"/>
      <c r="M522" s="153"/>
      <c r="N522" s="153"/>
      <c r="O522" s="153"/>
      <c r="P522" s="153"/>
      <c r="Q522" s="153"/>
      <c r="R522" s="153"/>
    </row>
    <row r="523" spans="2:18">
      <c r="B523" s="741"/>
      <c r="C523" s="153"/>
      <c r="D523" s="153"/>
      <c r="E523" s="153"/>
      <c r="F523" s="153"/>
      <c r="G523" s="153"/>
      <c r="H523" s="153"/>
      <c r="I523" s="153"/>
      <c r="J523" s="153"/>
      <c r="M523" s="153"/>
      <c r="N523" s="153"/>
      <c r="O523" s="153"/>
      <c r="P523" s="153"/>
      <c r="Q523" s="153"/>
      <c r="R523" s="153"/>
    </row>
    <row r="524" spans="2:18">
      <c r="B524" s="741"/>
      <c r="C524" s="153"/>
      <c r="D524" s="153"/>
      <c r="E524" s="153"/>
      <c r="F524" s="153"/>
      <c r="G524" s="153"/>
      <c r="H524" s="153"/>
      <c r="I524" s="153"/>
      <c r="J524" s="153"/>
      <c r="M524" s="153"/>
      <c r="N524" s="153"/>
      <c r="O524" s="153"/>
      <c r="P524" s="153"/>
      <c r="Q524" s="153"/>
      <c r="R524" s="153"/>
    </row>
    <row r="525" spans="2:18">
      <c r="B525" s="741"/>
      <c r="C525" s="153"/>
      <c r="D525" s="153"/>
      <c r="E525" s="153"/>
      <c r="F525" s="153"/>
      <c r="G525" s="153"/>
      <c r="H525" s="153"/>
      <c r="I525" s="153"/>
      <c r="J525" s="153"/>
      <c r="M525" s="153"/>
      <c r="N525" s="153"/>
      <c r="O525" s="153"/>
      <c r="P525" s="153"/>
      <c r="Q525" s="153"/>
      <c r="R525" s="153"/>
    </row>
    <row r="526" spans="2:18">
      <c r="B526" s="741"/>
      <c r="C526" s="153"/>
      <c r="D526" s="153"/>
      <c r="E526" s="153"/>
      <c r="F526" s="153"/>
      <c r="G526" s="153"/>
      <c r="H526" s="153"/>
      <c r="I526" s="153"/>
      <c r="J526" s="153"/>
      <c r="M526" s="153"/>
      <c r="N526" s="153"/>
      <c r="O526" s="153"/>
      <c r="P526" s="153"/>
      <c r="Q526" s="153"/>
      <c r="R526" s="153"/>
    </row>
    <row r="527" spans="2:18">
      <c r="B527" s="741"/>
      <c r="C527" s="153"/>
      <c r="D527" s="153"/>
      <c r="E527" s="153"/>
      <c r="F527" s="153"/>
      <c r="G527" s="153"/>
      <c r="H527" s="153"/>
      <c r="I527" s="153"/>
      <c r="J527" s="153"/>
      <c r="M527" s="153"/>
      <c r="N527" s="153"/>
      <c r="O527" s="153"/>
      <c r="P527" s="153"/>
      <c r="Q527" s="153"/>
      <c r="R527" s="153"/>
    </row>
    <row r="528" spans="2:18">
      <c r="B528" s="741"/>
      <c r="C528" s="153"/>
      <c r="D528" s="153"/>
      <c r="E528" s="153"/>
      <c r="F528" s="153"/>
      <c r="G528" s="153"/>
      <c r="H528" s="153"/>
      <c r="I528" s="153"/>
      <c r="J528" s="153"/>
      <c r="M528" s="153"/>
      <c r="N528" s="153"/>
      <c r="O528" s="153"/>
      <c r="P528" s="153"/>
      <c r="Q528" s="153"/>
      <c r="R528" s="153"/>
    </row>
    <row r="529" spans="2:18">
      <c r="B529" s="741"/>
      <c r="C529" s="153"/>
      <c r="D529" s="153"/>
      <c r="E529" s="153"/>
      <c r="F529" s="153"/>
      <c r="G529" s="153"/>
      <c r="H529" s="153"/>
      <c r="I529" s="153"/>
      <c r="J529" s="153"/>
      <c r="M529" s="153"/>
      <c r="N529" s="153"/>
      <c r="O529" s="153"/>
      <c r="P529" s="153"/>
      <c r="Q529" s="153"/>
      <c r="R529" s="153"/>
    </row>
    <row r="530" spans="2:18">
      <c r="B530" s="741"/>
      <c r="C530" s="153"/>
      <c r="D530" s="153"/>
      <c r="E530" s="153"/>
      <c r="F530" s="153"/>
      <c r="G530" s="153"/>
      <c r="H530" s="153"/>
      <c r="I530" s="153"/>
      <c r="J530" s="153"/>
      <c r="M530" s="153"/>
      <c r="N530" s="153"/>
      <c r="O530" s="153"/>
      <c r="P530" s="153"/>
      <c r="Q530" s="153"/>
      <c r="R530" s="153"/>
    </row>
    <row r="531" spans="2:18">
      <c r="B531" s="741"/>
      <c r="C531" s="153"/>
      <c r="D531" s="153"/>
      <c r="E531" s="153"/>
      <c r="F531" s="153"/>
      <c r="G531" s="153"/>
      <c r="H531" s="153"/>
      <c r="I531" s="153"/>
      <c r="J531" s="153"/>
      <c r="M531" s="153"/>
      <c r="N531" s="153"/>
      <c r="O531" s="153"/>
      <c r="P531" s="153"/>
      <c r="Q531" s="153"/>
      <c r="R531" s="153"/>
    </row>
    <row r="532" spans="2:18">
      <c r="B532" s="741"/>
      <c r="C532" s="153"/>
      <c r="D532" s="153"/>
      <c r="E532" s="153"/>
      <c r="F532" s="153"/>
      <c r="G532" s="153"/>
      <c r="H532" s="153"/>
      <c r="I532" s="153"/>
      <c r="J532" s="153"/>
      <c r="M532" s="153"/>
      <c r="N532" s="153"/>
      <c r="O532" s="153"/>
      <c r="P532" s="153"/>
      <c r="Q532" s="153"/>
      <c r="R532" s="153"/>
    </row>
    <row r="533" spans="2:18">
      <c r="B533" s="741"/>
      <c r="C533" s="153"/>
      <c r="D533" s="153"/>
      <c r="E533" s="153"/>
      <c r="F533" s="153"/>
      <c r="G533" s="153"/>
      <c r="H533" s="153"/>
      <c r="I533" s="153"/>
      <c r="J533" s="153"/>
      <c r="M533" s="153"/>
      <c r="N533" s="153"/>
      <c r="O533" s="153"/>
      <c r="P533" s="153"/>
      <c r="Q533" s="153"/>
      <c r="R533" s="153"/>
    </row>
    <row r="534" spans="2:18">
      <c r="B534" s="741"/>
      <c r="C534" s="153"/>
      <c r="D534" s="153"/>
      <c r="E534" s="153"/>
      <c r="F534" s="153"/>
      <c r="G534" s="153"/>
      <c r="H534" s="153"/>
      <c r="I534" s="153"/>
      <c r="J534" s="153"/>
      <c r="M534" s="153"/>
      <c r="N534" s="153"/>
      <c r="O534" s="153"/>
      <c r="P534" s="153"/>
      <c r="Q534" s="153"/>
      <c r="R534" s="153"/>
    </row>
    <row r="535" spans="2:18">
      <c r="B535" s="741"/>
      <c r="C535" s="153"/>
      <c r="D535" s="153"/>
      <c r="E535" s="153"/>
      <c r="F535" s="153"/>
      <c r="G535" s="153"/>
      <c r="H535" s="153"/>
      <c r="I535" s="153"/>
      <c r="J535" s="153"/>
      <c r="M535" s="153"/>
      <c r="N535" s="153"/>
      <c r="O535" s="153"/>
      <c r="P535" s="153"/>
      <c r="Q535" s="153"/>
      <c r="R535" s="153"/>
    </row>
    <row r="536" spans="2:18">
      <c r="B536" s="741"/>
      <c r="C536" s="153"/>
      <c r="D536" s="153"/>
      <c r="E536" s="153"/>
      <c r="F536" s="153"/>
      <c r="G536" s="153"/>
      <c r="H536" s="153"/>
      <c r="I536" s="153"/>
      <c r="J536" s="153"/>
      <c r="M536" s="153"/>
      <c r="N536" s="153"/>
      <c r="O536" s="153"/>
      <c r="P536" s="153"/>
      <c r="Q536" s="153"/>
      <c r="R536" s="153"/>
    </row>
    <row r="537" spans="2:18">
      <c r="B537" s="741"/>
      <c r="C537" s="153"/>
      <c r="D537" s="153"/>
      <c r="E537" s="153"/>
      <c r="F537" s="153"/>
      <c r="G537" s="153"/>
      <c r="H537" s="153"/>
      <c r="I537" s="153"/>
      <c r="J537" s="153"/>
      <c r="M537" s="153"/>
      <c r="N537" s="153"/>
      <c r="O537" s="153"/>
      <c r="P537" s="153"/>
      <c r="Q537" s="153"/>
      <c r="R537" s="153"/>
    </row>
    <row r="538" spans="2:18">
      <c r="B538" s="741"/>
      <c r="C538" s="153"/>
      <c r="D538" s="153"/>
      <c r="E538" s="153"/>
      <c r="F538" s="153"/>
      <c r="G538" s="153"/>
      <c r="H538" s="153"/>
      <c r="I538" s="153"/>
      <c r="J538" s="153"/>
      <c r="M538" s="153"/>
      <c r="N538" s="153"/>
      <c r="O538" s="153"/>
      <c r="P538" s="153"/>
      <c r="Q538" s="153"/>
      <c r="R538" s="153"/>
    </row>
    <row r="539" spans="2:18">
      <c r="B539" s="741"/>
      <c r="C539" s="153"/>
      <c r="D539" s="153"/>
      <c r="E539" s="153"/>
      <c r="F539" s="153"/>
      <c r="G539" s="153"/>
      <c r="H539" s="153"/>
      <c r="I539" s="153"/>
      <c r="J539" s="153"/>
      <c r="M539" s="153"/>
      <c r="N539" s="153"/>
      <c r="O539" s="153"/>
      <c r="P539" s="153"/>
      <c r="Q539" s="153"/>
      <c r="R539" s="153"/>
    </row>
    <row r="540" spans="2:18">
      <c r="B540" s="741"/>
      <c r="C540" s="153"/>
      <c r="D540" s="153"/>
      <c r="E540" s="153"/>
      <c r="F540" s="153"/>
      <c r="G540" s="153"/>
      <c r="H540" s="153"/>
      <c r="I540" s="153"/>
      <c r="J540" s="153"/>
      <c r="M540" s="153"/>
      <c r="N540" s="153"/>
      <c r="O540" s="153"/>
      <c r="P540" s="153"/>
      <c r="Q540" s="153"/>
      <c r="R540" s="153"/>
    </row>
    <row r="541" spans="2:18">
      <c r="B541" s="741"/>
      <c r="C541" s="153"/>
      <c r="D541" s="153"/>
      <c r="E541" s="153"/>
      <c r="F541" s="153"/>
      <c r="G541" s="153"/>
      <c r="H541" s="153"/>
      <c r="I541" s="153"/>
      <c r="J541" s="153"/>
      <c r="M541" s="153"/>
      <c r="N541" s="153"/>
      <c r="O541" s="153"/>
      <c r="P541" s="153"/>
      <c r="Q541" s="153"/>
      <c r="R541" s="153"/>
    </row>
    <row r="542" spans="2:18">
      <c r="B542" s="741"/>
      <c r="C542" s="153"/>
      <c r="D542" s="153"/>
      <c r="E542" s="153"/>
      <c r="F542" s="153"/>
      <c r="G542" s="153"/>
      <c r="H542" s="153"/>
      <c r="I542" s="153"/>
      <c r="J542" s="153"/>
      <c r="M542" s="153"/>
      <c r="N542" s="153"/>
      <c r="O542" s="153"/>
      <c r="P542" s="153"/>
      <c r="Q542" s="153"/>
      <c r="R542" s="153"/>
    </row>
    <row r="543" spans="2:18">
      <c r="B543" s="741"/>
      <c r="C543" s="153"/>
      <c r="D543" s="153"/>
      <c r="E543" s="153"/>
      <c r="F543" s="153"/>
      <c r="G543" s="153"/>
      <c r="H543" s="153"/>
      <c r="I543" s="153"/>
      <c r="J543" s="153"/>
      <c r="M543" s="153"/>
      <c r="N543" s="153"/>
      <c r="O543" s="153"/>
      <c r="P543" s="153"/>
      <c r="Q543" s="153"/>
      <c r="R543" s="153"/>
    </row>
    <row r="544" spans="2:18">
      <c r="B544" s="741"/>
      <c r="C544" s="153"/>
      <c r="D544" s="153"/>
      <c r="E544" s="153"/>
      <c r="F544" s="153"/>
      <c r="G544" s="153"/>
      <c r="H544" s="153"/>
      <c r="I544" s="153"/>
      <c r="J544" s="153"/>
      <c r="M544" s="153"/>
      <c r="N544" s="153"/>
      <c r="O544" s="153"/>
      <c r="P544" s="153"/>
      <c r="Q544" s="153"/>
      <c r="R544" s="153"/>
    </row>
    <row r="545" spans="2:18">
      <c r="B545" s="741"/>
      <c r="C545" s="153"/>
      <c r="D545" s="153"/>
      <c r="E545" s="153"/>
      <c r="F545" s="153"/>
      <c r="G545" s="153"/>
      <c r="H545" s="153"/>
      <c r="I545" s="153"/>
      <c r="J545" s="153"/>
      <c r="M545" s="153"/>
      <c r="N545" s="153"/>
      <c r="O545" s="153"/>
      <c r="P545" s="153"/>
      <c r="Q545" s="153"/>
      <c r="R545" s="153"/>
    </row>
    <row r="546" spans="2:18">
      <c r="B546" s="741"/>
      <c r="C546" s="153"/>
      <c r="D546" s="153"/>
      <c r="E546" s="153"/>
      <c r="F546" s="153"/>
      <c r="G546" s="153"/>
      <c r="H546" s="153"/>
      <c r="I546" s="153"/>
      <c r="J546" s="153"/>
      <c r="M546" s="153"/>
      <c r="N546" s="153"/>
      <c r="O546" s="153"/>
      <c r="P546" s="153"/>
      <c r="Q546" s="153"/>
      <c r="R546" s="153"/>
    </row>
    <row r="547" spans="2:18">
      <c r="B547" s="741"/>
      <c r="C547" s="153"/>
      <c r="D547" s="153"/>
      <c r="E547" s="153"/>
      <c r="F547" s="153"/>
      <c r="G547" s="153"/>
      <c r="H547" s="153"/>
      <c r="I547" s="153"/>
      <c r="J547" s="153"/>
      <c r="M547" s="153"/>
      <c r="N547" s="153"/>
      <c r="O547" s="153"/>
      <c r="P547" s="153"/>
      <c r="Q547" s="153"/>
      <c r="R547" s="153"/>
    </row>
    <row r="548" spans="2:18">
      <c r="B548" s="741"/>
      <c r="C548" s="153"/>
      <c r="D548" s="153"/>
      <c r="E548" s="153"/>
      <c r="F548" s="153"/>
      <c r="G548" s="153"/>
      <c r="H548" s="153"/>
      <c r="I548" s="153"/>
      <c r="J548" s="153"/>
      <c r="M548" s="153"/>
      <c r="N548" s="153"/>
      <c r="O548" s="153"/>
      <c r="P548" s="153"/>
      <c r="Q548" s="153"/>
      <c r="R548" s="153"/>
    </row>
    <row r="549" spans="2:18">
      <c r="B549" s="741"/>
      <c r="C549" s="153"/>
      <c r="D549" s="153"/>
      <c r="E549" s="153"/>
      <c r="F549" s="153"/>
      <c r="G549" s="153"/>
      <c r="H549" s="153"/>
      <c r="I549" s="153"/>
      <c r="J549" s="153"/>
      <c r="M549" s="153"/>
      <c r="N549" s="153"/>
      <c r="O549" s="153"/>
      <c r="P549" s="153"/>
      <c r="Q549" s="153"/>
      <c r="R549" s="153"/>
    </row>
    <row r="550" spans="2:18">
      <c r="B550" s="741"/>
      <c r="C550" s="153"/>
      <c r="D550" s="153"/>
      <c r="E550" s="153"/>
      <c r="F550" s="153"/>
      <c r="G550" s="153"/>
      <c r="H550" s="153"/>
      <c r="I550" s="153"/>
      <c r="J550" s="153"/>
      <c r="M550" s="153"/>
      <c r="N550" s="153"/>
      <c r="O550" s="153"/>
      <c r="P550" s="153"/>
      <c r="Q550" s="153"/>
      <c r="R550" s="153"/>
    </row>
    <row r="551" spans="2:18">
      <c r="B551" s="741"/>
      <c r="C551" s="153"/>
      <c r="D551" s="153"/>
      <c r="E551" s="153"/>
      <c r="F551" s="153"/>
      <c r="G551" s="153"/>
      <c r="H551" s="153"/>
      <c r="I551" s="153"/>
      <c r="J551" s="153"/>
      <c r="M551" s="153"/>
      <c r="N551" s="153"/>
      <c r="O551" s="153"/>
      <c r="P551" s="153"/>
      <c r="Q551" s="153"/>
      <c r="R551" s="153"/>
    </row>
    <row r="552" spans="2:18">
      <c r="B552" s="741"/>
      <c r="C552" s="153"/>
      <c r="D552" s="153"/>
      <c r="E552" s="153"/>
      <c r="F552" s="153"/>
      <c r="G552" s="153"/>
      <c r="H552" s="153"/>
      <c r="I552" s="153"/>
      <c r="J552" s="153"/>
      <c r="M552" s="153"/>
      <c r="N552" s="153"/>
      <c r="O552" s="153"/>
      <c r="P552" s="153"/>
      <c r="Q552" s="153"/>
      <c r="R552" s="153"/>
    </row>
    <row r="553" spans="2:18">
      <c r="B553" s="741"/>
      <c r="C553" s="153"/>
      <c r="D553" s="153"/>
      <c r="E553" s="153"/>
      <c r="F553" s="153"/>
      <c r="G553" s="153"/>
      <c r="H553" s="153"/>
      <c r="I553" s="153"/>
      <c r="J553" s="153"/>
      <c r="M553" s="153"/>
      <c r="N553" s="153"/>
      <c r="O553" s="153"/>
      <c r="P553" s="153"/>
      <c r="Q553" s="153"/>
      <c r="R553" s="153"/>
    </row>
    <row r="554" spans="2:18">
      <c r="B554" s="741"/>
      <c r="C554" s="153"/>
      <c r="D554" s="153"/>
      <c r="E554" s="153"/>
      <c r="F554" s="153"/>
      <c r="G554" s="153"/>
      <c r="H554" s="153"/>
      <c r="I554" s="153"/>
      <c r="J554" s="153"/>
      <c r="M554" s="153"/>
      <c r="N554" s="153"/>
      <c r="O554" s="153"/>
      <c r="P554" s="153"/>
      <c r="Q554" s="153"/>
      <c r="R554" s="153"/>
    </row>
    <row r="555" spans="2:18">
      <c r="B555" s="741"/>
      <c r="C555" s="153"/>
      <c r="D555" s="153"/>
      <c r="E555" s="153"/>
      <c r="F555" s="153"/>
      <c r="G555" s="153"/>
      <c r="H555" s="153"/>
      <c r="I555" s="153"/>
      <c r="J555" s="153"/>
      <c r="M555" s="153"/>
      <c r="N555" s="153"/>
      <c r="O555" s="153"/>
      <c r="P555" s="153"/>
      <c r="Q555" s="153"/>
      <c r="R555" s="153"/>
    </row>
    <row r="556" spans="2:18">
      <c r="B556" s="741"/>
      <c r="C556" s="153"/>
      <c r="D556" s="153"/>
      <c r="E556" s="153"/>
      <c r="F556" s="153"/>
      <c r="G556" s="153"/>
      <c r="H556" s="153"/>
      <c r="I556" s="153"/>
      <c r="J556" s="153"/>
      <c r="M556" s="153"/>
      <c r="N556" s="153"/>
      <c r="O556" s="153"/>
      <c r="P556" s="153"/>
      <c r="Q556" s="153"/>
      <c r="R556" s="153"/>
    </row>
    <row r="557" spans="2:18">
      <c r="B557" s="741"/>
      <c r="C557" s="153"/>
      <c r="D557" s="153"/>
      <c r="E557" s="153"/>
      <c r="F557" s="153"/>
      <c r="G557" s="153"/>
      <c r="H557" s="153"/>
      <c r="I557" s="153"/>
      <c r="J557" s="153"/>
      <c r="M557" s="153"/>
      <c r="N557" s="153"/>
      <c r="O557" s="153"/>
      <c r="P557" s="153"/>
      <c r="Q557" s="153"/>
      <c r="R557" s="153"/>
    </row>
    <row r="558" spans="2:18">
      <c r="B558" s="741"/>
      <c r="C558" s="153"/>
      <c r="D558" s="153"/>
      <c r="E558" s="153"/>
      <c r="F558" s="153"/>
      <c r="G558" s="153"/>
      <c r="H558" s="153"/>
      <c r="I558" s="153"/>
      <c r="J558" s="153"/>
      <c r="M558" s="153"/>
      <c r="N558" s="153"/>
      <c r="O558" s="153"/>
      <c r="P558" s="153"/>
      <c r="Q558" s="153"/>
      <c r="R558" s="153"/>
    </row>
    <row r="559" spans="2:18">
      <c r="B559" s="741"/>
      <c r="C559" s="153"/>
      <c r="D559" s="153"/>
      <c r="E559" s="153"/>
      <c r="F559" s="153"/>
      <c r="G559" s="153"/>
      <c r="H559" s="153"/>
      <c r="I559" s="153"/>
      <c r="J559" s="153"/>
      <c r="M559" s="153"/>
      <c r="N559" s="153"/>
      <c r="O559" s="153"/>
      <c r="P559" s="153"/>
      <c r="Q559" s="153"/>
      <c r="R559" s="153"/>
    </row>
    <row r="560" spans="2:18">
      <c r="B560" s="741"/>
      <c r="C560" s="153"/>
      <c r="D560" s="153"/>
      <c r="E560" s="153"/>
      <c r="F560" s="153"/>
      <c r="G560" s="153"/>
      <c r="H560" s="153"/>
      <c r="I560" s="153"/>
      <c r="J560" s="153"/>
      <c r="M560" s="153"/>
      <c r="N560" s="153"/>
      <c r="O560" s="153"/>
      <c r="P560" s="153"/>
      <c r="Q560" s="153"/>
      <c r="R560" s="153"/>
    </row>
    <row r="561" spans="2:18">
      <c r="B561" s="741"/>
      <c r="C561" s="153"/>
      <c r="D561" s="153"/>
      <c r="E561" s="153"/>
      <c r="F561" s="153"/>
      <c r="G561" s="153"/>
      <c r="H561" s="153"/>
      <c r="I561" s="153"/>
      <c r="J561" s="153"/>
      <c r="M561" s="153"/>
      <c r="N561" s="153"/>
      <c r="O561" s="153"/>
      <c r="P561" s="153"/>
      <c r="Q561" s="153"/>
      <c r="R561" s="153"/>
    </row>
    <row r="562" spans="2:18">
      <c r="B562" s="741"/>
      <c r="C562" s="153"/>
      <c r="D562" s="153"/>
      <c r="E562" s="153"/>
      <c r="F562" s="153"/>
      <c r="G562" s="153"/>
      <c r="H562" s="153"/>
      <c r="I562" s="153"/>
      <c r="J562" s="153"/>
      <c r="M562" s="153"/>
      <c r="N562" s="153"/>
      <c r="O562" s="153"/>
      <c r="P562" s="153"/>
      <c r="Q562" s="153"/>
      <c r="R562" s="153"/>
    </row>
    <row r="563" spans="2:18">
      <c r="B563" s="741"/>
      <c r="C563" s="153"/>
      <c r="D563" s="153"/>
      <c r="E563" s="153"/>
      <c r="F563" s="153"/>
      <c r="G563" s="153"/>
      <c r="H563" s="153"/>
      <c r="I563" s="153"/>
      <c r="J563" s="153"/>
      <c r="M563" s="153"/>
      <c r="N563" s="153"/>
      <c r="O563" s="153"/>
      <c r="P563" s="153"/>
      <c r="Q563" s="153"/>
      <c r="R563" s="153"/>
    </row>
    <row r="564" spans="2:18">
      <c r="B564" s="741"/>
      <c r="C564" s="153"/>
      <c r="D564" s="153"/>
      <c r="E564" s="153"/>
      <c r="F564" s="153"/>
      <c r="G564" s="153"/>
      <c r="H564" s="153"/>
      <c r="I564" s="153"/>
      <c r="J564" s="153"/>
      <c r="M564" s="153"/>
      <c r="N564" s="153"/>
      <c r="O564" s="153"/>
      <c r="P564" s="153"/>
      <c r="Q564" s="153"/>
      <c r="R564" s="153"/>
    </row>
    <row r="565" spans="2:18">
      <c r="B565" s="741"/>
      <c r="C565" s="153"/>
      <c r="D565" s="153"/>
      <c r="E565" s="153"/>
      <c r="F565" s="153"/>
      <c r="G565" s="153"/>
      <c r="H565" s="153"/>
      <c r="I565" s="153"/>
      <c r="J565" s="153"/>
      <c r="M565" s="153"/>
      <c r="N565" s="153"/>
      <c r="O565" s="153"/>
      <c r="P565" s="153"/>
      <c r="Q565" s="153"/>
      <c r="R565" s="153"/>
    </row>
    <row r="566" spans="2:18">
      <c r="B566" s="741"/>
      <c r="C566" s="153"/>
      <c r="D566" s="153"/>
      <c r="E566" s="153"/>
      <c r="F566" s="153"/>
      <c r="G566" s="153"/>
      <c r="H566" s="153"/>
      <c r="I566" s="153"/>
      <c r="J566" s="153"/>
      <c r="M566" s="153"/>
      <c r="N566" s="153"/>
      <c r="O566" s="153"/>
      <c r="P566" s="153"/>
      <c r="Q566" s="153"/>
      <c r="R566" s="153"/>
    </row>
    <row r="567" spans="2:18">
      <c r="B567" s="741"/>
      <c r="C567" s="153"/>
      <c r="D567" s="153"/>
      <c r="E567" s="153"/>
      <c r="F567" s="153"/>
      <c r="G567" s="153"/>
      <c r="H567" s="153"/>
      <c r="I567" s="153"/>
      <c r="J567" s="153"/>
      <c r="M567" s="153"/>
      <c r="N567" s="153"/>
      <c r="O567" s="153"/>
      <c r="P567" s="153"/>
      <c r="Q567" s="153"/>
      <c r="R567" s="153"/>
    </row>
    <row r="568" spans="2:18">
      <c r="B568" s="741"/>
      <c r="C568" s="153"/>
      <c r="D568" s="153"/>
      <c r="E568" s="153"/>
      <c r="F568" s="153"/>
      <c r="G568" s="153"/>
      <c r="H568" s="153"/>
      <c r="I568" s="153"/>
      <c r="J568" s="153"/>
      <c r="M568" s="153"/>
      <c r="N568" s="153"/>
      <c r="O568" s="153"/>
      <c r="P568" s="153"/>
      <c r="Q568" s="153"/>
      <c r="R568" s="153"/>
    </row>
    <row r="569" spans="2:18">
      <c r="B569" s="741"/>
      <c r="C569" s="153"/>
      <c r="D569" s="153"/>
      <c r="E569" s="153"/>
      <c r="F569" s="153"/>
      <c r="G569" s="153"/>
      <c r="H569" s="153"/>
      <c r="I569" s="153"/>
      <c r="J569" s="153"/>
      <c r="M569" s="153"/>
      <c r="N569" s="153"/>
      <c r="O569" s="153"/>
      <c r="P569" s="153"/>
      <c r="Q569" s="153"/>
      <c r="R569" s="153"/>
    </row>
    <row r="570" spans="2:18">
      <c r="B570" s="741"/>
      <c r="C570" s="153"/>
      <c r="D570" s="153"/>
      <c r="E570" s="153"/>
      <c r="F570" s="153"/>
      <c r="G570" s="153"/>
      <c r="H570" s="153"/>
      <c r="I570" s="153"/>
      <c r="J570" s="153"/>
      <c r="M570" s="153"/>
      <c r="N570" s="153"/>
      <c r="O570" s="153"/>
      <c r="P570" s="153"/>
      <c r="Q570" s="153"/>
      <c r="R570" s="153"/>
    </row>
    <row r="571" spans="2:18">
      <c r="B571" s="741"/>
      <c r="C571" s="153"/>
      <c r="D571" s="153"/>
      <c r="E571" s="153"/>
      <c r="F571" s="153"/>
      <c r="G571" s="153"/>
      <c r="H571" s="153"/>
      <c r="I571" s="153"/>
      <c r="J571" s="153"/>
      <c r="M571" s="153"/>
      <c r="N571" s="153"/>
      <c r="O571" s="153"/>
      <c r="P571" s="153"/>
      <c r="Q571" s="153"/>
      <c r="R571" s="153"/>
    </row>
    <row r="572" spans="2:18">
      <c r="B572" s="741"/>
      <c r="C572" s="153"/>
      <c r="D572" s="153"/>
      <c r="E572" s="153"/>
      <c r="F572" s="153"/>
      <c r="G572" s="153"/>
      <c r="H572" s="153"/>
      <c r="I572" s="153"/>
      <c r="J572" s="153"/>
      <c r="M572" s="153"/>
      <c r="N572" s="166"/>
      <c r="O572" s="166"/>
      <c r="P572" s="166"/>
      <c r="Q572" s="166"/>
      <c r="R572" s="166"/>
    </row>
    <row r="573" spans="2:18">
      <c r="B573" s="741"/>
      <c r="C573" s="166"/>
      <c r="D573" s="166"/>
      <c r="E573" s="166"/>
      <c r="F573" s="166"/>
      <c r="G573" s="166"/>
      <c r="H573" s="166"/>
      <c r="I573" s="166"/>
      <c r="J573" s="166"/>
      <c r="M573" s="166"/>
      <c r="N573" s="166"/>
      <c r="O573" s="166"/>
      <c r="P573" s="166"/>
      <c r="Q573" s="166"/>
      <c r="R573" s="166"/>
    </row>
    <row r="574" spans="2:18">
      <c r="B574" s="741"/>
      <c r="C574" s="166"/>
      <c r="D574" s="166"/>
      <c r="E574" s="166"/>
      <c r="F574" s="166"/>
      <c r="G574" s="166"/>
      <c r="H574" s="166"/>
      <c r="I574" s="166"/>
      <c r="J574" s="166"/>
      <c r="M574" s="166"/>
      <c r="N574" s="166"/>
      <c r="O574" s="166"/>
      <c r="P574" s="166"/>
      <c r="Q574" s="166"/>
      <c r="R574" s="166"/>
    </row>
    <row r="575" spans="2:18">
      <c r="B575" s="741"/>
      <c r="C575" s="166"/>
      <c r="D575" s="166"/>
      <c r="E575" s="166"/>
      <c r="F575" s="166"/>
      <c r="G575" s="166"/>
      <c r="H575" s="166"/>
      <c r="I575" s="166"/>
      <c r="J575" s="166"/>
      <c r="M575" s="166"/>
      <c r="N575" s="166"/>
      <c r="O575" s="166"/>
      <c r="P575" s="166"/>
      <c r="Q575" s="166"/>
      <c r="R575" s="166"/>
    </row>
    <row r="576" spans="2:18">
      <c r="B576" s="741"/>
      <c r="C576" s="166"/>
      <c r="D576" s="166"/>
      <c r="E576" s="166"/>
      <c r="F576" s="166"/>
      <c r="G576" s="166"/>
      <c r="H576" s="166"/>
      <c r="I576" s="166"/>
      <c r="J576" s="166"/>
      <c r="M576" s="166"/>
      <c r="N576" s="166"/>
      <c r="O576" s="166"/>
      <c r="P576" s="166"/>
      <c r="Q576" s="166"/>
      <c r="R576" s="166"/>
    </row>
    <row r="577" spans="2:18">
      <c r="B577" s="741"/>
      <c r="C577" s="166"/>
      <c r="D577" s="166"/>
      <c r="E577" s="166"/>
      <c r="F577" s="166"/>
      <c r="G577" s="166"/>
      <c r="H577" s="166"/>
      <c r="I577" s="166"/>
      <c r="J577" s="166"/>
      <c r="M577" s="166"/>
      <c r="N577" s="166"/>
      <c r="O577" s="166"/>
      <c r="P577" s="166"/>
      <c r="Q577" s="166"/>
      <c r="R577" s="166"/>
    </row>
    <row r="578" spans="2:18">
      <c r="B578" s="741"/>
      <c r="C578" s="166"/>
      <c r="D578" s="166"/>
      <c r="E578" s="166"/>
      <c r="F578" s="166"/>
      <c r="G578" s="166"/>
      <c r="H578" s="166"/>
      <c r="I578" s="166"/>
      <c r="J578" s="166"/>
      <c r="M578" s="166"/>
      <c r="N578" s="166"/>
      <c r="O578" s="166"/>
      <c r="P578" s="166"/>
      <c r="Q578" s="166"/>
      <c r="R578" s="166"/>
    </row>
    <row r="579" spans="2:18">
      <c r="B579" s="741"/>
      <c r="C579" s="166"/>
      <c r="D579" s="166"/>
      <c r="E579" s="166"/>
      <c r="F579" s="166"/>
      <c r="G579" s="166"/>
      <c r="H579" s="166"/>
      <c r="I579" s="166"/>
      <c r="J579" s="166"/>
      <c r="M579" s="166"/>
      <c r="N579" s="166"/>
      <c r="O579" s="166"/>
      <c r="P579" s="166"/>
      <c r="Q579" s="166"/>
      <c r="R579" s="166"/>
    </row>
    <row r="580" spans="2:18">
      <c r="B580" s="741"/>
      <c r="C580" s="166"/>
      <c r="D580" s="166"/>
      <c r="E580" s="166"/>
      <c r="F580" s="166"/>
      <c r="G580" s="166"/>
      <c r="H580" s="166"/>
      <c r="I580" s="166"/>
      <c r="J580" s="166"/>
      <c r="M580" s="166"/>
      <c r="N580" s="166"/>
      <c r="O580" s="166"/>
      <c r="P580" s="166"/>
      <c r="Q580" s="166"/>
      <c r="R580" s="166"/>
    </row>
    <row r="581" spans="2:18">
      <c r="B581" s="741"/>
      <c r="C581" s="166"/>
      <c r="D581" s="166"/>
      <c r="E581" s="166"/>
      <c r="F581" s="166"/>
      <c r="G581" s="166"/>
      <c r="H581" s="166"/>
      <c r="I581" s="166"/>
      <c r="J581" s="166"/>
      <c r="M581" s="166"/>
      <c r="N581" s="166"/>
      <c r="O581" s="166"/>
      <c r="P581" s="166"/>
      <c r="Q581" s="166"/>
      <c r="R581" s="166"/>
    </row>
    <row r="582" spans="2:18">
      <c r="B582" s="741"/>
      <c r="C582" s="166"/>
      <c r="D582" s="166"/>
      <c r="E582" s="166"/>
      <c r="F582" s="166"/>
      <c r="G582" s="166"/>
      <c r="H582" s="166"/>
      <c r="I582" s="166"/>
      <c r="J582" s="166"/>
      <c r="M582" s="166"/>
      <c r="N582" s="166"/>
      <c r="O582" s="166"/>
      <c r="P582" s="166"/>
      <c r="Q582" s="166"/>
      <c r="R582" s="166"/>
    </row>
    <row r="583" spans="2:18">
      <c r="B583" s="741"/>
      <c r="C583" s="166"/>
      <c r="D583" s="166"/>
      <c r="E583" s="166"/>
      <c r="F583" s="166"/>
      <c r="G583" s="166"/>
      <c r="H583" s="166"/>
      <c r="I583" s="166"/>
      <c r="J583" s="166"/>
      <c r="M583" s="166"/>
      <c r="N583" s="166"/>
      <c r="O583" s="166"/>
      <c r="P583" s="166"/>
      <c r="Q583" s="166"/>
      <c r="R583" s="166"/>
    </row>
    <row r="584" spans="2:18">
      <c r="B584" s="741"/>
      <c r="C584" s="166"/>
      <c r="D584" s="166"/>
      <c r="E584" s="166"/>
      <c r="F584" s="166"/>
      <c r="G584" s="166"/>
      <c r="H584" s="166"/>
      <c r="I584" s="166"/>
      <c r="J584" s="166"/>
      <c r="M584" s="166"/>
      <c r="N584" s="166"/>
      <c r="O584" s="166"/>
      <c r="P584" s="166"/>
      <c r="Q584" s="166"/>
      <c r="R584" s="166"/>
    </row>
    <row r="585" spans="2:18">
      <c r="B585" s="741"/>
      <c r="C585" s="166"/>
      <c r="D585" s="166"/>
      <c r="E585" s="166"/>
      <c r="F585" s="166"/>
      <c r="G585" s="166"/>
      <c r="H585" s="166"/>
      <c r="I585" s="166"/>
      <c r="J585" s="166"/>
      <c r="M585" s="166"/>
      <c r="N585" s="166"/>
      <c r="O585" s="166"/>
      <c r="P585" s="166"/>
      <c r="Q585" s="166"/>
      <c r="R585" s="166"/>
    </row>
    <row r="586" spans="2:18">
      <c r="B586" s="741"/>
      <c r="C586" s="166"/>
      <c r="D586" s="166"/>
      <c r="E586" s="166"/>
      <c r="F586" s="166"/>
      <c r="G586" s="166"/>
      <c r="H586" s="166"/>
      <c r="I586" s="166"/>
      <c r="J586" s="166"/>
      <c r="M586" s="166"/>
      <c r="N586" s="166"/>
      <c r="O586" s="166"/>
      <c r="P586" s="166"/>
      <c r="Q586" s="166"/>
      <c r="R586" s="166"/>
    </row>
    <row r="587" spans="2:18">
      <c r="B587" s="741"/>
      <c r="C587" s="166"/>
      <c r="D587" s="166"/>
      <c r="E587" s="166"/>
      <c r="F587" s="166"/>
      <c r="G587" s="166"/>
      <c r="H587" s="166"/>
      <c r="I587" s="166"/>
      <c r="J587" s="166"/>
      <c r="M587" s="166"/>
      <c r="N587" s="166"/>
      <c r="O587" s="166"/>
      <c r="P587" s="166"/>
      <c r="Q587" s="166"/>
      <c r="R587" s="166"/>
    </row>
    <row r="588" spans="2:18">
      <c r="B588" s="741"/>
      <c r="C588" s="166"/>
      <c r="D588" s="166"/>
      <c r="E588" s="166"/>
      <c r="F588" s="166"/>
      <c r="G588" s="166"/>
      <c r="H588" s="166"/>
      <c r="I588" s="166"/>
      <c r="J588" s="166"/>
      <c r="M588" s="166"/>
      <c r="N588" s="166"/>
      <c r="O588" s="166"/>
      <c r="P588" s="166"/>
      <c r="Q588" s="166"/>
      <c r="R588" s="166"/>
    </row>
    <row r="589" spans="2:18">
      <c r="B589" s="741"/>
      <c r="C589" s="166"/>
      <c r="D589" s="166"/>
      <c r="E589" s="166"/>
      <c r="F589" s="166"/>
      <c r="G589" s="166"/>
      <c r="H589" s="166"/>
      <c r="I589" s="166"/>
      <c r="J589" s="166"/>
      <c r="M589" s="166"/>
      <c r="N589" s="166"/>
      <c r="O589" s="166"/>
      <c r="P589" s="166"/>
      <c r="Q589" s="166"/>
      <c r="R589" s="166"/>
    </row>
    <row r="590" spans="2:18">
      <c r="B590" s="741"/>
      <c r="C590" s="166"/>
      <c r="D590" s="166"/>
      <c r="E590" s="166"/>
      <c r="F590" s="166"/>
      <c r="G590" s="166"/>
      <c r="H590" s="166"/>
      <c r="I590" s="166"/>
      <c r="J590" s="166"/>
      <c r="M590" s="166"/>
      <c r="N590" s="166"/>
      <c r="O590" s="166"/>
      <c r="P590" s="166"/>
      <c r="Q590" s="166"/>
      <c r="R590" s="166"/>
    </row>
    <row r="591" spans="2:18">
      <c r="B591" s="741"/>
      <c r="C591" s="166"/>
      <c r="D591" s="166"/>
      <c r="E591" s="166"/>
      <c r="F591" s="166"/>
      <c r="G591" s="166"/>
      <c r="H591" s="166"/>
      <c r="I591" s="166"/>
      <c r="J591" s="166"/>
      <c r="M591" s="166"/>
      <c r="N591" s="166"/>
      <c r="O591" s="166"/>
      <c r="P591" s="166"/>
      <c r="Q591" s="166"/>
      <c r="R591" s="166"/>
    </row>
    <row r="592" spans="2:18">
      <c r="B592" s="741"/>
      <c r="C592" s="166"/>
      <c r="D592" s="166"/>
      <c r="E592" s="166"/>
      <c r="F592" s="166"/>
      <c r="G592" s="166"/>
      <c r="H592" s="166"/>
      <c r="I592" s="166"/>
      <c r="J592" s="166"/>
      <c r="M592" s="166"/>
      <c r="N592" s="166"/>
      <c r="O592" s="166"/>
      <c r="P592" s="166"/>
      <c r="Q592" s="166"/>
      <c r="R592" s="166"/>
    </row>
    <row r="593" spans="2:18">
      <c r="B593" s="741"/>
      <c r="C593" s="166"/>
      <c r="D593" s="166"/>
      <c r="E593" s="166"/>
      <c r="F593" s="166"/>
      <c r="G593" s="166"/>
      <c r="H593" s="166"/>
      <c r="I593" s="166"/>
      <c r="J593" s="166"/>
      <c r="M593" s="166"/>
      <c r="N593" s="166"/>
      <c r="O593" s="166"/>
      <c r="P593" s="166"/>
      <c r="Q593" s="166"/>
      <c r="R593" s="166"/>
    </row>
    <row r="594" spans="2:18">
      <c r="B594" s="741"/>
      <c r="C594" s="166"/>
      <c r="D594" s="166"/>
      <c r="E594" s="166"/>
      <c r="F594" s="166"/>
      <c r="G594" s="166"/>
      <c r="H594" s="166"/>
      <c r="I594" s="166"/>
      <c r="J594" s="166"/>
      <c r="M594" s="166"/>
      <c r="N594" s="166"/>
      <c r="O594" s="166"/>
      <c r="P594" s="166"/>
      <c r="Q594" s="166"/>
      <c r="R594" s="166"/>
    </row>
    <row r="595" spans="2:18">
      <c r="B595" s="741"/>
      <c r="C595" s="166"/>
      <c r="D595" s="166"/>
      <c r="E595" s="166"/>
      <c r="F595" s="166"/>
      <c r="G595" s="166"/>
      <c r="H595" s="166"/>
      <c r="I595" s="166"/>
      <c r="J595" s="166"/>
      <c r="M595" s="166"/>
      <c r="N595" s="166"/>
      <c r="O595" s="166"/>
      <c r="P595" s="166"/>
      <c r="Q595" s="166"/>
      <c r="R595" s="166"/>
    </row>
    <row r="596" spans="2:18">
      <c r="B596" s="741"/>
      <c r="C596" s="166"/>
      <c r="D596" s="166"/>
      <c r="E596" s="166"/>
      <c r="F596" s="166"/>
      <c r="G596" s="166"/>
      <c r="H596" s="166"/>
      <c r="I596" s="166"/>
      <c r="J596" s="166"/>
      <c r="M596" s="166"/>
      <c r="N596" s="166"/>
      <c r="O596" s="166"/>
      <c r="P596" s="166"/>
      <c r="Q596" s="166"/>
      <c r="R596" s="166"/>
    </row>
    <row r="597" spans="2:18">
      <c r="B597" s="741"/>
      <c r="C597" s="166"/>
      <c r="D597" s="166"/>
      <c r="E597" s="166"/>
      <c r="F597" s="166"/>
      <c r="G597" s="166"/>
      <c r="H597" s="166"/>
      <c r="I597" s="166"/>
      <c r="J597" s="166"/>
      <c r="M597" s="166"/>
      <c r="N597" s="166"/>
      <c r="O597" s="166"/>
      <c r="P597" s="166"/>
      <c r="Q597" s="166"/>
      <c r="R597" s="166"/>
    </row>
    <row r="598" spans="2:18">
      <c r="B598" s="741"/>
      <c r="C598" s="166"/>
      <c r="D598" s="166"/>
      <c r="E598" s="166"/>
      <c r="F598" s="166"/>
      <c r="G598" s="166"/>
      <c r="H598" s="166"/>
      <c r="I598" s="166"/>
      <c r="J598" s="166"/>
      <c r="M598" s="166"/>
      <c r="N598" s="166"/>
      <c r="O598" s="166"/>
      <c r="P598" s="166"/>
      <c r="Q598" s="166"/>
      <c r="R598" s="166"/>
    </row>
    <row r="599" spans="2:18">
      <c r="B599" s="741"/>
      <c r="C599" s="166"/>
      <c r="D599" s="166"/>
      <c r="E599" s="166"/>
      <c r="F599" s="166"/>
      <c r="G599" s="166"/>
      <c r="H599" s="166"/>
      <c r="I599" s="166"/>
      <c r="J599" s="166"/>
      <c r="M599" s="166"/>
      <c r="N599" s="166"/>
      <c r="O599" s="166"/>
      <c r="P599" s="166"/>
      <c r="Q599" s="166"/>
      <c r="R599" s="166"/>
    </row>
    <row r="600" spans="2:18">
      <c r="B600" s="741"/>
      <c r="C600" s="166"/>
      <c r="D600" s="166"/>
      <c r="E600" s="166"/>
      <c r="F600" s="166"/>
      <c r="G600" s="166"/>
      <c r="H600" s="166"/>
      <c r="I600" s="166"/>
      <c r="J600" s="166"/>
      <c r="M600" s="166"/>
      <c r="N600" s="166"/>
      <c r="O600" s="166"/>
      <c r="P600" s="166"/>
      <c r="Q600" s="166"/>
      <c r="R600" s="166"/>
    </row>
    <row r="601" spans="2:18">
      <c r="B601" s="741"/>
      <c r="C601" s="166"/>
      <c r="D601" s="166"/>
      <c r="E601" s="166"/>
      <c r="F601" s="166"/>
      <c r="G601" s="166"/>
      <c r="H601" s="166"/>
      <c r="I601" s="166"/>
      <c r="J601" s="166"/>
      <c r="M601" s="166"/>
      <c r="N601" s="166"/>
      <c r="O601" s="166"/>
      <c r="P601" s="166"/>
      <c r="Q601" s="166"/>
      <c r="R601" s="166"/>
    </row>
    <row r="602" spans="2:18">
      <c r="B602" s="741"/>
      <c r="C602" s="166"/>
      <c r="D602" s="166"/>
      <c r="E602" s="166"/>
      <c r="F602" s="166"/>
      <c r="G602" s="166"/>
      <c r="H602" s="166"/>
      <c r="I602" s="166"/>
      <c r="J602" s="166"/>
      <c r="M602" s="166"/>
      <c r="N602" s="166"/>
      <c r="O602" s="166"/>
      <c r="P602" s="166"/>
      <c r="Q602" s="166"/>
      <c r="R602" s="166"/>
    </row>
    <row r="603" spans="2:18">
      <c r="B603" s="741"/>
      <c r="C603" s="166"/>
      <c r="D603" s="166"/>
      <c r="E603" s="166"/>
      <c r="F603" s="166"/>
      <c r="G603" s="166"/>
      <c r="H603" s="166"/>
      <c r="I603" s="166"/>
      <c r="J603" s="166"/>
      <c r="M603" s="166"/>
      <c r="N603" s="166"/>
      <c r="O603" s="166"/>
      <c r="P603" s="166"/>
      <c r="Q603" s="166"/>
      <c r="R603" s="166"/>
    </row>
    <row r="604" spans="2:18">
      <c r="B604" s="741"/>
      <c r="C604" s="166"/>
      <c r="D604" s="166"/>
      <c r="E604" s="166"/>
      <c r="F604" s="166"/>
      <c r="G604" s="166"/>
      <c r="H604" s="166"/>
      <c r="I604" s="166"/>
      <c r="J604" s="166"/>
      <c r="M604" s="166"/>
      <c r="N604" s="166"/>
      <c r="O604" s="166"/>
      <c r="P604" s="166"/>
      <c r="Q604" s="166"/>
      <c r="R604" s="166"/>
    </row>
    <row r="605" spans="2:18">
      <c r="B605" s="741"/>
      <c r="C605" s="166"/>
      <c r="D605" s="166"/>
      <c r="E605" s="166"/>
      <c r="F605" s="166"/>
      <c r="G605" s="166"/>
      <c r="H605" s="166"/>
      <c r="I605" s="166"/>
      <c r="J605" s="166"/>
      <c r="M605" s="166"/>
      <c r="N605" s="166"/>
      <c r="O605" s="166"/>
      <c r="P605" s="166"/>
      <c r="Q605" s="166"/>
      <c r="R605" s="166"/>
    </row>
    <row r="606" spans="2:18">
      <c r="B606" s="741"/>
      <c r="C606" s="166"/>
      <c r="D606" s="166"/>
      <c r="E606" s="166"/>
      <c r="F606" s="166"/>
      <c r="G606" s="166"/>
      <c r="H606" s="166"/>
      <c r="I606" s="166"/>
      <c r="J606" s="166"/>
      <c r="M606" s="166"/>
      <c r="N606" s="166"/>
      <c r="O606" s="166"/>
      <c r="P606" s="166"/>
      <c r="Q606" s="166"/>
      <c r="R606" s="166"/>
    </row>
    <row r="607" spans="2:18">
      <c r="B607" s="741"/>
      <c r="C607" s="166"/>
      <c r="D607" s="166"/>
      <c r="E607" s="166"/>
      <c r="F607" s="166"/>
      <c r="G607" s="166"/>
      <c r="H607" s="166"/>
      <c r="I607" s="166"/>
      <c r="J607" s="166"/>
      <c r="M607" s="166"/>
      <c r="N607" s="166"/>
      <c r="O607" s="166"/>
      <c r="P607" s="166"/>
      <c r="Q607" s="166"/>
      <c r="R607" s="166"/>
    </row>
    <row r="608" spans="2:18">
      <c r="B608" s="741"/>
      <c r="C608" s="166"/>
      <c r="D608" s="166"/>
      <c r="E608" s="166"/>
      <c r="F608" s="166"/>
      <c r="G608" s="166"/>
      <c r="H608" s="166"/>
      <c r="I608" s="166"/>
      <c r="J608" s="166"/>
      <c r="M608" s="166"/>
      <c r="N608" s="166"/>
      <c r="O608" s="166"/>
      <c r="P608" s="166"/>
      <c r="Q608" s="166"/>
      <c r="R608" s="166"/>
    </row>
    <row r="609" spans="2:18">
      <c r="B609" s="741"/>
      <c r="C609" s="166"/>
      <c r="D609" s="166"/>
      <c r="E609" s="166"/>
      <c r="F609" s="166"/>
      <c r="G609" s="166"/>
      <c r="H609" s="166"/>
      <c r="I609" s="166"/>
      <c r="J609" s="166"/>
      <c r="M609" s="166"/>
      <c r="N609" s="166"/>
      <c r="O609" s="166"/>
      <c r="P609" s="166"/>
      <c r="Q609" s="166"/>
      <c r="R609" s="166"/>
    </row>
    <row r="610" spans="2:18">
      <c r="B610" s="741"/>
      <c r="C610" s="166"/>
      <c r="D610" s="166"/>
      <c r="E610" s="166"/>
      <c r="F610" s="166"/>
      <c r="G610" s="166"/>
      <c r="H610" s="166"/>
      <c r="I610" s="166"/>
      <c r="J610" s="166"/>
      <c r="M610" s="166"/>
      <c r="N610" s="166"/>
      <c r="O610" s="166"/>
      <c r="P610" s="166"/>
      <c r="Q610" s="166"/>
      <c r="R610" s="166"/>
    </row>
    <row r="611" spans="2:18">
      <c r="B611" s="741"/>
      <c r="C611" s="166"/>
      <c r="D611" s="166"/>
      <c r="E611" s="166"/>
      <c r="F611" s="166"/>
      <c r="G611" s="166"/>
      <c r="H611" s="166"/>
      <c r="I611" s="166"/>
      <c r="J611" s="166"/>
      <c r="M611" s="166"/>
      <c r="N611" s="166"/>
      <c r="O611" s="166"/>
      <c r="P611" s="166"/>
      <c r="Q611" s="166"/>
      <c r="R611" s="166"/>
    </row>
    <row r="612" spans="2:18">
      <c r="B612" s="741"/>
      <c r="C612" s="166"/>
      <c r="D612" s="166"/>
      <c r="E612" s="166"/>
      <c r="F612" s="166"/>
      <c r="G612" s="166"/>
      <c r="H612" s="166"/>
      <c r="I612" s="166"/>
      <c r="J612" s="166"/>
      <c r="M612" s="166"/>
      <c r="N612" s="166"/>
      <c r="O612" s="166"/>
      <c r="P612" s="166"/>
      <c r="Q612" s="166"/>
      <c r="R612" s="166"/>
    </row>
    <row r="613" spans="2:18">
      <c r="B613" s="741"/>
      <c r="C613" s="166"/>
      <c r="D613" s="166"/>
      <c r="E613" s="166"/>
      <c r="F613" s="166"/>
      <c r="G613" s="166"/>
      <c r="H613" s="166"/>
      <c r="I613" s="166"/>
      <c r="J613" s="166"/>
      <c r="M613" s="166"/>
      <c r="N613" s="166"/>
      <c r="O613" s="166"/>
      <c r="P613" s="166"/>
      <c r="Q613" s="166"/>
      <c r="R613" s="166"/>
    </row>
    <row r="614" spans="2:18">
      <c r="B614" s="741"/>
      <c r="C614" s="166"/>
      <c r="D614" s="166"/>
      <c r="E614" s="166"/>
      <c r="F614" s="166"/>
      <c r="G614" s="166"/>
      <c r="H614" s="166"/>
      <c r="I614" s="166"/>
      <c r="J614" s="166"/>
      <c r="M614" s="166"/>
      <c r="N614" s="166"/>
      <c r="O614" s="166"/>
      <c r="P614" s="166"/>
      <c r="Q614" s="166"/>
      <c r="R614" s="166"/>
    </row>
    <row r="615" spans="2:18">
      <c r="B615" s="741"/>
      <c r="C615" s="166"/>
      <c r="D615" s="166"/>
      <c r="E615" s="166"/>
      <c r="F615" s="166"/>
      <c r="G615" s="166"/>
      <c r="H615" s="166"/>
      <c r="I615" s="166"/>
      <c r="J615" s="166"/>
      <c r="M615" s="166"/>
      <c r="N615" s="166"/>
      <c r="O615" s="166"/>
      <c r="P615" s="166"/>
      <c r="Q615" s="166"/>
      <c r="R615" s="166"/>
    </row>
    <row r="616" spans="2:18">
      <c r="B616" s="741"/>
      <c r="C616" s="166"/>
      <c r="D616" s="166"/>
      <c r="E616" s="166"/>
      <c r="F616" s="166"/>
      <c r="G616" s="166"/>
      <c r="H616" s="166"/>
      <c r="I616" s="166"/>
      <c r="J616" s="166"/>
      <c r="M616" s="166"/>
      <c r="N616" s="166"/>
      <c r="O616" s="166"/>
      <c r="P616" s="166"/>
      <c r="Q616" s="166"/>
      <c r="R616" s="166"/>
    </row>
    <row r="617" spans="2:18">
      <c r="B617" s="741"/>
      <c r="C617" s="166"/>
      <c r="D617" s="166"/>
      <c r="E617" s="166"/>
      <c r="F617" s="166"/>
      <c r="G617" s="166"/>
      <c r="H617" s="166"/>
      <c r="I617" s="166"/>
      <c r="J617" s="166"/>
      <c r="M617" s="166"/>
      <c r="N617" s="166"/>
      <c r="O617" s="166"/>
      <c r="P617" s="166"/>
      <c r="Q617" s="166"/>
      <c r="R617" s="166"/>
    </row>
    <row r="618" spans="2:18">
      <c r="B618" s="741"/>
      <c r="C618" s="166"/>
      <c r="D618" s="166"/>
      <c r="E618" s="166"/>
      <c r="F618" s="166"/>
      <c r="G618" s="166"/>
      <c r="H618" s="166"/>
      <c r="I618" s="166"/>
      <c r="J618" s="166"/>
      <c r="M618" s="166"/>
      <c r="N618" s="166"/>
      <c r="O618" s="166"/>
      <c r="P618" s="166"/>
      <c r="Q618" s="166"/>
      <c r="R618" s="166"/>
    </row>
    <row r="619" spans="2:18">
      <c r="B619" s="741"/>
      <c r="C619" s="166"/>
      <c r="D619" s="166"/>
      <c r="E619" s="166"/>
      <c r="F619" s="166"/>
      <c r="G619" s="166"/>
      <c r="H619" s="166"/>
      <c r="I619" s="166"/>
      <c r="J619" s="166"/>
      <c r="M619" s="166"/>
    </row>
    <row r="620" spans="2:18">
      <c r="B620" s="741"/>
    </row>
    <row r="621" spans="2:18">
      <c r="B621" s="741"/>
    </row>
    <row r="622" spans="2:18">
      <c r="B622" s="741"/>
    </row>
    <row r="623" spans="2:18">
      <c r="B623" s="741"/>
    </row>
    <row r="624" spans="2:18">
      <c r="B624" s="741"/>
    </row>
    <row r="625" spans="2:2">
      <c r="B625" s="741"/>
    </row>
    <row r="626" spans="2:2">
      <c r="B626" s="741"/>
    </row>
    <row r="627" spans="2:2">
      <c r="B627" s="741"/>
    </row>
    <row r="628" spans="2:2">
      <c r="B628" s="741"/>
    </row>
    <row r="629" spans="2:2">
      <c r="B629" s="741"/>
    </row>
    <row r="630" spans="2:2">
      <c r="B630" s="741"/>
    </row>
    <row r="631" spans="2:2">
      <c r="B631" s="741"/>
    </row>
    <row r="632" spans="2:2">
      <c r="B632" s="741"/>
    </row>
    <row r="633" spans="2:2">
      <c r="B633" s="741"/>
    </row>
    <row r="634" spans="2:2">
      <c r="B634" s="741"/>
    </row>
    <row r="635" spans="2:2">
      <c r="B635" s="741"/>
    </row>
    <row r="636" spans="2:2">
      <c r="B636" s="741"/>
    </row>
    <row r="637" spans="2:2">
      <c r="B637" s="741"/>
    </row>
    <row r="638" spans="2:2">
      <c r="B638" s="741"/>
    </row>
    <row r="639" spans="2:2">
      <c r="B639" s="741"/>
    </row>
    <row r="640" spans="2:2">
      <c r="B640" s="741"/>
    </row>
    <row r="641" spans="2:2">
      <c r="B641" s="741"/>
    </row>
    <row r="642" spans="2:2">
      <c r="B642" s="741"/>
    </row>
    <row r="643" spans="2:2">
      <c r="B643" s="741"/>
    </row>
    <row r="644" spans="2:2">
      <c r="B644" s="741"/>
    </row>
    <row r="645" spans="2:2">
      <c r="B645" s="741"/>
    </row>
    <row r="646" spans="2:2">
      <c r="B646" s="741"/>
    </row>
    <row r="647" spans="2:2">
      <c r="B647" s="741"/>
    </row>
    <row r="648" spans="2:2">
      <c r="B648" s="741"/>
    </row>
    <row r="649" spans="2:2">
      <c r="B649" s="741"/>
    </row>
    <row r="650" spans="2:2">
      <c r="B650" s="741"/>
    </row>
    <row r="651" spans="2:2">
      <c r="B651" s="741"/>
    </row>
    <row r="652" spans="2:2">
      <c r="B652" s="741"/>
    </row>
    <row r="653" spans="2:2">
      <c r="B653" s="741"/>
    </row>
    <row r="654" spans="2:2">
      <c r="B654" s="741"/>
    </row>
    <row r="655" spans="2:2">
      <c r="B655" s="741"/>
    </row>
    <row r="656" spans="2:2">
      <c r="B656" s="741"/>
    </row>
    <row r="657" spans="2:2">
      <c r="B657" s="741"/>
    </row>
    <row r="658" spans="2:2">
      <c r="B658" s="741"/>
    </row>
    <row r="659" spans="2:2">
      <c r="B659" s="741"/>
    </row>
    <row r="660" spans="2:2">
      <c r="B660" s="741"/>
    </row>
    <row r="661" spans="2:2">
      <c r="B661" s="741"/>
    </row>
    <row r="662" spans="2:2">
      <c r="B662" s="741"/>
    </row>
    <row r="663" spans="2:2">
      <c r="B663" s="741"/>
    </row>
    <row r="664" spans="2:2">
      <c r="B664" s="741"/>
    </row>
    <row r="665" spans="2:2">
      <c r="B665" s="741"/>
    </row>
    <row r="666" spans="2:2">
      <c r="B666" s="741"/>
    </row>
    <row r="667" spans="2:2">
      <c r="B667" s="741"/>
    </row>
    <row r="668" spans="2:2">
      <c r="B668" s="741"/>
    </row>
    <row r="669" spans="2:2">
      <c r="B669" s="741"/>
    </row>
    <row r="670" spans="2:2">
      <c r="B670" s="741"/>
    </row>
    <row r="671" spans="2:2">
      <c r="B671" s="741"/>
    </row>
    <row r="672" spans="2:2">
      <c r="B672" s="741"/>
    </row>
    <row r="673" spans="2:2">
      <c r="B673" s="741"/>
    </row>
    <row r="674" spans="2:2">
      <c r="B674" s="741"/>
    </row>
    <row r="675" spans="2:2">
      <c r="B675" s="741"/>
    </row>
    <row r="676" spans="2:2">
      <c r="B676" s="741"/>
    </row>
    <row r="677" spans="2:2">
      <c r="B677" s="741"/>
    </row>
    <row r="678" spans="2:2">
      <c r="B678" s="741"/>
    </row>
    <row r="679" spans="2:2">
      <c r="B679" s="741"/>
    </row>
    <row r="680" spans="2:2">
      <c r="B680" s="741"/>
    </row>
    <row r="681" spans="2:2">
      <c r="B681" s="741"/>
    </row>
    <row r="682" spans="2:2">
      <c r="B682" s="741"/>
    </row>
    <row r="683" spans="2:2">
      <c r="B683" s="741"/>
    </row>
    <row r="684" spans="2:2">
      <c r="B684" s="741"/>
    </row>
    <row r="685" spans="2:2">
      <c r="B685" s="741"/>
    </row>
    <row r="686" spans="2:2">
      <c r="B686" s="741"/>
    </row>
    <row r="687" spans="2:2">
      <c r="B687" s="741"/>
    </row>
    <row r="688" spans="2:2">
      <c r="B688" s="741"/>
    </row>
    <row r="689" spans="2:2">
      <c r="B689" s="741"/>
    </row>
    <row r="690" spans="2:2">
      <c r="B690" s="741"/>
    </row>
    <row r="691" spans="2:2">
      <c r="B691" s="741"/>
    </row>
    <row r="692" spans="2:2">
      <c r="B692" s="741"/>
    </row>
    <row r="693" spans="2:2">
      <c r="B693" s="741"/>
    </row>
    <row r="694" spans="2:2">
      <c r="B694" s="741"/>
    </row>
    <row r="695" spans="2:2">
      <c r="B695" s="741"/>
    </row>
    <row r="696" spans="2:2">
      <c r="B696" s="741"/>
    </row>
    <row r="697" spans="2:2">
      <c r="B697" s="741"/>
    </row>
    <row r="698" spans="2:2">
      <c r="B698" s="741"/>
    </row>
    <row r="699" spans="2:2">
      <c r="B699" s="741"/>
    </row>
    <row r="700" spans="2:2">
      <c r="B700" s="741"/>
    </row>
    <row r="701" spans="2:2">
      <c r="B701" s="741"/>
    </row>
    <row r="702" spans="2:2">
      <c r="B702" s="741"/>
    </row>
    <row r="703" spans="2:2">
      <c r="B703" s="741"/>
    </row>
    <row r="704" spans="2:2">
      <c r="B704" s="741"/>
    </row>
    <row r="705" spans="2:2">
      <c r="B705" s="741"/>
    </row>
    <row r="706" spans="2:2">
      <c r="B706" s="741"/>
    </row>
    <row r="707" spans="2:2">
      <c r="B707" s="741"/>
    </row>
    <row r="708" spans="2:2">
      <c r="B708" s="741"/>
    </row>
    <row r="709" spans="2:2">
      <c r="B709" s="741"/>
    </row>
    <row r="710" spans="2:2">
      <c r="B710" s="741"/>
    </row>
    <row r="711" spans="2:2">
      <c r="B711" s="741"/>
    </row>
    <row r="712" spans="2:2">
      <c r="B712" s="741"/>
    </row>
    <row r="713" spans="2:2">
      <c r="B713" s="741"/>
    </row>
    <row r="714" spans="2:2">
      <c r="B714" s="741"/>
    </row>
    <row r="715" spans="2:2">
      <c r="B715" s="741"/>
    </row>
    <row r="716" spans="2:2">
      <c r="B716" s="741"/>
    </row>
    <row r="717" spans="2:2">
      <c r="B717" s="741"/>
    </row>
    <row r="718" spans="2:2">
      <c r="B718" s="741"/>
    </row>
    <row r="719" spans="2:2">
      <c r="B719" s="741"/>
    </row>
    <row r="720" spans="2:2">
      <c r="B720" s="741"/>
    </row>
    <row r="721" spans="2:2">
      <c r="B721" s="741"/>
    </row>
    <row r="722" spans="2:2">
      <c r="B722" s="741"/>
    </row>
    <row r="723" spans="2:2">
      <c r="B723" s="741"/>
    </row>
    <row r="724" spans="2:2">
      <c r="B724" s="741"/>
    </row>
    <row r="725" spans="2:2">
      <c r="B725" s="741"/>
    </row>
    <row r="726" spans="2:2">
      <c r="B726" s="741"/>
    </row>
    <row r="727" spans="2:2">
      <c r="B727" s="741"/>
    </row>
    <row r="728" spans="2:2">
      <c r="B728" s="741"/>
    </row>
    <row r="729" spans="2:2">
      <c r="B729" s="741"/>
    </row>
    <row r="730" spans="2:2">
      <c r="B730" s="741"/>
    </row>
    <row r="731" spans="2:2">
      <c r="B731" s="741"/>
    </row>
    <row r="732" spans="2:2">
      <c r="B732" s="741"/>
    </row>
    <row r="733" spans="2:2">
      <c r="B733" s="741"/>
    </row>
    <row r="734" spans="2:2">
      <c r="B734" s="741"/>
    </row>
    <row r="735" spans="2:2">
      <c r="B735" s="741"/>
    </row>
    <row r="736" spans="2:2">
      <c r="B736" s="741"/>
    </row>
    <row r="737" spans="2:2">
      <c r="B737" s="741"/>
    </row>
    <row r="738" spans="2:2">
      <c r="B738" s="741"/>
    </row>
    <row r="739" spans="2:2">
      <c r="B739" s="741"/>
    </row>
    <row r="740" spans="2:2">
      <c r="B740" s="741"/>
    </row>
    <row r="741" spans="2:2">
      <c r="B741" s="741"/>
    </row>
    <row r="742" spans="2:2">
      <c r="B742" s="741"/>
    </row>
    <row r="743" spans="2:2">
      <c r="B743" s="741"/>
    </row>
    <row r="744" spans="2:2">
      <c r="B744" s="741"/>
    </row>
    <row r="745" spans="2:2">
      <c r="B745" s="741"/>
    </row>
    <row r="746" spans="2:2">
      <c r="B746" s="741"/>
    </row>
    <row r="747" spans="2:2">
      <c r="B747" s="741"/>
    </row>
    <row r="748" spans="2:2">
      <c r="B748" s="741"/>
    </row>
    <row r="749" spans="2:2">
      <c r="B749" s="741"/>
    </row>
    <row r="750" spans="2:2">
      <c r="B750" s="741"/>
    </row>
    <row r="751" spans="2:2">
      <c r="B751" s="741"/>
    </row>
    <row r="752" spans="2:2">
      <c r="B752" s="741"/>
    </row>
    <row r="753" spans="2:2">
      <c r="B753" s="741"/>
    </row>
    <row r="754" spans="2:2">
      <c r="B754" s="741"/>
    </row>
    <row r="755" spans="2:2">
      <c r="B755" s="741"/>
    </row>
    <row r="756" spans="2:2">
      <c r="B756" s="741"/>
    </row>
    <row r="757" spans="2:2">
      <c r="B757" s="741"/>
    </row>
    <row r="758" spans="2:2">
      <c r="B758" s="741"/>
    </row>
    <row r="759" spans="2:2">
      <c r="B759" s="741"/>
    </row>
    <row r="760" spans="2:2">
      <c r="B760" s="741"/>
    </row>
    <row r="761" spans="2:2">
      <c r="B761" s="741"/>
    </row>
    <row r="762" spans="2:2">
      <c r="B762" s="741"/>
    </row>
    <row r="763" spans="2:2">
      <c r="B763" s="741"/>
    </row>
    <row r="764" spans="2:2">
      <c r="B764" s="741"/>
    </row>
    <row r="765" spans="2:2">
      <c r="B765" s="741"/>
    </row>
    <row r="766" spans="2:2">
      <c r="B766" s="741"/>
    </row>
    <row r="767" spans="2:2">
      <c r="B767" s="741"/>
    </row>
    <row r="768" spans="2:2">
      <c r="B768" s="741"/>
    </row>
    <row r="769" spans="2:2">
      <c r="B769" s="741"/>
    </row>
    <row r="770" spans="2:2">
      <c r="B770" s="741"/>
    </row>
    <row r="771" spans="2:2">
      <c r="B771" s="741"/>
    </row>
    <row r="772" spans="2:2">
      <c r="B772" s="741"/>
    </row>
    <row r="773" spans="2:2">
      <c r="B773" s="741"/>
    </row>
    <row r="774" spans="2:2">
      <c r="B774" s="741"/>
    </row>
    <row r="775" spans="2:2">
      <c r="B775" s="741"/>
    </row>
    <row r="776" spans="2:2">
      <c r="B776" s="741"/>
    </row>
    <row r="777" spans="2:2">
      <c r="B777" s="741"/>
    </row>
    <row r="778" spans="2:2">
      <c r="B778" s="741"/>
    </row>
    <row r="779" spans="2:2">
      <c r="B779" s="741"/>
    </row>
    <row r="780" spans="2:2">
      <c r="B780" s="741"/>
    </row>
    <row r="781" spans="2:2">
      <c r="B781" s="741"/>
    </row>
    <row r="782" spans="2:2">
      <c r="B782" s="741"/>
    </row>
    <row r="783" spans="2:2">
      <c r="B783" s="741"/>
    </row>
    <row r="784" spans="2:2">
      <c r="B784" s="741"/>
    </row>
    <row r="785" spans="2:2">
      <c r="B785" s="741"/>
    </row>
    <row r="786" spans="2:2">
      <c r="B786" s="741"/>
    </row>
    <row r="787" spans="2:2">
      <c r="B787" s="741"/>
    </row>
    <row r="788" spans="2:2">
      <c r="B788" s="741"/>
    </row>
    <row r="789" spans="2:2">
      <c r="B789" s="741"/>
    </row>
    <row r="790" spans="2:2">
      <c r="B790" s="741"/>
    </row>
    <row r="791" spans="2:2">
      <c r="B791" s="741"/>
    </row>
    <row r="792" spans="2:2">
      <c r="B792" s="741"/>
    </row>
    <row r="793" spans="2:2">
      <c r="B793" s="741"/>
    </row>
    <row r="794" spans="2:2">
      <c r="B794" s="741"/>
    </row>
    <row r="795" spans="2:2">
      <c r="B795" s="741"/>
    </row>
    <row r="796" spans="2:2">
      <c r="B796" s="741"/>
    </row>
    <row r="797" spans="2:2">
      <c r="B797" s="741"/>
    </row>
    <row r="798" spans="2:2">
      <c r="B798" s="741"/>
    </row>
    <row r="799" spans="2:2">
      <c r="B799" s="741"/>
    </row>
    <row r="800" spans="2:2">
      <c r="B800" s="741"/>
    </row>
    <row r="801" spans="2:2">
      <c r="B801" s="741"/>
    </row>
    <row r="802" spans="2:2">
      <c r="B802" s="741"/>
    </row>
    <row r="803" spans="2:2">
      <c r="B803" s="741"/>
    </row>
    <row r="804" spans="2:2">
      <c r="B804" s="741"/>
    </row>
    <row r="805" spans="2:2">
      <c r="B805" s="741"/>
    </row>
    <row r="806" spans="2:2">
      <c r="B806" s="741"/>
    </row>
    <row r="807" spans="2:2">
      <c r="B807" s="741"/>
    </row>
    <row r="808" spans="2:2">
      <c r="B808" s="741"/>
    </row>
    <row r="809" spans="2:2">
      <c r="B809" s="741"/>
    </row>
    <row r="810" spans="2:2">
      <c r="B810" s="741"/>
    </row>
    <row r="811" spans="2:2">
      <c r="B811" s="741"/>
    </row>
    <row r="812" spans="2:2">
      <c r="B812" s="741"/>
    </row>
    <row r="813" spans="2:2">
      <c r="B813" s="741"/>
    </row>
    <row r="814" spans="2:2">
      <c r="B814" s="741"/>
    </row>
    <row r="815" spans="2:2">
      <c r="B815" s="741"/>
    </row>
    <row r="816" spans="2:2">
      <c r="B816" s="741"/>
    </row>
    <row r="817" spans="2:2">
      <c r="B817" s="741"/>
    </row>
    <row r="818" spans="2:2">
      <c r="B818" s="741"/>
    </row>
    <row r="819" spans="2:2">
      <c r="B819" s="741"/>
    </row>
    <row r="820" spans="2:2">
      <c r="B820" s="741"/>
    </row>
    <row r="821" spans="2:2">
      <c r="B821" s="741"/>
    </row>
    <row r="822" spans="2:2">
      <c r="B822" s="741"/>
    </row>
    <row r="823" spans="2:2">
      <c r="B823" s="741"/>
    </row>
    <row r="824" spans="2:2">
      <c r="B824" s="741"/>
    </row>
    <row r="825" spans="2:2">
      <c r="B825" s="741"/>
    </row>
    <row r="826" spans="2:2">
      <c r="B826" s="741"/>
    </row>
    <row r="827" spans="2:2">
      <c r="B827" s="741"/>
    </row>
    <row r="828" spans="2:2">
      <c r="B828" s="741"/>
    </row>
    <row r="829" spans="2:2">
      <c r="B829" s="741"/>
    </row>
    <row r="830" spans="2:2">
      <c r="B830" s="741"/>
    </row>
    <row r="831" spans="2:2">
      <c r="B831" s="741"/>
    </row>
    <row r="832" spans="2:2">
      <c r="B832" s="741"/>
    </row>
    <row r="833" spans="2:2">
      <c r="B833" s="741"/>
    </row>
    <row r="834" spans="2:2">
      <c r="B834" s="741"/>
    </row>
    <row r="835" spans="2:2">
      <c r="B835" s="741"/>
    </row>
    <row r="836" spans="2:2">
      <c r="B836" s="741"/>
    </row>
    <row r="837" spans="2:2">
      <c r="B837" s="741"/>
    </row>
    <row r="838" spans="2:2">
      <c r="B838" s="741"/>
    </row>
    <row r="839" spans="2:2">
      <c r="B839" s="741"/>
    </row>
    <row r="840" spans="2:2">
      <c r="B840" s="741"/>
    </row>
    <row r="841" spans="2:2">
      <c r="B841" s="741"/>
    </row>
    <row r="842" spans="2:2">
      <c r="B842" s="741"/>
    </row>
    <row r="843" spans="2:2">
      <c r="B843" s="741"/>
    </row>
    <row r="844" spans="2:2">
      <c r="B844" s="741"/>
    </row>
    <row r="845" spans="2:2">
      <c r="B845" s="741"/>
    </row>
    <row r="846" spans="2:2">
      <c r="B846" s="741"/>
    </row>
    <row r="847" spans="2:2">
      <c r="B847" s="741"/>
    </row>
    <row r="848" spans="2:2">
      <c r="B848" s="741"/>
    </row>
    <row r="849" spans="2:2">
      <c r="B849" s="741"/>
    </row>
    <row r="850" spans="2:2">
      <c r="B850" s="741"/>
    </row>
    <row r="851" spans="2:2">
      <c r="B851" s="741"/>
    </row>
    <row r="852" spans="2:2">
      <c r="B852" s="741"/>
    </row>
    <row r="853" spans="2:2">
      <c r="B853" s="741"/>
    </row>
    <row r="854" spans="2:2">
      <c r="B854" s="741"/>
    </row>
    <row r="855" spans="2:2">
      <c r="B855" s="741"/>
    </row>
    <row r="856" spans="2:2">
      <c r="B856" s="741"/>
    </row>
    <row r="857" spans="2:2">
      <c r="B857" s="741"/>
    </row>
    <row r="858" spans="2:2">
      <c r="B858" s="741"/>
    </row>
    <row r="859" spans="2:2">
      <c r="B859" s="741"/>
    </row>
    <row r="860" spans="2:2">
      <c r="B860" s="741"/>
    </row>
    <row r="861" spans="2:2">
      <c r="B861" s="741"/>
    </row>
    <row r="862" spans="2:2">
      <c r="B862" s="741"/>
    </row>
    <row r="863" spans="2:2">
      <c r="B863" s="741"/>
    </row>
    <row r="864" spans="2:2">
      <c r="B864" s="741"/>
    </row>
    <row r="865" spans="2:2">
      <c r="B865" s="741"/>
    </row>
    <row r="866" spans="2:2">
      <c r="B866" s="741"/>
    </row>
    <row r="867" spans="2:2">
      <c r="B867" s="741"/>
    </row>
    <row r="868" spans="2:2">
      <c r="B868" s="741"/>
    </row>
    <row r="869" spans="2:2">
      <c r="B869" s="741"/>
    </row>
    <row r="870" spans="2:2">
      <c r="B870" s="741"/>
    </row>
    <row r="871" spans="2:2">
      <c r="B871" s="741"/>
    </row>
    <row r="872" spans="2:2">
      <c r="B872" s="741"/>
    </row>
    <row r="873" spans="2:2">
      <c r="B873" s="741"/>
    </row>
    <row r="874" spans="2:2">
      <c r="B874" s="741"/>
    </row>
    <row r="875" spans="2:2">
      <c r="B875" s="741"/>
    </row>
    <row r="876" spans="2:2">
      <c r="B876" s="741"/>
    </row>
    <row r="877" spans="2:2">
      <c r="B877" s="741"/>
    </row>
    <row r="878" spans="2:2">
      <c r="B878" s="741"/>
    </row>
    <row r="879" spans="2:2">
      <c r="B879" s="741"/>
    </row>
    <row r="880" spans="2:2">
      <c r="B880" s="741"/>
    </row>
    <row r="881" spans="2:2">
      <c r="B881" s="741"/>
    </row>
    <row r="882" spans="2:2">
      <c r="B882" s="741"/>
    </row>
    <row r="883" spans="2:2">
      <c r="B883" s="741"/>
    </row>
    <row r="884" spans="2:2">
      <c r="B884" s="741"/>
    </row>
    <row r="885" spans="2:2">
      <c r="B885" s="741"/>
    </row>
    <row r="886" spans="2:2">
      <c r="B886" s="741"/>
    </row>
    <row r="887" spans="2:2">
      <c r="B887" s="741"/>
    </row>
    <row r="888" spans="2:2">
      <c r="B888" s="741"/>
    </row>
    <row r="889" spans="2:2">
      <c r="B889" s="741"/>
    </row>
    <row r="890" spans="2:2">
      <c r="B890" s="741"/>
    </row>
    <row r="891" spans="2:2">
      <c r="B891" s="741"/>
    </row>
    <row r="892" spans="2:2">
      <c r="B892" s="741"/>
    </row>
    <row r="893" spans="2:2">
      <c r="B893" s="741"/>
    </row>
    <row r="894" spans="2:2">
      <c r="B894" s="741"/>
    </row>
    <row r="895" spans="2:2">
      <c r="B895" s="741"/>
    </row>
    <row r="896" spans="2:2">
      <c r="B896" s="741"/>
    </row>
    <row r="897" spans="2:2">
      <c r="B897" s="741"/>
    </row>
    <row r="898" spans="2:2">
      <c r="B898" s="741"/>
    </row>
    <row r="899" spans="2:2">
      <c r="B899" s="741"/>
    </row>
    <row r="900" spans="2:2">
      <c r="B900" s="741"/>
    </row>
    <row r="901" spans="2:2">
      <c r="B901" s="741"/>
    </row>
    <row r="902" spans="2:2">
      <c r="B902" s="741"/>
    </row>
    <row r="903" spans="2:2">
      <c r="B903" s="741"/>
    </row>
    <row r="904" spans="2:2">
      <c r="B904" s="741"/>
    </row>
    <row r="905" spans="2:2">
      <c r="B905" s="741"/>
    </row>
    <row r="906" spans="2:2">
      <c r="B906" s="741"/>
    </row>
    <row r="907" spans="2:2">
      <c r="B907" s="741"/>
    </row>
    <row r="908" spans="2:2">
      <c r="B908" s="741"/>
    </row>
    <row r="909" spans="2:2">
      <c r="B909" s="741"/>
    </row>
    <row r="910" spans="2:2">
      <c r="B910" s="741"/>
    </row>
    <row r="911" spans="2:2">
      <c r="B911" s="741"/>
    </row>
    <row r="912" spans="2:2">
      <c r="B912" s="741"/>
    </row>
    <row r="913" spans="2:2">
      <c r="B913" s="741"/>
    </row>
    <row r="914" spans="2:2">
      <c r="B914" s="741"/>
    </row>
    <row r="915" spans="2:2">
      <c r="B915" s="741"/>
    </row>
    <row r="916" spans="2:2">
      <c r="B916" s="741"/>
    </row>
    <row r="917" spans="2:2">
      <c r="B917" s="741"/>
    </row>
    <row r="918" spans="2:2">
      <c r="B918" s="741"/>
    </row>
    <row r="919" spans="2:2">
      <c r="B919" s="741"/>
    </row>
    <row r="920" spans="2:2">
      <c r="B920" s="741"/>
    </row>
    <row r="921" spans="2:2">
      <c r="B921" s="741"/>
    </row>
    <row r="922" spans="2:2">
      <c r="B922" s="741"/>
    </row>
    <row r="923" spans="2:2">
      <c r="B923" s="741"/>
    </row>
    <row r="924" spans="2:2">
      <c r="B924" s="741"/>
    </row>
    <row r="925" spans="2:2">
      <c r="B925" s="741"/>
    </row>
    <row r="926" spans="2:2">
      <c r="B926" s="741"/>
    </row>
    <row r="927" spans="2:2">
      <c r="B927" s="741"/>
    </row>
    <row r="928" spans="2:2">
      <c r="B928" s="741"/>
    </row>
    <row r="929" spans="2:2">
      <c r="B929" s="741"/>
    </row>
    <row r="930" spans="2:2">
      <c r="B930" s="741"/>
    </row>
    <row r="931" spans="2:2">
      <c r="B931" s="741"/>
    </row>
    <row r="932" spans="2:2">
      <c r="B932" s="741"/>
    </row>
    <row r="933" spans="2:2">
      <c r="B933" s="741"/>
    </row>
    <row r="934" spans="2:2">
      <c r="B934" s="741"/>
    </row>
    <row r="935" spans="2:2">
      <c r="B935" s="741"/>
    </row>
    <row r="936" spans="2:2">
      <c r="B936" s="741"/>
    </row>
    <row r="937" spans="2:2">
      <c r="B937" s="741"/>
    </row>
    <row r="938" spans="2:2">
      <c r="B938" s="741"/>
    </row>
    <row r="939" spans="2:2">
      <c r="B939" s="741"/>
    </row>
    <row r="940" spans="2:2">
      <c r="B940" s="741"/>
    </row>
    <row r="941" spans="2:2">
      <c r="B941" s="741"/>
    </row>
    <row r="942" spans="2:2">
      <c r="B942" s="741"/>
    </row>
    <row r="943" spans="2:2">
      <c r="B943" s="741"/>
    </row>
    <row r="944" spans="2:2">
      <c r="B944" s="741"/>
    </row>
    <row r="945" spans="2:2">
      <c r="B945" s="741"/>
    </row>
    <row r="946" spans="2:2">
      <c r="B946" s="741"/>
    </row>
    <row r="947" spans="2:2">
      <c r="B947" s="741"/>
    </row>
    <row r="948" spans="2:2">
      <c r="B948" s="741"/>
    </row>
    <row r="949" spans="2:2">
      <c r="B949" s="741"/>
    </row>
    <row r="950" spans="2:2">
      <c r="B950" s="741"/>
    </row>
    <row r="951" spans="2:2">
      <c r="B951" s="741"/>
    </row>
    <row r="952" spans="2:2">
      <c r="B952" s="741"/>
    </row>
    <row r="953" spans="2:2">
      <c r="B953" s="741"/>
    </row>
    <row r="954" spans="2:2">
      <c r="B954" s="741"/>
    </row>
    <row r="955" spans="2:2">
      <c r="B955" s="741"/>
    </row>
    <row r="956" spans="2:2">
      <c r="B956" s="741"/>
    </row>
    <row r="957" spans="2:2">
      <c r="B957" s="741"/>
    </row>
    <row r="958" spans="2:2">
      <c r="B958" s="741"/>
    </row>
    <row r="959" spans="2:2">
      <c r="B959" s="741"/>
    </row>
    <row r="960" spans="2:2">
      <c r="B960" s="741"/>
    </row>
    <row r="961" spans="2:2">
      <c r="B961" s="741"/>
    </row>
    <row r="962" spans="2:2">
      <c r="B962" s="741"/>
    </row>
    <row r="963" spans="2:2">
      <c r="B963" s="741"/>
    </row>
    <row r="964" spans="2:2">
      <c r="B964" s="741"/>
    </row>
    <row r="965" spans="2:2">
      <c r="B965" s="741"/>
    </row>
    <row r="966" spans="2:2">
      <c r="B966" s="741"/>
    </row>
    <row r="967" spans="2:2">
      <c r="B967" s="741"/>
    </row>
    <row r="968" spans="2:2">
      <c r="B968" s="741"/>
    </row>
    <row r="969" spans="2:2">
      <c r="B969" s="741"/>
    </row>
    <row r="970" spans="2:2">
      <c r="B970" s="741"/>
    </row>
    <row r="971" spans="2:2">
      <c r="B971" s="741"/>
    </row>
    <row r="972" spans="2:2">
      <c r="B972" s="741"/>
    </row>
    <row r="973" spans="2:2">
      <c r="B973" s="741"/>
    </row>
    <row r="974" spans="2:2">
      <c r="B974" s="741"/>
    </row>
    <row r="975" spans="2:2">
      <c r="B975" s="741"/>
    </row>
    <row r="976" spans="2:2">
      <c r="B976" s="741"/>
    </row>
    <row r="977" spans="2:2">
      <c r="B977" s="741"/>
    </row>
    <row r="978" spans="2:2">
      <c r="B978" s="741"/>
    </row>
    <row r="979" spans="2:2">
      <c r="B979" s="741"/>
    </row>
    <row r="980" spans="2:2">
      <c r="B980" s="741"/>
    </row>
    <row r="981" spans="2:2">
      <c r="B981" s="741"/>
    </row>
    <row r="982" spans="2:2">
      <c r="B982" s="741"/>
    </row>
    <row r="983" spans="2:2">
      <c r="B983" s="741"/>
    </row>
    <row r="984" spans="2:2">
      <c r="B984" s="741"/>
    </row>
    <row r="985" spans="2:2">
      <c r="B985" s="741"/>
    </row>
    <row r="986" spans="2:2">
      <c r="B986" s="741"/>
    </row>
    <row r="987" spans="2:2">
      <c r="B987" s="741"/>
    </row>
    <row r="988" spans="2:2">
      <c r="B988" s="741"/>
    </row>
    <row r="989" spans="2:2">
      <c r="B989" s="741"/>
    </row>
    <row r="990" spans="2:2">
      <c r="B990" s="741"/>
    </row>
    <row r="991" spans="2:2">
      <c r="B991" s="741"/>
    </row>
    <row r="992" spans="2:2">
      <c r="B992" s="741"/>
    </row>
    <row r="993" spans="2:2">
      <c r="B993" s="741"/>
    </row>
    <row r="994" spans="2:2">
      <c r="B994" s="741"/>
    </row>
    <row r="995" spans="2:2">
      <c r="B995" s="741"/>
    </row>
    <row r="996" spans="2:2">
      <c r="B996" s="741"/>
    </row>
    <row r="997" spans="2:2">
      <c r="B997" s="741"/>
    </row>
    <row r="998" spans="2:2">
      <c r="B998" s="741"/>
    </row>
    <row r="999" spans="2:2">
      <c r="B999" s="741"/>
    </row>
    <row r="1000" spans="2:2">
      <c r="B1000" s="741"/>
    </row>
    <row r="1001" spans="2:2">
      <c r="B1001" s="741"/>
    </row>
    <row r="1002" spans="2:2">
      <c r="B1002" s="741"/>
    </row>
    <row r="1003" spans="2:2">
      <c r="B1003" s="741"/>
    </row>
    <row r="1004" spans="2:2">
      <c r="B1004" s="741"/>
    </row>
    <row r="1005" spans="2:2">
      <c r="B1005" s="741"/>
    </row>
    <row r="1006" spans="2:2">
      <c r="B1006" s="741"/>
    </row>
    <row r="1007" spans="2:2">
      <c r="B1007" s="741"/>
    </row>
    <row r="1008" spans="2:2">
      <c r="B1008" s="741"/>
    </row>
    <row r="1009" spans="2:2">
      <c r="B1009" s="741"/>
    </row>
    <row r="1010" spans="2:2">
      <c r="B1010" s="741"/>
    </row>
    <row r="1011" spans="2:2">
      <c r="B1011" s="741"/>
    </row>
    <row r="1012" spans="2:2">
      <c r="B1012" s="741"/>
    </row>
    <row r="1013" spans="2:2">
      <c r="B1013" s="741"/>
    </row>
    <row r="1014" spans="2:2">
      <c r="B1014" s="741"/>
    </row>
    <row r="1015" spans="2:2">
      <c r="B1015" s="741"/>
    </row>
    <row r="1016" spans="2:2">
      <c r="B1016" s="741"/>
    </row>
    <row r="1017" spans="2:2">
      <c r="B1017" s="741"/>
    </row>
    <row r="1018" spans="2:2">
      <c r="B1018" s="741"/>
    </row>
    <row r="1019" spans="2:2">
      <c r="B1019" s="741"/>
    </row>
    <row r="1020" spans="2:2">
      <c r="B1020" s="741"/>
    </row>
    <row r="1021" spans="2:2">
      <c r="B1021" s="741"/>
    </row>
    <row r="1022" spans="2:2">
      <c r="B1022" s="741"/>
    </row>
    <row r="1023" spans="2:2">
      <c r="B1023" s="741"/>
    </row>
    <row r="1024" spans="2:2">
      <c r="B1024" s="741"/>
    </row>
    <row r="1025" spans="2:2">
      <c r="B1025" s="741"/>
    </row>
    <row r="1026" spans="2:2">
      <c r="B1026" s="741"/>
    </row>
    <row r="1027" spans="2:2">
      <c r="B1027" s="741"/>
    </row>
    <row r="1028" spans="2:2">
      <c r="B1028" s="741"/>
    </row>
    <row r="1029" spans="2:2">
      <c r="B1029" s="741"/>
    </row>
    <row r="1030" spans="2:2">
      <c r="B1030" s="741"/>
    </row>
    <row r="1031" spans="2:2">
      <c r="B1031" s="741"/>
    </row>
    <row r="1032" spans="2:2">
      <c r="B1032" s="741"/>
    </row>
    <row r="1033" spans="2:2">
      <c r="B1033" s="741"/>
    </row>
    <row r="1034" spans="2:2">
      <c r="B1034" s="741"/>
    </row>
    <row r="1035" spans="2:2">
      <c r="B1035" s="741"/>
    </row>
    <row r="1036" spans="2:2">
      <c r="B1036" s="741"/>
    </row>
    <row r="1037" spans="2:2">
      <c r="B1037" s="741"/>
    </row>
    <row r="1038" spans="2:2">
      <c r="B1038" s="741"/>
    </row>
    <row r="1039" spans="2:2">
      <c r="B1039" s="741"/>
    </row>
    <row r="1040" spans="2:2">
      <c r="B1040" s="741"/>
    </row>
    <row r="1041" spans="2:2">
      <c r="B1041" s="741"/>
    </row>
    <row r="1042" spans="2:2">
      <c r="B1042" s="741"/>
    </row>
    <row r="1043" spans="2:2">
      <c r="B1043" s="741"/>
    </row>
    <row r="1044" spans="2:2">
      <c r="B1044" s="741"/>
    </row>
    <row r="1045" spans="2:2">
      <c r="B1045" s="741"/>
    </row>
    <row r="1046" spans="2:2">
      <c r="B1046" s="741"/>
    </row>
    <row r="1047" spans="2:2">
      <c r="B1047" s="741"/>
    </row>
    <row r="1048" spans="2:2">
      <c r="B1048" s="741"/>
    </row>
    <row r="1049" spans="2:2">
      <c r="B1049" s="741"/>
    </row>
    <row r="1050" spans="2:2">
      <c r="B1050" s="741"/>
    </row>
    <row r="1051" spans="2:2">
      <c r="B1051" s="741"/>
    </row>
    <row r="1052" spans="2:2">
      <c r="B1052" s="741"/>
    </row>
    <row r="1053" spans="2:2">
      <c r="B1053" s="741"/>
    </row>
    <row r="1054" spans="2:2">
      <c r="B1054" s="741"/>
    </row>
    <row r="1055" spans="2:2">
      <c r="B1055" s="741"/>
    </row>
    <row r="1056" spans="2:2">
      <c r="B1056" s="741"/>
    </row>
    <row r="1057" spans="2:2">
      <c r="B1057" s="741"/>
    </row>
    <row r="1058" spans="2:2">
      <c r="B1058" s="741"/>
    </row>
    <row r="1059" spans="2:2">
      <c r="B1059" s="741"/>
    </row>
    <row r="1060" spans="2:2">
      <c r="B1060" s="741"/>
    </row>
    <row r="1061" spans="2:2">
      <c r="B1061" s="741"/>
    </row>
    <row r="1062" spans="2:2">
      <c r="B1062" s="741"/>
    </row>
    <row r="1063" spans="2:2">
      <c r="B1063" s="741"/>
    </row>
    <row r="1064" spans="2:2">
      <c r="B1064" s="741"/>
    </row>
    <row r="1065" spans="2:2">
      <c r="B1065" s="741"/>
    </row>
    <row r="1066" spans="2:2">
      <c r="B1066" s="741"/>
    </row>
    <row r="1067" spans="2:2">
      <c r="B1067" s="741"/>
    </row>
    <row r="1068" spans="2:2">
      <c r="B1068" s="741"/>
    </row>
    <row r="1069" spans="2:2">
      <c r="B1069" s="741"/>
    </row>
    <row r="1070" spans="2:2">
      <c r="B1070" s="741"/>
    </row>
    <row r="1071" spans="2:2">
      <c r="B1071" s="741"/>
    </row>
    <row r="1072" spans="2:2">
      <c r="B1072" s="741"/>
    </row>
    <row r="1073" spans="2:2">
      <c r="B1073" s="741"/>
    </row>
    <row r="1074" spans="2:2">
      <c r="B1074" s="741"/>
    </row>
    <row r="1075" spans="2:2">
      <c r="B1075" s="741"/>
    </row>
    <row r="1076" spans="2:2">
      <c r="B1076" s="741"/>
    </row>
    <row r="1077" spans="2:2">
      <c r="B1077" s="741"/>
    </row>
    <row r="1078" spans="2:2">
      <c r="B1078" s="741"/>
    </row>
    <row r="1079" spans="2:2">
      <c r="B1079" s="741"/>
    </row>
    <row r="1080" spans="2:2">
      <c r="B1080" s="741"/>
    </row>
    <row r="1081" spans="2:2">
      <c r="B1081" s="741"/>
    </row>
    <row r="1082" spans="2:2">
      <c r="B1082" s="741"/>
    </row>
    <row r="1083" spans="2:2">
      <c r="B1083" s="741"/>
    </row>
    <row r="1084" spans="2:2">
      <c r="B1084" s="741"/>
    </row>
    <row r="1085" spans="2:2">
      <c r="B1085" s="741"/>
    </row>
    <row r="1086" spans="2:2">
      <c r="B1086" s="741"/>
    </row>
    <row r="1087" spans="2:2">
      <c r="B1087" s="741"/>
    </row>
    <row r="1088" spans="2:2">
      <c r="B1088" s="741"/>
    </row>
    <row r="1089" spans="2:2">
      <c r="B1089" s="741"/>
    </row>
    <row r="1090" spans="2:2">
      <c r="B1090" s="741"/>
    </row>
    <row r="1091" spans="2:2">
      <c r="B1091" s="741"/>
    </row>
    <row r="1092" spans="2:2">
      <c r="B1092" s="741"/>
    </row>
    <row r="1093" spans="2:2">
      <c r="B1093" s="741"/>
    </row>
    <row r="1094" spans="2:2">
      <c r="B1094" s="741"/>
    </row>
    <row r="1095" spans="2:2">
      <c r="B1095" s="741"/>
    </row>
    <row r="1096" spans="2:2">
      <c r="B1096" s="741"/>
    </row>
    <row r="1097" spans="2:2">
      <c r="B1097" s="741"/>
    </row>
    <row r="1098" spans="2:2">
      <c r="B1098" s="741"/>
    </row>
    <row r="1099" spans="2:2">
      <c r="B1099" s="741"/>
    </row>
    <row r="1100" spans="2:2">
      <c r="B1100" s="741"/>
    </row>
    <row r="1101" spans="2:2">
      <c r="B1101" s="741"/>
    </row>
    <row r="1102" spans="2:2">
      <c r="B1102" s="741"/>
    </row>
    <row r="1103" spans="2:2">
      <c r="B1103" s="741"/>
    </row>
    <row r="1104" spans="2:2">
      <c r="B1104" s="741"/>
    </row>
    <row r="1105" spans="2:2">
      <c r="B1105" s="741"/>
    </row>
    <row r="1106" spans="2:2">
      <c r="B1106" s="741"/>
    </row>
    <row r="1107" spans="2:2">
      <c r="B1107" s="741"/>
    </row>
    <row r="1108" spans="2:2">
      <c r="B1108" s="741"/>
    </row>
    <row r="1109" spans="2:2">
      <c r="B1109" s="741"/>
    </row>
    <row r="1110" spans="2:2">
      <c r="B1110" s="741"/>
    </row>
    <row r="1111" spans="2:2">
      <c r="B1111" s="741"/>
    </row>
    <row r="1112" spans="2:2">
      <c r="B1112" s="741"/>
    </row>
    <row r="1113" spans="2:2">
      <c r="B1113" s="741"/>
    </row>
    <row r="1114" spans="2:2">
      <c r="B1114" s="741"/>
    </row>
    <row r="1115" spans="2:2">
      <c r="B1115" s="741"/>
    </row>
    <row r="1116" spans="2:2">
      <c r="B1116" s="741"/>
    </row>
    <row r="1117" spans="2:2">
      <c r="B1117" s="741"/>
    </row>
    <row r="1118" spans="2:2">
      <c r="B1118" s="741"/>
    </row>
    <row r="1119" spans="2:2">
      <c r="B1119" s="741"/>
    </row>
    <row r="1120" spans="2:2">
      <c r="B1120" s="741"/>
    </row>
    <row r="1121" spans="2:2">
      <c r="B1121" s="741"/>
    </row>
    <row r="1122" spans="2:2">
      <c r="B1122" s="741"/>
    </row>
    <row r="1123" spans="2:2">
      <c r="B1123" s="741"/>
    </row>
    <row r="1124" spans="2:2">
      <c r="B1124" s="741"/>
    </row>
    <row r="1125" spans="2:2">
      <c r="B1125" s="741"/>
    </row>
    <row r="1126" spans="2:2">
      <c r="B1126" s="741"/>
    </row>
    <row r="1127" spans="2:2">
      <c r="B1127" s="741"/>
    </row>
    <row r="1128" spans="2:2">
      <c r="B1128" s="741"/>
    </row>
    <row r="1129" spans="2:2">
      <c r="B1129" s="741"/>
    </row>
    <row r="1130" spans="2:2">
      <c r="B1130" s="741"/>
    </row>
    <row r="1131" spans="2:2">
      <c r="B1131" s="741"/>
    </row>
    <row r="1132" spans="2:2">
      <c r="B1132" s="741"/>
    </row>
    <row r="1133" spans="2:2">
      <c r="B1133" s="741"/>
    </row>
    <row r="1134" spans="2:2">
      <c r="B1134" s="741"/>
    </row>
    <row r="1135" spans="2:2">
      <c r="B1135" s="741"/>
    </row>
    <row r="1136" spans="2:2">
      <c r="B1136" s="741"/>
    </row>
    <row r="1137" spans="2:2">
      <c r="B1137" s="741"/>
    </row>
    <row r="1138" spans="2:2">
      <c r="B1138" s="741"/>
    </row>
    <row r="1139" spans="2:2">
      <c r="B1139" s="741"/>
    </row>
    <row r="1140" spans="2:2">
      <c r="B1140" s="741"/>
    </row>
    <row r="1141" spans="2:2">
      <c r="B1141" s="741"/>
    </row>
    <row r="1142" spans="2:2">
      <c r="B1142" s="741"/>
    </row>
    <row r="1143" spans="2:2">
      <c r="B1143" s="741"/>
    </row>
    <row r="1144" spans="2:2">
      <c r="B1144" s="741"/>
    </row>
    <row r="1145" spans="2:2">
      <c r="B1145" s="741"/>
    </row>
    <row r="1146" spans="2:2">
      <c r="B1146" s="741"/>
    </row>
    <row r="1147" spans="2:2">
      <c r="B1147" s="741"/>
    </row>
    <row r="1148" spans="2:2">
      <c r="B1148" s="741"/>
    </row>
    <row r="1149" spans="2:2">
      <c r="B1149" s="741"/>
    </row>
    <row r="1150" spans="2:2">
      <c r="B1150" s="741"/>
    </row>
    <row r="1151" spans="2:2">
      <c r="B1151" s="741"/>
    </row>
    <row r="1152" spans="2:2">
      <c r="B1152" s="741"/>
    </row>
    <row r="1153" spans="2:2">
      <c r="B1153" s="741"/>
    </row>
    <row r="1154" spans="2:2">
      <c r="B1154" s="741"/>
    </row>
    <row r="1155" spans="2:2">
      <c r="B1155" s="741"/>
    </row>
    <row r="1156" spans="2:2">
      <c r="B1156" s="741"/>
    </row>
    <row r="1157" spans="2:2">
      <c r="B1157" s="741"/>
    </row>
    <row r="1158" spans="2:2">
      <c r="B1158" s="741"/>
    </row>
    <row r="1159" spans="2:2">
      <c r="B1159" s="741"/>
    </row>
    <row r="1160" spans="2:2">
      <c r="B1160" s="741"/>
    </row>
    <row r="1161" spans="2:2">
      <c r="B1161" s="741"/>
    </row>
    <row r="1162" spans="2:2">
      <c r="B1162" s="741"/>
    </row>
    <row r="1163" spans="2:2">
      <c r="B1163" s="741"/>
    </row>
    <row r="1164" spans="2:2">
      <c r="B1164" s="741"/>
    </row>
    <row r="1165" spans="2:2">
      <c r="B1165" s="741"/>
    </row>
    <row r="1166" spans="2:2">
      <c r="B1166" s="741"/>
    </row>
    <row r="1167" spans="2:2">
      <c r="B1167" s="741"/>
    </row>
    <row r="1168" spans="2:2">
      <c r="B1168" s="741"/>
    </row>
    <row r="1169" spans="2:2">
      <c r="B1169" s="741"/>
    </row>
    <row r="1170" spans="2:2">
      <c r="B1170" s="741"/>
    </row>
    <row r="1171" spans="2:2">
      <c r="B1171" s="741"/>
    </row>
    <row r="1172" spans="2:2">
      <c r="B1172" s="741"/>
    </row>
    <row r="1173" spans="2:2">
      <c r="B1173" s="741"/>
    </row>
    <row r="1174" spans="2:2">
      <c r="B1174" s="741"/>
    </row>
    <row r="1175" spans="2:2">
      <c r="B1175" s="741"/>
    </row>
    <row r="1176" spans="2:2">
      <c r="B1176" s="741"/>
    </row>
    <row r="1177" spans="2:2">
      <c r="B1177" s="741"/>
    </row>
    <row r="1178" spans="2:2">
      <c r="B1178" s="741"/>
    </row>
    <row r="1179" spans="2:2">
      <c r="B1179" s="741"/>
    </row>
    <row r="1180" spans="2:2">
      <c r="B1180" s="741"/>
    </row>
    <row r="1181" spans="2:2">
      <c r="B1181" s="741"/>
    </row>
    <row r="1182" spans="2:2">
      <c r="B1182" s="741"/>
    </row>
    <row r="1183" spans="2:2">
      <c r="B1183" s="741"/>
    </row>
    <row r="1184" spans="2:2">
      <c r="B1184" s="741"/>
    </row>
    <row r="1185" spans="2:2">
      <c r="B1185" s="741"/>
    </row>
    <row r="1186" spans="2:2">
      <c r="B1186" s="741"/>
    </row>
    <row r="1187" spans="2:2">
      <c r="B1187" s="741"/>
    </row>
    <row r="1188" spans="2:2">
      <c r="B1188" s="741"/>
    </row>
    <row r="1189" spans="2:2">
      <c r="B1189" s="741"/>
    </row>
    <row r="1190" spans="2:2">
      <c r="B1190" s="741"/>
    </row>
    <row r="1191" spans="2:2">
      <c r="B1191" s="741"/>
    </row>
    <row r="1192" spans="2:2">
      <c r="B1192" s="741"/>
    </row>
    <row r="1193" spans="2:2">
      <c r="B1193" s="741"/>
    </row>
    <row r="1194" spans="2:2">
      <c r="B1194" s="741"/>
    </row>
    <row r="1195" spans="2:2">
      <c r="B1195" s="741"/>
    </row>
    <row r="1196" spans="2:2">
      <c r="B1196" s="741"/>
    </row>
    <row r="1197" spans="2:2">
      <c r="B1197" s="741"/>
    </row>
    <row r="1198" spans="2:2">
      <c r="B1198" s="741"/>
    </row>
    <row r="1199" spans="2:2">
      <c r="B1199" s="741"/>
    </row>
    <row r="1200" spans="2:2">
      <c r="B1200" s="741"/>
    </row>
    <row r="1201" spans="2:2">
      <c r="B1201" s="741"/>
    </row>
    <row r="1202" spans="2:2">
      <c r="B1202" s="741"/>
    </row>
    <row r="1203" spans="2:2">
      <c r="B1203" s="741"/>
    </row>
    <row r="1204" spans="2:2">
      <c r="B1204" s="741"/>
    </row>
    <row r="1205" spans="2:2">
      <c r="B1205" s="741"/>
    </row>
    <row r="1206" spans="2:2">
      <c r="B1206" s="741"/>
    </row>
    <row r="1207" spans="2:2">
      <c r="B1207" s="741"/>
    </row>
    <row r="1208" spans="2:2">
      <c r="B1208" s="741"/>
    </row>
    <row r="1209" spans="2:2">
      <c r="B1209" s="741"/>
    </row>
    <row r="1210" spans="2:2">
      <c r="B1210" s="741"/>
    </row>
    <row r="1211" spans="2:2">
      <c r="B1211" s="741"/>
    </row>
    <row r="1212" spans="2:2">
      <c r="B1212" s="741"/>
    </row>
    <row r="1213" spans="2:2">
      <c r="B1213" s="741"/>
    </row>
    <row r="1214" spans="2:2">
      <c r="B1214" s="741"/>
    </row>
    <row r="1215" spans="2:2">
      <c r="B1215" s="741"/>
    </row>
    <row r="1216" spans="2:2">
      <c r="B1216" s="741"/>
    </row>
    <row r="1217" spans="2:2">
      <c r="B1217" s="741"/>
    </row>
    <row r="1218" spans="2:2">
      <c r="B1218" s="741"/>
    </row>
    <row r="1219" spans="2:2">
      <c r="B1219" s="741"/>
    </row>
    <row r="1220" spans="2:2">
      <c r="B1220" s="741"/>
    </row>
    <row r="1221" spans="2:2">
      <c r="B1221" s="741"/>
    </row>
    <row r="1222" spans="2:2">
      <c r="B1222" s="741"/>
    </row>
    <row r="1223" spans="2:2">
      <c r="B1223" s="741"/>
    </row>
    <row r="1224" spans="2:2">
      <c r="B1224" s="741"/>
    </row>
    <row r="1225" spans="2:2">
      <c r="B1225" s="741"/>
    </row>
    <row r="1226" spans="2:2">
      <c r="B1226" s="741"/>
    </row>
    <row r="1227" spans="2:2">
      <c r="B1227" s="741"/>
    </row>
    <row r="1228" spans="2:2">
      <c r="B1228" s="741"/>
    </row>
    <row r="1229" spans="2:2">
      <c r="B1229" s="741"/>
    </row>
    <row r="1230" spans="2:2">
      <c r="B1230" s="741"/>
    </row>
    <row r="1231" spans="2:2">
      <c r="B1231" s="741"/>
    </row>
    <row r="1232" spans="2:2">
      <c r="B1232" s="741"/>
    </row>
    <row r="1233" spans="2:2">
      <c r="B1233" s="741"/>
    </row>
    <row r="1234" spans="2:2">
      <c r="B1234" s="741"/>
    </row>
    <row r="1235" spans="2:2">
      <c r="B1235" s="741"/>
    </row>
    <row r="1236" spans="2:2">
      <c r="B1236" s="741"/>
    </row>
    <row r="1237" spans="2:2">
      <c r="B1237" s="741"/>
    </row>
    <row r="1238" spans="2:2">
      <c r="B1238" s="741"/>
    </row>
    <row r="1239" spans="2:2">
      <c r="B1239" s="741"/>
    </row>
    <row r="1240" spans="2:2">
      <c r="B1240" s="741"/>
    </row>
    <row r="1241" spans="2:2">
      <c r="B1241" s="741"/>
    </row>
    <row r="1242" spans="2:2">
      <c r="B1242" s="741"/>
    </row>
    <row r="1243" spans="2:2">
      <c r="B1243" s="741"/>
    </row>
    <row r="1244" spans="2:2">
      <c r="B1244" s="741"/>
    </row>
    <row r="1245" spans="2:2">
      <c r="B1245" s="741"/>
    </row>
    <row r="1246" spans="2:2">
      <c r="B1246" s="741"/>
    </row>
    <row r="1247" spans="2:2">
      <c r="B1247" s="741"/>
    </row>
    <row r="1248" spans="2:2">
      <c r="B1248" s="741"/>
    </row>
    <row r="1249" spans="2:2">
      <c r="B1249" s="741"/>
    </row>
    <row r="1250" spans="2:2">
      <c r="B1250" s="741"/>
    </row>
    <row r="1251" spans="2:2">
      <c r="B1251" s="741"/>
    </row>
    <row r="1252" spans="2:2">
      <c r="B1252" s="741"/>
    </row>
    <row r="1253" spans="2:2">
      <c r="B1253" s="741"/>
    </row>
    <row r="1254" spans="2:2">
      <c r="B1254" s="741"/>
    </row>
    <row r="1255" spans="2:2">
      <c r="B1255" s="741"/>
    </row>
    <row r="1256" spans="2:2">
      <c r="B1256" s="741"/>
    </row>
    <row r="1257" spans="2:2">
      <c r="B1257" s="741"/>
    </row>
    <row r="1258" spans="2:2">
      <c r="B1258" s="741"/>
    </row>
    <row r="1259" spans="2:2">
      <c r="B1259" s="741"/>
    </row>
    <row r="1260" spans="2:2">
      <c r="B1260" s="741"/>
    </row>
    <row r="1261" spans="2:2">
      <c r="B1261" s="741"/>
    </row>
    <row r="1262" spans="2:2">
      <c r="B1262" s="741"/>
    </row>
    <row r="1263" spans="2:2">
      <c r="B1263" s="741"/>
    </row>
    <row r="1264" spans="2:2">
      <c r="B1264" s="741"/>
    </row>
    <row r="1265" spans="2:2">
      <c r="B1265" s="741"/>
    </row>
    <row r="1266" spans="2:2">
      <c r="B1266" s="741"/>
    </row>
    <row r="1267" spans="2:2">
      <c r="B1267" s="741"/>
    </row>
    <row r="1268" spans="2:2">
      <c r="B1268" s="741"/>
    </row>
    <row r="1269" spans="2:2">
      <c r="B1269" s="741"/>
    </row>
    <row r="1270" spans="2:2">
      <c r="B1270" s="741"/>
    </row>
    <row r="1271" spans="2:2">
      <c r="B1271" s="741"/>
    </row>
    <row r="1272" spans="2:2">
      <c r="B1272" s="741"/>
    </row>
    <row r="1273" spans="2:2">
      <c r="B1273" s="741"/>
    </row>
    <row r="1274" spans="2:2">
      <c r="B1274" s="741"/>
    </row>
    <row r="1275" spans="2:2">
      <c r="B1275" s="741"/>
    </row>
    <row r="1276" spans="2:2">
      <c r="B1276" s="741"/>
    </row>
    <row r="1277" spans="2:2">
      <c r="B1277" s="741"/>
    </row>
    <row r="1278" spans="2:2">
      <c r="B1278" s="741"/>
    </row>
    <row r="1279" spans="2:2">
      <c r="B1279" s="741"/>
    </row>
    <row r="1280" spans="2:2">
      <c r="B1280" s="741"/>
    </row>
    <row r="1281" spans="2:2">
      <c r="B1281" s="741"/>
    </row>
    <row r="1282" spans="2:2">
      <c r="B1282" s="741"/>
    </row>
    <row r="1283" spans="2:2">
      <c r="B1283" s="741"/>
    </row>
    <row r="1284" spans="2:2">
      <c r="B1284" s="741"/>
    </row>
    <row r="1285" spans="2:2">
      <c r="B1285" s="741"/>
    </row>
    <row r="1286" spans="2:2">
      <c r="B1286" s="741"/>
    </row>
    <row r="1287" spans="2:2">
      <c r="B1287" s="741"/>
    </row>
    <row r="1288" spans="2:2">
      <c r="B1288" s="741"/>
    </row>
    <row r="1289" spans="2:2">
      <c r="B1289" s="741"/>
    </row>
    <row r="1290" spans="2:2">
      <c r="B1290" s="741"/>
    </row>
    <row r="1291" spans="2:2">
      <c r="B1291" s="741"/>
    </row>
    <row r="1292" spans="2:2">
      <c r="B1292" s="741"/>
    </row>
    <row r="1293" spans="2:2">
      <c r="B1293" s="741"/>
    </row>
    <row r="1294" spans="2:2">
      <c r="B1294" s="741"/>
    </row>
    <row r="1295" spans="2:2">
      <c r="B1295" s="741"/>
    </row>
    <row r="1296" spans="2:2">
      <c r="B1296" s="741"/>
    </row>
    <row r="1297" spans="2:2">
      <c r="B1297" s="741"/>
    </row>
    <row r="1298" spans="2:2">
      <c r="B1298" s="741"/>
    </row>
    <row r="1299" spans="2:2">
      <c r="B1299" s="741"/>
    </row>
    <row r="1300" spans="2:2">
      <c r="B1300" s="741"/>
    </row>
    <row r="1301" spans="2:2">
      <c r="B1301" s="741"/>
    </row>
    <row r="1302" spans="2:2">
      <c r="B1302" s="741"/>
    </row>
    <row r="1303" spans="2:2">
      <c r="B1303" s="741"/>
    </row>
    <row r="1304" spans="2:2">
      <c r="B1304" s="741"/>
    </row>
    <row r="1305" spans="2:2">
      <c r="B1305" s="741"/>
    </row>
    <row r="1306" spans="2:2">
      <c r="B1306" s="741"/>
    </row>
    <row r="1307" spans="2:2">
      <c r="B1307" s="741"/>
    </row>
    <row r="1308" spans="2:2">
      <c r="B1308" s="741"/>
    </row>
    <row r="1309" spans="2:2">
      <c r="B1309" s="741"/>
    </row>
    <row r="1310" spans="2:2">
      <c r="B1310" s="741"/>
    </row>
    <row r="1311" spans="2:2">
      <c r="B1311" s="741"/>
    </row>
    <row r="1312" spans="2:2">
      <c r="B1312" s="741"/>
    </row>
    <row r="1313" spans="2:2">
      <c r="B1313" s="741"/>
    </row>
    <row r="1314" spans="2:2">
      <c r="B1314" s="741"/>
    </row>
    <row r="1315" spans="2:2">
      <c r="B1315" s="741"/>
    </row>
    <row r="1316" spans="2:2">
      <c r="B1316" s="741"/>
    </row>
    <row r="1317" spans="2:2">
      <c r="B1317" s="741"/>
    </row>
    <row r="1318" spans="2:2">
      <c r="B1318" s="741"/>
    </row>
    <row r="1319" spans="2:2">
      <c r="B1319" s="741"/>
    </row>
    <row r="1320" spans="2:2">
      <c r="B1320" s="741"/>
    </row>
    <row r="1321" spans="2:2">
      <c r="B1321" s="741"/>
    </row>
    <row r="1322" spans="2:2">
      <c r="B1322" s="741"/>
    </row>
    <row r="1323" spans="2:2">
      <c r="B1323" s="741"/>
    </row>
    <row r="1324" spans="2:2">
      <c r="B1324" s="741"/>
    </row>
    <row r="1325" spans="2:2">
      <c r="B1325" s="741"/>
    </row>
    <row r="1326" spans="2:2">
      <c r="B1326" s="741"/>
    </row>
    <row r="1327" spans="2:2">
      <c r="B1327" s="741"/>
    </row>
    <row r="1328" spans="2:2">
      <c r="B1328" s="741"/>
    </row>
    <row r="1329" spans="2:2">
      <c r="B1329" s="741"/>
    </row>
    <row r="1330" spans="2:2">
      <c r="B1330" s="741"/>
    </row>
    <row r="1331" spans="2:2">
      <c r="B1331" s="741"/>
    </row>
    <row r="1332" spans="2:2">
      <c r="B1332" s="741"/>
    </row>
    <row r="1333" spans="2:2">
      <c r="B1333" s="741"/>
    </row>
    <row r="1334" spans="2:2">
      <c r="B1334" s="741"/>
    </row>
    <row r="1335" spans="2:2">
      <c r="B1335" s="741"/>
    </row>
    <row r="1336" spans="2:2">
      <c r="B1336" s="741"/>
    </row>
    <row r="1337" spans="2:2">
      <c r="B1337" s="741"/>
    </row>
    <row r="1338" spans="2:2">
      <c r="B1338" s="741"/>
    </row>
    <row r="1339" spans="2:2">
      <c r="B1339" s="741"/>
    </row>
    <row r="1340" spans="2:2">
      <c r="B1340" s="741"/>
    </row>
    <row r="1341" spans="2:2">
      <c r="B1341" s="741"/>
    </row>
    <row r="1342" spans="2:2">
      <c r="B1342" s="741"/>
    </row>
    <row r="1343" spans="2:2">
      <c r="B1343" s="741"/>
    </row>
    <row r="1344" spans="2:2">
      <c r="B1344" s="741"/>
    </row>
    <row r="1345" spans="2:2">
      <c r="B1345" s="741"/>
    </row>
    <row r="1346" spans="2:2">
      <c r="B1346" s="741"/>
    </row>
    <row r="1347" spans="2:2">
      <c r="B1347" s="741"/>
    </row>
    <row r="1348" spans="2:2">
      <c r="B1348" s="741"/>
    </row>
    <row r="1349" spans="2:2">
      <c r="B1349" s="741"/>
    </row>
    <row r="1350" spans="2:2">
      <c r="B1350" s="741"/>
    </row>
    <row r="1351" spans="2:2">
      <c r="B1351" s="741"/>
    </row>
    <row r="1352" spans="2:2">
      <c r="B1352" s="741"/>
    </row>
    <row r="1353" spans="2:2">
      <c r="B1353" s="741"/>
    </row>
    <row r="1354" spans="2:2">
      <c r="B1354" s="741"/>
    </row>
    <row r="1355" spans="2:2">
      <c r="B1355" s="741"/>
    </row>
    <row r="1356" spans="2:2">
      <c r="B1356" s="741"/>
    </row>
    <row r="1357" spans="2:2">
      <c r="B1357" s="741"/>
    </row>
    <row r="1358" spans="2:2">
      <c r="B1358" s="741"/>
    </row>
    <row r="1359" spans="2:2">
      <c r="B1359" s="741"/>
    </row>
    <row r="1360" spans="2:2">
      <c r="B1360" s="741"/>
    </row>
    <row r="1361" spans="2:2">
      <c r="B1361" s="741"/>
    </row>
    <row r="1362" spans="2:2">
      <c r="B1362" s="741"/>
    </row>
    <row r="1363" spans="2:2">
      <c r="B1363" s="741"/>
    </row>
    <row r="1364" spans="2:2">
      <c r="B1364" s="741"/>
    </row>
    <row r="1365" spans="2:2">
      <c r="B1365" s="741"/>
    </row>
    <row r="1366" spans="2:2">
      <c r="B1366" s="741"/>
    </row>
    <row r="1367" spans="2:2">
      <c r="B1367" s="741"/>
    </row>
    <row r="1368" spans="2:2">
      <c r="B1368" s="741"/>
    </row>
    <row r="1369" spans="2:2">
      <c r="B1369" s="741"/>
    </row>
    <row r="1370" spans="2:2">
      <c r="B1370" s="741"/>
    </row>
    <row r="1371" spans="2:2">
      <c r="B1371" s="741"/>
    </row>
    <row r="1372" spans="2:2">
      <c r="B1372" s="741"/>
    </row>
    <row r="1373" spans="2:2">
      <c r="B1373" s="741"/>
    </row>
    <row r="1374" spans="2:2">
      <c r="B1374" s="741"/>
    </row>
    <row r="1375" spans="2:2">
      <c r="B1375" s="741"/>
    </row>
    <row r="1376" spans="2:2">
      <c r="B1376" s="741"/>
    </row>
    <row r="1377" spans="2:2">
      <c r="B1377" s="741"/>
    </row>
    <row r="1378" spans="2:2">
      <c r="B1378" s="741"/>
    </row>
    <row r="1379" spans="2:2">
      <c r="B1379" s="741"/>
    </row>
    <row r="1380" spans="2:2">
      <c r="B1380" s="741"/>
    </row>
    <row r="1381" spans="2:2">
      <c r="B1381" s="741"/>
    </row>
    <row r="1382" spans="2:2">
      <c r="B1382" s="741"/>
    </row>
    <row r="1383" spans="2:2">
      <c r="B1383" s="741"/>
    </row>
    <row r="1384" spans="2:2">
      <c r="B1384" s="741"/>
    </row>
    <row r="1385" spans="2:2">
      <c r="B1385" s="741"/>
    </row>
    <row r="1386" spans="2:2">
      <c r="B1386" s="741"/>
    </row>
    <row r="1387" spans="2:2">
      <c r="B1387" s="741"/>
    </row>
    <row r="1388" spans="2:2">
      <c r="B1388" s="741"/>
    </row>
    <row r="1389" spans="2:2">
      <c r="B1389" s="741"/>
    </row>
    <row r="1390" spans="2:2">
      <c r="B1390" s="741"/>
    </row>
    <row r="1391" spans="2:2">
      <c r="B1391" s="741"/>
    </row>
    <row r="1392" spans="2:2">
      <c r="B1392" s="741"/>
    </row>
    <row r="1393" spans="2:2">
      <c r="B1393" s="741"/>
    </row>
    <row r="1394" spans="2:2">
      <c r="B1394" s="741"/>
    </row>
    <row r="1395" spans="2:2">
      <c r="B1395" s="741"/>
    </row>
    <row r="1396" spans="2:2">
      <c r="B1396" s="741"/>
    </row>
    <row r="1397" spans="2:2">
      <c r="B1397" s="741"/>
    </row>
    <row r="1398" spans="2:2">
      <c r="B1398" s="741"/>
    </row>
    <row r="1399" spans="2:2">
      <c r="B1399" s="741"/>
    </row>
    <row r="1400" spans="2:2">
      <c r="B1400" s="741"/>
    </row>
    <row r="1401" spans="2:2">
      <c r="B1401" s="741"/>
    </row>
    <row r="1402" spans="2:2">
      <c r="B1402" s="741"/>
    </row>
    <row r="1403" spans="2:2">
      <c r="B1403" s="741"/>
    </row>
    <row r="1404" spans="2:2">
      <c r="B1404" s="741"/>
    </row>
    <row r="1405" spans="2:2">
      <c r="B1405" s="741"/>
    </row>
    <row r="1406" spans="2:2">
      <c r="B1406" s="741"/>
    </row>
    <row r="1407" spans="2:2">
      <c r="B1407" s="741"/>
    </row>
    <row r="1408" spans="2:2">
      <c r="B1408" s="741"/>
    </row>
    <row r="1409" spans="2:2">
      <c r="B1409" s="741"/>
    </row>
    <row r="1410" spans="2:2">
      <c r="B1410" s="741"/>
    </row>
    <row r="1411" spans="2:2">
      <c r="B1411" s="741"/>
    </row>
    <row r="1412" spans="2:2">
      <c r="B1412" s="741"/>
    </row>
    <row r="1413" spans="2:2">
      <c r="B1413" s="741"/>
    </row>
    <row r="1414" spans="2:2">
      <c r="B1414" s="741"/>
    </row>
    <row r="1415" spans="2:2">
      <c r="B1415" s="741"/>
    </row>
    <row r="1416" spans="2:2">
      <c r="B1416" s="741"/>
    </row>
    <row r="1417" spans="2:2">
      <c r="B1417" s="741"/>
    </row>
    <row r="1418" spans="2:2">
      <c r="B1418" s="741"/>
    </row>
    <row r="1419" spans="2:2">
      <c r="B1419" s="741"/>
    </row>
    <row r="1420" spans="2:2">
      <c r="B1420" s="741"/>
    </row>
    <row r="1421" spans="2:2">
      <c r="B1421" s="741"/>
    </row>
    <row r="1422" spans="2:2">
      <c r="B1422" s="741"/>
    </row>
    <row r="1423" spans="2:2">
      <c r="B1423" s="741"/>
    </row>
    <row r="1424" spans="2:2">
      <c r="B1424" s="741"/>
    </row>
    <row r="1425" spans="2:2">
      <c r="B1425" s="741"/>
    </row>
    <row r="1426" spans="2:2">
      <c r="B1426" s="741"/>
    </row>
    <row r="1427" spans="2:2">
      <c r="B1427" s="741"/>
    </row>
    <row r="1428" spans="2:2">
      <c r="B1428" s="741"/>
    </row>
    <row r="1429" spans="2:2">
      <c r="B1429" s="741"/>
    </row>
    <row r="1430" spans="2:2">
      <c r="B1430" s="741"/>
    </row>
    <row r="1431" spans="2:2">
      <c r="B1431" s="741"/>
    </row>
    <row r="1432" spans="2:2">
      <c r="B1432" s="741"/>
    </row>
    <row r="1433" spans="2:2">
      <c r="B1433" s="741"/>
    </row>
    <row r="1434" spans="2:2">
      <c r="B1434" s="741"/>
    </row>
    <row r="1435" spans="2:2">
      <c r="B1435" s="741"/>
    </row>
    <row r="1436" spans="2:2">
      <c r="B1436" s="741"/>
    </row>
    <row r="1437" spans="2:2">
      <c r="B1437" s="741"/>
    </row>
    <row r="1438" spans="2:2">
      <c r="B1438" s="741"/>
    </row>
    <row r="1439" spans="2:2">
      <c r="B1439" s="741"/>
    </row>
    <row r="1440" spans="2:2">
      <c r="B1440" s="741"/>
    </row>
    <row r="1441" spans="2:2">
      <c r="B1441" s="741"/>
    </row>
    <row r="1442" spans="2:2">
      <c r="B1442" s="741"/>
    </row>
    <row r="1443" spans="2:2">
      <c r="B1443" s="741"/>
    </row>
    <row r="1444" spans="2:2">
      <c r="B1444" s="741"/>
    </row>
    <row r="1445" spans="2:2">
      <c r="B1445" s="741"/>
    </row>
    <row r="1446" spans="2:2">
      <c r="B1446" s="741"/>
    </row>
    <row r="1447" spans="2:2">
      <c r="B1447" s="741"/>
    </row>
  </sheetData>
  <phoneticPr fontId="25" type="noConversion"/>
  <conditionalFormatting sqref="J20:J499">
    <cfRule type="cellIs" dxfId="1" priority="1" stopIfTrue="1" operator="greaterThan">
      <formula>20.9</formula>
    </cfRule>
  </conditionalFormatting>
  <printOptions horizontalCentered="1"/>
  <pageMargins left="0.19685039370078741" right="0.19685039370078741" top="0.62992125984251968" bottom="0.39370078740157483" header="0.31496062992125984" footer="0.19685039370078741"/>
  <pageSetup paperSize="9" orientation="portrait" horizontalDpi="4294967295" verticalDpi="96"/>
  <headerFooter alignWithMargins="0">
    <oddHeader>&amp;C&amp;"MS Sans Serif,Bold"&amp;16&amp;A</oddHeader>
    <oddFooter>&amp;L&amp;8&amp;Z&amp;F&amp;R&amp;8&amp;D &amp;T</oddFooter>
  </headerFooter>
  <legacy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tabColor indexed="42"/>
  </sheetPr>
  <dimension ref="A1:R1446"/>
  <sheetViews>
    <sheetView workbookViewId="0">
      <pane xSplit="1" ySplit="17" topLeftCell="B18" activePane="bottomRight" state="frozen"/>
      <selection pane="topRight" activeCell="B1" sqref="B1"/>
      <selection pane="bottomLeft" activeCell="A18" sqref="A18"/>
      <selection pane="bottomRight" activeCell="L17" sqref="L17"/>
    </sheetView>
  </sheetViews>
  <sheetFormatPr baseColWidth="10" defaultColWidth="8.7109375" defaultRowHeight="13" x14ac:dyDescent="0"/>
  <cols>
    <col min="1" max="1" width="8.7109375" style="1059"/>
    <col min="2" max="4" width="9" style="1055" customWidth="1"/>
    <col min="5" max="12" width="8.7109375" style="1055"/>
    <col min="13" max="13" width="10.140625" style="1055" bestFit="1" customWidth="1"/>
    <col min="14" max="18" width="8.7109375" style="1055"/>
  </cols>
  <sheetData>
    <row r="1" spans="1:18">
      <c r="A1" s="1054"/>
      <c r="B1" s="966" t="s">
        <v>1069</v>
      </c>
      <c r="C1" s="966"/>
      <c r="D1" s="966"/>
      <c r="E1" s="159"/>
      <c r="F1" s="159"/>
      <c r="G1" s="159"/>
      <c r="H1" s="159"/>
      <c r="I1" s="159"/>
      <c r="J1" s="159"/>
      <c r="K1" s="159"/>
      <c r="L1" s="159"/>
      <c r="M1" s="159"/>
      <c r="N1" s="159"/>
      <c r="O1" s="159"/>
      <c r="P1" s="159"/>
      <c r="Q1" s="159"/>
      <c r="R1" s="159"/>
    </row>
    <row r="2" spans="1:18">
      <c r="A2" s="968" t="s">
        <v>1407</v>
      </c>
      <c r="B2" s="334"/>
      <c r="C2" s="334"/>
      <c r="D2" s="334"/>
      <c r="E2" s="159"/>
      <c r="F2" s="159"/>
      <c r="G2" s="159"/>
      <c r="H2" s="159"/>
      <c r="I2" s="159"/>
      <c r="J2" s="159"/>
      <c r="K2" s="159"/>
      <c r="L2" s="159"/>
      <c r="M2" s="159"/>
      <c r="N2" s="159"/>
      <c r="O2" s="159"/>
      <c r="P2" s="159"/>
      <c r="Q2" s="159"/>
      <c r="R2" s="159"/>
    </row>
    <row r="3" spans="1:18">
      <c r="A3" s="1054"/>
      <c r="B3" s="334"/>
      <c r="C3" s="334"/>
      <c r="D3" s="334"/>
      <c r="E3" s="159"/>
      <c r="F3" s="159"/>
      <c r="G3" s="159"/>
      <c r="H3" s="159"/>
      <c r="I3" s="159"/>
      <c r="J3" s="159"/>
      <c r="K3" s="159"/>
      <c r="L3" s="159"/>
      <c r="M3" s="159"/>
      <c r="N3" s="159"/>
      <c r="O3" s="159"/>
      <c r="P3" s="159"/>
      <c r="Q3" s="159"/>
      <c r="R3" s="159"/>
    </row>
    <row r="4" spans="1:18">
      <c r="A4" s="1054"/>
      <c r="B4" s="334"/>
      <c r="C4" s="334"/>
      <c r="D4" s="334"/>
      <c r="E4" s="159"/>
      <c r="F4" s="159"/>
      <c r="G4" s="159"/>
      <c r="H4" s="159"/>
      <c r="I4" s="159"/>
      <c r="J4" s="159"/>
      <c r="K4" s="159"/>
      <c r="L4" s="159"/>
      <c r="M4" s="159"/>
      <c r="N4" s="159"/>
      <c r="O4" s="159"/>
      <c r="P4" s="159"/>
      <c r="Q4" s="159"/>
      <c r="R4" s="159"/>
    </row>
    <row r="5" spans="1:18">
      <c r="A5" s="1054"/>
      <c r="B5" s="334"/>
      <c r="C5" s="334"/>
      <c r="D5" s="334"/>
      <c r="E5" s="159"/>
      <c r="F5" s="159"/>
      <c r="G5" s="159"/>
      <c r="H5" s="159"/>
      <c r="I5" s="159"/>
      <c r="J5" s="159"/>
      <c r="K5" s="159"/>
      <c r="L5" s="159"/>
      <c r="M5" s="159"/>
      <c r="N5" s="159"/>
      <c r="O5" s="159"/>
      <c r="P5" s="159"/>
      <c r="Q5" s="159"/>
      <c r="R5" s="159"/>
    </row>
    <row r="6" spans="1:18">
      <c r="A6" s="1054"/>
      <c r="B6" s="334"/>
      <c r="C6" s="334"/>
      <c r="D6" s="334"/>
    </row>
    <row r="7" spans="1:18">
      <c r="A7" s="1054"/>
      <c r="B7" s="334"/>
      <c r="C7" s="334"/>
      <c r="D7" s="334"/>
      <c r="E7" s="159"/>
      <c r="F7" s="159"/>
      <c r="G7" s="159"/>
      <c r="H7" s="159"/>
      <c r="I7" s="159"/>
      <c r="J7" s="159"/>
      <c r="K7" s="159"/>
      <c r="L7" s="159"/>
      <c r="M7" s="159"/>
      <c r="N7" s="159"/>
      <c r="O7" s="159"/>
      <c r="P7" s="159"/>
      <c r="Q7" s="159"/>
      <c r="R7" s="159"/>
    </row>
    <row r="8" spans="1:18">
      <c r="A8" s="1054"/>
      <c r="B8" s="334"/>
      <c r="C8" s="334"/>
      <c r="D8" s="334"/>
      <c r="E8" s="159"/>
      <c r="F8" s="159"/>
      <c r="G8" s="159"/>
      <c r="H8" s="159"/>
      <c r="I8" s="159"/>
      <c r="J8" s="159"/>
      <c r="K8" s="159"/>
      <c r="L8" s="159"/>
      <c r="M8" s="159"/>
      <c r="N8" s="159"/>
      <c r="O8" s="159"/>
      <c r="P8" s="159"/>
      <c r="Q8" s="159"/>
      <c r="R8" s="159"/>
    </row>
    <row r="9" spans="1:18">
      <c r="A9" s="1054"/>
      <c r="B9" s="334"/>
      <c r="C9" s="334"/>
      <c r="D9" s="334"/>
      <c r="E9" s="159"/>
      <c r="F9" s="159"/>
      <c r="G9" s="159"/>
      <c r="H9" s="159"/>
      <c r="I9" s="159"/>
      <c r="J9" s="159"/>
      <c r="K9" s="159"/>
      <c r="L9" s="159"/>
      <c r="M9" s="159"/>
      <c r="N9" s="159"/>
      <c r="O9" s="159"/>
      <c r="P9" s="159"/>
      <c r="Q9" s="159"/>
      <c r="R9" s="159"/>
    </row>
    <row r="10" spans="1:18">
      <c r="A10" s="1054"/>
      <c r="B10" s="334"/>
      <c r="C10" s="334"/>
      <c r="D10" s="334"/>
      <c r="E10" s="159"/>
      <c r="F10" s="159"/>
      <c r="G10" s="159"/>
      <c r="H10" s="159"/>
      <c r="I10" s="159"/>
      <c r="J10" s="159"/>
      <c r="K10" s="159"/>
      <c r="L10" s="159"/>
      <c r="M10" s="159"/>
      <c r="N10" s="159"/>
      <c r="O10" s="159"/>
      <c r="P10" s="159"/>
      <c r="Q10" s="159"/>
      <c r="R10" s="159"/>
    </row>
    <row r="11" spans="1:18">
      <c r="A11" s="1054"/>
      <c r="B11" s="334"/>
      <c r="C11" s="334"/>
      <c r="D11" s="334"/>
      <c r="E11" s="159"/>
      <c r="F11" s="159"/>
      <c r="G11" s="159"/>
      <c r="H11" s="159"/>
      <c r="I11" s="159"/>
      <c r="J11" s="159"/>
      <c r="K11" s="159"/>
      <c r="L11" s="159"/>
      <c r="M11" s="159"/>
      <c r="N11" s="159"/>
      <c r="O11" s="159"/>
      <c r="P11" s="159"/>
      <c r="Q11" s="159"/>
      <c r="R11" s="159"/>
    </row>
    <row r="12" spans="1:18">
      <c r="A12" s="1054"/>
      <c r="B12" s="334"/>
      <c r="C12" s="334"/>
      <c r="D12" s="334"/>
      <c r="E12" s="159"/>
      <c r="F12" s="159"/>
      <c r="G12" s="159"/>
      <c r="H12" s="159"/>
      <c r="I12" s="159"/>
      <c r="J12" s="159"/>
      <c r="K12" s="159"/>
      <c r="L12" s="159"/>
      <c r="M12" s="159"/>
      <c r="N12" s="159"/>
      <c r="O12" s="159"/>
      <c r="P12" s="159"/>
      <c r="Q12" s="159"/>
      <c r="R12" s="159"/>
    </row>
    <row r="13" spans="1:18">
      <c r="A13" s="1054"/>
      <c r="B13" s="1056"/>
      <c r="C13" s="1056"/>
      <c r="D13" s="1056"/>
      <c r="E13" s="159"/>
      <c r="F13" s="159"/>
      <c r="G13" s="159"/>
      <c r="H13" s="159"/>
      <c r="I13" s="159"/>
      <c r="J13" s="159"/>
      <c r="K13" s="159"/>
      <c r="L13" s="159"/>
      <c r="M13" s="159"/>
      <c r="N13" s="159"/>
      <c r="O13" s="159"/>
      <c r="P13" s="159"/>
      <c r="Q13" s="159"/>
      <c r="R13" s="159"/>
    </row>
    <row r="14" spans="1:18">
      <c r="A14" s="1054"/>
      <c r="B14" s="1056"/>
      <c r="C14" s="1056"/>
      <c r="D14" s="1056"/>
      <c r="E14" s="159"/>
      <c r="F14" s="159"/>
      <c r="G14" s="159"/>
      <c r="H14" s="159"/>
      <c r="I14" s="159"/>
      <c r="J14" s="159"/>
      <c r="K14" s="159"/>
      <c r="L14" s="159"/>
      <c r="M14" s="965"/>
      <c r="N14" s="159"/>
      <c r="O14" s="159"/>
      <c r="P14" s="159"/>
      <c r="Q14" s="159"/>
      <c r="R14" s="159"/>
    </row>
    <row r="15" spans="1:18">
      <c r="A15" s="1054"/>
      <c r="B15" s="1056"/>
      <c r="C15" s="1056"/>
      <c r="D15" s="1056"/>
      <c r="E15" s="159"/>
      <c r="F15" s="159"/>
      <c r="G15" s="159"/>
      <c r="H15" s="159"/>
      <c r="I15" s="159"/>
      <c r="J15" s="159"/>
      <c r="K15" s="159"/>
      <c r="L15" s="159"/>
      <c r="M15" s="48"/>
      <c r="N15" s="48"/>
      <c r="O15" s="48"/>
      <c r="P15" s="48"/>
      <c r="Q15" s="48"/>
      <c r="R15" s="48"/>
    </row>
    <row r="16" spans="1:18">
      <c r="A16" s="1054"/>
      <c r="B16" s="1056"/>
      <c r="C16" s="1056"/>
      <c r="D16" s="1056"/>
      <c r="E16" s="159"/>
      <c r="F16" s="159"/>
      <c r="G16" s="334"/>
      <c r="H16" s="334"/>
      <c r="I16" s="334"/>
      <c r="J16" s="334"/>
      <c r="K16" s="334"/>
      <c r="L16" s="334"/>
      <c r="M16" s="334"/>
      <c r="N16" s="334"/>
      <c r="O16" s="334"/>
      <c r="P16" s="334"/>
      <c r="Q16" s="334"/>
      <c r="R16" s="334"/>
    </row>
    <row r="17" spans="1:18">
      <c r="A17" s="1054"/>
      <c r="B17" s="969" t="s">
        <v>1236</v>
      </c>
      <c r="C17" s="969" t="s">
        <v>1196</v>
      </c>
      <c r="D17" s="969" t="s">
        <v>1423</v>
      </c>
      <c r="E17" s="969" t="s">
        <v>1072</v>
      </c>
      <c r="F17" s="969" t="s">
        <v>1073</v>
      </c>
      <c r="G17" s="969" t="s">
        <v>241</v>
      </c>
      <c r="H17" s="969" t="s">
        <v>1074</v>
      </c>
      <c r="I17" s="969" t="s">
        <v>240</v>
      </c>
      <c r="J17" s="969" t="s">
        <v>1075</v>
      </c>
      <c r="K17" s="969" t="s">
        <v>237</v>
      </c>
      <c r="L17" s="969"/>
      <c r="M17" s="334"/>
      <c r="N17" s="334"/>
      <c r="O17" s="334"/>
      <c r="P17" s="334"/>
      <c r="Q17" s="334"/>
      <c r="R17" s="334"/>
    </row>
    <row r="18" spans="1:18" s="1053" customFormat="1">
      <c r="A18" s="968" t="s">
        <v>1407</v>
      </c>
      <c r="B18" s="1060"/>
      <c r="C18" s="1060"/>
      <c r="D18" s="1060"/>
      <c r="E18" s="1052"/>
      <c r="F18" s="1052"/>
      <c r="G18" s="1052"/>
      <c r="H18" s="1052"/>
      <c r="I18" s="1052"/>
      <c r="J18" s="1052"/>
      <c r="K18" s="1052"/>
      <c r="L18" s="1052"/>
      <c r="M18" s="159"/>
      <c r="N18" s="159"/>
      <c r="O18" s="159"/>
      <c r="P18" s="159"/>
      <c r="Q18" s="159"/>
      <c r="R18" s="159"/>
    </row>
    <row r="19" spans="1:18">
      <c r="A19" s="965">
        <f>Gases!A26</f>
        <v>1</v>
      </c>
      <c r="B19" s="1061"/>
      <c r="C19" s="1061"/>
      <c r="D19" s="1061"/>
      <c r="E19" s="973"/>
      <c r="F19" s="973"/>
      <c r="G19" s="973"/>
      <c r="H19" s="973"/>
      <c r="I19" s="973"/>
      <c r="J19" s="976"/>
      <c r="K19" s="977"/>
      <c r="L19" s="978"/>
      <c r="M19" s="1057"/>
      <c r="N19" s="159"/>
      <c r="O19" s="159"/>
      <c r="P19" s="159"/>
      <c r="Q19" s="159"/>
      <c r="R19" s="159"/>
    </row>
    <row r="20" spans="1:18">
      <c r="A20" s="965">
        <f>Gases!A27</f>
        <v>2</v>
      </c>
      <c r="B20" s="1061"/>
      <c r="C20" s="1061"/>
      <c r="D20" s="1061"/>
      <c r="E20" s="973"/>
      <c r="F20" s="973"/>
      <c r="G20" s="973"/>
      <c r="H20" s="973"/>
      <c r="I20" s="973"/>
      <c r="J20" s="976"/>
      <c r="K20" s="977"/>
      <c r="L20" s="978"/>
      <c r="M20" s="159"/>
      <c r="N20" s="159"/>
      <c r="O20" s="159"/>
      <c r="P20" s="159"/>
      <c r="Q20" s="159"/>
      <c r="R20" s="159"/>
    </row>
    <row r="21" spans="1:18">
      <c r="A21" s="965">
        <f>Gases!A28</f>
        <v>3</v>
      </c>
      <c r="B21" s="1061"/>
      <c r="C21" s="1061"/>
      <c r="D21" s="1061"/>
      <c r="E21" s="973"/>
      <c r="F21" s="973"/>
      <c r="G21" s="973"/>
      <c r="H21" s="973"/>
      <c r="I21" s="973"/>
      <c r="J21" s="976"/>
      <c r="K21" s="977"/>
      <c r="L21" s="978"/>
      <c r="M21" s="159"/>
      <c r="N21" s="159"/>
      <c r="O21" s="159"/>
      <c r="P21" s="159"/>
      <c r="Q21" s="159"/>
      <c r="R21" s="159"/>
    </row>
    <row r="22" spans="1:18">
      <c r="A22" s="965">
        <f>Gases!A29</f>
        <v>4</v>
      </c>
      <c r="B22" s="1061"/>
      <c r="C22" s="1061"/>
      <c r="D22" s="1061"/>
      <c r="E22" s="973"/>
      <c r="F22" s="973"/>
      <c r="G22" s="973"/>
      <c r="H22" s="973"/>
      <c r="I22" s="973"/>
      <c r="J22" s="976"/>
      <c r="K22" s="977"/>
      <c r="L22" s="978"/>
      <c r="M22" s="159"/>
      <c r="N22" s="159"/>
      <c r="O22" s="159"/>
      <c r="P22" s="159"/>
      <c r="Q22" s="159"/>
      <c r="R22" s="159"/>
    </row>
    <row r="23" spans="1:18">
      <c r="A23" s="965">
        <f>Gases!A30</f>
        <v>5</v>
      </c>
      <c r="B23" s="1061"/>
      <c r="C23" s="1061"/>
      <c r="D23" s="1061"/>
      <c r="E23" s="973"/>
      <c r="F23" s="973"/>
      <c r="G23" s="973"/>
      <c r="H23" s="973"/>
      <c r="I23" s="973"/>
      <c r="J23" s="976"/>
      <c r="K23" s="977"/>
      <c r="L23" s="978"/>
      <c r="M23" s="159"/>
      <c r="N23" s="159"/>
      <c r="O23" s="159"/>
      <c r="P23" s="159"/>
      <c r="Q23" s="159"/>
      <c r="R23" s="159"/>
    </row>
    <row r="24" spans="1:18">
      <c r="A24" s="965">
        <f>Gases!A31</f>
        <v>6</v>
      </c>
      <c r="B24" s="1061"/>
      <c r="C24" s="1061"/>
      <c r="D24" s="1061"/>
      <c r="E24" s="973"/>
      <c r="F24" s="973"/>
      <c r="G24" s="973"/>
      <c r="H24" s="973"/>
      <c r="I24" s="973"/>
      <c r="J24" s="976"/>
      <c r="K24" s="977"/>
      <c r="L24" s="978"/>
      <c r="M24" s="159"/>
      <c r="N24" s="159"/>
      <c r="O24" s="159"/>
      <c r="P24" s="159"/>
      <c r="Q24" s="159"/>
      <c r="R24" s="159"/>
    </row>
    <row r="25" spans="1:18">
      <c r="A25" s="965">
        <f>Gases!A32</f>
        <v>7</v>
      </c>
      <c r="B25" s="1061"/>
      <c r="C25" s="1061"/>
      <c r="D25" s="1061"/>
      <c r="E25" s="973"/>
      <c r="F25" s="973"/>
      <c r="G25" s="973"/>
      <c r="H25" s="973"/>
      <c r="I25" s="973"/>
      <c r="J25" s="976"/>
      <c r="K25" s="977"/>
      <c r="L25" s="978"/>
      <c r="M25" s="159"/>
      <c r="N25" s="159"/>
      <c r="O25" s="159"/>
      <c r="P25" s="159"/>
      <c r="Q25" s="159"/>
      <c r="R25" s="159"/>
    </row>
    <row r="26" spans="1:18">
      <c r="A26" s="965">
        <f>Gases!A33</f>
        <v>8</v>
      </c>
      <c r="B26" s="1061"/>
      <c r="C26" s="1061"/>
      <c r="D26" s="1061"/>
      <c r="E26" s="973"/>
      <c r="F26" s="973"/>
      <c r="G26" s="973"/>
      <c r="H26" s="973"/>
      <c r="I26" s="973"/>
      <c r="J26" s="976"/>
      <c r="K26" s="977"/>
      <c r="L26" s="978"/>
      <c r="M26" s="159"/>
      <c r="N26" s="159"/>
      <c r="O26" s="159"/>
      <c r="P26" s="159"/>
      <c r="Q26" s="159"/>
      <c r="R26" s="159"/>
    </row>
    <row r="27" spans="1:18">
      <c r="A27" s="965">
        <f>Gases!A34</f>
        <v>9</v>
      </c>
      <c r="B27" s="1061"/>
      <c r="C27" s="1061"/>
      <c r="D27" s="1061"/>
      <c r="E27" s="973"/>
      <c r="F27" s="973"/>
      <c r="G27" s="973"/>
      <c r="H27" s="973"/>
      <c r="I27" s="973"/>
      <c r="J27" s="976"/>
      <c r="K27" s="977"/>
      <c r="L27" s="978"/>
      <c r="M27" s="159"/>
      <c r="N27" s="159"/>
      <c r="O27" s="159"/>
      <c r="P27" s="159"/>
      <c r="Q27" s="159"/>
      <c r="R27" s="159"/>
    </row>
    <row r="28" spans="1:18">
      <c r="A28" s="965">
        <f>Gases!A35</f>
        <v>10</v>
      </c>
      <c r="B28" s="1061"/>
      <c r="C28" s="1061"/>
      <c r="D28" s="1061"/>
      <c r="E28" s="973"/>
      <c r="F28" s="973"/>
      <c r="G28" s="973"/>
      <c r="H28" s="973"/>
      <c r="I28" s="973"/>
      <c r="J28" s="976"/>
      <c r="K28" s="977"/>
      <c r="L28" s="978"/>
      <c r="M28" s="159"/>
      <c r="N28" s="159"/>
      <c r="O28" s="159"/>
      <c r="P28" s="159"/>
      <c r="Q28" s="159"/>
      <c r="R28" s="159"/>
    </row>
    <row r="29" spans="1:18">
      <c r="A29" s="965">
        <f>Gases!A36</f>
        <v>11</v>
      </c>
      <c r="B29" s="1061"/>
      <c r="C29" s="1061"/>
      <c r="D29" s="1061"/>
      <c r="E29" s="973"/>
      <c r="F29" s="973"/>
      <c r="G29" s="973"/>
      <c r="H29" s="973"/>
      <c r="I29" s="973"/>
      <c r="J29" s="976"/>
      <c r="K29" s="977"/>
      <c r="L29" s="978"/>
      <c r="M29" s="159"/>
      <c r="N29" s="159"/>
      <c r="O29" s="159"/>
      <c r="P29" s="159"/>
      <c r="Q29" s="159"/>
      <c r="R29" s="159"/>
    </row>
    <row r="30" spans="1:18">
      <c r="A30" s="965">
        <f>Gases!A37</f>
        <v>12</v>
      </c>
      <c r="B30" s="1061"/>
      <c r="C30" s="1061"/>
      <c r="D30" s="1061"/>
      <c r="E30" s="973"/>
      <c r="F30" s="973"/>
      <c r="G30" s="973"/>
      <c r="H30" s="973"/>
      <c r="I30" s="973"/>
      <c r="J30" s="976"/>
      <c r="K30" s="977"/>
      <c r="L30" s="978"/>
      <c r="M30" s="159"/>
      <c r="N30" s="159"/>
      <c r="O30" s="159"/>
      <c r="P30" s="159"/>
      <c r="Q30" s="159"/>
      <c r="R30" s="159"/>
    </row>
    <row r="31" spans="1:18">
      <c r="A31" s="965">
        <f>Gases!A38</f>
        <v>13</v>
      </c>
      <c r="B31" s="1061"/>
      <c r="C31" s="1061"/>
      <c r="D31" s="1061"/>
      <c r="E31" s="973"/>
      <c r="F31" s="973"/>
      <c r="G31" s="973"/>
      <c r="H31" s="973"/>
      <c r="I31" s="973"/>
      <c r="J31" s="976"/>
      <c r="K31" s="977"/>
      <c r="L31" s="978"/>
      <c r="M31" s="159"/>
      <c r="N31" s="159"/>
      <c r="O31" s="159"/>
      <c r="P31" s="159"/>
      <c r="Q31" s="159"/>
      <c r="R31" s="159"/>
    </row>
    <row r="32" spans="1:18">
      <c r="A32" s="965">
        <f>Gases!A39</f>
        <v>14</v>
      </c>
      <c r="B32" s="1061"/>
      <c r="C32" s="1061"/>
      <c r="D32" s="1061"/>
      <c r="E32" s="973"/>
      <c r="F32" s="973"/>
      <c r="G32" s="973"/>
      <c r="H32" s="973"/>
      <c r="I32" s="973"/>
      <c r="J32" s="976"/>
      <c r="K32" s="977"/>
      <c r="L32" s="978"/>
      <c r="M32" s="159"/>
      <c r="N32" s="159"/>
      <c r="O32" s="159"/>
      <c r="P32" s="159"/>
      <c r="Q32" s="159"/>
      <c r="R32" s="159"/>
    </row>
    <row r="33" spans="1:18">
      <c r="A33" s="965">
        <f>Gases!A40</f>
        <v>15</v>
      </c>
      <c r="B33" s="1061"/>
      <c r="C33" s="1061"/>
      <c r="D33" s="1061"/>
      <c r="E33" s="973"/>
      <c r="F33" s="973"/>
      <c r="G33" s="973"/>
      <c r="H33" s="973"/>
      <c r="I33" s="973"/>
      <c r="J33" s="976"/>
      <c r="K33" s="977"/>
      <c r="L33" s="978"/>
      <c r="M33" s="159"/>
      <c r="N33" s="159"/>
      <c r="O33" s="159"/>
      <c r="P33" s="159"/>
      <c r="Q33" s="159"/>
      <c r="R33" s="159"/>
    </row>
    <row r="34" spans="1:18">
      <c r="A34" s="965">
        <f>Gases!A41</f>
        <v>16</v>
      </c>
      <c r="B34" s="1061"/>
      <c r="C34" s="1061"/>
      <c r="D34" s="1061"/>
      <c r="E34" s="973"/>
      <c r="F34" s="973"/>
      <c r="G34" s="973"/>
      <c r="H34" s="973"/>
      <c r="I34" s="973"/>
      <c r="J34" s="976"/>
      <c r="K34" s="977"/>
      <c r="L34" s="978"/>
      <c r="M34" s="159"/>
      <c r="N34" s="159"/>
      <c r="O34" s="159"/>
      <c r="P34" s="159"/>
      <c r="Q34" s="159"/>
      <c r="R34" s="159"/>
    </row>
    <row r="35" spans="1:18">
      <c r="A35" s="965">
        <f>Gases!A42</f>
        <v>17</v>
      </c>
      <c r="B35" s="1061"/>
      <c r="C35" s="1061"/>
      <c r="D35" s="1061"/>
      <c r="E35" s="973"/>
      <c r="F35" s="973"/>
      <c r="G35" s="973"/>
      <c r="H35" s="973"/>
      <c r="I35" s="973"/>
      <c r="J35" s="976"/>
      <c r="K35" s="977"/>
      <c r="L35" s="978"/>
      <c r="M35" s="159"/>
      <c r="N35" s="159"/>
      <c r="O35" s="159"/>
      <c r="P35" s="159"/>
      <c r="Q35" s="159"/>
      <c r="R35" s="159"/>
    </row>
    <row r="36" spans="1:18">
      <c r="A36" s="965">
        <f>Gases!A43</f>
        <v>18</v>
      </c>
      <c r="B36" s="1061"/>
      <c r="C36" s="1061"/>
      <c r="D36" s="1061"/>
      <c r="E36" s="973"/>
      <c r="F36" s="973"/>
      <c r="G36" s="973"/>
      <c r="H36" s="973"/>
      <c r="I36" s="973"/>
      <c r="J36" s="976"/>
      <c r="K36" s="977"/>
      <c r="L36" s="978"/>
      <c r="M36" s="159"/>
      <c r="N36" s="159"/>
      <c r="O36" s="159"/>
      <c r="P36" s="159"/>
      <c r="Q36" s="159"/>
      <c r="R36" s="159"/>
    </row>
    <row r="37" spans="1:18">
      <c r="A37" s="965">
        <f>Gases!A44</f>
        <v>19</v>
      </c>
      <c r="B37" s="1061"/>
      <c r="C37" s="1061"/>
      <c r="D37" s="1061"/>
      <c r="E37" s="973"/>
      <c r="F37" s="973"/>
      <c r="G37" s="973"/>
      <c r="H37" s="973"/>
      <c r="I37" s="973"/>
      <c r="J37" s="976"/>
      <c r="K37" s="977"/>
      <c r="L37" s="978"/>
      <c r="M37" s="159"/>
      <c r="N37" s="159"/>
      <c r="O37" s="159"/>
      <c r="P37" s="159"/>
      <c r="Q37" s="159"/>
      <c r="R37" s="159"/>
    </row>
    <row r="38" spans="1:18">
      <c r="A38" s="965">
        <f>Gases!A45</f>
        <v>20</v>
      </c>
      <c r="B38" s="1061"/>
      <c r="C38" s="1061"/>
      <c r="D38" s="1061"/>
      <c r="E38" s="973"/>
      <c r="F38" s="973"/>
      <c r="G38" s="973"/>
      <c r="H38" s="973"/>
      <c r="I38" s="973"/>
      <c r="J38" s="976"/>
      <c r="K38" s="977"/>
      <c r="L38" s="978"/>
      <c r="M38" s="159"/>
      <c r="N38" s="159"/>
      <c r="O38" s="159"/>
      <c r="P38" s="159"/>
      <c r="Q38" s="159"/>
      <c r="R38" s="159"/>
    </row>
    <row r="39" spans="1:18">
      <c r="A39" s="965">
        <f>Gases!A46</f>
        <v>21</v>
      </c>
      <c r="B39" s="1061"/>
      <c r="C39" s="1061"/>
      <c r="D39" s="1061"/>
      <c r="E39" s="973"/>
      <c r="F39" s="973"/>
      <c r="G39" s="973"/>
      <c r="H39" s="973"/>
      <c r="I39" s="973"/>
      <c r="J39" s="976"/>
      <c r="K39" s="977"/>
      <c r="L39" s="978"/>
      <c r="M39" s="159"/>
      <c r="N39" s="159"/>
      <c r="O39" s="159"/>
      <c r="P39" s="159"/>
      <c r="Q39" s="159"/>
      <c r="R39" s="159"/>
    </row>
    <row r="40" spans="1:18">
      <c r="A40" s="965">
        <f>Gases!A47</f>
        <v>22</v>
      </c>
      <c r="B40" s="1061"/>
      <c r="C40" s="1061"/>
      <c r="D40" s="1061"/>
      <c r="E40" s="973"/>
      <c r="F40" s="973"/>
      <c r="G40" s="973"/>
      <c r="H40" s="973"/>
      <c r="I40" s="973"/>
      <c r="J40" s="976"/>
      <c r="K40" s="977"/>
      <c r="L40" s="978"/>
      <c r="M40" s="159"/>
      <c r="N40" s="159"/>
      <c r="O40" s="159"/>
      <c r="P40" s="159"/>
      <c r="Q40" s="159"/>
      <c r="R40" s="159"/>
    </row>
    <row r="41" spans="1:18">
      <c r="A41" s="965">
        <f>Gases!A48</f>
        <v>23</v>
      </c>
      <c r="B41" s="1061"/>
      <c r="C41" s="1061"/>
      <c r="D41" s="1061"/>
      <c r="E41" s="973"/>
      <c r="F41" s="973"/>
      <c r="G41" s="973"/>
      <c r="H41" s="973"/>
      <c r="I41" s="973"/>
      <c r="J41" s="976"/>
      <c r="K41" s="977"/>
      <c r="L41" s="978"/>
      <c r="M41" s="159"/>
      <c r="N41" s="159"/>
      <c r="O41" s="159"/>
      <c r="P41" s="159"/>
      <c r="Q41" s="159"/>
      <c r="R41" s="159"/>
    </row>
    <row r="42" spans="1:18">
      <c r="A42" s="965">
        <f>Gases!A49</f>
        <v>24</v>
      </c>
      <c r="B42" s="1061"/>
      <c r="C42" s="1061"/>
      <c r="D42" s="1061"/>
      <c r="E42" s="973"/>
      <c r="F42" s="973"/>
      <c r="G42" s="973"/>
      <c r="H42" s="973"/>
      <c r="I42" s="973"/>
      <c r="J42" s="976"/>
      <c r="K42" s="977"/>
      <c r="L42" s="978"/>
      <c r="M42" s="159"/>
      <c r="N42" s="159"/>
      <c r="O42" s="159"/>
      <c r="P42" s="159"/>
      <c r="Q42" s="159"/>
      <c r="R42" s="159"/>
    </row>
    <row r="43" spans="1:18">
      <c r="A43" s="965">
        <f>Gases!A50</f>
        <v>25</v>
      </c>
      <c r="B43" s="1061"/>
      <c r="C43" s="1061"/>
      <c r="D43" s="1061"/>
      <c r="E43" s="973"/>
      <c r="F43" s="973"/>
      <c r="G43" s="973"/>
      <c r="H43" s="973"/>
      <c r="I43" s="973"/>
      <c r="J43" s="976"/>
      <c r="K43" s="977"/>
      <c r="L43" s="978"/>
      <c r="M43" s="159"/>
      <c r="N43" s="159"/>
      <c r="O43" s="159"/>
      <c r="P43" s="159"/>
      <c r="Q43" s="159"/>
      <c r="R43" s="159"/>
    </row>
    <row r="44" spans="1:18">
      <c r="A44" s="965">
        <f>Gases!A51</f>
        <v>26</v>
      </c>
      <c r="B44" s="1061"/>
      <c r="C44" s="1061"/>
      <c r="D44" s="1061"/>
      <c r="E44" s="973"/>
      <c r="F44" s="973"/>
      <c r="G44" s="973"/>
      <c r="H44" s="973"/>
      <c r="I44" s="973"/>
      <c r="J44" s="976"/>
      <c r="K44" s="977"/>
      <c r="L44" s="978"/>
      <c r="M44" s="159"/>
      <c r="N44" s="159"/>
      <c r="O44" s="159"/>
      <c r="P44" s="159"/>
      <c r="Q44" s="159"/>
      <c r="R44" s="159"/>
    </row>
    <row r="45" spans="1:18">
      <c r="A45" s="965">
        <f>Gases!A52</f>
        <v>27</v>
      </c>
      <c r="B45" s="1061"/>
      <c r="C45" s="1061"/>
      <c r="D45" s="1061"/>
      <c r="E45" s="973"/>
      <c r="F45" s="973"/>
      <c r="G45" s="973"/>
      <c r="H45" s="973"/>
      <c r="I45" s="973"/>
      <c r="J45" s="976"/>
      <c r="K45" s="977"/>
      <c r="L45" s="978"/>
      <c r="M45" s="159"/>
      <c r="N45" s="159"/>
      <c r="O45" s="159"/>
      <c r="P45" s="159"/>
      <c r="Q45" s="159"/>
      <c r="R45" s="159"/>
    </row>
    <row r="46" spans="1:18">
      <c r="A46" s="965">
        <f>Gases!A53</f>
        <v>28</v>
      </c>
      <c r="B46" s="1061"/>
      <c r="C46" s="1061"/>
      <c r="D46" s="1061"/>
      <c r="E46" s="973"/>
      <c r="F46" s="973"/>
      <c r="G46" s="973"/>
      <c r="H46" s="973"/>
      <c r="I46" s="973"/>
      <c r="J46" s="976"/>
      <c r="K46" s="977"/>
      <c r="L46" s="978"/>
      <c r="M46" s="159"/>
      <c r="N46" s="159"/>
      <c r="O46" s="159"/>
      <c r="P46" s="159"/>
      <c r="Q46" s="159"/>
      <c r="R46" s="159"/>
    </row>
    <row r="47" spans="1:18">
      <c r="A47" s="965">
        <f>Gases!A54</f>
        <v>29</v>
      </c>
      <c r="B47" s="1061"/>
      <c r="C47" s="1061"/>
      <c r="D47" s="1061"/>
      <c r="E47" s="973"/>
      <c r="F47" s="973"/>
      <c r="G47" s="973"/>
      <c r="H47" s="973"/>
      <c r="I47" s="973"/>
      <c r="J47" s="976"/>
      <c r="K47" s="977"/>
      <c r="L47" s="978"/>
      <c r="M47" s="159"/>
      <c r="N47" s="159"/>
      <c r="O47" s="159"/>
      <c r="P47" s="159"/>
      <c r="Q47" s="159"/>
      <c r="R47" s="159"/>
    </row>
    <row r="48" spans="1:18">
      <c r="A48" s="965">
        <f>Gases!A55</f>
        <v>30</v>
      </c>
      <c r="B48" s="1061"/>
      <c r="C48" s="1061"/>
      <c r="D48" s="1061"/>
      <c r="E48" s="973"/>
      <c r="F48" s="973"/>
      <c r="G48" s="973"/>
      <c r="H48" s="973"/>
      <c r="I48" s="973"/>
      <c r="J48" s="976"/>
      <c r="K48" s="977"/>
      <c r="L48" s="978"/>
      <c r="M48" s="159"/>
      <c r="N48" s="159"/>
      <c r="O48" s="159"/>
      <c r="P48" s="159"/>
      <c r="Q48" s="159"/>
      <c r="R48" s="159"/>
    </row>
    <row r="49" spans="1:18">
      <c r="A49" s="965">
        <f>Gases!A56</f>
        <v>31</v>
      </c>
      <c r="B49" s="1061"/>
      <c r="C49" s="1061"/>
      <c r="D49" s="1061"/>
      <c r="E49" s="973"/>
      <c r="F49" s="973"/>
      <c r="G49" s="973"/>
      <c r="H49" s="973"/>
      <c r="I49" s="973"/>
      <c r="J49" s="976"/>
      <c r="K49" s="977"/>
      <c r="L49" s="978"/>
      <c r="M49" s="159"/>
      <c r="N49" s="159"/>
      <c r="O49" s="159"/>
      <c r="P49" s="159"/>
      <c r="Q49" s="159"/>
      <c r="R49" s="159"/>
    </row>
    <row r="50" spans="1:18">
      <c r="A50" s="965">
        <f>Gases!A57</f>
        <v>32</v>
      </c>
      <c r="B50" s="1061"/>
      <c r="C50" s="1061"/>
      <c r="D50" s="1061"/>
      <c r="E50" s="973"/>
      <c r="F50" s="973"/>
      <c r="G50" s="973"/>
      <c r="H50" s="973"/>
      <c r="I50" s="973"/>
      <c r="J50" s="976"/>
      <c r="K50" s="977"/>
      <c r="L50" s="978"/>
      <c r="M50" s="159"/>
      <c r="N50" s="159"/>
      <c r="O50" s="159"/>
      <c r="P50" s="159"/>
      <c r="Q50" s="159"/>
      <c r="R50" s="159"/>
    </row>
    <row r="51" spans="1:18">
      <c r="A51" s="965">
        <f>Gases!A58</f>
        <v>33</v>
      </c>
      <c r="B51" s="1061"/>
      <c r="C51" s="1061"/>
      <c r="D51" s="1061"/>
      <c r="E51" s="973"/>
      <c r="F51" s="973"/>
      <c r="G51" s="973"/>
      <c r="H51" s="973"/>
      <c r="I51" s="973"/>
      <c r="J51" s="976"/>
      <c r="K51" s="977"/>
      <c r="L51" s="978"/>
      <c r="M51" s="159"/>
      <c r="N51" s="159"/>
      <c r="O51" s="159"/>
      <c r="P51" s="159"/>
      <c r="Q51" s="159"/>
      <c r="R51" s="159"/>
    </row>
    <row r="52" spans="1:18">
      <c r="A52" s="965">
        <f>Gases!A59</f>
        <v>34</v>
      </c>
      <c r="B52" s="1061"/>
      <c r="C52" s="1061"/>
      <c r="D52" s="1061"/>
      <c r="E52" s="973"/>
      <c r="F52" s="973"/>
      <c r="G52" s="973"/>
      <c r="H52" s="973"/>
      <c r="I52" s="973"/>
      <c r="J52" s="976"/>
      <c r="K52" s="977"/>
      <c r="L52" s="978"/>
      <c r="M52" s="159"/>
      <c r="N52" s="159"/>
      <c r="O52" s="159"/>
      <c r="P52" s="159"/>
      <c r="Q52" s="159"/>
      <c r="R52" s="159"/>
    </row>
    <row r="53" spans="1:18">
      <c r="A53" s="965">
        <f>Gases!A60</f>
        <v>35</v>
      </c>
      <c r="B53" s="1061"/>
      <c r="C53" s="1061"/>
      <c r="D53" s="1061"/>
      <c r="E53" s="973"/>
      <c r="F53" s="973"/>
      <c r="G53" s="973"/>
      <c r="H53" s="973"/>
      <c r="I53" s="973"/>
      <c r="J53" s="976"/>
      <c r="K53" s="977"/>
      <c r="L53" s="978"/>
      <c r="M53" s="159"/>
      <c r="N53" s="159"/>
      <c r="O53" s="159"/>
      <c r="P53" s="159"/>
      <c r="Q53" s="159"/>
      <c r="R53" s="159"/>
    </row>
    <row r="54" spans="1:18">
      <c r="A54" s="965">
        <f>Gases!A61</f>
        <v>36</v>
      </c>
      <c r="B54" s="1061"/>
      <c r="C54" s="1061"/>
      <c r="D54" s="1061"/>
      <c r="E54" s="973"/>
      <c r="F54" s="973"/>
      <c r="G54" s="973"/>
      <c r="H54" s="973"/>
      <c r="I54" s="973"/>
      <c r="J54" s="976"/>
      <c r="K54" s="977"/>
      <c r="L54" s="978"/>
      <c r="M54" s="159"/>
      <c r="N54" s="159"/>
      <c r="O54" s="159"/>
      <c r="P54" s="159"/>
      <c r="Q54" s="159"/>
      <c r="R54" s="159"/>
    </row>
    <row r="55" spans="1:18">
      <c r="A55" s="965">
        <f>Gases!A62</f>
        <v>37</v>
      </c>
      <c r="B55" s="1061"/>
      <c r="C55" s="1061"/>
      <c r="D55" s="1061"/>
      <c r="E55" s="973"/>
      <c r="F55" s="973"/>
      <c r="G55" s="973"/>
      <c r="H55" s="973"/>
      <c r="I55" s="973"/>
      <c r="J55" s="976"/>
      <c r="K55" s="977"/>
      <c r="L55" s="978"/>
      <c r="M55" s="159"/>
      <c r="N55" s="159"/>
      <c r="O55" s="159"/>
      <c r="P55" s="159"/>
      <c r="Q55" s="159"/>
      <c r="R55" s="159"/>
    </row>
    <row r="56" spans="1:18">
      <c r="A56" s="965">
        <f>Gases!A63</f>
        <v>38</v>
      </c>
      <c r="B56" s="1061"/>
      <c r="C56" s="1061"/>
      <c r="D56" s="1061"/>
      <c r="E56" s="973"/>
      <c r="F56" s="973"/>
      <c r="G56" s="973"/>
      <c r="H56" s="973"/>
      <c r="I56" s="973"/>
      <c r="J56" s="976"/>
      <c r="K56" s="977"/>
      <c r="L56" s="978"/>
      <c r="M56" s="159"/>
      <c r="N56" s="159"/>
      <c r="O56" s="159"/>
      <c r="P56" s="159"/>
      <c r="Q56" s="159"/>
      <c r="R56" s="159"/>
    </row>
    <row r="57" spans="1:18">
      <c r="A57" s="965">
        <f>Gases!A64</f>
        <v>39</v>
      </c>
      <c r="B57" s="1061"/>
      <c r="C57" s="1061"/>
      <c r="D57" s="1061"/>
      <c r="E57" s="973"/>
      <c r="F57" s="973"/>
      <c r="G57" s="973"/>
      <c r="H57" s="973"/>
      <c r="I57" s="973"/>
      <c r="J57" s="976"/>
      <c r="K57" s="977"/>
      <c r="L57" s="978"/>
      <c r="M57" s="159"/>
      <c r="N57" s="159"/>
      <c r="O57" s="159"/>
      <c r="P57" s="159"/>
      <c r="Q57" s="159"/>
      <c r="R57" s="159"/>
    </row>
    <row r="58" spans="1:18">
      <c r="A58" s="1058">
        <f>Gases!A65</f>
        <v>40</v>
      </c>
      <c r="B58" s="1061"/>
      <c r="C58" s="1061"/>
      <c r="D58" s="1061"/>
      <c r="E58" s="973"/>
      <c r="F58" s="973"/>
      <c r="G58" s="973"/>
      <c r="H58" s="973"/>
      <c r="I58" s="973"/>
      <c r="J58" s="976"/>
      <c r="K58" s="977"/>
      <c r="L58" s="978"/>
      <c r="M58" s="159"/>
      <c r="N58" s="159"/>
      <c r="O58" s="159"/>
      <c r="P58" s="159"/>
      <c r="Q58" s="159"/>
      <c r="R58" s="159"/>
    </row>
    <row r="59" spans="1:18">
      <c r="A59" s="1058">
        <f>Gases!A66</f>
        <v>41</v>
      </c>
      <c r="B59" s="1061"/>
      <c r="C59" s="1061"/>
      <c r="D59" s="1061"/>
      <c r="E59" s="973"/>
      <c r="F59" s="973"/>
      <c r="G59" s="973"/>
      <c r="H59" s="973"/>
      <c r="I59" s="973"/>
      <c r="J59" s="976"/>
      <c r="K59" s="977"/>
      <c r="L59" s="978"/>
      <c r="M59" s="159"/>
      <c r="N59" s="159"/>
      <c r="O59" s="159"/>
      <c r="P59" s="159"/>
      <c r="Q59" s="159"/>
      <c r="R59" s="159"/>
    </row>
    <row r="60" spans="1:18">
      <c r="A60" s="1058">
        <f>Gases!A67</f>
        <v>42</v>
      </c>
      <c r="B60" s="1061"/>
      <c r="C60" s="1061"/>
      <c r="D60" s="1061"/>
      <c r="E60" s="973"/>
      <c r="F60" s="973"/>
      <c r="G60" s="973"/>
      <c r="H60" s="973"/>
      <c r="I60" s="973"/>
      <c r="J60" s="976"/>
      <c r="K60" s="977"/>
      <c r="L60" s="978"/>
      <c r="M60" s="159"/>
      <c r="N60" s="159"/>
      <c r="O60" s="159"/>
      <c r="P60" s="159"/>
      <c r="Q60" s="159"/>
      <c r="R60" s="159"/>
    </row>
    <row r="61" spans="1:18">
      <c r="A61" s="1058">
        <f>Gases!A68</f>
        <v>43</v>
      </c>
      <c r="B61" s="1061"/>
      <c r="C61" s="1061"/>
      <c r="D61" s="1061"/>
      <c r="E61" s="973"/>
      <c r="F61" s="973"/>
      <c r="G61" s="973"/>
      <c r="H61" s="973"/>
      <c r="I61" s="973"/>
      <c r="J61" s="976"/>
      <c r="K61" s="977"/>
      <c r="L61" s="978"/>
      <c r="M61" s="159"/>
      <c r="N61" s="159"/>
      <c r="O61" s="159"/>
      <c r="P61" s="159"/>
      <c r="Q61" s="159"/>
      <c r="R61" s="159"/>
    </row>
    <row r="62" spans="1:18">
      <c r="A62" s="1058">
        <f>Gases!A69</f>
        <v>44</v>
      </c>
      <c r="B62" s="1061"/>
      <c r="C62" s="1061"/>
      <c r="D62" s="1061"/>
      <c r="E62" s="973"/>
      <c r="F62" s="973"/>
      <c r="G62" s="973"/>
      <c r="H62" s="973"/>
      <c r="I62" s="973"/>
      <c r="J62" s="976"/>
      <c r="K62" s="977"/>
      <c r="L62" s="978"/>
      <c r="M62" s="159"/>
      <c r="N62" s="159"/>
      <c r="O62" s="159"/>
      <c r="P62" s="159"/>
      <c r="Q62" s="159"/>
      <c r="R62" s="159"/>
    </row>
    <row r="63" spans="1:18">
      <c r="A63" s="1058">
        <f>Gases!A70</f>
        <v>45</v>
      </c>
      <c r="B63" s="1061"/>
      <c r="C63" s="1061"/>
      <c r="D63" s="1061"/>
      <c r="E63" s="973"/>
      <c r="F63" s="973"/>
      <c r="G63" s="973"/>
      <c r="H63" s="973"/>
      <c r="I63" s="973"/>
      <c r="J63" s="976"/>
      <c r="K63" s="977"/>
      <c r="L63" s="978"/>
      <c r="M63" s="159"/>
      <c r="N63" s="159"/>
      <c r="O63" s="159"/>
      <c r="P63" s="159"/>
      <c r="Q63" s="159"/>
      <c r="R63" s="159"/>
    </row>
    <row r="64" spans="1:18">
      <c r="A64" s="1058">
        <f>Gases!A71</f>
        <v>46</v>
      </c>
      <c r="B64" s="1061"/>
      <c r="C64" s="1061"/>
      <c r="D64" s="1061"/>
      <c r="E64" s="973"/>
      <c r="F64" s="973"/>
      <c r="G64" s="973"/>
      <c r="H64" s="973"/>
      <c r="I64" s="973"/>
      <c r="J64" s="976"/>
      <c r="K64" s="977"/>
      <c r="L64" s="978"/>
      <c r="M64" s="159"/>
      <c r="N64" s="159"/>
      <c r="O64" s="159"/>
      <c r="P64" s="159"/>
      <c r="Q64" s="159"/>
      <c r="R64" s="159"/>
    </row>
    <row r="65" spans="1:18">
      <c r="A65" s="1058">
        <f>Gases!A72</f>
        <v>47</v>
      </c>
      <c r="B65" s="1061"/>
      <c r="C65" s="1061"/>
      <c r="D65" s="1061"/>
      <c r="E65" s="973"/>
      <c r="F65" s="973"/>
      <c r="G65" s="973"/>
      <c r="H65" s="973"/>
      <c r="I65" s="973"/>
      <c r="J65" s="976"/>
      <c r="K65" s="977"/>
      <c r="L65" s="978"/>
      <c r="M65" s="159"/>
      <c r="N65" s="159"/>
      <c r="O65" s="159"/>
      <c r="P65" s="159"/>
      <c r="Q65" s="159"/>
      <c r="R65" s="159"/>
    </row>
    <row r="66" spans="1:18">
      <c r="A66" s="1058">
        <f>Gases!A73</f>
        <v>48</v>
      </c>
      <c r="B66" s="1061"/>
      <c r="C66" s="1061"/>
      <c r="D66" s="1061"/>
      <c r="E66" s="973"/>
      <c r="F66" s="973"/>
      <c r="G66" s="973"/>
      <c r="H66" s="973"/>
      <c r="I66" s="973"/>
      <c r="J66" s="976"/>
      <c r="K66" s="977"/>
      <c r="L66" s="978"/>
      <c r="M66" s="159"/>
      <c r="N66" s="159"/>
      <c r="O66" s="159"/>
      <c r="P66" s="159"/>
      <c r="Q66" s="159"/>
      <c r="R66" s="159"/>
    </row>
    <row r="67" spans="1:18">
      <c r="A67" s="1058">
        <f>Gases!A74</f>
        <v>49</v>
      </c>
      <c r="B67" s="1061"/>
      <c r="C67" s="1061"/>
      <c r="D67" s="1061"/>
      <c r="E67" s="973"/>
      <c r="F67" s="973"/>
      <c r="G67" s="973"/>
      <c r="H67" s="973"/>
      <c r="I67" s="973"/>
      <c r="J67" s="976"/>
      <c r="K67" s="977"/>
      <c r="L67" s="978"/>
      <c r="M67" s="159"/>
      <c r="N67" s="159"/>
      <c r="O67" s="159"/>
      <c r="P67" s="159"/>
      <c r="Q67" s="159"/>
      <c r="R67" s="159"/>
    </row>
    <row r="68" spans="1:18">
      <c r="A68" s="1058">
        <f>Gases!A75</f>
        <v>50</v>
      </c>
      <c r="B68" s="1061"/>
      <c r="C68" s="1061"/>
      <c r="D68" s="1061"/>
      <c r="E68" s="973"/>
      <c r="F68" s="973"/>
      <c r="G68" s="973"/>
      <c r="H68" s="973"/>
      <c r="I68" s="973"/>
      <c r="J68" s="976"/>
      <c r="K68" s="977"/>
      <c r="L68" s="978"/>
      <c r="M68" s="159"/>
      <c r="N68" s="159"/>
      <c r="O68" s="159"/>
      <c r="P68" s="159"/>
      <c r="Q68" s="159"/>
      <c r="R68" s="159"/>
    </row>
    <row r="69" spans="1:18">
      <c r="A69" s="1058">
        <f>Gases!A76</f>
        <v>51</v>
      </c>
      <c r="B69" s="1061"/>
      <c r="C69" s="1061"/>
      <c r="D69" s="1061"/>
      <c r="E69" s="973"/>
      <c r="F69" s="973"/>
      <c r="G69" s="973"/>
      <c r="H69" s="973"/>
      <c r="I69" s="973"/>
      <c r="J69" s="976"/>
      <c r="K69" s="977"/>
      <c r="L69" s="978"/>
      <c r="M69" s="159"/>
      <c r="N69" s="159"/>
      <c r="O69" s="159"/>
      <c r="P69" s="159"/>
      <c r="Q69" s="159"/>
      <c r="R69" s="159"/>
    </row>
    <row r="70" spans="1:18">
      <c r="A70" s="1058">
        <f>Gases!A77</f>
        <v>52</v>
      </c>
      <c r="B70" s="1061"/>
      <c r="C70" s="1061"/>
      <c r="D70" s="1061"/>
      <c r="E70" s="973"/>
      <c r="F70" s="973"/>
      <c r="G70" s="973"/>
      <c r="H70" s="973"/>
      <c r="I70" s="973"/>
      <c r="J70" s="976"/>
      <c r="K70" s="977"/>
      <c r="L70" s="978"/>
      <c r="M70" s="159"/>
      <c r="N70" s="159"/>
      <c r="O70" s="159"/>
      <c r="P70" s="159"/>
      <c r="Q70" s="159"/>
      <c r="R70" s="159"/>
    </row>
    <row r="71" spans="1:18">
      <c r="A71" s="1058">
        <f>Gases!A78</f>
        <v>53</v>
      </c>
      <c r="B71" s="1061"/>
      <c r="C71" s="1061"/>
      <c r="D71" s="1061"/>
      <c r="E71" s="973"/>
      <c r="F71" s="973"/>
      <c r="G71" s="973"/>
      <c r="H71" s="973"/>
      <c r="I71" s="973"/>
      <c r="J71" s="976"/>
      <c r="K71" s="977"/>
      <c r="L71" s="978"/>
      <c r="M71" s="159"/>
      <c r="N71" s="159"/>
      <c r="O71" s="159"/>
      <c r="P71" s="159"/>
      <c r="Q71" s="159"/>
      <c r="R71" s="159"/>
    </row>
    <row r="72" spans="1:18">
      <c r="A72" s="1058">
        <f>Gases!A79</f>
        <v>54</v>
      </c>
      <c r="B72" s="1061"/>
      <c r="C72" s="1061"/>
      <c r="D72" s="1061"/>
      <c r="E72" s="973"/>
      <c r="F72" s="973"/>
      <c r="G72" s="973"/>
      <c r="H72" s="973"/>
      <c r="I72" s="973"/>
      <c r="J72" s="976"/>
      <c r="K72" s="977"/>
      <c r="L72" s="978"/>
      <c r="M72" s="159"/>
      <c r="N72" s="159"/>
      <c r="O72" s="159"/>
      <c r="P72" s="159"/>
      <c r="Q72" s="159"/>
      <c r="R72" s="159"/>
    </row>
    <row r="73" spans="1:18">
      <c r="A73" s="1058">
        <f>Gases!A80</f>
        <v>55</v>
      </c>
      <c r="B73" s="1061"/>
      <c r="C73" s="1061"/>
      <c r="D73" s="1061"/>
      <c r="E73" s="973"/>
      <c r="F73" s="973"/>
      <c r="G73" s="973"/>
      <c r="H73" s="973"/>
      <c r="I73" s="973"/>
      <c r="J73" s="976"/>
      <c r="K73" s="977"/>
      <c r="L73" s="978"/>
      <c r="M73" s="159"/>
      <c r="N73" s="159"/>
      <c r="O73" s="159"/>
      <c r="P73" s="159"/>
      <c r="Q73" s="159"/>
      <c r="R73" s="159"/>
    </row>
    <row r="74" spans="1:18">
      <c r="A74" s="1058">
        <f>Gases!A81</f>
        <v>56</v>
      </c>
      <c r="B74" s="1061"/>
      <c r="C74" s="1061"/>
      <c r="D74" s="1061"/>
      <c r="E74" s="973"/>
      <c r="F74" s="973"/>
      <c r="G74" s="973"/>
      <c r="H74" s="973"/>
      <c r="I74" s="973"/>
      <c r="J74" s="976"/>
      <c r="K74" s="977"/>
      <c r="L74" s="978"/>
      <c r="M74" s="159"/>
      <c r="N74" s="159"/>
      <c r="O74" s="159"/>
      <c r="P74" s="159"/>
      <c r="Q74" s="159"/>
      <c r="R74" s="159"/>
    </row>
    <row r="75" spans="1:18">
      <c r="A75" s="1058">
        <f>Gases!A82</f>
        <v>57</v>
      </c>
      <c r="B75" s="1061"/>
      <c r="C75" s="1061"/>
      <c r="D75" s="1061"/>
      <c r="E75" s="973"/>
      <c r="F75" s="973"/>
      <c r="G75" s="973"/>
      <c r="H75" s="973"/>
      <c r="I75" s="973"/>
      <c r="J75" s="976"/>
      <c r="K75" s="977"/>
      <c r="L75" s="978"/>
      <c r="M75" s="159"/>
      <c r="N75" s="159"/>
      <c r="O75" s="159"/>
      <c r="P75" s="159"/>
      <c r="Q75" s="159"/>
      <c r="R75" s="159"/>
    </row>
    <row r="76" spans="1:18">
      <c r="A76" s="1058">
        <f>Gases!A83</f>
        <v>58</v>
      </c>
      <c r="B76" s="1061"/>
      <c r="C76" s="1061"/>
      <c r="D76" s="1061"/>
      <c r="E76" s="973"/>
      <c r="F76" s="973"/>
      <c r="G76" s="973"/>
      <c r="H76" s="973"/>
      <c r="I76" s="973"/>
      <c r="J76" s="976"/>
      <c r="K76" s="977"/>
      <c r="L76" s="978"/>
      <c r="M76" s="159"/>
      <c r="N76" s="159"/>
      <c r="O76" s="159"/>
      <c r="P76" s="159"/>
      <c r="Q76" s="159"/>
      <c r="R76" s="159"/>
    </row>
    <row r="77" spans="1:18">
      <c r="A77" s="1058">
        <f>Gases!A84</f>
        <v>59</v>
      </c>
      <c r="B77" s="1061"/>
      <c r="C77" s="1061"/>
      <c r="D77" s="1061"/>
      <c r="E77" s="973"/>
      <c r="F77" s="973"/>
      <c r="G77" s="973"/>
      <c r="H77" s="973"/>
      <c r="I77" s="973"/>
      <c r="J77" s="976"/>
      <c r="K77" s="977"/>
      <c r="L77" s="978"/>
      <c r="M77" s="159"/>
      <c r="N77" s="159"/>
      <c r="O77" s="159"/>
      <c r="P77" s="159"/>
      <c r="Q77" s="159"/>
      <c r="R77" s="159"/>
    </row>
    <row r="78" spans="1:18">
      <c r="A78" s="1058">
        <f>Gases!A85</f>
        <v>60</v>
      </c>
      <c r="B78" s="1061"/>
      <c r="C78" s="1061"/>
      <c r="D78" s="1061"/>
      <c r="E78" s="973"/>
      <c r="F78" s="973"/>
      <c r="G78" s="973"/>
      <c r="H78" s="973"/>
      <c r="I78" s="973"/>
      <c r="J78" s="976"/>
      <c r="K78" s="977"/>
      <c r="L78" s="978"/>
      <c r="M78" s="159"/>
      <c r="N78" s="159"/>
      <c r="O78" s="159"/>
      <c r="P78" s="159"/>
      <c r="Q78" s="159"/>
      <c r="R78" s="159"/>
    </row>
    <row r="79" spans="1:18">
      <c r="A79" s="1058">
        <f>Gases!A86</f>
        <v>61</v>
      </c>
      <c r="B79" s="1061"/>
      <c r="C79" s="1061"/>
      <c r="D79" s="1061"/>
      <c r="E79" s="973"/>
      <c r="F79" s="973"/>
      <c r="G79" s="973"/>
      <c r="H79" s="973"/>
      <c r="I79" s="973"/>
      <c r="J79" s="976"/>
      <c r="K79" s="977"/>
      <c r="L79" s="978"/>
      <c r="M79" s="159"/>
      <c r="N79" s="159"/>
      <c r="O79" s="159"/>
      <c r="P79" s="159"/>
      <c r="Q79" s="159"/>
      <c r="R79" s="159"/>
    </row>
    <row r="80" spans="1:18">
      <c r="A80" s="1058">
        <f>Gases!A87</f>
        <v>62</v>
      </c>
      <c r="B80" s="1061"/>
      <c r="C80" s="1061"/>
      <c r="D80" s="1061"/>
      <c r="E80" s="973"/>
      <c r="F80" s="973"/>
      <c r="G80" s="973"/>
      <c r="H80" s="973"/>
      <c r="I80" s="973"/>
      <c r="J80" s="976"/>
      <c r="K80" s="977"/>
      <c r="L80" s="978"/>
      <c r="M80" s="159"/>
      <c r="N80" s="159"/>
      <c r="O80" s="159"/>
      <c r="P80" s="159"/>
      <c r="Q80" s="159"/>
      <c r="R80" s="159"/>
    </row>
    <row r="81" spans="1:18">
      <c r="A81" s="1058">
        <f>Gases!A88</f>
        <v>63</v>
      </c>
      <c r="B81" s="1061"/>
      <c r="C81" s="1061"/>
      <c r="D81" s="1061"/>
      <c r="E81" s="973"/>
      <c r="F81" s="973"/>
      <c r="G81" s="973"/>
      <c r="H81" s="973"/>
      <c r="I81" s="973"/>
      <c r="J81" s="976"/>
      <c r="K81" s="977"/>
      <c r="L81" s="978"/>
      <c r="M81" s="159"/>
      <c r="N81" s="159"/>
      <c r="O81" s="159"/>
      <c r="P81" s="159"/>
      <c r="Q81" s="159"/>
      <c r="R81" s="159"/>
    </row>
    <row r="82" spans="1:18">
      <c r="A82" s="1058">
        <f>Gases!A89</f>
        <v>64</v>
      </c>
      <c r="B82" s="1061"/>
      <c r="C82" s="1061"/>
      <c r="D82" s="1061"/>
      <c r="E82" s="973"/>
      <c r="F82" s="973"/>
      <c r="G82" s="973"/>
      <c r="H82" s="973"/>
      <c r="I82" s="973"/>
      <c r="J82" s="976"/>
      <c r="K82" s="977"/>
      <c r="L82" s="978"/>
      <c r="M82" s="159"/>
      <c r="N82" s="159"/>
      <c r="O82" s="159"/>
      <c r="P82" s="159"/>
      <c r="Q82" s="159"/>
      <c r="R82" s="159"/>
    </row>
    <row r="83" spans="1:18">
      <c r="A83" s="1058">
        <f>Gases!A90</f>
        <v>65</v>
      </c>
      <c r="B83" s="1061"/>
      <c r="C83" s="1061"/>
      <c r="D83" s="1061"/>
      <c r="E83" s="973"/>
      <c r="F83" s="973"/>
      <c r="G83" s="973"/>
      <c r="H83" s="973"/>
      <c r="I83" s="973"/>
      <c r="J83" s="976"/>
      <c r="K83" s="977"/>
      <c r="L83" s="978"/>
      <c r="M83" s="159"/>
      <c r="N83" s="159"/>
      <c r="O83" s="159"/>
      <c r="P83" s="159"/>
      <c r="Q83" s="159"/>
      <c r="R83" s="159"/>
    </row>
    <row r="84" spans="1:18">
      <c r="A84" s="1058">
        <f>Gases!A91</f>
        <v>66</v>
      </c>
      <c r="B84" s="1061"/>
      <c r="C84" s="1061"/>
      <c r="D84" s="1061"/>
      <c r="E84" s="973"/>
      <c r="F84" s="973"/>
      <c r="G84" s="973"/>
      <c r="H84" s="973"/>
      <c r="I84" s="973"/>
      <c r="J84" s="976"/>
      <c r="K84" s="977"/>
      <c r="L84" s="978"/>
      <c r="M84" s="159"/>
      <c r="N84" s="159"/>
      <c r="O84" s="159"/>
      <c r="P84" s="159"/>
      <c r="Q84" s="159"/>
      <c r="R84" s="159"/>
    </row>
    <row r="85" spans="1:18">
      <c r="A85" s="1058">
        <f>Gases!A92</f>
        <v>67</v>
      </c>
      <c r="B85" s="1061"/>
      <c r="C85" s="1061"/>
      <c r="D85" s="1061"/>
      <c r="E85" s="973"/>
      <c r="F85" s="973"/>
      <c r="G85" s="973"/>
      <c r="H85" s="973"/>
      <c r="I85" s="973"/>
      <c r="J85" s="976"/>
      <c r="K85" s="977"/>
      <c r="L85" s="978"/>
      <c r="M85" s="159"/>
      <c r="N85" s="159"/>
      <c r="O85" s="159"/>
      <c r="P85" s="159"/>
      <c r="Q85" s="159"/>
      <c r="R85" s="159"/>
    </row>
    <row r="86" spans="1:18">
      <c r="A86" s="1058">
        <f>Gases!A93</f>
        <v>68</v>
      </c>
      <c r="B86" s="1061"/>
      <c r="C86" s="1061"/>
      <c r="D86" s="1061"/>
      <c r="E86" s="973"/>
      <c r="F86" s="973"/>
      <c r="G86" s="973"/>
      <c r="H86" s="973"/>
      <c r="I86" s="973"/>
      <c r="J86" s="976"/>
      <c r="K86" s="977"/>
      <c r="L86" s="978"/>
      <c r="M86" s="159"/>
      <c r="N86" s="159"/>
      <c r="O86" s="159"/>
      <c r="P86" s="159"/>
      <c r="Q86" s="159"/>
      <c r="R86" s="159"/>
    </row>
    <row r="87" spans="1:18">
      <c r="A87" s="1058">
        <f>Gases!A94</f>
        <v>69</v>
      </c>
      <c r="B87" s="1061"/>
      <c r="C87" s="1061"/>
      <c r="D87" s="1061"/>
      <c r="E87" s="973"/>
      <c r="F87" s="973"/>
      <c r="G87" s="973"/>
      <c r="H87" s="973"/>
      <c r="I87" s="973"/>
      <c r="J87" s="976"/>
      <c r="K87" s="977"/>
      <c r="L87" s="978"/>
      <c r="M87" s="159"/>
      <c r="N87" s="159"/>
      <c r="O87" s="159"/>
      <c r="P87" s="159"/>
      <c r="Q87" s="159"/>
      <c r="R87" s="159"/>
    </row>
    <row r="88" spans="1:18">
      <c r="A88" s="1058">
        <f>Gases!A95</f>
        <v>70</v>
      </c>
      <c r="B88" s="1061"/>
      <c r="C88" s="1061"/>
      <c r="D88" s="1061"/>
      <c r="E88" s="973"/>
      <c r="F88" s="973"/>
      <c r="G88" s="973"/>
      <c r="H88" s="973"/>
      <c r="I88" s="973"/>
      <c r="J88" s="976"/>
      <c r="K88" s="977"/>
      <c r="L88" s="978"/>
      <c r="M88" s="159"/>
      <c r="N88" s="159"/>
      <c r="O88" s="159"/>
      <c r="P88" s="159"/>
      <c r="Q88" s="159"/>
      <c r="R88" s="159"/>
    </row>
    <row r="89" spans="1:18">
      <c r="A89" s="1058">
        <f>Gases!A96</f>
        <v>71</v>
      </c>
      <c r="B89" s="1061"/>
      <c r="C89" s="1061"/>
      <c r="D89" s="1061"/>
      <c r="E89" s="973"/>
      <c r="F89" s="973"/>
      <c r="G89" s="973"/>
      <c r="H89" s="973"/>
      <c r="I89" s="973"/>
      <c r="J89" s="976"/>
      <c r="K89" s="977"/>
      <c r="L89" s="978"/>
      <c r="M89" s="159"/>
      <c r="N89" s="159"/>
      <c r="O89" s="159"/>
      <c r="P89" s="159"/>
      <c r="Q89" s="159"/>
      <c r="R89" s="159"/>
    </row>
    <row r="90" spans="1:18">
      <c r="A90" s="1058">
        <f>Gases!A97</f>
        <v>72</v>
      </c>
      <c r="B90" s="1061"/>
      <c r="C90" s="1061"/>
      <c r="D90" s="1061"/>
      <c r="E90" s="973"/>
      <c r="F90" s="973"/>
      <c r="G90" s="973"/>
      <c r="H90" s="973"/>
      <c r="I90" s="973"/>
      <c r="J90" s="976"/>
      <c r="K90" s="977"/>
      <c r="L90" s="978"/>
      <c r="M90" s="159"/>
      <c r="N90" s="159"/>
      <c r="O90" s="159"/>
      <c r="P90" s="159"/>
      <c r="Q90" s="159"/>
      <c r="R90" s="159"/>
    </row>
    <row r="91" spans="1:18">
      <c r="A91" s="1058">
        <f>Gases!A98</f>
        <v>73</v>
      </c>
      <c r="B91" s="1061"/>
      <c r="C91" s="1061"/>
      <c r="D91" s="1061"/>
      <c r="E91" s="973"/>
      <c r="F91" s="973"/>
      <c r="G91" s="973"/>
      <c r="H91" s="973"/>
      <c r="I91" s="973"/>
      <c r="J91" s="976"/>
      <c r="K91" s="977"/>
      <c r="L91" s="978"/>
      <c r="M91" s="159"/>
      <c r="N91" s="159"/>
      <c r="O91" s="159"/>
      <c r="P91" s="159"/>
      <c r="Q91" s="159"/>
      <c r="R91" s="159"/>
    </row>
    <row r="92" spans="1:18">
      <c r="A92" s="1058">
        <f>Gases!A99</f>
        <v>74</v>
      </c>
      <c r="B92" s="1061"/>
      <c r="C92" s="1061"/>
      <c r="D92" s="1061"/>
      <c r="E92" s="973"/>
      <c r="F92" s="973"/>
      <c r="G92" s="973"/>
      <c r="H92" s="973"/>
      <c r="I92" s="973"/>
      <c r="J92" s="976"/>
      <c r="K92" s="977"/>
      <c r="L92" s="978"/>
      <c r="M92" s="159"/>
      <c r="N92" s="159"/>
      <c r="O92" s="159"/>
      <c r="P92" s="159"/>
      <c r="Q92" s="159"/>
      <c r="R92" s="159"/>
    </row>
    <row r="93" spans="1:18">
      <c r="A93" s="1058">
        <f>Gases!A100</f>
        <v>75</v>
      </c>
      <c r="B93" s="1061"/>
      <c r="C93" s="1061"/>
      <c r="D93" s="1061"/>
      <c r="E93" s="973"/>
      <c r="F93" s="973"/>
      <c r="G93" s="973"/>
      <c r="H93" s="973"/>
      <c r="I93" s="973"/>
      <c r="J93" s="976"/>
      <c r="K93" s="977"/>
      <c r="L93" s="978"/>
      <c r="M93" s="159"/>
      <c r="N93" s="159"/>
      <c r="O93" s="159"/>
      <c r="P93" s="159"/>
      <c r="Q93" s="159"/>
      <c r="R93" s="159"/>
    </row>
    <row r="94" spans="1:18">
      <c r="A94" s="1058">
        <f>Gases!A101</f>
        <v>76</v>
      </c>
      <c r="B94" s="1061"/>
      <c r="C94" s="1061"/>
      <c r="D94" s="1061"/>
      <c r="E94" s="973"/>
      <c r="F94" s="973"/>
      <c r="G94" s="973"/>
      <c r="H94" s="973"/>
      <c r="I94" s="973"/>
      <c r="J94" s="976"/>
      <c r="K94" s="977"/>
      <c r="L94" s="978"/>
      <c r="M94" s="159"/>
      <c r="N94" s="159"/>
      <c r="O94" s="159"/>
      <c r="P94" s="159"/>
      <c r="Q94" s="159"/>
      <c r="R94" s="159"/>
    </row>
    <row r="95" spans="1:18">
      <c r="A95" s="1058">
        <f>Gases!A102</f>
        <v>77</v>
      </c>
      <c r="B95" s="1061"/>
      <c r="C95" s="1061"/>
      <c r="D95" s="1061"/>
      <c r="E95" s="973"/>
      <c r="F95" s="973"/>
      <c r="G95" s="973"/>
      <c r="H95" s="973"/>
      <c r="I95" s="973"/>
      <c r="J95" s="976"/>
      <c r="K95" s="977"/>
      <c r="L95" s="978"/>
      <c r="M95" s="159"/>
      <c r="N95" s="159"/>
      <c r="O95" s="159"/>
      <c r="P95" s="159"/>
      <c r="Q95" s="159"/>
      <c r="R95" s="159"/>
    </row>
    <row r="96" spans="1:18">
      <c r="A96" s="1058">
        <f>Gases!A103</f>
        <v>78</v>
      </c>
      <c r="B96" s="1061"/>
      <c r="C96" s="1061"/>
      <c r="D96" s="1061"/>
      <c r="E96" s="973"/>
      <c r="F96" s="973"/>
      <c r="G96" s="973"/>
      <c r="H96" s="973"/>
      <c r="I96" s="973"/>
      <c r="J96" s="976"/>
      <c r="K96" s="977"/>
      <c r="L96" s="978"/>
      <c r="M96" s="159"/>
      <c r="N96" s="159"/>
      <c r="O96" s="159"/>
      <c r="P96" s="159"/>
      <c r="Q96" s="159"/>
      <c r="R96" s="159"/>
    </row>
    <row r="97" spans="1:18">
      <c r="A97" s="1058">
        <f>Gases!A104</f>
        <v>79</v>
      </c>
      <c r="B97" s="1061"/>
      <c r="C97" s="1061"/>
      <c r="D97" s="1061"/>
      <c r="E97" s="973"/>
      <c r="F97" s="973"/>
      <c r="G97" s="973"/>
      <c r="H97" s="973"/>
      <c r="I97" s="973"/>
      <c r="J97" s="976"/>
      <c r="K97" s="977"/>
      <c r="L97" s="978"/>
      <c r="M97" s="159"/>
      <c r="N97" s="159"/>
      <c r="O97" s="159"/>
      <c r="P97" s="159"/>
      <c r="Q97" s="159"/>
      <c r="R97" s="159"/>
    </row>
    <row r="98" spans="1:18">
      <c r="A98" s="1058">
        <f>Gases!A105</f>
        <v>80</v>
      </c>
      <c r="B98" s="1061"/>
      <c r="C98" s="1061"/>
      <c r="D98" s="1061"/>
      <c r="E98" s="973"/>
      <c r="F98" s="973"/>
      <c r="G98" s="973"/>
      <c r="H98" s="973"/>
      <c r="I98" s="973"/>
      <c r="J98" s="976"/>
      <c r="K98" s="977"/>
      <c r="L98" s="978"/>
      <c r="M98" s="159"/>
      <c r="N98" s="159"/>
      <c r="O98" s="159"/>
      <c r="P98" s="159"/>
      <c r="Q98" s="159"/>
      <c r="R98" s="159"/>
    </row>
    <row r="99" spans="1:18">
      <c r="A99" s="1058">
        <f>Gases!A106</f>
        <v>81</v>
      </c>
      <c r="B99" s="1061"/>
      <c r="C99" s="1061"/>
      <c r="D99" s="1061"/>
      <c r="E99" s="973"/>
      <c r="F99" s="973"/>
      <c r="G99" s="973"/>
      <c r="H99" s="973"/>
      <c r="I99" s="973"/>
      <c r="J99" s="976"/>
      <c r="K99" s="977"/>
      <c r="L99" s="978"/>
      <c r="M99" s="159"/>
      <c r="N99" s="159"/>
      <c r="O99" s="159"/>
      <c r="P99" s="159"/>
      <c r="Q99" s="159"/>
      <c r="R99" s="159"/>
    </row>
    <row r="100" spans="1:18">
      <c r="A100" s="1058">
        <f>Gases!A107</f>
        <v>82</v>
      </c>
      <c r="B100" s="1061"/>
      <c r="C100" s="1061"/>
      <c r="D100" s="1061"/>
      <c r="E100" s="973"/>
      <c r="F100" s="973"/>
      <c r="G100" s="973"/>
      <c r="H100" s="973"/>
      <c r="I100" s="973"/>
      <c r="J100" s="976"/>
      <c r="K100" s="977"/>
      <c r="L100" s="978"/>
      <c r="M100" s="159"/>
      <c r="N100" s="159"/>
      <c r="O100" s="159"/>
      <c r="P100" s="159"/>
      <c r="Q100" s="159"/>
      <c r="R100" s="159"/>
    </row>
    <row r="101" spans="1:18">
      <c r="A101" s="1058">
        <f>Gases!A108</f>
        <v>83</v>
      </c>
      <c r="B101" s="1061"/>
      <c r="C101" s="1061"/>
      <c r="D101" s="1061"/>
      <c r="E101" s="973"/>
      <c r="F101" s="973"/>
      <c r="G101" s="973"/>
      <c r="H101" s="973"/>
      <c r="I101" s="973"/>
      <c r="J101" s="976"/>
      <c r="K101" s="977"/>
      <c r="L101" s="978"/>
      <c r="M101" s="159"/>
      <c r="N101" s="159"/>
      <c r="O101" s="159"/>
      <c r="P101" s="159"/>
      <c r="Q101" s="159"/>
      <c r="R101" s="159"/>
    </row>
    <row r="102" spans="1:18">
      <c r="A102" s="1058">
        <f>Gases!A109</f>
        <v>84</v>
      </c>
      <c r="B102" s="1061"/>
      <c r="C102" s="1061"/>
      <c r="D102" s="1061"/>
      <c r="E102" s="973"/>
      <c r="F102" s="973"/>
      <c r="G102" s="973"/>
      <c r="H102" s="973"/>
      <c r="I102" s="973"/>
      <c r="J102" s="976"/>
      <c r="K102" s="977"/>
      <c r="L102" s="978"/>
      <c r="M102" s="159"/>
      <c r="N102" s="159"/>
      <c r="O102" s="159"/>
      <c r="P102" s="159"/>
      <c r="Q102" s="159"/>
      <c r="R102" s="159"/>
    </row>
    <row r="103" spans="1:18">
      <c r="A103" s="1058">
        <f>Gases!A110</f>
        <v>85</v>
      </c>
      <c r="B103" s="1061"/>
      <c r="C103" s="1061"/>
      <c r="D103" s="1061"/>
      <c r="E103" s="973"/>
      <c r="F103" s="973"/>
      <c r="G103" s="973"/>
      <c r="H103" s="973"/>
      <c r="I103" s="973"/>
      <c r="J103" s="976"/>
      <c r="K103" s="977"/>
      <c r="L103" s="978"/>
      <c r="M103" s="159"/>
      <c r="N103" s="159"/>
      <c r="O103" s="159"/>
      <c r="P103" s="159"/>
      <c r="Q103" s="159"/>
      <c r="R103" s="159"/>
    </row>
    <row r="104" spans="1:18">
      <c r="A104" s="1058">
        <f>Gases!A111</f>
        <v>86</v>
      </c>
      <c r="B104" s="1061"/>
      <c r="C104" s="1061"/>
      <c r="D104" s="1061"/>
      <c r="E104" s="973"/>
      <c r="F104" s="973"/>
      <c r="G104" s="973"/>
      <c r="H104" s="973"/>
      <c r="I104" s="973"/>
      <c r="J104" s="976"/>
      <c r="K104" s="977"/>
      <c r="L104" s="978"/>
      <c r="M104" s="159"/>
      <c r="N104" s="159"/>
      <c r="O104" s="159"/>
      <c r="P104" s="159"/>
      <c r="Q104" s="159"/>
      <c r="R104" s="159"/>
    </row>
    <row r="105" spans="1:18">
      <c r="A105" s="1058">
        <f>Gases!A112</f>
        <v>87</v>
      </c>
      <c r="B105" s="1061"/>
      <c r="C105" s="1061"/>
      <c r="D105" s="1061"/>
      <c r="E105" s="973"/>
      <c r="F105" s="973"/>
      <c r="G105" s="973"/>
      <c r="H105" s="973"/>
      <c r="I105" s="973"/>
      <c r="J105" s="976"/>
      <c r="K105" s="977"/>
      <c r="L105" s="978"/>
      <c r="M105" s="159"/>
      <c r="N105" s="159"/>
      <c r="O105" s="159"/>
      <c r="P105" s="159"/>
      <c r="Q105" s="159"/>
      <c r="R105" s="159"/>
    </row>
    <row r="106" spans="1:18">
      <c r="A106" s="1058">
        <f>Gases!A113</f>
        <v>88</v>
      </c>
      <c r="B106" s="1061"/>
      <c r="C106" s="1061"/>
      <c r="D106" s="1061"/>
      <c r="E106" s="973"/>
      <c r="F106" s="973"/>
      <c r="G106" s="973"/>
      <c r="H106" s="973"/>
      <c r="I106" s="973"/>
      <c r="J106" s="976"/>
      <c r="K106" s="977"/>
      <c r="L106" s="978"/>
      <c r="M106" s="159"/>
      <c r="N106" s="159"/>
      <c r="O106" s="159"/>
      <c r="P106" s="159"/>
      <c r="Q106" s="159"/>
      <c r="R106" s="159"/>
    </row>
    <row r="107" spans="1:18">
      <c r="A107" s="1058">
        <f>Gases!A114</f>
        <v>89</v>
      </c>
      <c r="B107" s="1061"/>
      <c r="C107" s="1061"/>
      <c r="D107" s="1061"/>
      <c r="E107" s="973"/>
      <c r="F107" s="973"/>
      <c r="G107" s="973"/>
      <c r="H107" s="973"/>
      <c r="I107" s="973"/>
      <c r="J107" s="976"/>
      <c r="K107" s="977"/>
      <c r="L107" s="978"/>
      <c r="M107" s="159"/>
      <c r="N107" s="159"/>
      <c r="O107" s="159"/>
      <c r="P107" s="159"/>
      <c r="Q107" s="159"/>
      <c r="R107" s="159"/>
    </row>
    <row r="108" spans="1:18">
      <c r="A108" s="1058">
        <f>Gases!A115</f>
        <v>90</v>
      </c>
      <c r="B108" s="1061"/>
      <c r="C108" s="1061"/>
      <c r="D108" s="1061"/>
      <c r="E108" s="973"/>
      <c r="F108" s="973"/>
      <c r="G108" s="973"/>
      <c r="H108" s="973"/>
      <c r="I108" s="973"/>
      <c r="J108" s="976"/>
      <c r="K108" s="977"/>
      <c r="L108" s="978"/>
      <c r="M108" s="159"/>
      <c r="N108" s="159"/>
      <c r="O108" s="159"/>
      <c r="P108" s="159"/>
      <c r="Q108" s="159"/>
      <c r="R108" s="159"/>
    </row>
    <row r="109" spans="1:18">
      <c r="A109" s="1058">
        <f>Gases!A116</f>
        <v>91</v>
      </c>
      <c r="B109" s="1061"/>
      <c r="C109" s="1061"/>
      <c r="D109" s="1061"/>
      <c r="E109" s="973"/>
      <c r="F109" s="973"/>
      <c r="G109" s="973"/>
      <c r="H109" s="973"/>
      <c r="I109" s="973"/>
      <c r="J109" s="976"/>
      <c r="K109" s="977"/>
      <c r="L109" s="978"/>
      <c r="M109" s="159"/>
      <c r="N109" s="159"/>
      <c r="O109" s="159"/>
      <c r="P109" s="159"/>
      <c r="Q109" s="159"/>
      <c r="R109" s="159"/>
    </row>
    <row r="110" spans="1:18">
      <c r="A110" s="1058">
        <f>Gases!A117</f>
        <v>92</v>
      </c>
      <c r="B110" s="1061"/>
      <c r="C110" s="1061"/>
      <c r="D110" s="1061"/>
      <c r="E110" s="973"/>
      <c r="F110" s="973"/>
      <c r="G110" s="973"/>
      <c r="H110" s="973"/>
      <c r="I110" s="973"/>
      <c r="J110" s="976"/>
      <c r="K110" s="977"/>
      <c r="L110" s="978"/>
      <c r="M110" s="159"/>
      <c r="N110" s="159"/>
      <c r="O110" s="159"/>
      <c r="P110" s="159"/>
      <c r="Q110" s="159"/>
      <c r="R110" s="159"/>
    </row>
    <row r="111" spans="1:18">
      <c r="A111" s="1058">
        <f>Gases!A118</f>
        <v>93</v>
      </c>
      <c r="B111" s="1061"/>
      <c r="C111" s="1061"/>
      <c r="D111" s="1061"/>
      <c r="E111" s="973"/>
      <c r="F111" s="973"/>
      <c r="G111" s="973"/>
      <c r="H111" s="973"/>
      <c r="I111" s="973"/>
      <c r="J111" s="976"/>
      <c r="K111" s="977"/>
      <c r="L111" s="978"/>
      <c r="M111" s="159"/>
      <c r="N111" s="159"/>
      <c r="O111" s="159"/>
      <c r="P111" s="159"/>
      <c r="Q111" s="159"/>
      <c r="R111" s="159"/>
    </row>
    <row r="112" spans="1:18">
      <c r="A112" s="1058">
        <f>Gases!A119</f>
        <v>94</v>
      </c>
      <c r="B112" s="1061"/>
      <c r="C112" s="1061"/>
      <c r="D112" s="1061"/>
      <c r="E112" s="973"/>
      <c r="F112" s="973"/>
      <c r="G112" s="973"/>
      <c r="H112" s="973"/>
      <c r="I112" s="973"/>
      <c r="J112" s="976"/>
      <c r="K112" s="977"/>
      <c r="L112" s="978"/>
      <c r="M112" s="159"/>
      <c r="N112" s="159"/>
      <c r="O112" s="159"/>
      <c r="P112" s="159"/>
      <c r="Q112" s="159"/>
      <c r="R112" s="159"/>
    </row>
    <row r="113" spans="1:18">
      <c r="A113" s="1058">
        <f>Gases!A120</f>
        <v>95</v>
      </c>
      <c r="B113" s="1061"/>
      <c r="C113" s="1061"/>
      <c r="D113" s="1061"/>
      <c r="E113" s="973"/>
      <c r="F113" s="973"/>
      <c r="G113" s="973"/>
      <c r="H113" s="973"/>
      <c r="I113" s="973"/>
      <c r="J113" s="976"/>
      <c r="K113" s="977"/>
      <c r="L113" s="978"/>
      <c r="M113" s="159"/>
      <c r="N113" s="159"/>
      <c r="O113" s="159"/>
      <c r="P113" s="159"/>
      <c r="Q113" s="159"/>
      <c r="R113" s="159"/>
    </row>
    <row r="114" spans="1:18">
      <c r="A114" s="1058">
        <f>Gases!A121</f>
        <v>96</v>
      </c>
      <c r="B114" s="1061"/>
      <c r="C114" s="1061"/>
      <c r="D114" s="1061"/>
      <c r="E114" s="973"/>
      <c r="F114" s="973"/>
      <c r="G114" s="973"/>
      <c r="H114" s="973"/>
      <c r="I114" s="973"/>
      <c r="J114" s="976"/>
      <c r="K114" s="977"/>
      <c r="L114" s="978"/>
      <c r="M114" s="159"/>
      <c r="N114" s="159"/>
      <c r="O114" s="159"/>
      <c r="P114" s="159"/>
      <c r="Q114" s="159"/>
      <c r="R114" s="159"/>
    </row>
    <row r="115" spans="1:18">
      <c r="A115" s="1058">
        <f>Gases!A122</f>
        <v>97</v>
      </c>
      <c r="B115" s="1061"/>
      <c r="C115" s="1061"/>
      <c r="D115" s="1061"/>
      <c r="E115" s="973"/>
      <c r="F115" s="973"/>
      <c r="G115" s="973"/>
      <c r="H115" s="973"/>
      <c r="I115" s="973"/>
      <c r="J115" s="976"/>
      <c r="K115" s="977"/>
      <c r="L115" s="978"/>
      <c r="M115" s="159"/>
      <c r="N115" s="159"/>
      <c r="O115" s="159"/>
      <c r="P115" s="159"/>
      <c r="Q115" s="159"/>
      <c r="R115" s="159"/>
    </row>
    <row r="116" spans="1:18">
      <c r="A116" s="1058">
        <f>Gases!A123</f>
        <v>98</v>
      </c>
      <c r="B116" s="1061"/>
      <c r="C116" s="1061"/>
      <c r="D116" s="1061"/>
      <c r="E116" s="973"/>
      <c r="F116" s="973"/>
      <c r="G116" s="973"/>
      <c r="H116" s="973"/>
      <c r="I116" s="973"/>
      <c r="J116" s="976"/>
      <c r="K116" s="977"/>
      <c r="L116" s="978"/>
      <c r="M116" s="159"/>
      <c r="N116" s="159"/>
      <c r="O116" s="159"/>
      <c r="P116" s="159"/>
      <c r="Q116" s="159"/>
      <c r="R116" s="159"/>
    </row>
    <row r="117" spans="1:18">
      <c r="A117" s="1058">
        <f>Gases!A124</f>
        <v>99</v>
      </c>
      <c r="B117" s="1061"/>
      <c r="C117" s="1061"/>
      <c r="D117" s="1061"/>
      <c r="E117" s="973"/>
      <c r="F117" s="973"/>
      <c r="G117" s="973"/>
      <c r="H117" s="973"/>
      <c r="I117" s="973"/>
      <c r="J117" s="976"/>
      <c r="K117" s="977"/>
      <c r="L117" s="978"/>
      <c r="M117" s="159"/>
      <c r="N117" s="159"/>
      <c r="O117" s="159"/>
      <c r="P117" s="159"/>
      <c r="Q117" s="159"/>
      <c r="R117" s="159"/>
    </row>
    <row r="118" spans="1:18">
      <c r="A118" s="1058">
        <f>Gases!A125</f>
        <v>100</v>
      </c>
      <c r="B118" s="1061"/>
      <c r="C118" s="1061"/>
      <c r="D118" s="1061"/>
      <c r="E118" s="973"/>
      <c r="F118" s="973"/>
      <c r="G118" s="973"/>
      <c r="H118" s="973"/>
      <c r="I118" s="973"/>
      <c r="J118" s="976"/>
      <c r="K118" s="977"/>
      <c r="L118" s="978"/>
      <c r="M118" s="159"/>
      <c r="N118" s="159"/>
      <c r="O118" s="159"/>
      <c r="P118" s="159"/>
      <c r="Q118" s="159"/>
      <c r="R118" s="159"/>
    </row>
    <row r="119" spans="1:18">
      <c r="A119" s="1058">
        <f>Gases!A126</f>
        <v>101</v>
      </c>
      <c r="B119" s="1061"/>
      <c r="C119" s="1061"/>
      <c r="D119" s="1061"/>
      <c r="E119" s="973"/>
      <c r="F119" s="973"/>
      <c r="G119" s="973"/>
      <c r="H119" s="973"/>
      <c r="I119" s="973"/>
      <c r="J119" s="976"/>
      <c r="K119" s="977"/>
      <c r="L119" s="978"/>
      <c r="M119" s="159"/>
      <c r="N119" s="159"/>
      <c r="O119" s="159"/>
      <c r="P119" s="159"/>
      <c r="Q119" s="159"/>
      <c r="R119" s="159"/>
    </row>
    <row r="120" spans="1:18">
      <c r="A120" s="1058">
        <f>Gases!A127</f>
        <v>102</v>
      </c>
      <c r="B120" s="1061"/>
      <c r="C120" s="1061"/>
      <c r="D120" s="1061"/>
      <c r="E120" s="973"/>
      <c r="F120" s="973"/>
      <c r="G120" s="973"/>
      <c r="H120" s="973"/>
      <c r="I120" s="973"/>
      <c r="J120" s="976"/>
      <c r="K120" s="977"/>
      <c r="L120" s="978"/>
      <c r="M120" s="159"/>
      <c r="N120" s="159"/>
      <c r="O120" s="159"/>
      <c r="P120" s="159"/>
      <c r="Q120" s="159"/>
      <c r="R120" s="159"/>
    </row>
    <row r="121" spans="1:18">
      <c r="A121" s="1058">
        <f>Gases!A128</f>
        <v>103</v>
      </c>
      <c r="B121" s="1061"/>
      <c r="C121" s="1061"/>
      <c r="D121" s="1061"/>
      <c r="E121" s="973"/>
      <c r="F121" s="973"/>
      <c r="G121" s="973"/>
      <c r="H121" s="973"/>
      <c r="I121" s="973"/>
      <c r="J121" s="976"/>
      <c r="K121" s="977"/>
      <c r="L121" s="978"/>
      <c r="M121" s="159"/>
      <c r="N121" s="159"/>
      <c r="O121" s="159"/>
      <c r="P121" s="159"/>
      <c r="Q121" s="159"/>
      <c r="R121" s="159"/>
    </row>
    <row r="122" spans="1:18">
      <c r="A122" s="1058">
        <f>Gases!A129</f>
        <v>104</v>
      </c>
      <c r="B122" s="1061"/>
      <c r="C122" s="1061"/>
      <c r="D122" s="1061"/>
      <c r="E122" s="973"/>
      <c r="F122" s="973"/>
      <c r="G122" s="973"/>
      <c r="H122" s="973"/>
      <c r="I122" s="973"/>
      <c r="J122" s="976"/>
      <c r="K122" s="977"/>
      <c r="L122" s="978"/>
      <c r="M122" s="159"/>
      <c r="N122" s="159"/>
      <c r="O122" s="159"/>
      <c r="P122" s="159"/>
      <c r="Q122" s="159"/>
      <c r="R122" s="159"/>
    </row>
    <row r="123" spans="1:18">
      <c r="A123" s="1058">
        <f>Gases!A130</f>
        <v>105</v>
      </c>
      <c r="B123" s="1061"/>
      <c r="C123" s="1061"/>
      <c r="D123" s="1061"/>
      <c r="E123" s="973"/>
      <c r="F123" s="973"/>
      <c r="G123" s="973"/>
      <c r="H123" s="973"/>
      <c r="I123" s="973"/>
      <c r="J123" s="976"/>
      <c r="K123" s="977"/>
      <c r="L123" s="978"/>
      <c r="M123" s="159"/>
      <c r="N123" s="159"/>
      <c r="O123" s="159"/>
      <c r="P123" s="159"/>
      <c r="Q123" s="159"/>
      <c r="R123" s="159"/>
    </row>
    <row r="124" spans="1:18">
      <c r="A124" s="1058">
        <f>Gases!A131</f>
        <v>106</v>
      </c>
      <c r="B124" s="1061"/>
      <c r="C124" s="1061"/>
      <c r="D124" s="1061"/>
      <c r="E124" s="973"/>
      <c r="F124" s="973"/>
      <c r="G124" s="973"/>
      <c r="H124" s="973"/>
      <c r="I124" s="973"/>
      <c r="J124" s="976"/>
      <c r="K124" s="977"/>
      <c r="L124" s="978"/>
      <c r="M124" s="159"/>
      <c r="N124" s="159"/>
      <c r="O124" s="159"/>
      <c r="P124" s="159"/>
      <c r="Q124" s="159"/>
      <c r="R124" s="159"/>
    </row>
    <row r="125" spans="1:18">
      <c r="A125" s="1058">
        <f>Gases!A132</f>
        <v>107</v>
      </c>
      <c r="B125" s="1061"/>
      <c r="C125" s="1061"/>
      <c r="D125" s="1061"/>
      <c r="E125" s="973"/>
      <c r="F125" s="973"/>
      <c r="G125" s="973"/>
      <c r="H125" s="973"/>
      <c r="I125" s="973"/>
      <c r="J125" s="976"/>
      <c r="K125" s="977"/>
      <c r="L125" s="978"/>
      <c r="M125" s="159"/>
      <c r="N125" s="159"/>
      <c r="O125" s="159"/>
      <c r="P125" s="159"/>
      <c r="Q125" s="159"/>
      <c r="R125" s="159"/>
    </row>
    <row r="126" spans="1:18">
      <c r="A126" s="965">
        <f>Gases!A133</f>
        <v>108</v>
      </c>
      <c r="B126" s="1061"/>
      <c r="C126" s="1061"/>
      <c r="D126" s="1061"/>
      <c r="E126" s="973"/>
      <c r="F126" s="973"/>
      <c r="G126" s="973"/>
      <c r="H126" s="973"/>
      <c r="I126" s="973"/>
      <c r="J126" s="976"/>
      <c r="K126" s="977"/>
      <c r="L126" s="978"/>
      <c r="M126" s="159"/>
      <c r="N126" s="159"/>
      <c r="O126" s="159"/>
      <c r="P126" s="159"/>
      <c r="Q126" s="159"/>
      <c r="R126" s="159"/>
    </row>
    <row r="127" spans="1:18">
      <c r="A127" s="965">
        <f>Gases!A134</f>
        <v>109</v>
      </c>
      <c r="B127" s="1061"/>
      <c r="C127" s="1061"/>
      <c r="D127" s="1061"/>
      <c r="E127" s="973"/>
      <c r="F127" s="973"/>
      <c r="G127" s="973"/>
      <c r="H127" s="973"/>
      <c r="I127" s="973"/>
      <c r="J127" s="976"/>
      <c r="K127" s="977"/>
      <c r="L127" s="978"/>
      <c r="M127" s="159"/>
      <c r="N127" s="159"/>
      <c r="O127" s="159"/>
      <c r="P127" s="159"/>
      <c r="Q127" s="159"/>
      <c r="R127" s="159"/>
    </row>
    <row r="128" spans="1:18">
      <c r="A128" s="965">
        <f>Gases!A135</f>
        <v>110</v>
      </c>
      <c r="B128" s="1061"/>
      <c r="C128" s="1061"/>
      <c r="D128" s="1061"/>
      <c r="E128" s="973"/>
      <c r="F128" s="973"/>
      <c r="G128" s="973"/>
      <c r="H128" s="973"/>
      <c r="I128" s="973"/>
      <c r="J128" s="976"/>
      <c r="K128" s="977"/>
      <c r="L128" s="978"/>
      <c r="M128" s="159"/>
      <c r="N128" s="159"/>
      <c r="O128" s="159"/>
      <c r="P128" s="159"/>
      <c r="Q128" s="159"/>
      <c r="R128" s="159"/>
    </row>
    <row r="129" spans="1:18">
      <c r="A129" s="965">
        <f>Gases!A136</f>
        <v>111</v>
      </c>
      <c r="B129" s="1061"/>
      <c r="C129" s="1061"/>
      <c r="D129" s="1061"/>
      <c r="E129" s="973"/>
      <c r="F129" s="973"/>
      <c r="G129" s="973"/>
      <c r="H129" s="973"/>
      <c r="I129" s="973"/>
      <c r="J129" s="976"/>
      <c r="K129" s="977"/>
      <c r="L129" s="978"/>
      <c r="M129" s="159"/>
      <c r="N129" s="159"/>
      <c r="O129" s="159"/>
      <c r="P129" s="159"/>
      <c r="Q129" s="159"/>
      <c r="R129" s="159"/>
    </row>
    <row r="130" spans="1:18">
      <c r="A130" s="965">
        <f>Gases!A137</f>
        <v>112</v>
      </c>
      <c r="B130" s="1061"/>
      <c r="C130" s="1061"/>
      <c r="D130" s="1061"/>
      <c r="E130" s="973"/>
      <c r="F130" s="973"/>
      <c r="G130" s="973"/>
      <c r="H130" s="973"/>
      <c r="I130" s="973"/>
      <c r="J130" s="976"/>
      <c r="K130" s="977"/>
      <c r="L130" s="978"/>
      <c r="M130" s="159"/>
      <c r="N130" s="159"/>
      <c r="O130" s="159"/>
      <c r="P130" s="159"/>
      <c r="Q130" s="159"/>
      <c r="R130" s="159"/>
    </row>
    <row r="131" spans="1:18">
      <c r="A131" s="965">
        <f>Gases!A138</f>
        <v>113</v>
      </c>
      <c r="B131" s="1061"/>
      <c r="C131" s="1061"/>
      <c r="D131" s="1061"/>
      <c r="E131" s="973"/>
      <c r="F131" s="973"/>
      <c r="G131" s="973"/>
      <c r="H131" s="973"/>
      <c r="I131" s="973"/>
      <c r="J131" s="976"/>
      <c r="K131" s="977"/>
      <c r="L131" s="978"/>
      <c r="M131" s="159"/>
      <c r="N131" s="159"/>
      <c r="O131" s="159"/>
      <c r="P131" s="159"/>
      <c r="Q131" s="159"/>
      <c r="R131" s="159"/>
    </row>
    <row r="132" spans="1:18">
      <c r="A132" s="965">
        <f>Gases!A139</f>
        <v>114</v>
      </c>
      <c r="B132" s="1061"/>
      <c r="C132" s="1061"/>
      <c r="D132" s="1061"/>
      <c r="E132" s="973"/>
      <c r="F132" s="973"/>
      <c r="G132" s="973"/>
      <c r="H132" s="973"/>
      <c r="I132" s="973"/>
      <c r="J132" s="976"/>
      <c r="K132" s="977"/>
      <c r="L132" s="978"/>
      <c r="M132" s="159"/>
      <c r="N132" s="159"/>
      <c r="O132" s="159"/>
      <c r="P132" s="159"/>
      <c r="Q132" s="159"/>
      <c r="R132" s="159"/>
    </row>
    <row r="133" spans="1:18">
      <c r="A133" s="965">
        <f>Gases!A140</f>
        <v>115</v>
      </c>
      <c r="B133" s="1061"/>
      <c r="C133" s="1061"/>
      <c r="D133" s="1061"/>
      <c r="E133" s="973"/>
      <c r="F133" s="973"/>
      <c r="G133" s="973"/>
      <c r="H133" s="973"/>
      <c r="I133" s="973"/>
      <c r="J133" s="976"/>
      <c r="K133" s="977"/>
      <c r="L133" s="978"/>
      <c r="M133" s="159"/>
      <c r="N133" s="159"/>
      <c r="O133" s="159"/>
      <c r="P133" s="159"/>
      <c r="Q133" s="159"/>
      <c r="R133" s="159"/>
    </row>
    <row r="134" spans="1:18">
      <c r="A134" s="965">
        <f>Gases!A141</f>
        <v>116</v>
      </c>
      <c r="B134" s="1061"/>
      <c r="C134" s="1061"/>
      <c r="D134" s="1061"/>
      <c r="E134" s="973"/>
      <c r="F134" s="973"/>
      <c r="G134" s="973"/>
      <c r="H134" s="973"/>
      <c r="I134" s="973"/>
      <c r="J134" s="976"/>
      <c r="K134" s="977"/>
      <c r="L134" s="978"/>
      <c r="M134" s="159"/>
      <c r="N134" s="159"/>
      <c r="O134" s="159"/>
      <c r="P134" s="159"/>
      <c r="Q134" s="159"/>
      <c r="R134" s="159"/>
    </row>
    <row r="135" spans="1:18">
      <c r="A135" s="965">
        <f>Gases!A142</f>
        <v>117</v>
      </c>
      <c r="B135" s="1061"/>
      <c r="C135" s="1061"/>
      <c r="D135" s="1061"/>
      <c r="E135" s="973"/>
      <c r="F135" s="973"/>
      <c r="G135" s="973"/>
      <c r="H135" s="973"/>
      <c r="I135" s="973"/>
      <c r="J135" s="976"/>
      <c r="K135" s="977"/>
      <c r="L135" s="978"/>
      <c r="M135" s="159"/>
      <c r="N135" s="159"/>
      <c r="O135" s="159"/>
      <c r="P135" s="159"/>
      <c r="Q135" s="159"/>
      <c r="R135" s="159"/>
    </row>
    <row r="136" spans="1:18">
      <c r="A136" s="965">
        <f>Gases!A143</f>
        <v>118</v>
      </c>
      <c r="B136" s="1061"/>
      <c r="C136" s="1061"/>
      <c r="D136" s="1061"/>
      <c r="E136" s="973"/>
      <c r="F136" s="973"/>
      <c r="G136" s="973"/>
      <c r="H136" s="973"/>
      <c r="I136" s="973"/>
      <c r="J136" s="976"/>
      <c r="K136" s="977"/>
      <c r="L136" s="978"/>
      <c r="M136" s="159"/>
      <c r="N136" s="159"/>
      <c r="O136" s="159"/>
      <c r="P136" s="159"/>
      <c r="Q136" s="159"/>
      <c r="R136" s="159"/>
    </row>
    <row r="137" spans="1:18">
      <c r="A137" s="965">
        <f>Gases!A144</f>
        <v>119</v>
      </c>
      <c r="B137" s="1061"/>
      <c r="C137" s="1061"/>
      <c r="D137" s="1061"/>
      <c r="E137" s="973"/>
      <c r="F137" s="973"/>
      <c r="G137" s="973"/>
      <c r="H137" s="973"/>
      <c r="I137" s="973"/>
      <c r="J137" s="976"/>
      <c r="K137" s="977"/>
      <c r="L137" s="978"/>
      <c r="M137" s="159"/>
      <c r="N137" s="159"/>
      <c r="O137" s="159"/>
      <c r="P137" s="159"/>
      <c r="Q137" s="159"/>
      <c r="R137" s="159"/>
    </row>
    <row r="138" spans="1:18">
      <c r="A138" s="965">
        <f>Gases!A145</f>
        <v>120</v>
      </c>
      <c r="B138" s="1061"/>
      <c r="C138" s="1061"/>
      <c r="D138" s="1061"/>
      <c r="E138" s="973"/>
      <c r="F138" s="973"/>
      <c r="G138" s="973"/>
      <c r="H138" s="973"/>
      <c r="I138" s="973"/>
      <c r="J138" s="976"/>
      <c r="K138" s="977"/>
      <c r="L138" s="978"/>
      <c r="M138" s="159"/>
      <c r="N138" s="159"/>
      <c r="O138" s="159"/>
      <c r="P138" s="159"/>
      <c r="Q138" s="159"/>
      <c r="R138" s="159"/>
    </row>
    <row r="139" spans="1:18">
      <c r="A139" s="965">
        <f>Gases!A146</f>
        <v>121</v>
      </c>
      <c r="B139" s="1061"/>
      <c r="C139" s="1061"/>
      <c r="D139" s="1061"/>
      <c r="E139" s="973"/>
      <c r="F139" s="973"/>
      <c r="G139" s="973"/>
      <c r="H139" s="973"/>
      <c r="I139" s="973"/>
      <c r="J139" s="976"/>
      <c r="K139" s="977"/>
      <c r="L139" s="978"/>
      <c r="M139" s="159"/>
      <c r="N139" s="159"/>
      <c r="O139" s="159"/>
      <c r="P139" s="159"/>
      <c r="Q139" s="159"/>
      <c r="R139" s="159"/>
    </row>
    <row r="140" spans="1:18">
      <c r="A140" s="965">
        <f>Gases!A147</f>
        <v>122</v>
      </c>
      <c r="B140" s="1061"/>
      <c r="C140" s="1061"/>
      <c r="D140" s="1061"/>
      <c r="E140" s="973"/>
      <c r="F140" s="973"/>
      <c r="G140" s="973"/>
      <c r="H140" s="973"/>
      <c r="I140" s="973"/>
      <c r="J140" s="976"/>
      <c r="K140" s="977"/>
      <c r="L140" s="978"/>
      <c r="M140" s="159"/>
      <c r="N140" s="159"/>
      <c r="O140" s="159"/>
      <c r="P140" s="159"/>
      <c r="Q140" s="159"/>
      <c r="R140" s="159"/>
    </row>
    <row r="141" spans="1:18">
      <c r="A141" s="965">
        <f>Gases!A148</f>
        <v>123</v>
      </c>
      <c r="B141" s="1061"/>
      <c r="C141" s="1061"/>
      <c r="D141" s="1061"/>
      <c r="E141" s="973"/>
      <c r="F141" s="973"/>
      <c r="G141" s="973"/>
      <c r="H141" s="973"/>
      <c r="I141" s="973"/>
      <c r="J141" s="976"/>
      <c r="K141" s="977"/>
      <c r="L141" s="978"/>
      <c r="M141" s="159"/>
      <c r="N141" s="159"/>
      <c r="O141" s="159"/>
      <c r="P141" s="159"/>
      <c r="Q141" s="159"/>
      <c r="R141" s="159"/>
    </row>
    <row r="142" spans="1:18">
      <c r="A142" s="965">
        <f>Gases!A149</f>
        <v>124</v>
      </c>
      <c r="B142" s="1061"/>
      <c r="C142" s="1061"/>
      <c r="D142" s="1061"/>
      <c r="E142" s="973"/>
      <c r="F142" s="973"/>
      <c r="G142" s="973"/>
      <c r="H142" s="973"/>
      <c r="I142" s="973"/>
      <c r="J142" s="976"/>
      <c r="K142" s="977"/>
      <c r="L142" s="978"/>
      <c r="M142" s="159"/>
      <c r="N142" s="159"/>
      <c r="O142" s="159"/>
      <c r="P142" s="159"/>
      <c r="Q142" s="159"/>
      <c r="R142" s="159"/>
    </row>
    <row r="143" spans="1:18">
      <c r="A143" s="965">
        <f>Gases!A150</f>
        <v>125</v>
      </c>
      <c r="B143" s="1061"/>
      <c r="C143" s="1061"/>
      <c r="D143" s="1061"/>
      <c r="E143" s="973"/>
      <c r="F143" s="973"/>
      <c r="G143" s="973"/>
      <c r="H143" s="973"/>
      <c r="I143" s="973"/>
      <c r="J143" s="976"/>
      <c r="K143" s="977"/>
      <c r="L143" s="978"/>
      <c r="M143" s="159"/>
      <c r="N143" s="159"/>
      <c r="O143" s="159"/>
      <c r="P143" s="159"/>
      <c r="Q143" s="159"/>
      <c r="R143" s="159"/>
    </row>
    <row r="144" spans="1:18">
      <c r="A144" s="965">
        <f>Gases!A151</f>
        <v>126</v>
      </c>
      <c r="B144" s="1061"/>
      <c r="C144" s="1061"/>
      <c r="D144" s="1061"/>
      <c r="E144" s="973"/>
      <c r="F144" s="973"/>
      <c r="G144" s="973"/>
      <c r="H144" s="973"/>
      <c r="I144" s="973"/>
      <c r="J144" s="976"/>
      <c r="K144" s="977"/>
      <c r="L144" s="978"/>
      <c r="M144" s="159"/>
      <c r="N144" s="159"/>
      <c r="O144" s="159"/>
      <c r="P144" s="159"/>
      <c r="Q144" s="159"/>
      <c r="R144" s="159"/>
    </row>
    <row r="145" spans="1:18">
      <c r="A145" s="965">
        <f>Gases!A152</f>
        <v>127</v>
      </c>
      <c r="B145" s="1061"/>
      <c r="C145" s="1061"/>
      <c r="D145" s="1061"/>
      <c r="E145" s="973"/>
      <c r="F145" s="973"/>
      <c r="G145" s="973"/>
      <c r="H145" s="973"/>
      <c r="I145" s="973"/>
      <c r="J145" s="976"/>
      <c r="K145" s="977"/>
      <c r="L145" s="978"/>
      <c r="M145" s="159"/>
      <c r="N145" s="159"/>
      <c r="O145" s="159"/>
      <c r="P145" s="159"/>
      <c r="Q145" s="159"/>
      <c r="R145" s="159"/>
    </row>
    <row r="146" spans="1:18">
      <c r="A146" s="965">
        <f>Gases!A153</f>
        <v>128</v>
      </c>
      <c r="B146" s="1061"/>
      <c r="C146" s="1061"/>
      <c r="D146" s="1061"/>
      <c r="E146" s="973"/>
      <c r="F146" s="973"/>
      <c r="G146" s="973"/>
      <c r="H146" s="973"/>
      <c r="I146" s="973"/>
      <c r="J146" s="976"/>
      <c r="K146" s="977"/>
      <c r="L146" s="978"/>
      <c r="M146" s="159"/>
      <c r="N146" s="159"/>
      <c r="O146" s="159"/>
      <c r="P146" s="159"/>
      <c r="Q146" s="159"/>
      <c r="R146" s="159"/>
    </row>
    <row r="147" spans="1:18">
      <c r="A147" s="965">
        <f>Gases!A154</f>
        <v>129</v>
      </c>
      <c r="B147" s="1061"/>
      <c r="C147" s="1061"/>
      <c r="D147" s="1061"/>
      <c r="E147" s="973"/>
      <c r="F147" s="973"/>
      <c r="G147" s="973"/>
      <c r="H147" s="973"/>
      <c r="I147" s="973"/>
      <c r="J147" s="976"/>
      <c r="K147" s="977"/>
      <c r="L147" s="978"/>
      <c r="M147" s="159"/>
      <c r="N147" s="159"/>
      <c r="O147" s="159"/>
      <c r="P147" s="159"/>
      <c r="Q147" s="159"/>
      <c r="R147" s="159"/>
    </row>
    <row r="148" spans="1:18">
      <c r="A148" s="965">
        <f>Gases!A155</f>
        <v>130</v>
      </c>
      <c r="B148" s="1061"/>
      <c r="C148" s="1061"/>
      <c r="D148" s="1061"/>
      <c r="E148" s="973"/>
      <c r="F148" s="973"/>
      <c r="G148" s="973"/>
      <c r="H148" s="973"/>
      <c r="I148" s="973"/>
      <c r="J148" s="976"/>
      <c r="K148" s="977"/>
      <c r="L148" s="978"/>
      <c r="M148" s="159"/>
      <c r="N148" s="159"/>
      <c r="O148" s="159"/>
      <c r="P148" s="159"/>
      <c r="Q148" s="159"/>
      <c r="R148" s="159"/>
    </row>
    <row r="149" spans="1:18">
      <c r="A149" s="965">
        <f>Gases!A156</f>
        <v>131</v>
      </c>
      <c r="B149" s="1061"/>
      <c r="C149" s="1061"/>
      <c r="D149" s="1061"/>
      <c r="E149" s="973"/>
      <c r="F149" s="973"/>
      <c r="G149" s="973"/>
      <c r="H149" s="973"/>
      <c r="I149" s="973"/>
      <c r="J149" s="976"/>
      <c r="K149" s="977"/>
      <c r="L149" s="978"/>
      <c r="M149" s="159"/>
      <c r="N149" s="159"/>
      <c r="O149" s="159"/>
      <c r="P149" s="159"/>
      <c r="Q149" s="159"/>
      <c r="R149" s="159"/>
    </row>
    <row r="150" spans="1:18">
      <c r="A150" s="965">
        <f>Gases!A157</f>
        <v>132</v>
      </c>
      <c r="B150" s="1061"/>
      <c r="C150" s="1061"/>
      <c r="D150" s="1061"/>
      <c r="E150" s="973"/>
      <c r="F150" s="973"/>
      <c r="G150" s="973"/>
      <c r="H150" s="973"/>
      <c r="I150" s="973"/>
      <c r="J150" s="976"/>
      <c r="K150" s="977"/>
      <c r="L150" s="978"/>
      <c r="M150" s="159"/>
      <c r="N150" s="159"/>
      <c r="O150" s="159"/>
      <c r="P150" s="159"/>
      <c r="Q150" s="159"/>
      <c r="R150" s="159"/>
    </row>
    <row r="151" spans="1:18">
      <c r="A151" s="965">
        <f>Gases!A158</f>
        <v>133</v>
      </c>
      <c r="B151" s="1061"/>
      <c r="C151" s="1061"/>
      <c r="D151" s="1061"/>
      <c r="E151" s="973"/>
      <c r="F151" s="973"/>
      <c r="G151" s="973"/>
      <c r="H151" s="973"/>
      <c r="I151" s="973"/>
      <c r="J151" s="976"/>
      <c r="K151" s="977"/>
      <c r="L151" s="978"/>
      <c r="M151" s="159"/>
      <c r="N151" s="159"/>
      <c r="O151" s="159"/>
      <c r="P151" s="159"/>
      <c r="Q151" s="159"/>
      <c r="R151" s="159"/>
    </row>
    <row r="152" spans="1:18">
      <c r="A152" s="965">
        <f>Gases!A159</f>
        <v>134</v>
      </c>
      <c r="B152" s="1061"/>
      <c r="C152" s="1061"/>
      <c r="D152" s="1061"/>
      <c r="E152" s="973"/>
      <c r="F152" s="973"/>
      <c r="G152" s="973"/>
      <c r="H152" s="973"/>
      <c r="I152" s="973"/>
      <c r="J152" s="976"/>
      <c r="K152" s="977"/>
      <c r="L152" s="978"/>
      <c r="M152" s="159"/>
      <c r="N152" s="159"/>
      <c r="O152" s="159"/>
      <c r="P152" s="159"/>
      <c r="Q152" s="159"/>
      <c r="R152" s="159"/>
    </row>
    <row r="153" spans="1:18">
      <c r="A153" s="965">
        <f>Gases!A160</f>
        <v>135</v>
      </c>
      <c r="B153" s="1061"/>
      <c r="C153" s="1061"/>
      <c r="D153" s="1061"/>
      <c r="E153" s="973"/>
      <c r="F153" s="973"/>
      <c r="G153" s="973"/>
      <c r="H153" s="973"/>
      <c r="I153" s="973"/>
      <c r="J153" s="976"/>
      <c r="K153" s="977"/>
      <c r="L153" s="978"/>
      <c r="M153" s="159"/>
      <c r="N153" s="159"/>
      <c r="O153" s="159"/>
      <c r="P153" s="159"/>
      <c r="Q153" s="159"/>
      <c r="R153" s="159"/>
    </row>
    <row r="154" spans="1:18">
      <c r="A154" s="965">
        <f>Gases!A161</f>
        <v>136</v>
      </c>
      <c r="B154" s="1061"/>
      <c r="C154" s="1061"/>
      <c r="D154" s="1061"/>
      <c r="E154" s="973"/>
      <c r="F154" s="973"/>
      <c r="G154" s="973"/>
      <c r="H154" s="973"/>
      <c r="I154" s="973"/>
      <c r="J154" s="976"/>
      <c r="K154" s="977"/>
      <c r="L154" s="978"/>
      <c r="M154" s="159"/>
      <c r="N154" s="159"/>
      <c r="O154" s="159"/>
      <c r="P154" s="159"/>
      <c r="Q154" s="159"/>
      <c r="R154" s="159"/>
    </row>
    <row r="155" spans="1:18">
      <c r="A155" s="965">
        <f>Gases!A162</f>
        <v>137</v>
      </c>
      <c r="B155" s="1061"/>
      <c r="C155" s="1061"/>
      <c r="D155" s="1061"/>
      <c r="E155" s="973"/>
      <c r="F155" s="973"/>
      <c r="G155" s="973"/>
      <c r="H155" s="973"/>
      <c r="I155" s="973"/>
      <c r="J155" s="976"/>
      <c r="K155" s="977"/>
      <c r="L155" s="978"/>
      <c r="M155" s="159"/>
      <c r="N155" s="159"/>
      <c r="O155" s="159"/>
      <c r="P155" s="159"/>
      <c r="Q155" s="159"/>
      <c r="R155" s="159"/>
    </row>
    <row r="156" spans="1:18">
      <c r="A156" s="965">
        <f>Gases!A163</f>
        <v>138</v>
      </c>
      <c r="B156" s="1061"/>
      <c r="C156" s="1061"/>
      <c r="D156" s="1061"/>
      <c r="E156" s="973"/>
      <c r="F156" s="973"/>
      <c r="G156" s="973"/>
      <c r="H156" s="973"/>
      <c r="I156" s="973"/>
      <c r="J156" s="976"/>
      <c r="K156" s="977"/>
      <c r="L156" s="978"/>
      <c r="M156" s="159"/>
      <c r="N156" s="159"/>
      <c r="O156" s="159"/>
      <c r="P156" s="159"/>
      <c r="Q156" s="159"/>
      <c r="R156" s="159"/>
    </row>
    <row r="157" spans="1:18">
      <c r="A157" s="965">
        <f>Gases!A164</f>
        <v>139</v>
      </c>
      <c r="B157" s="1061"/>
      <c r="C157" s="1061"/>
      <c r="D157" s="1061"/>
      <c r="E157" s="973"/>
      <c r="F157" s="973"/>
      <c r="G157" s="973"/>
      <c r="H157" s="973"/>
      <c r="I157" s="973"/>
      <c r="J157" s="976"/>
      <c r="K157" s="977"/>
      <c r="L157" s="978"/>
      <c r="M157" s="159"/>
      <c r="N157" s="159"/>
      <c r="O157" s="159"/>
      <c r="P157" s="159"/>
      <c r="Q157" s="159"/>
      <c r="R157" s="159"/>
    </row>
    <row r="158" spans="1:18">
      <c r="A158" s="965">
        <f>Gases!A165</f>
        <v>140</v>
      </c>
      <c r="B158" s="1061"/>
      <c r="C158" s="1061"/>
      <c r="D158" s="1061"/>
      <c r="E158" s="973"/>
      <c r="F158" s="973"/>
      <c r="G158" s="973"/>
      <c r="H158" s="973"/>
      <c r="I158" s="973"/>
      <c r="J158" s="976"/>
      <c r="K158" s="977"/>
      <c r="L158" s="978"/>
      <c r="M158" s="159"/>
      <c r="N158" s="159"/>
      <c r="O158" s="159"/>
      <c r="P158" s="159"/>
      <c r="Q158" s="159"/>
      <c r="R158" s="159"/>
    </row>
    <row r="159" spans="1:18">
      <c r="A159" s="965">
        <f>Gases!A166</f>
        <v>141</v>
      </c>
      <c r="B159" s="1061"/>
      <c r="C159" s="1061"/>
      <c r="D159" s="1061"/>
      <c r="E159" s="973"/>
      <c r="F159" s="973"/>
      <c r="G159" s="973"/>
      <c r="H159" s="973"/>
      <c r="I159" s="973"/>
      <c r="J159" s="976"/>
      <c r="K159" s="977"/>
      <c r="L159" s="978"/>
      <c r="M159" s="159"/>
      <c r="N159" s="159"/>
      <c r="O159" s="159"/>
      <c r="P159" s="159"/>
      <c r="Q159" s="159"/>
      <c r="R159" s="159"/>
    </row>
    <row r="160" spans="1:18">
      <c r="A160" s="965">
        <f>Gases!A167</f>
        <v>142</v>
      </c>
      <c r="B160" s="1061"/>
      <c r="C160" s="1061"/>
      <c r="D160" s="1061"/>
      <c r="E160" s="973"/>
      <c r="F160" s="973"/>
      <c r="G160" s="973"/>
      <c r="H160" s="973"/>
      <c r="I160" s="973"/>
      <c r="J160" s="976"/>
      <c r="K160" s="977"/>
      <c r="L160" s="978"/>
      <c r="M160" s="159"/>
      <c r="N160" s="159"/>
      <c r="O160" s="159"/>
      <c r="P160" s="159"/>
      <c r="Q160" s="159"/>
      <c r="R160" s="159"/>
    </row>
    <row r="161" spans="1:18">
      <c r="A161" s="965">
        <f>Gases!A168</f>
        <v>143</v>
      </c>
      <c r="B161" s="1061"/>
      <c r="C161" s="1061"/>
      <c r="D161" s="1061"/>
      <c r="E161" s="973"/>
      <c r="F161" s="973"/>
      <c r="G161" s="973"/>
      <c r="H161" s="973"/>
      <c r="I161" s="973"/>
      <c r="J161" s="976"/>
      <c r="K161" s="977"/>
      <c r="L161" s="978"/>
      <c r="M161" s="159"/>
      <c r="N161" s="159"/>
      <c r="O161" s="159"/>
      <c r="P161" s="159"/>
      <c r="Q161" s="159"/>
      <c r="R161" s="159"/>
    </row>
    <row r="162" spans="1:18">
      <c r="A162" s="965">
        <f>Gases!A169</f>
        <v>144</v>
      </c>
      <c r="B162" s="1061"/>
      <c r="C162" s="1061"/>
      <c r="D162" s="1061"/>
      <c r="E162" s="973"/>
      <c r="F162" s="973"/>
      <c r="G162" s="973"/>
      <c r="H162" s="973"/>
      <c r="I162" s="973"/>
      <c r="J162" s="976"/>
      <c r="K162" s="977"/>
      <c r="L162" s="978"/>
      <c r="M162" s="159"/>
      <c r="N162" s="159"/>
      <c r="O162" s="159"/>
      <c r="P162" s="159"/>
      <c r="Q162" s="159"/>
      <c r="R162" s="159"/>
    </row>
    <row r="163" spans="1:18">
      <c r="A163" s="965">
        <f>Gases!A170</f>
        <v>145</v>
      </c>
      <c r="B163" s="1061"/>
      <c r="C163" s="1061"/>
      <c r="D163" s="1061"/>
      <c r="E163" s="973"/>
      <c r="F163" s="973"/>
      <c r="G163" s="973"/>
      <c r="H163" s="973"/>
      <c r="I163" s="973"/>
      <c r="J163" s="976"/>
      <c r="K163" s="977"/>
      <c r="L163" s="978"/>
      <c r="M163" s="159"/>
      <c r="N163" s="159"/>
      <c r="O163" s="159"/>
      <c r="P163" s="159"/>
      <c r="Q163" s="159"/>
      <c r="R163" s="159"/>
    </row>
    <row r="164" spans="1:18">
      <c r="A164" s="965">
        <f>Gases!A171</f>
        <v>146</v>
      </c>
      <c r="B164" s="1061"/>
      <c r="C164" s="1061"/>
      <c r="D164" s="1061"/>
      <c r="E164" s="973"/>
      <c r="F164" s="973"/>
      <c r="G164" s="973"/>
      <c r="H164" s="973"/>
      <c r="I164" s="973"/>
      <c r="J164" s="976"/>
      <c r="K164" s="977"/>
      <c r="L164" s="978"/>
      <c r="M164" s="159"/>
      <c r="N164" s="159"/>
      <c r="O164" s="159"/>
      <c r="P164" s="159"/>
      <c r="Q164" s="159"/>
      <c r="R164" s="159"/>
    </row>
    <row r="165" spans="1:18">
      <c r="A165" s="965">
        <f>Gases!A172</f>
        <v>147</v>
      </c>
      <c r="B165" s="1061"/>
      <c r="C165" s="1061"/>
      <c r="D165" s="1061"/>
      <c r="E165" s="973"/>
      <c r="F165" s="973"/>
      <c r="G165" s="973"/>
      <c r="H165" s="973"/>
      <c r="I165" s="973"/>
      <c r="J165" s="976"/>
      <c r="K165" s="977"/>
      <c r="L165" s="978"/>
      <c r="M165" s="159"/>
      <c r="N165" s="159"/>
      <c r="O165" s="159"/>
      <c r="P165" s="159"/>
      <c r="Q165" s="159"/>
      <c r="R165" s="159"/>
    </row>
    <row r="166" spans="1:18">
      <c r="A166" s="965">
        <f>Gases!A173</f>
        <v>148</v>
      </c>
      <c r="B166" s="1061"/>
      <c r="C166" s="1061"/>
      <c r="D166" s="1061"/>
      <c r="E166" s="973"/>
      <c r="F166" s="973"/>
      <c r="G166" s="973"/>
      <c r="H166" s="973"/>
      <c r="I166" s="973"/>
      <c r="J166" s="976"/>
      <c r="K166" s="977"/>
      <c r="L166" s="978"/>
      <c r="M166" s="159"/>
      <c r="N166" s="159"/>
      <c r="O166" s="159"/>
      <c r="P166" s="159"/>
      <c r="Q166" s="159"/>
      <c r="R166" s="159"/>
    </row>
    <row r="167" spans="1:18">
      <c r="A167" s="965">
        <f>Gases!A174</f>
        <v>149</v>
      </c>
      <c r="B167" s="1061"/>
      <c r="C167" s="1061"/>
      <c r="D167" s="1061"/>
      <c r="E167" s="973"/>
      <c r="F167" s="973"/>
      <c r="G167" s="973"/>
      <c r="H167" s="973"/>
      <c r="I167" s="973"/>
      <c r="J167" s="976"/>
      <c r="K167" s="977"/>
      <c r="L167" s="978"/>
      <c r="M167" s="159"/>
      <c r="N167" s="159"/>
      <c r="O167" s="159"/>
      <c r="P167" s="159"/>
      <c r="Q167" s="159"/>
      <c r="R167" s="159"/>
    </row>
    <row r="168" spans="1:18">
      <c r="A168" s="965">
        <f>Gases!A175</f>
        <v>150</v>
      </c>
      <c r="B168" s="1061"/>
      <c r="C168" s="1061"/>
      <c r="D168" s="1061"/>
      <c r="E168" s="973"/>
      <c r="F168" s="973"/>
      <c r="G168" s="973"/>
      <c r="H168" s="973"/>
      <c r="I168" s="973"/>
      <c r="J168" s="976"/>
      <c r="K168" s="977"/>
      <c r="L168" s="978"/>
      <c r="M168" s="159"/>
      <c r="N168" s="159"/>
      <c r="O168" s="159"/>
      <c r="P168" s="159"/>
      <c r="Q168" s="159"/>
      <c r="R168" s="159"/>
    </row>
    <row r="169" spans="1:18">
      <c r="A169" s="965">
        <f>Gases!A176</f>
        <v>151</v>
      </c>
      <c r="B169" s="1061"/>
      <c r="C169" s="1061"/>
      <c r="D169" s="1061"/>
      <c r="E169" s="973"/>
      <c r="F169" s="973"/>
      <c r="G169" s="973"/>
      <c r="H169" s="973"/>
      <c r="I169" s="973"/>
      <c r="J169" s="976"/>
      <c r="K169" s="977"/>
      <c r="L169" s="978"/>
      <c r="M169" s="159"/>
      <c r="N169" s="159"/>
      <c r="O169" s="159"/>
      <c r="P169" s="159"/>
      <c r="Q169" s="159"/>
      <c r="R169" s="159"/>
    </row>
    <row r="170" spans="1:18">
      <c r="A170" s="965">
        <f>Gases!A177</f>
        <v>152</v>
      </c>
      <c r="B170" s="1061"/>
      <c r="C170" s="1061"/>
      <c r="D170" s="1061"/>
      <c r="E170" s="973"/>
      <c r="F170" s="973"/>
      <c r="G170" s="973"/>
      <c r="H170" s="973"/>
      <c r="I170" s="973"/>
      <c r="J170" s="976"/>
      <c r="K170" s="977"/>
      <c r="L170" s="978"/>
      <c r="M170" s="159"/>
      <c r="N170" s="159"/>
      <c r="O170" s="159"/>
      <c r="P170" s="159"/>
      <c r="Q170" s="159"/>
      <c r="R170" s="159"/>
    </row>
    <row r="171" spans="1:18">
      <c r="A171" s="965">
        <f>Gases!A178</f>
        <v>153</v>
      </c>
      <c r="B171" s="1061"/>
      <c r="C171" s="1061"/>
      <c r="D171" s="1061"/>
      <c r="E171" s="973"/>
      <c r="F171" s="973"/>
      <c r="G171" s="973"/>
      <c r="H171" s="973"/>
      <c r="I171" s="973"/>
      <c r="J171" s="976"/>
      <c r="K171" s="977"/>
      <c r="L171" s="978"/>
      <c r="M171" s="159"/>
      <c r="N171" s="159"/>
      <c r="O171" s="159"/>
      <c r="P171" s="159"/>
      <c r="Q171" s="159"/>
      <c r="R171" s="159"/>
    </row>
    <row r="172" spans="1:18">
      <c r="A172" s="965">
        <f>Gases!A179</f>
        <v>154</v>
      </c>
      <c r="B172" s="1061"/>
      <c r="C172" s="1061"/>
      <c r="D172" s="1061"/>
      <c r="E172" s="973"/>
      <c r="F172" s="973"/>
      <c r="G172" s="973"/>
      <c r="H172" s="973"/>
      <c r="I172" s="973"/>
      <c r="J172" s="976"/>
      <c r="K172" s="977"/>
      <c r="L172" s="978"/>
      <c r="M172" s="159"/>
      <c r="N172" s="159"/>
      <c r="O172" s="159"/>
      <c r="P172" s="159"/>
      <c r="Q172" s="159"/>
      <c r="R172" s="159"/>
    </row>
    <row r="173" spans="1:18">
      <c r="A173" s="965">
        <f>Gases!A180</f>
        <v>155</v>
      </c>
      <c r="B173" s="1061"/>
      <c r="C173" s="1061"/>
      <c r="D173" s="1061"/>
      <c r="E173" s="973"/>
      <c r="F173" s="973"/>
      <c r="G173" s="973"/>
      <c r="H173" s="973"/>
      <c r="I173" s="973"/>
      <c r="J173" s="976"/>
      <c r="K173" s="977"/>
      <c r="L173" s="978"/>
      <c r="M173" s="159"/>
      <c r="N173" s="159"/>
      <c r="O173" s="159"/>
      <c r="P173" s="159"/>
      <c r="Q173" s="159"/>
      <c r="R173" s="159"/>
    </row>
    <row r="174" spans="1:18">
      <c r="A174" s="965">
        <f>Gases!A181</f>
        <v>156</v>
      </c>
      <c r="B174" s="1061"/>
      <c r="C174" s="1061"/>
      <c r="D174" s="1061"/>
      <c r="E174" s="973"/>
      <c r="F174" s="973"/>
      <c r="G174" s="973"/>
      <c r="H174" s="973"/>
      <c r="I174" s="973"/>
      <c r="J174" s="976"/>
      <c r="K174" s="977"/>
      <c r="L174" s="978"/>
      <c r="M174" s="159"/>
      <c r="N174" s="159"/>
      <c r="O174" s="159"/>
      <c r="P174" s="159"/>
      <c r="Q174" s="159"/>
      <c r="R174" s="159"/>
    </row>
    <row r="175" spans="1:18">
      <c r="A175" s="965">
        <f>Gases!A182</f>
        <v>157</v>
      </c>
      <c r="B175" s="1061"/>
      <c r="C175" s="1061"/>
      <c r="D175" s="1061"/>
      <c r="E175" s="973"/>
      <c r="F175" s="973"/>
      <c r="G175" s="973"/>
      <c r="H175" s="973"/>
      <c r="I175" s="973"/>
      <c r="J175" s="976"/>
      <c r="K175" s="977"/>
      <c r="L175" s="978"/>
      <c r="M175" s="159"/>
      <c r="N175" s="159"/>
      <c r="O175" s="159"/>
      <c r="P175" s="159"/>
      <c r="Q175" s="159"/>
      <c r="R175" s="159"/>
    </row>
    <row r="176" spans="1:18">
      <c r="A176" s="965">
        <f>Gases!A183</f>
        <v>158</v>
      </c>
      <c r="B176" s="1061"/>
      <c r="C176" s="1061"/>
      <c r="D176" s="1061"/>
      <c r="E176" s="973"/>
      <c r="F176" s="973"/>
      <c r="G176" s="973"/>
      <c r="H176" s="973"/>
      <c r="I176" s="973"/>
      <c r="J176" s="976"/>
      <c r="K176" s="977"/>
      <c r="L176" s="978"/>
      <c r="M176" s="159"/>
      <c r="N176" s="159"/>
      <c r="O176" s="159"/>
      <c r="P176" s="159"/>
      <c r="Q176" s="159"/>
      <c r="R176" s="159"/>
    </row>
    <row r="177" spans="1:18">
      <c r="A177" s="965">
        <f>Gases!A184</f>
        <v>159</v>
      </c>
      <c r="B177" s="1061"/>
      <c r="C177" s="1061"/>
      <c r="D177" s="1061"/>
      <c r="E177" s="973"/>
      <c r="F177" s="973"/>
      <c r="G177" s="973"/>
      <c r="H177" s="973"/>
      <c r="I177" s="973"/>
      <c r="J177" s="976"/>
      <c r="K177" s="977"/>
      <c r="L177" s="978"/>
      <c r="M177" s="159"/>
      <c r="N177" s="159"/>
      <c r="O177" s="159"/>
      <c r="P177" s="159"/>
      <c r="Q177" s="159"/>
      <c r="R177" s="159"/>
    </row>
    <row r="178" spans="1:18">
      <c r="A178" s="965">
        <f>Gases!A185</f>
        <v>160</v>
      </c>
      <c r="B178" s="1061"/>
      <c r="C178" s="1061"/>
      <c r="D178" s="1061"/>
      <c r="E178" s="973"/>
      <c r="F178" s="973"/>
      <c r="G178" s="973"/>
      <c r="H178" s="973"/>
      <c r="I178" s="973"/>
      <c r="J178" s="976"/>
      <c r="K178" s="977"/>
      <c r="L178" s="978"/>
      <c r="M178" s="159"/>
      <c r="N178" s="159"/>
      <c r="O178" s="159"/>
      <c r="P178" s="159"/>
      <c r="Q178" s="159"/>
      <c r="R178" s="159"/>
    </row>
    <row r="179" spans="1:18">
      <c r="A179" s="965">
        <f>Gases!A186</f>
        <v>161</v>
      </c>
      <c r="B179" s="1061"/>
      <c r="C179" s="1061"/>
      <c r="D179" s="1061"/>
      <c r="E179" s="973"/>
      <c r="F179" s="973"/>
      <c r="G179" s="973"/>
      <c r="H179" s="973"/>
      <c r="I179" s="973"/>
      <c r="J179" s="976"/>
      <c r="K179" s="977"/>
      <c r="L179" s="978"/>
      <c r="M179" s="159"/>
      <c r="N179" s="159"/>
      <c r="O179" s="159"/>
      <c r="P179" s="159"/>
      <c r="Q179" s="159"/>
      <c r="R179" s="159"/>
    </row>
    <row r="180" spans="1:18">
      <c r="A180" s="965">
        <f>Gases!A187</f>
        <v>162</v>
      </c>
      <c r="B180" s="1061"/>
      <c r="C180" s="1061"/>
      <c r="D180" s="1061"/>
      <c r="E180" s="973"/>
      <c r="F180" s="973"/>
      <c r="G180" s="973"/>
      <c r="H180" s="973"/>
      <c r="I180" s="973"/>
      <c r="J180" s="976"/>
      <c r="K180" s="977"/>
      <c r="L180" s="978"/>
      <c r="M180" s="159"/>
      <c r="N180" s="159"/>
      <c r="O180" s="159"/>
      <c r="P180" s="159"/>
      <c r="Q180" s="159"/>
      <c r="R180" s="159"/>
    </row>
    <row r="181" spans="1:18">
      <c r="A181" s="965">
        <f>Gases!A188</f>
        <v>163</v>
      </c>
      <c r="B181" s="1061"/>
      <c r="C181" s="1061"/>
      <c r="D181" s="1061"/>
      <c r="E181" s="973"/>
      <c r="F181" s="973"/>
      <c r="G181" s="973"/>
      <c r="H181" s="973"/>
      <c r="I181" s="973"/>
      <c r="J181" s="976"/>
      <c r="K181" s="977"/>
      <c r="L181" s="978"/>
      <c r="M181" s="159"/>
      <c r="N181" s="159"/>
      <c r="O181" s="159"/>
      <c r="P181" s="159"/>
      <c r="Q181" s="159"/>
      <c r="R181" s="159"/>
    </row>
    <row r="182" spans="1:18">
      <c r="A182" s="1058">
        <f>Gases!A189</f>
        <v>164</v>
      </c>
      <c r="B182" s="1061"/>
      <c r="C182" s="1061"/>
      <c r="D182" s="1061"/>
      <c r="E182" s="973"/>
      <c r="F182" s="973"/>
      <c r="G182" s="973"/>
      <c r="H182" s="973"/>
      <c r="I182" s="973"/>
      <c r="J182" s="976"/>
      <c r="K182" s="977"/>
      <c r="L182" s="978"/>
      <c r="M182" s="159"/>
      <c r="N182" s="159"/>
      <c r="O182" s="159"/>
      <c r="P182" s="159"/>
      <c r="Q182" s="159"/>
      <c r="R182" s="159"/>
    </row>
    <row r="183" spans="1:18">
      <c r="A183" s="1058">
        <f>Gases!A190</f>
        <v>165</v>
      </c>
      <c r="B183" s="1061"/>
      <c r="C183" s="1061"/>
      <c r="D183" s="1061"/>
      <c r="E183" s="973"/>
      <c r="F183" s="973"/>
      <c r="G183" s="973"/>
      <c r="H183" s="973"/>
      <c r="I183" s="973"/>
      <c r="J183" s="976"/>
      <c r="K183" s="977"/>
      <c r="L183" s="978"/>
      <c r="M183" s="159"/>
      <c r="N183" s="159"/>
      <c r="O183" s="159"/>
      <c r="P183" s="159"/>
      <c r="Q183" s="159"/>
      <c r="R183" s="159"/>
    </row>
    <row r="184" spans="1:18">
      <c r="A184" s="1058">
        <f>Gases!A191</f>
        <v>166</v>
      </c>
      <c r="B184" s="1061"/>
      <c r="C184" s="1061"/>
      <c r="D184" s="1061"/>
      <c r="E184" s="973"/>
      <c r="F184" s="973"/>
      <c r="G184" s="973"/>
      <c r="H184" s="973"/>
      <c r="I184" s="973"/>
      <c r="J184" s="976"/>
      <c r="K184" s="977"/>
      <c r="L184" s="978"/>
      <c r="M184" s="159"/>
      <c r="N184" s="159"/>
      <c r="O184" s="159"/>
      <c r="P184" s="159"/>
      <c r="Q184" s="159"/>
      <c r="R184" s="159"/>
    </row>
    <row r="185" spans="1:18">
      <c r="A185" s="1058">
        <f>Gases!A192</f>
        <v>167</v>
      </c>
      <c r="B185" s="1061"/>
      <c r="C185" s="1061"/>
      <c r="D185" s="1061"/>
      <c r="E185" s="973"/>
      <c r="F185" s="973"/>
      <c r="G185" s="973"/>
      <c r="H185" s="973"/>
      <c r="I185" s="973"/>
      <c r="J185" s="976"/>
      <c r="K185" s="977"/>
      <c r="L185" s="978"/>
      <c r="M185" s="159"/>
      <c r="N185" s="159"/>
      <c r="O185" s="159"/>
      <c r="P185" s="159"/>
      <c r="Q185" s="159"/>
      <c r="R185" s="159"/>
    </row>
    <row r="186" spans="1:18">
      <c r="A186" s="1058">
        <f>Gases!A193</f>
        <v>168</v>
      </c>
      <c r="B186" s="1061"/>
      <c r="C186" s="1061"/>
      <c r="D186" s="1061"/>
      <c r="E186" s="973"/>
      <c r="F186" s="973"/>
      <c r="G186" s="973"/>
      <c r="H186" s="973"/>
      <c r="I186" s="973"/>
      <c r="J186" s="976"/>
      <c r="K186" s="977"/>
      <c r="L186" s="978"/>
      <c r="M186" s="159"/>
      <c r="N186" s="159"/>
      <c r="O186" s="159"/>
      <c r="P186" s="159"/>
      <c r="Q186" s="159"/>
      <c r="R186" s="159"/>
    </row>
    <row r="187" spans="1:18">
      <c r="A187" s="1058">
        <f>Gases!A194</f>
        <v>169</v>
      </c>
      <c r="B187" s="1061"/>
      <c r="C187" s="1061"/>
      <c r="D187" s="1061"/>
      <c r="E187" s="973"/>
      <c r="F187" s="973"/>
      <c r="G187" s="973"/>
      <c r="H187" s="973"/>
      <c r="I187" s="973"/>
      <c r="J187" s="976"/>
      <c r="K187" s="977"/>
      <c r="L187" s="978"/>
      <c r="M187" s="159"/>
      <c r="N187" s="159"/>
      <c r="O187" s="159"/>
      <c r="P187" s="159"/>
      <c r="Q187" s="159"/>
      <c r="R187" s="159"/>
    </row>
    <row r="188" spans="1:18">
      <c r="A188" s="1058">
        <f>Gases!A195</f>
        <v>170</v>
      </c>
      <c r="B188" s="1061"/>
      <c r="C188" s="1061"/>
      <c r="D188" s="1061"/>
      <c r="E188" s="973"/>
      <c r="F188" s="973"/>
      <c r="G188" s="973"/>
      <c r="H188" s="973"/>
      <c r="I188" s="973"/>
      <c r="J188" s="976"/>
      <c r="K188" s="977"/>
      <c r="L188" s="978"/>
      <c r="M188" s="159"/>
      <c r="N188" s="159"/>
      <c r="O188" s="159"/>
      <c r="P188" s="159"/>
      <c r="Q188" s="159"/>
      <c r="R188" s="159"/>
    </row>
    <row r="189" spans="1:18">
      <c r="A189" s="1058">
        <f>Gases!A196</f>
        <v>171</v>
      </c>
      <c r="B189" s="1061"/>
      <c r="C189" s="1061"/>
      <c r="D189" s="1061"/>
      <c r="E189" s="973"/>
      <c r="F189" s="973"/>
      <c r="G189" s="973"/>
      <c r="H189" s="973"/>
      <c r="I189" s="973"/>
      <c r="J189" s="976"/>
      <c r="K189" s="977"/>
      <c r="L189" s="978"/>
      <c r="M189" s="159"/>
      <c r="N189" s="159"/>
      <c r="O189" s="159"/>
      <c r="P189" s="159"/>
      <c r="Q189" s="159"/>
      <c r="R189" s="159"/>
    </row>
    <row r="190" spans="1:18">
      <c r="A190" s="1058">
        <f>Gases!A197</f>
        <v>172</v>
      </c>
      <c r="B190" s="1061"/>
      <c r="C190" s="1061"/>
      <c r="D190" s="1061"/>
      <c r="E190" s="973"/>
      <c r="F190" s="973"/>
      <c r="G190" s="973"/>
      <c r="H190" s="973"/>
      <c r="I190" s="973"/>
      <c r="J190" s="976"/>
      <c r="K190" s="977"/>
      <c r="L190" s="978"/>
      <c r="M190" s="159"/>
      <c r="N190" s="159"/>
      <c r="O190" s="159"/>
      <c r="P190" s="159"/>
      <c r="Q190" s="159"/>
      <c r="R190" s="159"/>
    </row>
    <row r="191" spans="1:18">
      <c r="A191" s="1058">
        <f>Gases!A198</f>
        <v>173</v>
      </c>
      <c r="B191" s="1061"/>
      <c r="C191" s="1061"/>
      <c r="D191" s="1061"/>
      <c r="E191" s="973"/>
      <c r="F191" s="973"/>
      <c r="G191" s="973"/>
      <c r="H191" s="973"/>
      <c r="I191" s="973"/>
      <c r="J191" s="976"/>
      <c r="K191" s="977"/>
      <c r="L191" s="978"/>
      <c r="M191" s="159"/>
      <c r="N191" s="159"/>
      <c r="O191" s="159"/>
      <c r="P191" s="159"/>
      <c r="Q191" s="159"/>
      <c r="R191" s="159"/>
    </row>
    <row r="192" spans="1:18">
      <c r="A192" s="1058">
        <f>Gases!A199</f>
        <v>174</v>
      </c>
      <c r="B192" s="1061"/>
      <c r="C192" s="1061"/>
      <c r="D192" s="1061"/>
      <c r="E192" s="973"/>
      <c r="F192" s="973"/>
      <c r="G192" s="973"/>
      <c r="H192" s="973"/>
      <c r="I192" s="973"/>
      <c r="J192" s="976"/>
      <c r="K192" s="977"/>
      <c r="L192" s="978"/>
      <c r="M192" s="159"/>
      <c r="N192" s="159"/>
      <c r="O192" s="159"/>
      <c r="P192" s="159"/>
      <c r="Q192" s="159"/>
      <c r="R192" s="159"/>
    </row>
    <row r="193" spans="1:18">
      <c r="A193" s="1058">
        <f>Gases!A200</f>
        <v>175</v>
      </c>
      <c r="B193" s="1061"/>
      <c r="C193" s="1061"/>
      <c r="D193" s="1061"/>
      <c r="E193" s="973"/>
      <c r="F193" s="973"/>
      <c r="G193" s="973"/>
      <c r="H193" s="973"/>
      <c r="I193" s="973"/>
      <c r="J193" s="976"/>
      <c r="K193" s="977"/>
      <c r="L193" s="978"/>
      <c r="M193" s="159"/>
      <c r="N193" s="159"/>
      <c r="O193" s="159"/>
      <c r="P193" s="159"/>
      <c r="Q193" s="159"/>
      <c r="R193" s="159"/>
    </row>
    <row r="194" spans="1:18">
      <c r="A194" s="1058">
        <f>Gases!A201</f>
        <v>176</v>
      </c>
      <c r="B194" s="1061"/>
      <c r="C194" s="1061"/>
      <c r="D194" s="1061"/>
      <c r="E194" s="973"/>
      <c r="F194" s="973"/>
      <c r="G194" s="973"/>
      <c r="H194" s="973"/>
      <c r="I194" s="973"/>
      <c r="J194" s="976"/>
      <c r="K194" s="977"/>
      <c r="L194" s="978"/>
      <c r="M194" s="159"/>
      <c r="N194" s="159"/>
      <c r="O194" s="159"/>
      <c r="P194" s="159"/>
      <c r="Q194" s="159"/>
      <c r="R194" s="159"/>
    </row>
    <row r="195" spans="1:18">
      <c r="A195" s="1058">
        <f>Gases!A202</f>
        <v>177</v>
      </c>
      <c r="B195" s="1061"/>
      <c r="C195" s="1061"/>
      <c r="D195" s="1061"/>
      <c r="E195" s="973"/>
      <c r="F195" s="973"/>
      <c r="G195" s="973"/>
      <c r="H195" s="973"/>
      <c r="I195" s="973"/>
      <c r="J195" s="976"/>
      <c r="K195" s="977"/>
      <c r="L195" s="978"/>
      <c r="M195" s="159"/>
      <c r="N195" s="159"/>
      <c r="O195" s="159"/>
      <c r="P195" s="159"/>
      <c r="Q195" s="159"/>
      <c r="R195" s="159"/>
    </row>
    <row r="196" spans="1:18">
      <c r="A196" s="1058">
        <f>Gases!A203</f>
        <v>178</v>
      </c>
      <c r="B196" s="1061"/>
      <c r="C196" s="1061"/>
      <c r="D196" s="1061"/>
      <c r="E196" s="973"/>
      <c r="F196" s="973"/>
      <c r="G196" s="973"/>
      <c r="H196" s="973"/>
      <c r="I196" s="973"/>
      <c r="J196" s="976"/>
      <c r="K196" s="977"/>
      <c r="L196" s="978"/>
      <c r="M196" s="159"/>
      <c r="N196" s="159"/>
      <c r="O196" s="159"/>
      <c r="P196" s="159"/>
      <c r="Q196" s="159"/>
      <c r="R196" s="159"/>
    </row>
    <row r="197" spans="1:18">
      <c r="A197" s="1058">
        <f>Gases!A204</f>
        <v>179</v>
      </c>
      <c r="B197" s="1061"/>
      <c r="C197" s="1061"/>
      <c r="D197" s="1061"/>
      <c r="E197" s="973"/>
      <c r="F197" s="973"/>
      <c r="G197" s="973"/>
      <c r="H197" s="973"/>
      <c r="I197" s="973"/>
      <c r="J197" s="976"/>
      <c r="K197" s="977"/>
      <c r="L197" s="978"/>
      <c r="M197" s="159"/>
      <c r="N197" s="159"/>
      <c r="O197" s="159"/>
      <c r="P197" s="159"/>
      <c r="Q197" s="159"/>
      <c r="R197" s="159"/>
    </row>
    <row r="198" spans="1:18">
      <c r="A198" s="1058">
        <f>Gases!A205</f>
        <v>180</v>
      </c>
      <c r="B198" s="1061"/>
      <c r="C198" s="1061"/>
      <c r="D198" s="1061"/>
      <c r="E198" s="973"/>
      <c r="F198" s="973"/>
      <c r="G198" s="973"/>
      <c r="H198" s="973"/>
      <c r="I198" s="973"/>
      <c r="J198" s="976"/>
      <c r="K198" s="977"/>
      <c r="L198" s="978"/>
      <c r="M198" s="159"/>
      <c r="N198" s="159"/>
      <c r="O198" s="159"/>
      <c r="P198" s="159"/>
      <c r="Q198" s="159"/>
      <c r="R198" s="159"/>
    </row>
    <row r="199" spans="1:18">
      <c r="A199" s="1058">
        <f>Gases!A206</f>
        <v>181</v>
      </c>
      <c r="B199" s="1061"/>
      <c r="C199" s="1061"/>
      <c r="D199" s="1061"/>
      <c r="E199" s="973"/>
      <c r="F199" s="973"/>
      <c r="G199" s="973"/>
      <c r="H199" s="973"/>
      <c r="I199" s="973"/>
      <c r="J199" s="976"/>
      <c r="K199" s="977"/>
      <c r="L199" s="978"/>
      <c r="M199" s="159"/>
      <c r="N199" s="159"/>
      <c r="O199" s="159"/>
      <c r="P199" s="159"/>
      <c r="Q199" s="159"/>
      <c r="R199" s="159"/>
    </row>
    <row r="200" spans="1:18">
      <c r="A200" s="1058">
        <f>Gases!A207</f>
        <v>182</v>
      </c>
      <c r="B200" s="1061"/>
      <c r="C200" s="1061"/>
      <c r="D200" s="1061"/>
      <c r="E200" s="973"/>
      <c r="F200" s="973"/>
      <c r="G200" s="973"/>
      <c r="H200" s="973"/>
      <c r="I200" s="973"/>
      <c r="J200" s="976"/>
      <c r="K200" s="977"/>
      <c r="L200" s="978"/>
      <c r="M200" s="159"/>
      <c r="N200" s="159"/>
      <c r="O200" s="159"/>
      <c r="P200" s="159"/>
      <c r="Q200" s="159"/>
      <c r="R200" s="159"/>
    </row>
    <row r="201" spans="1:18">
      <c r="A201" s="1058">
        <f>Gases!A208</f>
        <v>183</v>
      </c>
      <c r="B201" s="1061"/>
      <c r="C201" s="1061"/>
      <c r="D201" s="1061"/>
      <c r="E201" s="973"/>
      <c r="F201" s="973"/>
      <c r="G201" s="973"/>
      <c r="H201" s="973"/>
      <c r="I201" s="973"/>
      <c r="J201" s="976"/>
      <c r="K201" s="977"/>
      <c r="L201" s="978"/>
      <c r="M201" s="159"/>
      <c r="N201" s="159"/>
      <c r="O201" s="159"/>
      <c r="P201" s="159"/>
      <c r="Q201" s="159"/>
      <c r="R201" s="159"/>
    </row>
    <row r="202" spans="1:18">
      <c r="A202" s="1058">
        <f>Gases!A209</f>
        <v>184</v>
      </c>
      <c r="B202" s="1061"/>
      <c r="C202" s="1061"/>
      <c r="D202" s="1061"/>
      <c r="E202" s="973"/>
      <c r="F202" s="973"/>
      <c r="G202" s="973"/>
      <c r="H202" s="973"/>
      <c r="I202" s="973"/>
      <c r="J202" s="976"/>
      <c r="K202" s="977"/>
      <c r="L202" s="978"/>
      <c r="M202" s="159"/>
      <c r="N202" s="159"/>
      <c r="O202" s="159"/>
      <c r="P202" s="159"/>
      <c r="Q202" s="159"/>
      <c r="R202" s="159"/>
    </row>
    <row r="203" spans="1:18">
      <c r="A203" s="1058">
        <f>Gases!A210</f>
        <v>185</v>
      </c>
      <c r="B203" s="1061"/>
      <c r="C203" s="1061"/>
      <c r="D203" s="1061"/>
      <c r="E203" s="973"/>
      <c r="F203" s="973"/>
      <c r="G203" s="973"/>
      <c r="H203" s="973"/>
      <c r="I203" s="973"/>
      <c r="J203" s="976"/>
      <c r="K203" s="977"/>
      <c r="L203" s="978"/>
      <c r="M203" s="159"/>
      <c r="N203" s="159"/>
      <c r="O203" s="159"/>
      <c r="P203" s="159"/>
      <c r="Q203" s="159"/>
      <c r="R203" s="159"/>
    </row>
    <row r="204" spans="1:18">
      <c r="A204" s="1058">
        <f>Gases!A211</f>
        <v>186</v>
      </c>
      <c r="B204" s="1061"/>
      <c r="C204" s="1061"/>
      <c r="D204" s="1061"/>
      <c r="E204" s="973"/>
      <c r="F204" s="973"/>
      <c r="G204" s="973"/>
      <c r="H204" s="973"/>
      <c r="I204" s="973"/>
      <c r="J204" s="976"/>
      <c r="K204" s="977"/>
      <c r="L204" s="978"/>
      <c r="M204" s="159"/>
      <c r="N204" s="159"/>
      <c r="O204" s="159"/>
      <c r="P204" s="159"/>
      <c r="Q204" s="159"/>
      <c r="R204" s="159"/>
    </row>
    <row r="205" spans="1:18">
      <c r="A205" s="1058">
        <f>Gases!A212</f>
        <v>187</v>
      </c>
      <c r="B205" s="1061"/>
      <c r="C205" s="1061"/>
      <c r="D205" s="1061"/>
      <c r="E205" s="973"/>
      <c r="F205" s="973"/>
      <c r="G205" s="973"/>
      <c r="H205" s="973"/>
      <c r="I205" s="973"/>
      <c r="J205" s="976"/>
      <c r="K205" s="977"/>
      <c r="L205" s="978"/>
      <c r="M205" s="159"/>
      <c r="N205" s="159"/>
      <c r="O205" s="159"/>
      <c r="P205" s="159"/>
      <c r="Q205" s="159"/>
      <c r="R205" s="159"/>
    </row>
    <row r="206" spans="1:18">
      <c r="A206" s="1058">
        <f>Gases!A213</f>
        <v>188</v>
      </c>
      <c r="B206" s="1061"/>
      <c r="C206" s="1061"/>
      <c r="D206" s="1061"/>
      <c r="E206" s="973"/>
      <c r="F206" s="973"/>
      <c r="G206" s="973"/>
      <c r="H206" s="973"/>
      <c r="I206" s="973"/>
      <c r="J206" s="976"/>
      <c r="K206" s="977"/>
      <c r="L206" s="978"/>
      <c r="M206" s="159"/>
      <c r="N206" s="159"/>
      <c r="O206" s="159"/>
      <c r="P206" s="159"/>
      <c r="Q206" s="159"/>
      <c r="R206" s="159"/>
    </row>
    <row r="207" spans="1:18">
      <c r="A207" s="1058">
        <f>Gases!A214</f>
        <v>189</v>
      </c>
      <c r="B207" s="1061"/>
      <c r="C207" s="1061"/>
      <c r="D207" s="1061"/>
      <c r="E207" s="973"/>
      <c r="F207" s="973"/>
      <c r="G207" s="973"/>
      <c r="H207" s="973"/>
      <c r="I207" s="973"/>
      <c r="J207" s="976"/>
      <c r="K207" s="977"/>
      <c r="L207" s="978"/>
      <c r="M207" s="159"/>
      <c r="N207" s="159"/>
      <c r="O207" s="159"/>
      <c r="P207" s="159"/>
      <c r="Q207" s="159"/>
      <c r="R207" s="159"/>
    </row>
    <row r="208" spans="1:18">
      <c r="A208" s="1058">
        <f>Gases!A215</f>
        <v>190</v>
      </c>
      <c r="B208" s="1061"/>
      <c r="C208" s="1061"/>
      <c r="D208" s="1061"/>
      <c r="E208" s="973"/>
      <c r="F208" s="973"/>
      <c r="G208" s="973"/>
      <c r="H208" s="973"/>
      <c r="I208" s="973"/>
      <c r="J208" s="976"/>
      <c r="K208" s="977"/>
      <c r="L208" s="978"/>
      <c r="M208" s="159"/>
      <c r="N208" s="159"/>
      <c r="O208" s="159"/>
      <c r="P208" s="159"/>
      <c r="Q208" s="159"/>
      <c r="R208" s="159"/>
    </row>
    <row r="209" spans="1:18">
      <c r="A209" s="1058">
        <f>Gases!A216</f>
        <v>191</v>
      </c>
      <c r="B209" s="1061"/>
      <c r="C209" s="1061"/>
      <c r="D209" s="1061"/>
      <c r="E209" s="973"/>
      <c r="F209" s="973"/>
      <c r="G209" s="973"/>
      <c r="H209" s="973"/>
      <c r="I209" s="973"/>
      <c r="J209" s="976"/>
      <c r="K209" s="977"/>
      <c r="L209" s="978"/>
      <c r="M209" s="159"/>
      <c r="N209" s="159"/>
      <c r="O209" s="159"/>
      <c r="P209" s="159"/>
      <c r="Q209" s="159"/>
      <c r="R209" s="159"/>
    </row>
    <row r="210" spans="1:18">
      <c r="A210" s="1058">
        <f>Gases!A217</f>
        <v>192</v>
      </c>
      <c r="B210" s="1061"/>
      <c r="C210" s="1061"/>
      <c r="D210" s="1061"/>
      <c r="E210" s="973"/>
      <c r="F210" s="973"/>
      <c r="G210" s="973"/>
      <c r="H210" s="973"/>
      <c r="I210" s="973"/>
      <c r="J210" s="976"/>
      <c r="K210" s="977"/>
      <c r="L210" s="978"/>
      <c r="M210" s="159"/>
      <c r="N210" s="159"/>
      <c r="O210" s="159"/>
      <c r="P210" s="159"/>
      <c r="Q210" s="159"/>
      <c r="R210" s="159"/>
    </row>
    <row r="211" spans="1:18">
      <c r="A211" s="1058">
        <f>Gases!A218</f>
        <v>193</v>
      </c>
      <c r="B211" s="1061"/>
      <c r="C211" s="1061"/>
      <c r="D211" s="1061"/>
      <c r="E211" s="973"/>
      <c r="F211" s="973"/>
      <c r="G211" s="973"/>
      <c r="H211" s="973"/>
      <c r="I211" s="973"/>
      <c r="J211" s="976"/>
      <c r="K211" s="977"/>
      <c r="L211" s="978"/>
      <c r="M211" s="159"/>
      <c r="N211" s="159"/>
      <c r="O211" s="159"/>
      <c r="P211" s="159"/>
      <c r="Q211" s="159"/>
      <c r="R211" s="159"/>
    </row>
    <row r="212" spans="1:18">
      <c r="A212" s="1058">
        <f>Gases!A219</f>
        <v>194</v>
      </c>
      <c r="B212" s="1061"/>
      <c r="C212" s="1061"/>
      <c r="D212" s="1061"/>
      <c r="E212" s="973"/>
      <c r="F212" s="973"/>
      <c r="G212" s="973"/>
      <c r="H212" s="973"/>
      <c r="I212" s="973"/>
      <c r="J212" s="976"/>
      <c r="K212" s="977"/>
      <c r="L212" s="978"/>
      <c r="M212" s="159"/>
      <c r="N212" s="159"/>
      <c r="O212" s="159"/>
      <c r="P212" s="159"/>
      <c r="Q212" s="159"/>
      <c r="R212" s="159"/>
    </row>
    <row r="213" spans="1:18">
      <c r="A213" s="1058">
        <f>Gases!A220</f>
        <v>195</v>
      </c>
      <c r="B213" s="1061"/>
      <c r="C213" s="1061"/>
      <c r="D213" s="1061"/>
      <c r="E213" s="973"/>
      <c r="F213" s="973"/>
      <c r="G213" s="973"/>
      <c r="H213" s="973"/>
      <c r="I213" s="973"/>
      <c r="J213" s="976"/>
      <c r="K213" s="977"/>
      <c r="L213" s="978"/>
      <c r="M213" s="159"/>
      <c r="N213" s="159"/>
      <c r="O213" s="159"/>
      <c r="P213" s="159"/>
      <c r="Q213" s="159"/>
      <c r="R213" s="159"/>
    </row>
    <row r="214" spans="1:18">
      <c r="A214" s="1058">
        <f>Gases!A221</f>
        <v>196</v>
      </c>
      <c r="B214" s="1061"/>
      <c r="C214" s="1061"/>
      <c r="D214" s="1061"/>
      <c r="E214" s="973"/>
      <c r="F214" s="973"/>
      <c r="G214" s="973"/>
      <c r="H214" s="973"/>
      <c r="I214" s="973"/>
      <c r="J214" s="976"/>
      <c r="K214" s="977"/>
      <c r="L214" s="978"/>
      <c r="M214" s="159"/>
      <c r="N214" s="159"/>
      <c r="O214" s="159"/>
      <c r="P214" s="159"/>
      <c r="Q214" s="159"/>
      <c r="R214" s="159"/>
    </row>
    <row r="215" spans="1:18">
      <c r="A215" s="1058">
        <f>Gases!A222</f>
        <v>197</v>
      </c>
      <c r="B215" s="1061"/>
      <c r="C215" s="1061"/>
      <c r="D215" s="1061"/>
      <c r="E215" s="973"/>
      <c r="F215" s="973"/>
      <c r="G215" s="973"/>
      <c r="H215" s="973"/>
      <c r="I215" s="973"/>
      <c r="J215" s="976"/>
      <c r="K215" s="977"/>
      <c r="L215" s="978"/>
      <c r="M215" s="159"/>
      <c r="N215" s="159"/>
      <c r="O215" s="159"/>
      <c r="P215" s="159"/>
      <c r="Q215" s="159"/>
      <c r="R215" s="159"/>
    </row>
    <row r="216" spans="1:18">
      <c r="A216" s="1058">
        <f>Gases!A223</f>
        <v>198</v>
      </c>
      <c r="B216" s="1061"/>
      <c r="C216" s="1061"/>
      <c r="D216" s="1061"/>
      <c r="E216" s="973"/>
      <c r="F216" s="973"/>
      <c r="G216" s="973"/>
      <c r="H216" s="973"/>
      <c r="I216" s="973"/>
      <c r="J216" s="976"/>
      <c r="K216" s="977"/>
      <c r="L216" s="978"/>
      <c r="M216" s="159"/>
      <c r="N216" s="159"/>
      <c r="O216" s="159"/>
      <c r="P216" s="159"/>
      <c r="Q216" s="159"/>
      <c r="R216" s="159"/>
    </row>
    <row r="217" spans="1:18">
      <c r="A217" s="1058">
        <f>Gases!A224</f>
        <v>199</v>
      </c>
      <c r="B217" s="1061"/>
      <c r="C217" s="1061"/>
      <c r="D217" s="1061"/>
      <c r="E217" s="973"/>
      <c r="F217" s="973"/>
      <c r="G217" s="973"/>
      <c r="H217" s="973"/>
      <c r="I217" s="973"/>
      <c r="J217" s="976"/>
      <c r="K217" s="977"/>
      <c r="L217" s="978"/>
      <c r="M217" s="159"/>
      <c r="N217" s="159"/>
      <c r="O217" s="159"/>
      <c r="P217" s="159"/>
      <c r="Q217" s="159"/>
      <c r="R217" s="159"/>
    </row>
    <row r="218" spans="1:18">
      <c r="A218" s="1058">
        <f>Gases!A225</f>
        <v>200</v>
      </c>
      <c r="B218" s="1061"/>
      <c r="C218" s="1061"/>
      <c r="D218" s="1061"/>
      <c r="E218" s="973"/>
      <c r="F218" s="973"/>
      <c r="G218" s="973"/>
      <c r="H218" s="973"/>
      <c r="I218" s="973"/>
      <c r="J218" s="976"/>
      <c r="K218" s="977"/>
      <c r="L218" s="978"/>
      <c r="M218" s="159"/>
      <c r="N218" s="159"/>
      <c r="O218" s="159"/>
      <c r="P218" s="159"/>
      <c r="Q218" s="159"/>
      <c r="R218" s="159"/>
    </row>
    <row r="219" spans="1:18">
      <c r="A219" s="1058">
        <f>Gases!A226</f>
        <v>201</v>
      </c>
      <c r="B219" s="1061"/>
      <c r="C219" s="1061"/>
      <c r="D219" s="1061"/>
      <c r="E219" s="973"/>
      <c r="F219" s="973"/>
      <c r="G219" s="973"/>
      <c r="H219" s="973"/>
      <c r="I219" s="973"/>
      <c r="J219" s="976"/>
      <c r="K219" s="977"/>
      <c r="L219" s="978"/>
      <c r="M219" s="159"/>
      <c r="N219" s="159"/>
      <c r="O219" s="159"/>
      <c r="P219" s="159"/>
      <c r="Q219" s="159"/>
      <c r="R219" s="159"/>
    </row>
    <row r="220" spans="1:18">
      <c r="A220" s="1058">
        <f>Gases!A227</f>
        <v>202</v>
      </c>
      <c r="B220" s="1061"/>
      <c r="C220" s="1061"/>
      <c r="D220" s="1061"/>
      <c r="E220" s="973"/>
      <c r="F220" s="973"/>
      <c r="G220" s="973"/>
      <c r="H220" s="973"/>
      <c r="I220" s="973"/>
      <c r="J220" s="976"/>
      <c r="K220" s="977"/>
      <c r="L220" s="978"/>
      <c r="M220" s="159"/>
      <c r="N220" s="159"/>
      <c r="O220" s="159"/>
      <c r="P220" s="159"/>
      <c r="Q220" s="159"/>
      <c r="R220" s="159"/>
    </row>
    <row r="221" spans="1:18">
      <c r="A221" s="1058">
        <f>Gases!A228</f>
        <v>203</v>
      </c>
      <c r="B221" s="1061"/>
      <c r="C221" s="1061"/>
      <c r="D221" s="1061"/>
      <c r="E221" s="973"/>
      <c r="F221" s="973"/>
      <c r="G221" s="973"/>
      <c r="H221" s="973"/>
      <c r="I221" s="973"/>
      <c r="J221" s="976"/>
      <c r="K221" s="977"/>
      <c r="L221" s="978"/>
      <c r="M221" s="159"/>
      <c r="N221" s="159"/>
      <c r="O221" s="159"/>
      <c r="P221" s="159"/>
      <c r="Q221" s="159"/>
      <c r="R221" s="159"/>
    </row>
    <row r="222" spans="1:18">
      <c r="A222" s="1058">
        <f>Gases!A229</f>
        <v>204</v>
      </c>
      <c r="B222" s="1061"/>
      <c r="C222" s="1061"/>
      <c r="D222" s="1061"/>
      <c r="E222" s="973"/>
      <c r="F222" s="973"/>
      <c r="G222" s="973"/>
      <c r="H222" s="973"/>
      <c r="I222" s="973"/>
      <c r="J222" s="976"/>
      <c r="K222" s="977"/>
      <c r="L222" s="978"/>
      <c r="M222" s="159"/>
      <c r="N222" s="159"/>
      <c r="O222" s="159"/>
      <c r="P222" s="159"/>
      <c r="Q222" s="159"/>
      <c r="R222" s="159"/>
    </row>
    <row r="223" spans="1:18">
      <c r="A223" s="1058">
        <f>Gases!A230</f>
        <v>205</v>
      </c>
      <c r="B223" s="1061"/>
      <c r="C223" s="1061"/>
      <c r="D223" s="1061"/>
      <c r="E223" s="973"/>
      <c r="F223" s="973"/>
      <c r="G223" s="973"/>
      <c r="H223" s="973"/>
      <c r="I223" s="973"/>
      <c r="J223" s="976"/>
      <c r="K223" s="977"/>
      <c r="L223" s="978"/>
      <c r="M223" s="159"/>
      <c r="N223" s="159"/>
      <c r="O223" s="159"/>
      <c r="P223" s="159"/>
      <c r="Q223" s="159"/>
      <c r="R223" s="159"/>
    </row>
    <row r="224" spans="1:18">
      <c r="A224" s="1058">
        <f>Gases!A231</f>
        <v>206</v>
      </c>
      <c r="B224" s="1061"/>
      <c r="C224" s="1061"/>
      <c r="D224" s="1061"/>
      <c r="E224" s="973"/>
      <c r="F224" s="973"/>
      <c r="G224" s="973"/>
      <c r="H224" s="973"/>
      <c r="I224" s="973"/>
      <c r="J224" s="976"/>
      <c r="K224" s="977"/>
      <c r="L224" s="978"/>
      <c r="M224" s="159"/>
      <c r="N224" s="159"/>
      <c r="O224" s="159"/>
      <c r="P224" s="159"/>
      <c r="Q224" s="159"/>
      <c r="R224" s="159"/>
    </row>
    <row r="225" spans="1:18">
      <c r="A225" s="1058">
        <f>Gases!A232</f>
        <v>207</v>
      </c>
      <c r="B225" s="1061"/>
      <c r="C225" s="1061"/>
      <c r="D225" s="1061"/>
      <c r="E225" s="973"/>
      <c r="F225" s="973"/>
      <c r="G225" s="973"/>
      <c r="H225" s="973"/>
      <c r="I225" s="973"/>
      <c r="J225" s="976"/>
      <c r="K225" s="977"/>
      <c r="L225" s="978"/>
      <c r="M225" s="159"/>
      <c r="N225" s="159"/>
      <c r="O225" s="159"/>
      <c r="P225" s="159"/>
      <c r="Q225" s="159"/>
      <c r="R225" s="159"/>
    </row>
    <row r="226" spans="1:18">
      <c r="A226" s="1058">
        <f>Gases!A233</f>
        <v>208</v>
      </c>
      <c r="B226" s="1061"/>
      <c r="C226" s="1061"/>
      <c r="D226" s="1061"/>
      <c r="E226" s="973"/>
      <c r="F226" s="973"/>
      <c r="G226" s="973"/>
      <c r="H226" s="973"/>
      <c r="I226" s="973"/>
      <c r="J226" s="976"/>
      <c r="K226" s="977"/>
      <c r="L226" s="978"/>
      <c r="M226" s="159"/>
      <c r="N226" s="159"/>
      <c r="O226" s="159"/>
      <c r="P226" s="159"/>
      <c r="Q226" s="159"/>
      <c r="R226" s="159"/>
    </row>
    <row r="227" spans="1:18">
      <c r="A227" s="1058">
        <f>Gases!A234</f>
        <v>209</v>
      </c>
      <c r="B227" s="1061"/>
      <c r="C227" s="1061"/>
      <c r="D227" s="1061"/>
      <c r="E227" s="973"/>
      <c r="F227" s="973"/>
      <c r="G227" s="973"/>
      <c r="H227" s="973"/>
      <c r="I227" s="973"/>
      <c r="J227" s="976"/>
      <c r="K227" s="977"/>
      <c r="L227" s="978"/>
      <c r="M227" s="159"/>
      <c r="N227" s="159"/>
      <c r="O227" s="159"/>
      <c r="P227" s="159"/>
      <c r="Q227" s="159"/>
      <c r="R227" s="159"/>
    </row>
    <row r="228" spans="1:18">
      <c r="A228" s="1058">
        <f>Gases!A235</f>
        <v>210</v>
      </c>
      <c r="B228" s="1061"/>
      <c r="C228" s="1061"/>
      <c r="D228" s="1061"/>
      <c r="E228" s="973"/>
      <c r="F228" s="973"/>
      <c r="G228" s="973"/>
      <c r="H228" s="973"/>
      <c r="I228" s="973"/>
      <c r="J228" s="976"/>
      <c r="K228" s="977"/>
      <c r="L228" s="978"/>
      <c r="M228" s="159"/>
      <c r="N228" s="159"/>
      <c r="O228" s="159"/>
      <c r="P228" s="159"/>
      <c r="Q228" s="159"/>
      <c r="R228" s="159"/>
    </row>
    <row r="229" spans="1:18">
      <c r="A229" s="1058">
        <f>Gases!A236</f>
        <v>211</v>
      </c>
      <c r="B229" s="1061"/>
      <c r="C229" s="1061"/>
      <c r="D229" s="1061"/>
      <c r="E229" s="973"/>
      <c r="F229" s="973"/>
      <c r="G229" s="973"/>
      <c r="H229" s="973"/>
      <c r="I229" s="973"/>
      <c r="J229" s="976"/>
      <c r="K229" s="977"/>
      <c r="L229" s="978"/>
      <c r="M229" s="159"/>
      <c r="N229" s="159"/>
      <c r="O229" s="159"/>
      <c r="P229" s="159"/>
      <c r="Q229" s="159"/>
      <c r="R229" s="159"/>
    </row>
    <row r="230" spans="1:18">
      <c r="A230" s="1058">
        <f>Gases!A237</f>
        <v>212</v>
      </c>
      <c r="B230" s="1061"/>
      <c r="C230" s="1061"/>
      <c r="D230" s="1061"/>
      <c r="E230" s="973"/>
      <c r="F230" s="973"/>
      <c r="G230" s="973"/>
      <c r="H230" s="973"/>
      <c r="I230" s="973"/>
      <c r="J230" s="976"/>
      <c r="K230" s="977"/>
      <c r="L230" s="978"/>
      <c r="M230" s="159"/>
      <c r="N230" s="159"/>
      <c r="O230" s="159"/>
      <c r="P230" s="159"/>
      <c r="Q230" s="159"/>
      <c r="R230" s="159"/>
    </row>
    <row r="231" spans="1:18">
      <c r="A231" s="1058">
        <f>Gases!A238</f>
        <v>213</v>
      </c>
      <c r="B231" s="1061"/>
      <c r="C231" s="1061"/>
      <c r="D231" s="1061"/>
      <c r="E231" s="973"/>
      <c r="F231" s="973"/>
      <c r="G231" s="973"/>
      <c r="H231" s="973"/>
      <c r="I231" s="973"/>
      <c r="J231" s="976"/>
      <c r="K231" s="977"/>
      <c r="L231" s="978"/>
      <c r="M231" s="159"/>
      <c r="N231" s="159"/>
      <c r="O231" s="159"/>
      <c r="P231" s="159"/>
      <c r="Q231" s="159"/>
      <c r="R231" s="159"/>
    </row>
    <row r="232" spans="1:18">
      <c r="A232" s="1058">
        <f>Gases!A239</f>
        <v>214</v>
      </c>
      <c r="B232" s="1061"/>
      <c r="C232" s="1061"/>
      <c r="D232" s="1061"/>
      <c r="E232" s="973"/>
      <c r="F232" s="973"/>
      <c r="G232" s="973"/>
      <c r="H232" s="973"/>
      <c r="I232" s="973"/>
      <c r="J232" s="976"/>
      <c r="K232" s="977"/>
      <c r="L232" s="978"/>
      <c r="M232" s="159"/>
      <c r="N232" s="159"/>
      <c r="O232" s="159"/>
      <c r="P232" s="159"/>
      <c r="Q232" s="159"/>
      <c r="R232" s="159"/>
    </row>
    <row r="233" spans="1:18">
      <c r="A233" s="1058">
        <f>Gases!A240</f>
        <v>215</v>
      </c>
      <c r="B233" s="1061"/>
      <c r="C233" s="1061"/>
      <c r="D233" s="1061"/>
      <c r="E233" s="973"/>
      <c r="F233" s="973"/>
      <c r="G233" s="973"/>
      <c r="H233" s="973"/>
      <c r="I233" s="973"/>
      <c r="J233" s="976"/>
      <c r="K233" s="977"/>
      <c r="L233" s="978"/>
      <c r="M233" s="159"/>
      <c r="N233" s="159"/>
      <c r="O233" s="159"/>
      <c r="P233" s="159"/>
      <c r="Q233" s="159"/>
      <c r="R233" s="159"/>
    </row>
    <row r="234" spans="1:18">
      <c r="A234" s="1058">
        <f>Gases!A241</f>
        <v>216</v>
      </c>
      <c r="B234" s="1061"/>
      <c r="C234" s="1061"/>
      <c r="D234" s="1061"/>
      <c r="E234" s="973"/>
      <c r="F234" s="973"/>
      <c r="G234" s="973"/>
      <c r="H234" s="973"/>
      <c r="I234" s="973"/>
      <c r="J234" s="976"/>
      <c r="K234" s="977"/>
      <c r="L234" s="978"/>
      <c r="M234" s="159"/>
      <c r="N234" s="159"/>
      <c r="O234" s="159"/>
      <c r="P234" s="159"/>
      <c r="Q234" s="159"/>
      <c r="R234" s="159"/>
    </row>
    <row r="235" spans="1:18">
      <c r="A235" s="1058">
        <f>Gases!A242</f>
        <v>217</v>
      </c>
      <c r="B235" s="1061"/>
      <c r="C235" s="1061"/>
      <c r="D235" s="1061"/>
      <c r="E235" s="973"/>
      <c r="F235" s="973"/>
      <c r="G235" s="973"/>
      <c r="H235" s="973"/>
      <c r="I235" s="973"/>
      <c r="J235" s="976"/>
      <c r="K235" s="977"/>
      <c r="L235" s="978"/>
      <c r="M235" s="159"/>
      <c r="N235" s="159"/>
      <c r="O235" s="159"/>
      <c r="P235" s="159"/>
      <c r="Q235" s="159"/>
      <c r="R235" s="159"/>
    </row>
    <row r="236" spans="1:18">
      <c r="A236" s="1058">
        <f>Gases!A243</f>
        <v>218</v>
      </c>
      <c r="B236" s="1061"/>
      <c r="C236" s="1061"/>
      <c r="D236" s="1061"/>
      <c r="E236" s="973"/>
      <c r="F236" s="973"/>
      <c r="G236" s="973"/>
      <c r="H236" s="973"/>
      <c r="I236" s="973"/>
      <c r="J236" s="976"/>
      <c r="K236" s="977"/>
      <c r="L236" s="978"/>
      <c r="M236" s="159"/>
      <c r="N236" s="159"/>
      <c r="O236" s="159"/>
      <c r="P236" s="159"/>
      <c r="Q236" s="159"/>
      <c r="R236" s="159"/>
    </row>
    <row r="237" spans="1:18">
      <c r="A237" s="1058">
        <f>Gases!A244</f>
        <v>219</v>
      </c>
      <c r="B237" s="1061"/>
      <c r="C237" s="1061"/>
      <c r="D237" s="1061"/>
      <c r="E237" s="973"/>
      <c r="F237" s="973"/>
      <c r="G237" s="973"/>
      <c r="H237" s="973"/>
      <c r="I237" s="973"/>
      <c r="J237" s="976"/>
      <c r="K237" s="977"/>
      <c r="L237" s="978"/>
      <c r="M237" s="159"/>
      <c r="N237" s="159"/>
      <c r="O237" s="159"/>
      <c r="P237" s="159"/>
      <c r="Q237" s="159"/>
      <c r="R237" s="159"/>
    </row>
    <row r="238" spans="1:18">
      <c r="A238" s="1058">
        <f>Gases!A245</f>
        <v>220</v>
      </c>
      <c r="B238" s="1061"/>
      <c r="C238" s="1061"/>
      <c r="D238" s="1061"/>
      <c r="E238" s="973"/>
      <c r="F238" s="973"/>
      <c r="G238" s="973"/>
      <c r="H238" s="973"/>
      <c r="I238" s="973"/>
      <c r="J238" s="976"/>
      <c r="K238" s="977"/>
      <c r="L238" s="978"/>
      <c r="M238" s="159"/>
      <c r="N238" s="159"/>
      <c r="O238" s="159"/>
      <c r="P238" s="159"/>
      <c r="Q238" s="159"/>
      <c r="R238" s="159"/>
    </row>
    <row r="239" spans="1:18">
      <c r="A239" s="1058">
        <f>Gases!A246</f>
        <v>221</v>
      </c>
      <c r="B239" s="1061"/>
      <c r="C239" s="1061"/>
      <c r="D239" s="1061"/>
      <c r="E239" s="973"/>
      <c r="F239" s="973"/>
      <c r="G239" s="973"/>
      <c r="H239" s="973"/>
      <c r="I239" s="973"/>
      <c r="J239" s="976"/>
      <c r="K239" s="977"/>
      <c r="L239" s="978"/>
      <c r="M239" s="159"/>
      <c r="N239" s="159"/>
      <c r="O239" s="159"/>
      <c r="P239" s="159"/>
      <c r="Q239" s="159"/>
      <c r="R239" s="159"/>
    </row>
    <row r="240" spans="1:18">
      <c r="A240" s="1058">
        <f>Gases!A247</f>
        <v>222</v>
      </c>
      <c r="B240" s="1061"/>
      <c r="C240" s="1061"/>
      <c r="D240" s="1061"/>
      <c r="E240" s="973"/>
      <c r="F240" s="973"/>
      <c r="G240" s="973"/>
      <c r="H240" s="973"/>
      <c r="I240" s="973"/>
      <c r="J240" s="976"/>
      <c r="K240" s="977"/>
      <c r="L240" s="978"/>
      <c r="M240" s="159"/>
      <c r="N240" s="159"/>
      <c r="O240" s="159"/>
      <c r="P240" s="159"/>
      <c r="Q240" s="159"/>
      <c r="R240" s="159"/>
    </row>
    <row r="241" spans="1:18">
      <c r="A241" s="1058">
        <f>Gases!A248</f>
        <v>223</v>
      </c>
      <c r="B241" s="1061"/>
      <c r="C241" s="1061"/>
      <c r="D241" s="1061"/>
      <c r="E241" s="973"/>
      <c r="F241" s="973"/>
      <c r="G241" s="973"/>
      <c r="H241" s="973"/>
      <c r="I241" s="973"/>
      <c r="J241" s="976"/>
      <c r="K241" s="977"/>
      <c r="L241" s="978"/>
      <c r="M241" s="159"/>
      <c r="N241" s="159"/>
      <c r="O241" s="159"/>
      <c r="P241" s="159"/>
      <c r="Q241" s="159"/>
      <c r="R241" s="159"/>
    </row>
    <row r="242" spans="1:18">
      <c r="A242" s="1058">
        <f>Gases!A249</f>
        <v>224</v>
      </c>
      <c r="B242" s="1061"/>
      <c r="C242" s="1061"/>
      <c r="D242" s="1061"/>
      <c r="E242" s="973"/>
      <c r="F242" s="973"/>
      <c r="G242" s="973"/>
      <c r="H242" s="973"/>
      <c r="I242" s="973"/>
      <c r="J242" s="976"/>
      <c r="K242" s="977"/>
      <c r="L242" s="978"/>
      <c r="M242" s="159"/>
      <c r="N242" s="159"/>
      <c r="O242" s="159"/>
      <c r="P242" s="159"/>
      <c r="Q242" s="159"/>
      <c r="R242" s="159"/>
    </row>
    <row r="243" spans="1:18">
      <c r="A243" s="1058">
        <f>Gases!A250</f>
        <v>225</v>
      </c>
      <c r="B243" s="1061"/>
      <c r="C243" s="1061"/>
      <c r="D243" s="1061"/>
      <c r="E243" s="973"/>
      <c r="F243" s="973"/>
      <c r="G243" s="973"/>
      <c r="H243" s="973"/>
      <c r="I243" s="973"/>
      <c r="J243" s="976"/>
      <c r="K243" s="977"/>
      <c r="L243" s="978"/>
      <c r="M243" s="159"/>
      <c r="N243" s="159"/>
      <c r="O243" s="159"/>
      <c r="P243" s="159"/>
      <c r="Q243" s="159"/>
      <c r="R243" s="159"/>
    </row>
    <row r="244" spans="1:18">
      <c r="A244" s="1058">
        <f>Gases!A251</f>
        <v>226</v>
      </c>
      <c r="B244" s="1061"/>
      <c r="C244" s="1061"/>
      <c r="D244" s="1061"/>
      <c r="E244" s="973"/>
      <c r="F244" s="973"/>
      <c r="G244" s="973"/>
      <c r="H244" s="973"/>
      <c r="I244" s="973"/>
      <c r="J244" s="976"/>
      <c r="K244" s="977"/>
      <c r="L244" s="978"/>
      <c r="M244" s="159"/>
      <c r="N244" s="159"/>
      <c r="O244" s="159"/>
      <c r="P244" s="159"/>
      <c r="Q244" s="159"/>
      <c r="R244" s="159"/>
    </row>
    <row r="245" spans="1:18">
      <c r="A245" s="1058">
        <f>Gases!A252</f>
        <v>227</v>
      </c>
      <c r="B245" s="1061"/>
      <c r="C245" s="1061"/>
      <c r="D245" s="1061"/>
      <c r="E245" s="973"/>
      <c r="F245" s="973"/>
      <c r="G245" s="973"/>
      <c r="H245" s="973"/>
      <c r="I245" s="973"/>
      <c r="J245" s="976"/>
      <c r="K245" s="977"/>
      <c r="L245" s="978"/>
      <c r="M245" s="159"/>
      <c r="N245" s="159"/>
      <c r="O245" s="159"/>
      <c r="P245" s="159"/>
      <c r="Q245" s="159"/>
      <c r="R245" s="159"/>
    </row>
    <row r="246" spans="1:18">
      <c r="A246" s="1058">
        <f>Gases!A253</f>
        <v>228</v>
      </c>
      <c r="B246" s="1061"/>
      <c r="C246" s="1061"/>
      <c r="D246" s="1061"/>
      <c r="E246" s="973"/>
      <c r="F246" s="973"/>
      <c r="G246" s="973"/>
      <c r="H246" s="973"/>
      <c r="I246" s="973"/>
      <c r="J246" s="976"/>
      <c r="K246" s="977"/>
      <c r="L246" s="978"/>
      <c r="M246" s="159"/>
      <c r="N246" s="159"/>
      <c r="O246" s="159"/>
      <c r="P246" s="159"/>
      <c r="Q246" s="159"/>
      <c r="R246" s="159"/>
    </row>
    <row r="247" spans="1:18">
      <c r="A247" s="1058">
        <f>Gases!A254</f>
        <v>229</v>
      </c>
      <c r="B247" s="1061"/>
      <c r="C247" s="1061"/>
      <c r="D247" s="1061"/>
      <c r="E247" s="973"/>
      <c r="F247" s="973"/>
      <c r="G247" s="973"/>
      <c r="H247" s="973"/>
      <c r="I247" s="973"/>
      <c r="J247" s="976"/>
      <c r="K247" s="977"/>
      <c r="L247" s="978"/>
      <c r="M247" s="159"/>
      <c r="N247" s="159"/>
      <c r="O247" s="159"/>
      <c r="P247" s="159"/>
      <c r="Q247" s="159"/>
      <c r="R247" s="159"/>
    </row>
    <row r="248" spans="1:18">
      <c r="A248" s="1058">
        <f>Gases!A255</f>
        <v>230</v>
      </c>
      <c r="B248" s="1061"/>
      <c r="C248" s="1061"/>
      <c r="D248" s="1061"/>
      <c r="E248" s="973"/>
      <c r="F248" s="973"/>
      <c r="G248" s="973"/>
      <c r="H248" s="973"/>
      <c r="I248" s="973"/>
      <c r="J248" s="976"/>
      <c r="K248" s="977"/>
      <c r="L248" s="978"/>
      <c r="M248" s="159"/>
      <c r="N248" s="159"/>
      <c r="O248" s="159"/>
      <c r="P248" s="159"/>
      <c r="Q248" s="159"/>
      <c r="R248" s="159"/>
    </row>
    <row r="249" spans="1:18">
      <c r="A249" s="1058">
        <f>Gases!A256</f>
        <v>231</v>
      </c>
      <c r="B249" s="1061"/>
      <c r="C249" s="1061"/>
      <c r="D249" s="1061"/>
      <c r="E249" s="973"/>
      <c r="F249" s="973"/>
      <c r="G249" s="973"/>
      <c r="H249" s="973"/>
      <c r="I249" s="973"/>
      <c r="J249" s="976"/>
      <c r="K249" s="977"/>
      <c r="L249" s="978"/>
      <c r="M249" s="159"/>
      <c r="N249" s="159"/>
      <c r="O249" s="159"/>
      <c r="P249" s="159"/>
      <c r="Q249" s="159"/>
      <c r="R249" s="159"/>
    </row>
    <row r="250" spans="1:18">
      <c r="A250" s="1058">
        <f>Gases!A257</f>
        <v>232</v>
      </c>
      <c r="B250" s="1061"/>
      <c r="C250" s="1061"/>
      <c r="D250" s="1061"/>
      <c r="E250" s="973"/>
      <c r="F250" s="973"/>
      <c r="G250" s="973"/>
      <c r="H250" s="973"/>
      <c r="I250" s="973"/>
      <c r="J250" s="976"/>
      <c r="K250" s="977"/>
      <c r="L250" s="978"/>
      <c r="M250" s="159"/>
      <c r="N250" s="159"/>
      <c r="O250" s="159"/>
      <c r="P250" s="159"/>
      <c r="Q250" s="159"/>
      <c r="R250" s="159"/>
    </row>
    <row r="251" spans="1:18">
      <c r="A251" s="1058">
        <f>Gases!A258</f>
        <v>233</v>
      </c>
      <c r="B251" s="1061"/>
      <c r="C251" s="1061"/>
      <c r="D251" s="1061"/>
      <c r="E251" s="973"/>
      <c r="F251" s="973"/>
      <c r="G251" s="973"/>
      <c r="H251" s="973"/>
      <c r="I251" s="973"/>
      <c r="J251" s="976"/>
      <c r="K251" s="977"/>
      <c r="L251" s="978"/>
      <c r="M251" s="159"/>
      <c r="N251" s="159"/>
      <c r="O251" s="159"/>
      <c r="P251" s="159"/>
      <c r="Q251" s="159"/>
      <c r="R251" s="159"/>
    </row>
    <row r="252" spans="1:18">
      <c r="A252" s="1058">
        <f>Gases!A259</f>
        <v>234</v>
      </c>
      <c r="B252" s="1061"/>
      <c r="C252" s="1061"/>
      <c r="D252" s="1061"/>
      <c r="E252" s="973"/>
      <c r="F252" s="973"/>
      <c r="G252" s="973"/>
      <c r="H252" s="973"/>
      <c r="I252" s="973"/>
      <c r="J252" s="976"/>
      <c r="K252" s="977"/>
      <c r="L252" s="978"/>
      <c r="M252" s="159"/>
      <c r="N252" s="159"/>
      <c r="O252" s="159"/>
      <c r="P252" s="159"/>
      <c r="Q252" s="159"/>
      <c r="R252" s="159"/>
    </row>
    <row r="253" spans="1:18">
      <c r="A253" s="1058">
        <f>Gases!A260</f>
        <v>235</v>
      </c>
      <c r="B253" s="1061"/>
      <c r="C253" s="1061"/>
      <c r="D253" s="1061"/>
      <c r="E253" s="973"/>
      <c r="F253" s="973"/>
      <c r="G253" s="973"/>
      <c r="H253" s="973"/>
      <c r="I253" s="973"/>
      <c r="J253" s="976"/>
      <c r="K253" s="977"/>
      <c r="L253" s="978"/>
      <c r="M253" s="159"/>
      <c r="N253" s="159"/>
      <c r="O253" s="159"/>
      <c r="P253" s="159"/>
      <c r="Q253" s="159"/>
      <c r="R253" s="159"/>
    </row>
    <row r="254" spans="1:18">
      <c r="A254" s="1058">
        <f>Gases!A261</f>
        <v>236</v>
      </c>
      <c r="B254" s="1061"/>
      <c r="C254" s="1061"/>
      <c r="D254" s="1061"/>
      <c r="E254" s="973"/>
      <c r="F254" s="973"/>
      <c r="G254" s="973"/>
      <c r="H254" s="973"/>
      <c r="I254" s="973"/>
      <c r="J254" s="976"/>
      <c r="K254" s="977"/>
      <c r="L254" s="978"/>
      <c r="M254" s="159"/>
      <c r="N254" s="159"/>
      <c r="O254" s="159"/>
      <c r="P254" s="159"/>
      <c r="Q254" s="159"/>
      <c r="R254" s="159"/>
    </row>
    <row r="255" spans="1:18">
      <c r="A255" s="1058">
        <f>Gases!A262</f>
        <v>237</v>
      </c>
      <c r="B255" s="1061"/>
      <c r="C255" s="1061"/>
      <c r="D255" s="1061"/>
      <c r="E255" s="973"/>
      <c r="F255" s="973"/>
      <c r="G255" s="973"/>
      <c r="H255" s="973"/>
      <c r="I255" s="973"/>
      <c r="J255" s="976"/>
      <c r="K255" s="977"/>
      <c r="L255" s="978"/>
      <c r="M255" s="159"/>
      <c r="N255" s="159"/>
      <c r="O255" s="159"/>
      <c r="P255" s="159"/>
      <c r="Q255" s="159"/>
      <c r="R255" s="159"/>
    </row>
    <row r="256" spans="1:18">
      <c r="A256" s="1058">
        <f>Gases!A263</f>
        <v>238</v>
      </c>
      <c r="B256" s="1061"/>
      <c r="C256" s="1061"/>
      <c r="D256" s="1061"/>
      <c r="E256" s="973"/>
      <c r="F256" s="973"/>
      <c r="G256" s="973"/>
      <c r="H256" s="973"/>
      <c r="I256" s="973"/>
      <c r="J256" s="976"/>
      <c r="K256" s="977"/>
      <c r="L256" s="978"/>
      <c r="M256" s="159"/>
      <c r="N256" s="159"/>
      <c r="O256" s="159"/>
      <c r="P256" s="159"/>
      <c r="Q256" s="159"/>
      <c r="R256" s="159"/>
    </row>
    <row r="257" spans="1:18">
      <c r="A257" s="1058">
        <f>Gases!A264</f>
        <v>239</v>
      </c>
      <c r="B257" s="1061"/>
      <c r="C257" s="1061"/>
      <c r="D257" s="1061"/>
      <c r="E257" s="973"/>
      <c r="F257" s="973"/>
      <c r="G257" s="973"/>
      <c r="H257" s="973"/>
      <c r="I257" s="973"/>
      <c r="J257" s="976"/>
      <c r="K257" s="977"/>
      <c r="L257" s="978"/>
      <c r="M257" s="159"/>
      <c r="N257" s="159"/>
      <c r="O257" s="159"/>
      <c r="P257" s="159"/>
      <c r="Q257" s="159"/>
      <c r="R257" s="159"/>
    </row>
    <row r="258" spans="1:18">
      <c r="A258" s="1058">
        <f>Gases!A265</f>
        <v>240</v>
      </c>
      <c r="B258" s="1061"/>
      <c r="C258" s="1061"/>
      <c r="D258" s="1061"/>
      <c r="E258" s="973"/>
      <c r="F258" s="973"/>
      <c r="G258" s="973"/>
      <c r="H258" s="973"/>
      <c r="I258" s="973"/>
      <c r="J258" s="976"/>
      <c r="K258" s="977"/>
      <c r="L258" s="978"/>
      <c r="M258" s="159"/>
      <c r="N258" s="159"/>
      <c r="O258" s="159"/>
      <c r="P258" s="159"/>
      <c r="Q258" s="159"/>
      <c r="R258" s="159"/>
    </row>
    <row r="259" spans="1:18">
      <c r="A259" s="1058">
        <f>Gases!A266</f>
        <v>241</v>
      </c>
      <c r="B259" s="1061"/>
      <c r="C259" s="1061"/>
      <c r="D259" s="1061"/>
      <c r="E259" s="973"/>
      <c r="F259" s="973"/>
      <c r="G259" s="973"/>
      <c r="H259" s="973"/>
      <c r="I259" s="973"/>
      <c r="J259" s="976"/>
      <c r="K259" s="977"/>
      <c r="L259" s="978"/>
      <c r="M259" s="159"/>
      <c r="N259" s="159"/>
      <c r="O259" s="159"/>
      <c r="P259" s="159"/>
      <c r="Q259" s="159"/>
      <c r="R259" s="159"/>
    </row>
    <row r="260" spans="1:18">
      <c r="A260" s="1058">
        <f>Gases!A267</f>
        <v>242</v>
      </c>
      <c r="B260" s="1061"/>
      <c r="C260" s="1061"/>
      <c r="D260" s="1061"/>
      <c r="E260" s="973"/>
      <c r="F260" s="973"/>
      <c r="G260" s="973"/>
      <c r="H260" s="973"/>
      <c r="I260" s="973"/>
      <c r="J260" s="976"/>
      <c r="K260" s="977"/>
      <c r="L260" s="978"/>
      <c r="M260" s="159"/>
      <c r="N260" s="159"/>
      <c r="O260" s="159"/>
      <c r="P260" s="159"/>
      <c r="Q260" s="159"/>
      <c r="R260" s="159"/>
    </row>
    <row r="261" spans="1:18">
      <c r="A261" s="1058">
        <f>Gases!A268</f>
        <v>243</v>
      </c>
      <c r="B261" s="1061"/>
      <c r="C261" s="1061"/>
      <c r="D261" s="1061"/>
      <c r="E261" s="973"/>
      <c r="F261" s="973"/>
      <c r="G261" s="973"/>
      <c r="H261" s="973"/>
      <c r="I261" s="973"/>
      <c r="J261" s="976"/>
      <c r="K261" s="977"/>
      <c r="L261" s="978"/>
      <c r="M261" s="159"/>
      <c r="N261" s="159"/>
      <c r="O261" s="159"/>
      <c r="P261" s="159"/>
      <c r="Q261" s="159"/>
      <c r="R261" s="159"/>
    </row>
    <row r="262" spans="1:18">
      <c r="A262" s="1058">
        <f>Gases!A269</f>
        <v>244</v>
      </c>
      <c r="B262" s="1061"/>
      <c r="C262" s="1061"/>
      <c r="D262" s="1061"/>
      <c r="E262" s="973"/>
      <c r="F262" s="973"/>
      <c r="G262" s="973"/>
      <c r="H262" s="973"/>
      <c r="I262" s="973"/>
      <c r="J262" s="976"/>
      <c r="K262" s="977"/>
      <c r="L262" s="978"/>
      <c r="M262" s="159"/>
      <c r="N262" s="159"/>
      <c r="O262" s="159"/>
      <c r="P262" s="159"/>
      <c r="Q262" s="159"/>
      <c r="R262" s="159"/>
    </row>
    <row r="263" spans="1:18">
      <c r="A263" s="1058">
        <f>Gases!A270</f>
        <v>245</v>
      </c>
      <c r="B263" s="1061"/>
      <c r="C263" s="1061"/>
      <c r="D263" s="1061"/>
      <c r="E263" s="973"/>
      <c r="F263" s="973"/>
      <c r="G263" s="973"/>
      <c r="H263" s="973"/>
      <c r="I263" s="973"/>
      <c r="J263" s="976"/>
      <c r="K263" s="977"/>
      <c r="L263" s="978"/>
      <c r="M263" s="159"/>
      <c r="N263" s="159"/>
      <c r="O263" s="159"/>
      <c r="P263" s="159"/>
      <c r="Q263" s="159"/>
      <c r="R263" s="159"/>
    </row>
    <row r="264" spans="1:18">
      <c r="A264" s="1058">
        <f>Gases!A271</f>
        <v>246</v>
      </c>
      <c r="B264" s="1061"/>
      <c r="C264" s="1061"/>
      <c r="D264" s="1061"/>
      <c r="E264" s="973"/>
      <c r="F264" s="973"/>
      <c r="G264" s="973"/>
      <c r="H264" s="973"/>
      <c r="I264" s="973"/>
      <c r="J264" s="976"/>
      <c r="K264" s="977"/>
      <c r="L264" s="978"/>
      <c r="M264" s="159"/>
      <c r="N264" s="159"/>
      <c r="O264" s="159"/>
      <c r="P264" s="159"/>
      <c r="Q264" s="159"/>
      <c r="R264" s="159"/>
    </row>
    <row r="265" spans="1:18">
      <c r="A265" s="1058">
        <f>Gases!A272</f>
        <v>247</v>
      </c>
      <c r="B265" s="1061"/>
      <c r="C265" s="1061"/>
      <c r="D265" s="1061"/>
      <c r="E265" s="973"/>
      <c r="F265" s="973"/>
      <c r="G265" s="973"/>
      <c r="H265" s="973"/>
      <c r="I265" s="973"/>
      <c r="J265" s="976"/>
      <c r="K265" s="977"/>
      <c r="L265" s="978"/>
      <c r="M265" s="159"/>
      <c r="N265" s="159"/>
      <c r="O265" s="159"/>
      <c r="P265" s="159"/>
      <c r="Q265" s="159"/>
      <c r="R265" s="159"/>
    </row>
    <row r="266" spans="1:18">
      <c r="A266" s="1058">
        <f>Gases!A273</f>
        <v>248</v>
      </c>
      <c r="B266" s="1061"/>
      <c r="C266" s="1061"/>
      <c r="D266" s="1061"/>
      <c r="E266" s="973"/>
      <c r="F266" s="973"/>
      <c r="G266" s="973"/>
      <c r="H266" s="973"/>
      <c r="I266" s="973"/>
      <c r="J266" s="976"/>
      <c r="K266" s="977"/>
      <c r="L266" s="978"/>
      <c r="M266" s="159"/>
      <c r="N266" s="159"/>
      <c r="O266" s="159"/>
      <c r="P266" s="159"/>
      <c r="Q266" s="159"/>
      <c r="R266" s="159"/>
    </row>
    <row r="267" spans="1:18">
      <c r="A267" s="1058">
        <f>Gases!A274</f>
        <v>249</v>
      </c>
      <c r="B267" s="1061"/>
      <c r="C267" s="1061"/>
      <c r="D267" s="1061"/>
      <c r="E267" s="973"/>
      <c r="F267" s="973"/>
      <c r="G267" s="973"/>
      <c r="H267" s="973"/>
      <c r="I267" s="973"/>
      <c r="J267" s="976"/>
      <c r="K267" s="977"/>
      <c r="L267" s="978"/>
      <c r="M267" s="159"/>
      <c r="N267" s="159"/>
      <c r="O267" s="159"/>
      <c r="P267" s="159"/>
      <c r="Q267" s="159"/>
      <c r="R267" s="159"/>
    </row>
    <row r="268" spans="1:18">
      <c r="A268" s="1058">
        <f>Gases!A275</f>
        <v>250</v>
      </c>
      <c r="B268" s="1061"/>
      <c r="C268" s="1061"/>
      <c r="D268" s="1061"/>
      <c r="E268" s="973"/>
      <c r="F268" s="973"/>
      <c r="G268" s="973"/>
      <c r="H268" s="973"/>
      <c r="I268" s="973"/>
      <c r="J268" s="976"/>
      <c r="K268" s="977"/>
      <c r="L268" s="978"/>
      <c r="M268" s="159"/>
      <c r="N268" s="159"/>
      <c r="O268" s="159"/>
      <c r="P268" s="159"/>
      <c r="Q268" s="159"/>
      <c r="R268" s="159"/>
    </row>
    <row r="269" spans="1:18">
      <c r="A269" s="1058">
        <f>Gases!A276</f>
        <v>251</v>
      </c>
      <c r="B269" s="1061"/>
      <c r="C269" s="1061"/>
      <c r="D269" s="1061"/>
      <c r="E269" s="973"/>
      <c r="F269" s="973"/>
      <c r="G269" s="973"/>
      <c r="H269" s="973"/>
      <c r="I269" s="973"/>
      <c r="J269" s="976"/>
      <c r="K269" s="977"/>
      <c r="L269" s="978"/>
      <c r="M269" s="159"/>
      <c r="N269" s="159"/>
      <c r="O269" s="159"/>
      <c r="P269" s="159"/>
      <c r="Q269" s="159"/>
      <c r="R269" s="159"/>
    </row>
    <row r="270" spans="1:18">
      <c r="A270" s="1058">
        <f>Gases!A277</f>
        <v>252</v>
      </c>
      <c r="B270" s="1061"/>
      <c r="C270" s="1061"/>
      <c r="D270" s="1061"/>
      <c r="E270" s="973"/>
      <c r="F270" s="973"/>
      <c r="G270" s="973"/>
      <c r="H270" s="973"/>
      <c r="I270" s="973"/>
      <c r="J270" s="976"/>
      <c r="K270" s="977"/>
      <c r="L270" s="978"/>
      <c r="M270" s="159"/>
      <c r="N270" s="159"/>
      <c r="O270" s="159"/>
      <c r="P270" s="159"/>
      <c r="Q270" s="159"/>
      <c r="R270" s="159"/>
    </row>
    <row r="271" spans="1:18">
      <c r="A271" s="1058">
        <f>Gases!A278</f>
        <v>253</v>
      </c>
      <c r="B271" s="1061"/>
      <c r="C271" s="1061"/>
      <c r="D271" s="1061"/>
      <c r="E271" s="973"/>
      <c r="F271" s="973"/>
      <c r="G271" s="973"/>
      <c r="H271" s="973"/>
      <c r="I271" s="973"/>
      <c r="J271" s="976"/>
      <c r="K271" s="977"/>
      <c r="L271" s="978"/>
      <c r="M271" s="159"/>
      <c r="N271" s="159"/>
      <c r="O271" s="159"/>
      <c r="P271" s="159"/>
      <c r="Q271" s="159"/>
      <c r="R271" s="159"/>
    </row>
    <row r="272" spans="1:18">
      <c r="A272" s="1058">
        <f>Gases!A279</f>
        <v>254</v>
      </c>
      <c r="B272" s="1061"/>
      <c r="C272" s="1061"/>
      <c r="D272" s="1061"/>
      <c r="E272" s="973"/>
      <c r="F272" s="973"/>
      <c r="G272" s="973"/>
      <c r="H272" s="973"/>
      <c r="I272" s="973"/>
      <c r="J272" s="976"/>
      <c r="K272" s="977"/>
      <c r="L272" s="978"/>
      <c r="M272" s="159"/>
      <c r="N272" s="159"/>
      <c r="O272" s="159"/>
      <c r="P272" s="159"/>
      <c r="Q272" s="159"/>
      <c r="R272" s="159"/>
    </row>
    <row r="273" spans="1:18">
      <c r="A273" s="1058">
        <f>Gases!A280</f>
        <v>255</v>
      </c>
      <c r="B273" s="1061"/>
      <c r="C273" s="1061"/>
      <c r="D273" s="1061"/>
      <c r="E273" s="973"/>
      <c r="F273" s="973"/>
      <c r="G273" s="973"/>
      <c r="H273" s="973"/>
      <c r="I273" s="973"/>
      <c r="J273" s="976"/>
      <c r="K273" s="977"/>
      <c r="L273" s="978"/>
      <c r="M273" s="159"/>
      <c r="N273" s="159"/>
      <c r="O273" s="159"/>
      <c r="P273" s="159"/>
      <c r="Q273" s="159"/>
      <c r="R273" s="159"/>
    </row>
    <row r="274" spans="1:18">
      <c r="A274" s="1058">
        <f>Gases!A281</f>
        <v>256</v>
      </c>
      <c r="B274" s="1061"/>
      <c r="C274" s="1061"/>
      <c r="D274" s="1061"/>
      <c r="E274" s="973"/>
      <c r="F274" s="973"/>
      <c r="G274" s="973"/>
      <c r="H274" s="973"/>
      <c r="I274" s="973"/>
      <c r="J274" s="976"/>
      <c r="K274" s="977"/>
      <c r="L274" s="978"/>
      <c r="M274" s="159"/>
      <c r="N274" s="159"/>
      <c r="O274" s="159"/>
      <c r="P274" s="159"/>
      <c r="Q274" s="159"/>
      <c r="R274" s="159"/>
    </row>
    <row r="275" spans="1:18">
      <c r="A275" s="1058">
        <f>Gases!A282</f>
        <v>257</v>
      </c>
      <c r="B275" s="1061"/>
      <c r="C275" s="1061"/>
      <c r="D275" s="1061"/>
      <c r="E275" s="973"/>
      <c r="F275" s="973"/>
      <c r="G275" s="973"/>
      <c r="H275" s="973"/>
      <c r="I275" s="973"/>
      <c r="J275" s="976"/>
      <c r="K275" s="977"/>
      <c r="L275" s="978"/>
      <c r="M275" s="159"/>
      <c r="N275" s="159"/>
      <c r="O275" s="159"/>
      <c r="P275" s="159"/>
      <c r="Q275" s="159"/>
      <c r="R275" s="159"/>
    </row>
    <row r="276" spans="1:18">
      <c r="A276" s="1058">
        <f>Gases!A283</f>
        <v>258</v>
      </c>
      <c r="B276" s="1061"/>
      <c r="C276" s="1061"/>
      <c r="D276" s="1061"/>
      <c r="E276" s="973"/>
      <c r="F276" s="973"/>
      <c r="G276" s="973"/>
      <c r="H276" s="973"/>
      <c r="I276" s="973"/>
      <c r="J276" s="976"/>
      <c r="K276" s="977"/>
      <c r="L276" s="978"/>
      <c r="M276" s="159"/>
      <c r="N276" s="159"/>
      <c r="O276" s="159"/>
      <c r="P276" s="159"/>
      <c r="Q276" s="159"/>
      <c r="R276" s="159"/>
    </row>
    <row r="277" spans="1:18">
      <c r="A277" s="1058">
        <f>Gases!A284</f>
        <v>259</v>
      </c>
      <c r="B277" s="1061"/>
      <c r="C277" s="1061"/>
      <c r="D277" s="1061"/>
      <c r="E277" s="973"/>
      <c r="F277" s="973"/>
      <c r="G277" s="973"/>
      <c r="H277" s="973"/>
      <c r="I277" s="973"/>
      <c r="J277" s="976"/>
      <c r="K277" s="977"/>
      <c r="L277" s="978"/>
      <c r="M277" s="159"/>
      <c r="N277" s="159"/>
      <c r="O277" s="159"/>
      <c r="P277" s="159"/>
      <c r="Q277" s="159"/>
      <c r="R277" s="159"/>
    </row>
    <row r="278" spans="1:18">
      <c r="A278" s="1058">
        <f>Gases!A285</f>
        <v>260</v>
      </c>
      <c r="B278" s="1061"/>
      <c r="C278" s="1061"/>
      <c r="D278" s="1061"/>
      <c r="E278" s="973"/>
      <c r="F278" s="973"/>
      <c r="G278" s="973"/>
      <c r="H278" s="973"/>
      <c r="I278" s="973"/>
      <c r="J278" s="976"/>
      <c r="K278" s="977"/>
      <c r="L278" s="978"/>
      <c r="M278" s="159"/>
      <c r="N278" s="159"/>
      <c r="O278" s="159"/>
      <c r="P278" s="159"/>
      <c r="Q278" s="159"/>
      <c r="R278" s="159"/>
    </row>
    <row r="279" spans="1:18">
      <c r="A279" s="1058">
        <f>Gases!A286</f>
        <v>261</v>
      </c>
      <c r="B279" s="1061"/>
      <c r="C279" s="1061"/>
      <c r="D279" s="1061"/>
      <c r="E279" s="973"/>
      <c r="F279" s="973"/>
      <c r="G279" s="973"/>
      <c r="H279" s="973"/>
      <c r="I279" s="973"/>
      <c r="J279" s="976"/>
      <c r="K279" s="977"/>
      <c r="L279" s="978"/>
      <c r="M279" s="159"/>
      <c r="N279" s="159"/>
      <c r="O279" s="159"/>
      <c r="P279" s="159"/>
      <c r="Q279" s="159"/>
      <c r="R279" s="159"/>
    </row>
    <row r="280" spans="1:18">
      <c r="A280" s="1058">
        <f>Gases!A287</f>
        <v>262</v>
      </c>
      <c r="B280" s="1061"/>
      <c r="C280" s="1061"/>
      <c r="D280" s="1061"/>
      <c r="E280" s="973"/>
      <c r="F280" s="973"/>
      <c r="G280" s="973"/>
      <c r="H280" s="973"/>
      <c r="I280" s="973"/>
      <c r="J280" s="976"/>
      <c r="K280" s="977"/>
      <c r="L280" s="978"/>
      <c r="M280" s="159"/>
      <c r="N280" s="159"/>
      <c r="O280" s="159"/>
      <c r="P280" s="159"/>
      <c r="Q280" s="159"/>
      <c r="R280" s="159"/>
    </row>
    <row r="281" spans="1:18">
      <c r="A281" s="1058">
        <f>Gases!A288</f>
        <v>263</v>
      </c>
      <c r="B281" s="1061"/>
      <c r="C281" s="1061"/>
      <c r="D281" s="1061"/>
      <c r="E281" s="973"/>
      <c r="F281" s="973"/>
      <c r="G281" s="973"/>
      <c r="H281" s="973"/>
      <c r="I281" s="973"/>
      <c r="J281" s="976"/>
      <c r="K281" s="977"/>
      <c r="L281" s="978"/>
      <c r="M281" s="159"/>
      <c r="N281" s="159"/>
      <c r="O281" s="159"/>
      <c r="P281" s="159"/>
      <c r="Q281" s="159"/>
      <c r="R281" s="159"/>
    </row>
    <row r="282" spans="1:18">
      <c r="A282" s="1058">
        <f>Gases!A289</f>
        <v>264</v>
      </c>
      <c r="B282" s="1061"/>
      <c r="C282" s="1061"/>
      <c r="D282" s="1061"/>
      <c r="E282" s="973"/>
      <c r="F282" s="973"/>
      <c r="G282" s="973"/>
      <c r="H282" s="973"/>
      <c r="I282" s="973"/>
      <c r="J282" s="976"/>
      <c r="K282" s="977"/>
      <c r="L282" s="978"/>
      <c r="M282" s="159"/>
      <c r="N282" s="159"/>
      <c r="O282" s="159"/>
      <c r="P282" s="159"/>
      <c r="Q282" s="159"/>
      <c r="R282" s="159"/>
    </row>
    <row r="283" spans="1:18">
      <c r="A283" s="1058">
        <f>Gases!A290</f>
        <v>265</v>
      </c>
      <c r="B283" s="1061"/>
      <c r="C283" s="1061"/>
      <c r="D283" s="1061"/>
      <c r="E283" s="973"/>
      <c r="F283" s="973"/>
      <c r="G283" s="973"/>
      <c r="H283" s="973"/>
      <c r="I283" s="973"/>
      <c r="J283" s="976"/>
      <c r="K283" s="977"/>
      <c r="L283" s="978"/>
      <c r="M283" s="159"/>
      <c r="N283" s="159"/>
      <c r="O283" s="159"/>
      <c r="P283" s="159"/>
      <c r="Q283" s="159"/>
      <c r="R283" s="159"/>
    </row>
    <row r="284" spans="1:18">
      <c r="A284" s="1058">
        <f>Gases!A291</f>
        <v>266</v>
      </c>
      <c r="B284" s="1061"/>
      <c r="C284" s="1061"/>
      <c r="D284" s="1061"/>
      <c r="E284" s="973"/>
      <c r="F284" s="973"/>
      <c r="G284" s="973"/>
      <c r="H284" s="973"/>
      <c r="I284" s="973"/>
      <c r="J284" s="976"/>
      <c r="K284" s="977"/>
      <c r="L284" s="978"/>
      <c r="M284" s="159"/>
      <c r="N284" s="159"/>
      <c r="O284" s="159"/>
      <c r="P284" s="159"/>
      <c r="Q284" s="159"/>
      <c r="R284" s="159"/>
    </row>
    <row r="285" spans="1:18">
      <c r="A285" s="1058">
        <f>Gases!A292</f>
        <v>267</v>
      </c>
      <c r="B285" s="1061"/>
      <c r="C285" s="1061"/>
      <c r="D285" s="1061"/>
      <c r="E285" s="973"/>
      <c r="F285" s="973"/>
      <c r="G285" s="973"/>
      <c r="H285" s="973"/>
      <c r="I285" s="973"/>
      <c r="J285" s="976"/>
      <c r="K285" s="977"/>
      <c r="L285" s="978"/>
      <c r="M285" s="159"/>
      <c r="N285" s="159"/>
      <c r="O285" s="159"/>
      <c r="P285" s="159"/>
      <c r="Q285" s="159"/>
      <c r="R285" s="159"/>
    </row>
    <row r="286" spans="1:18">
      <c r="A286" s="1058">
        <f>Gases!A293</f>
        <v>268</v>
      </c>
      <c r="B286" s="1061"/>
      <c r="C286" s="1061"/>
      <c r="D286" s="1061"/>
      <c r="E286" s="973"/>
      <c r="F286" s="973"/>
      <c r="G286" s="973"/>
      <c r="H286" s="973"/>
      <c r="I286" s="973"/>
      <c r="J286" s="976"/>
      <c r="K286" s="977"/>
      <c r="L286" s="978"/>
      <c r="M286" s="159"/>
      <c r="N286" s="159"/>
      <c r="O286" s="159"/>
      <c r="P286" s="159"/>
      <c r="Q286" s="159"/>
      <c r="R286" s="159"/>
    </row>
    <row r="287" spans="1:18">
      <c r="A287" s="1058">
        <f>Gases!A294</f>
        <v>269</v>
      </c>
      <c r="B287" s="1061"/>
      <c r="C287" s="1061"/>
      <c r="D287" s="1061"/>
      <c r="E287" s="973"/>
      <c r="F287" s="973"/>
      <c r="G287" s="973"/>
      <c r="H287" s="973"/>
      <c r="I287" s="973"/>
      <c r="J287" s="976"/>
      <c r="K287" s="977"/>
      <c r="L287" s="978"/>
      <c r="M287" s="159"/>
      <c r="N287" s="159"/>
      <c r="O287" s="159"/>
      <c r="P287" s="159"/>
      <c r="Q287" s="159"/>
      <c r="R287" s="159"/>
    </row>
    <row r="288" spans="1:18">
      <c r="A288" s="1058">
        <f>Gases!A295</f>
        <v>270</v>
      </c>
      <c r="B288" s="1061"/>
      <c r="C288" s="1061"/>
      <c r="D288" s="1061"/>
      <c r="E288" s="973"/>
      <c r="F288" s="973"/>
      <c r="G288" s="973"/>
      <c r="H288" s="973"/>
      <c r="I288" s="973"/>
      <c r="J288" s="976"/>
      <c r="K288" s="977"/>
      <c r="L288" s="978"/>
      <c r="M288" s="159"/>
      <c r="N288" s="159"/>
      <c r="O288" s="159"/>
      <c r="P288" s="159"/>
      <c r="Q288" s="159"/>
      <c r="R288" s="159"/>
    </row>
    <row r="289" spans="1:18">
      <c r="A289" s="1058">
        <f>Gases!A296</f>
        <v>271</v>
      </c>
      <c r="B289" s="1061"/>
      <c r="C289" s="1061"/>
      <c r="D289" s="1061"/>
      <c r="E289" s="973"/>
      <c r="F289" s="973"/>
      <c r="G289" s="973"/>
      <c r="H289" s="973"/>
      <c r="I289" s="973"/>
      <c r="J289" s="976"/>
      <c r="K289" s="977"/>
      <c r="L289" s="978"/>
      <c r="M289" s="159"/>
      <c r="N289" s="159"/>
      <c r="O289" s="159"/>
      <c r="P289" s="159"/>
      <c r="Q289" s="159"/>
      <c r="R289" s="159"/>
    </row>
    <row r="290" spans="1:18">
      <c r="A290" s="1058">
        <f>Gases!A297</f>
        <v>272</v>
      </c>
      <c r="B290" s="1061"/>
      <c r="C290" s="1061"/>
      <c r="D290" s="1061"/>
      <c r="E290" s="973"/>
      <c r="F290" s="973"/>
      <c r="G290" s="973"/>
      <c r="H290" s="973"/>
      <c r="I290" s="973"/>
      <c r="J290" s="976"/>
      <c r="K290" s="977"/>
      <c r="L290" s="978"/>
      <c r="M290" s="159"/>
      <c r="N290" s="159"/>
      <c r="O290" s="159"/>
      <c r="P290" s="159"/>
      <c r="Q290" s="159"/>
      <c r="R290" s="159"/>
    </row>
    <row r="291" spans="1:18">
      <c r="A291" s="1058">
        <f>Gases!A298</f>
        <v>273</v>
      </c>
      <c r="B291" s="1061"/>
      <c r="C291" s="1061"/>
      <c r="D291" s="1061"/>
      <c r="E291" s="973"/>
      <c r="F291" s="973"/>
      <c r="G291" s="973"/>
      <c r="H291" s="973"/>
      <c r="I291" s="973"/>
      <c r="J291" s="976"/>
      <c r="K291" s="977"/>
      <c r="L291" s="978"/>
      <c r="M291" s="159"/>
      <c r="N291" s="159"/>
      <c r="O291" s="159"/>
      <c r="P291" s="159"/>
      <c r="Q291" s="159"/>
      <c r="R291" s="159"/>
    </row>
    <row r="292" spans="1:18">
      <c r="A292" s="1058">
        <f>Gases!A299</f>
        <v>274</v>
      </c>
      <c r="B292" s="1061"/>
      <c r="C292" s="1061"/>
      <c r="D292" s="1061"/>
      <c r="E292" s="973"/>
      <c r="F292" s="973"/>
      <c r="G292" s="973"/>
      <c r="H292" s="973"/>
      <c r="I292" s="973"/>
      <c r="J292" s="976"/>
      <c r="K292" s="977"/>
      <c r="L292" s="978"/>
      <c r="M292" s="159"/>
      <c r="N292" s="159"/>
      <c r="O292" s="159"/>
      <c r="P292" s="159"/>
      <c r="Q292" s="159"/>
      <c r="R292" s="159"/>
    </row>
    <row r="293" spans="1:18">
      <c r="A293" s="1058">
        <f>Gases!A300</f>
        <v>275</v>
      </c>
      <c r="B293" s="1061"/>
      <c r="C293" s="1061"/>
      <c r="D293" s="1061"/>
      <c r="E293" s="973"/>
      <c r="F293" s="973"/>
      <c r="G293" s="973"/>
      <c r="H293" s="973"/>
      <c r="I293" s="973"/>
      <c r="J293" s="976"/>
      <c r="K293" s="977"/>
      <c r="L293" s="978"/>
      <c r="M293" s="159"/>
      <c r="N293" s="159"/>
      <c r="O293" s="159"/>
      <c r="P293" s="159"/>
      <c r="Q293" s="159"/>
      <c r="R293" s="159"/>
    </row>
    <row r="294" spans="1:18">
      <c r="A294" s="1058">
        <f>Gases!A301</f>
        <v>276</v>
      </c>
      <c r="B294" s="1061"/>
      <c r="C294" s="1061"/>
      <c r="D294" s="1061"/>
      <c r="E294" s="973"/>
      <c r="F294" s="973"/>
      <c r="G294" s="973"/>
      <c r="H294" s="973"/>
      <c r="I294" s="973"/>
      <c r="J294" s="976"/>
      <c r="K294" s="977"/>
      <c r="L294" s="978"/>
      <c r="M294" s="159"/>
      <c r="N294" s="159"/>
      <c r="O294" s="159"/>
      <c r="P294" s="159"/>
      <c r="Q294" s="159"/>
      <c r="R294" s="159"/>
    </row>
    <row r="295" spans="1:18">
      <c r="A295" s="1058">
        <f>Gases!A302</f>
        <v>277</v>
      </c>
      <c r="B295" s="1061"/>
      <c r="C295" s="1061"/>
      <c r="D295" s="1061"/>
      <c r="E295" s="973"/>
      <c r="F295" s="973"/>
      <c r="G295" s="973"/>
      <c r="H295" s="973"/>
      <c r="I295" s="973"/>
      <c r="J295" s="976"/>
      <c r="K295" s="977"/>
      <c r="L295" s="978"/>
      <c r="M295" s="159"/>
      <c r="N295" s="159"/>
      <c r="O295" s="159"/>
      <c r="P295" s="159"/>
      <c r="Q295" s="159"/>
      <c r="R295" s="159"/>
    </row>
    <row r="296" spans="1:18">
      <c r="A296" s="1058">
        <f>Gases!A303</f>
        <v>278</v>
      </c>
      <c r="B296" s="1061"/>
      <c r="C296" s="1061"/>
      <c r="D296" s="1061"/>
      <c r="E296" s="973"/>
      <c r="F296" s="973"/>
      <c r="G296" s="973"/>
      <c r="H296" s="973"/>
      <c r="I296" s="973"/>
      <c r="J296" s="976"/>
      <c r="K296" s="977"/>
      <c r="L296" s="978"/>
      <c r="M296" s="159"/>
      <c r="N296" s="159"/>
      <c r="O296" s="159"/>
      <c r="P296" s="159"/>
      <c r="Q296" s="159"/>
      <c r="R296" s="159"/>
    </row>
    <row r="297" spans="1:18">
      <c r="A297" s="1058">
        <f>Gases!A304</f>
        <v>279</v>
      </c>
      <c r="B297" s="1061"/>
      <c r="C297" s="1061"/>
      <c r="D297" s="1061"/>
      <c r="E297" s="973"/>
      <c r="F297" s="973"/>
      <c r="G297" s="973"/>
      <c r="H297" s="973"/>
      <c r="I297" s="973"/>
      <c r="J297" s="976"/>
      <c r="K297" s="977"/>
      <c r="L297" s="978"/>
      <c r="M297" s="159"/>
      <c r="N297" s="159"/>
      <c r="O297" s="159"/>
      <c r="P297" s="159"/>
      <c r="Q297" s="159"/>
      <c r="R297" s="159"/>
    </row>
    <row r="298" spans="1:18">
      <c r="A298" s="1058">
        <f>Gases!A305</f>
        <v>280</v>
      </c>
      <c r="B298" s="1061"/>
      <c r="C298" s="1061"/>
      <c r="D298" s="1061"/>
      <c r="E298" s="973"/>
      <c r="F298" s="973"/>
      <c r="G298" s="973"/>
      <c r="H298" s="973"/>
      <c r="I298" s="973"/>
      <c r="J298" s="976"/>
      <c r="K298" s="977"/>
      <c r="L298" s="978"/>
      <c r="M298" s="159"/>
      <c r="N298" s="159"/>
      <c r="O298" s="159"/>
      <c r="P298" s="159"/>
      <c r="Q298" s="159"/>
      <c r="R298" s="159"/>
    </row>
    <row r="299" spans="1:18">
      <c r="A299" s="1058">
        <f>Gases!A306</f>
        <v>281</v>
      </c>
      <c r="B299" s="1061"/>
      <c r="C299" s="1061"/>
      <c r="D299" s="1061"/>
      <c r="E299" s="973"/>
      <c r="F299" s="973"/>
      <c r="G299" s="973"/>
      <c r="H299" s="973"/>
      <c r="I299" s="973"/>
      <c r="J299" s="976"/>
      <c r="K299" s="977"/>
      <c r="L299" s="978"/>
      <c r="M299" s="159"/>
      <c r="N299" s="159"/>
      <c r="O299" s="159"/>
      <c r="P299" s="159"/>
      <c r="Q299" s="159"/>
      <c r="R299" s="159"/>
    </row>
    <row r="300" spans="1:18">
      <c r="A300" s="1058">
        <f>Gases!A307</f>
        <v>282</v>
      </c>
      <c r="B300" s="1061"/>
      <c r="C300" s="1061"/>
      <c r="D300" s="1061"/>
      <c r="E300" s="973"/>
      <c r="F300" s="973"/>
      <c r="G300" s="973"/>
      <c r="H300" s="973"/>
      <c r="I300" s="973"/>
      <c r="J300" s="976"/>
      <c r="K300" s="977"/>
      <c r="L300" s="978"/>
      <c r="M300" s="159"/>
      <c r="N300" s="159"/>
      <c r="O300" s="159"/>
      <c r="P300" s="159"/>
      <c r="Q300" s="159"/>
      <c r="R300" s="159"/>
    </row>
    <row r="301" spans="1:18">
      <c r="A301" s="1058">
        <f>Gases!A308</f>
        <v>283</v>
      </c>
      <c r="B301" s="1061"/>
      <c r="C301" s="1061"/>
      <c r="D301" s="1061"/>
      <c r="E301" s="973"/>
      <c r="F301" s="973"/>
      <c r="G301" s="973"/>
      <c r="H301" s="973"/>
      <c r="I301" s="973"/>
      <c r="J301" s="976"/>
      <c r="K301" s="977"/>
      <c r="L301" s="978"/>
      <c r="M301" s="159"/>
      <c r="N301" s="159"/>
      <c r="O301" s="159"/>
      <c r="P301" s="159"/>
      <c r="Q301" s="159"/>
      <c r="R301" s="159"/>
    </row>
    <row r="302" spans="1:18">
      <c r="A302" s="1058">
        <f>Gases!A309</f>
        <v>284</v>
      </c>
      <c r="B302" s="1061"/>
      <c r="C302" s="1061"/>
      <c r="D302" s="1061"/>
      <c r="E302" s="973"/>
      <c r="F302" s="973"/>
      <c r="G302" s="973"/>
      <c r="H302" s="973"/>
      <c r="I302" s="973"/>
      <c r="J302" s="976"/>
      <c r="K302" s="977"/>
      <c r="L302" s="978"/>
      <c r="M302" s="159"/>
      <c r="N302" s="159"/>
      <c r="O302" s="159"/>
      <c r="P302" s="159"/>
      <c r="Q302" s="159"/>
      <c r="R302" s="159"/>
    </row>
    <row r="303" spans="1:18">
      <c r="A303" s="1058">
        <f>Gases!A310</f>
        <v>285</v>
      </c>
      <c r="B303" s="1061"/>
      <c r="C303" s="1061"/>
      <c r="D303" s="1061"/>
      <c r="E303" s="973"/>
      <c r="F303" s="973"/>
      <c r="G303" s="973"/>
      <c r="H303" s="973"/>
      <c r="I303" s="973"/>
      <c r="J303" s="976"/>
      <c r="K303" s="977"/>
      <c r="L303" s="978"/>
      <c r="M303" s="159"/>
      <c r="N303" s="159"/>
      <c r="O303" s="159"/>
      <c r="P303" s="159"/>
      <c r="Q303" s="159"/>
      <c r="R303" s="159"/>
    </row>
    <row r="304" spans="1:18">
      <c r="A304" s="1058">
        <f>Gases!A311</f>
        <v>286</v>
      </c>
      <c r="B304" s="1061"/>
      <c r="C304" s="1061"/>
      <c r="D304" s="1061"/>
      <c r="E304" s="973"/>
      <c r="F304" s="973"/>
      <c r="G304" s="973"/>
      <c r="H304" s="973"/>
      <c r="I304" s="973"/>
      <c r="J304" s="976"/>
      <c r="K304" s="977"/>
      <c r="L304" s="978"/>
      <c r="M304" s="159"/>
      <c r="N304" s="159"/>
      <c r="O304" s="159"/>
      <c r="P304" s="159"/>
      <c r="Q304" s="159"/>
      <c r="R304" s="159"/>
    </row>
    <row r="305" spans="1:18">
      <c r="A305" s="1058">
        <f>Gases!A312</f>
        <v>287</v>
      </c>
      <c r="B305" s="1061"/>
      <c r="C305" s="1061"/>
      <c r="D305" s="1061"/>
      <c r="E305" s="973"/>
      <c r="F305" s="973"/>
      <c r="G305" s="973"/>
      <c r="H305" s="973"/>
      <c r="I305" s="973"/>
      <c r="J305" s="976"/>
      <c r="K305" s="977"/>
      <c r="L305" s="978"/>
      <c r="M305" s="159"/>
      <c r="N305" s="159"/>
      <c r="O305" s="159"/>
      <c r="P305" s="159"/>
      <c r="Q305" s="159"/>
      <c r="R305" s="159"/>
    </row>
    <row r="306" spans="1:18">
      <c r="A306" s="1058">
        <f>Gases!A313</f>
        <v>288</v>
      </c>
      <c r="B306" s="1061"/>
      <c r="C306" s="1061"/>
      <c r="D306" s="1061"/>
      <c r="E306" s="973"/>
      <c r="F306" s="973"/>
      <c r="G306" s="973"/>
      <c r="H306" s="973"/>
      <c r="I306" s="973"/>
      <c r="J306" s="976"/>
      <c r="K306" s="977"/>
      <c r="L306" s="978"/>
      <c r="M306" s="159"/>
      <c r="N306" s="159"/>
      <c r="O306" s="159"/>
      <c r="P306" s="159"/>
      <c r="Q306" s="159"/>
      <c r="R306" s="159"/>
    </row>
    <row r="307" spans="1:18">
      <c r="A307" s="1058">
        <f>Gases!A314</f>
        <v>289</v>
      </c>
      <c r="B307" s="1061"/>
      <c r="C307" s="1061"/>
      <c r="D307" s="1061"/>
      <c r="E307" s="973"/>
      <c r="F307" s="973"/>
      <c r="G307" s="973"/>
      <c r="H307" s="973"/>
      <c r="I307" s="973"/>
      <c r="J307" s="976"/>
      <c r="K307" s="977"/>
      <c r="L307" s="978"/>
      <c r="M307" s="159"/>
      <c r="N307" s="159"/>
      <c r="O307" s="159"/>
      <c r="P307" s="159"/>
      <c r="Q307" s="159"/>
      <c r="R307" s="159"/>
    </row>
    <row r="308" spans="1:18">
      <c r="A308" s="1058">
        <f>Gases!A315</f>
        <v>290</v>
      </c>
      <c r="B308" s="1061"/>
      <c r="C308" s="1061"/>
      <c r="D308" s="1061"/>
      <c r="E308" s="973"/>
      <c r="F308" s="973"/>
      <c r="G308" s="973"/>
      <c r="H308" s="973"/>
      <c r="I308" s="973"/>
      <c r="J308" s="976"/>
      <c r="K308" s="977"/>
      <c r="L308" s="978"/>
      <c r="M308" s="159"/>
      <c r="N308" s="159"/>
      <c r="O308" s="159"/>
      <c r="P308" s="159"/>
      <c r="Q308" s="159"/>
      <c r="R308" s="159"/>
    </row>
    <row r="309" spans="1:18">
      <c r="A309" s="1058">
        <f>Gases!A316</f>
        <v>291</v>
      </c>
      <c r="B309" s="1061"/>
      <c r="C309" s="1061"/>
      <c r="D309" s="1061"/>
      <c r="E309" s="973"/>
      <c r="F309" s="973"/>
      <c r="G309" s="973"/>
      <c r="H309" s="973"/>
      <c r="I309" s="973"/>
      <c r="J309" s="976"/>
      <c r="K309" s="977"/>
      <c r="L309" s="978"/>
      <c r="M309" s="159"/>
      <c r="N309" s="159"/>
      <c r="O309" s="159"/>
      <c r="P309" s="159"/>
      <c r="Q309" s="159"/>
      <c r="R309" s="159"/>
    </row>
    <row r="310" spans="1:18">
      <c r="A310" s="1058">
        <f>Gases!A317</f>
        <v>292</v>
      </c>
      <c r="B310" s="1061"/>
      <c r="C310" s="1061"/>
      <c r="D310" s="1061"/>
      <c r="E310" s="973"/>
      <c r="F310" s="973"/>
      <c r="G310" s="973"/>
      <c r="H310" s="973"/>
      <c r="I310" s="973"/>
      <c r="J310" s="976"/>
      <c r="K310" s="977"/>
      <c r="L310" s="978"/>
      <c r="M310" s="159"/>
      <c r="N310" s="159"/>
      <c r="O310" s="159"/>
      <c r="P310" s="159"/>
      <c r="Q310" s="159"/>
      <c r="R310" s="159"/>
    </row>
    <row r="311" spans="1:18">
      <c r="A311" s="1058">
        <f>Gases!A318</f>
        <v>293</v>
      </c>
      <c r="B311" s="1061"/>
      <c r="C311" s="1061"/>
      <c r="D311" s="1061"/>
      <c r="E311" s="973"/>
      <c r="F311" s="973"/>
      <c r="G311" s="973"/>
      <c r="H311" s="973"/>
      <c r="I311" s="973"/>
      <c r="J311" s="976"/>
      <c r="K311" s="977"/>
      <c r="L311" s="978"/>
      <c r="M311" s="159"/>
      <c r="N311" s="159"/>
      <c r="O311" s="159"/>
      <c r="P311" s="159"/>
      <c r="Q311" s="159"/>
      <c r="R311" s="159"/>
    </row>
    <row r="312" spans="1:18">
      <c r="A312" s="1058">
        <f>Gases!A319</f>
        <v>294</v>
      </c>
      <c r="B312" s="1061"/>
      <c r="C312" s="1061"/>
      <c r="D312" s="1061"/>
      <c r="E312" s="973"/>
      <c r="F312" s="973"/>
      <c r="G312" s="973"/>
      <c r="H312" s="973"/>
      <c r="I312" s="973"/>
      <c r="J312" s="976"/>
      <c r="K312" s="977"/>
      <c r="L312" s="978"/>
      <c r="M312" s="159"/>
      <c r="N312" s="159"/>
      <c r="O312" s="159"/>
      <c r="P312" s="159"/>
      <c r="Q312" s="159"/>
      <c r="R312" s="159"/>
    </row>
    <row r="313" spans="1:18">
      <c r="A313" s="1058">
        <f>Gases!A320</f>
        <v>295</v>
      </c>
      <c r="B313" s="1061"/>
      <c r="C313" s="1061"/>
      <c r="D313" s="1061"/>
      <c r="E313" s="973"/>
      <c r="F313" s="973"/>
      <c r="G313" s="973"/>
      <c r="H313" s="973"/>
      <c r="I313" s="973"/>
      <c r="J313" s="976"/>
      <c r="K313" s="977"/>
      <c r="L313" s="978"/>
      <c r="M313" s="159"/>
      <c r="N313" s="159"/>
      <c r="O313" s="159"/>
      <c r="P313" s="159"/>
      <c r="Q313" s="159"/>
      <c r="R313" s="159"/>
    </row>
    <row r="314" spans="1:18">
      <c r="A314" s="1058">
        <f>Gases!A321</f>
        <v>296</v>
      </c>
      <c r="B314" s="1061"/>
      <c r="C314" s="1061"/>
      <c r="D314" s="1061"/>
      <c r="E314" s="973"/>
      <c r="F314" s="973"/>
      <c r="G314" s="973"/>
      <c r="H314" s="973"/>
      <c r="I314" s="973"/>
      <c r="J314" s="976"/>
      <c r="K314" s="977"/>
      <c r="L314" s="978"/>
      <c r="M314" s="159"/>
      <c r="N314" s="159"/>
      <c r="O314" s="159"/>
      <c r="P314" s="159"/>
      <c r="Q314" s="159"/>
      <c r="R314" s="159"/>
    </row>
    <row r="315" spans="1:18">
      <c r="A315" s="1058">
        <f>Gases!A322</f>
        <v>297</v>
      </c>
      <c r="B315" s="1061"/>
      <c r="C315" s="1061"/>
      <c r="D315" s="1061"/>
      <c r="E315" s="973"/>
      <c r="F315" s="973"/>
      <c r="G315" s="973"/>
      <c r="H315" s="973"/>
      <c r="I315" s="973"/>
      <c r="J315" s="976"/>
      <c r="K315" s="977"/>
      <c r="L315" s="978"/>
      <c r="M315" s="159"/>
      <c r="N315" s="159"/>
      <c r="O315" s="159"/>
      <c r="P315" s="159"/>
      <c r="Q315" s="159"/>
      <c r="R315" s="159"/>
    </row>
    <row r="316" spans="1:18">
      <c r="A316" s="1058">
        <f>Gases!A323</f>
        <v>298</v>
      </c>
      <c r="B316" s="1061"/>
      <c r="C316" s="1061"/>
      <c r="D316" s="1061"/>
      <c r="E316" s="973"/>
      <c r="F316" s="973"/>
      <c r="G316" s="973"/>
      <c r="H316" s="973"/>
      <c r="I316" s="973"/>
      <c r="J316" s="976"/>
      <c r="K316" s="977"/>
      <c r="L316" s="978"/>
      <c r="M316" s="159"/>
      <c r="N316" s="159"/>
      <c r="O316" s="159"/>
      <c r="P316" s="159"/>
      <c r="Q316" s="159"/>
      <c r="R316" s="159"/>
    </row>
    <row r="317" spans="1:18">
      <c r="A317" s="1058">
        <f>Gases!A324</f>
        <v>299</v>
      </c>
      <c r="B317" s="1061"/>
      <c r="C317" s="1061"/>
      <c r="D317" s="1061"/>
      <c r="E317" s="973"/>
      <c r="F317" s="973"/>
      <c r="G317" s="973"/>
      <c r="H317" s="973"/>
      <c r="I317" s="973"/>
      <c r="J317" s="976"/>
      <c r="K317" s="977"/>
      <c r="L317" s="978"/>
      <c r="M317" s="159"/>
      <c r="N317" s="159"/>
      <c r="O317" s="159"/>
      <c r="P317" s="159"/>
      <c r="Q317" s="159"/>
      <c r="R317" s="159"/>
    </row>
    <row r="318" spans="1:18">
      <c r="A318" s="1058">
        <f>Gases!A325</f>
        <v>300</v>
      </c>
      <c r="B318" s="1061"/>
      <c r="C318" s="1061"/>
      <c r="D318" s="1061"/>
      <c r="E318" s="973"/>
      <c r="F318" s="973"/>
      <c r="G318" s="973"/>
      <c r="H318" s="973"/>
      <c r="I318" s="973"/>
      <c r="J318" s="976"/>
      <c r="K318" s="977"/>
      <c r="L318" s="978"/>
      <c r="M318" s="159"/>
      <c r="N318" s="159"/>
      <c r="O318" s="159"/>
      <c r="P318" s="159"/>
      <c r="Q318" s="159"/>
      <c r="R318" s="159"/>
    </row>
    <row r="319" spans="1:18">
      <c r="A319" s="1058">
        <f>Gases!A326</f>
        <v>301</v>
      </c>
      <c r="B319" s="1061"/>
      <c r="C319" s="1061"/>
      <c r="D319" s="1061"/>
      <c r="E319" s="973"/>
      <c r="F319" s="973"/>
      <c r="G319" s="973"/>
      <c r="H319" s="973"/>
      <c r="I319" s="973"/>
      <c r="J319" s="976"/>
      <c r="K319" s="977"/>
      <c r="L319" s="978"/>
      <c r="M319" s="159"/>
      <c r="N319" s="159"/>
      <c r="O319" s="159"/>
      <c r="P319" s="159"/>
      <c r="Q319" s="159"/>
      <c r="R319" s="159"/>
    </row>
    <row r="320" spans="1:18">
      <c r="A320" s="1058">
        <f>Gases!A327</f>
        <v>302</v>
      </c>
      <c r="B320" s="1061"/>
      <c r="C320" s="1061"/>
      <c r="D320" s="1061"/>
      <c r="E320" s="973"/>
      <c r="F320" s="973"/>
      <c r="G320" s="973"/>
      <c r="H320" s="973"/>
      <c r="I320" s="973"/>
      <c r="J320" s="976"/>
      <c r="K320" s="977"/>
      <c r="L320" s="978"/>
      <c r="M320" s="159"/>
      <c r="N320" s="159"/>
      <c r="O320" s="159"/>
      <c r="P320" s="159"/>
      <c r="Q320" s="159"/>
      <c r="R320" s="159"/>
    </row>
    <row r="321" spans="1:18">
      <c r="A321" s="1058">
        <f>Gases!A328</f>
        <v>303</v>
      </c>
      <c r="B321" s="1061"/>
      <c r="C321" s="1061"/>
      <c r="D321" s="1061"/>
      <c r="E321" s="973"/>
      <c r="F321" s="973"/>
      <c r="G321" s="973"/>
      <c r="H321" s="973"/>
      <c r="I321" s="973"/>
      <c r="J321" s="976"/>
      <c r="K321" s="977"/>
      <c r="L321" s="978"/>
      <c r="M321" s="159"/>
      <c r="N321" s="159"/>
      <c r="O321" s="159"/>
      <c r="P321" s="159"/>
      <c r="Q321" s="159"/>
      <c r="R321" s="159"/>
    </row>
    <row r="322" spans="1:18">
      <c r="A322" s="1058">
        <f>Gases!A329</f>
        <v>304</v>
      </c>
      <c r="B322" s="1061"/>
      <c r="C322" s="1061"/>
      <c r="D322" s="1061"/>
      <c r="E322" s="973"/>
      <c r="F322" s="973"/>
      <c r="G322" s="973"/>
      <c r="H322" s="973"/>
      <c r="I322" s="973"/>
      <c r="J322" s="976"/>
      <c r="K322" s="977"/>
      <c r="L322" s="978"/>
      <c r="M322" s="159"/>
      <c r="N322" s="159"/>
      <c r="O322" s="159"/>
      <c r="P322" s="159"/>
      <c r="Q322" s="159"/>
      <c r="R322" s="159"/>
    </row>
    <row r="323" spans="1:18">
      <c r="A323" s="1058">
        <f>Gases!A330</f>
        <v>305</v>
      </c>
      <c r="B323" s="1061"/>
      <c r="C323" s="1061"/>
      <c r="D323" s="1061"/>
      <c r="E323" s="973"/>
      <c r="F323" s="973"/>
      <c r="G323" s="973"/>
      <c r="H323" s="973"/>
      <c r="I323" s="973"/>
      <c r="J323" s="976"/>
      <c r="K323" s="977"/>
      <c r="L323" s="978"/>
      <c r="M323" s="159"/>
      <c r="N323" s="159"/>
      <c r="O323" s="159"/>
      <c r="P323" s="159"/>
      <c r="Q323" s="159"/>
      <c r="R323" s="159"/>
    </row>
    <row r="324" spans="1:18">
      <c r="A324" s="1058">
        <f>Gases!A331</f>
        <v>306</v>
      </c>
      <c r="B324" s="1061"/>
      <c r="C324" s="1061"/>
      <c r="D324" s="1061"/>
      <c r="E324" s="973"/>
      <c r="F324" s="973"/>
      <c r="G324" s="973"/>
      <c r="H324" s="973"/>
      <c r="I324" s="973"/>
      <c r="J324" s="976"/>
      <c r="K324" s="977"/>
      <c r="L324" s="978"/>
      <c r="M324" s="159"/>
      <c r="N324" s="159"/>
      <c r="O324" s="159"/>
      <c r="P324" s="159"/>
      <c r="Q324" s="159"/>
      <c r="R324" s="159"/>
    </row>
    <row r="325" spans="1:18">
      <c r="A325" s="1058">
        <f>Gases!A332</f>
        <v>307</v>
      </c>
      <c r="B325" s="1061"/>
      <c r="C325" s="1061"/>
      <c r="D325" s="1061"/>
      <c r="E325" s="973"/>
      <c r="F325" s="973"/>
      <c r="G325" s="973"/>
      <c r="H325" s="973"/>
      <c r="I325" s="973"/>
      <c r="J325" s="976"/>
      <c r="K325" s="977"/>
      <c r="L325" s="978"/>
      <c r="M325" s="159"/>
      <c r="N325" s="159"/>
      <c r="O325" s="159"/>
      <c r="P325" s="159"/>
      <c r="Q325" s="159"/>
      <c r="R325" s="159"/>
    </row>
    <row r="326" spans="1:18">
      <c r="A326" s="1058">
        <f>Gases!A333</f>
        <v>308</v>
      </c>
      <c r="B326" s="1061"/>
      <c r="C326" s="1061"/>
      <c r="D326" s="1061"/>
      <c r="E326" s="973"/>
      <c r="F326" s="973"/>
      <c r="G326" s="973"/>
      <c r="H326" s="973"/>
      <c r="I326" s="973"/>
      <c r="J326" s="976"/>
      <c r="K326" s="977"/>
      <c r="L326" s="978"/>
      <c r="M326" s="159"/>
      <c r="N326" s="159"/>
      <c r="O326" s="159"/>
      <c r="P326" s="159"/>
      <c r="Q326" s="159"/>
      <c r="R326" s="159"/>
    </row>
    <row r="327" spans="1:18">
      <c r="A327" s="1058">
        <f>Gases!A334</f>
        <v>309</v>
      </c>
      <c r="B327" s="1061"/>
      <c r="C327" s="1061"/>
      <c r="D327" s="1061"/>
      <c r="E327" s="973"/>
      <c r="F327" s="973"/>
      <c r="G327" s="973"/>
      <c r="H327" s="973"/>
      <c r="I327" s="973"/>
      <c r="J327" s="976"/>
      <c r="K327" s="977"/>
      <c r="L327" s="978"/>
      <c r="M327" s="159"/>
      <c r="N327" s="159"/>
      <c r="O327" s="159"/>
      <c r="P327" s="159"/>
      <c r="Q327" s="159"/>
      <c r="R327" s="159"/>
    </row>
    <row r="328" spans="1:18">
      <c r="A328" s="1058">
        <f>Gases!A335</f>
        <v>310</v>
      </c>
      <c r="B328" s="1061"/>
      <c r="C328" s="1061"/>
      <c r="D328" s="1061"/>
      <c r="E328" s="973"/>
      <c r="F328" s="973"/>
      <c r="G328" s="973"/>
      <c r="H328" s="973"/>
      <c r="I328" s="973"/>
      <c r="J328" s="976"/>
      <c r="K328" s="977"/>
      <c r="L328" s="978"/>
      <c r="M328" s="159"/>
      <c r="N328" s="159"/>
      <c r="O328" s="159"/>
      <c r="P328" s="159"/>
      <c r="Q328" s="159"/>
      <c r="R328" s="159"/>
    </row>
    <row r="329" spans="1:18">
      <c r="A329" s="1058">
        <f>Gases!A336</f>
        <v>311</v>
      </c>
      <c r="B329" s="1061"/>
      <c r="C329" s="1061"/>
      <c r="D329" s="1061"/>
      <c r="E329" s="973"/>
      <c r="F329" s="973"/>
      <c r="G329" s="973"/>
      <c r="H329" s="973"/>
      <c r="I329" s="973"/>
      <c r="J329" s="976"/>
      <c r="K329" s="977"/>
      <c r="L329" s="978"/>
      <c r="M329" s="159"/>
      <c r="N329" s="159"/>
      <c r="O329" s="159"/>
      <c r="P329" s="159"/>
      <c r="Q329" s="159"/>
      <c r="R329" s="159"/>
    </row>
    <row r="330" spans="1:18">
      <c r="A330" s="1058">
        <f>Gases!A337</f>
        <v>312</v>
      </c>
      <c r="B330" s="1061"/>
      <c r="C330" s="1061"/>
      <c r="D330" s="1061"/>
      <c r="E330" s="973"/>
      <c r="F330" s="973"/>
      <c r="G330" s="973"/>
      <c r="H330" s="973"/>
      <c r="I330" s="973"/>
      <c r="J330" s="976"/>
      <c r="K330" s="977"/>
      <c r="L330" s="978"/>
      <c r="M330" s="159"/>
      <c r="N330" s="159"/>
      <c r="O330" s="159"/>
      <c r="P330" s="159"/>
      <c r="Q330" s="159"/>
      <c r="R330" s="159"/>
    </row>
    <row r="331" spans="1:18">
      <c r="A331" s="1058">
        <f>Gases!A338</f>
        <v>313</v>
      </c>
      <c r="B331" s="1061"/>
      <c r="C331" s="1061"/>
      <c r="D331" s="1061"/>
      <c r="E331" s="973"/>
      <c r="F331" s="973"/>
      <c r="G331" s="973"/>
      <c r="H331" s="973"/>
      <c r="I331" s="973"/>
      <c r="J331" s="976"/>
      <c r="K331" s="977"/>
      <c r="L331" s="978"/>
      <c r="M331" s="159"/>
      <c r="N331" s="159"/>
      <c r="O331" s="159"/>
      <c r="P331" s="159"/>
      <c r="Q331" s="159"/>
      <c r="R331" s="159"/>
    </row>
    <row r="332" spans="1:18">
      <c r="A332" s="1058">
        <f>Gases!A339</f>
        <v>314</v>
      </c>
      <c r="B332" s="1061"/>
      <c r="C332" s="1061"/>
      <c r="D332" s="1061"/>
      <c r="E332" s="973"/>
      <c r="F332" s="973"/>
      <c r="G332" s="973"/>
      <c r="H332" s="973"/>
      <c r="I332" s="973"/>
      <c r="J332" s="976"/>
      <c r="K332" s="977"/>
      <c r="L332" s="978"/>
      <c r="M332" s="159"/>
      <c r="N332" s="159"/>
      <c r="O332" s="159"/>
      <c r="P332" s="159"/>
      <c r="Q332" s="159"/>
      <c r="R332" s="159"/>
    </row>
    <row r="333" spans="1:18">
      <c r="A333" s="1058">
        <f>Gases!A340</f>
        <v>315</v>
      </c>
      <c r="B333" s="1061"/>
      <c r="C333" s="1061"/>
      <c r="D333" s="1061"/>
      <c r="E333" s="973"/>
      <c r="F333" s="973"/>
      <c r="G333" s="973"/>
      <c r="H333" s="973"/>
      <c r="I333" s="973"/>
      <c r="J333" s="976"/>
      <c r="K333" s="977"/>
      <c r="L333" s="978"/>
      <c r="M333" s="159"/>
      <c r="N333" s="159"/>
      <c r="O333" s="159"/>
      <c r="P333" s="159"/>
      <c r="Q333" s="159"/>
      <c r="R333" s="159"/>
    </row>
    <row r="334" spans="1:18">
      <c r="A334" s="1058">
        <f>Gases!A341</f>
        <v>316</v>
      </c>
      <c r="B334" s="1061"/>
      <c r="C334" s="1061"/>
      <c r="D334" s="1061"/>
      <c r="E334" s="973"/>
      <c r="F334" s="973"/>
      <c r="G334" s="973"/>
      <c r="H334" s="973"/>
      <c r="I334" s="973"/>
      <c r="J334" s="976"/>
      <c r="K334" s="977"/>
      <c r="L334" s="978"/>
      <c r="M334" s="159"/>
      <c r="N334" s="159"/>
      <c r="O334" s="159"/>
      <c r="P334" s="159"/>
      <c r="Q334" s="159"/>
      <c r="R334" s="159"/>
    </row>
    <row r="335" spans="1:18">
      <c r="A335" s="1058">
        <f>Gases!A342</f>
        <v>317</v>
      </c>
      <c r="B335" s="1061"/>
      <c r="C335" s="1061"/>
      <c r="D335" s="1061"/>
      <c r="E335" s="973"/>
      <c r="F335" s="973"/>
      <c r="G335" s="973"/>
      <c r="H335" s="973"/>
      <c r="I335" s="973"/>
      <c r="J335" s="976"/>
      <c r="K335" s="977"/>
      <c r="L335" s="978"/>
      <c r="M335" s="159"/>
      <c r="N335" s="159"/>
      <c r="O335" s="159"/>
      <c r="P335" s="159"/>
      <c r="Q335" s="159"/>
      <c r="R335" s="159"/>
    </row>
    <row r="336" spans="1:18">
      <c r="A336" s="1058">
        <f>Gases!A343</f>
        <v>318</v>
      </c>
      <c r="B336" s="1061"/>
      <c r="C336" s="1061"/>
      <c r="D336" s="1061"/>
      <c r="E336" s="973"/>
      <c r="F336" s="973"/>
      <c r="G336" s="973"/>
      <c r="H336" s="973"/>
      <c r="I336" s="973"/>
      <c r="J336" s="976"/>
      <c r="K336" s="977"/>
      <c r="L336" s="978"/>
      <c r="M336" s="159"/>
      <c r="N336" s="159"/>
      <c r="O336" s="159"/>
      <c r="P336" s="159"/>
      <c r="Q336" s="159"/>
      <c r="R336" s="159"/>
    </row>
    <row r="337" spans="1:18">
      <c r="A337" s="1058">
        <f>Gases!A344</f>
        <v>319</v>
      </c>
      <c r="B337" s="1061"/>
      <c r="C337" s="1061"/>
      <c r="D337" s="1061"/>
      <c r="E337" s="973"/>
      <c r="F337" s="973"/>
      <c r="G337" s="973"/>
      <c r="H337" s="973"/>
      <c r="I337" s="973"/>
      <c r="J337" s="976"/>
      <c r="K337" s="977"/>
      <c r="L337" s="978"/>
      <c r="M337" s="159"/>
      <c r="N337" s="159"/>
      <c r="O337" s="159"/>
      <c r="P337" s="159"/>
      <c r="Q337" s="159"/>
      <c r="R337" s="159"/>
    </row>
    <row r="338" spans="1:18">
      <c r="A338" s="1058">
        <f>Gases!A345</f>
        <v>320</v>
      </c>
      <c r="B338" s="1061"/>
      <c r="C338" s="1061"/>
      <c r="D338" s="1061"/>
      <c r="E338" s="973"/>
      <c r="F338" s="973"/>
      <c r="G338" s="973"/>
      <c r="H338" s="973"/>
      <c r="I338" s="973"/>
      <c r="J338" s="976"/>
      <c r="K338" s="977"/>
      <c r="L338" s="978"/>
      <c r="M338" s="159"/>
      <c r="N338" s="159"/>
      <c r="O338" s="159"/>
      <c r="P338" s="159"/>
      <c r="Q338" s="159"/>
      <c r="R338" s="159"/>
    </row>
    <row r="339" spans="1:18">
      <c r="A339" s="1058">
        <f>Gases!A346</f>
        <v>321</v>
      </c>
      <c r="B339" s="1061"/>
      <c r="C339" s="1061"/>
      <c r="D339" s="1061"/>
      <c r="E339" s="973"/>
      <c r="F339" s="973"/>
      <c r="G339" s="973"/>
      <c r="H339" s="973"/>
      <c r="I339" s="973"/>
      <c r="J339" s="976"/>
      <c r="K339" s="977"/>
      <c r="L339" s="978"/>
      <c r="M339" s="159"/>
      <c r="N339" s="159"/>
      <c r="O339" s="159"/>
      <c r="P339" s="159"/>
      <c r="Q339" s="159"/>
      <c r="R339" s="159"/>
    </row>
    <row r="340" spans="1:18">
      <c r="A340" s="1058">
        <f>Gases!A347</f>
        <v>322</v>
      </c>
      <c r="B340" s="1061"/>
      <c r="C340" s="1061"/>
      <c r="D340" s="1061"/>
      <c r="E340" s="973"/>
      <c r="F340" s="973"/>
      <c r="G340" s="973"/>
      <c r="H340" s="973"/>
      <c r="I340" s="973"/>
      <c r="J340" s="976"/>
      <c r="K340" s="977"/>
      <c r="L340" s="978"/>
      <c r="M340" s="159"/>
      <c r="N340" s="159"/>
      <c r="O340" s="159"/>
      <c r="P340" s="159"/>
      <c r="Q340" s="159"/>
      <c r="R340" s="159"/>
    </row>
    <row r="341" spans="1:18">
      <c r="A341" s="1058">
        <f>Gases!A348</f>
        <v>323</v>
      </c>
      <c r="B341" s="1061"/>
      <c r="C341" s="1061"/>
      <c r="D341" s="1061"/>
      <c r="E341" s="973"/>
      <c r="F341" s="973"/>
      <c r="G341" s="973"/>
      <c r="H341" s="973"/>
      <c r="I341" s="973"/>
      <c r="J341" s="976"/>
      <c r="K341" s="977"/>
      <c r="L341" s="978"/>
      <c r="M341" s="159"/>
      <c r="N341" s="159"/>
      <c r="O341" s="159"/>
      <c r="P341" s="159"/>
      <c r="Q341" s="159"/>
      <c r="R341" s="159"/>
    </row>
    <row r="342" spans="1:18">
      <c r="A342" s="1058">
        <f>Gases!A349</f>
        <v>324</v>
      </c>
      <c r="B342" s="1061"/>
      <c r="C342" s="1061"/>
      <c r="D342" s="1061"/>
      <c r="E342" s="973"/>
      <c r="F342" s="973"/>
      <c r="G342" s="973"/>
      <c r="H342" s="973"/>
      <c r="I342" s="973"/>
      <c r="J342" s="976"/>
      <c r="K342" s="977"/>
      <c r="L342" s="978"/>
      <c r="M342" s="159"/>
      <c r="N342" s="159"/>
      <c r="O342" s="159"/>
      <c r="P342" s="159"/>
      <c r="Q342" s="159"/>
      <c r="R342" s="159"/>
    </row>
    <row r="343" spans="1:18">
      <c r="A343" s="1058">
        <f>Gases!A350</f>
        <v>325</v>
      </c>
      <c r="B343" s="1061"/>
      <c r="C343" s="1061"/>
      <c r="D343" s="1061"/>
      <c r="E343" s="973"/>
      <c r="F343" s="973"/>
      <c r="G343" s="973"/>
      <c r="H343" s="973"/>
      <c r="I343" s="973"/>
      <c r="J343" s="976"/>
      <c r="K343" s="977"/>
      <c r="L343" s="978"/>
      <c r="M343" s="159"/>
      <c r="N343" s="159"/>
      <c r="O343" s="159"/>
      <c r="P343" s="159"/>
      <c r="Q343" s="159"/>
      <c r="R343" s="159"/>
    </row>
    <row r="344" spans="1:18">
      <c r="A344" s="1058">
        <f>Gases!A351</f>
        <v>326</v>
      </c>
      <c r="B344" s="1061"/>
      <c r="C344" s="1061"/>
      <c r="D344" s="1061"/>
      <c r="E344" s="973"/>
      <c r="F344" s="973"/>
      <c r="G344" s="973"/>
      <c r="H344" s="973"/>
      <c r="I344" s="973"/>
      <c r="J344" s="976"/>
      <c r="K344" s="977"/>
      <c r="L344" s="978"/>
      <c r="M344" s="159"/>
      <c r="N344" s="159"/>
      <c r="O344" s="159"/>
      <c r="P344" s="159"/>
      <c r="Q344" s="159"/>
      <c r="R344" s="159"/>
    </row>
    <row r="345" spans="1:18">
      <c r="A345" s="1058">
        <f>Gases!A352</f>
        <v>327</v>
      </c>
      <c r="B345" s="1061"/>
      <c r="C345" s="1061"/>
      <c r="D345" s="1061"/>
      <c r="E345" s="973"/>
      <c r="F345" s="973"/>
      <c r="G345" s="973"/>
      <c r="H345" s="973"/>
      <c r="I345" s="973"/>
      <c r="J345" s="976"/>
      <c r="K345" s="977"/>
      <c r="L345" s="978"/>
      <c r="M345" s="159"/>
      <c r="N345" s="159"/>
      <c r="O345" s="159"/>
      <c r="P345" s="159"/>
      <c r="Q345" s="159"/>
      <c r="R345" s="159"/>
    </row>
    <row r="346" spans="1:18">
      <c r="A346" s="1058">
        <f>Gases!A353</f>
        <v>328</v>
      </c>
      <c r="B346" s="1061"/>
      <c r="C346" s="1061"/>
      <c r="D346" s="1061"/>
      <c r="E346" s="973"/>
      <c r="F346" s="973"/>
      <c r="G346" s="973"/>
      <c r="H346" s="973"/>
      <c r="I346" s="973"/>
      <c r="J346" s="976"/>
      <c r="K346" s="977"/>
      <c r="L346" s="978"/>
      <c r="M346" s="159"/>
      <c r="N346" s="159"/>
      <c r="O346" s="159"/>
      <c r="P346" s="159"/>
      <c r="Q346" s="159"/>
      <c r="R346" s="159"/>
    </row>
    <row r="347" spans="1:18">
      <c r="A347" s="1058">
        <f>Gases!A354</f>
        <v>329</v>
      </c>
      <c r="B347" s="1061"/>
      <c r="C347" s="1061"/>
      <c r="D347" s="1061"/>
      <c r="E347" s="973"/>
      <c r="F347" s="973"/>
      <c r="G347" s="973"/>
      <c r="H347" s="973"/>
      <c r="I347" s="973"/>
      <c r="J347" s="976"/>
      <c r="K347" s="977"/>
      <c r="L347" s="978"/>
      <c r="M347" s="159"/>
      <c r="N347" s="159"/>
      <c r="O347" s="159"/>
      <c r="P347" s="159"/>
      <c r="Q347" s="159"/>
      <c r="R347" s="159"/>
    </row>
    <row r="348" spans="1:18">
      <c r="A348" s="1058">
        <f>Gases!A355</f>
        <v>330</v>
      </c>
      <c r="B348" s="1061"/>
      <c r="C348" s="1061"/>
      <c r="D348" s="1061"/>
      <c r="E348" s="973"/>
      <c r="F348" s="973"/>
      <c r="G348" s="973"/>
      <c r="H348" s="973"/>
      <c r="I348" s="973"/>
      <c r="J348" s="976"/>
      <c r="K348" s="977"/>
      <c r="L348" s="978"/>
      <c r="M348" s="159"/>
      <c r="N348" s="159"/>
      <c r="O348" s="159"/>
      <c r="P348" s="159"/>
      <c r="Q348" s="159"/>
      <c r="R348" s="159"/>
    </row>
    <row r="349" spans="1:18">
      <c r="A349" s="1058">
        <f>Gases!A356</f>
        <v>331</v>
      </c>
      <c r="B349" s="1061"/>
      <c r="C349" s="1061"/>
      <c r="D349" s="1061"/>
      <c r="E349" s="973"/>
      <c r="F349" s="973"/>
      <c r="G349" s="973"/>
      <c r="H349" s="973"/>
      <c r="I349" s="973"/>
      <c r="J349" s="976"/>
      <c r="K349" s="977"/>
      <c r="L349" s="978"/>
      <c r="M349" s="159"/>
      <c r="N349" s="159"/>
      <c r="O349" s="159"/>
      <c r="P349" s="159"/>
      <c r="Q349" s="159"/>
      <c r="R349" s="159"/>
    </row>
    <row r="350" spans="1:18">
      <c r="A350" s="1058">
        <f>Gases!A357</f>
        <v>332</v>
      </c>
      <c r="B350" s="1061"/>
      <c r="C350" s="1061"/>
      <c r="D350" s="1061"/>
      <c r="E350" s="973"/>
      <c r="F350" s="973"/>
      <c r="G350" s="973"/>
      <c r="H350" s="973"/>
      <c r="I350" s="973"/>
      <c r="J350" s="976"/>
      <c r="K350" s="977"/>
      <c r="L350" s="978"/>
      <c r="M350" s="159"/>
      <c r="N350" s="159"/>
      <c r="O350" s="159"/>
      <c r="P350" s="159"/>
      <c r="Q350" s="159"/>
      <c r="R350" s="159"/>
    </row>
    <row r="351" spans="1:18">
      <c r="A351" s="1058">
        <f>Gases!A358</f>
        <v>333</v>
      </c>
      <c r="B351" s="1061"/>
      <c r="C351" s="1061"/>
      <c r="D351" s="1061"/>
      <c r="E351" s="973"/>
      <c r="F351" s="973"/>
      <c r="G351" s="973"/>
      <c r="H351" s="973"/>
      <c r="I351" s="973"/>
      <c r="J351" s="976"/>
      <c r="K351" s="977"/>
      <c r="L351" s="978"/>
      <c r="M351" s="159"/>
      <c r="N351" s="159"/>
      <c r="O351" s="159"/>
      <c r="P351" s="159"/>
      <c r="Q351" s="159"/>
      <c r="R351" s="159"/>
    </row>
    <row r="352" spans="1:18">
      <c r="A352" s="1058">
        <f>Gases!A359</f>
        <v>334</v>
      </c>
      <c r="B352" s="1061"/>
      <c r="C352" s="1061"/>
      <c r="D352" s="1061"/>
      <c r="E352" s="973"/>
      <c r="F352" s="973"/>
      <c r="G352" s="973"/>
      <c r="H352" s="973"/>
      <c r="I352" s="973"/>
      <c r="J352" s="976"/>
      <c r="K352" s="977"/>
      <c r="L352" s="978"/>
      <c r="M352" s="159"/>
      <c r="N352" s="159"/>
      <c r="O352" s="159"/>
      <c r="P352" s="159"/>
      <c r="Q352" s="159"/>
      <c r="R352" s="159"/>
    </row>
    <row r="353" spans="1:18">
      <c r="A353" s="1058">
        <f>Gases!A360</f>
        <v>335</v>
      </c>
      <c r="B353" s="1061"/>
      <c r="C353" s="1061"/>
      <c r="D353" s="1061"/>
      <c r="E353" s="973"/>
      <c r="F353" s="973"/>
      <c r="G353" s="973"/>
      <c r="H353" s="973"/>
      <c r="I353" s="973"/>
      <c r="J353" s="976"/>
      <c r="K353" s="977"/>
      <c r="L353" s="978"/>
      <c r="M353" s="159"/>
      <c r="N353" s="159"/>
      <c r="O353" s="159"/>
      <c r="P353" s="159"/>
      <c r="Q353" s="159"/>
      <c r="R353" s="159"/>
    </row>
    <row r="354" spans="1:18">
      <c r="A354" s="1058">
        <f>Gases!A361</f>
        <v>336</v>
      </c>
      <c r="B354" s="1061"/>
      <c r="C354" s="1061"/>
      <c r="D354" s="1061"/>
      <c r="E354" s="973"/>
      <c r="F354" s="973"/>
      <c r="G354" s="973"/>
      <c r="H354" s="973"/>
      <c r="I354" s="973"/>
      <c r="J354" s="976"/>
      <c r="K354" s="977"/>
      <c r="L354" s="978"/>
      <c r="M354" s="159"/>
      <c r="N354" s="159"/>
      <c r="O354" s="159"/>
      <c r="P354" s="159"/>
      <c r="Q354" s="159"/>
      <c r="R354" s="159"/>
    </row>
    <row r="355" spans="1:18">
      <c r="A355" s="1058">
        <f>Gases!A362</f>
        <v>337</v>
      </c>
      <c r="B355" s="1061"/>
      <c r="C355" s="1061"/>
      <c r="D355" s="1061"/>
      <c r="E355" s="973"/>
      <c r="F355" s="973"/>
      <c r="G355" s="973"/>
      <c r="H355" s="973"/>
      <c r="I355" s="973"/>
      <c r="J355" s="976"/>
      <c r="K355" s="977"/>
      <c r="L355" s="978"/>
      <c r="M355" s="159"/>
      <c r="N355" s="159"/>
      <c r="O355" s="159"/>
      <c r="P355" s="159"/>
      <c r="Q355" s="159"/>
      <c r="R355" s="159"/>
    </row>
    <row r="356" spans="1:18">
      <c r="A356" s="1058">
        <f>Gases!A363</f>
        <v>338</v>
      </c>
      <c r="B356" s="1061"/>
      <c r="C356" s="1061"/>
      <c r="D356" s="1061"/>
      <c r="E356" s="973"/>
      <c r="F356" s="973"/>
      <c r="G356" s="973"/>
      <c r="H356" s="973"/>
      <c r="I356" s="973"/>
      <c r="J356" s="976"/>
      <c r="K356" s="977"/>
      <c r="L356" s="978"/>
      <c r="M356" s="159"/>
      <c r="N356" s="159"/>
      <c r="O356" s="159"/>
      <c r="P356" s="159"/>
      <c r="Q356" s="159"/>
      <c r="R356" s="159"/>
    </row>
    <row r="357" spans="1:18">
      <c r="A357" s="1058">
        <f>Gases!A364</f>
        <v>339</v>
      </c>
      <c r="B357" s="1061"/>
      <c r="C357" s="1061"/>
      <c r="D357" s="1061"/>
      <c r="E357" s="973"/>
      <c r="F357" s="973"/>
      <c r="G357" s="973"/>
      <c r="H357" s="973"/>
      <c r="I357" s="973"/>
      <c r="J357" s="976"/>
      <c r="K357" s="977"/>
      <c r="L357" s="978"/>
      <c r="M357" s="159"/>
      <c r="N357" s="159"/>
      <c r="O357" s="159"/>
      <c r="P357" s="159"/>
      <c r="Q357" s="159"/>
      <c r="R357" s="159"/>
    </row>
    <row r="358" spans="1:18">
      <c r="A358" s="1058">
        <f>Gases!A365</f>
        <v>340</v>
      </c>
      <c r="B358" s="1061"/>
      <c r="C358" s="1061"/>
      <c r="D358" s="1061"/>
      <c r="E358" s="973"/>
      <c r="F358" s="973"/>
      <c r="G358" s="973"/>
      <c r="H358" s="973"/>
      <c r="I358" s="973"/>
      <c r="J358" s="976"/>
      <c r="K358" s="977"/>
      <c r="L358" s="978"/>
      <c r="M358" s="159"/>
      <c r="N358" s="159"/>
      <c r="O358" s="159"/>
      <c r="P358" s="159"/>
      <c r="Q358" s="159"/>
      <c r="R358" s="159"/>
    </row>
    <row r="359" spans="1:18">
      <c r="A359" s="1058">
        <f>Gases!A366</f>
        <v>341</v>
      </c>
      <c r="B359" s="1061"/>
      <c r="C359" s="1061"/>
      <c r="D359" s="1061"/>
      <c r="E359" s="973"/>
      <c r="F359" s="973"/>
      <c r="G359" s="973"/>
      <c r="H359" s="973"/>
      <c r="I359" s="973"/>
      <c r="J359" s="976"/>
      <c r="K359" s="977"/>
      <c r="L359" s="978"/>
      <c r="M359" s="159"/>
      <c r="N359" s="159"/>
      <c r="O359" s="159"/>
      <c r="P359" s="159"/>
      <c r="Q359" s="159"/>
      <c r="R359" s="159"/>
    </row>
    <row r="360" spans="1:18">
      <c r="A360" s="1058">
        <f>Gases!A367</f>
        <v>342</v>
      </c>
      <c r="B360" s="1061"/>
      <c r="C360" s="1061"/>
      <c r="D360" s="1061"/>
      <c r="E360" s="973"/>
      <c r="F360" s="973"/>
      <c r="G360" s="973"/>
      <c r="H360" s="973"/>
      <c r="I360" s="973"/>
      <c r="J360" s="976"/>
      <c r="K360" s="977"/>
      <c r="L360" s="978"/>
      <c r="M360" s="159"/>
      <c r="N360" s="159"/>
      <c r="O360" s="159"/>
      <c r="P360" s="159"/>
      <c r="Q360" s="159"/>
      <c r="R360" s="159"/>
    </row>
    <row r="361" spans="1:18">
      <c r="A361" s="1058">
        <f>Gases!A368</f>
        <v>343</v>
      </c>
      <c r="B361" s="1061"/>
      <c r="C361" s="1061"/>
      <c r="D361" s="1061"/>
      <c r="E361" s="973"/>
      <c r="F361" s="973"/>
      <c r="G361" s="973"/>
      <c r="H361" s="973"/>
      <c r="I361" s="973"/>
      <c r="J361" s="976"/>
      <c r="K361" s="977"/>
      <c r="L361" s="978"/>
      <c r="M361" s="159"/>
      <c r="N361" s="159"/>
      <c r="O361" s="159"/>
      <c r="P361" s="159"/>
      <c r="Q361" s="159"/>
      <c r="R361" s="159"/>
    </row>
    <row r="362" spans="1:18">
      <c r="A362" s="1058">
        <f>Gases!A369</f>
        <v>344</v>
      </c>
      <c r="B362" s="1061"/>
      <c r="C362" s="1061"/>
      <c r="D362" s="1061"/>
      <c r="E362" s="973"/>
      <c r="F362" s="973"/>
      <c r="G362" s="973"/>
      <c r="H362" s="973"/>
      <c r="I362" s="973"/>
      <c r="J362" s="976"/>
      <c r="K362" s="977"/>
      <c r="L362" s="978"/>
      <c r="M362" s="159"/>
      <c r="N362" s="159"/>
      <c r="O362" s="159"/>
      <c r="P362" s="159"/>
      <c r="Q362" s="159"/>
      <c r="R362" s="159"/>
    </row>
    <row r="363" spans="1:18">
      <c r="A363" s="1058">
        <f>Gases!A370</f>
        <v>345</v>
      </c>
      <c r="B363" s="1061"/>
      <c r="C363" s="1061"/>
      <c r="D363" s="1061"/>
      <c r="E363" s="973"/>
      <c r="F363" s="973"/>
      <c r="G363" s="973"/>
      <c r="H363" s="973"/>
      <c r="I363" s="973"/>
      <c r="J363" s="976"/>
      <c r="K363" s="977"/>
      <c r="L363" s="978"/>
      <c r="M363" s="159"/>
      <c r="N363" s="159"/>
      <c r="O363" s="159"/>
      <c r="P363" s="159"/>
      <c r="Q363" s="159"/>
      <c r="R363" s="159"/>
    </row>
    <row r="364" spans="1:18">
      <c r="A364" s="1058">
        <f>Gases!A371</f>
        <v>346</v>
      </c>
      <c r="B364" s="1061"/>
      <c r="C364" s="1061"/>
      <c r="D364" s="1061"/>
      <c r="E364" s="973"/>
      <c r="F364" s="973"/>
      <c r="G364" s="973"/>
      <c r="H364" s="973"/>
      <c r="I364" s="973"/>
      <c r="J364" s="976"/>
      <c r="K364" s="977"/>
      <c r="L364" s="978"/>
      <c r="M364" s="159"/>
      <c r="N364" s="159"/>
      <c r="O364" s="159"/>
      <c r="P364" s="159"/>
      <c r="Q364" s="159"/>
      <c r="R364" s="159"/>
    </row>
    <row r="365" spans="1:18">
      <c r="A365" s="1058">
        <f>Gases!A372</f>
        <v>347</v>
      </c>
      <c r="B365" s="1061"/>
      <c r="C365" s="1061"/>
      <c r="D365" s="1061"/>
      <c r="E365" s="973"/>
      <c r="F365" s="973"/>
      <c r="G365" s="973"/>
      <c r="H365" s="973"/>
      <c r="I365" s="973"/>
      <c r="J365" s="976"/>
      <c r="K365" s="977"/>
      <c r="L365" s="978"/>
      <c r="M365" s="159"/>
      <c r="N365" s="159"/>
      <c r="O365" s="159"/>
      <c r="P365" s="159"/>
      <c r="Q365" s="159"/>
      <c r="R365" s="159"/>
    </row>
    <row r="366" spans="1:18">
      <c r="A366" s="1058">
        <f>Gases!A373</f>
        <v>348</v>
      </c>
      <c r="B366" s="1061"/>
      <c r="C366" s="1061"/>
      <c r="D366" s="1061"/>
      <c r="E366" s="973"/>
      <c r="F366" s="973"/>
      <c r="G366" s="973"/>
      <c r="H366" s="973"/>
      <c r="I366" s="973"/>
      <c r="J366" s="976"/>
      <c r="K366" s="977"/>
      <c r="L366" s="978"/>
      <c r="M366" s="159"/>
      <c r="N366" s="159"/>
      <c r="O366" s="159"/>
      <c r="P366" s="159"/>
      <c r="Q366" s="159"/>
      <c r="R366" s="159"/>
    </row>
    <row r="367" spans="1:18">
      <c r="A367" s="1058">
        <f>Gases!A374</f>
        <v>349</v>
      </c>
      <c r="B367" s="1061"/>
      <c r="C367" s="1061"/>
      <c r="D367" s="1061"/>
      <c r="E367" s="973"/>
      <c r="F367" s="973"/>
      <c r="G367" s="973"/>
      <c r="H367" s="973"/>
      <c r="I367" s="973"/>
      <c r="J367" s="976"/>
      <c r="K367" s="977"/>
      <c r="L367" s="978"/>
      <c r="M367" s="159"/>
      <c r="N367" s="159"/>
      <c r="O367" s="159"/>
      <c r="P367" s="159"/>
      <c r="Q367" s="159"/>
      <c r="R367" s="159"/>
    </row>
    <row r="368" spans="1:18">
      <c r="A368" s="1058">
        <f>Gases!A375</f>
        <v>350</v>
      </c>
      <c r="B368" s="1061"/>
      <c r="C368" s="1061"/>
      <c r="D368" s="1061"/>
      <c r="E368" s="973"/>
      <c r="F368" s="973"/>
      <c r="G368" s="973"/>
      <c r="H368" s="973"/>
      <c r="I368" s="973"/>
      <c r="J368" s="976"/>
      <c r="K368" s="977"/>
      <c r="L368" s="978"/>
      <c r="M368" s="159"/>
      <c r="N368" s="159"/>
      <c r="O368" s="159"/>
      <c r="P368" s="159"/>
      <c r="Q368" s="159"/>
      <c r="R368" s="159"/>
    </row>
    <row r="369" spans="1:18">
      <c r="A369" s="1058">
        <f>Gases!A376</f>
        <v>351</v>
      </c>
      <c r="B369" s="1061"/>
      <c r="C369" s="1061"/>
      <c r="D369" s="1061"/>
      <c r="E369" s="973"/>
      <c r="F369" s="973"/>
      <c r="G369" s="973"/>
      <c r="H369" s="973"/>
      <c r="I369" s="973"/>
      <c r="J369" s="976"/>
      <c r="K369" s="977"/>
      <c r="L369" s="978"/>
      <c r="M369" s="159"/>
      <c r="N369" s="159"/>
      <c r="O369" s="159"/>
      <c r="P369" s="159"/>
      <c r="Q369" s="159"/>
      <c r="R369" s="159"/>
    </row>
    <row r="370" spans="1:18">
      <c r="A370" s="1058">
        <f>Gases!A377</f>
        <v>352</v>
      </c>
      <c r="B370" s="1061"/>
      <c r="C370" s="1061"/>
      <c r="D370" s="1061"/>
      <c r="E370" s="973"/>
      <c r="F370" s="973"/>
      <c r="G370" s="973"/>
      <c r="H370" s="973"/>
      <c r="I370" s="973"/>
      <c r="J370" s="976"/>
      <c r="K370" s="977"/>
      <c r="L370" s="978"/>
      <c r="M370" s="159"/>
      <c r="N370" s="159"/>
      <c r="O370" s="159"/>
      <c r="P370" s="159"/>
      <c r="Q370" s="159"/>
      <c r="R370" s="159"/>
    </row>
    <row r="371" spans="1:18">
      <c r="A371" s="1058">
        <f>Gases!A378</f>
        <v>353</v>
      </c>
      <c r="B371" s="1061"/>
      <c r="C371" s="1061"/>
      <c r="D371" s="1061"/>
      <c r="E371" s="973"/>
      <c r="F371" s="973"/>
      <c r="G371" s="973"/>
      <c r="H371" s="973"/>
      <c r="I371" s="973"/>
      <c r="J371" s="976"/>
      <c r="K371" s="977"/>
      <c r="L371" s="978"/>
      <c r="M371" s="159"/>
      <c r="N371" s="159"/>
      <c r="O371" s="159"/>
      <c r="P371" s="159"/>
      <c r="Q371" s="159"/>
      <c r="R371" s="159"/>
    </row>
    <row r="372" spans="1:18">
      <c r="A372" s="1058">
        <f>Gases!A379</f>
        <v>354</v>
      </c>
      <c r="B372" s="1061"/>
      <c r="C372" s="1061"/>
      <c r="D372" s="1061"/>
      <c r="E372" s="973"/>
      <c r="F372" s="973"/>
      <c r="G372" s="973"/>
      <c r="H372" s="973"/>
      <c r="I372" s="973"/>
      <c r="J372" s="976"/>
      <c r="K372" s="977"/>
      <c r="L372" s="978"/>
      <c r="M372" s="159"/>
      <c r="N372" s="159"/>
      <c r="O372" s="159"/>
      <c r="P372" s="159"/>
      <c r="Q372" s="159"/>
      <c r="R372" s="159"/>
    </row>
    <row r="373" spans="1:18">
      <c r="A373" s="1058">
        <f>Gases!A380</f>
        <v>355</v>
      </c>
      <c r="B373" s="1061"/>
      <c r="C373" s="1061"/>
      <c r="D373" s="1061"/>
      <c r="E373" s="973"/>
      <c r="F373" s="973"/>
      <c r="G373" s="973"/>
      <c r="H373" s="973"/>
      <c r="I373" s="973"/>
      <c r="J373" s="976"/>
      <c r="K373" s="977"/>
      <c r="L373" s="978"/>
      <c r="M373" s="159"/>
      <c r="N373" s="159"/>
      <c r="O373" s="159"/>
      <c r="P373" s="159"/>
      <c r="Q373" s="159"/>
      <c r="R373" s="159"/>
    </row>
    <row r="374" spans="1:18">
      <c r="A374" s="1058">
        <f>Gases!A381</f>
        <v>356</v>
      </c>
      <c r="B374" s="1061"/>
      <c r="C374" s="1061"/>
      <c r="D374" s="1061"/>
      <c r="E374" s="973"/>
      <c r="F374" s="973"/>
      <c r="G374" s="973"/>
      <c r="H374" s="973"/>
      <c r="I374" s="973"/>
      <c r="J374" s="976"/>
      <c r="K374" s="977"/>
      <c r="L374" s="978"/>
      <c r="M374" s="159"/>
      <c r="N374" s="159"/>
      <c r="O374" s="159"/>
      <c r="P374" s="159"/>
      <c r="Q374" s="159"/>
      <c r="R374" s="159"/>
    </row>
    <row r="375" spans="1:18">
      <c r="A375" s="1058">
        <f>Gases!A382</f>
        <v>357</v>
      </c>
      <c r="B375" s="1061"/>
      <c r="C375" s="1061"/>
      <c r="D375" s="1061"/>
      <c r="E375" s="973"/>
      <c r="F375" s="973"/>
      <c r="G375" s="973"/>
      <c r="H375" s="973"/>
      <c r="I375" s="973"/>
      <c r="J375" s="976"/>
      <c r="K375" s="977"/>
      <c r="L375" s="978"/>
      <c r="M375" s="159"/>
      <c r="N375" s="159"/>
      <c r="O375" s="159"/>
      <c r="P375" s="159"/>
      <c r="Q375" s="159"/>
      <c r="R375" s="159"/>
    </row>
    <row r="376" spans="1:18">
      <c r="A376" s="1058">
        <f>Gases!A383</f>
        <v>358</v>
      </c>
      <c r="B376" s="1061"/>
      <c r="C376" s="1061"/>
      <c r="D376" s="1061"/>
      <c r="E376" s="973"/>
      <c r="F376" s="973"/>
      <c r="G376" s="973"/>
      <c r="H376" s="973"/>
      <c r="I376" s="973"/>
      <c r="J376" s="976"/>
      <c r="K376" s="977"/>
      <c r="L376" s="978"/>
      <c r="M376" s="159"/>
      <c r="N376" s="159"/>
      <c r="O376" s="159"/>
      <c r="P376" s="159"/>
      <c r="Q376" s="159"/>
      <c r="R376" s="159"/>
    </row>
    <row r="377" spans="1:18">
      <c r="A377" s="1058">
        <f>Gases!A384</f>
        <v>359</v>
      </c>
      <c r="B377" s="1061"/>
      <c r="C377" s="1061"/>
      <c r="D377" s="1061"/>
      <c r="E377" s="973"/>
      <c r="F377" s="973"/>
      <c r="G377" s="973"/>
      <c r="H377" s="973"/>
      <c r="I377" s="973"/>
      <c r="J377" s="976"/>
      <c r="K377" s="977"/>
      <c r="L377" s="978"/>
      <c r="M377" s="159"/>
      <c r="N377" s="159"/>
      <c r="O377" s="159"/>
      <c r="P377" s="159"/>
      <c r="Q377" s="159"/>
      <c r="R377" s="159"/>
    </row>
    <row r="378" spans="1:18">
      <c r="A378" s="1058">
        <f>Gases!A385</f>
        <v>360</v>
      </c>
      <c r="B378" s="1061"/>
      <c r="C378" s="1061"/>
      <c r="D378" s="1061"/>
      <c r="E378" s="973"/>
      <c r="F378" s="973"/>
      <c r="G378" s="973"/>
      <c r="H378" s="973"/>
      <c r="I378" s="973"/>
      <c r="J378" s="976"/>
      <c r="K378" s="977"/>
      <c r="L378" s="978"/>
      <c r="M378" s="159"/>
      <c r="N378" s="159"/>
      <c r="O378" s="159"/>
      <c r="P378" s="159"/>
      <c r="Q378" s="159"/>
      <c r="R378" s="159"/>
    </row>
    <row r="379" spans="1:18">
      <c r="A379" s="1058">
        <f>Gases!A386</f>
        <v>361</v>
      </c>
      <c r="B379" s="1061"/>
      <c r="C379" s="1061"/>
      <c r="D379" s="1061"/>
      <c r="E379" s="973"/>
      <c r="F379" s="973"/>
      <c r="G379" s="973"/>
      <c r="H379" s="973"/>
      <c r="I379" s="973"/>
      <c r="J379" s="976"/>
      <c r="K379" s="977"/>
      <c r="L379" s="978"/>
      <c r="M379" s="159"/>
      <c r="N379" s="159"/>
      <c r="O379" s="159"/>
      <c r="P379" s="159"/>
      <c r="Q379" s="159"/>
      <c r="R379" s="159"/>
    </row>
    <row r="380" spans="1:18">
      <c r="A380" s="1058">
        <f>Gases!A387</f>
        <v>362</v>
      </c>
      <c r="B380" s="1061"/>
      <c r="C380" s="1061"/>
      <c r="D380" s="1061"/>
      <c r="E380" s="973"/>
      <c r="F380" s="973"/>
      <c r="G380" s="973"/>
      <c r="H380" s="973"/>
      <c r="I380" s="973"/>
      <c r="J380" s="976"/>
      <c r="K380" s="977"/>
      <c r="L380" s="978"/>
      <c r="M380" s="159"/>
      <c r="N380" s="159"/>
      <c r="O380" s="159"/>
      <c r="P380" s="159"/>
      <c r="Q380" s="159"/>
      <c r="R380" s="159"/>
    </row>
    <row r="381" spans="1:18">
      <c r="A381" s="1058">
        <f>Gases!A388</f>
        <v>363</v>
      </c>
      <c r="B381" s="1061"/>
      <c r="C381" s="1061"/>
      <c r="D381" s="1061"/>
      <c r="E381" s="973"/>
      <c r="F381" s="973"/>
      <c r="G381" s="973"/>
      <c r="H381" s="973"/>
      <c r="I381" s="973"/>
      <c r="J381" s="976"/>
      <c r="K381" s="977"/>
      <c r="L381" s="978"/>
      <c r="M381" s="159"/>
      <c r="N381" s="159"/>
      <c r="O381" s="159"/>
      <c r="P381" s="159"/>
      <c r="Q381" s="159"/>
      <c r="R381" s="159"/>
    </row>
    <row r="382" spans="1:18">
      <c r="A382" s="1058">
        <f>Gases!A389</f>
        <v>364</v>
      </c>
      <c r="B382" s="1061"/>
      <c r="C382" s="1061"/>
      <c r="D382" s="1061"/>
      <c r="E382" s="973"/>
      <c r="F382" s="973"/>
      <c r="G382" s="973"/>
      <c r="H382" s="973"/>
      <c r="I382" s="973"/>
      <c r="J382" s="976"/>
      <c r="K382" s="977"/>
      <c r="L382" s="978"/>
      <c r="M382" s="159"/>
      <c r="N382" s="159"/>
      <c r="O382" s="159"/>
      <c r="P382" s="159"/>
      <c r="Q382" s="159"/>
      <c r="R382" s="159"/>
    </row>
    <row r="383" spans="1:18">
      <c r="A383" s="1058">
        <f>Gases!A390</f>
        <v>365</v>
      </c>
      <c r="B383" s="1061"/>
      <c r="C383" s="1061"/>
      <c r="D383" s="1061"/>
      <c r="E383" s="973"/>
      <c r="F383" s="973"/>
      <c r="G383" s="973"/>
      <c r="H383" s="973"/>
      <c r="I383" s="973"/>
      <c r="J383" s="976"/>
      <c r="K383" s="977"/>
      <c r="L383" s="978"/>
      <c r="M383" s="159"/>
      <c r="N383" s="159"/>
      <c r="O383" s="159"/>
      <c r="P383" s="159"/>
      <c r="Q383" s="159"/>
      <c r="R383" s="159"/>
    </row>
    <row r="384" spans="1:18">
      <c r="A384" s="1058">
        <f>Gases!A391</f>
        <v>366</v>
      </c>
      <c r="B384" s="1061"/>
      <c r="C384" s="1061"/>
      <c r="D384" s="1061"/>
      <c r="E384" s="973"/>
      <c r="F384" s="973"/>
      <c r="G384" s="973"/>
      <c r="H384" s="973"/>
      <c r="I384" s="973"/>
      <c r="J384" s="976"/>
      <c r="K384" s="977"/>
      <c r="L384" s="978"/>
      <c r="M384" s="159"/>
      <c r="N384" s="159"/>
      <c r="O384" s="159"/>
      <c r="P384" s="159"/>
      <c r="Q384" s="159"/>
      <c r="R384" s="159"/>
    </row>
    <row r="385" spans="1:18">
      <c r="A385" s="1058">
        <f>Gases!A392</f>
        <v>367</v>
      </c>
      <c r="B385" s="1061"/>
      <c r="C385" s="1061"/>
      <c r="D385" s="1061"/>
      <c r="E385" s="973"/>
      <c r="F385" s="973"/>
      <c r="G385" s="973"/>
      <c r="H385" s="973"/>
      <c r="I385" s="973"/>
      <c r="J385" s="976"/>
      <c r="K385" s="977"/>
      <c r="L385" s="978"/>
      <c r="M385" s="159"/>
      <c r="N385" s="159"/>
      <c r="O385" s="159"/>
      <c r="P385" s="159"/>
      <c r="Q385" s="159"/>
      <c r="R385" s="159"/>
    </row>
    <row r="386" spans="1:18">
      <c r="A386" s="1058">
        <f>Gases!A393</f>
        <v>368</v>
      </c>
      <c r="B386" s="1061"/>
      <c r="C386" s="1061"/>
      <c r="D386" s="1061"/>
      <c r="E386" s="973"/>
      <c r="F386" s="973"/>
      <c r="G386" s="973"/>
      <c r="H386" s="973"/>
      <c r="I386" s="973"/>
      <c r="J386" s="976"/>
      <c r="K386" s="977"/>
      <c r="L386" s="978"/>
      <c r="M386" s="159"/>
      <c r="N386" s="159"/>
      <c r="O386" s="159"/>
      <c r="P386" s="159"/>
      <c r="Q386" s="159"/>
      <c r="R386" s="159"/>
    </row>
    <row r="387" spans="1:18">
      <c r="A387" s="1058">
        <f>Gases!A394</f>
        <v>369</v>
      </c>
      <c r="B387" s="1061"/>
      <c r="C387" s="1061"/>
      <c r="D387" s="1061"/>
      <c r="E387" s="973"/>
      <c r="F387" s="973"/>
      <c r="G387" s="973"/>
      <c r="H387" s="973"/>
      <c r="I387" s="973"/>
      <c r="J387" s="976"/>
      <c r="K387" s="977"/>
      <c r="L387" s="978"/>
      <c r="M387" s="159"/>
      <c r="N387" s="159"/>
      <c r="O387" s="159"/>
      <c r="P387" s="159"/>
      <c r="Q387" s="159"/>
      <c r="R387" s="159"/>
    </row>
    <row r="388" spans="1:18">
      <c r="A388" s="1058">
        <f>Gases!A395</f>
        <v>370</v>
      </c>
      <c r="B388" s="1061"/>
      <c r="C388" s="1061"/>
      <c r="D388" s="1061"/>
      <c r="E388" s="973"/>
      <c r="F388" s="973"/>
      <c r="G388" s="973"/>
      <c r="H388" s="973"/>
      <c r="I388" s="973"/>
      <c r="J388" s="976"/>
      <c r="K388" s="977"/>
      <c r="L388" s="978"/>
      <c r="M388" s="159"/>
      <c r="N388" s="159"/>
      <c r="O388" s="159"/>
      <c r="P388" s="159"/>
      <c r="Q388" s="159"/>
      <c r="R388" s="159"/>
    </row>
    <row r="389" spans="1:18">
      <c r="A389" s="1058">
        <f>Gases!A396</f>
        <v>371</v>
      </c>
      <c r="B389" s="1061"/>
      <c r="C389" s="1061"/>
      <c r="D389" s="1061"/>
      <c r="E389" s="973"/>
      <c r="F389" s="973"/>
      <c r="G389" s="973"/>
      <c r="H389" s="973"/>
      <c r="I389" s="973"/>
      <c r="J389" s="976"/>
      <c r="K389" s="977"/>
      <c r="L389" s="978"/>
      <c r="M389" s="159"/>
      <c r="N389" s="159"/>
      <c r="O389" s="159"/>
      <c r="P389" s="159"/>
      <c r="Q389" s="159"/>
      <c r="R389" s="159"/>
    </row>
    <row r="390" spans="1:18">
      <c r="A390" s="1058">
        <f>Gases!A397</f>
        <v>372</v>
      </c>
      <c r="B390" s="1061"/>
      <c r="C390" s="1061"/>
      <c r="D390" s="1061"/>
      <c r="E390" s="973"/>
      <c r="F390" s="973"/>
      <c r="G390" s="973"/>
      <c r="H390" s="973"/>
      <c r="I390" s="973"/>
      <c r="J390" s="976"/>
      <c r="K390" s="977"/>
      <c r="L390" s="978"/>
      <c r="M390" s="159"/>
      <c r="N390" s="159"/>
      <c r="O390" s="159"/>
      <c r="P390" s="159"/>
      <c r="Q390" s="159"/>
      <c r="R390" s="159"/>
    </row>
    <row r="391" spans="1:18">
      <c r="A391" s="1058">
        <f>Gases!A398</f>
        <v>373</v>
      </c>
      <c r="B391" s="1061"/>
      <c r="C391" s="1061"/>
      <c r="D391" s="1061"/>
      <c r="E391" s="973"/>
      <c r="F391" s="973"/>
      <c r="G391" s="973"/>
      <c r="H391" s="973"/>
      <c r="I391" s="973"/>
      <c r="J391" s="976"/>
      <c r="K391" s="977"/>
      <c r="L391" s="978"/>
      <c r="M391" s="159"/>
      <c r="N391" s="159"/>
      <c r="O391" s="159"/>
      <c r="P391" s="159"/>
      <c r="Q391" s="159"/>
      <c r="R391" s="159"/>
    </row>
    <row r="392" spans="1:18">
      <c r="A392" s="1058">
        <f>Gases!A399</f>
        <v>374</v>
      </c>
      <c r="B392" s="1061"/>
      <c r="C392" s="1061"/>
      <c r="D392" s="1061"/>
      <c r="E392" s="973"/>
      <c r="F392" s="973"/>
      <c r="G392" s="973"/>
      <c r="H392" s="973"/>
      <c r="I392" s="973"/>
      <c r="J392" s="976"/>
      <c r="K392" s="977"/>
      <c r="L392" s="978"/>
      <c r="M392" s="159"/>
      <c r="N392" s="159"/>
      <c r="O392" s="159"/>
      <c r="P392" s="159"/>
      <c r="Q392" s="159"/>
      <c r="R392" s="159"/>
    </row>
    <row r="393" spans="1:18">
      <c r="A393" s="1058">
        <f>Gases!A400</f>
        <v>375</v>
      </c>
      <c r="B393" s="1061"/>
      <c r="C393" s="1061"/>
      <c r="D393" s="1061"/>
      <c r="E393" s="973"/>
      <c r="F393" s="973"/>
      <c r="G393" s="973"/>
      <c r="H393" s="973"/>
      <c r="I393" s="973"/>
      <c r="J393" s="976"/>
      <c r="K393" s="977"/>
      <c r="L393" s="978"/>
      <c r="M393" s="159"/>
      <c r="N393" s="159"/>
      <c r="O393" s="159"/>
      <c r="P393" s="159"/>
      <c r="Q393" s="159"/>
      <c r="R393" s="159"/>
    </row>
    <row r="394" spans="1:18">
      <c r="A394" s="1058">
        <f>Gases!A401</f>
        <v>376</v>
      </c>
      <c r="B394" s="1061"/>
      <c r="C394" s="1061"/>
      <c r="D394" s="1061"/>
      <c r="E394" s="973"/>
      <c r="F394" s="973"/>
      <c r="G394" s="973"/>
      <c r="H394" s="973"/>
      <c r="I394" s="973"/>
      <c r="J394" s="976"/>
      <c r="K394" s="977"/>
      <c r="L394" s="978"/>
      <c r="M394" s="159"/>
      <c r="N394" s="159"/>
      <c r="O394" s="159"/>
      <c r="P394" s="159"/>
      <c r="Q394" s="159"/>
      <c r="R394" s="159"/>
    </row>
    <row r="395" spans="1:18">
      <c r="A395" s="1058">
        <f>Gases!A402</f>
        <v>377</v>
      </c>
      <c r="B395" s="1061"/>
      <c r="C395" s="1061"/>
      <c r="D395" s="1061"/>
      <c r="E395" s="973"/>
      <c r="F395" s="973"/>
      <c r="G395" s="973"/>
      <c r="H395" s="973"/>
      <c r="I395" s="973"/>
      <c r="J395" s="976"/>
      <c r="K395" s="977"/>
      <c r="L395" s="978"/>
      <c r="M395" s="159"/>
      <c r="N395" s="159"/>
      <c r="O395" s="159"/>
      <c r="P395" s="159"/>
      <c r="Q395" s="159"/>
      <c r="R395" s="159"/>
    </row>
    <row r="396" spans="1:18">
      <c r="A396" s="1058">
        <f>Gases!A403</f>
        <v>378</v>
      </c>
      <c r="B396" s="1061"/>
      <c r="C396" s="1061"/>
      <c r="D396" s="1061"/>
      <c r="E396" s="973"/>
      <c r="F396" s="973"/>
      <c r="G396" s="973"/>
      <c r="H396" s="973"/>
      <c r="I396" s="973"/>
      <c r="J396" s="976"/>
      <c r="K396" s="977"/>
      <c r="L396" s="978"/>
      <c r="M396" s="159"/>
      <c r="N396" s="159"/>
      <c r="O396" s="159"/>
      <c r="P396" s="159"/>
      <c r="Q396" s="159"/>
      <c r="R396" s="159"/>
    </row>
    <row r="397" spans="1:18">
      <c r="A397" s="1058">
        <f>Gases!A404</f>
        <v>379</v>
      </c>
      <c r="B397" s="1061"/>
      <c r="C397" s="1061"/>
      <c r="D397" s="1061"/>
      <c r="E397" s="973"/>
      <c r="F397" s="973"/>
      <c r="G397" s="973"/>
      <c r="H397" s="973"/>
      <c r="I397" s="973"/>
      <c r="J397" s="976"/>
      <c r="K397" s="977"/>
      <c r="L397" s="978"/>
      <c r="M397" s="159"/>
      <c r="N397" s="159"/>
      <c r="O397" s="159"/>
      <c r="P397" s="159"/>
      <c r="Q397" s="159"/>
      <c r="R397" s="159"/>
    </row>
    <row r="398" spans="1:18">
      <c r="A398" s="1058">
        <f>Gases!A405</f>
        <v>380</v>
      </c>
      <c r="B398" s="1061"/>
      <c r="C398" s="1061"/>
      <c r="D398" s="1061"/>
      <c r="E398" s="973"/>
      <c r="F398" s="973"/>
      <c r="G398" s="973"/>
      <c r="H398" s="973"/>
      <c r="I398" s="973"/>
      <c r="J398" s="976"/>
      <c r="K398" s="977"/>
      <c r="L398" s="978"/>
      <c r="M398" s="159"/>
      <c r="N398" s="159"/>
      <c r="O398" s="159"/>
      <c r="P398" s="159"/>
      <c r="Q398" s="159"/>
      <c r="R398" s="159"/>
    </row>
    <row r="399" spans="1:18">
      <c r="A399" s="1058">
        <f>Gases!A406</f>
        <v>381</v>
      </c>
      <c r="B399" s="1061"/>
      <c r="C399" s="1061"/>
      <c r="D399" s="1061"/>
      <c r="E399" s="973"/>
      <c r="F399" s="973"/>
      <c r="G399" s="973"/>
      <c r="H399" s="973"/>
      <c r="I399" s="973"/>
      <c r="J399" s="976"/>
      <c r="K399" s="977"/>
      <c r="L399" s="978"/>
      <c r="M399" s="159"/>
      <c r="N399" s="159"/>
      <c r="O399" s="159"/>
      <c r="P399" s="159"/>
      <c r="Q399" s="159"/>
      <c r="R399" s="159"/>
    </row>
    <row r="400" spans="1:18">
      <c r="A400" s="1058">
        <f>Gases!A407</f>
        <v>382</v>
      </c>
      <c r="B400" s="1061"/>
      <c r="C400" s="1061"/>
      <c r="D400" s="1061"/>
      <c r="E400" s="973"/>
      <c r="F400" s="973"/>
      <c r="G400" s="973"/>
      <c r="H400" s="973"/>
      <c r="I400" s="973"/>
      <c r="J400" s="976"/>
      <c r="K400" s="977"/>
      <c r="L400" s="978"/>
      <c r="M400" s="159"/>
      <c r="N400" s="159"/>
      <c r="O400" s="159"/>
      <c r="P400" s="159"/>
      <c r="Q400" s="159"/>
      <c r="R400" s="159"/>
    </row>
    <row r="401" spans="1:18">
      <c r="A401" s="1058">
        <f>Gases!A408</f>
        <v>383</v>
      </c>
      <c r="B401" s="1061"/>
      <c r="C401" s="1061"/>
      <c r="D401" s="1061"/>
      <c r="E401" s="973"/>
      <c r="F401" s="973"/>
      <c r="G401" s="973"/>
      <c r="H401" s="973"/>
      <c r="I401" s="973"/>
      <c r="J401" s="976"/>
      <c r="K401" s="977"/>
      <c r="L401" s="978"/>
      <c r="M401" s="159"/>
      <c r="N401" s="159"/>
      <c r="O401" s="159"/>
      <c r="P401" s="159"/>
      <c r="Q401" s="159"/>
      <c r="R401" s="159"/>
    </row>
    <row r="402" spans="1:18">
      <c r="A402" s="1058">
        <f>Gases!A409</f>
        <v>384</v>
      </c>
      <c r="B402" s="1061"/>
      <c r="C402" s="1061"/>
      <c r="D402" s="1061"/>
      <c r="E402" s="973"/>
      <c r="F402" s="973"/>
      <c r="G402" s="973"/>
      <c r="H402" s="973"/>
      <c r="I402" s="973"/>
      <c r="J402" s="976"/>
      <c r="K402" s="977"/>
      <c r="L402" s="978"/>
      <c r="M402" s="159"/>
      <c r="N402" s="159"/>
      <c r="O402" s="159"/>
      <c r="P402" s="159"/>
      <c r="Q402" s="159"/>
      <c r="R402" s="159"/>
    </row>
    <row r="403" spans="1:18">
      <c r="A403" s="1058">
        <f>Gases!A410</f>
        <v>385</v>
      </c>
      <c r="B403" s="1061"/>
      <c r="C403" s="1061"/>
      <c r="D403" s="1061"/>
      <c r="E403" s="973"/>
      <c r="F403" s="973"/>
      <c r="G403" s="973"/>
      <c r="H403" s="973"/>
      <c r="I403" s="973"/>
      <c r="J403" s="976"/>
      <c r="K403" s="977"/>
      <c r="L403" s="978"/>
      <c r="M403" s="159"/>
      <c r="N403" s="159"/>
      <c r="O403" s="159"/>
      <c r="P403" s="159"/>
      <c r="Q403" s="159"/>
      <c r="R403" s="159"/>
    </row>
    <row r="404" spans="1:18">
      <c r="A404" s="1058">
        <f>Gases!A411</f>
        <v>386</v>
      </c>
      <c r="B404" s="1061"/>
      <c r="C404" s="1061"/>
      <c r="D404" s="1061"/>
      <c r="E404" s="973"/>
      <c r="F404" s="973"/>
      <c r="G404" s="973"/>
      <c r="H404" s="973"/>
      <c r="I404" s="973"/>
      <c r="J404" s="976"/>
      <c r="K404" s="977"/>
      <c r="L404" s="978"/>
      <c r="M404" s="159"/>
      <c r="N404" s="159"/>
      <c r="O404" s="159"/>
      <c r="P404" s="159"/>
      <c r="Q404" s="159"/>
      <c r="R404" s="159"/>
    </row>
    <row r="405" spans="1:18">
      <c r="A405" s="1058">
        <f>Gases!A412</f>
        <v>387</v>
      </c>
      <c r="B405" s="1061"/>
      <c r="C405" s="1061"/>
      <c r="D405" s="1061"/>
      <c r="E405" s="973"/>
      <c r="F405" s="973"/>
      <c r="G405" s="973"/>
      <c r="H405" s="973"/>
      <c r="I405" s="973"/>
      <c r="J405" s="976"/>
      <c r="K405" s="977"/>
      <c r="L405" s="978"/>
      <c r="M405" s="159"/>
      <c r="N405" s="159"/>
      <c r="O405" s="159"/>
      <c r="P405" s="159"/>
      <c r="Q405" s="159"/>
      <c r="R405" s="159"/>
    </row>
    <row r="406" spans="1:18">
      <c r="A406" s="1058">
        <f>Gases!A413</f>
        <v>388</v>
      </c>
      <c r="B406" s="1061"/>
      <c r="C406" s="1061"/>
      <c r="D406" s="1061"/>
      <c r="E406" s="973"/>
      <c r="F406" s="973"/>
      <c r="G406" s="973"/>
      <c r="H406" s="973"/>
      <c r="I406" s="973"/>
      <c r="J406" s="976"/>
      <c r="K406" s="977"/>
      <c r="L406" s="978"/>
      <c r="M406" s="159"/>
      <c r="N406" s="159"/>
      <c r="O406" s="159"/>
      <c r="P406" s="159"/>
      <c r="Q406" s="159"/>
      <c r="R406" s="159"/>
    </row>
    <row r="407" spans="1:18">
      <c r="A407" s="1058">
        <f>Gases!A414</f>
        <v>389</v>
      </c>
      <c r="B407" s="1061"/>
      <c r="C407" s="1061"/>
      <c r="D407" s="1061"/>
      <c r="E407" s="973"/>
      <c r="F407" s="973"/>
      <c r="G407" s="973"/>
      <c r="H407" s="973"/>
      <c r="I407" s="973"/>
      <c r="J407" s="976"/>
      <c r="K407" s="977"/>
      <c r="L407" s="978"/>
      <c r="M407" s="159"/>
      <c r="N407" s="159"/>
      <c r="O407" s="159"/>
      <c r="P407" s="159"/>
      <c r="Q407" s="159"/>
      <c r="R407" s="159"/>
    </row>
    <row r="408" spans="1:18">
      <c r="A408" s="1058">
        <f>Gases!A415</f>
        <v>390</v>
      </c>
      <c r="B408" s="1061"/>
      <c r="C408" s="1061"/>
      <c r="D408" s="1061"/>
      <c r="E408" s="973"/>
      <c r="F408" s="973"/>
      <c r="G408" s="973"/>
      <c r="H408" s="973"/>
      <c r="I408" s="973"/>
      <c r="J408" s="976"/>
      <c r="K408" s="977"/>
      <c r="L408" s="978"/>
      <c r="M408" s="159"/>
      <c r="N408" s="159"/>
      <c r="O408" s="159"/>
      <c r="P408" s="159"/>
      <c r="Q408" s="159"/>
      <c r="R408" s="159"/>
    </row>
    <row r="409" spans="1:18">
      <c r="A409" s="1058">
        <f>Gases!A416</f>
        <v>391</v>
      </c>
      <c r="B409" s="1061"/>
      <c r="C409" s="1061"/>
      <c r="D409" s="1061"/>
      <c r="E409" s="973"/>
      <c r="F409" s="973"/>
      <c r="G409" s="973"/>
      <c r="H409" s="973"/>
      <c r="I409" s="973"/>
      <c r="J409" s="976"/>
      <c r="K409" s="977"/>
      <c r="L409" s="978"/>
      <c r="M409" s="159"/>
      <c r="N409" s="159"/>
      <c r="O409" s="159"/>
      <c r="P409" s="159"/>
      <c r="Q409" s="159"/>
      <c r="R409" s="159"/>
    </row>
    <row r="410" spans="1:18">
      <c r="A410" s="1058">
        <f>Gases!A417</f>
        <v>392</v>
      </c>
      <c r="B410" s="1061"/>
      <c r="C410" s="1061"/>
      <c r="D410" s="1061"/>
      <c r="E410" s="973"/>
      <c r="F410" s="973"/>
      <c r="G410" s="973"/>
      <c r="H410" s="973"/>
      <c r="I410" s="973"/>
      <c r="J410" s="976"/>
      <c r="K410" s="977"/>
      <c r="L410" s="978"/>
      <c r="M410" s="159"/>
      <c r="N410" s="159"/>
      <c r="O410" s="159"/>
      <c r="P410" s="159"/>
      <c r="Q410" s="159"/>
      <c r="R410" s="159"/>
    </row>
    <row r="411" spans="1:18">
      <c r="A411" s="1058">
        <f>Gases!A418</f>
        <v>393</v>
      </c>
      <c r="B411" s="1061"/>
      <c r="C411" s="1061"/>
      <c r="D411" s="1061"/>
      <c r="E411" s="973"/>
      <c r="F411" s="973"/>
      <c r="G411" s="973"/>
      <c r="H411" s="973"/>
      <c r="I411" s="973"/>
      <c r="J411" s="976"/>
      <c r="K411" s="977"/>
      <c r="L411" s="978"/>
      <c r="M411" s="159"/>
      <c r="N411" s="159"/>
      <c r="O411" s="159"/>
      <c r="P411" s="159"/>
      <c r="Q411" s="159"/>
      <c r="R411" s="159"/>
    </row>
    <row r="412" spans="1:18">
      <c r="A412" s="1058">
        <f>Gases!A419</f>
        <v>394</v>
      </c>
      <c r="B412" s="1061"/>
      <c r="C412" s="1061"/>
      <c r="D412" s="1061"/>
      <c r="E412" s="973"/>
      <c r="F412" s="973"/>
      <c r="G412" s="973"/>
      <c r="H412" s="973"/>
      <c r="I412" s="973"/>
      <c r="J412" s="976"/>
      <c r="K412" s="977"/>
      <c r="L412" s="978"/>
      <c r="M412" s="159"/>
      <c r="N412" s="159"/>
      <c r="O412" s="159"/>
      <c r="P412" s="159"/>
      <c r="Q412" s="159"/>
      <c r="R412" s="159"/>
    </row>
    <row r="413" spans="1:18">
      <c r="A413" s="1058">
        <f>Gases!A420</f>
        <v>395</v>
      </c>
      <c r="B413" s="1061"/>
      <c r="C413" s="1061"/>
      <c r="D413" s="1061"/>
      <c r="E413" s="973"/>
      <c r="F413" s="973"/>
      <c r="G413" s="973"/>
      <c r="H413" s="973"/>
      <c r="I413" s="973"/>
      <c r="J413" s="976"/>
      <c r="K413" s="977"/>
      <c r="L413" s="978"/>
      <c r="M413" s="159"/>
      <c r="N413" s="159"/>
      <c r="O413" s="159"/>
      <c r="P413" s="159"/>
      <c r="Q413" s="159"/>
      <c r="R413" s="159"/>
    </row>
    <row r="414" spans="1:18">
      <c r="A414" s="1058">
        <f>Gases!A421</f>
        <v>396</v>
      </c>
      <c r="B414" s="1061"/>
      <c r="C414" s="1061"/>
      <c r="D414" s="1061"/>
      <c r="E414" s="973"/>
      <c r="F414" s="973"/>
      <c r="G414" s="973"/>
      <c r="H414" s="973"/>
      <c r="I414" s="973"/>
      <c r="J414" s="976"/>
      <c r="K414" s="977"/>
      <c r="L414" s="978"/>
      <c r="M414" s="159"/>
      <c r="N414" s="159"/>
      <c r="O414" s="159"/>
      <c r="P414" s="159"/>
      <c r="Q414" s="159"/>
      <c r="R414" s="159"/>
    </row>
    <row r="415" spans="1:18">
      <c r="A415" s="1058">
        <f>Gases!A422</f>
        <v>397</v>
      </c>
      <c r="B415" s="1061"/>
      <c r="C415" s="1061"/>
      <c r="D415" s="1061"/>
      <c r="E415" s="973"/>
      <c r="F415" s="973"/>
      <c r="G415" s="973"/>
      <c r="H415" s="973"/>
      <c r="I415" s="973"/>
      <c r="J415" s="976"/>
      <c r="K415" s="977"/>
      <c r="L415" s="978"/>
      <c r="M415" s="159"/>
      <c r="N415" s="159"/>
      <c r="O415" s="159"/>
      <c r="P415" s="159"/>
      <c r="Q415" s="159"/>
      <c r="R415" s="159"/>
    </row>
    <row r="416" spans="1:18">
      <c r="A416" s="1058">
        <f>Gases!A423</f>
        <v>398</v>
      </c>
      <c r="B416" s="1061"/>
      <c r="C416" s="1061"/>
      <c r="D416" s="1061"/>
      <c r="E416" s="973"/>
      <c r="F416" s="973"/>
      <c r="G416" s="973"/>
      <c r="H416" s="973"/>
      <c r="I416" s="973"/>
      <c r="J416" s="976"/>
      <c r="K416" s="977"/>
      <c r="L416" s="978"/>
      <c r="M416" s="159"/>
      <c r="N416" s="159"/>
      <c r="O416" s="159"/>
      <c r="P416" s="159"/>
      <c r="Q416" s="159"/>
      <c r="R416" s="159"/>
    </row>
    <row r="417" spans="1:18">
      <c r="A417" s="1058">
        <f>Gases!A424</f>
        <v>399</v>
      </c>
      <c r="B417" s="1061"/>
      <c r="C417" s="1061"/>
      <c r="D417" s="1061"/>
      <c r="E417" s="973"/>
      <c r="F417" s="973"/>
      <c r="G417" s="973"/>
      <c r="H417" s="973"/>
      <c r="I417" s="973"/>
      <c r="J417" s="976"/>
      <c r="K417" s="977"/>
      <c r="L417" s="978"/>
      <c r="M417" s="159"/>
      <c r="N417" s="159"/>
      <c r="O417" s="159"/>
      <c r="P417" s="159"/>
      <c r="Q417" s="159"/>
      <c r="R417" s="159"/>
    </row>
    <row r="418" spans="1:18">
      <c r="A418" s="1058">
        <f>Gases!A425</f>
        <v>400</v>
      </c>
      <c r="B418" s="1061"/>
      <c r="C418" s="1061"/>
      <c r="D418" s="1061"/>
      <c r="E418" s="973"/>
      <c r="F418" s="973"/>
      <c r="G418" s="973"/>
      <c r="H418" s="973"/>
      <c r="I418" s="973"/>
      <c r="J418" s="976"/>
      <c r="K418" s="977"/>
      <c r="L418" s="978"/>
      <c r="M418" s="159"/>
      <c r="N418" s="159"/>
      <c r="O418" s="159"/>
      <c r="P418" s="159"/>
      <c r="Q418" s="159"/>
      <c r="R418" s="159"/>
    </row>
    <row r="419" spans="1:18">
      <c r="A419" s="1058">
        <f>Gases!A426</f>
        <v>401</v>
      </c>
      <c r="B419" s="1061"/>
      <c r="C419" s="1061"/>
      <c r="D419" s="1061"/>
      <c r="E419" s="973"/>
      <c r="F419" s="973"/>
      <c r="G419" s="973"/>
      <c r="H419" s="973"/>
      <c r="I419" s="973"/>
      <c r="J419" s="976"/>
      <c r="K419" s="977"/>
      <c r="L419" s="978"/>
      <c r="M419" s="159"/>
      <c r="N419" s="159"/>
      <c r="O419" s="159"/>
      <c r="P419" s="159"/>
      <c r="Q419" s="159"/>
      <c r="R419" s="159"/>
    </row>
    <row r="420" spans="1:18">
      <c r="A420" s="1058">
        <f>Gases!A427</f>
        <v>402</v>
      </c>
      <c r="B420" s="1061"/>
      <c r="C420" s="1061"/>
      <c r="D420" s="1061"/>
      <c r="E420" s="973"/>
      <c r="F420" s="973"/>
      <c r="G420" s="973"/>
      <c r="H420" s="973"/>
      <c r="I420" s="973"/>
      <c r="J420" s="976"/>
      <c r="K420" s="977"/>
      <c r="L420" s="978"/>
      <c r="M420" s="159"/>
      <c r="N420" s="159"/>
      <c r="O420" s="159"/>
      <c r="P420" s="159"/>
      <c r="Q420" s="159"/>
      <c r="R420" s="159"/>
    </row>
    <row r="421" spans="1:18">
      <c r="A421" s="1058">
        <f>Gases!A428</f>
        <v>403</v>
      </c>
      <c r="B421" s="1061"/>
      <c r="C421" s="1061"/>
      <c r="D421" s="1061"/>
      <c r="E421" s="973"/>
      <c r="F421" s="973"/>
      <c r="G421" s="973"/>
      <c r="H421" s="973"/>
      <c r="I421" s="973"/>
      <c r="J421" s="976"/>
      <c r="K421" s="977"/>
      <c r="L421" s="978"/>
      <c r="M421" s="159"/>
      <c r="N421" s="159"/>
      <c r="O421" s="159"/>
      <c r="P421" s="159"/>
      <c r="Q421" s="159"/>
      <c r="R421" s="159"/>
    </row>
    <row r="422" spans="1:18">
      <c r="A422" s="1058">
        <f>Gases!A429</f>
        <v>404</v>
      </c>
      <c r="B422" s="1061"/>
      <c r="C422" s="1061"/>
      <c r="D422" s="1061"/>
      <c r="E422" s="973"/>
      <c r="F422" s="973"/>
      <c r="G422" s="973"/>
      <c r="H422" s="973"/>
      <c r="I422" s="973"/>
      <c r="J422" s="976"/>
      <c r="K422" s="977"/>
      <c r="L422" s="978"/>
      <c r="M422" s="159"/>
      <c r="N422" s="159"/>
      <c r="O422" s="159"/>
      <c r="P422" s="159"/>
      <c r="Q422" s="159"/>
      <c r="R422" s="159"/>
    </row>
    <row r="423" spans="1:18">
      <c r="A423" s="1058">
        <f>Gases!A430</f>
        <v>405</v>
      </c>
      <c r="B423" s="1061"/>
      <c r="C423" s="1061"/>
      <c r="D423" s="1061"/>
      <c r="E423" s="973"/>
      <c r="F423" s="973"/>
      <c r="G423" s="973"/>
      <c r="H423" s="973"/>
      <c r="I423" s="973"/>
      <c r="J423" s="976"/>
      <c r="K423" s="977"/>
      <c r="L423" s="978"/>
      <c r="M423" s="159"/>
      <c r="N423" s="159"/>
      <c r="O423" s="159"/>
      <c r="P423" s="159"/>
      <c r="Q423" s="159"/>
      <c r="R423" s="159"/>
    </row>
    <row r="424" spans="1:18">
      <c r="A424" s="1058">
        <f>Gases!A431</f>
        <v>406</v>
      </c>
      <c r="B424" s="1061"/>
      <c r="C424" s="1061"/>
      <c r="D424" s="1061"/>
      <c r="E424" s="973"/>
      <c r="F424" s="973"/>
      <c r="G424" s="973"/>
      <c r="H424" s="973"/>
      <c r="I424" s="973"/>
      <c r="J424" s="976"/>
      <c r="K424" s="977"/>
      <c r="L424" s="978"/>
      <c r="M424" s="159"/>
      <c r="N424" s="159"/>
      <c r="O424" s="159"/>
      <c r="P424" s="159"/>
      <c r="Q424" s="159"/>
      <c r="R424" s="159"/>
    </row>
    <row r="425" spans="1:18">
      <c r="A425" s="1058">
        <f>Gases!A432</f>
        <v>407</v>
      </c>
      <c r="B425" s="1061"/>
      <c r="C425" s="1061"/>
      <c r="D425" s="1061"/>
      <c r="E425" s="973"/>
      <c r="F425" s="973"/>
      <c r="G425" s="973"/>
      <c r="H425" s="973"/>
      <c r="I425" s="973"/>
      <c r="J425" s="976"/>
      <c r="K425" s="977"/>
      <c r="L425" s="978"/>
      <c r="M425" s="159"/>
      <c r="N425" s="159"/>
      <c r="O425" s="159"/>
      <c r="P425" s="159"/>
      <c r="Q425" s="159"/>
      <c r="R425" s="159"/>
    </row>
    <row r="426" spans="1:18">
      <c r="A426" s="1058">
        <f>Gases!A433</f>
        <v>408</v>
      </c>
      <c r="B426" s="1061"/>
      <c r="C426" s="1061"/>
      <c r="D426" s="1061"/>
      <c r="E426" s="973"/>
      <c r="F426" s="973"/>
      <c r="G426" s="973"/>
      <c r="H426" s="973"/>
      <c r="I426" s="973"/>
      <c r="J426" s="976"/>
      <c r="K426" s="977"/>
      <c r="L426" s="978"/>
      <c r="M426" s="159"/>
      <c r="N426" s="159"/>
      <c r="O426" s="159"/>
      <c r="P426" s="159"/>
      <c r="Q426" s="159"/>
      <c r="R426" s="159"/>
    </row>
    <row r="427" spans="1:18">
      <c r="A427" s="1058">
        <f>Gases!A434</f>
        <v>409</v>
      </c>
      <c r="B427" s="1061"/>
      <c r="C427" s="1061"/>
      <c r="D427" s="1061"/>
      <c r="E427" s="973"/>
      <c r="F427" s="973"/>
      <c r="G427" s="973"/>
      <c r="H427" s="973"/>
      <c r="I427" s="973"/>
      <c r="J427" s="976"/>
      <c r="K427" s="977"/>
      <c r="L427" s="978"/>
      <c r="M427" s="159"/>
      <c r="N427" s="159"/>
      <c r="O427" s="159"/>
      <c r="P427" s="159"/>
      <c r="Q427" s="159"/>
      <c r="R427" s="159"/>
    </row>
    <row r="428" spans="1:18">
      <c r="A428" s="1058">
        <f>Gases!A435</f>
        <v>410</v>
      </c>
      <c r="B428" s="1061"/>
      <c r="C428" s="1061"/>
      <c r="D428" s="1061"/>
      <c r="E428" s="973"/>
      <c r="F428" s="973"/>
      <c r="G428" s="973"/>
      <c r="H428" s="973"/>
      <c r="I428" s="973"/>
      <c r="J428" s="976"/>
      <c r="K428" s="977"/>
      <c r="L428" s="978"/>
      <c r="M428" s="159"/>
      <c r="N428" s="159"/>
      <c r="O428" s="159"/>
      <c r="P428" s="159"/>
      <c r="Q428" s="159"/>
      <c r="R428" s="159"/>
    </row>
    <row r="429" spans="1:18">
      <c r="A429" s="1058">
        <f>Gases!A436</f>
        <v>411</v>
      </c>
      <c r="B429" s="1061"/>
      <c r="C429" s="1061"/>
      <c r="D429" s="1061"/>
      <c r="E429" s="973"/>
      <c r="F429" s="973"/>
      <c r="G429" s="973"/>
      <c r="H429" s="973"/>
      <c r="I429" s="973"/>
      <c r="J429" s="976"/>
      <c r="K429" s="977"/>
      <c r="L429" s="978"/>
      <c r="M429" s="159"/>
      <c r="N429" s="159"/>
      <c r="O429" s="159"/>
      <c r="P429" s="159"/>
      <c r="Q429" s="159"/>
      <c r="R429" s="159"/>
    </row>
    <row r="430" spans="1:18">
      <c r="A430" s="1058">
        <f>Gases!A437</f>
        <v>412</v>
      </c>
      <c r="B430" s="1061"/>
      <c r="C430" s="1061"/>
      <c r="D430" s="1061"/>
      <c r="E430" s="973"/>
      <c r="F430" s="973"/>
      <c r="G430" s="973"/>
      <c r="H430" s="973"/>
      <c r="I430" s="973"/>
      <c r="J430" s="976"/>
      <c r="K430" s="977"/>
      <c r="L430" s="978"/>
      <c r="M430" s="159"/>
      <c r="N430" s="159"/>
      <c r="O430" s="159"/>
      <c r="P430" s="159"/>
      <c r="Q430" s="159"/>
      <c r="R430" s="159"/>
    </row>
    <row r="431" spans="1:18">
      <c r="A431" s="1058">
        <f>Gases!A438</f>
        <v>413</v>
      </c>
      <c r="B431" s="1061"/>
      <c r="C431" s="1061"/>
      <c r="D431" s="1061"/>
      <c r="E431" s="973"/>
      <c r="F431" s="973"/>
      <c r="G431" s="973"/>
      <c r="H431" s="973"/>
      <c r="I431" s="973"/>
      <c r="J431" s="976"/>
      <c r="K431" s="977"/>
      <c r="L431" s="978"/>
      <c r="M431" s="159"/>
      <c r="N431" s="159"/>
      <c r="O431" s="159"/>
      <c r="P431" s="159"/>
      <c r="Q431" s="159"/>
      <c r="R431" s="159"/>
    </row>
    <row r="432" spans="1:18">
      <c r="A432" s="1058">
        <f>Gases!A439</f>
        <v>414</v>
      </c>
      <c r="B432" s="1061"/>
      <c r="C432" s="1061"/>
      <c r="D432" s="1061"/>
      <c r="E432" s="973"/>
      <c r="F432" s="973"/>
      <c r="G432" s="973"/>
      <c r="H432" s="973"/>
      <c r="I432" s="973"/>
      <c r="J432" s="976"/>
      <c r="K432" s="977"/>
      <c r="L432" s="978"/>
      <c r="M432" s="159"/>
      <c r="N432" s="159"/>
      <c r="O432" s="159"/>
      <c r="P432" s="159"/>
      <c r="Q432" s="159"/>
      <c r="R432" s="159"/>
    </row>
    <row r="433" spans="1:18">
      <c r="A433" s="1058">
        <f>Gases!A440</f>
        <v>415</v>
      </c>
      <c r="B433" s="1061"/>
      <c r="C433" s="1061"/>
      <c r="D433" s="1061"/>
      <c r="E433" s="973"/>
      <c r="F433" s="973"/>
      <c r="G433" s="973"/>
      <c r="H433" s="973"/>
      <c r="I433" s="973"/>
      <c r="J433" s="976"/>
      <c r="K433" s="977"/>
      <c r="L433" s="978"/>
      <c r="M433" s="159"/>
      <c r="N433" s="159"/>
      <c r="O433" s="159"/>
      <c r="P433" s="159"/>
      <c r="Q433" s="159"/>
      <c r="R433" s="159"/>
    </row>
    <row r="434" spans="1:18">
      <c r="A434" s="1058">
        <f>Gases!A441</f>
        <v>416</v>
      </c>
      <c r="B434" s="1061"/>
      <c r="C434" s="1061"/>
      <c r="D434" s="1061"/>
      <c r="E434" s="973"/>
      <c r="F434" s="973"/>
      <c r="G434" s="973"/>
      <c r="H434" s="973"/>
      <c r="I434" s="973"/>
      <c r="J434" s="976"/>
      <c r="K434" s="977"/>
      <c r="L434" s="978"/>
      <c r="M434" s="159"/>
      <c r="N434" s="159"/>
      <c r="O434" s="159"/>
      <c r="P434" s="159"/>
      <c r="Q434" s="159"/>
      <c r="R434" s="159"/>
    </row>
    <row r="435" spans="1:18">
      <c r="A435" s="1058">
        <f>Gases!A442</f>
        <v>417</v>
      </c>
      <c r="B435" s="1061"/>
      <c r="C435" s="1061"/>
      <c r="D435" s="1061"/>
      <c r="E435" s="973"/>
      <c r="F435" s="973"/>
      <c r="G435" s="973"/>
      <c r="H435" s="973"/>
      <c r="I435" s="973"/>
      <c r="J435" s="976"/>
      <c r="K435" s="977"/>
      <c r="L435" s="978"/>
      <c r="M435" s="159"/>
      <c r="N435" s="159"/>
      <c r="O435" s="159"/>
      <c r="P435" s="159"/>
      <c r="Q435" s="159"/>
      <c r="R435" s="159"/>
    </row>
    <row r="436" spans="1:18">
      <c r="A436" s="1058">
        <f>Gases!A443</f>
        <v>418</v>
      </c>
      <c r="B436" s="1061"/>
      <c r="C436" s="1061"/>
      <c r="D436" s="1061"/>
      <c r="E436" s="973"/>
      <c r="F436" s="973"/>
      <c r="G436" s="973"/>
      <c r="H436" s="973"/>
      <c r="I436" s="973"/>
      <c r="J436" s="976"/>
      <c r="K436" s="977"/>
      <c r="L436" s="978"/>
      <c r="M436" s="159"/>
      <c r="N436" s="159"/>
      <c r="O436" s="159"/>
      <c r="P436" s="159"/>
      <c r="Q436" s="159"/>
      <c r="R436" s="159"/>
    </row>
    <row r="437" spans="1:18">
      <c r="A437" s="1058">
        <f>Gases!A444</f>
        <v>419</v>
      </c>
      <c r="B437" s="1061"/>
      <c r="C437" s="1061"/>
      <c r="D437" s="1061"/>
      <c r="E437" s="973"/>
      <c r="F437" s="973"/>
      <c r="G437" s="973"/>
      <c r="H437" s="973"/>
      <c r="I437" s="973"/>
      <c r="J437" s="976"/>
      <c r="K437" s="977"/>
      <c r="L437" s="978"/>
      <c r="M437" s="159"/>
      <c r="N437" s="159"/>
      <c r="O437" s="159"/>
      <c r="P437" s="159"/>
      <c r="Q437" s="159"/>
      <c r="R437" s="159"/>
    </row>
    <row r="438" spans="1:18">
      <c r="A438" s="1058">
        <f>Gases!A445</f>
        <v>420</v>
      </c>
      <c r="B438" s="1061"/>
      <c r="C438" s="1061"/>
      <c r="D438" s="1061"/>
      <c r="E438" s="973"/>
      <c r="F438" s="973"/>
      <c r="G438" s="973"/>
      <c r="H438" s="973"/>
      <c r="I438" s="973"/>
      <c r="J438" s="976"/>
      <c r="K438" s="977"/>
      <c r="L438" s="978"/>
      <c r="M438" s="159"/>
      <c r="N438" s="159"/>
      <c r="O438" s="159"/>
      <c r="P438" s="159"/>
      <c r="Q438" s="159"/>
      <c r="R438" s="159"/>
    </row>
    <row r="439" spans="1:18">
      <c r="A439" s="1058">
        <f>Gases!A446</f>
        <v>421</v>
      </c>
      <c r="B439" s="1061"/>
      <c r="C439" s="1061"/>
      <c r="D439" s="1061"/>
      <c r="E439" s="973"/>
      <c r="F439" s="973"/>
      <c r="G439" s="973"/>
      <c r="H439" s="973"/>
      <c r="I439" s="973"/>
      <c r="J439" s="976"/>
      <c r="K439" s="977"/>
      <c r="L439" s="978"/>
      <c r="M439" s="159"/>
      <c r="N439" s="159"/>
      <c r="O439" s="159"/>
      <c r="P439" s="159"/>
      <c r="Q439" s="159"/>
      <c r="R439" s="159"/>
    </row>
    <row r="440" spans="1:18">
      <c r="A440" s="1058">
        <f>Gases!A447</f>
        <v>422</v>
      </c>
      <c r="B440" s="1061"/>
      <c r="C440" s="1061"/>
      <c r="D440" s="1061"/>
      <c r="E440" s="973"/>
      <c r="F440" s="973"/>
      <c r="G440" s="973"/>
      <c r="H440" s="973"/>
      <c r="I440" s="973"/>
      <c r="J440" s="976"/>
      <c r="K440" s="977"/>
      <c r="L440" s="978"/>
      <c r="M440" s="159"/>
      <c r="N440" s="159"/>
      <c r="O440" s="159"/>
      <c r="P440" s="159"/>
      <c r="Q440" s="159"/>
      <c r="R440" s="159"/>
    </row>
    <row r="441" spans="1:18">
      <c r="A441" s="1058">
        <f>Gases!A448</f>
        <v>423</v>
      </c>
      <c r="B441" s="1061"/>
      <c r="C441" s="1061"/>
      <c r="D441" s="1061"/>
      <c r="E441" s="973"/>
      <c r="F441" s="973"/>
      <c r="G441" s="973"/>
      <c r="H441" s="973"/>
      <c r="I441" s="973"/>
      <c r="J441" s="976"/>
      <c r="K441" s="977"/>
      <c r="L441" s="978"/>
      <c r="M441" s="159"/>
      <c r="N441" s="159"/>
      <c r="O441" s="159"/>
      <c r="P441" s="159"/>
      <c r="Q441" s="159"/>
      <c r="R441" s="159"/>
    </row>
    <row r="442" spans="1:18">
      <c r="A442" s="1058">
        <f>Gases!A449</f>
        <v>424</v>
      </c>
      <c r="B442" s="1061"/>
      <c r="C442" s="1061"/>
      <c r="D442" s="1061"/>
      <c r="E442" s="973"/>
      <c r="F442" s="973"/>
      <c r="G442" s="973"/>
      <c r="H442" s="973"/>
      <c r="I442" s="973"/>
      <c r="J442" s="976"/>
      <c r="K442" s="977"/>
      <c r="L442" s="978"/>
      <c r="M442" s="159"/>
      <c r="N442" s="159"/>
      <c r="O442" s="159"/>
      <c r="P442" s="159"/>
      <c r="Q442" s="159"/>
      <c r="R442" s="159"/>
    </row>
    <row r="443" spans="1:18">
      <c r="A443" s="1058">
        <f>Gases!A450</f>
        <v>425</v>
      </c>
      <c r="B443" s="1061"/>
      <c r="C443" s="1061"/>
      <c r="D443" s="1061"/>
      <c r="E443" s="973"/>
      <c r="F443" s="973"/>
      <c r="G443" s="973"/>
      <c r="H443" s="973"/>
      <c r="I443" s="973"/>
      <c r="J443" s="976"/>
      <c r="K443" s="977"/>
      <c r="L443" s="978"/>
      <c r="M443" s="159"/>
      <c r="N443" s="159"/>
      <c r="O443" s="159"/>
      <c r="P443" s="159"/>
      <c r="Q443" s="159"/>
      <c r="R443" s="159"/>
    </row>
    <row r="444" spans="1:18">
      <c r="A444" s="1058">
        <f>Gases!A451</f>
        <v>426</v>
      </c>
      <c r="B444" s="1061"/>
      <c r="C444" s="1061"/>
      <c r="D444" s="1061"/>
      <c r="E444" s="973"/>
      <c r="F444" s="973"/>
      <c r="G444" s="973"/>
      <c r="H444" s="973"/>
      <c r="I444" s="973"/>
      <c r="J444" s="976"/>
      <c r="K444" s="977"/>
      <c r="L444" s="978"/>
      <c r="M444" s="159"/>
      <c r="N444" s="159"/>
      <c r="O444" s="159"/>
      <c r="P444" s="159"/>
      <c r="Q444" s="159"/>
      <c r="R444" s="159"/>
    </row>
    <row r="445" spans="1:18">
      <c r="A445" s="1058">
        <f>Gases!A452</f>
        <v>427</v>
      </c>
      <c r="B445" s="1061"/>
      <c r="C445" s="1061"/>
      <c r="D445" s="1061"/>
      <c r="E445" s="973"/>
      <c r="F445" s="973"/>
      <c r="G445" s="973"/>
      <c r="H445" s="973"/>
      <c r="I445" s="973"/>
      <c r="J445" s="976"/>
      <c r="K445" s="977"/>
      <c r="L445" s="978"/>
      <c r="M445" s="159"/>
      <c r="N445" s="159"/>
      <c r="O445" s="159"/>
      <c r="P445" s="159"/>
      <c r="Q445" s="159"/>
      <c r="R445" s="159"/>
    </row>
    <row r="446" spans="1:18">
      <c r="A446" s="1058">
        <f>Gases!A453</f>
        <v>428</v>
      </c>
      <c r="B446" s="1061"/>
      <c r="C446" s="1061"/>
      <c r="D446" s="1061"/>
      <c r="E446" s="973"/>
      <c r="F446" s="973"/>
      <c r="G446" s="973"/>
      <c r="H446" s="973"/>
      <c r="I446" s="973"/>
      <c r="J446" s="976"/>
      <c r="K446" s="977"/>
      <c r="L446" s="978"/>
      <c r="M446" s="159"/>
      <c r="N446" s="159"/>
      <c r="O446" s="159"/>
      <c r="P446" s="159"/>
      <c r="Q446" s="159"/>
      <c r="R446" s="159"/>
    </row>
    <row r="447" spans="1:18">
      <c r="A447" s="1058">
        <f>Gases!A454</f>
        <v>429</v>
      </c>
      <c r="B447" s="1061"/>
      <c r="C447" s="1061"/>
      <c r="D447" s="1061"/>
      <c r="E447" s="973"/>
      <c r="F447" s="973"/>
      <c r="G447" s="973"/>
      <c r="H447" s="973"/>
      <c r="I447" s="973"/>
      <c r="J447" s="976"/>
      <c r="K447" s="977"/>
      <c r="L447" s="978"/>
      <c r="M447" s="159"/>
      <c r="N447" s="159"/>
      <c r="O447" s="159"/>
      <c r="P447" s="159"/>
      <c r="Q447" s="159"/>
      <c r="R447" s="159"/>
    </row>
    <row r="448" spans="1:18">
      <c r="A448" s="1058">
        <f>Gases!A455</f>
        <v>430</v>
      </c>
      <c r="B448" s="1061"/>
      <c r="C448" s="1061"/>
      <c r="D448" s="1061"/>
      <c r="E448" s="973"/>
      <c r="F448" s="973"/>
      <c r="G448" s="973"/>
      <c r="H448" s="973"/>
      <c r="I448" s="973"/>
      <c r="J448" s="976"/>
      <c r="K448" s="977"/>
      <c r="L448" s="978"/>
      <c r="M448" s="159"/>
      <c r="N448" s="159"/>
      <c r="O448" s="159"/>
      <c r="P448" s="159"/>
      <c r="Q448" s="159"/>
      <c r="R448" s="159"/>
    </row>
    <row r="449" spans="1:18">
      <c r="A449" s="1058">
        <f>Gases!A456</f>
        <v>431</v>
      </c>
      <c r="B449" s="1061"/>
      <c r="C449" s="1061"/>
      <c r="D449" s="1061"/>
      <c r="E449" s="973"/>
      <c r="F449" s="973"/>
      <c r="G449" s="973"/>
      <c r="H449" s="973"/>
      <c r="I449" s="973"/>
      <c r="J449" s="976"/>
      <c r="K449" s="977"/>
      <c r="L449" s="978"/>
      <c r="M449" s="159"/>
      <c r="N449" s="159"/>
      <c r="O449" s="159"/>
      <c r="P449" s="159"/>
      <c r="Q449" s="159"/>
      <c r="R449" s="159"/>
    </row>
    <row r="450" spans="1:18">
      <c r="A450" s="1058">
        <f>Gases!A457</f>
        <v>432</v>
      </c>
      <c r="B450" s="1061"/>
      <c r="C450" s="1061"/>
      <c r="D450" s="1061"/>
      <c r="E450" s="973"/>
      <c r="F450" s="973"/>
      <c r="G450" s="973"/>
      <c r="H450" s="973"/>
      <c r="I450" s="973"/>
      <c r="J450" s="976"/>
      <c r="K450" s="977"/>
      <c r="L450" s="978"/>
      <c r="M450" s="159"/>
      <c r="N450" s="159"/>
      <c r="O450" s="159"/>
      <c r="P450" s="159"/>
      <c r="Q450" s="159"/>
      <c r="R450" s="159"/>
    </row>
    <row r="451" spans="1:18">
      <c r="A451" s="1058">
        <f>Gases!A458</f>
        <v>433</v>
      </c>
      <c r="B451" s="1061"/>
      <c r="C451" s="1061"/>
      <c r="D451" s="1061"/>
      <c r="E451" s="973"/>
      <c r="F451" s="973"/>
      <c r="G451" s="973"/>
      <c r="H451" s="973"/>
      <c r="I451" s="973"/>
      <c r="J451" s="976"/>
      <c r="K451" s="977"/>
      <c r="L451" s="978"/>
      <c r="M451" s="159"/>
      <c r="N451" s="159"/>
      <c r="O451" s="159"/>
      <c r="P451" s="159"/>
      <c r="Q451" s="159"/>
      <c r="R451" s="159"/>
    </row>
    <row r="452" spans="1:18">
      <c r="A452" s="1058">
        <f>Gases!A459</f>
        <v>434</v>
      </c>
      <c r="B452" s="1061"/>
      <c r="C452" s="1061"/>
      <c r="D452" s="1061"/>
      <c r="E452" s="973"/>
      <c r="F452" s="973"/>
      <c r="G452" s="973"/>
      <c r="H452" s="973"/>
      <c r="I452" s="973"/>
      <c r="J452" s="976"/>
      <c r="K452" s="977"/>
      <c r="L452" s="978"/>
      <c r="M452" s="159"/>
      <c r="N452" s="159"/>
      <c r="O452" s="159"/>
      <c r="P452" s="159"/>
      <c r="Q452" s="159"/>
      <c r="R452" s="159"/>
    </row>
    <row r="453" spans="1:18">
      <c r="A453" s="1058">
        <f>Gases!A460</f>
        <v>435</v>
      </c>
      <c r="B453" s="1061"/>
      <c r="C453" s="1061"/>
      <c r="D453" s="1061"/>
      <c r="E453" s="973"/>
      <c r="F453" s="973"/>
      <c r="G453" s="973"/>
      <c r="H453" s="973"/>
      <c r="I453" s="973"/>
      <c r="J453" s="976"/>
      <c r="K453" s="977"/>
      <c r="L453" s="978"/>
      <c r="M453" s="159"/>
      <c r="N453" s="159"/>
      <c r="O453" s="159"/>
      <c r="P453" s="159"/>
      <c r="Q453" s="159"/>
      <c r="R453" s="159"/>
    </row>
    <row r="454" spans="1:18">
      <c r="A454" s="1058">
        <f>Gases!A461</f>
        <v>436</v>
      </c>
      <c r="B454" s="1061"/>
      <c r="C454" s="1061"/>
      <c r="D454" s="1061"/>
      <c r="E454" s="973"/>
      <c r="F454" s="973"/>
      <c r="G454" s="973"/>
      <c r="H454" s="973"/>
      <c r="I454" s="973"/>
      <c r="J454" s="976"/>
      <c r="K454" s="977"/>
      <c r="L454" s="978"/>
      <c r="M454" s="159"/>
      <c r="N454" s="159"/>
      <c r="O454" s="159"/>
      <c r="P454" s="159"/>
      <c r="Q454" s="159"/>
      <c r="R454" s="159"/>
    </row>
    <row r="455" spans="1:18">
      <c r="A455" s="1058">
        <f>Gases!A462</f>
        <v>437</v>
      </c>
      <c r="B455" s="1061"/>
      <c r="C455" s="1061"/>
      <c r="D455" s="1061"/>
      <c r="E455" s="973"/>
      <c r="F455" s="973"/>
      <c r="G455" s="973"/>
      <c r="H455" s="973"/>
      <c r="I455" s="973"/>
      <c r="J455" s="976"/>
      <c r="K455" s="977"/>
      <c r="L455" s="978"/>
      <c r="M455" s="159"/>
      <c r="N455" s="159"/>
      <c r="O455" s="159"/>
      <c r="P455" s="159"/>
      <c r="Q455" s="159"/>
      <c r="R455" s="159"/>
    </row>
    <row r="456" spans="1:18">
      <c r="A456" s="1058">
        <f>Gases!A463</f>
        <v>438</v>
      </c>
      <c r="B456" s="1061"/>
      <c r="C456" s="1061"/>
      <c r="D456" s="1061"/>
      <c r="E456" s="973"/>
      <c r="F456" s="973"/>
      <c r="G456" s="973"/>
      <c r="H456" s="973"/>
      <c r="I456" s="973"/>
      <c r="J456" s="976"/>
      <c r="K456" s="977"/>
      <c r="L456" s="978"/>
      <c r="M456" s="159"/>
      <c r="N456" s="159"/>
      <c r="O456" s="159"/>
      <c r="P456" s="159"/>
      <c r="Q456" s="159"/>
      <c r="R456" s="159"/>
    </row>
    <row r="457" spans="1:18">
      <c r="A457" s="1058">
        <f>Gases!A464</f>
        <v>439</v>
      </c>
      <c r="B457" s="1061"/>
      <c r="C457" s="1061"/>
      <c r="D457" s="1061"/>
      <c r="E457" s="973"/>
      <c r="F457" s="973"/>
      <c r="G457" s="973"/>
      <c r="H457" s="973"/>
      <c r="I457" s="973"/>
      <c r="J457" s="976"/>
      <c r="K457" s="977"/>
      <c r="L457" s="978"/>
      <c r="M457" s="159"/>
      <c r="N457" s="159"/>
      <c r="O457" s="159"/>
      <c r="P457" s="159"/>
      <c r="Q457" s="159"/>
      <c r="R457" s="159"/>
    </row>
    <row r="458" spans="1:18">
      <c r="A458" s="1058">
        <f>Gases!A465</f>
        <v>440</v>
      </c>
      <c r="B458" s="1061"/>
      <c r="C458" s="1061"/>
      <c r="D458" s="1061"/>
      <c r="E458" s="973"/>
      <c r="F458" s="973"/>
      <c r="G458" s="973"/>
      <c r="H458" s="973"/>
      <c r="I458" s="973"/>
      <c r="J458" s="976"/>
      <c r="K458" s="977"/>
      <c r="L458" s="978"/>
      <c r="M458" s="159"/>
      <c r="N458" s="159"/>
      <c r="O458" s="159"/>
      <c r="P458" s="159"/>
      <c r="Q458" s="159"/>
      <c r="R458" s="159"/>
    </row>
    <row r="459" spans="1:18">
      <c r="A459" s="1058">
        <f>Gases!A466</f>
        <v>441</v>
      </c>
      <c r="B459" s="1061"/>
      <c r="C459" s="1061"/>
      <c r="D459" s="1061"/>
      <c r="E459" s="973"/>
      <c r="F459" s="973"/>
      <c r="G459" s="973"/>
      <c r="H459" s="973"/>
      <c r="I459" s="973"/>
      <c r="J459" s="976"/>
      <c r="K459" s="977"/>
      <c r="L459" s="978"/>
      <c r="M459" s="159"/>
      <c r="N459" s="159"/>
      <c r="O459" s="159"/>
      <c r="P459" s="159"/>
      <c r="Q459" s="159"/>
      <c r="R459" s="159"/>
    </row>
    <row r="460" spans="1:18">
      <c r="A460" s="1058">
        <f>Gases!A467</f>
        <v>442</v>
      </c>
      <c r="B460" s="1061"/>
      <c r="C460" s="1061"/>
      <c r="D460" s="1061"/>
      <c r="E460" s="973"/>
      <c r="F460" s="973"/>
      <c r="G460" s="973"/>
      <c r="H460" s="973"/>
      <c r="I460" s="973"/>
      <c r="J460" s="976"/>
      <c r="K460" s="977"/>
      <c r="L460" s="978"/>
      <c r="M460" s="159"/>
      <c r="N460" s="159"/>
      <c r="O460" s="159"/>
      <c r="P460" s="159"/>
      <c r="Q460" s="159"/>
      <c r="R460" s="159"/>
    </row>
    <row r="461" spans="1:18">
      <c r="A461" s="1058">
        <f>Gases!A468</f>
        <v>443</v>
      </c>
      <c r="B461" s="1061"/>
      <c r="C461" s="1061"/>
      <c r="D461" s="1061"/>
      <c r="E461" s="973"/>
      <c r="F461" s="973"/>
      <c r="G461" s="973"/>
      <c r="H461" s="973"/>
      <c r="I461" s="973"/>
      <c r="J461" s="976"/>
      <c r="K461" s="977"/>
      <c r="L461" s="978"/>
      <c r="M461" s="159"/>
      <c r="N461" s="159"/>
      <c r="O461" s="159"/>
      <c r="P461" s="159"/>
      <c r="Q461" s="159"/>
      <c r="R461" s="159"/>
    </row>
    <row r="462" spans="1:18">
      <c r="A462" s="1058">
        <f>Gases!A469</f>
        <v>444</v>
      </c>
      <c r="B462" s="1061"/>
      <c r="C462" s="1061"/>
      <c r="D462" s="1061"/>
      <c r="E462" s="973"/>
      <c r="F462" s="973"/>
      <c r="G462" s="973"/>
      <c r="H462" s="973"/>
      <c r="I462" s="973"/>
      <c r="J462" s="976"/>
      <c r="K462" s="977"/>
      <c r="L462" s="978"/>
      <c r="M462" s="159"/>
      <c r="N462" s="159"/>
      <c r="O462" s="159"/>
      <c r="P462" s="159"/>
      <c r="Q462" s="159"/>
      <c r="R462" s="159"/>
    </row>
    <row r="463" spans="1:18">
      <c r="A463" s="1058">
        <f>Gases!A470</f>
        <v>445</v>
      </c>
      <c r="B463" s="1061"/>
      <c r="C463" s="1061"/>
      <c r="D463" s="1061"/>
      <c r="E463" s="973"/>
      <c r="F463" s="973"/>
      <c r="G463" s="973"/>
      <c r="H463" s="973"/>
      <c r="I463" s="973"/>
      <c r="J463" s="976"/>
      <c r="K463" s="977"/>
      <c r="L463" s="978"/>
      <c r="M463" s="159"/>
      <c r="N463" s="159"/>
      <c r="O463" s="159"/>
      <c r="P463" s="159"/>
      <c r="Q463" s="159"/>
      <c r="R463" s="159"/>
    </row>
    <row r="464" spans="1:18">
      <c r="A464" s="1058">
        <f>Gases!A471</f>
        <v>446</v>
      </c>
      <c r="B464" s="1061"/>
      <c r="C464" s="1061"/>
      <c r="D464" s="1061"/>
      <c r="E464" s="973"/>
      <c r="F464" s="973"/>
      <c r="G464" s="973"/>
      <c r="H464" s="973"/>
      <c r="I464" s="973"/>
      <c r="J464" s="976"/>
      <c r="K464" s="977"/>
      <c r="L464" s="978"/>
      <c r="M464" s="159"/>
      <c r="N464" s="159"/>
      <c r="O464" s="159"/>
      <c r="P464" s="159"/>
      <c r="Q464" s="159"/>
      <c r="R464" s="159"/>
    </row>
    <row r="465" spans="1:18">
      <c r="A465" s="1058">
        <f>Gases!A472</f>
        <v>447</v>
      </c>
      <c r="B465" s="1061"/>
      <c r="C465" s="1061"/>
      <c r="D465" s="1061"/>
      <c r="E465" s="973"/>
      <c r="F465" s="973"/>
      <c r="G465" s="973"/>
      <c r="H465" s="973"/>
      <c r="I465" s="973"/>
      <c r="J465" s="976"/>
      <c r="K465" s="977"/>
      <c r="L465" s="978"/>
      <c r="M465" s="159"/>
      <c r="N465" s="159"/>
      <c r="O465" s="159"/>
      <c r="P465" s="159"/>
      <c r="Q465" s="159"/>
      <c r="R465" s="159"/>
    </row>
    <row r="466" spans="1:18">
      <c r="A466" s="1058">
        <f>Gases!A473</f>
        <v>448</v>
      </c>
      <c r="B466" s="1061"/>
      <c r="C466" s="1061"/>
      <c r="D466" s="1061"/>
      <c r="E466" s="973"/>
      <c r="F466" s="973"/>
      <c r="G466" s="973"/>
      <c r="H466" s="973"/>
      <c r="I466" s="973"/>
      <c r="J466" s="976"/>
      <c r="K466" s="977"/>
      <c r="L466" s="978"/>
      <c r="M466" s="159"/>
      <c r="N466" s="159"/>
      <c r="O466" s="159"/>
      <c r="P466" s="159"/>
      <c r="Q466" s="159"/>
      <c r="R466" s="159"/>
    </row>
    <row r="467" spans="1:18">
      <c r="A467" s="1058">
        <f>Gases!A474</f>
        <v>449</v>
      </c>
      <c r="B467" s="1061"/>
      <c r="C467" s="1061"/>
      <c r="D467" s="1061"/>
      <c r="E467" s="973"/>
      <c r="F467" s="973"/>
      <c r="G467" s="973"/>
      <c r="H467" s="973"/>
      <c r="I467" s="973"/>
      <c r="J467" s="976"/>
      <c r="K467" s="977"/>
      <c r="L467" s="978"/>
      <c r="M467" s="159"/>
      <c r="N467" s="159"/>
      <c r="O467" s="159"/>
      <c r="P467" s="159"/>
      <c r="Q467" s="159"/>
      <c r="R467" s="159"/>
    </row>
    <row r="468" spans="1:18">
      <c r="A468" s="1058">
        <f>Gases!A475</f>
        <v>450</v>
      </c>
      <c r="B468" s="1061"/>
      <c r="C468" s="1061"/>
      <c r="D468" s="1061"/>
      <c r="E468" s="973"/>
      <c r="F468" s="973"/>
      <c r="G468" s="973"/>
      <c r="H468" s="973"/>
      <c r="I468" s="973"/>
      <c r="J468" s="976"/>
      <c r="K468" s="977"/>
      <c r="L468" s="978"/>
      <c r="M468" s="159"/>
      <c r="N468" s="159"/>
      <c r="O468" s="159"/>
      <c r="P468" s="159"/>
      <c r="Q468" s="159"/>
      <c r="R468" s="159"/>
    </row>
    <row r="469" spans="1:18">
      <c r="A469" s="1058">
        <f>Gases!A476</f>
        <v>451</v>
      </c>
      <c r="B469" s="1061"/>
      <c r="C469" s="1061"/>
      <c r="D469" s="1061"/>
      <c r="E469" s="973"/>
      <c r="F469" s="973"/>
      <c r="G469" s="973"/>
      <c r="H469" s="973"/>
      <c r="I469" s="973"/>
      <c r="J469" s="976"/>
      <c r="K469" s="977"/>
      <c r="L469" s="978"/>
      <c r="M469" s="159"/>
      <c r="N469" s="159"/>
      <c r="O469" s="159"/>
      <c r="P469" s="159"/>
      <c r="Q469" s="159"/>
      <c r="R469" s="159"/>
    </row>
    <row r="470" spans="1:18">
      <c r="A470" s="1058">
        <f>Gases!A477</f>
        <v>452</v>
      </c>
      <c r="B470" s="1061"/>
      <c r="C470" s="1061"/>
      <c r="D470" s="1061"/>
      <c r="E470" s="973"/>
      <c r="F470" s="973"/>
      <c r="G470" s="973"/>
      <c r="H470" s="973"/>
      <c r="I470" s="973"/>
      <c r="J470" s="976"/>
      <c r="K470" s="977"/>
      <c r="L470" s="978"/>
      <c r="M470" s="159"/>
      <c r="N470" s="159"/>
      <c r="O470" s="159"/>
      <c r="P470" s="159"/>
      <c r="Q470" s="159"/>
      <c r="R470" s="159"/>
    </row>
    <row r="471" spans="1:18">
      <c r="A471" s="1058">
        <f>Gases!A478</f>
        <v>453</v>
      </c>
      <c r="B471" s="1061"/>
      <c r="C471" s="1061"/>
      <c r="D471" s="1061"/>
      <c r="E471" s="973"/>
      <c r="F471" s="973"/>
      <c r="G471" s="973"/>
      <c r="H471" s="973"/>
      <c r="I471" s="973"/>
      <c r="J471" s="976"/>
      <c r="K471" s="977"/>
      <c r="L471" s="978"/>
      <c r="M471" s="159"/>
      <c r="N471" s="159"/>
      <c r="O471" s="159"/>
      <c r="P471" s="159"/>
      <c r="Q471" s="159"/>
      <c r="R471" s="159"/>
    </row>
    <row r="472" spans="1:18">
      <c r="A472" s="1058">
        <f>Gases!A479</f>
        <v>454</v>
      </c>
      <c r="B472" s="1061"/>
      <c r="C472" s="1061"/>
      <c r="D472" s="1061"/>
      <c r="E472" s="973"/>
      <c r="F472" s="973"/>
      <c r="G472" s="973"/>
      <c r="H472" s="973"/>
      <c r="I472" s="973"/>
      <c r="J472" s="976"/>
      <c r="K472" s="977"/>
      <c r="L472" s="978"/>
      <c r="M472" s="159"/>
      <c r="N472" s="159"/>
      <c r="O472" s="159"/>
      <c r="P472" s="159"/>
      <c r="Q472" s="159"/>
      <c r="R472" s="159"/>
    </row>
    <row r="473" spans="1:18">
      <c r="A473" s="1058">
        <f>Gases!A480</f>
        <v>455</v>
      </c>
      <c r="B473" s="1061"/>
      <c r="C473" s="1061"/>
      <c r="D473" s="1061"/>
      <c r="E473" s="973"/>
      <c r="F473" s="973"/>
      <c r="G473" s="973"/>
      <c r="H473" s="973"/>
      <c r="I473" s="973"/>
      <c r="J473" s="976"/>
      <c r="K473" s="977"/>
      <c r="L473" s="978"/>
      <c r="M473" s="159"/>
      <c r="N473" s="159"/>
      <c r="O473" s="159"/>
      <c r="P473" s="159"/>
      <c r="Q473" s="159"/>
      <c r="R473" s="159"/>
    </row>
    <row r="474" spans="1:18">
      <c r="A474" s="1058">
        <f>Gases!A481</f>
        <v>456</v>
      </c>
      <c r="B474" s="1061"/>
      <c r="C474" s="1061"/>
      <c r="D474" s="1061"/>
      <c r="E474" s="973"/>
      <c r="F474" s="973"/>
      <c r="G474" s="973"/>
      <c r="H474" s="973"/>
      <c r="I474" s="973"/>
      <c r="J474" s="976"/>
      <c r="K474" s="977"/>
      <c r="L474" s="978"/>
      <c r="M474" s="159"/>
      <c r="N474" s="159"/>
      <c r="O474" s="159"/>
      <c r="P474" s="159"/>
      <c r="Q474" s="159"/>
      <c r="R474" s="159"/>
    </row>
    <row r="475" spans="1:18">
      <c r="A475" s="1058">
        <f>Gases!A482</f>
        <v>457</v>
      </c>
      <c r="B475" s="1061"/>
      <c r="C475" s="1061"/>
      <c r="D475" s="1061"/>
      <c r="E475" s="973"/>
      <c r="F475" s="973"/>
      <c r="G475" s="973"/>
      <c r="H475" s="973"/>
      <c r="I475" s="973"/>
      <c r="J475" s="976"/>
      <c r="K475" s="977"/>
      <c r="L475" s="978"/>
      <c r="M475" s="159"/>
      <c r="N475" s="159"/>
      <c r="O475" s="159"/>
      <c r="P475" s="159"/>
      <c r="Q475" s="159"/>
      <c r="R475" s="159"/>
    </row>
    <row r="476" spans="1:18">
      <c r="A476" s="1058">
        <f>Gases!A483</f>
        <v>458</v>
      </c>
      <c r="B476" s="1061"/>
      <c r="C476" s="1061"/>
      <c r="D476" s="1061"/>
      <c r="E476" s="973"/>
      <c r="F476" s="973"/>
      <c r="G476" s="973"/>
      <c r="H476" s="973"/>
      <c r="I476" s="973"/>
      <c r="J476" s="976"/>
      <c r="K476" s="977"/>
      <c r="L476" s="978"/>
      <c r="M476" s="159"/>
      <c r="N476" s="159"/>
      <c r="O476" s="159"/>
      <c r="P476" s="159"/>
      <c r="Q476" s="159"/>
      <c r="R476" s="159"/>
    </row>
    <row r="477" spans="1:18">
      <c r="A477" s="1058">
        <f>Gases!A484</f>
        <v>459</v>
      </c>
      <c r="B477" s="1061"/>
      <c r="C477" s="1061"/>
      <c r="D477" s="1061"/>
      <c r="E477" s="973"/>
      <c r="F477" s="973"/>
      <c r="G477" s="973"/>
      <c r="H477" s="973"/>
      <c r="I477" s="973"/>
      <c r="J477" s="976"/>
      <c r="K477" s="977"/>
      <c r="L477" s="978"/>
      <c r="M477" s="159"/>
      <c r="N477" s="159"/>
      <c r="O477" s="159"/>
      <c r="P477" s="159"/>
      <c r="Q477" s="159"/>
      <c r="R477" s="159"/>
    </row>
    <row r="478" spans="1:18">
      <c r="A478" s="1058">
        <f>Gases!A485</f>
        <v>460</v>
      </c>
      <c r="B478" s="1061"/>
      <c r="C478" s="1061"/>
      <c r="D478" s="1061"/>
      <c r="E478" s="973"/>
      <c r="F478" s="973"/>
      <c r="G478" s="973"/>
      <c r="H478" s="973"/>
      <c r="I478" s="973"/>
      <c r="J478" s="976"/>
      <c r="K478" s="977"/>
      <c r="L478" s="978"/>
      <c r="M478" s="159"/>
      <c r="N478" s="159"/>
      <c r="O478" s="159"/>
      <c r="P478" s="159"/>
      <c r="Q478" s="159"/>
      <c r="R478" s="159"/>
    </row>
    <row r="479" spans="1:18">
      <c r="A479" s="1058">
        <f>Gases!A486</f>
        <v>461</v>
      </c>
      <c r="B479" s="1061"/>
      <c r="C479" s="1061"/>
      <c r="D479" s="1061"/>
      <c r="E479" s="973"/>
      <c r="F479" s="973"/>
      <c r="G479" s="973"/>
      <c r="H479" s="973"/>
      <c r="I479" s="973"/>
      <c r="J479" s="976"/>
      <c r="K479" s="977"/>
      <c r="L479" s="978"/>
      <c r="M479" s="159"/>
      <c r="N479" s="159"/>
      <c r="O479" s="159"/>
      <c r="P479" s="159"/>
      <c r="Q479" s="159"/>
      <c r="R479" s="159"/>
    </row>
    <row r="480" spans="1:18">
      <c r="A480" s="1058">
        <f>Gases!A487</f>
        <v>462</v>
      </c>
      <c r="B480" s="1061"/>
      <c r="C480" s="1061"/>
      <c r="D480" s="1061"/>
      <c r="E480" s="973"/>
      <c r="F480" s="973"/>
      <c r="G480" s="973"/>
      <c r="H480" s="973"/>
      <c r="I480" s="973"/>
      <c r="J480" s="976"/>
      <c r="K480" s="977"/>
      <c r="L480" s="978"/>
      <c r="M480" s="159"/>
      <c r="N480" s="159"/>
      <c r="O480" s="159"/>
      <c r="P480" s="159"/>
      <c r="Q480" s="159"/>
      <c r="R480" s="159"/>
    </row>
    <row r="481" spans="1:18">
      <c r="A481" s="1058">
        <f>Gases!A488</f>
        <v>463</v>
      </c>
      <c r="B481" s="1061"/>
      <c r="C481" s="1061"/>
      <c r="D481" s="1061"/>
      <c r="E481" s="973"/>
      <c r="F481" s="973"/>
      <c r="G481" s="973"/>
      <c r="H481" s="973"/>
      <c r="I481" s="973"/>
      <c r="J481" s="976"/>
      <c r="K481" s="977"/>
      <c r="L481" s="978"/>
      <c r="M481" s="159"/>
      <c r="N481" s="159"/>
      <c r="O481" s="159"/>
      <c r="P481" s="159"/>
      <c r="Q481" s="159"/>
      <c r="R481" s="159"/>
    </row>
    <row r="482" spans="1:18">
      <c r="A482" s="1058">
        <f>Gases!A489</f>
        <v>464</v>
      </c>
      <c r="B482" s="1061"/>
      <c r="C482" s="1061"/>
      <c r="D482" s="1061"/>
      <c r="E482" s="973"/>
      <c r="F482" s="973"/>
      <c r="G482" s="973"/>
      <c r="H482" s="973"/>
      <c r="I482" s="973"/>
      <c r="J482" s="976"/>
      <c r="K482" s="977"/>
      <c r="L482" s="978"/>
      <c r="M482" s="159"/>
      <c r="N482" s="159"/>
      <c r="O482" s="159"/>
      <c r="P482" s="159"/>
      <c r="Q482" s="159"/>
      <c r="R482" s="159"/>
    </row>
    <row r="483" spans="1:18">
      <c r="A483" s="1058">
        <f>Gases!A490</f>
        <v>465</v>
      </c>
      <c r="B483" s="1061"/>
      <c r="C483" s="1061"/>
      <c r="D483" s="1061"/>
      <c r="E483" s="973"/>
      <c r="F483" s="973"/>
      <c r="G483" s="973"/>
      <c r="H483" s="973"/>
      <c r="I483" s="973"/>
      <c r="J483" s="976"/>
      <c r="K483" s="977"/>
      <c r="L483" s="978"/>
      <c r="M483" s="159"/>
      <c r="N483" s="159"/>
      <c r="O483" s="159"/>
      <c r="P483" s="159"/>
      <c r="Q483" s="159"/>
      <c r="R483" s="159"/>
    </row>
    <row r="484" spans="1:18">
      <c r="A484" s="1058">
        <f>Gases!A491</f>
        <v>466</v>
      </c>
      <c r="B484" s="1061"/>
      <c r="C484" s="1061"/>
      <c r="D484" s="1061"/>
      <c r="E484" s="973"/>
      <c r="F484" s="973"/>
      <c r="G484" s="973"/>
      <c r="H484" s="973"/>
      <c r="I484" s="973"/>
      <c r="J484" s="976"/>
      <c r="K484" s="977"/>
      <c r="L484" s="978"/>
      <c r="M484" s="159"/>
      <c r="N484" s="159"/>
      <c r="O484" s="159"/>
      <c r="P484" s="159"/>
      <c r="Q484" s="159"/>
      <c r="R484" s="159"/>
    </row>
    <row r="485" spans="1:18">
      <c r="A485" s="1058">
        <f>Gases!A492</f>
        <v>467</v>
      </c>
      <c r="B485" s="1061"/>
      <c r="C485" s="1061"/>
      <c r="D485" s="1061"/>
      <c r="E485" s="973"/>
      <c r="F485" s="973"/>
      <c r="G485" s="973"/>
      <c r="H485" s="973"/>
      <c r="I485" s="973"/>
      <c r="J485" s="976"/>
      <c r="K485" s="977"/>
      <c r="L485" s="978"/>
      <c r="M485" s="159"/>
      <c r="N485" s="159"/>
      <c r="O485" s="159"/>
      <c r="P485" s="159"/>
      <c r="Q485" s="159"/>
      <c r="R485" s="159"/>
    </row>
    <row r="486" spans="1:18">
      <c r="A486" s="1058">
        <f>Gases!A493</f>
        <v>468</v>
      </c>
      <c r="B486" s="1061"/>
      <c r="C486" s="1061"/>
      <c r="D486" s="1061"/>
      <c r="E486" s="973"/>
      <c r="F486" s="973"/>
      <c r="G486" s="973"/>
      <c r="H486" s="973"/>
      <c r="I486" s="973"/>
      <c r="J486" s="976"/>
      <c r="K486" s="977"/>
      <c r="L486" s="978"/>
      <c r="M486" s="159"/>
      <c r="N486" s="159"/>
      <c r="O486" s="159"/>
      <c r="P486" s="159"/>
      <c r="Q486" s="159"/>
      <c r="R486" s="159"/>
    </row>
    <row r="487" spans="1:18">
      <c r="A487" s="1058">
        <f>Gases!A494</f>
        <v>469</v>
      </c>
      <c r="B487" s="1061"/>
      <c r="C487" s="1061"/>
      <c r="D487" s="1061"/>
      <c r="E487" s="973"/>
      <c r="F487" s="973"/>
      <c r="G487" s="973"/>
      <c r="H487" s="973"/>
      <c r="I487" s="973"/>
      <c r="J487" s="976"/>
      <c r="K487" s="977"/>
      <c r="L487" s="978"/>
      <c r="M487" s="159"/>
      <c r="N487" s="159"/>
      <c r="O487" s="159"/>
      <c r="P487" s="159"/>
      <c r="Q487" s="159"/>
      <c r="R487" s="159"/>
    </row>
    <row r="488" spans="1:18">
      <c r="A488" s="1058">
        <f>Gases!A495</f>
        <v>470</v>
      </c>
      <c r="B488" s="1061"/>
      <c r="C488" s="1061"/>
      <c r="D488" s="1061"/>
      <c r="E488" s="973"/>
      <c r="F488" s="973"/>
      <c r="G488" s="973"/>
      <c r="H488" s="973"/>
      <c r="I488" s="973"/>
      <c r="J488" s="976"/>
      <c r="K488" s="977"/>
      <c r="L488" s="978"/>
      <c r="M488" s="159"/>
      <c r="N488" s="159"/>
      <c r="O488" s="159"/>
      <c r="P488" s="159"/>
      <c r="Q488" s="159"/>
      <c r="R488" s="159"/>
    </row>
    <row r="489" spans="1:18">
      <c r="A489" s="1058">
        <f>Gases!A496</f>
        <v>471</v>
      </c>
      <c r="B489" s="1061"/>
      <c r="C489" s="1061"/>
      <c r="D489" s="1061"/>
      <c r="E489" s="973"/>
      <c r="F489" s="973"/>
      <c r="G489" s="973"/>
      <c r="H489" s="973"/>
      <c r="I489" s="973"/>
      <c r="J489" s="976"/>
      <c r="K489" s="977"/>
      <c r="L489" s="978"/>
      <c r="M489" s="159"/>
      <c r="N489" s="159"/>
      <c r="O489" s="159"/>
      <c r="P489" s="159"/>
      <c r="Q489" s="159"/>
      <c r="R489" s="159"/>
    </row>
    <row r="490" spans="1:18">
      <c r="A490" s="1058">
        <f>Gases!A497</f>
        <v>472</v>
      </c>
      <c r="B490" s="1061"/>
      <c r="C490" s="1061"/>
      <c r="D490" s="1061"/>
      <c r="E490" s="973"/>
      <c r="F490" s="973"/>
      <c r="G490" s="973"/>
      <c r="H490" s="973"/>
      <c r="I490" s="973"/>
      <c r="J490" s="976"/>
      <c r="K490" s="977"/>
      <c r="L490" s="978"/>
      <c r="M490" s="159"/>
      <c r="N490" s="159"/>
      <c r="O490" s="159"/>
      <c r="P490" s="159"/>
      <c r="Q490" s="159"/>
      <c r="R490" s="159"/>
    </row>
    <row r="491" spans="1:18">
      <c r="A491" s="1058">
        <f>Gases!A498</f>
        <v>473</v>
      </c>
      <c r="B491" s="1061"/>
      <c r="C491" s="1061"/>
      <c r="D491" s="1061"/>
      <c r="E491" s="973"/>
      <c r="F491" s="973"/>
      <c r="G491" s="973"/>
      <c r="H491" s="973"/>
      <c r="I491" s="973"/>
      <c r="J491" s="976"/>
      <c r="K491" s="977"/>
      <c r="L491" s="978"/>
      <c r="M491" s="159"/>
      <c r="N491" s="159"/>
      <c r="O491" s="159"/>
      <c r="P491" s="159"/>
      <c r="Q491" s="159"/>
      <c r="R491" s="159"/>
    </row>
    <row r="492" spans="1:18">
      <c r="A492" s="1058">
        <f>Gases!A499</f>
        <v>474</v>
      </c>
      <c r="B492" s="1061"/>
      <c r="C492" s="1061"/>
      <c r="D492" s="1061"/>
      <c r="E492" s="973"/>
      <c r="F492" s="973"/>
      <c r="G492" s="973"/>
      <c r="H492" s="973"/>
      <c r="I492" s="973"/>
      <c r="J492" s="976"/>
      <c r="K492" s="977"/>
      <c r="L492" s="978"/>
      <c r="M492" s="159"/>
      <c r="N492" s="159"/>
      <c r="O492" s="159"/>
      <c r="P492" s="159"/>
      <c r="Q492" s="159"/>
      <c r="R492" s="159"/>
    </row>
    <row r="493" spans="1:18">
      <c r="A493" s="1058">
        <f>Gases!A500</f>
        <v>475</v>
      </c>
      <c r="B493" s="1061"/>
      <c r="C493" s="1061"/>
      <c r="D493" s="1061"/>
      <c r="E493" s="973"/>
      <c r="F493" s="973"/>
      <c r="G493" s="973"/>
      <c r="H493" s="973"/>
      <c r="I493" s="973"/>
      <c r="J493" s="976"/>
      <c r="K493" s="977"/>
      <c r="L493" s="978"/>
      <c r="M493" s="159"/>
      <c r="N493" s="159"/>
      <c r="O493" s="159"/>
      <c r="P493" s="159"/>
      <c r="Q493" s="159"/>
      <c r="R493" s="159"/>
    </row>
    <row r="494" spans="1:18">
      <c r="A494" s="1058">
        <f>Gases!A501</f>
        <v>476</v>
      </c>
      <c r="B494" s="1061"/>
      <c r="C494" s="1061"/>
      <c r="D494" s="1061"/>
      <c r="E494" s="973"/>
      <c r="F494" s="973"/>
      <c r="G494" s="973"/>
      <c r="H494" s="973"/>
      <c r="I494" s="973"/>
      <c r="J494" s="976"/>
      <c r="K494" s="977"/>
      <c r="L494" s="978"/>
      <c r="M494" s="159"/>
      <c r="N494" s="159"/>
      <c r="O494" s="159"/>
      <c r="P494" s="159"/>
      <c r="Q494" s="159"/>
      <c r="R494" s="159"/>
    </row>
    <row r="495" spans="1:18">
      <c r="A495" s="1058">
        <f>Gases!A502</f>
        <v>477</v>
      </c>
      <c r="B495" s="1061"/>
      <c r="C495" s="1061"/>
      <c r="D495" s="1061"/>
      <c r="E495" s="973"/>
      <c r="F495" s="973"/>
      <c r="G495" s="973"/>
      <c r="H495" s="973"/>
      <c r="I495" s="973"/>
      <c r="J495" s="976"/>
      <c r="K495" s="977"/>
      <c r="L495" s="978"/>
      <c r="M495" s="159"/>
      <c r="N495" s="159"/>
      <c r="O495" s="159"/>
      <c r="P495" s="159"/>
      <c r="Q495" s="159"/>
      <c r="R495" s="159"/>
    </row>
    <row r="496" spans="1:18">
      <c r="A496" s="1058">
        <f>Gases!A503</f>
        <v>478</v>
      </c>
      <c r="B496" s="1061"/>
      <c r="C496" s="1061"/>
      <c r="D496" s="1061"/>
      <c r="E496" s="973"/>
      <c r="F496" s="973"/>
      <c r="G496" s="973"/>
      <c r="H496" s="973"/>
      <c r="I496" s="973"/>
      <c r="J496" s="976"/>
      <c r="K496" s="977"/>
      <c r="L496" s="978"/>
      <c r="M496" s="159"/>
      <c r="N496" s="159"/>
      <c r="O496" s="159"/>
      <c r="P496" s="159"/>
      <c r="Q496" s="159"/>
      <c r="R496" s="159"/>
    </row>
    <row r="497" spans="1:18">
      <c r="A497" s="1058">
        <f>Gases!A504</f>
        <v>479</v>
      </c>
      <c r="B497" s="1061"/>
      <c r="C497" s="1061"/>
      <c r="D497" s="1061"/>
      <c r="E497" s="973"/>
      <c r="F497" s="973"/>
      <c r="G497" s="973"/>
      <c r="H497" s="973"/>
      <c r="I497" s="973"/>
      <c r="J497" s="976"/>
      <c r="K497" s="977"/>
      <c r="L497" s="978"/>
      <c r="M497" s="159"/>
      <c r="N497" s="159"/>
      <c r="O497" s="159"/>
      <c r="P497" s="159"/>
      <c r="Q497" s="159"/>
      <c r="R497" s="159"/>
    </row>
    <row r="498" spans="1:18">
      <c r="A498" s="1058">
        <f>Gases!A505</f>
        <v>480</v>
      </c>
      <c r="B498" s="1061"/>
      <c r="C498" s="1061"/>
      <c r="D498" s="1061"/>
      <c r="E498" s="973"/>
      <c r="F498" s="973"/>
      <c r="G498" s="973"/>
      <c r="H498" s="973"/>
      <c r="I498" s="973"/>
      <c r="J498" s="976"/>
      <c r="K498" s="977"/>
      <c r="L498" s="978"/>
      <c r="M498" s="159"/>
      <c r="N498" s="159"/>
      <c r="O498" s="159"/>
      <c r="P498" s="159"/>
      <c r="Q498" s="159"/>
      <c r="R498" s="159"/>
    </row>
    <row r="499" spans="1:18">
      <c r="A499" s="1058"/>
      <c r="B499" s="970"/>
      <c r="C499" s="970"/>
      <c r="D499" s="970"/>
      <c r="E499" s="971"/>
      <c r="F499" s="972"/>
      <c r="G499" s="973"/>
      <c r="H499" s="974"/>
      <c r="I499" s="975"/>
      <c r="J499" s="976"/>
      <c r="K499" s="977"/>
      <c r="L499" s="978"/>
      <c r="M499" s="159"/>
      <c r="N499" s="159"/>
      <c r="O499" s="159"/>
      <c r="P499" s="159"/>
      <c r="Q499" s="159"/>
      <c r="R499" s="159"/>
    </row>
    <row r="500" spans="1:18">
      <c r="A500" s="1058"/>
      <c r="B500" s="970"/>
      <c r="C500" s="970"/>
      <c r="D500" s="970"/>
      <c r="E500" s="971"/>
      <c r="F500" s="972"/>
      <c r="G500" s="973"/>
      <c r="H500" s="974"/>
      <c r="I500" s="975"/>
      <c r="J500" s="976"/>
      <c r="K500" s="977"/>
      <c r="L500" s="978"/>
      <c r="M500" s="159"/>
      <c r="N500" s="159"/>
      <c r="O500" s="159"/>
      <c r="P500" s="159"/>
      <c r="Q500" s="159"/>
      <c r="R500" s="159"/>
    </row>
    <row r="501" spans="1:18">
      <c r="A501" s="1058"/>
      <c r="B501" s="970"/>
      <c r="C501" s="970"/>
      <c r="D501" s="970"/>
      <c r="E501" s="971"/>
      <c r="F501" s="972"/>
      <c r="G501" s="973"/>
      <c r="H501" s="974"/>
      <c r="I501" s="975"/>
      <c r="J501" s="976"/>
      <c r="K501" s="977"/>
      <c r="L501" s="978"/>
      <c r="M501" s="159"/>
      <c r="N501" s="159"/>
      <c r="O501" s="159"/>
      <c r="P501" s="159"/>
      <c r="Q501" s="159"/>
      <c r="R501" s="159"/>
    </row>
    <row r="502" spans="1:18">
      <c r="A502" s="1058"/>
      <c r="B502" s="970"/>
      <c r="C502" s="970"/>
      <c r="D502" s="970"/>
      <c r="E502" s="971"/>
      <c r="F502" s="972"/>
      <c r="G502" s="973"/>
      <c r="H502" s="974"/>
      <c r="I502" s="975"/>
      <c r="J502" s="976"/>
      <c r="K502" s="977"/>
      <c r="L502" s="978"/>
      <c r="M502" s="159"/>
      <c r="N502" s="159"/>
      <c r="O502" s="159"/>
      <c r="P502" s="159"/>
      <c r="Q502" s="159"/>
      <c r="R502" s="159"/>
    </row>
    <row r="503" spans="1:18">
      <c r="A503" s="1058"/>
      <c r="B503" s="970"/>
      <c r="C503" s="970"/>
      <c r="D503" s="970"/>
      <c r="E503" s="971"/>
      <c r="F503" s="972"/>
      <c r="G503" s="973"/>
      <c r="H503" s="974"/>
      <c r="I503" s="975"/>
      <c r="J503" s="976"/>
      <c r="K503" s="977"/>
      <c r="L503" s="978"/>
      <c r="M503" s="159"/>
      <c r="N503" s="159"/>
      <c r="O503" s="159"/>
      <c r="P503" s="159"/>
      <c r="Q503" s="159"/>
      <c r="R503" s="159"/>
    </row>
    <row r="504" spans="1:18">
      <c r="A504" s="1058"/>
      <c r="B504" s="970"/>
      <c r="C504" s="970"/>
      <c r="D504" s="970"/>
      <c r="E504" s="971"/>
      <c r="F504" s="972"/>
      <c r="G504" s="973"/>
      <c r="H504" s="974"/>
      <c r="I504" s="975"/>
      <c r="J504" s="976"/>
      <c r="K504" s="977"/>
      <c r="L504" s="978"/>
      <c r="M504" s="159"/>
      <c r="N504" s="159"/>
      <c r="O504" s="159"/>
      <c r="P504" s="159"/>
      <c r="Q504" s="159"/>
      <c r="R504" s="159"/>
    </row>
    <row r="505" spans="1:18">
      <c r="A505" s="1058"/>
      <c r="B505" s="970"/>
      <c r="C505" s="970"/>
      <c r="D505" s="970"/>
      <c r="E505" s="971"/>
      <c r="F505" s="972"/>
      <c r="G505" s="973"/>
      <c r="H505" s="974"/>
      <c r="I505" s="975"/>
      <c r="J505" s="976"/>
      <c r="K505" s="977"/>
      <c r="L505" s="978"/>
      <c r="M505" s="159"/>
      <c r="N505" s="159"/>
      <c r="O505" s="159"/>
      <c r="P505" s="159"/>
      <c r="Q505" s="159"/>
      <c r="R505" s="159"/>
    </row>
    <row r="506" spans="1:18">
      <c r="A506" s="1058"/>
      <c r="B506" s="970"/>
      <c r="C506" s="970"/>
      <c r="D506" s="970"/>
      <c r="E506" s="971"/>
      <c r="F506" s="972"/>
      <c r="G506" s="973"/>
      <c r="H506" s="974"/>
      <c r="I506" s="975"/>
      <c r="J506" s="976"/>
      <c r="K506" s="977"/>
      <c r="L506" s="978"/>
      <c r="M506" s="159"/>
      <c r="N506" s="159"/>
      <c r="O506" s="159"/>
      <c r="P506" s="159"/>
      <c r="Q506" s="159"/>
      <c r="R506" s="159"/>
    </row>
    <row r="507" spans="1:18">
      <c r="A507" s="1058"/>
      <c r="B507" s="970"/>
      <c r="C507" s="970"/>
      <c r="D507" s="970"/>
      <c r="E507" s="971"/>
      <c r="F507" s="972"/>
      <c r="G507" s="973"/>
      <c r="H507" s="974"/>
      <c r="I507" s="975"/>
      <c r="J507" s="976"/>
      <c r="K507" s="977"/>
      <c r="L507" s="978"/>
      <c r="M507" s="159"/>
      <c r="N507" s="159"/>
      <c r="O507" s="159"/>
      <c r="P507" s="159"/>
      <c r="Q507" s="159"/>
      <c r="R507" s="159"/>
    </row>
    <row r="508" spans="1:18">
      <c r="A508" s="1058"/>
      <c r="B508" s="970"/>
      <c r="C508" s="970"/>
      <c r="D508" s="970"/>
      <c r="E508" s="971"/>
      <c r="F508" s="972"/>
      <c r="G508" s="973"/>
      <c r="H508" s="974"/>
      <c r="I508" s="975"/>
      <c r="J508" s="976"/>
      <c r="K508" s="977"/>
      <c r="L508" s="978"/>
      <c r="M508" s="159"/>
      <c r="N508" s="159"/>
      <c r="O508" s="159"/>
      <c r="P508" s="159"/>
      <c r="Q508" s="159"/>
      <c r="R508" s="159"/>
    </row>
    <row r="509" spans="1:18">
      <c r="A509" s="1058"/>
      <c r="B509" s="970"/>
      <c r="C509" s="970"/>
      <c r="D509" s="970"/>
      <c r="E509" s="971"/>
      <c r="F509" s="972"/>
      <c r="G509" s="973"/>
      <c r="H509" s="974"/>
      <c r="I509" s="975"/>
      <c r="J509" s="976"/>
      <c r="K509" s="977"/>
      <c r="L509" s="978"/>
      <c r="M509" s="159"/>
      <c r="N509" s="159"/>
      <c r="O509" s="159"/>
      <c r="P509" s="159"/>
      <c r="Q509" s="159"/>
      <c r="R509" s="159"/>
    </row>
    <row r="510" spans="1:18">
      <c r="A510" s="1058"/>
      <c r="B510" s="970"/>
      <c r="C510" s="970"/>
      <c r="D510" s="970"/>
      <c r="E510" s="971"/>
      <c r="F510" s="972"/>
      <c r="G510" s="973"/>
      <c r="H510" s="974"/>
      <c r="I510" s="975"/>
      <c r="J510" s="976"/>
      <c r="K510" s="977"/>
      <c r="L510" s="978"/>
      <c r="M510" s="159"/>
      <c r="N510" s="159"/>
      <c r="O510" s="159"/>
      <c r="P510" s="159"/>
      <c r="Q510" s="159"/>
      <c r="R510" s="159"/>
    </row>
    <row r="511" spans="1:18">
      <c r="A511" s="1058"/>
      <c r="B511" s="970"/>
      <c r="C511" s="970"/>
      <c r="D511" s="970"/>
      <c r="E511" s="971"/>
      <c r="F511" s="972"/>
      <c r="G511" s="973"/>
      <c r="H511" s="974"/>
      <c r="I511" s="975"/>
      <c r="J511" s="976"/>
      <c r="K511" s="977"/>
      <c r="L511" s="978"/>
      <c r="M511" s="159"/>
      <c r="N511" s="159"/>
      <c r="O511" s="159"/>
      <c r="P511" s="159"/>
      <c r="Q511" s="159"/>
      <c r="R511" s="159"/>
    </row>
    <row r="512" spans="1:18">
      <c r="A512" s="1058"/>
      <c r="B512" s="970"/>
      <c r="C512" s="970"/>
      <c r="D512" s="970"/>
      <c r="E512" s="971"/>
      <c r="F512" s="972"/>
      <c r="G512" s="973"/>
      <c r="H512" s="974"/>
      <c r="I512" s="975"/>
      <c r="J512" s="976"/>
      <c r="K512" s="977"/>
      <c r="L512" s="978"/>
      <c r="M512" s="159"/>
      <c r="N512" s="159"/>
      <c r="O512" s="159"/>
      <c r="P512" s="159"/>
      <c r="Q512" s="159"/>
      <c r="R512" s="159"/>
    </row>
    <row r="513" spans="1:18">
      <c r="A513" s="1058"/>
      <c r="B513" s="970"/>
      <c r="C513" s="970"/>
      <c r="D513" s="970"/>
      <c r="E513" s="971"/>
      <c r="F513" s="972"/>
      <c r="G513" s="973"/>
      <c r="H513" s="974"/>
      <c r="I513" s="975"/>
      <c r="J513" s="976"/>
      <c r="K513" s="977"/>
      <c r="L513" s="978"/>
      <c r="M513" s="159"/>
      <c r="N513" s="159"/>
      <c r="O513" s="159"/>
      <c r="P513" s="159"/>
      <c r="Q513" s="159"/>
      <c r="R513" s="159"/>
    </row>
    <row r="514" spans="1:18">
      <c r="A514" s="1058"/>
      <c r="B514" s="970"/>
      <c r="C514" s="970"/>
      <c r="D514" s="970"/>
      <c r="E514" s="971"/>
      <c r="F514" s="972"/>
      <c r="G514" s="973"/>
      <c r="H514" s="974"/>
      <c r="I514" s="975"/>
      <c r="J514" s="976"/>
      <c r="K514" s="977"/>
      <c r="L514" s="978"/>
      <c r="M514" s="159"/>
      <c r="N514" s="159"/>
      <c r="O514" s="159"/>
      <c r="P514" s="159"/>
      <c r="Q514" s="159"/>
      <c r="R514" s="159"/>
    </row>
    <row r="515" spans="1:18">
      <c r="A515" s="1058"/>
      <c r="B515" s="970"/>
      <c r="C515" s="970"/>
      <c r="D515" s="970"/>
      <c r="E515" s="971"/>
      <c r="F515" s="972"/>
      <c r="G515" s="973"/>
      <c r="H515" s="974"/>
      <c r="I515" s="975"/>
      <c r="J515" s="976"/>
      <c r="K515" s="977"/>
      <c r="L515" s="978"/>
      <c r="M515" s="159"/>
      <c r="N515" s="159"/>
      <c r="O515" s="159"/>
      <c r="P515" s="159"/>
      <c r="Q515" s="159"/>
      <c r="R515" s="159"/>
    </row>
    <row r="516" spans="1:18">
      <c r="A516" s="1058"/>
      <c r="B516" s="970"/>
      <c r="C516" s="970"/>
      <c r="D516" s="970"/>
      <c r="E516" s="971"/>
      <c r="F516" s="972"/>
      <c r="G516" s="973"/>
      <c r="H516" s="974"/>
      <c r="I516" s="975"/>
      <c r="J516" s="976"/>
      <c r="K516" s="977"/>
      <c r="L516" s="978"/>
      <c r="M516" s="159"/>
      <c r="N516" s="159"/>
      <c r="O516" s="159"/>
      <c r="P516" s="159"/>
      <c r="Q516" s="159"/>
      <c r="R516" s="159"/>
    </row>
    <row r="517" spans="1:18">
      <c r="A517" s="1058"/>
      <c r="B517" s="970"/>
      <c r="C517" s="970"/>
      <c r="D517" s="970"/>
      <c r="E517" s="971"/>
      <c r="F517" s="972"/>
      <c r="G517" s="973"/>
      <c r="H517" s="974"/>
      <c r="I517" s="975"/>
      <c r="J517" s="976"/>
      <c r="K517" s="977"/>
      <c r="L517" s="978"/>
      <c r="M517" s="159"/>
      <c r="N517" s="159"/>
      <c r="O517" s="159"/>
      <c r="P517" s="159"/>
      <c r="Q517" s="159"/>
      <c r="R517" s="159"/>
    </row>
    <row r="518" spans="1:18">
      <c r="A518" s="1058"/>
      <c r="B518" s="970"/>
      <c r="C518" s="970"/>
      <c r="D518" s="970"/>
      <c r="E518" s="971"/>
      <c r="F518" s="972"/>
      <c r="G518" s="973"/>
      <c r="H518" s="974"/>
      <c r="I518" s="975"/>
      <c r="J518" s="976"/>
      <c r="K518" s="977"/>
      <c r="L518" s="978"/>
      <c r="M518" s="159"/>
      <c r="N518" s="159"/>
      <c r="O518" s="159"/>
      <c r="P518" s="159"/>
      <c r="Q518" s="159"/>
      <c r="R518" s="159"/>
    </row>
    <row r="519" spans="1:18">
      <c r="A519" s="1058"/>
      <c r="B519" s="159"/>
      <c r="C519" s="159"/>
      <c r="D519" s="159"/>
      <c r="E519" s="159"/>
      <c r="F519" s="159"/>
      <c r="G519" s="159"/>
      <c r="H519" s="159"/>
      <c r="I519" s="159"/>
      <c r="J519" s="159"/>
      <c r="K519" s="159"/>
      <c r="L519" s="159"/>
      <c r="M519" s="159"/>
      <c r="N519" s="159"/>
      <c r="O519" s="159"/>
      <c r="P519" s="159"/>
      <c r="Q519" s="159"/>
      <c r="R519" s="159"/>
    </row>
    <row r="520" spans="1:18">
      <c r="A520" s="1058"/>
      <c r="B520" s="159"/>
      <c r="C520" s="159"/>
      <c r="D520" s="159"/>
      <c r="E520" s="159"/>
      <c r="F520" s="159"/>
      <c r="G520" s="159"/>
      <c r="H520" s="159"/>
      <c r="I520" s="159"/>
      <c r="J520" s="159"/>
      <c r="K520" s="159"/>
      <c r="L520" s="159"/>
      <c r="M520" s="159"/>
      <c r="N520" s="159"/>
      <c r="O520" s="159"/>
      <c r="P520" s="159"/>
      <c r="Q520" s="159"/>
      <c r="R520" s="159"/>
    </row>
    <row r="521" spans="1:18">
      <c r="A521" s="1058"/>
      <c r="B521" s="159"/>
      <c r="C521" s="159"/>
      <c r="D521" s="159"/>
      <c r="E521" s="159"/>
      <c r="F521" s="159"/>
      <c r="G521" s="159"/>
      <c r="H521" s="159"/>
      <c r="I521" s="159"/>
      <c r="J521" s="159"/>
      <c r="K521" s="159"/>
      <c r="L521" s="159"/>
      <c r="M521" s="159"/>
      <c r="N521" s="159"/>
      <c r="O521" s="159"/>
      <c r="P521" s="159"/>
      <c r="Q521" s="159"/>
      <c r="R521" s="159"/>
    </row>
    <row r="522" spans="1:18">
      <c r="A522" s="1058"/>
      <c r="B522" s="159"/>
      <c r="C522" s="159"/>
      <c r="D522" s="159"/>
      <c r="E522" s="159"/>
      <c r="F522" s="159"/>
      <c r="G522" s="159"/>
      <c r="H522" s="159"/>
      <c r="I522" s="159"/>
      <c r="J522" s="159"/>
      <c r="K522" s="159"/>
      <c r="L522" s="159"/>
      <c r="M522" s="159"/>
      <c r="N522" s="159"/>
      <c r="O522" s="159"/>
      <c r="P522" s="159"/>
      <c r="Q522" s="159"/>
      <c r="R522" s="159"/>
    </row>
    <row r="523" spans="1:18">
      <c r="A523" s="1058"/>
      <c r="B523" s="159"/>
      <c r="C523" s="159"/>
      <c r="D523" s="159"/>
      <c r="E523" s="159"/>
      <c r="F523" s="159"/>
      <c r="G523" s="159"/>
      <c r="H523" s="159"/>
      <c r="I523" s="159"/>
      <c r="J523" s="159"/>
      <c r="K523" s="159"/>
      <c r="L523" s="159"/>
      <c r="M523" s="159"/>
      <c r="N523" s="159"/>
      <c r="O523" s="159"/>
      <c r="P523" s="159"/>
      <c r="Q523" s="159"/>
      <c r="R523" s="159"/>
    </row>
    <row r="524" spans="1:18">
      <c r="A524" s="1058"/>
      <c r="B524" s="159"/>
      <c r="C524" s="159"/>
      <c r="D524" s="159"/>
      <c r="E524" s="159"/>
      <c r="F524" s="159"/>
      <c r="G524" s="159"/>
      <c r="H524" s="159"/>
      <c r="I524" s="159"/>
      <c r="J524" s="159"/>
      <c r="K524" s="159"/>
      <c r="L524" s="159"/>
      <c r="M524" s="159"/>
      <c r="N524" s="159"/>
      <c r="O524" s="159"/>
      <c r="P524" s="159"/>
      <c r="Q524" s="159"/>
      <c r="R524" s="159"/>
    </row>
    <row r="525" spans="1:18">
      <c r="A525" s="1058"/>
      <c r="B525" s="159"/>
      <c r="C525" s="159"/>
      <c r="D525" s="159"/>
      <c r="E525" s="159"/>
      <c r="F525" s="159"/>
      <c r="G525" s="159"/>
      <c r="H525" s="159"/>
      <c r="I525" s="159"/>
      <c r="J525" s="159"/>
      <c r="K525" s="159"/>
      <c r="L525" s="159"/>
      <c r="M525" s="159"/>
      <c r="N525" s="159"/>
      <c r="O525" s="159"/>
      <c r="P525" s="159"/>
      <c r="Q525" s="159"/>
      <c r="R525" s="159"/>
    </row>
    <row r="526" spans="1:18">
      <c r="A526" s="1058"/>
      <c r="B526" s="159"/>
      <c r="C526" s="159"/>
      <c r="D526" s="159"/>
      <c r="E526" s="159"/>
      <c r="F526" s="159"/>
      <c r="G526" s="159"/>
      <c r="H526" s="159"/>
      <c r="I526" s="159"/>
      <c r="J526" s="159"/>
      <c r="K526" s="159"/>
      <c r="L526" s="159"/>
      <c r="M526" s="159"/>
      <c r="N526" s="159"/>
      <c r="O526" s="159"/>
      <c r="P526" s="159"/>
      <c r="Q526" s="159"/>
      <c r="R526" s="159"/>
    </row>
    <row r="527" spans="1:18">
      <c r="A527" s="1058"/>
      <c r="B527" s="159"/>
      <c r="C527" s="159"/>
      <c r="D527" s="159"/>
      <c r="E527" s="159"/>
      <c r="F527" s="159"/>
      <c r="G527" s="159"/>
      <c r="H527" s="159"/>
      <c r="I527" s="159"/>
      <c r="J527" s="159"/>
      <c r="K527" s="159"/>
      <c r="L527" s="159"/>
      <c r="M527" s="159"/>
      <c r="N527" s="159"/>
      <c r="O527" s="159"/>
      <c r="P527" s="159"/>
      <c r="Q527" s="159"/>
      <c r="R527" s="159"/>
    </row>
    <row r="528" spans="1:18">
      <c r="A528" s="1058"/>
      <c r="B528" s="159"/>
      <c r="C528" s="159"/>
      <c r="D528" s="159"/>
      <c r="E528" s="159"/>
      <c r="F528" s="159"/>
      <c r="G528" s="159"/>
      <c r="H528" s="159"/>
      <c r="I528" s="159"/>
      <c r="J528" s="159"/>
      <c r="K528" s="159"/>
      <c r="L528" s="159"/>
      <c r="M528" s="159"/>
      <c r="N528" s="159"/>
      <c r="O528" s="159"/>
      <c r="P528" s="159"/>
      <c r="Q528" s="159"/>
      <c r="R528" s="159"/>
    </row>
    <row r="529" spans="1:18">
      <c r="A529" s="1058"/>
      <c r="B529" s="159"/>
      <c r="C529" s="159"/>
      <c r="D529" s="159"/>
      <c r="E529" s="159"/>
      <c r="F529" s="159"/>
      <c r="G529" s="159"/>
      <c r="H529" s="159"/>
      <c r="I529" s="159"/>
      <c r="J529" s="159"/>
      <c r="K529" s="159"/>
      <c r="L529" s="159"/>
      <c r="M529" s="159"/>
      <c r="N529" s="159"/>
      <c r="O529" s="159"/>
      <c r="P529" s="159"/>
      <c r="Q529" s="159"/>
      <c r="R529" s="159"/>
    </row>
    <row r="530" spans="1:18">
      <c r="A530" s="1058"/>
      <c r="B530" s="159"/>
      <c r="C530" s="159"/>
      <c r="D530" s="159"/>
      <c r="E530" s="159"/>
      <c r="F530" s="159"/>
      <c r="G530" s="159"/>
      <c r="H530" s="159"/>
      <c r="I530" s="159"/>
      <c r="J530" s="159"/>
      <c r="K530" s="159"/>
      <c r="L530" s="159"/>
      <c r="M530" s="159"/>
      <c r="N530" s="159"/>
      <c r="O530" s="159"/>
      <c r="P530" s="159"/>
      <c r="Q530" s="159"/>
      <c r="R530" s="159"/>
    </row>
    <row r="531" spans="1:18">
      <c r="A531" s="1058"/>
      <c r="B531" s="159"/>
      <c r="C531" s="159"/>
      <c r="D531" s="159"/>
      <c r="E531" s="159"/>
      <c r="F531" s="159"/>
      <c r="G531" s="159"/>
      <c r="H531" s="159"/>
      <c r="I531" s="159"/>
      <c r="J531" s="159"/>
      <c r="K531" s="159"/>
      <c r="L531" s="159"/>
      <c r="M531" s="159"/>
      <c r="N531" s="159"/>
      <c r="O531" s="159"/>
      <c r="P531" s="159"/>
      <c r="Q531" s="159"/>
      <c r="R531" s="159"/>
    </row>
    <row r="532" spans="1:18">
      <c r="A532" s="1058"/>
      <c r="B532" s="159"/>
      <c r="C532" s="159"/>
      <c r="D532" s="159"/>
      <c r="E532" s="159"/>
      <c r="F532" s="159"/>
      <c r="G532" s="159"/>
      <c r="H532" s="159"/>
      <c r="I532" s="159"/>
      <c r="J532" s="159"/>
      <c r="K532" s="159"/>
      <c r="L532" s="159"/>
      <c r="M532" s="159"/>
      <c r="N532" s="159"/>
      <c r="O532" s="159"/>
      <c r="P532" s="159"/>
      <c r="Q532" s="159"/>
      <c r="R532" s="159"/>
    </row>
    <row r="533" spans="1:18">
      <c r="A533" s="1058"/>
      <c r="B533" s="159"/>
      <c r="C533" s="159"/>
      <c r="D533" s="159"/>
      <c r="E533" s="159"/>
      <c r="F533" s="159"/>
      <c r="G533" s="159"/>
      <c r="H533" s="159"/>
      <c r="I533" s="159"/>
      <c r="J533" s="159"/>
      <c r="K533" s="159"/>
      <c r="L533" s="159"/>
      <c r="M533" s="159"/>
      <c r="N533" s="159"/>
      <c r="O533" s="159"/>
      <c r="P533" s="159"/>
      <c r="Q533" s="159"/>
      <c r="R533" s="159"/>
    </row>
    <row r="534" spans="1:18">
      <c r="A534" s="1058"/>
      <c r="B534" s="159"/>
      <c r="C534" s="159"/>
      <c r="D534" s="159"/>
      <c r="E534" s="159"/>
      <c r="F534" s="159"/>
      <c r="G534" s="159"/>
      <c r="H534" s="159"/>
      <c r="I534" s="159"/>
      <c r="J534" s="159"/>
      <c r="K534" s="159"/>
      <c r="L534" s="159"/>
      <c r="M534" s="159"/>
      <c r="N534" s="159"/>
      <c r="O534" s="159"/>
      <c r="P534" s="159"/>
      <c r="Q534" s="159"/>
      <c r="R534" s="159"/>
    </row>
    <row r="535" spans="1:18">
      <c r="A535" s="1058"/>
      <c r="B535" s="159"/>
      <c r="C535" s="159"/>
      <c r="D535" s="159"/>
      <c r="E535" s="159"/>
      <c r="F535" s="159"/>
      <c r="G535" s="159"/>
      <c r="H535" s="159"/>
      <c r="I535" s="159"/>
      <c r="J535" s="159"/>
      <c r="K535" s="159"/>
      <c r="L535" s="159"/>
      <c r="M535" s="159"/>
      <c r="N535" s="159"/>
      <c r="O535" s="159"/>
      <c r="P535" s="159"/>
      <c r="Q535" s="159"/>
      <c r="R535" s="159"/>
    </row>
    <row r="536" spans="1:18">
      <c r="A536" s="1058"/>
      <c r="B536" s="159"/>
      <c r="C536" s="159"/>
      <c r="D536" s="159"/>
      <c r="E536" s="159"/>
      <c r="F536" s="159"/>
      <c r="G536" s="159"/>
      <c r="H536" s="159"/>
      <c r="I536" s="159"/>
      <c r="J536" s="159"/>
      <c r="K536" s="159"/>
      <c r="L536" s="159"/>
      <c r="M536" s="159"/>
      <c r="N536" s="159"/>
      <c r="O536" s="159"/>
      <c r="P536" s="159"/>
      <c r="Q536" s="159"/>
      <c r="R536" s="159"/>
    </row>
    <row r="537" spans="1:18">
      <c r="A537" s="1058"/>
      <c r="B537" s="159"/>
      <c r="C537" s="159"/>
      <c r="D537" s="159"/>
      <c r="E537" s="159"/>
      <c r="F537" s="159"/>
      <c r="G537" s="159"/>
      <c r="H537" s="159"/>
      <c r="I537" s="159"/>
      <c r="J537" s="159"/>
      <c r="K537" s="159"/>
      <c r="L537" s="159"/>
      <c r="M537" s="159"/>
      <c r="N537" s="159"/>
      <c r="O537" s="159"/>
      <c r="P537" s="159"/>
      <c r="Q537" s="159"/>
      <c r="R537" s="159"/>
    </row>
    <row r="538" spans="1:18">
      <c r="A538" s="1058"/>
      <c r="B538" s="159"/>
      <c r="C538" s="159"/>
      <c r="D538" s="159"/>
      <c r="E538" s="159"/>
      <c r="F538" s="159"/>
      <c r="G538" s="159"/>
      <c r="H538" s="159"/>
      <c r="I538" s="159"/>
      <c r="J538" s="159"/>
      <c r="K538" s="159"/>
      <c r="L538" s="159"/>
      <c r="M538" s="159"/>
      <c r="N538" s="159"/>
      <c r="O538" s="159"/>
      <c r="P538" s="159"/>
      <c r="Q538" s="159"/>
      <c r="R538" s="159"/>
    </row>
    <row r="539" spans="1:18">
      <c r="A539" s="1058"/>
      <c r="B539" s="159"/>
      <c r="C539" s="159"/>
      <c r="D539" s="159"/>
      <c r="E539" s="159"/>
      <c r="F539" s="159"/>
      <c r="G539" s="159"/>
      <c r="H539" s="159"/>
      <c r="I539" s="159"/>
      <c r="J539" s="159"/>
      <c r="K539" s="159"/>
      <c r="L539" s="159"/>
      <c r="M539" s="159"/>
      <c r="N539" s="159"/>
      <c r="O539" s="159"/>
      <c r="P539" s="159"/>
      <c r="Q539" s="159"/>
      <c r="R539" s="159"/>
    </row>
    <row r="540" spans="1:18">
      <c r="A540" s="1058"/>
      <c r="B540" s="159"/>
      <c r="C540" s="159"/>
      <c r="D540" s="159"/>
      <c r="E540" s="159"/>
      <c r="F540" s="159"/>
      <c r="G540" s="159"/>
      <c r="H540" s="159"/>
      <c r="I540" s="159"/>
      <c r="J540" s="159"/>
      <c r="K540" s="159"/>
      <c r="L540" s="159"/>
      <c r="M540" s="159"/>
      <c r="N540" s="159"/>
      <c r="O540" s="159"/>
      <c r="P540" s="159"/>
      <c r="Q540" s="159"/>
      <c r="R540" s="159"/>
    </row>
    <row r="541" spans="1:18">
      <c r="A541" s="1058"/>
      <c r="B541" s="159"/>
      <c r="C541" s="159"/>
      <c r="D541" s="159"/>
      <c r="E541" s="159"/>
      <c r="F541" s="159"/>
      <c r="G541" s="159"/>
      <c r="H541" s="159"/>
      <c r="I541" s="159"/>
      <c r="J541" s="159"/>
      <c r="K541" s="159"/>
      <c r="L541" s="159"/>
      <c r="M541" s="159"/>
      <c r="N541" s="159"/>
      <c r="O541" s="159"/>
      <c r="P541" s="159"/>
      <c r="Q541" s="159"/>
      <c r="R541" s="159"/>
    </row>
    <row r="542" spans="1:18">
      <c r="A542" s="1058"/>
      <c r="B542" s="159"/>
      <c r="C542" s="159"/>
      <c r="D542" s="159"/>
      <c r="E542" s="159"/>
      <c r="F542" s="159"/>
      <c r="G542" s="159"/>
      <c r="H542" s="159"/>
      <c r="I542" s="159"/>
      <c r="J542" s="159"/>
      <c r="K542" s="159"/>
      <c r="L542" s="159"/>
      <c r="M542" s="159"/>
      <c r="N542" s="159"/>
      <c r="O542" s="159"/>
      <c r="P542" s="159"/>
      <c r="Q542" s="159"/>
      <c r="R542" s="159"/>
    </row>
    <row r="543" spans="1:18">
      <c r="A543" s="1058"/>
      <c r="B543" s="159"/>
      <c r="C543" s="159"/>
      <c r="D543" s="159"/>
      <c r="E543" s="159"/>
      <c r="F543" s="159"/>
      <c r="G543" s="159"/>
      <c r="H543" s="159"/>
      <c r="I543" s="159"/>
      <c r="J543" s="159"/>
      <c r="K543" s="159"/>
      <c r="L543" s="159"/>
      <c r="M543" s="159"/>
      <c r="N543" s="159"/>
      <c r="O543" s="159"/>
      <c r="P543" s="159"/>
      <c r="Q543" s="159"/>
      <c r="R543" s="159"/>
    </row>
    <row r="544" spans="1:18">
      <c r="A544" s="1058"/>
      <c r="B544" s="159"/>
      <c r="C544" s="159"/>
      <c r="D544" s="159"/>
      <c r="E544" s="159"/>
      <c r="F544" s="159"/>
      <c r="G544" s="159"/>
      <c r="H544" s="159"/>
      <c r="I544" s="159"/>
      <c r="J544" s="159"/>
      <c r="K544" s="159"/>
      <c r="L544" s="159"/>
      <c r="M544" s="159"/>
      <c r="N544" s="159"/>
      <c r="O544" s="159"/>
      <c r="P544" s="159"/>
      <c r="Q544" s="159"/>
      <c r="R544" s="159"/>
    </row>
    <row r="545" spans="1:18">
      <c r="A545" s="1058"/>
      <c r="B545" s="159"/>
      <c r="C545" s="159"/>
      <c r="D545" s="159"/>
      <c r="E545" s="159"/>
      <c r="F545" s="159"/>
      <c r="G545" s="159"/>
      <c r="H545" s="159"/>
      <c r="I545" s="159"/>
      <c r="J545" s="159"/>
      <c r="K545" s="159"/>
      <c r="L545" s="159"/>
      <c r="M545" s="159"/>
      <c r="N545" s="159"/>
      <c r="O545" s="159"/>
      <c r="P545" s="159"/>
      <c r="Q545" s="159"/>
      <c r="R545" s="159"/>
    </row>
    <row r="546" spans="1:18">
      <c r="A546" s="1058"/>
      <c r="B546" s="159"/>
      <c r="C546" s="159"/>
      <c r="D546" s="159"/>
      <c r="E546" s="159"/>
      <c r="F546" s="159"/>
      <c r="G546" s="159"/>
      <c r="H546" s="159"/>
      <c r="I546" s="159"/>
      <c r="J546" s="159"/>
      <c r="K546" s="159"/>
      <c r="L546" s="159"/>
      <c r="M546" s="159"/>
      <c r="N546" s="159"/>
      <c r="O546" s="159"/>
      <c r="P546" s="159"/>
      <c r="Q546" s="159"/>
      <c r="R546" s="159"/>
    </row>
    <row r="547" spans="1:18">
      <c r="A547" s="1058"/>
      <c r="B547" s="159"/>
      <c r="C547" s="159"/>
      <c r="D547" s="159"/>
      <c r="E547" s="159"/>
      <c r="F547" s="159"/>
      <c r="G547" s="159"/>
      <c r="H547" s="159"/>
      <c r="I547" s="159"/>
      <c r="J547" s="159"/>
      <c r="K547" s="159"/>
      <c r="L547" s="159"/>
      <c r="M547" s="159"/>
      <c r="N547" s="159"/>
      <c r="O547" s="159"/>
      <c r="P547" s="159"/>
      <c r="Q547" s="159"/>
      <c r="R547" s="159"/>
    </row>
    <row r="548" spans="1:18">
      <c r="A548" s="1058"/>
      <c r="B548" s="159"/>
      <c r="C548" s="159"/>
      <c r="D548" s="159"/>
      <c r="E548" s="159"/>
      <c r="F548" s="159"/>
      <c r="G548" s="159"/>
      <c r="H548" s="159"/>
      <c r="I548" s="159"/>
      <c r="J548" s="159"/>
      <c r="K548" s="159"/>
      <c r="L548" s="159"/>
      <c r="M548" s="159"/>
      <c r="N548" s="159"/>
      <c r="O548" s="159"/>
      <c r="P548" s="159"/>
      <c r="Q548" s="159"/>
      <c r="R548" s="159"/>
    </row>
    <row r="549" spans="1:18">
      <c r="A549" s="1058"/>
      <c r="B549" s="159"/>
      <c r="C549" s="159"/>
      <c r="D549" s="159"/>
      <c r="E549" s="159"/>
      <c r="F549" s="159"/>
      <c r="G549" s="159"/>
      <c r="H549" s="159"/>
      <c r="I549" s="159"/>
      <c r="J549" s="159"/>
      <c r="K549" s="159"/>
      <c r="L549" s="159"/>
      <c r="M549" s="159"/>
      <c r="N549" s="159"/>
      <c r="O549" s="159"/>
      <c r="P549" s="159"/>
      <c r="Q549" s="159"/>
      <c r="R549" s="159"/>
    </row>
    <row r="550" spans="1:18">
      <c r="A550" s="1058"/>
      <c r="B550" s="159"/>
      <c r="C550" s="159"/>
      <c r="D550" s="159"/>
      <c r="E550" s="159"/>
      <c r="F550" s="159"/>
      <c r="G550" s="159"/>
      <c r="H550" s="159"/>
      <c r="I550" s="159"/>
      <c r="J550" s="159"/>
      <c r="K550" s="159"/>
      <c r="L550" s="159"/>
      <c r="M550" s="159"/>
      <c r="N550" s="159"/>
      <c r="O550" s="159"/>
      <c r="P550" s="159"/>
      <c r="Q550" s="159"/>
      <c r="R550" s="159"/>
    </row>
    <row r="551" spans="1:18">
      <c r="A551" s="1058"/>
      <c r="B551" s="159"/>
      <c r="C551" s="159"/>
      <c r="D551" s="159"/>
      <c r="E551" s="159"/>
      <c r="F551" s="159"/>
      <c r="G551" s="159"/>
      <c r="H551" s="159"/>
      <c r="I551" s="159"/>
      <c r="J551" s="159"/>
      <c r="K551" s="159"/>
      <c r="L551" s="159"/>
      <c r="M551" s="159"/>
      <c r="N551" s="159"/>
      <c r="O551" s="159"/>
      <c r="P551" s="159"/>
      <c r="Q551" s="159"/>
      <c r="R551" s="159"/>
    </row>
    <row r="552" spans="1:18">
      <c r="A552" s="1058"/>
      <c r="B552" s="159"/>
      <c r="C552" s="159"/>
      <c r="D552" s="159"/>
      <c r="E552" s="159"/>
      <c r="F552" s="159"/>
      <c r="G552" s="159"/>
      <c r="H552" s="159"/>
      <c r="I552" s="159"/>
      <c r="J552" s="159"/>
      <c r="K552" s="159"/>
      <c r="L552" s="159"/>
      <c r="M552" s="159"/>
      <c r="N552" s="159"/>
      <c r="O552" s="159"/>
      <c r="P552" s="159"/>
      <c r="Q552" s="159"/>
      <c r="R552" s="159"/>
    </row>
    <row r="553" spans="1:18">
      <c r="A553" s="1058"/>
      <c r="B553" s="159"/>
      <c r="C553" s="159"/>
      <c r="D553" s="159"/>
      <c r="E553" s="159"/>
      <c r="F553" s="159"/>
      <c r="G553" s="159"/>
      <c r="H553" s="159"/>
      <c r="I553" s="159"/>
      <c r="J553" s="159"/>
      <c r="K553" s="159"/>
      <c r="L553" s="159"/>
      <c r="M553" s="159"/>
      <c r="N553" s="159"/>
      <c r="O553" s="159"/>
      <c r="P553" s="159"/>
      <c r="Q553" s="159"/>
      <c r="R553" s="159"/>
    </row>
    <row r="554" spans="1:18">
      <c r="A554" s="1058"/>
      <c r="B554" s="159"/>
      <c r="C554" s="159"/>
      <c r="D554" s="159"/>
      <c r="E554" s="159"/>
      <c r="F554" s="159"/>
      <c r="G554" s="159"/>
      <c r="H554" s="159"/>
      <c r="I554" s="159"/>
      <c r="J554" s="159"/>
      <c r="K554" s="159"/>
      <c r="L554" s="159"/>
      <c r="M554" s="159"/>
      <c r="N554" s="159"/>
      <c r="O554" s="159"/>
      <c r="P554" s="159"/>
      <c r="Q554" s="159"/>
      <c r="R554" s="159"/>
    </row>
    <row r="555" spans="1:18">
      <c r="A555" s="1058"/>
      <c r="B555" s="159"/>
      <c r="C555" s="159"/>
      <c r="D555" s="159"/>
      <c r="E555" s="159"/>
      <c r="F555" s="159"/>
      <c r="G555" s="159"/>
      <c r="H555" s="159"/>
      <c r="I555" s="159"/>
      <c r="J555" s="159"/>
      <c r="K555" s="159"/>
      <c r="L555" s="159"/>
      <c r="M555" s="159"/>
      <c r="N555" s="159"/>
      <c r="O555" s="159"/>
      <c r="P555" s="159"/>
      <c r="Q555" s="159"/>
      <c r="R555" s="159"/>
    </row>
    <row r="556" spans="1:18">
      <c r="A556" s="1058"/>
      <c r="B556" s="159"/>
      <c r="C556" s="159"/>
      <c r="D556" s="159"/>
      <c r="E556" s="159"/>
      <c r="F556" s="159"/>
      <c r="G556" s="159"/>
      <c r="H556" s="159"/>
      <c r="I556" s="159"/>
      <c r="J556" s="159"/>
      <c r="K556" s="159"/>
      <c r="L556" s="159"/>
      <c r="M556" s="159"/>
      <c r="N556" s="159"/>
      <c r="O556" s="159"/>
      <c r="P556" s="159"/>
      <c r="Q556" s="159"/>
      <c r="R556" s="159"/>
    </row>
    <row r="557" spans="1:18">
      <c r="A557" s="1058"/>
      <c r="B557" s="159"/>
      <c r="C557" s="159"/>
      <c r="D557" s="159"/>
      <c r="E557" s="159"/>
      <c r="F557" s="159"/>
      <c r="G557" s="159"/>
      <c r="H557" s="159"/>
      <c r="I557" s="159"/>
      <c r="J557" s="159"/>
      <c r="K557" s="159"/>
      <c r="L557" s="159"/>
      <c r="M557" s="159"/>
      <c r="N557" s="159"/>
      <c r="O557" s="159"/>
      <c r="P557" s="159"/>
      <c r="Q557" s="159"/>
      <c r="R557" s="159"/>
    </row>
    <row r="558" spans="1:18">
      <c r="A558" s="1058"/>
      <c r="B558" s="159"/>
      <c r="C558" s="159"/>
      <c r="D558" s="159"/>
      <c r="E558" s="159"/>
      <c r="F558" s="159"/>
      <c r="G558" s="159"/>
      <c r="H558" s="159"/>
      <c r="I558" s="159"/>
      <c r="J558" s="159"/>
      <c r="K558" s="159"/>
      <c r="L558" s="159"/>
      <c r="M558" s="159"/>
      <c r="N558" s="159"/>
      <c r="O558" s="159"/>
      <c r="P558" s="159"/>
      <c r="Q558" s="159"/>
      <c r="R558" s="159"/>
    </row>
    <row r="559" spans="1:18">
      <c r="A559" s="1058"/>
      <c r="B559" s="159"/>
      <c r="C559" s="159"/>
      <c r="D559" s="159"/>
      <c r="E559" s="159"/>
      <c r="F559" s="159"/>
      <c r="G559" s="159"/>
      <c r="H559" s="159"/>
      <c r="I559" s="159"/>
      <c r="J559" s="159"/>
      <c r="K559" s="159"/>
      <c r="L559" s="159"/>
      <c r="M559" s="159"/>
      <c r="N559" s="159"/>
      <c r="O559" s="159"/>
      <c r="P559" s="159"/>
      <c r="Q559" s="159"/>
      <c r="R559" s="159"/>
    </row>
    <row r="560" spans="1:18">
      <c r="A560" s="1058"/>
      <c r="B560" s="159"/>
      <c r="C560" s="159"/>
      <c r="D560" s="159"/>
      <c r="E560" s="159"/>
      <c r="F560" s="159"/>
      <c r="G560" s="159"/>
      <c r="H560" s="159"/>
      <c r="I560" s="159"/>
      <c r="J560" s="159"/>
      <c r="K560" s="159"/>
      <c r="L560" s="159"/>
      <c r="M560" s="159"/>
      <c r="N560" s="159"/>
      <c r="O560" s="159"/>
      <c r="P560" s="159"/>
      <c r="Q560" s="159"/>
      <c r="R560" s="159"/>
    </row>
    <row r="561" spans="1:18">
      <c r="A561" s="1058"/>
      <c r="B561" s="159"/>
      <c r="C561" s="159"/>
      <c r="D561" s="159"/>
      <c r="E561" s="159"/>
      <c r="F561" s="159"/>
      <c r="G561" s="159"/>
      <c r="H561" s="159"/>
      <c r="I561" s="159"/>
      <c r="J561" s="159"/>
      <c r="K561" s="159"/>
      <c r="L561" s="159"/>
      <c r="M561" s="159"/>
      <c r="N561" s="159"/>
      <c r="O561" s="159"/>
      <c r="P561" s="159"/>
      <c r="Q561" s="159"/>
      <c r="R561" s="159"/>
    </row>
    <row r="562" spans="1:18">
      <c r="A562" s="1058"/>
      <c r="B562" s="159"/>
      <c r="C562" s="159"/>
      <c r="D562" s="159"/>
      <c r="E562" s="159"/>
      <c r="F562" s="159"/>
      <c r="G562" s="159"/>
      <c r="H562" s="159"/>
      <c r="I562" s="159"/>
      <c r="J562" s="159"/>
      <c r="K562" s="159"/>
      <c r="L562" s="159"/>
      <c r="M562" s="159"/>
      <c r="N562" s="159"/>
      <c r="O562" s="159"/>
      <c r="P562" s="159"/>
      <c r="Q562" s="159"/>
      <c r="R562" s="159"/>
    </row>
    <row r="563" spans="1:18">
      <c r="A563" s="1058"/>
      <c r="B563" s="159"/>
      <c r="C563" s="159"/>
      <c r="D563" s="159"/>
      <c r="E563" s="159"/>
      <c r="F563" s="159"/>
      <c r="G563" s="159"/>
      <c r="H563" s="159"/>
      <c r="I563" s="159"/>
      <c r="J563" s="159"/>
      <c r="K563" s="159"/>
      <c r="L563" s="159"/>
      <c r="M563" s="159"/>
      <c r="N563" s="159"/>
      <c r="O563" s="159"/>
      <c r="P563" s="159"/>
      <c r="Q563" s="159"/>
      <c r="R563" s="159"/>
    </row>
    <row r="564" spans="1:18">
      <c r="A564" s="1058"/>
      <c r="B564" s="159"/>
      <c r="C564" s="159"/>
      <c r="D564" s="159"/>
      <c r="E564" s="159"/>
      <c r="F564" s="159"/>
      <c r="G564" s="159"/>
      <c r="H564" s="159"/>
      <c r="I564" s="159"/>
      <c r="J564" s="159"/>
      <c r="K564" s="159"/>
      <c r="L564" s="159"/>
      <c r="M564" s="159"/>
      <c r="N564" s="159"/>
      <c r="O564" s="159"/>
      <c r="P564" s="159"/>
      <c r="Q564" s="159"/>
      <c r="R564" s="159"/>
    </row>
    <row r="565" spans="1:18">
      <c r="A565" s="1058"/>
      <c r="B565" s="159"/>
      <c r="C565" s="159"/>
      <c r="D565" s="159"/>
      <c r="E565" s="159"/>
      <c r="F565" s="159"/>
      <c r="G565" s="159"/>
      <c r="H565" s="159"/>
      <c r="I565" s="159"/>
      <c r="J565" s="159"/>
      <c r="K565" s="159"/>
      <c r="L565" s="159"/>
      <c r="M565" s="159"/>
      <c r="N565" s="159"/>
      <c r="O565" s="159"/>
      <c r="P565" s="159"/>
      <c r="Q565" s="159"/>
      <c r="R565" s="159"/>
    </row>
    <row r="566" spans="1:18">
      <c r="A566" s="1058"/>
      <c r="B566" s="159"/>
      <c r="C566" s="159"/>
      <c r="D566" s="159"/>
      <c r="E566" s="159"/>
      <c r="F566" s="159"/>
      <c r="G566" s="159"/>
      <c r="H566" s="159"/>
      <c r="I566" s="159"/>
      <c r="J566" s="159"/>
      <c r="K566" s="159"/>
      <c r="L566" s="159"/>
      <c r="M566" s="159"/>
      <c r="N566" s="159"/>
      <c r="O566" s="159"/>
      <c r="P566" s="159"/>
      <c r="Q566" s="159"/>
      <c r="R566" s="159"/>
    </row>
    <row r="567" spans="1:18">
      <c r="A567" s="1058"/>
      <c r="B567" s="159"/>
      <c r="C567" s="159"/>
      <c r="D567" s="159"/>
      <c r="E567" s="159"/>
      <c r="F567" s="159"/>
      <c r="G567" s="159"/>
      <c r="H567" s="159"/>
      <c r="I567" s="159"/>
      <c r="J567" s="159"/>
      <c r="K567" s="159"/>
      <c r="L567" s="159"/>
      <c r="M567" s="159"/>
      <c r="N567" s="159"/>
      <c r="O567" s="159"/>
      <c r="P567" s="159"/>
      <c r="Q567" s="159"/>
      <c r="R567" s="159"/>
    </row>
    <row r="568" spans="1:18">
      <c r="A568" s="1058"/>
      <c r="B568" s="159"/>
      <c r="C568" s="159"/>
      <c r="D568" s="159"/>
      <c r="E568" s="159"/>
      <c r="F568" s="159"/>
      <c r="G568" s="159"/>
      <c r="H568" s="159"/>
      <c r="I568" s="159"/>
      <c r="J568" s="159"/>
      <c r="K568" s="159"/>
      <c r="L568" s="159"/>
      <c r="M568" s="159"/>
      <c r="N568" s="159"/>
      <c r="O568" s="159"/>
      <c r="P568" s="159"/>
      <c r="Q568" s="159"/>
      <c r="R568" s="159"/>
    </row>
    <row r="569" spans="1:18">
      <c r="A569" s="1058"/>
      <c r="B569" s="159"/>
      <c r="C569" s="159"/>
      <c r="D569" s="159"/>
      <c r="E569" s="159"/>
      <c r="F569" s="159"/>
      <c r="G569" s="159"/>
      <c r="H569" s="159"/>
      <c r="I569" s="159"/>
      <c r="J569" s="159"/>
      <c r="K569" s="159"/>
      <c r="L569" s="159"/>
      <c r="M569" s="159"/>
      <c r="N569" s="159"/>
      <c r="O569" s="159"/>
      <c r="P569" s="159"/>
      <c r="Q569" s="159"/>
      <c r="R569" s="159"/>
    </row>
    <row r="570" spans="1:18">
      <c r="A570" s="1058"/>
      <c r="B570" s="159"/>
      <c r="C570" s="159"/>
      <c r="D570" s="159"/>
      <c r="E570" s="159"/>
      <c r="F570" s="159"/>
      <c r="G570" s="159"/>
      <c r="H570" s="159"/>
      <c r="I570" s="159"/>
      <c r="J570" s="159"/>
      <c r="K570" s="159"/>
      <c r="L570" s="159"/>
      <c r="M570" s="159"/>
      <c r="N570" s="159"/>
      <c r="O570" s="159"/>
      <c r="P570" s="159"/>
      <c r="Q570" s="159"/>
      <c r="R570" s="159"/>
    </row>
    <row r="571" spans="1:18">
      <c r="A571" s="1058"/>
      <c r="B571" s="159"/>
      <c r="C571" s="159"/>
      <c r="D571" s="159"/>
      <c r="E571" s="159"/>
      <c r="F571" s="159"/>
      <c r="G571" s="159"/>
      <c r="H571" s="159"/>
      <c r="I571" s="159"/>
      <c r="J571" s="159"/>
      <c r="K571" s="159"/>
      <c r="L571" s="159"/>
      <c r="M571" s="159"/>
      <c r="N571" s="159"/>
      <c r="O571" s="159"/>
      <c r="P571" s="159"/>
      <c r="Q571" s="159"/>
      <c r="R571" s="159"/>
    </row>
    <row r="572" spans="1:18">
      <c r="A572" s="1058"/>
      <c r="B572" s="166"/>
      <c r="C572" s="166"/>
      <c r="D572" s="166"/>
      <c r="E572" s="166"/>
      <c r="F572" s="166"/>
      <c r="G572" s="166"/>
      <c r="H572" s="166"/>
      <c r="I572" s="166"/>
      <c r="J572" s="166"/>
      <c r="K572" s="166"/>
      <c r="L572" s="166"/>
      <c r="M572" s="166"/>
      <c r="N572" s="166"/>
      <c r="O572" s="166"/>
      <c r="P572" s="166"/>
      <c r="Q572" s="166"/>
      <c r="R572" s="166"/>
    </row>
    <row r="573" spans="1:18">
      <c r="A573" s="1058"/>
      <c r="B573" s="166"/>
      <c r="C573" s="166"/>
      <c r="D573" s="166"/>
      <c r="E573" s="166"/>
      <c r="F573" s="166"/>
      <c r="G573" s="166"/>
      <c r="H573" s="166"/>
      <c r="I573" s="166"/>
      <c r="J573" s="166"/>
      <c r="K573" s="166"/>
      <c r="L573" s="166"/>
      <c r="M573" s="166"/>
      <c r="N573" s="166"/>
      <c r="O573" s="166"/>
      <c r="P573" s="166"/>
      <c r="Q573" s="166"/>
      <c r="R573" s="166"/>
    </row>
    <row r="574" spans="1:18">
      <c r="A574" s="1058"/>
      <c r="B574" s="166"/>
      <c r="C574" s="166"/>
      <c r="D574" s="166"/>
      <c r="E574" s="166"/>
      <c r="F574" s="166"/>
      <c r="G574" s="166"/>
      <c r="H574" s="166"/>
      <c r="I574" s="166"/>
      <c r="J574" s="166"/>
      <c r="K574" s="166"/>
      <c r="L574" s="166"/>
      <c r="M574" s="166"/>
      <c r="N574" s="166"/>
      <c r="O574" s="166"/>
      <c r="P574" s="166"/>
      <c r="Q574" s="166"/>
      <c r="R574" s="166"/>
    </row>
    <row r="575" spans="1:18">
      <c r="A575" s="1058"/>
      <c r="B575" s="166"/>
      <c r="C575" s="166"/>
      <c r="D575" s="166"/>
      <c r="E575" s="166"/>
      <c r="F575" s="166"/>
      <c r="G575" s="166"/>
      <c r="H575" s="166"/>
      <c r="I575" s="166"/>
      <c r="J575" s="166"/>
      <c r="K575" s="166"/>
      <c r="L575" s="166"/>
      <c r="M575" s="166"/>
      <c r="N575" s="166"/>
      <c r="O575" s="166"/>
      <c r="P575" s="166"/>
      <c r="Q575" s="166"/>
      <c r="R575" s="166"/>
    </row>
    <row r="576" spans="1:18">
      <c r="A576" s="1058"/>
      <c r="B576" s="166"/>
      <c r="C576" s="166"/>
      <c r="D576" s="166"/>
      <c r="E576" s="166"/>
      <c r="F576" s="166"/>
      <c r="G576" s="166"/>
      <c r="H576" s="166"/>
      <c r="I576" s="166"/>
      <c r="J576" s="166"/>
      <c r="K576" s="166"/>
      <c r="L576" s="166"/>
      <c r="M576" s="166"/>
      <c r="N576" s="166"/>
      <c r="O576" s="166"/>
      <c r="P576" s="166"/>
      <c r="Q576" s="166"/>
      <c r="R576" s="166"/>
    </row>
    <row r="577" spans="1:18">
      <c r="A577" s="1058"/>
      <c r="B577" s="166"/>
      <c r="C577" s="166"/>
      <c r="D577" s="166"/>
      <c r="E577" s="166"/>
      <c r="F577" s="166"/>
      <c r="G577" s="166"/>
      <c r="H577" s="166"/>
      <c r="I577" s="166"/>
      <c r="J577" s="166"/>
      <c r="K577" s="166"/>
      <c r="L577" s="166"/>
      <c r="M577" s="166"/>
      <c r="N577" s="166"/>
      <c r="O577" s="166"/>
      <c r="P577" s="166"/>
      <c r="Q577" s="166"/>
      <c r="R577" s="166"/>
    </row>
    <row r="578" spans="1:18">
      <c r="A578" s="1058"/>
      <c r="B578" s="166"/>
      <c r="C578" s="166"/>
      <c r="D578" s="166"/>
      <c r="E578" s="166"/>
      <c r="F578" s="166"/>
      <c r="G578" s="166"/>
      <c r="H578" s="166"/>
      <c r="I578" s="166"/>
      <c r="J578" s="166"/>
      <c r="K578" s="166"/>
      <c r="L578" s="166"/>
      <c r="M578" s="166"/>
      <c r="N578" s="166"/>
      <c r="O578" s="166"/>
      <c r="P578" s="166"/>
      <c r="Q578" s="166"/>
      <c r="R578" s="166"/>
    </row>
    <row r="579" spans="1:18">
      <c r="A579" s="1058"/>
      <c r="B579" s="166"/>
      <c r="C579" s="166"/>
      <c r="D579" s="166"/>
      <c r="E579" s="166"/>
      <c r="F579" s="166"/>
      <c r="G579" s="166"/>
      <c r="H579" s="166"/>
      <c r="I579" s="166"/>
      <c r="J579" s="166"/>
      <c r="K579" s="166"/>
      <c r="L579" s="166"/>
      <c r="M579" s="166"/>
      <c r="N579" s="166"/>
      <c r="O579" s="166"/>
      <c r="P579" s="166"/>
      <c r="Q579" s="166"/>
      <c r="R579" s="166"/>
    </row>
    <row r="580" spans="1:18">
      <c r="A580" s="1058"/>
      <c r="B580" s="166"/>
      <c r="C580" s="166"/>
      <c r="D580" s="166"/>
      <c r="E580" s="166"/>
      <c r="F580" s="166"/>
      <c r="G580" s="166"/>
      <c r="H580" s="166"/>
      <c r="I580" s="166"/>
      <c r="J580" s="166"/>
      <c r="K580" s="166"/>
      <c r="L580" s="166"/>
      <c r="M580" s="166"/>
      <c r="N580" s="166"/>
      <c r="O580" s="166"/>
      <c r="P580" s="166"/>
      <c r="Q580" s="166"/>
      <c r="R580" s="166"/>
    </row>
    <row r="581" spans="1:18">
      <c r="A581" s="1058"/>
      <c r="B581" s="166"/>
      <c r="C581" s="166"/>
      <c r="D581" s="166"/>
      <c r="E581" s="166"/>
      <c r="F581" s="166"/>
      <c r="G581" s="166"/>
      <c r="H581" s="166"/>
      <c r="I581" s="166"/>
      <c r="J581" s="166"/>
      <c r="K581" s="166"/>
      <c r="L581" s="166"/>
      <c r="M581" s="166"/>
      <c r="N581" s="166"/>
      <c r="O581" s="166"/>
      <c r="P581" s="166"/>
      <c r="Q581" s="166"/>
      <c r="R581" s="166"/>
    </row>
    <row r="582" spans="1:18">
      <c r="A582" s="1058"/>
      <c r="B582" s="166"/>
      <c r="C582" s="166"/>
      <c r="D582" s="166"/>
      <c r="E582" s="166"/>
      <c r="F582" s="166"/>
      <c r="G582" s="166"/>
      <c r="H582" s="166"/>
      <c r="I582" s="166"/>
      <c r="J582" s="166"/>
      <c r="K582" s="166"/>
      <c r="L582" s="166"/>
      <c r="M582" s="166"/>
      <c r="N582" s="166"/>
      <c r="O582" s="166"/>
      <c r="P582" s="166"/>
      <c r="Q582" s="166"/>
      <c r="R582" s="166"/>
    </row>
    <row r="583" spans="1:18">
      <c r="A583" s="1058"/>
      <c r="B583" s="166"/>
      <c r="C583" s="166"/>
      <c r="D583" s="166"/>
      <c r="E583" s="166"/>
      <c r="F583" s="166"/>
      <c r="G583" s="166"/>
      <c r="H583" s="166"/>
      <c r="I583" s="166"/>
      <c r="J583" s="166"/>
      <c r="K583" s="166"/>
      <c r="L583" s="166"/>
      <c r="M583" s="166"/>
      <c r="N583" s="166"/>
      <c r="O583" s="166"/>
      <c r="P583" s="166"/>
      <c r="Q583" s="166"/>
      <c r="R583" s="166"/>
    </row>
    <row r="584" spans="1:18">
      <c r="A584" s="1058"/>
      <c r="B584" s="166"/>
      <c r="C584" s="166"/>
      <c r="D584" s="166"/>
      <c r="E584" s="166"/>
      <c r="F584" s="166"/>
      <c r="G584" s="166"/>
      <c r="H584" s="166"/>
      <c r="I584" s="166"/>
      <c r="J584" s="166"/>
      <c r="K584" s="166"/>
      <c r="L584" s="166"/>
      <c r="M584" s="166"/>
      <c r="N584" s="166"/>
      <c r="O584" s="166"/>
      <c r="P584" s="166"/>
      <c r="Q584" s="166"/>
      <c r="R584" s="166"/>
    </row>
    <row r="585" spans="1:18">
      <c r="A585" s="1058"/>
      <c r="B585" s="166"/>
      <c r="C585" s="166"/>
      <c r="D585" s="166"/>
      <c r="E585" s="166"/>
      <c r="F585" s="166"/>
      <c r="G585" s="166"/>
      <c r="H585" s="166"/>
      <c r="I585" s="166"/>
      <c r="J585" s="166"/>
      <c r="K585" s="166"/>
      <c r="L585" s="166"/>
      <c r="M585" s="166"/>
      <c r="N585" s="166"/>
      <c r="O585" s="166"/>
      <c r="P585" s="166"/>
      <c r="Q585" s="166"/>
      <c r="R585" s="166"/>
    </row>
    <row r="586" spans="1:18">
      <c r="A586" s="1058"/>
      <c r="B586" s="166"/>
      <c r="C586" s="166"/>
      <c r="D586" s="166"/>
      <c r="E586" s="166"/>
      <c r="F586" s="166"/>
      <c r="G586" s="166"/>
      <c r="H586" s="166"/>
      <c r="I586" s="166"/>
      <c r="J586" s="166"/>
      <c r="K586" s="166"/>
      <c r="L586" s="166"/>
      <c r="M586" s="166"/>
      <c r="N586" s="166"/>
      <c r="O586" s="166"/>
      <c r="P586" s="166"/>
      <c r="Q586" s="166"/>
      <c r="R586" s="166"/>
    </row>
    <row r="587" spans="1:18">
      <c r="A587" s="1058"/>
      <c r="B587" s="166"/>
      <c r="C587" s="166"/>
      <c r="D587" s="166"/>
      <c r="E587" s="166"/>
      <c r="F587" s="166"/>
      <c r="G587" s="166"/>
      <c r="H587" s="166"/>
      <c r="I587" s="166"/>
      <c r="J587" s="166"/>
      <c r="K587" s="166"/>
      <c r="L587" s="166"/>
      <c r="M587" s="166"/>
      <c r="N587" s="166"/>
      <c r="O587" s="166"/>
      <c r="P587" s="166"/>
      <c r="Q587" s="166"/>
      <c r="R587" s="166"/>
    </row>
    <row r="588" spans="1:18">
      <c r="A588" s="1058"/>
      <c r="B588" s="166"/>
      <c r="C588" s="166"/>
      <c r="D588" s="166"/>
      <c r="E588" s="166"/>
      <c r="F588" s="166"/>
      <c r="G588" s="166"/>
      <c r="H588" s="166"/>
      <c r="I588" s="166"/>
      <c r="J588" s="166"/>
      <c r="K588" s="166"/>
      <c r="L588" s="166"/>
      <c r="M588" s="166"/>
      <c r="N588" s="166"/>
      <c r="O588" s="166"/>
      <c r="P588" s="166"/>
      <c r="Q588" s="166"/>
      <c r="R588" s="166"/>
    </row>
    <row r="589" spans="1:18">
      <c r="A589" s="1058"/>
      <c r="B589" s="166"/>
      <c r="C589" s="166"/>
      <c r="D589" s="166"/>
      <c r="E589" s="166"/>
      <c r="F589" s="166"/>
      <c r="G589" s="166"/>
      <c r="H589" s="166"/>
      <c r="I589" s="166"/>
      <c r="J589" s="166"/>
      <c r="K589" s="166"/>
      <c r="L589" s="166"/>
      <c r="M589" s="166"/>
      <c r="N589" s="166"/>
      <c r="O589" s="166"/>
      <c r="P589" s="166"/>
      <c r="Q589" s="166"/>
      <c r="R589" s="166"/>
    </row>
    <row r="590" spans="1:18">
      <c r="A590" s="1058"/>
      <c r="B590" s="166"/>
      <c r="C590" s="166"/>
      <c r="D590" s="166"/>
      <c r="E590" s="166"/>
      <c r="F590" s="166"/>
      <c r="G590" s="166"/>
      <c r="H590" s="166"/>
      <c r="I590" s="166"/>
      <c r="J590" s="166"/>
      <c r="K590" s="166"/>
      <c r="L590" s="166"/>
      <c r="M590" s="166"/>
      <c r="N590" s="166"/>
      <c r="O590" s="166"/>
      <c r="P590" s="166"/>
      <c r="Q590" s="166"/>
      <c r="R590" s="166"/>
    </row>
    <row r="591" spans="1:18">
      <c r="A591" s="1058"/>
      <c r="B591" s="166"/>
      <c r="C591" s="166"/>
      <c r="D591" s="166"/>
      <c r="E591" s="166"/>
      <c r="F591" s="166"/>
      <c r="G591" s="166"/>
      <c r="H591" s="166"/>
      <c r="I591" s="166"/>
      <c r="J591" s="166"/>
      <c r="K591" s="166"/>
      <c r="L591" s="166"/>
      <c r="M591" s="166"/>
      <c r="N591" s="166"/>
      <c r="O591" s="166"/>
      <c r="P591" s="166"/>
      <c r="Q591" s="166"/>
      <c r="R591" s="166"/>
    </row>
    <row r="592" spans="1:18">
      <c r="A592" s="1058"/>
      <c r="B592" s="166"/>
      <c r="C592" s="166"/>
      <c r="D592" s="166"/>
      <c r="E592" s="166"/>
      <c r="F592" s="166"/>
      <c r="G592" s="166"/>
      <c r="H592" s="166"/>
      <c r="I592" s="166"/>
      <c r="J592" s="166"/>
      <c r="K592" s="166"/>
      <c r="L592" s="166"/>
      <c r="M592" s="166"/>
      <c r="N592" s="166"/>
      <c r="O592" s="166"/>
      <c r="P592" s="166"/>
      <c r="Q592" s="166"/>
      <c r="R592" s="166"/>
    </row>
    <row r="593" spans="1:18">
      <c r="A593" s="1058"/>
      <c r="B593" s="166"/>
      <c r="C593" s="166"/>
      <c r="D593" s="166"/>
      <c r="E593" s="166"/>
      <c r="F593" s="166"/>
      <c r="G593" s="166"/>
      <c r="H593" s="166"/>
      <c r="I593" s="166"/>
      <c r="J593" s="166"/>
      <c r="K593" s="166"/>
      <c r="L593" s="166"/>
      <c r="M593" s="166"/>
      <c r="N593" s="166"/>
      <c r="O593" s="166"/>
      <c r="P593" s="166"/>
      <c r="Q593" s="166"/>
      <c r="R593" s="166"/>
    </row>
    <row r="594" spans="1:18">
      <c r="A594" s="1058"/>
      <c r="B594" s="166"/>
      <c r="C594" s="166"/>
      <c r="D594" s="166"/>
      <c r="E594" s="166"/>
      <c r="F594" s="166"/>
      <c r="G594" s="166"/>
      <c r="H594" s="166"/>
      <c r="I594" s="166"/>
      <c r="J594" s="166"/>
      <c r="K594" s="166"/>
      <c r="L594" s="166"/>
      <c r="M594" s="166"/>
      <c r="N594" s="166"/>
      <c r="O594" s="166"/>
      <c r="P594" s="166"/>
      <c r="Q594" s="166"/>
      <c r="R594" s="166"/>
    </row>
    <row r="595" spans="1:18">
      <c r="A595" s="1058"/>
      <c r="B595" s="166"/>
      <c r="C595" s="166"/>
      <c r="D595" s="166"/>
      <c r="E595" s="166"/>
      <c r="F595" s="166"/>
      <c r="G595" s="166"/>
      <c r="H595" s="166"/>
      <c r="I595" s="166"/>
      <c r="J595" s="166"/>
      <c r="K595" s="166"/>
      <c r="L595" s="166"/>
      <c r="M595" s="166"/>
      <c r="N595" s="166"/>
      <c r="O595" s="166"/>
      <c r="P595" s="166"/>
      <c r="Q595" s="166"/>
      <c r="R595" s="166"/>
    </row>
    <row r="596" spans="1:18">
      <c r="A596" s="1058"/>
      <c r="B596" s="166"/>
      <c r="C596" s="166"/>
      <c r="D596" s="166"/>
      <c r="E596" s="166"/>
      <c r="F596" s="166"/>
      <c r="G596" s="166"/>
      <c r="H596" s="166"/>
      <c r="I596" s="166"/>
      <c r="J596" s="166"/>
      <c r="K596" s="166"/>
      <c r="L596" s="166"/>
      <c r="M596" s="166"/>
      <c r="N596" s="166"/>
      <c r="O596" s="166"/>
      <c r="P596" s="166"/>
      <c r="Q596" s="166"/>
      <c r="R596" s="166"/>
    </row>
    <row r="597" spans="1:18">
      <c r="A597" s="1058"/>
      <c r="B597" s="166"/>
      <c r="C597" s="166"/>
      <c r="D597" s="166"/>
      <c r="E597" s="166"/>
      <c r="F597" s="166"/>
      <c r="G597" s="166"/>
      <c r="H597" s="166"/>
      <c r="I597" s="166"/>
      <c r="J597" s="166"/>
      <c r="K597" s="166"/>
      <c r="L597" s="166"/>
      <c r="M597" s="166"/>
      <c r="N597" s="166"/>
      <c r="O597" s="166"/>
      <c r="P597" s="166"/>
      <c r="Q597" s="166"/>
      <c r="R597" s="166"/>
    </row>
    <row r="598" spans="1:18">
      <c r="A598" s="1058"/>
      <c r="B598" s="166"/>
      <c r="C598" s="166"/>
      <c r="D598" s="166"/>
      <c r="E598" s="166"/>
      <c r="F598" s="166"/>
      <c r="G598" s="166"/>
      <c r="H598" s="166"/>
      <c r="I598" s="166"/>
      <c r="J598" s="166"/>
      <c r="K598" s="166"/>
      <c r="L598" s="166"/>
      <c r="M598" s="166"/>
      <c r="N598" s="166"/>
      <c r="O598" s="166"/>
      <c r="P598" s="166"/>
      <c r="Q598" s="166"/>
      <c r="R598" s="166"/>
    </row>
    <row r="599" spans="1:18">
      <c r="A599" s="1058"/>
      <c r="B599" s="166"/>
      <c r="C599" s="166"/>
      <c r="D599" s="166"/>
      <c r="E599" s="166"/>
      <c r="F599" s="166"/>
      <c r="G599" s="166"/>
      <c r="H599" s="166"/>
      <c r="I599" s="166"/>
      <c r="J599" s="166"/>
      <c r="K599" s="166"/>
      <c r="L599" s="166"/>
      <c r="M599" s="166"/>
      <c r="N599" s="166"/>
      <c r="O599" s="166"/>
      <c r="P599" s="166"/>
      <c r="Q599" s="166"/>
      <c r="R599" s="166"/>
    </row>
    <row r="600" spans="1:18">
      <c r="A600" s="1058"/>
      <c r="B600" s="166"/>
      <c r="C600" s="166"/>
      <c r="D600" s="166"/>
      <c r="E600" s="166"/>
      <c r="F600" s="166"/>
      <c r="G600" s="166"/>
      <c r="H600" s="166"/>
      <c r="I600" s="166"/>
      <c r="J600" s="166"/>
      <c r="K600" s="166"/>
      <c r="L600" s="166"/>
      <c r="M600" s="166"/>
      <c r="N600" s="166"/>
      <c r="O600" s="166"/>
      <c r="P600" s="166"/>
      <c r="Q600" s="166"/>
      <c r="R600" s="166"/>
    </row>
    <row r="601" spans="1:18">
      <c r="A601" s="1058"/>
      <c r="B601" s="166"/>
      <c r="C601" s="166"/>
      <c r="D601" s="166"/>
      <c r="E601" s="166"/>
      <c r="F601" s="166"/>
      <c r="G601" s="166"/>
      <c r="H601" s="166"/>
      <c r="I601" s="166"/>
      <c r="J601" s="166"/>
      <c r="K601" s="166"/>
      <c r="L601" s="166"/>
      <c r="M601" s="166"/>
      <c r="N601" s="166"/>
      <c r="O601" s="166"/>
      <c r="P601" s="166"/>
      <c r="Q601" s="166"/>
      <c r="R601" s="166"/>
    </row>
    <row r="602" spans="1:18">
      <c r="A602" s="1058"/>
      <c r="B602" s="166"/>
      <c r="C602" s="166"/>
      <c r="D602" s="166"/>
      <c r="E602" s="166"/>
      <c r="F602" s="166"/>
      <c r="G602" s="166"/>
      <c r="H602" s="166"/>
      <c r="I602" s="166"/>
      <c r="J602" s="166"/>
      <c r="K602" s="166"/>
      <c r="L602" s="166"/>
      <c r="M602" s="166"/>
      <c r="N602" s="166"/>
      <c r="O602" s="166"/>
      <c r="P602" s="166"/>
      <c r="Q602" s="166"/>
      <c r="R602" s="166"/>
    </row>
    <row r="603" spans="1:18">
      <c r="A603" s="1058"/>
      <c r="B603" s="166"/>
      <c r="C603" s="166"/>
      <c r="D603" s="166"/>
      <c r="E603" s="166"/>
      <c r="F603" s="166"/>
      <c r="G603" s="166"/>
      <c r="H603" s="166"/>
      <c r="I603" s="166"/>
      <c r="J603" s="166"/>
      <c r="K603" s="166"/>
      <c r="L603" s="166"/>
      <c r="M603" s="166"/>
      <c r="N603" s="166"/>
      <c r="O603" s="166"/>
      <c r="P603" s="166"/>
      <c r="Q603" s="166"/>
      <c r="R603" s="166"/>
    </row>
    <row r="604" spans="1:18">
      <c r="A604" s="1058"/>
      <c r="B604" s="166"/>
      <c r="C604" s="166"/>
      <c r="D604" s="166"/>
      <c r="E604" s="166"/>
      <c r="F604" s="166"/>
      <c r="G604" s="166"/>
      <c r="H604" s="166"/>
      <c r="I604" s="166"/>
      <c r="J604" s="166"/>
      <c r="K604" s="166"/>
      <c r="L604" s="166"/>
      <c r="M604" s="166"/>
      <c r="N604" s="166"/>
      <c r="O604" s="166"/>
      <c r="P604" s="166"/>
      <c r="Q604" s="166"/>
      <c r="R604" s="166"/>
    </row>
    <row r="605" spans="1:18">
      <c r="A605" s="1058"/>
      <c r="B605" s="166"/>
      <c r="C605" s="166"/>
      <c r="D605" s="166"/>
      <c r="E605" s="166"/>
      <c r="F605" s="166"/>
      <c r="G605" s="166"/>
      <c r="H605" s="166"/>
      <c r="I605" s="166"/>
      <c r="J605" s="166"/>
      <c r="K605" s="166"/>
      <c r="L605" s="166"/>
      <c r="M605" s="166"/>
      <c r="N605" s="166"/>
      <c r="O605" s="166"/>
      <c r="P605" s="166"/>
      <c r="Q605" s="166"/>
      <c r="R605" s="166"/>
    </row>
    <row r="606" spans="1:18">
      <c r="A606" s="1058"/>
      <c r="B606" s="166"/>
      <c r="C606" s="166"/>
      <c r="D606" s="166"/>
      <c r="E606" s="166"/>
      <c r="F606" s="166"/>
      <c r="G606" s="166"/>
      <c r="H606" s="166"/>
      <c r="I606" s="166"/>
      <c r="J606" s="166"/>
      <c r="K606" s="166"/>
      <c r="L606" s="166"/>
      <c r="M606" s="166"/>
      <c r="N606" s="166"/>
      <c r="O606" s="166"/>
      <c r="P606" s="166"/>
      <c r="Q606" s="166"/>
      <c r="R606" s="166"/>
    </row>
    <row r="607" spans="1:18">
      <c r="A607" s="1058"/>
      <c r="B607" s="166"/>
      <c r="C607" s="166"/>
      <c r="D607" s="166"/>
      <c r="E607" s="166"/>
      <c r="F607" s="166"/>
      <c r="G607" s="166"/>
      <c r="H607" s="166"/>
      <c r="I607" s="166"/>
      <c r="J607" s="166"/>
      <c r="K607" s="166"/>
      <c r="L607" s="166"/>
      <c r="M607" s="166"/>
      <c r="N607" s="166"/>
      <c r="O607" s="166"/>
      <c r="P607" s="166"/>
      <c r="Q607" s="166"/>
      <c r="R607" s="166"/>
    </row>
    <row r="608" spans="1:18">
      <c r="A608" s="1058"/>
      <c r="B608" s="166"/>
      <c r="C608" s="166"/>
      <c r="D608" s="166"/>
      <c r="E608" s="166"/>
      <c r="F608" s="166"/>
      <c r="G608" s="166"/>
      <c r="H608" s="166"/>
      <c r="I608" s="166"/>
      <c r="J608" s="166"/>
      <c r="K608" s="166"/>
      <c r="L608" s="166"/>
      <c r="M608" s="166"/>
      <c r="N608" s="166"/>
      <c r="O608" s="166"/>
      <c r="P608" s="166"/>
      <c r="Q608" s="166"/>
      <c r="R608" s="166"/>
    </row>
    <row r="609" spans="1:18">
      <c r="A609" s="1058"/>
      <c r="B609" s="166"/>
      <c r="C609" s="166"/>
      <c r="D609" s="166"/>
      <c r="E609" s="166"/>
      <c r="F609" s="166"/>
      <c r="G609" s="166"/>
      <c r="H609" s="166"/>
      <c r="I609" s="166"/>
      <c r="J609" s="166"/>
      <c r="K609" s="166"/>
      <c r="L609" s="166"/>
      <c r="M609" s="166"/>
      <c r="N609" s="166"/>
      <c r="O609" s="166"/>
      <c r="P609" s="166"/>
      <c r="Q609" s="166"/>
      <c r="R609" s="166"/>
    </row>
    <row r="610" spans="1:18">
      <c r="A610" s="1058"/>
      <c r="B610" s="166"/>
      <c r="C610" s="166"/>
      <c r="D610" s="166"/>
      <c r="E610" s="166"/>
      <c r="F610" s="166"/>
      <c r="G610" s="166"/>
      <c r="H610" s="166"/>
      <c r="I610" s="166"/>
      <c r="J610" s="166"/>
      <c r="K610" s="166"/>
      <c r="L610" s="166"/>
      <c r="M610" s="166"/>
      <c r="N610" s="166"/>
      <c r="O610" s="166"/>
      <c r="P610" s="166"/>
      <c r="Q610" s="166"/>
      <c r="R610" s="166"/>
    </row>
    <row r="611" spans="1:18">
      <c r="A611" s="1058"/>
      <c r="B611" s="166"/>
      <c r="C611" s="166"/>
      <c r="D611" s="166"/>
      <c r="E611" s="166"/>
      <c r="F611" s="166"/>
      <c r="G611" s="166"/>
      <c r="H611" s="166"/>
      <c r="I611" s="166"/>
      <c r="J611" s="166"/>
      <c r="K611" s="166"/>
      <c r="L611" s="166"/>
      <c r="M611" s="166"/>
      <c r="N611" s="166"/>
      <c r="O611" s="166"/>
      <c r="P611" s="166"/>
      <c r="Q611" s="166"/>
      <c r="R611" s="166"/>
    </row>
    <row r="612" spans="1:18">
      <c r="A612" s="1058"/>
      <c r="B612" s="166"/>
      <c r="C612" s="166"/>
      <c r="D612" s="166"/>
      <c r="E612" s="166"/>
      <c r="F612" s="166"/>
      <c r="G612" s="166"/>
      <c r="H612" s="166"/>
      <c r="I612" s="166"/>
      <c r="J612" s="166"/>
      <c r="K612" s="166"/>
      <c r="L612" s="166"/>
      <c r="M612" s="166"/>
      <c r="N612" s="166"/>
      <c r="O612" s="166"/>
      <c r="P612" s="166"/>
      <c r="Q612" s="166"/>
      <c r="R612" s="166"/>
    </row>
    <row r="613" spans="1:18">
      <c r="A613" s="1058"/>
      <c r="B613" s="166"/>
      <c r="C613" s="166"/>
      <c r="D613" s="166"/>
      <c r="E613" s="166"/>
      <c r="F613" s="166"/>
      <c r="G613" s="166"/>
      <c r="H613" s="166"/>
      <c r="I613" s="166"/>
      <c r="J613" s="166"/>
      <c r="K613" s="166"/>
      <c r="L613" s="166"/>
      <c r="M613" s="166"/>
      <c r="N613" s="166"/>
      <c r="O613" s="166"/>
      <c r="P613" s="166"/>
      <c r="Q613" s="166"/>
      <c r="R613" s="166"/>
    </row>
    <row r="614" spans="1:18">
      <c r="A614" s="1058"/>
      <c r="B614" s="166"/>
      <c r="C614" s="166"/>
      <c r="D614" s="166"/>
      <c r="E614" s="166"/>
      <c r="F614" s="166"/>
      <c r="G614" s="166"/>
      <c r="H614" s="166"/>
      <c r="I614" s="166"/>
      <c r="J614" s="166"/>
      <c r="K614" s="166"/>
      <c r="L614" s="166"/>
      <c r="M614" s="166"/>
      <c r="N614" s="166"/>
      <c r="O614" s="166"/>
      <c r="P614" s="166"/>
      <c r="Q614" s="166"/>
      <c r="R614" s="166"/>
    </row>
    <row r="615" spans="1:18">
      <c r="A615" s="1058"/>
      <c r="B615" s="166"/>
      <c r="C615" s="166"/>
      <c r="D615" s="166"/>
      <c r="E615" s="166"/>
      <c r="F615" s="166"/>
      <c r="G615" s="166"/>
      <c r="H615" s="166"/>
      <c r="I615" s="166"/>
      <c r="J615" s="166"/>
      <c r="K615" s="166"/>
      <c r="L615" s="166"/>
      <c r="M615" s="166"/>
      <c r="N615" s="166"/>
      <c r="O615" s="166"/>
      <c r="P615" s="166"/>
      <c r="Q615" s="166"/>
      <c r="R615" s="166"/>
    </row>
    <row r="616" spans="1:18">
      <c r="A616" s="1058"/>
      <c r="B616" s="166"/>
      <c r="C616" s="166"/>
      <c r="D616" s="166"/>
      <c r="E616" s="166"/>
      <c r="F616" s="166"/>
      <c r="G616" s="166"/>
      <c r="H616" s="166"/>
      <c r="I616" s="166"/>
      <c r="J616" s="166"/>
      <c r="K616" s="166"/>
      <c r="L616" s="166"/>
      <c r="M616" s="166"/>
      <c r="N616" s="166"/>
      <c r="O616" s="166"/>
      <c r="P616" s="166"/>
      <c r="Q616" s="166"/>
      <c r="R616" s="166"/>
    </row>
    <row r="617" spans="1:18">
      <c r="A617" s="1058"/>
      <c r="B617" s="166"/>
      <c r="C617" s="166"/>
      <c r="D617" s="166"/>
      <c r="E617" s="166"/>
      <c r="F617" s="166"/>
      <c r="G617" s="166"/>
      <c r="H617" s="166"/>
      <c r="I617" s="166"/>
      <c r="J617" s="166"/>
      <c r="K617" s="166"/>
      <c r="L617" s="166"/>
      <c r="M617" s="166"/>
      <c r="N617" s="166"/>
      <c r="O617" s="166"/>
      <c r="P617" s="166"/>
      <c r="Q617" s="166"/>
      <c r="R617" s="166"/>
    </row>
    <row r="618" spans="1:18">
      <c r="A618" s="1058"/>
      <c r="B618" s="166"/>
      <c r="C618" s="166"/>
      <c r="D618" s="166"/>
      <c r="E618" s="166"/>
      <c r="F618" s="166"/>
      <c r="G618" s="166"/>
      <c r="H618" s="166"/>
      <c r="I618" s="166"/>
      <c r="J618" s="166"/>
      <c r="K618" s="166"/>
      <c r="L618" s="166"/>
      <c r="M618" s="166"/>
      <c r="N618" s="166"/>
      <c r="O618" s="166"/>
      <c r="P618" s="166"/>
      <c r="Q618" s="166"/>
      <c r="R618" s="166"/>
    </row>
    <row r="619" spans="1:18">
      <c r="A619" s="1058"/>
    </row>
    <row r="620" spans="1:18">
      <c r="A620" s="1058"/>
    </row>
    <row r="621" spans="1:18">
      <c r="A621" s="1058"/>
    </row>
    <row r="622" spans="1:18">
      <c r="A622" s="1058"/>
    </row>
    <row r="623" spans="1:18">
      <c r="A623" s="1058"/>
    </row>
    <row r="624" spans="1:18">
      <c r="A624" s="1058"/>
    </row>
    <row r="625" spans="1:1">
      <c r="A625" s="1058"/>
    </row>
    <row r="626" spans="1:1">
      <c r="A626" s="1058"/>
    </row>
    <row r="627" spans="1:1">
      <c r="A627" s="1058"/>
    </row>
    <row r="628" spans="1:1">
      <c r="A628" s="1058"/>
    </row>
    <row r="629" spans="1:1">
      <c r="A629" s="1058"/>
    </row>
    <row r="630" spans="1:1">
      <c r="A630" s="1058"/>
    </row>
    <row r="631" spans="1:1">
      <c r="A631" s="1058"/>
    </row>
    <row r="632" spans="1:1">
      <c r="A632" s="1058"/>
    </row>
    <row r="633" spans="1:1">
      <c r="A633" s="1058"/>
    </row>
    <row r="634" spans="1:1">
      <c r="A634" s="1058"/>
    </row>
    <row r="635" spans="1:1">
      <c r="A635" s="1058"/>
    </row>
    <row r="636" spans="1:1">
      <c r="A636" s="1058"/>
    </row>
    <row r="637" spans="1:1">
      <c r="A637" s="1058"/>
    </row>
    <row r="638" spans="1:1">
      <c r="A638" s="1058"/>
    </row>
    <row r="639" spans="1:1">
      <c r="A639" s="1058"/>
    </row>
    <row r="640" spans="1:1">
      <c r="A640" s="1058"/>
    </row>
    <row r="641" spans="1:1">
      <c r="A641" s="1058"/>
    </row>
    <row r="642" spans="1:1">
      <c r="A642" s="1058"/>
    </row>
    <row r="643" spans="1:1">
      <c r="A643" s="1058"/>
    </row>
    <row r="644" spans="1:1">
      <c r="A644" s="1058"/>
    </row>
    <row r="645" spans="1:1">
      <c r="A645" s="1058"/>
    </row>
    <row r="646" spans="1:1">
      <c r="A646" s="1058"/>
    </row>
    <row r="647" spans="1:1">
      <c r="A647" s="1058"/>
    </row>
    <row r="648" spans="1:1">
      <c r="A648" s="1058"/>
    </row>
    <row r="649" spans="1:1">
      <c r="A649" s="1058"/>
    </row>
    <row r="650" spans="1:1">
      <c r="A650" s="1058"/>
    </row>
    <row r="651" spans="1:1">
      <c r="A651" s="1058"/>
    </row>
    <row r="652" spans="1:1">
      <c r="A652" s="1058"/>
    </row>
    <row r="653" spans="1:1">
      <c r="A653" s="1058"/>
    </row>
    <row r="654" spans="1:1">
      <c r="A654" s="1058"/>
    </row>
    <row r="655" spans="1:1">
      <c r="A655" s="1058"/>
    </row>
    <row r="656" spans="1:1">
      <c r="A656" s="1058"/>
    </row>
    <row r="657" spans="1:1">
      <c r="A657" s="1058"/>
    </row>
    <row r="658" spans="1:1">
      <c r="A658" s="1058"/>
    </row>
    <row r="659" spans="1:1">
      <c r="A659" s="1058"/>
    </row>
    <row r="660" spans="1:1">
      <c r="A660" s="1058"/>
    </row>
    <row r="661" spans="1:1">
      <c r="A661" s="1058"/>
    </row>
    <row r="662" spans="1:1">
      <c r="A662" s="1058"/>
    </row>
    <row r="663" spans="1:1">
      <c r="A663" s="1058"/>
    </row>
    <row r="664" spans="1:1">
      <c r="A664" s="1058"/>
    </row>
    <row r="665" spans="1:1">
      <c r="A665" s="1058"/>
    </row>
    <row r="666" spans="1:1">
      <c r="A666" s="1058"/>
    </row>
    <row r="667" spans="1:1">
      <c r="A667" s="1058"/>
    </row>
    <row r="668" spans="1:1">
      <c r="A668" s="1058"/>
    </row>
    <row r="669" spans="1:1">
      <c r="A669" s="1058"/>
    </row>
    <row r="670" spans="1:1">
      <c r="A670" s="1058"/>
    </row>
    <row r="671" spans="1:1">
      <c r="A671" s="1058"/>
    </row>
    <row r="672" spans="1:1">
      <c r="A672" s="1058"/>
    </row>
    <row r="673" spans="1:1">
      <c r="A673" s="1058"/>
    </row>
    <row r="674" spans="1:1">
      <c r="A674" s="1058"/>
    </row>
    <row r="675" spans="1:1">
      <c r="A675" s="1058"/>
    </row>
    <row r="676" spans="1:1">
      <c r="A676" s="1058"/>
    </row>
    <row r="677" spans="1:1">
      <c r="A677" s="1058"/>
    </row>
    <row r="678" spans="1:1">
      <c r="A678" s="1058"/>
    </row>
    <row r="679" spans="1:1">
      <c r="A679" s="1058"/>
    </row>
    <row r="680" spans="1:1">
      <c r="A680" s="1058"/>
    </row>
    <row r="681" spans="1:1">
      <c r="A681" s="1058"/>
    </row>
    <row r="682" spans="1:1">
      <c r="A682" s="1058"/>
    </row>
    <row r="683" spans="1:1">
      <c r="A683" s="1058"/>
    </row>
    <row r="684" spans="1:1">
      <c r="A684" s="1058"/>
    </row>
    <row r="685" spans="1:1">
      <c r="A685" s="1058"/>
    </row>
    <row r="686" spans="1:1">
      <c r="A686" s="1058"/>
    </row>
    <row r="687" spans="1:1">
      <c r="A687" s="1058"/>
    </row>
    <row r="688" spans="1:1">
      <c r="A688" s="1058"/>
    </row>
    <row r="689" spans="1:1">
      <c r="A689" s="1058"/>
    </row>
    <row r="690" spans="1:1">
      <c r="A690" s="1058"/>
    </row>
    <row r="691" spans="1:1">
      <c r="A691" s="1058"/>
    </row>
    <row r="692" spans="1:1">
      <c r="A692" s="1058"/>
    </row>
    <row r="693" spans="1:1">
      <c r="A693" s="1058"/>
    </row>
    <row r="694" spans="1:1">
      <c r="A694" s="1058"/>
    </row>
    <row r="695" spans="1:1">
      <c r="A695" s="1058"/>
    </row>
    <row r="696" spans="1:1">
      <c r="A696" s="1058"/>
    </row>
    <row r="697" spans="1:1">
      <c r="A697" s="1058"/>
    </row>
    <row r="698" spans="1:1">
      <c r="A698" s="1058"/>
    </row>
    <row r="699" spans="1:1">
      <c r="A699" s="1058"/>
    </row>
    <row r="700" spans="1:1">
      <c r="A700" s="1058"/>
    </row>
    <row r="701" spans="1:1">
      <c r="A701" s="1058"/>
    </row>
    <row r="702" spans="1:1">
      <c r="A702" s="1058"/>
    </row>
    <row r="703" spans="1:1">
      <c r="A703" s="1058"/>
    </row>
    <row r="704" spans="1:1">
      <c r="A704" s="1058"/>
    </row>
    <row r="705" spans="1:1">
      <c r="A705" s="1058"/>
    </row>
    <row r="706" spans="1:1">
      <c r="A706" s="1058"/>
    </row>
    <row r="707" spans="1:1">
      <c r="A707" s="1058"/>
    </row>
    <row r="708" spans="1:1">
      <c r="A708" s="1058"/>
    </row>
    <row r="709" spans="1:1">
      <c r="A709" s="1058"/>
    </row>
    <row r="710" spans="1:1">
      <c r="A710" s="1058"/>
    </row>
    <row r="711" spans="1:1">
      <c r="A711" s="1058"/>
    </row>
    <row r="712" spans="1:1">
      <c r="A712" s="1058"/>
    </row>
    <row r="713" spans="1:1">
      <c r="A713" s="1058"/>
    </row>
    <row r="714" spans="1:1">
      <c r="A714" s="1058"/>
    </row>
    <row r="715" spans="1:1">
      <c r="A715" s="1058"/>
    </row>
    <row r="716" spans="1:1">
      <c r="A716" s="1058"/>
    </row>
    <row r="717" spans="1:1">
      <c r="A717" s="1058"/>
    </row>
    <row r="718" spans="1:1">
      <c r="A718" s="1058"/>
    </row>
    <row r="719" spans="1:1">
      <c r="A719" s="1058"/>
    </row>
    <row r="720" spans="1:1">
      <c r="A720" s="1058"/>
    </row>
    <row r="721" spans="1:1">
      <c r="A721" s="1058"/>
    </row>
    <row r="722" spans="1:1">
      <c r="A722" s="1058"/>
    </row>
    <row r="723" spans="1:1">
      <c r="A723" s="1058"/>
    </row>
    <row r="724" spans="1:1">
      <c r="A724" s="1058"/>
    </row>
    <row r="725" spans="1:1">
      <c r="A725" s="1058"/>
    </row>
    <row r="726" spans="1:1">
      <c r="A726" s="1058"/>
    </row>
    <row r="727" spans="1:1">
      <c r="A727" s="1058"/>
    </row>
    <row r="728" spans="1:1">
      <c r="A728" s="1058"/>
    </row>
    <row r="729" spans="1:1">
      <c r="A729" s="1058"/>
    </row>
    <row r="730" spans="1:1">
      <c r="A730" s="1058"/>
    </row>
    <row r="731" spans="1:1">
      <c r="A731" s="1058"/>
    </row>
    <row r="732" spans="1:1">
      <c r="A732" s="1058"/>
    </row>
    <row r="733" spans="1:1">
      <c r="A733" s="1058"/>
    </row>
    <row r="734" spans="1:1">
      <c r="A734" s="1058"/>
    </row>
    <row r="735" spans="1:1">
      <c r="A735" s="1058"/>
    </row>
    <row r="736" spans="1:1">
      <c r="A736" s="1058"/>
    </row>
    <row r="737" spans="1:1">
      <c r="A737" s="1058"/>
    </row>
    <row r="738" spans="1:1">
      <c r="A738" s="1058"/>
    </row>
    <row r="739" spans="1:1">
      <c r="A739" s="1058"/>
    </row>
    <row r="740" spans="1:1">
      <c r="A740" s="1058"/>
    </row>
    <row r="741" spans="1:1">
      <c r="A741" s="1058"/>
    </row>
    <row r="742" spans="1:1">
      <c r="A742" s="1058"/>
    </row>
    <row r="743" spans="1:1">
      <c r="A743" s="1058"/>
    </row>
    <row r="744" spans="1:1">
      <c r="A744" s="1058"/>
    </row>
    <row r="745" spans="1:1">
      <c r="A745" s="1058"/>
    </row>
    <row r="746" spans="1:1">
      <c r="A746" s="1058"/>
    </row>
    <row r="747" spans="1:1">
      <c r="A747" s="1058"/>
    </row>
    <row r="748" spans="1:1">
      <c r="A748" s="1058"/>
    </row>
    <row r="749" spans="1:1">
      <c r="A749" s="1058"/>
    </row>
    <row r="750" spans="1:1">
      <c r="A750" s="1058"/>
    </row>
    <row r="751" spans="1:1">
      <c r="A751" s="1058"/>
    </row>
    <row r="752" spans="1:1">
      <c r="A752" s="1058"/>
    </row>
    <row r="753" spans="1:1">
      <c r="A753" s="1058"/>
    </row>
    <row r="754" spans="1:1">
      <c r="A754" s="1058"/>
    </row>
    <row r="755" spans="1:1">
      <c r="A755" s="1058"/>
    </row>
    <row r="756" spans="1:1">
      <c r="A756" s="1058"/>
    </row>
    <row r="757" spans="1:1">
      <c r="A757" s="1058"/>
    </row>
    <row r="758" spans="1:1">
      <c r="A758" s="1058"/>
    </row>
    <row r="759" spans="1:1">
      <c r="A759" s="1058"/>
    </row>
    <row r="760" spans="1:1">
      <c r="A760" s="1058"/>
    </row>
    <row r="761" spans="1:1">
      <c r="A761" s="1058"/>
    </row>
    <row r="762" spans="1:1">
      <c r="A762" s="1058"/>
    </row>
    <row r="763" spans="1:1">
      <c r="A763" s="1058"/>
    </row>
    <row r="764" spans="1:1">
      <c r="A764" s="1058"/>
    </row>
    <row r="765" spans="1:1">
      <c r="A765" s="1058"/>
    </row>
    <row r="766" spans="1:1">
      <c r="A766" s="1058"/>
    </row>
    <row r="767" spans="1:1">
      <c r="A767" s="1058"/>
    </row>
    <row r="768" spans="1:1">
      <c r="A768" s="1058"/>
    </row>
    <row r="769" spans="1:1">
      <c r="A769" s="1058"/>
    </row>
    <row r="770" spans="1:1">
      <c r="A770" s="1058"/>
    </row>
    <row r="771" spans="1:1">
      <c r="A771" s="1058"/>
    </row>
    <row r="772" spans="1:1">
      <c r="A772" s="1058"/>
    </row>
    <row r="773" spans="1:1">
      <c r="A773" s="1058"/>
    </row>
    <row r="774" spans="1:1">
      <c r="A774" s="1058"/>
    </row>
    <row r="775" spans="1:1">
      <c r="A775" s="1058"/>
    </row>
    <row r="776" spans="1:1">
      <c r="A776" s="1058"/>
    </row>
    <row r="777" spans="1:1">
      <c r="A777" s="1058"/>
    </row>
    <row r="778" spans="1:1">
      <c r="A778" s="1058"/>
    </row>
    <row r="779" spans="1:1">
      <c r="A779" s="1058"/>
    </row>
    <row r="780" spans="1:1">
      <c r="A780" s="1058"/>
    </row>
    <row r="781" spans="1:1">
      <c r="A781" s="1058"/>
    </row>
    <row r="782" spans="1:1">
      <c r="A782" s="1058"/>
    </row>
    <row r="783" spans="1:1">
      <c r="A783" s="1058"/>
    </row>
    <row r="784" spans="1:1">
      <c r="A784" s="1058"/>
    </row>
    <row r="785" spans="1:1">
      <c r="A785" s="1058"/>
    </row>
    <row r="786" spans="1:1">
      <c r="A786" s="1058"/>
    </row>
    <row r="787" spans="1:1">
      <c r="A787" s="1058"/>
    </row>
    <row r="788" spans="1:1">
      <c r="A788" s="1058"/>
    </row>
    <row r="789" spans="1:1">
      <c r="A789" s="1058"/>
    </row>
    <row r="790" spans="1:1">
      <c r="A790" s="1058"/>
    </row>
    <row r="791" spans="1:1">
      <c r="A791" s="1058"/>
    </row>
    <row r="792" spans="1:1">
      <c r="A792" s="1058"/>
    </row>
    <row r="793" spans="1:1">
      <c r="A793" s="1058"/>
    </row>
    <row r="794" spans="1:1">
      <c r="A794" s="1058"/>
    </row>
    <row r="795" spans="1:1">
      <c r="A795" s="1058"/>
    </row>
    <row r="796" spans="1:1">
      <c r="A796" s="1058"/>
    </row>
    <row r="797" spans="1:1">
      <c r="A797" s="1058"/>
    </row>
    <row r="798" spans="1:1">
      <c r="A798" s="1058"/>
    </row>
    <row r="799" spans="1:1">
      <c r="A799" s="1058"/>
    </row>
    <row r="800" spans="1:1">
      <c r="A800" s="1058"/>
    </row>
    <row r="801" spans="1:1">
      <c r="A801" s="1058"/>
    </row>
    <row r="802" spans="1:1">
      <c r="A802" s="1058"/>
    </row>
    <row r="803" spans="1:1">
      <c r="A803" s="1058"/>
    </row>
    <row r="804" spans="1:1">
      <c r="A804" s="1058"/>
    </row>
    <row r="805" spans="1:1">
      <c r="A805" s="1058"/>
    </row>
    <row r="806" spans="1:1">
      <c r="A806" s="1058"/>
    </row>
    <row r="807" spans="1:1">
      <c r="A807" s="1058"/>
    </row>
    <row r="808" spans="1:1">
      <c r="A808" s="1058"/>
    </row>
    <row r="809" spans="1:1">
      <c r="A809" s="1058"/>
    </row>
    <row r="810" spans="1:1">
      <c r="A810" s="1058"/>
    </row>
    <row r="811" spans="1:1">
      <c r="A811" s="1058"/>
    </row>
    <row r="812" spans="1:1">
      <c r="A812" s="1058"/>
    </row>
    <row r="813" spans="1:1">
      <c r="A813" s="1058"/>
    </row>
    <row r="814" spans="1:1">
      <c r="A814" s="1058"/>
    </row>
    <row r="815" spans="1:1">
      <c r="A815" s="1058"/>
    </row>
    <row r="816" spans="1:1">
      <c r="A816" s="1058"/>
    </row>
    <row r="817" spans="1:1">
      <c r="A817" s="1058"/>
    </row>
    <row r="818" spans="1:1">
      <c r="A818" s="1058"/>
    </row>
    <row r="819" spans="1:1">
      <c r="A819" s="1058"/>
    </row>
    <row r="820" spans="1:1">
      <c r="A820" s="1058"/>
    </row>
    <row r="821" spans="1:1">
      <c r="A821" s="1058"/>
    </row>
    <row r="822" spans="1:1">
      <c r="A822" s="1058"/>
    </row>
    <row r="823" spans="1:1">
      <c r="A823" s="1058"/>
    </row>
    <row r="824" spans="1:1">
      <c r="A824" s="1058"/>
    </row>
    <row r="825" spans="1:1">
      <c r="A825" s="1058"/>
    </row>
    <row r="826" spans="1:1">
      <c r="A826" s="1058"/>
    </row>
    <row r="827" spans="1:1">
      <c r="A827" s="1058"/>
    </row>
    <row r="828" spans="1:1">
      <c r="A828" s="1058"/>
    </row>
    <row r="829" spans="1:1">
      <c r="A829" s="1058"/>
    </row>
    <row r="830" spans="1:1">
      <c r="A830" s="1058"/>
    </row>
    <row r="831" spans="1:1">
      <c r="A831" s="1058"/>
    </row>
    <row r="832" spans="1:1">
      <c r="A832" s="1058"/>
    </row>
    <row r="833" spans="1:1">
      <c r="A833" s="1058"/>
    </row>
    <row r="834" spans="1:1">
      <c r="A834" s="1058"/>
    </row>
    <row r="835" spans="1:1">
      <c r="A835" s="1058"/>
    </row>
    <row r="836" spans="1:1">
      <c r="A836" s="1058"/>
    </row>
    <row r="837" spans="1:1">
      <c r="A837" s="1058"/>
    </row>
    <row r="838" spans="1:1">
      <c r="A838" s="1058"/>
    </row>
    <row r="839" spans="1:1">
      <c r="A839" s="1058"/>
    </row>
    <row r="840" spans="1:1">
      <c r="A840" s="1058"/>
    </row>
    <row r="841" spans="1:1">
      <c r="A841" s="1058"/>
    </row>
    <row r="842" spans="1:1">
      <c r="A842" s="1058"/>
    </row>
    <row r="843" spans="1:1">
      <c r="A843" s="1058"/>
    </row>
    <row r="844" spans="1:1">
      <c r="A844" s="1058"/>
    </row>
    <row r="845" spans="1:1">
      <c r="A845" s="1058"/>
    </row>
    <row r="846" spans="1:1">
      <c r="A846" s="1058"/>
    </row>
    <row r="847" spans="1:1">
      <c r="A847" s="1058"/>
    </row>
    <row r="848" spans="1:1">
      <c r="A848" s="1058"/>
    </row>
    <row r="849" spans="1:1">
      <c r="A849" s="1058"/>
    </row>
    <row r="850" spans="1:1">
      <c r="A850" s="1058"/>
    </row>
    <row r="851" spans="1:1">
      <c r="A851" s="1058"/>
    </row>
    <row r="852" spans="1:1">
      <c r="A852" s="1058"/>
    </row>
    <row r="853" spans="1:1">
      <c r="A853" s="1058"/>
    </row>
    <row r="854" spans="1:1">
      <c r="A854" s="1058"/>
    </row>
    <row r="855" spans="1:1">
      <c r="A855" s="1058"/>
    </row>
    <row r="856" spans="1:1">
      <c r="A856" s="1058"/>
    </row>
    <row r="857" spans="1:1">
      <c r="A857" s="1058"/>
    </row>
    <row r="858" spans="1:1">
      <c r="A858" s="1058"/>
    </row>
    <row r="859" spans="1:1">
      <c r="A859" s="1058"/>
    </row>
    <row r="860" spans="1:1">
      <c r="A860" s="1058"/>
    </row>
    <row r="861" spans="1:1">
      <c r="A861" s="1058"/>
    </row>
    <row r="862" spans="1:1">
      <c r="A862" s="1058"/>
    </row>
    <row r="863" spans="1:1">
      <c r="A863" s="1058"/>
    </row>
    <row r="864" spans="1:1">
      <c r="A864" s="1058"/>
    </row>
    <row r="865" spans="1:1">
      <c r="A865" s="1058"/>
    </row>
    <row r="866" spans="1:1">
      <c r="A866" s="1058"/>
    </row>
    <row r="867" spans="1:1">
      <c r="A867" s="1058"/>
    </row>
    <row r="868" spans="1:1">
      <c r="A868" s="1058"/>
    </row>
    <row r="869" spans="1:1">
      <c r="A869" s="1058"/>
    </row>
    <row r="870" spans="1:1">
      <c r="A870" s="1058"/>
    </row>
    <row r="871" spans="1:1">
      <c r="A871" s="1058"/>
    </row>
    <row r="872" spans="1:1">
      <c r="A872" s="1058"/>
    </row>
    <row r="873" spans="1:1">
      <c r="A873" s="1058"/>
    </row>
    <row r="874" spans="1:1">
      <c r="A874" s="1058"/>
    </row>
    <row r="875" spans="1:1">
      <c r="A875" s="1058"/>
    </row>
    <row r="876" spans="1:1">
      <c r="A876" s="1058"/>
    </row>
    <row r="877" spans="1:1">
      <c r="A877" s="1058"/>
    </row>
    <row r="878" spans="1:1">
      <c r="A878" s="1058"/>
    </row>
    <row r="879" spans="1:1">
      <c r="A879" s="1058"/>
    </row>
    <row r="880" spans="1:1">
      <c r="A880" s="1058"/>
    </row>
    <row r="881" spans="1:1">
      <c r="A881" s="1058"/>
    </row>
    <row r="882" spans="1:1">
      <c r="A882" s="1058"/>
    </row>
    <row r="883" spans="1:1">
      <c r="A883" s="1058"/>
    </row>
    <row r="884" spans="1:1">
      <c r="A884" s="1058"/>
    </row>
    <row r="885" spans="1:1">
      <c r="A885" s="1058"/>
    </row>
    <row r="886" spans="1:1">
      <c r="A886" s="1058"/>
    </row>
    <row r="887" spans="1:1">
      <c r="A887" s="1058"/>
    </row>
    <row r="888" spans="1:1">
      <c r="A888" s="1058"/>
    </row>
    <row r="889" spans="1:1">
      <c r="A889" s="1058"/>
    </row>
    <row r="890" spans="1:1">
      <c r="A890" s="1058"/>
    </row>
    <row r="891" spans="1:1">
      <c r="A891" s="1058"/>
    </row>
    <row r="892" spans="1:1">
      <c r="A892" s="1058"/>
    </row>
    <row r="893" spans="1:1">
      <c r="A893" s="1058"/>
    </row>
    <row r="894" spans="1:1">
      <c r="A894" s="1058"/>
    </row>
    <row r="895" spans="1:1">
      <c r="A895" s="1058"/>
    </row>
    <row r="896" spans="1:1">
      <c r="A896" s="1058"/>
    </row>
    <row r="897" spans="1:1">
      <c r="A897" s="1058"/>
    </row>
    <row r="898" spans="1:1">
      <c r="A898" s="1058"/>
    </row>
    <row r="899" spans="1:1">
      <c r="A899" s="1058"/>
    </row>
    <row r="900" spans="1:1">
      <c r="A900" s="1058"/>
    </row>
    <row r="901" spans="1:1">
      <c r="A901" s="1058"/>
    </row>
    <row r="902" spans="1:1">
      <c r="A902" s="1058"/>
    </row>
    <row r="903" spans="1:1">
      <c r="A903" s="1058"/>
    </row>
    <row r="904" spans="1:1">
      <c r="A904" s="1058"/>
    </row>
    <row r="905" spans="1:1">
      <c r="A905" s="1058"/>
    </row>
    <row r="906" spans="1:1">
      <c r="A906" s="1058"/>
    </row>
    <row r="907" spans="1:1">
      <c r="A907" s="1058"/>
    </row>
    <row r="908" spans="1:1">
      <c r="A908" s="1058"/>
    </row>
    <row r="909" spans="1:1">
      <c r="A909" s="1058"/>
    </row>
    <row r="910" spans="1:1">
      <c r="A910" s="1058"/>
    </row>
    <row r="911" spans="1:1">
      <c r="A911" s="1058"/>
    </row>
    <row r="912" spans="1:1">
      <c r="A912" s="1058"/>
    </row>
    <row r="913" spans="1:1">
      <c r="A913" s="1058"/>
    </row>
    <row r="914" spans="1:1">
      <c r="A914" s="1058"/>
    </row>
    <row r="915" spans="1:1">
      <c r="A915" s="1058"/>
    </row>
    <row r="916" spans="1:1">
      <c r="A916" s="1058"/>
    </row>
    <row r="917" spans="1:1">
      <c r="A917" s="1058"/>
    </row>
    <row r="918" spans="1:1">
      <c r="A918" s="1058"/>
    </row>
    <row r="919" spans="1:1">
      <c r="A919" s="1058"/>
    </row>
    <row r="920" spans="1:1">
      <c r="A920" s="1058"/>
    </row>
    <row r="921" spans="1:1">
      <c r="A921" s="1058"/>
    </row>
    <row r="922" spans="1:1">
      <c r="A922" s="1058"/>
    </row>
    <row r="923" spans="1:1">
      <c r="A923" s="1058"/>
    </row>
    <row r="924" spans="1:1">
      <c r="A924" s="1058"/>
    </row>
    <row r="925" spans="1:1">
      <c r="A925" s="1058"/>
    </row>
    <row r="926" spans="1:1">
      <c r="A926" s="1058"/>
    </row>
    <row r="927" spans="1:1">
      <c r="A927" s="1058"/>
    </row>
    <row r="928" spans="1:1">
      <c r="A928" s="1058"/>
    </row>
    <row r="929" spans="1:1">
      <c r="A929" s="1058"/>
    </row>
    <row r="930" spans="1:1">
      <c r="A930" s="1058"/>
    </row>
    <row r="931" spans="1:1">
      <c r="A931" s="1058"/>
    </row>
    <row r="932" spans="1:1">
      <c r="A932" s="1058"/>
    </row>
    <row r="933" spans="1:1">
      <c r="A933" s="1058"/>
    </row>
    <row r="934" spans="1:1">
      <c r="A934" s="1058"/>
    </row>
    <row r="935" spans="1:1">
      <c r="A935" s="1058"/>
    </row>
    <row r="936" spans="1:1">
      <c r="A936" s="1058"/>
    </row>
    <row r="937" spans="1:1">
      <c r="A937" s="1058"/>
    </row>
    <row r="938" spans="1:1">
      <c r="A938" s="1058"/>
    </row>
    <row r="939" spans="1:1">
      <c r="A939" s="1058"/>
    </row>
    <row r="940" spans="1:1">
      <c r="A940" s="1058"/>
    </row>
    <row r="941" spans="1:1">
      <c r="A941" s="1058"/>
    </row>
    <row r="942" spans="1:1">
      <c r="A942" s="1058"/>
    </row>
    <row r="943" spans="1:1">
      <c r="A943" s="1058"/>
    </row>
    <row r="944" spans="1:1">
      <c r="A944" s="1058"/>
    </row>
    <row r="945" spans="1:1">
      <c r="A945" s="1058"/>
    </row>
    <row r="946" spans="1:1">
      <c r="A946" s="1058"/>
    </row>
    <row r="947" spans="1:1">
      <c r="A947" s="1058"/>
    </row>
    <row r="948" spans="1:1">
      <c r="A948" s="1058"/>
    </row>
    <row r="949" spans="1:1">
      <c r="A949" s="1058"/>
    </row>
    <row r="950" spans="1:1">
      <c r="A950" s="1058"/>
    </row>
    <row r="951" spans="1:1">
      <c r="A951" s="1058"/>
    </row>
    <row r="952" spans="1:1">
      <c r="A952" s="1058"/>
    </row>
    <row r="953" spans="1:1">
      <c r="A953" s="1058"/>
    </row>
    <row r="954" spans="1:1">
      <c r="A954" s="1058"/>
    </row>
    <row r="955" spans="1:1">
      <c r="A955" s="1058"/>
    </row>
    <row r="956" spans="1:1">
      <c r="A956" s="1058"/>
    </row>
    <row r="957" spans="1:1">
      <c r="A957" s="1058"/>
    </row>
    <row r="958" spans="1:1">
      <c r="A958" s="1058"/>
    </row>
    <row r="959" spans="1:1">
      <c r="A959" s="1058"/>
    </row>
    <row r="960" spans="1:1">
      <c r="A960" s="1058"/>
    </row>
    <row r="961" spans="1:1">
      <c r="A961" s="1058"/>
    </row>
    <row r="962" spans="1:1">
      <c r="A962" s="1058"/>
    </row>
    <row r="963" spans="1:1">
      <c r="A963" s="1058"/>
    </row>
    <row r="964" spans="1:1">
      <c r="A964" s="1058"/>
    </row>
    <row r="965" spans="1:1">
      <c r="A965" s="1058"/>
    </row>
    <row r="966" spans="1:1">
      <c r="A966" s="1058"/>
    </row>
    <row r="967" spans="1:1">
      <c r="A967" s="1058"/>
    </row>
    <row r="968" spans="1:1">
      <c r="A968" s="1058"/>
    </row>
    <row r="969" spans="1:1">
      <c r="A969" s="1058"/>
    </row>
    <row r="970" spans="1:1">
      <c r="A970" s="1058"/>
    </row>
    <row r="971" spans="1:1">
      <c r="A971" s="1058"/>
    </row>
    <row r="972" spans="1:1">
      <c r="A972" s="1058"/>
    </row>
    <row r="973" spans="1:1">
      <c r="A973" s="1058"/>
    </row>
    <row r="974" spans="1:1">
      <c r="A974" s="1058"/>
    </row>
    <row r="975" spans="1:1">
      <c r="A975" s="1058"/>
    </row>
    <row r="976" spans="1:1">
      <c r="A976" s="1058"/>
    </row>
    <row r="977" spans="1:1">
      <c r="A977" s="1058"/>
    </row>
    <row r="978" spans="1:1">
      <c r="A978" s="1058"/>
    </row>
    <row r="979" spans="1:1">
      <c r="A979" s="1058"/>
    </row>
    <row r="980" spans="1:1">
      <c r="A980" s="1058"/>
    </row>
    <row r="981" spans="1:1">
      <c r="A981" s="1058"/>
    </row>
    <row r="982" spans="1:1">
      <c r="A982" s="1058"/>
    </row>
    <row r="983" spans="1:1">
      <c r="A983" s="1058"/>
    </row>
    <row r="984" spans="1:1">
      <c r="A984" s="1058"/>
    </row>
    <row r="985" spans="1:1">
      <c r="A985" s="1058"/>
    </row>
    <row r="986" spans="1:1">
      <c r="A986" s="1058"/>
    </row>
    <row r="987" spans="1:1">
      <c r="A987" s="1058"/>
    </row>
    <row r="988" spans="1:1">
      <c r="A988" s="1058"/>
    </row>
    <row r="989" spans="1:1">
      <c r="A989" s="1058"/>
    </row>
    <row r="990" spans="1:1">
      <c r="A990" s="1058"/>
    </row>
    <row r="991" spans="1:1">
      <c r="A991" s="1058"/>
    </row>
    <row r="992" spans="1:1">
      <c r="A992" s="1058"/>
    </row>
    <row r="993" spans="1:1">
      <c r="A993" s="1058"/>
    </row>
    <row r="994" spans="1:1">
      <c r="A994" s="1058"/>
    </row>
    <row r="995" spans="1:1">
      <c r="A995" s="1058"/>
    </row>
    <row r="996" spans="1:1">
      <c r="A996" s="1058"/>
    </row>
    <row r="997" spans="1:1">
      <c r="A997" s="1058"/>
    </row>
    <row r="998" spans="1:1">
      <c r="A998" s="1058"/>
    </row>
    <row r="999" spans="1:1">
      <c r="A999" s="1058"/>
    </row>
    <row r="1000" spans="1:1">
      <c r="A1000" s="1058"/>
    </row>
    <row r="1001" spans="1:1">
      <c r="A1001" s="1058"/>
    </row>
    <row r="1002" spans="1:1">
      <c r="A1002" s="1058"/>
    </row>
    <row r="1003" spans="1:1">
      <c r="A1003" s="1058"/>
    </row>
    <row r="1004" spans="1:1">
      <c r="A1004" s="1058"/>
    </row>
    <row r="1005" spans="1:1">
      <c r="A1005" s="1058"/>
    </row>
    <row r="1006" spans="1:1">
      <c r="A1006" s="1058"/>
    </row>
    <row r="1007" spans="1:1">
      <c r="A1007" s="1058"/>
    </row>
    <row r="1008" spans="1:1">
      <c r="A1008" s="1058"/>
    </row>
    <row r="1009" spans="1:1">
      <c r="A1009" s="1058"/>
    </row>
    <row r="1010" spans="1:1">
      <c r="A1010" s="1058"/>
    </row>
    <row r="1011" spans="1:1">
      <c r="A1011" s="1058"/>
    </row>
    <row r="1012" spans="1:1">
      <c r="A1012" s="1058"/>
    </row>
    <row r="1013" spans="1:1">
      <c r="A1013" s="1058"/>
    </row>
    <row r="1014" spans="1:1">
      <c r="A1014" s="1058"/>
    </row>
    <row r="1015" spans="1:1">
      <c r="A1015" s="1058"/>
    </row>
    <row r="1016" spans="1:1">
      <c r="A1016" s="1058"/>
    </row>
    <row r="1017" spans="1:1">
      <c r="A1017" s="1058"/>
    </row>
    <row r="1018" spans="1:1">
      <c r="A1018" s="1058"/>
    </row>
    <row r="1019" spans="1:1">
      <c r="A1019" s="1058"/>
    </row>
    <row r="1020" spans="1:1">
      <c r="A1020" s="1058"/>
    </row>
    <row r="1021" spans="1:1">
      <c r="A1021" s="1058"/>
    </row>
    <row r="1022" spans="1:1">
      <c r="A1022" s="1058"/>
    </row>
    <row r="1023" spans="1:1">
      <c r="A1023" s="1058"/>
    </row>
    <row r="1024" spans="1:1">
      <c r="A1024" s="1058"/>
    </row>
    <row r="1025" spans="1:1">
      <c r="A1025" s="1058"/>
    </row>
    <row r="1026" spans="1:1">
      <c r="A1026" s="1058"/>
    </row>
    <row r="1027" spans="1:1">
      <c r="A1027" s="1058"/>
    </row>
    <row r="1028" spans="1:1">
      <c r="A1028" s="1058"/>
    </row>
    <row r="1029" spans="1:1">
      <c r="A1029" s="1058"/>
    </row>
    <row r="1030" spans="1:1">
      <c r="A1030" s="1058"/>
    </row>
    <row r="1031" spans="1:1">
      <c r="A1031" s="1058"/>
    </row>
    <row r="1032" spans="1:1">
      <c r="A1032" s="1058"/>
    </row>
    <row r="1033" spans="1:1">
      <c r="A1033" s="1058"/>
    </row>
    <row r="1034" spans="1:1">
      <c r="A1034" s="1058"/>
    </row>
    <row r="1035" spans="1:1">
      <c r="A1035" s="1058"/>
    </row>
    <row r="1036" spans="1:1">
      <c r="A1036" s="1058"/>
    </row>
    <row r="1037" spans="1:1">
      <c r="A1037" s="1058"/>
    </row>
    <row r="1038" spans="1:1">
      <c r="A1038" s="1058"/>
    </row>
    <row r="1039" spans="1:1">
      <c r="A1039" s="1058"/>
    </row>
    <row r="1040" spans="1:1">
      <c r="A1040" s="1058"/>
    </row>
    <row r="1041" spans="1:1">
      <c r="A1041" s="1058"/>
    </row>
    <row r="1042" spans="1:1">
      <c r="A1042" s="1058"/>
    </row>
    <row r="1043" spans="1:1">
      <c r="A1043" s="1058"/>
    </row>
    <row r="1044" spans="1:1">
      <c r="A1044" s="1058"/>
    </row>
    <row r="1045" spans="1:1">
      <c r="A1045" s="1058"/>
    </row>
    <row r="1046" spans="1:1">
      <c r="A1046" s="1058"/>
    </row>
    <row r="1047" spans="1:1">
      <c r="A1047" s="1058"/>
    </row>
    <row r="1048" spans="1:1">
      <c r="A1048" s="1058"/>
    </row>
    <row r="1049" spans="1:1">
      <c r="A1049" s="1058"/>
    </row>
    <row r="1050" spans="1:1">
      <c r="A1050" s="1058"/>
    </row>
    <row r="1051" spans="1:1">
      <c r="A1051" s="1058"/>
    </row>
    <row r="1052" spans="1:1">
      <c r="A1052" s="1058"/>
    </row>
    <row r="1053" spans="1:1">
      <c r="A1053" s="1058"/>
    </row>
    <row r="1054" spans="1:1">
      <c r="A1054" s="1058"/>
    </row>
    <row r="1055" spans="1:1">
      <c r="A1055" s="1058"/>
    </row>
    <row r="1056" spans="1:1">
      <c r="A1056" s="1058"/>
    </row>
    <row r="1057" spans="1:1">
      <c r="A1057" s="1058"/>
    </row>
    <row r="1058" spans="1:1">
      <c r="A1058" s="1058"/>
    </row>
    <row r="1059" spans="1:1">
      <c r="A1059" s="1058"/>
    </row>
    <row r="1060" spans="1:1">
      <c r="A1060" s="1058"/>
    </row>
    <row r="1061" spans="1:1">
      <c r="A1061" s="1058"/>
    </row>
    <row r="1062" spans="1:1">
      <c r="A1062" s="1058"/>
    </row>
    <row r="1063" spans="1:1">
      <c r="A1063" s="1058"/>
    </row>
    <row r="1064" spans="1:1">
      <c r="A1064" s="1058"/>
    </row>
    <row r="1065" spans="1:1">
      <c r="A1065" s="1058"/>
    </row>
    <row r="1066" spans="1:1">
      <c r="A1066" s="1058"/>
    </row>
    <row r="1067" spans="1:1">
      <c r="A1067" s="1058"/>
    </row>
    <row r="1068" spans="1:1">
      <c r="A1068" s="1058"/>
    </row>
    <row r="1069" spans="1:1">
      <c r="A1069" s="1058"/>
    </row>
    <row r="1070" spans="1:1">
      <c r="A1070" s="1058"/>
    </row>
    <row r="1071" spans="1:1">
      <c r="A1071" s="1058"/>
    </row>
    <row r="1072" spans="1:1">
      <c r="A1072" s="1058"/>
    </row>
    <row r="1073" spans="1:1">
      <c r="A1073" s="1058"/>
    </row>
    <row r="1074" spans="1:1">
      <c r="A1074" s="1058"/>
    </row>
    <row r="1075" spans="1:1">
      <c r="A1075" s="1058"/>
    </row>
    <row r="1076" spans="1:1">
      <c r="A1076" s="1058"/>
    </row>
    <row r="1077" spans="1:1">
      <c r="A1077" s="1058"/>
    </row>
    <row r="1078" spans="1:1">
      <c r="A1078" s="1058"/>
    </row>
    <row r="1079" spans="1:1">
      <c r="A1079" s="1058"/>
    </row>
    <row r="1080" spans="1:1">
      <c r="A1080" s="1058"/>
    </row>
    <row r="1081" spans="1:1">
      <c r="A1081" s="1058"/>
    </row>
    <row r="1082" spans="1:1">
      <c r="A1082" s="1058"/>
    </row>
    <row r="1083" spans="1:1">
      <c r="A1083" s="1058"/>
    </row>
    <row r="1084" spans="1:1">
      <c r="A1084" s="1058"/>
    </row>
    <row r="1085" spans="1:1">
      <c r="A1085" s="1058"/>
    </row>
    <row r="1086" spans="1:1">
      <c r="A1086" s="1058"/>
    </row>
    <row r="1087" spans="1:1">
      <c r="A1087" s="1058"/>
    </row>
    <row r="1088" spans="1:1">
      <c r="A1088" s="1058"/>
    </row>
    <row r="1089" spans="1:1">
      <c r="A1089" s="1058"/>
    </row>
    <row r="1090" spans="1:1">
      <c r="A1090" s="1058"/>
    </row>
    <row r="1091" spans="1:1">
      <c r="A1091" s="1058"/>
    </row>
    <row r="1092" spans="1:1">
      <c r="A1092" s="1058"/>
    </row>
    <row r="1093" spans="1:1">
      <c r="A1093" s="1058"/>
    </row>
    <row r="1094" spans="1:1">
      <c r="A1094" s="1058"/>
    </row>
    <row r="1095" spans="1:1">
      <c r="A1095" s="1058"/>
    </row>
    <row r="1096" spans="1:1">
      <c r="A1096" s="1058"/>
    </row>
    <row r="1097" spans="1:1">
      <c r="A1097" s="1058"/>
    </row>
    <row r="1098" spans="1:1">
      <c r="A1098" s="1058"/>
    </row>
    <row r="1099" spans="1:1">
      <c r="A1099" s="1058"/>
    </row>
    <row r="1100" spans="1:1">
      <c r="A1100" s="1058"/>
    </row>
    <row r="1101" spans="1:1">
      <c r="A1101" s="1058"/>
    </row>
    <row r="1102" spans="1:1">
      <c r="A1102" s="1058"/>
    </row>
    <row r="1103" spans="1:1">
      <c r="A1103" s="1058"/>
    </row>
    <row r="1104" spans="1:1">
      <c r="A1104" s="1058"/>
    </row>
    <row r="1105" spans="1:1">
      <c r="A1105" s="1058"/>
    </row>
    <row r="1106" spans="1:1">
      <c r="A1106" s="1058"/>
    </row>
    <row r="1107" spans="1:1">
      <c r="A1107" s="1058"/>
    </row>
    <row r="1108" spans="1:1">
      <c r="A1108" s="1058"/>
    </row>
    <row r="1109" spans="1:1">
      <c r="A1109" s="1058"/>
    </row>
    <row r="1110" spans="1:1">
      <c r="A1110" s="1058"/>
    </row>
    <row r="1111" spans="1:1">
      <c r="A1111" s="1058"/>
    </row>
    <row r="1112" spans="1:1">
      <c r="A1112" s="1058"/>
    </row>
    <row r="1113" spans="1:1">
      <c r="A1113" s="1058"/>
    </row>
    <row r="1114" spans="1:1">
      <c r="A1114" s="1058"/>
    </row>
    <row r="1115" spans="1:1">
      <c r="A1115" s="1058"/>
    </row>
    <row r="1116" spans="1:1">
      <c r="A1116" s="1058"/>
    </row>
    <row r="1117" spans="1:1">
      <c r="A1117" s="1058"/>
    </row>
    <row r="1118" spans="1:1">
      <c r="A1118" s="1058"/>
    </row>
    <row r="1119" spans="1:1">
      <c r="A1119" s="1058"/>
    </row>
    <row r="1120" spans="1:1">
      <c r="A1120" s="1058"/>
    </row>
    <row r="1121" spans="1:1">
      <c r="A1121" s="1058"/>
    </row>
    <row r="1122" spans="1:1">
      <c r="A1122" s="1058"/>
    </row>
    <row r="1123" spans="1:1">
      <c r="A1123" s="1058"/>
    </row>
    <row r="1124" spans="1:1">
      <c r="A1124" s="1058"/>
    </row>
    <row r="1125" spans="1:1">
      <c r="A1125" s="1058"/>
    </row>
    <row r="1126" spans="1:1">
      <c r="A1126" s="1058"/>
    </row>
    <row r="1127" spans="1:1">
      <c r="A1127" s="1058"/>
    </row>
    <row r="1128" spans="1:1">
      <c r="A1128" s="1058"/>
    </row>
    <row r="1129" spans="1:1">
      <c r="A1129" s="1058"/>
    </row>
    <row r="1130" spans="1:1">
      <c r="A1130" s="1058"/>
    </row>
    <row r="1131" spans="1:1">
      <c r="A1131" s="1058"/>
    </row>
    <row r="1132" spans="1:1">
      <c r="A1132" s="1058"/>
    </row>
    <row r="1133" spans="1:1">
      <c r="A1133" s="1058"/>
    </row>
    <row r="1134" spans="1:1">
      <c r="A1134" s="1058"/>
    </row>
    <row r="1135" spans="1:1">
      <c r="A1135" s="1058"/>
    </row>
    <row r="1136" spans="1:1">
      <c r="A1136" s="1058"/>
    </row>
    <row r="1137" spans="1:1">
      <c r="A1137" s="1058"/>
    </row>
    <row r="1138" spans="1:1">
      <c r="A1138" s="1058"/>
    </row>
    <row r="1139" spans="1:1">
      <c r="A1139" s="1058"/>
    </row>
    <row r="1140" spans="1:1">
      <c r="A1140" s="1058"/>
    </row>
    <row r="1141" spans="1:1">
      <c r="A1141" s="1058"/>
    </row>
    <row r="1142" spans="1:1">
      <c r="A1142" s="1058"/>
    </row>
    <row r="1143" spans="1:1">
      <c r="A1143" s="1058"/>
    </row>
    <row r="1144" spans="1:1">
      <c r="A1144" s="1058"/>
    </row>
    <row r="1145" spans="1:1">
      <c r="A1145" s="1058"/>
    </row>
    <row r="1146" spans="1:1">
      <c r="A1146" s="1058"/>
    </row>
    <row r="1147" spans="1:1">
      <c r="A1147" s="1058"/>
    </row>
    <row r="1148" spans="1:1">
      <c r="A1148" s="1058"/>
    </row>
    <row r="1149" spans="1:1">
      <c r="A1149" s="1058"/>
    </row>
    <row r="1150" spans="1:1">
      <c r="A1150" s="1058"/>
    </row>
    <row r="1151" spans="1:1">
      <c r="A1151" s="1058"/>
    </row>
    <row r="1152" spans="1:1">
      <c r="A1152" s="1058"/>
    </row>
    <row r="1153" spans="1:1">
      <c r="A1153" s="1058"/>
    </row>
    <row r="1154" spans="1:1">
      <c r="A1154" s="1058"/>
    </row>
    <row r="1155" spans="1:1">
      <c r="A1155" s="1058"/>
    </row>
    <row r="1156" spans="1:1">
      <c r="A1156" s="1058"/>
    </row>
    <row r="1157" spans="1:1">
      <c r="A1157" s="1058"/>
    </row>
    <row r="1158" spans="1:1">
      <c r="A1158" s="1058"/>
    </row>
    <row r="1159" spans="1:1">
      <c r="A1159" s="1058"/>
    </row>
    <row r="1160" spans="1:1">
      <c r="A1160" s="1058"/>
    </row>
    <row r="1161" spans="1:1">
      <c r="A1161" s="1058"/>
    </row>
    <row r="1162" spans="1:1">
      <c r="A1162" s="1058"/>
    </row>
    <row r="1163" spans="1:1">
      <c r="A1163" s="1058"/>
    </row>
    <row r="1164" spans="1:1">
      <c r="A1164" s="1058"/>
    </row>
    <row r="1165" spans="1:1">
      <c r="A1165" s="1058"/>
    </row>
    <row r="1166" spans="1:1">
      <c r="A1166" s="1058"/>
    </row>
    <row r="1167" spans="1:1">
      <c r="A1167" s="1058"/>
    </row>
    <row r="1168" spans="1:1">
      <c r="A1168" s="1058"/>
    </row>
    <row r="1169" spans="1:1">
      <c r="A1169" s="1058"/>
    </row>
    <row r="1170" spans="1:1">
      <c r="A1170" s="1058"/>
    </row>
    <row r="1171" spans="1:1">
      <c r="A1171" s="1058"/>
    </row>
    <row r="1172" spans="1:1">
      <c r="A1172" s="1058"/>
    </row>
    <row r="1173" spans="1:1">
      <c r="A1173" s="1058"/>
    </row>
    <row r="1174" spans="1:1">
      <c r="A1174" s="1058"/>
    </row>
    <row r="1175" spans="1:1">
      <c r="A1175" s="1058"/>
    </row>
    <row r="1176" spans="1:1">
      <c r="A1176" s="1058"/>
    </row>
    <row r="1177" spans="1:1">
      <c r="A1177" s="1058"/>
    </row>
    <row r="1178" spans="1:1">
      <c r="A1178" s="1058"/>
    </row>
    <row r="1179" spans="1:1">
      <c r="A1179" s="1058"/>
    </row>
    <row r="1180" spans="1:1">
      <c r="A1180" s="1058"/>
    </row>
    <row r="1181" spans="1:1">
      <c r="A1181" s="1058"/>
    </row>
    <row r="1182" spans="1:1">
      <c r="A1182" s="1058"/>
    </row>
    <row r="1183" spans="1:1">
      <c r="A1183" s="1058"/>
    </row>
    <row r="1184" spans="1:1">
      <c r="A1184" s="1058"/>
    </row>
    <row r="1185" spans="1:1">
      <c r="A1185" s="1058"/>
    </row>
    <row r="1186" spans="1:1">
      <c r="A1186" s="1058"/>
    </row>
    <row r="1187" spans="1:1">
      <c r="A1187" s="1058"/>
    </row>
    <row r="1188" spans="1:1">
      <c r="A1188" s="1058"/>
    </row>
    <row r="1189" spans="1:1">
      <c r="A1189" s="1058"/>
    </row>
    <row r="1190" spans="1:1">
      <c r="A1190" s="1058"/>
    </row>
    <row r="1191" spans="1:1">
      <c r="A1191" s="1058"/>
    </row>
    <row r="1192" spans="1:1">
      <c r="A1192" s="1058"/>
    </row>
    <row r="1193" spans="1:1">
      <c r="A1193" s="1058"/>
    </row>
    <row r="1194" spans="1:1">
      <c r="A1194" s="1058"/>
    </row>
    <row r="1195" spans="1:1">
      <c r="A1195" s="1058"/>
    </row>
    <row r="1196" spans="1:1">
      <c r="A1196" s="1058"/>
    </row>
    <row r="1197" spans="1:1">
      <c r="A1197" s="1058"/>
    </row>
    <row r="1198" spans="1:1">
      <c r="A1198" s="1058"/>
    </row>
    <row r="1199" spans="1:1">
      <c r="A1199" s="1058"/>
    </row>
    <row r="1200" spans="1:1">
      <c r="A1200" s="1058"/>
    </row>
    <row r="1201" spans="1:1">
      <c r="A1201" s="1058"/>
    </row>
    <row r="1202" spans="1:1">
      <c r="A1202" s="1058"/>
    </row>
    <row r="1203" spans="1:1">
      <c r="A1203" s="1058"/>
    </row>
    <row r="1204" spans="1:1">
      <c r="A1204" s="1058"/>
    </row>
    <row r="1205" spans="1:1">
      <c r="A1205" s="1058"/>
    </row>
    <row r="1206" spans="1:1">
      <c r="A1206" s="1058"/>
    </row>
    <row r="1207" spans="1:1">
      <c r="A1207" s="1058"/>
    </row>
    <row r="1208" spans="1:1">
      <c r="A1208" s="1058"/>
    </row>
    <row r="1209" spans="1:1">
      <c r="A1209" s="1058"/>
    </row>
    <row r="1210" spans="1:1">
      <c r="A1210" s="1058"/>
    </row>
    <row r="1211" spans="1:1">
      <c r="A1211" s="1058"/>
    </row>
    <row r="1212" spans="1:1">
      <c r="A1212" s="1058"/>
    </row>
    <row r="1213" spans="1:1">
      <c r="A1213" s="1058"/>
    </row>
    <row r="1214" spans="1:1">
      <c r="A1214" s="1058"/>
    </row>
    <row r="1215" spans="1:1">
      <c r="A1215" s="1058"/>
    </row>
    <row r="1216" spans="1:1">
      <c r="A1216" s="1058"/>
    </row>
    <row r="1217" spans="1:1">
      <c r="A1217" s="1058"/>
    </row>
    <row r="1218" spans="1:1">
      <c r="A1218" s="1058"/>
    </row>
    <row r="1219" spans="1:1">
      <c r="A1219" s="1058"/>
    </row>
    <row r="1220" spans="1:1">
      <c r="A1220" s="1058"/>
    </row>
    <row r="1221" spans="1:1">
      <c r="A1221" s="1058"/>
    </row>
    <row r="1222" spans="1:1">
      <c r="A1222" s="1058"/>
    </row>
    <row r="1223" spans="1:1">
      <c r="A1223" s="1058"/>
    </row>
    <row r="1224" spans="1:1">
      <c r="A1224" s="1058"/>
    </row>
    <row r="1225" spans="1:1">
      <c r="A1225" s="1058"/>
    </row>
    <row r="1226" spans="1:1">
      <c r="A1226" s="1058"/>
    </row>
    <row r="1227" spans="1:1">
      <c r="A1227" s="1058"/>
    </row>
    <row r="1228" spans="1:1">
      <c r="A1228" s="1058"/>
    </row>
    <row r="1229" spans="1:1">
      <c r="A1229" s="1058"/>
    </row>
    <row r="1230" spans="1:1">
      <c r="A1230" s="1058"/>
    </row>
    <row r="1231" spans="1:1">
      <c r="A1231" s="1058"/>
    </row>
    <row r="1232" spans="1:1">
      <c r="A1232" s="1058"/>
    </row>
    <row r="1233" spans="1:1">
      <c r="A1233" s="1058"/>
    </row>
    <row r="1234" spans="1:1">
      <c r="A1234" s="1058"/>
    </row>
    <row r="1235" spans="1:1">
      <c r="A1235" s="1058"/>
    </row>
    <row r="1236" spans="1:1">
      <c r="A1236" s="1058"/>
    </row>
    <row r="1237" spans="1:1">
      <c r="A1237" s="1058"/>
    </row>
    <row r="1238" spans="1:1">
      <c r="A1238" s="1058"/>
    </row>
    <row r="1239" spans="1:1">
      <c r="A1239" s="1058"/>
    </row>
    <row r="1240" spans="1:1">
      <c r="A1240" s="1058"/>
    </row>
    <row r="1241" spans="1:1">
      <c r="A1241" s="1058"/>
    </row>
    <row r="1242" spans="1:1">
      <c r="A1242" s="1058"/>
    </row>
    <row r="1243" spans="1:1">
      <c r="A1243" s="1058"/>
    </row>
    <row r="1244" spans="1:1">
      <c r="A1244" s="1058"/>
    </row>
    <row r="1245" spans="1:1">
      <c r="A1245" s="1058"/>
    </row>
    <row r="1246" spans="1:1">
      <c r="A1246" s="1058"/>
    </row>
    <row r="1247" spans="1:1">
      <c r="A1247" s="1058"/>
    </row>
    <row r="1248" spans="1:1">
      <c r="A1248" s="1058"/>
    </row>
    <row r="1249" spans="1:1">
      <c r="A1249" s="1058"/>
    </row>
    <row r="1250" spans="1:1">
      <c r="A1250" s="1058"/>
    </row>
    <row r="1251" spans="1:1">
      <c r="A1251" s="1058"/>
    </row>
    <row r="1252" spans="1:1">
      <c r="A1252" s="1058"/>
    </row>
    <row r="1253" spans="1:1">
      <c r="A1253" s="1058"/>
    </row>
    <row r="1254" spans="1:1">
      <c r="A1254" s="1058"/>
    </row>
    <row r="1255" spans="1:1">
      <c r="A1255" s="1058"/>
    </row>
    <row r="1256" spans="1:1">
      <c r="A1256" s="1058"/>
    </row>
    <row r="1257" spans="1:1">
      <c r="A1257" s="1058"/>
    </row>
    <row r="1258" spans="1:1">
      <c r="A1258" s="1058"/>
    </row>
    <row r="1259" spans="1:1">
      <c r="A1259" s="1058"/>
    </row>
    <row r="1260" spans="1:1">
      <c r="A1260" s="1058"/>
    </row>
    <row r="1261" spans="1:1">
      <c r="A1261" s="1058"/>
    </row>
    <row r="1262" spans="1:1">
      <c r="A1262" s="1058"/>
    </row>
    <row r="1263" spans="1:1">
      <c r="A1263" s="1058"/>
    </row>
    <row r="1264" spans="1:1">
      <c r="A1264" s="1058"/>
    </row>
    <row r="1265" spans="1:1">
      <c r="A1265" s="1058"/>
    </row>
    <row r="1266" spans="1:1">
      <c r="A1266" s="1058"/>
    </row>
    <row r="1267" spans="1:1">
      <c r="A1267" s="1058"/>
    </row>
    <row r="1268" spans="1:1">
      <c r="A1268" s="1058"/>
    </row>
    <row r="1269" spans="1:1">
      <c r="A1269" s="1058"/>
    </row>
    <row r="1270" spans="1:1">
      <c r="A1270" s="1058"/>
    </row>
    <row r="1271" spans="1:1">
      <c r="A1271" s="1058"/>
    </row>
    <row r="1272" spans="1:1">
      <c r="A1272" s="1058"/>
    </row>
    <row r="1273" spans="1:1">
      <c r="A1273" s="1058"/>
    </row>
    <row r="1274" spans="1:1">
      <c r="A1274" s="1058"/>
    </row>
    <row r="1275" spans="1:1">
      <c r="A1275" s="1058"/>
    </row>
    <row r="1276" spans="1:1">
      <c r="A1276" s="1058"/>
    </row>
    <row r="1277" spans="1:1">
      <c r="A1277" s="1058"/>
    </row>
    <row r="1278" spans="1:1">
      <c r="A1278" s="1058"/>
    </row>
    <row r="1279" spans="1:1">
      <c r="A1279" s="1058"/>
    </row>
    <row r="1280" spans="1:1">
      <c r="A1280" s="1058"/>
    </row>
    <row r="1281" spans="1:1">
      <c r="A1281" s="1058"/>
    </row>
    <row r="1282" spans="1:1">
      <c r="A1282" s="1058"/>
    </row>
    <row r="1283" spans="1:1">
      <c r="A1283" s="1058"/>
    </row>
    <row r="1284" spans="1:1">
      <c r="A1284" s="1058"/>
    </row>
    <row r="1285" spans="1:1">
      <c r="A1285" s="1058"/>
    </row>
    <row r="1286" spans="1:1">
      <c r="A1286" s="1058"/>
    </row>
    <row r="1287" spans="1:1">
      <c r="A1287" s="1058"/>
    </row>
    <row r="1288" spans="1:1">
      <c r="A1288" s="1058"/>
    </row>
    <row r="1289" spans="1:1">
      <c r="A1289" s="1058"/>
    </row>
    <row r="1290" spans="1:1">
      <c r="A1290" s="1058"/>
    </row>
    <row r="1291" spans="1:1">
      <c r="A1291" s="1058"/>
    </row>
    <row r="1292" spans="1:1">
      <c r="A1292" s="1058"/>
    </row>
    <row r="1293" spans="1:1">
      <c r="A1293" s="1058"/>
    </row>
    <row r="1294" spans="1:1">
      <c r="A1294" s="1058"/>
    </row>
    <row r="1295" spans="1:1">
      <c r="A1295" s="1058"/>
    </row>
    <row r="1296" spans="1:1">
      <c r="A1296" s="1058"/>
    </row>
    <row r="1297" spans="1:1">
      <c r="A1297" s="1058"/>
    </row>
    <row r="1298" spans="1:1">
      <c r="A1298" s="1058"/>
    </row>
    <row r="1299" spans="1:1">
      <c r="A1299" s="1058"/>
    </row>
    <row r="1300" spans="1:1">
      <c r="A1300" s="1058"/>
    </row>
    <row r="1301" spans="1:1">
      <c r="A1301" s="1058"/>
    </row>
    <row r="1302" spans="1:1">
      <c r="A1302" s="1058"/>
    </row>
    <row r="1303" spans="1:1">
      <c r="A1303" s="1058"/>
    </row>
    <row r="1304" spans="1:1">
      <c r="A1304" s="1058"/>
    </row>
    <row r="1305" spans="1:1">
      <c r="A1305" s="1058"/>
    </row>
    <row r="1306" spans="1:1">
      <c r="A1306" s="1058"/>
    </row>
    <row r="1307" spans="1:1">
      <c r="A1307" s="1058"/>
    </row>
    <row r="1308" spans="1:1">
      <c r="A1308" s="1058"/>
    </row>
    <row r="1309" spans="1:1">
      <c r="A1309" s="1058"/>
    </row>
    <row r="1310" spans="1:1">
      <c r="A1310" s="1058"/>
    </row>
    <row r="1311" spans="1:1">
      <c r="A1311" s="1058"/>
    </row>
    <row r="1312" spans="1:1">
      <c r="A1312" s="1058"/>
    </row>
    <row r="1313" spans="1:1">
      <c r="A1313" s="1058"/>
    </row>
    <row r="1314" spans="1:1">
      <c r="A1314" s="1058"/>
    </row>
    <row r="1315" spans="1:1">
      <c r="A1315" s="1058"/>
    </row>
    <row r="1316" spans="1:1">
      <c r="A1316" s="1058"/>
    </row>
    <row r="1317" spans="1:1">
      <c r="A1317" s="1058"/>
    </row>
    <row r="1318" spans="1:1">
      <c r="A1318" s="1058"/>
    </row>
    <row r="1319" spans="1:1">
      <c r="A1319" s="1058"/>
    </row>
    <row r="1320" spans="1:1">
      <c r="A1320" s="1058"/>
    </row>
    <row r="1321" spans="1:1">
      <c r="A1321" s="1058"/>
    </row>
    <row r="1322" spans="1:1">
      <c r="A1322" s="1058"/>
    </row>
    <row r="1323" spans="1:1">
      <c r="A1323" s="1058"/>
    </row>
    <row r="1324" spans="1:1">
      <c r="A1324" s="1058"/>
    </row>
    <row r="1325" spans="1:1">
      <c r="A1325" s="1058"/>
    </row>
    <row r="1326" spans="1:1">
      <c r="A1326" s="1058"/>
    </row>
    <row r="1327" spans="1:1">
      <c r="A1327" s="1058"/>
    </row>
    <row r="1328" spans="1:1">
      <c r="A1328" s="1058"/>
    </row>
    <row r="1329" spans="1:1">
      <c r="A1329" s="1058"/>
    </row>
    <row r="1330" spans="1:1">
      <c r="A1330" s="1058"/>
    </row>
    <row r="1331" spans="1:1">
      <c r="A1331" s="1058"/>
    </row>
    <row r="1332" spans="1:1">
      <c r="A1332" s="1058"/>
    </row>
    <row r="1333" spans="1:1">
      <c r="A1333" s="1058"/>
    </row>
    <row r="1334" spans="1:1">
      <c r="A1334" s="1058"/>
    </row>
    <row r="1335" spans="1:1">
      <c r="A1335" s="1058"/>
    </row>
    <row r="1336" spans="1:1">
      <c r="A1336" s="1058"/>
    </row>
    <row r="1337" spans="1:1">
      <c r="A1337" s="1058"/>
    </row>
    <row r="1338" spans="1:1">
      <c r="A1338" s="1058"/>
    </row>
    <row r="1339" spans="1:1">
      <c r="A1339" s="1058"/>
    </row>
    <row r="1340" spans="1:1">
      <c r="A1340" s="1058"/>
    </row>
    <row r="1341" spans="1:1">
      <c r="A1341" s="1058"/>
    </row>
    <row r="1342" spans="1:1">
      <c r="A1342" s="1058"/>
    </row>
    <row r="1343" spans="1:1">
      <c r="A1343" s="1058"/>
    </row>
    <row r="1344" spans="1:1">
      <c r="A1344" s="1058"/>
    </row>
    <row r="1345" spans="1:1">
      <c r="A1345" s="1058"/>
    </row>
    <row r="1346" spans="1:1">
      <c r="A1346" s="1058"/>
    </row>
    <row r="1347" spans="1:1">
      <c r="A1347" s="1058"/>
    </row>
    <row r="1348" spans="1:1">
      <c r="A1348" s="1058"/>
    </row>
    <row r="1349" spans="1:1">
      <c r="A1349" s="1058"/>
    </row>
    <row r="1350" spans="1:1">
      <c r="A1350" s="1058"/>
    </row>
    <row r="1351" spans="1:1">
      <c r="A1351" s="1058"/>
    </row>
    <row r="1352" spans="1:1">
      <c r="A1352" s="1058"/>
    </row>
    <row r="1353" spans="1:1">
      <c r="A1353" s="1058"/>
    </row>
    <row r="1354" spans="1:1">
      <c r="A1354" s="1058"/>
    </row>
    <row r="1355" spans="1:1">
      <c r="A1355" s="1058"/>
    </row>
    <row r="1356" spans="1:1">
      <c r="A1356" s="1058"/>
    </row>
    <row r="1357" spans="1:1">
      <c r="A1357" s="1058"/>
    </row>
    <row r="1358" spans="1:1">
      <c r="A1358" s="1058"/>
    </row>
    <row r="1359" spans="1:1">
      <c r="A1359" s="1058"/>
    </row>
    <row r="1360" spans="1:1">
      <c r="A1360" s="1058"/>
    </row>
    <row r="1361" spans="1:1">
      <c r="A1361" s="1058"/>
    </row>
    <row r="1362" spans="1:1">
      <c r="A1362" s="1058"/>
    </row>
    <row r="1363" spans="1:1">
      <c r="A1363" s="1058"/>
    </row>
    <row r="1364" spans="1:1">
      <c r="A1364" s="1058"/>
    </row>
    <row r="1365" spans="1:1">
      <c r="A1365" s="1058"/>
    </row>
    <row r="1366" spans="1:1">
      <c r="A1366" s="1058"/>
    </row>
    <row r="1367" spans="1:1">
      <c r="A1367" s="1058"/>
    </row>
    <row r="1368" spans="1:1">
      <c r="A1368" s="1058"/>
    </row>
    <row r="1369" spans="1:1">
      <c r="A1369" s="1058"/>
    </row>
    <row r="1370" spans="1:1">
      <c r="A1370" s="1058"/>
    </row>
    <row r="1371" spans="1:1">
      <c r="A1371" s="1058"/>
    </row>
    <row r="1372" spans="1:1">
      <c r="A1372" s="1058"/>
    </row>
    <row r="1373" spans="1:1">
      <c r="A1373" s="1058"/>
    </row>
    <row r="1374" spans="1:1">
      <c r="A1374" s="1058"/>
    </row>
    <row r="1375" spans="1:1">
      <c r="A1375" s="1058"/>
    </row>
    <row r="1376" spans="1:1">
      <c r="A1376" s="1058"/>
    </row>
    <row r="1377" spans="1:1">
      <c r="A1377" s="1058"/>
    </row>
    <row r="1378" spans="1:1">
      <c r="A1378" s="1058"/>
    </row>
    <row r="1379" spans="1:1">
      <c r="A1379" s="1058"/>
    </row>
    <row r="1380" spans="1:1">
      <c r="A1380" s="1058"/>
    </row>
    <row r="1381" spans="1:1">
      <c r="A1381" s="1058"/>
    </row>
    <row r="1382" spans="1:1">
      <c r="A1382" s="1058"/>
    </row>
    <row r="1383" spans="1:1">
      <c r="A1383" s="1058"/>
    </row>
    <row r="1384" spans="1:1">
      <c r="A1384" s="1058"/>
    </row>
    <row r="1385" spans="1:1">
      <c r="A1385" s="1058"/>
    </row>
    <row r="1386" spans="1:1">
      <c r="A1386" s="1058"/>
    </row>
    <row r="1387" spans="1:1">
      <c r="A1387" s="1058"/>
    </row>
    <row r="1388" spans="1:1">
      <c r="A1388" s="1058"/>
    </row>
    <row r="1389" spans="1:1">
      <c r="A1389" s="1058"/>
    </row>
    <row r="1390" spans="1:1">
      <c r="A1390" s="1058"/>
    </row>
    <row r="1391" spans="1:1">
      <c r="A1391" s="1058"/>
    </row>
    <row r="1392" spans="1:1">
      <c r="A1392" s="1058"/>
    </row>
    <row r="1393" spans="1:1">
      <c r="A1393" s="1058"/>
    </row>
    <row r="1394" spans="1:1">
      <c r="A1394" s="1058"/>
    </row>
    <row r="1395" spans="1:1">
      <c r="A1395" s="1058"/>
    </row>
    <row r="1396" spans="1:1">
      <c r="A1396" s="1058"/>
    </row>
    <row r="1397" spans="1:1">
      <c r="A1397" s="1058"/>
    </row>
    <row r="1398" spans="1:1">
      <c r="A1398" s="1058"/>
    </row>
    <row r="1399" spans="1:1">
      <c r="A1399" s="1058"/>
    </row>
    <row r="1400" spans="1:1">
      <c r="A1400" s="1058"/>
    </row>
    <row r="1401" spans="1:1">
      <c r="A1401" s="1058"/>
    </row>
    <row r="1402" spans="1:1">
      <c r="A1402" s="1058"/>
    </row>
    <row r="1403" spans="1:1">
      <c r="A1403" s="1058"/>
    </row>
    <row r="1404" spans="1:1">
      <c r="A1404" s="1058"/>
    </row>
    <row r="1405" spans="1:1">
      <c r="A1405" s="1058"/>
    </row>
    <row r="1406" spans="1:1">
      <c r="A1406" s="1058"/>
    </row>
    <row r="1407" spans="1:1">
      <c r="A1407" s="1058"/>
    </row>
    <row r="1408" spans="1:1">
      <c r="A1408" s="1058"/>
    </row>
    <row r="1409" spans="1:1">
      <c r="A1409" s="1058"/>
    </row>
    <row r="1410" spans="1:1">
      <c r="A1410" s="1058"/>
    </row>
    <row r="1411" spans="1:1">
      <c r="A1411" s="1058"/>
    </row>
    <row r="1412" spans="1:1">
      <c r="A1412" s="1058"/>
    </row>
    <row r="1413" spans="1:1">
      <c r="A1413" s="1058"/>
    </row>
    <row r="1414" spans="1:1">
      <c r="A1414" s="1058"/>
    </row>
    <row r="1415" spans="1:1">
      <c r="A1415" s="1058"/>
    </row>
    <row r="1416" spans="1:1">
      <c r="A1416" s="1058"/>
    </row>
    <row r="1417" spans="1:1">
      <c r="A1417" s="1058"/>
    </row>
    <row r="1418" spans="1:1">
      <c r="A1418" s="1058"/>
    </row>
    <row r="1419" spans="1:1">
      <c r="A1419" s="1058"/>
    </row>
    <row r="1420" spans="1:1">
      <c r="A1420" s="1058"/>
    </row>
    <row r="1421" spans="1:1">
      <c r="A1421" s="1058"/>
    </row>
    <row r="1422" spans="1:1">
      <c r="A1422" s="1058"/>
    </row>
    <row r="1423" spans="1:1">
      <c r="A1423" s="1058"/>
    </row>
    <row r="1424" spans="1:1">
      <c r="A1424" s="1058"/>
    </row>
    <row r="1425" spans="1:1">
      <c r="A1425" s="1058"/>
    </row>
    <row r="1426" spans="1:1">
      <c r="A1426" s="1058"/>
    </row>
    <row r="1427" spans="1:1">
      <c r="A1427" s="1058"/>
    </row>
    <row r="1428" spans="1:1">
      <c r="A1428" s="1058"/>
    </row>
    <row r="1429" spans="1:1">
      <c r="A1429" s="1058"/>
    </row>
    <row r="1430" spans="1:1">
      <c r="A1430" s="1058"/>
    </row>
    <row r="1431" spans="1:1">
      <c r="A1431" s="1058"/>
    </row>
    <row r="1432" spans="1:1">
      <c r="A1432" s="1058"/>
    </row>
    <row r="1433" spans="1:1">
      <c r="A1433" s="1058"/>
    </row>
    <row r="1434" spans="1:1">
      <c r="A1434" s="1058"/>
    </row>
    <row r="1435" spans="1:1">
      <c r="A1435" s="1058"/>
    </row>
    <row r="1436" spans="1:1">
      <c r="A1436" s="1058"/>
    </row>
    <row r="1437" spans="1:1">
      <c r="A1437" s="1058"/>
    </row>
    <row r="1438" spans="1:1">
      <c r="A1438" s="1058"/>
    </row>
    <row r="1439" spans="1:1">
      <c r="A1439" s="1058"/>
    </row>
    <row r="1440" spans="1:1">
      <c r="A1440" s="1058"/>
    </row>
    <row r="1441" spans="1:1">
      <c r="A1441" s="1058"/>
    </row>
    <row r="1442" spans="1:1">
      <c r="A1442" s="1058"/>
    </row>
    <row r="1443" spans="1:1">
      <c r="A1443" s="1058"/>
    </row>
    <row r="1444" spans="1:1">
      <c r="A1444" s="1058"/>
    </row>
    <row r="1445" spans="1:1">
      <c r="A1445" s="1058"/>
    </row>
    <row r="1446" spans="1:1">
      <c r="A1446" s="1058"/>
    </row>
  </sheetData>
  <phoneticPr fontId="12" type="noConversion"/>
  <conditionalFormatting sqref="K19:K498">
    <cfRule type="cellIs" dxfId="0" priority="1" stopIfTrue="1" operator="greaterThan">
      <formula>20.9</formula>
    </cfRule>
  </conditionalFormatting>
  <printOptions horizontalCentered="1"/>
  <pageMargins left="0.19685039370078741" right="0.19685039370078741" top="0.62992125984251968" bottom="0.39370078740157483" header="0.31496062992125984" footer="0.19685039370078741"/>
  <pageSetup paperSize="9" orientation="portrait" horizontalDpi="4294967295" verticalDpi="96"/>
  <headerFooter alignWithMargins="0">
    <oddHeader>&amp;C&amp;"MS Sans Serif,Bold"&amp;16&amp;A</oddHeader>
    <oddFooter>&amp;L&amp;8&amp;Z&amp;F&amp;R&amp;8&amp;D &amp;T</oddFooter>
  </headerFooter>
  <legacy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enableFormatConditionsCalculation="0">
    <tabColor indexed="42"/>
  </sheetPr>
  <dimension ref="A1:Z180"/>
  <sheetViews>
    <sheetView topLeftCell="A15" zoomScale="118" zoomScaleNormal="118" zoomScalePageLayoutView="118" workbookViewId="0">
      <selection activeCell="G10" sqref="G10"/>
    </sheetView>
  </sheetViews>
  <sheetFormatPr baseColWidth="10" defaultColWidth="8.7109375" defaultRowHeight="13" x14ac:dyDescent="0"/>
  <cols>
    <col min="1" max="1" width="8.7109375" style="4"/>
    <col min="2" max="2" width="16.7109375" style="4" customWidth="1"/>
    <col min="3" max="5" width="8.7109375" style="16"/>
    <col min="6" max="6" width="16.7109375" style="16" customWidth="1"/>
    <col min="7" max="9" width="8.7109375" style="16"/>
    <col min="10" max="10" width="16.85546875" style="16" customWidth="1"/>
    <col min="11" max="11" width="8.7109375" style="16"/>
    <col min="12" max="12" width="8.7109375" style="4"/>
    <col min="13" max="18" width="16.7109375" style="456" customWidth="1"/>
    <col min="19" max="20" width="16.7109375" style="3" customWidth="1"/>
    <col min="21" max="26" width="8.7109375" style="3"/>
    <col min="27" max="16384" width="8.7109375" style="1"/>
  </cols>
  <sheetData>
    <row r="1" spans="2:26">
      <c r="S1" s="1048"/>
    </row>
    <row r="2" spans="2:26">
      <c r="E2" s="4"/>
      <c r="F2" s="4"/>
      <c r="S2" s="1048"/>
    </row>
    <row r="3" spans="2:26">
      <c r="B3" s="4" t="s">
        <v>1284</v>
      </c>
      <c r="C3" s="16" t="s">
        <v>310</v>
      </c>
      <c r="D3" s="16" t="s">
        <v>311</v>
      </c>
      <c r="E3" s="4"/>
      <c r="F3" s="567" t="s">
        <v>348</v>
      </c>
      <c r="G3" s="16" t="s">
        <v>310</v>
      </c>
      <c r="H3" s="16" t="s">
        <v>311</v>
      </c>
      <c r="I3" s="992" t="s">
        <v>1730</v>
      </c>
      <c r="J3" s="992" t="s">
        <v>1731</v>
      </c>
      <c r="L3" s="16">
        <v>1</v>
      </c>
      <c r="M3" s="1572" t="s">
        <v>426</v>
      </c>
      <c r="N3" s="1572" t="s">
        <v>432</v>
      </c>
      <c r="O3" s="1572" t="s">
        <v>441</v>
      </c>
      <c r="P3" s="1572" t="s">
        <v>705</v>
      </c>
      <c r="Q3" s="1572" t="s">
        <v>707</v>
      </c>
      <c r="R3" s="1572" t="s">
        <v>712</v>
      </c>
      <c r="S3" s="1572" t="s">
        <v>791</v>
      </c>
      <c r="T3" s="1572" t="s">
        <v>718</v>
      </c>
      <c r="U3" s="1572"/>
      <c r="V3" s="16"/>
    </row>
    <row r="4" spans="2:26">
      <c r="E4" s="4"/>
      <c r="F4" s="1532" t="s">
        <v>1676</v>
      </c>
      <c r="G4" s="1533">
        <v>86.175399999999996</v>
      </c>
      <c r="H4" s="1533">
        <v>6</v>
      </c>
      <c r="I4" s="499" t="s">
        <v>1732</v>
      </c>
      <c r="J4" s="503" t="s">
        <v>1737</v>
      </c>
      <c r="L4" s="16">
        <v>2</v>
      </c>
      <c r="M4" s="1572" t="s">
        <v>427</v>
      </c>
      <c r="N4" s="1572" t="s">
        <v>433</v>
      </c>
      <c r="O4" s="1572" t="s">
        <v>555</v>
      </c>
      <c r="P4" s="1572" t="s">
        <v>174</v>
      </c>
      <c r="Q4" s="1572" t="s">
        <v>1686</v>
      </c>
      <c r="R4" s="1572" t="s">
        <v>713</v>
      </c>
      <c r="S4" s="1572" t="s">
        <v>716</v>
      </c>
      <c r="T4" s="1572" t="s">
        <v>719</v>
      </c>
      <c r="U4" s="1572"/>
      <c r="V4" s="18"/>
    </row>
    <row r="5" spans="2:26">
      <c r="B5" s="1048" t="s">
        <v>334</v>
      </c>
      <c r="C5" s="1049">
        <v>133.4</v>
      </c>
      <c r="D5" s="992">
        <v>2</v>
      </c>
      <c r="E5" s="4"/>
      <c r="F5" s="1535" t="s">
        <v>352</v>
      </c>
      <c r="G5" s="1573">
        <v>86.175399999999996</v>
      </c>
      <c r="H5" s="1573">
        <v>6</v>
      </c>
      <c r="I5" s="485" t="s">
        <v>1734</v>
      </c>
      <c r="J5" s="504" t="s">
        <v>1733</v>
      </c>
      <c r="L5" s="16">
        <v>3</v>
      </c>
      <c r="M5" s="1572" t="s">
        <v>428</v>
      </c>
      <c r="N5" s="1572" t="s">
        <v>434</v>
      </c>
      <c r="O5" s="1572" t="s">
        <v>442</v>
      </c>
      <c r="P5" s="1572"/>
      <c r="Q5" s="1572" t="s">
        <v>708</v>
      </c>
      <c r="R5" s="1572" t="s">
        <v>714</v>
      </c>
      <c r="S5" s="1572" t="s">
        <v>717</v>
      </c>
      <c r="T5" s="1572" t="s">
        <v>720</v>
      </c>
      <c r="U5" s="1572"/>
    </row>
    <row r="6" spans="2:26">
      <c r="B6" s="1048" t="s">
        <v>724</v>
      </c>
      <c r="C6" s="992">
        <v>167.85</v>
      </c>
      <c r="D6" s="992">
        <v>2</v>
      </c>
      <c r="E6" s="4"/>
      <c r="F6" s="1535" t="s">
        <v>351</v>
      </c>
      <c r="G6" s="1573">
        <v>44.095599999999997</v>
      </c>
      <c r="H6" s="1573">
        <v>3</v>
      </c>
      <c r="I6" s="485" t="s">
        <v>1734</v>
      </c>
      <c r="J6" s="504" t="s">
        <v>1736</v>
      </c>
      <c r="L6" s="16">
        <v>4</v>
      </c>
      <c r="M6" s="1572" t="s">
        <v>429</v>
      </c>
      <c r="N6" s="1572" t="s">
        <v>435</v>
      </c>
      <c r="O6" s="1572" t="s">
        <v>444</v>
      </c>
      <c r="P6" s="1572"/>
      <c r="Q6" s="1572" t="s">
        <v>709</v>
      </c>
      <c r="R6" s="1572" t="s">
        <v>654</v>
      </c>
      <c r="S6" s="1572" t="s">
        <v>653</v>
      </c>
      <c r="T6" s="1572" t="s">
        <v>656</v>
      </c>
      <c r="U6" s="1572"/>
    </row>
    <row r="7" spans="2:26">
      <c r="B7" s="1048" t="s">
        <v>335</v>
      </c>
      <c r="C7" s="1049">
        <v>133.4</v>
      </c>
      <c r="D7" s="992">
        <v>2</v>
      </c>
      <c r="E7" s="4"/>
      <c r="F7" s="1536" t="s">
        <v>353</v>
      </c>
      <c r="G7" s="1537">
        <v>86.175399999999996</v>
      </c>
      <c r="H7" s="1537">
        <v>6</v>
      </c>
      <c r="I7" s="1679" t="s">
        <v>1735</v>
      </c>
      <c r="J7" s="1678"/>
      <c r="L7" s="16">
        <v>5</v>
      </c>
      <c r="M7" s="1572" t="s">
        <v>430</v>
      </c>
      <c r="N7" s="1572" t="s">
        <v>447</v>
      </c>
      <c r="O7" s="1572" t="s">
        <v>655</v>
      </c>
      <c r="P7" s="1572"/>
      <c r="Q7" s="1572" t="s">
        <v>710</v>
      </c>
      <c r="R7" s="1572"/>
      <c r="S7" s="1572"/>
      <c r="T7" s="1572"/>
      <c r="U7" s="1572"/>
    </row>
    <row r="8" spans="2:26">
      <c r="B8" s="1048" t="s">
        <v>737</v>
      </c>
      <c r="C8" s="992">
        <v>96.95</v>
      </c>
      <c r="D8" s="992">
        <v>2</v>
      </c>
      <c r="E8" s="4"/>
      <c r="F8" s="4"/>
      <c r="L8" s="16">
        <v>6</v>
      </c>
      <c r="M8" s="1572" t="s">
        <v>432</v>
      </c>
      <c r="N8" s="1572" t="s">
        <v>436</v>
      </c>
      <c r="O8" s="1572" t="s">
        <v>450</v>
      </c>
      <c r="P8" s="1572"/>
      <c r="Q8" s="1572" t="s">
        <v>711</v>
      </c>
      <c r="R8" s="1572"/>
      <c r="S8" s="1572"/>
      <c r="T8" s="1572"/>
      <c r="U8" s="1572"/>
    </row>
    <row r="9" spans="2:26">
      <c r="B9" s="1048" t="s">
        <v>341</v>
      </c>
      <c r="C9" s="992">
        <v>120.19</v>
      </c>
      <c r="D9" s="992">
        <v>9</v>
      </c>
      <c r="E9" s="4"/>
      <c r="F9" s="1048" t="s">
        <v>1677</v>
      </c>
      <c r="L9" s="16">
        <v>7</v>
      </c>
      <c r="M9" s="1572" t="s">
        <v>431</v>
      </c>
      <c r="N9" s="1572" t="s">
        <v>792</v>
      </c>
      <c r="O9" s="1572" t="s">
        <v>443</v>
      </c>
      <c r="P9" s="1572"/>
      <c r="Q9" s="1572" t="s">
        <v>662</v>
      </c>
      <c r="R9" s="1572"/>
      <c r="S9" s="1572"/>
      <c r="T9" s="1572"/>
      <c r="U9" s="1572"/>
    </row>
    <row r="10" spans="2:26">
      <c r="B10" s="1048" t="s">
        <v>340</v>
      </c>
      <c r="C10" s="992">
        <v>120.19</v>
      </c>
      <c r="D10" s="992">
        <v>9</v>
      </c>
      <c r="F10" s="1575" t="s">
        <v>177</v>
      </c>
      <c r="G10" s="1534">
        <v>16.0425</v>
      </c>
      <c r="L10" s="16">
        <v>8</v>
      </c>
      <c r="M10" s="1572" t="s">
        <v>305</v>
      </c>
      <c r="N10" s="1572" t="s">
        <v>798</v>
      </c>
      <c r="O10" s="1572" t="s">
        <v>445</v>
      </c>
      <c r="P10" s="1572"/>
      <c r="Q10" s="1572"/>
      <c r="R10" s="1572"/>
      <c r="S10" s="1572"/>
      <c r="T10" s="1572"/>
      <c r="U10" s="1572"/>
    </row>
    <row r="11" spans="2:26">
      <c r="B11" s="1048" t="s">
        <v>698</v>
      </c>
      <c r="C11" s="992">
        <v>98.96</v>
      </c>
      <c r="D11" s="992">
        <v>2</v>
      </c>
      <c r="F11" s="1576" t="s">
        <v>1678</v>
      </c>
      <c r="G11" s="1984">
        <v>16.0425</v>
      </c>
      <c r="L11" s="16">
        <v>9</v>
      </c>
      <c r="M11" s="1572"/>
      <c r="N11" s="1572" t="s">
        <v>446</v>
      </c>
      <c r="O11" s="1572" t="s">
        <v>449</v>
      </c>
      <c r="P11" s="1572"/>
      <c r="Q11" s="1572"/>
      <c r="R11" s="1572"/>
      <c r="S11" s="1572"/>
      <c r="T11" s="1572"/>
      <c r="U11" s="1572"/>
      <c r="W11" s="16"/>
      <c r="X11" s="16"/>
      <c r="Y11" s="16"/>
      <c r="Z11" s="16"/>
    </row>
    <row r="12" spans="2:26">
      <c r="B12" s="1048" t="s">
        <v>339</v>
      </c>
      <c r="C12" s="992">
        <v>120.19</v>
      </c>
      <c r="D12" s="992">
        <v>9</v>
      </c>
      <c r="F12" s="1576" t="s">
        <v>1676</v>
      </c>
      <c r="G12" s="1574">
        <v>86.175399999999996</v>
      </c>
      <c r="L12" s="16">
        <v>10</v>
      </c>
      <c r="M12" s="1572"/>
      <c r="N12" s="1572" t="s">
        <v>475</v>
      </c>
      <c r="O12" s="1572" t="s">
        <v>451</v>
      </c>
      <c r="P12" s="1572"/>
      <c r="Q12" s="1572"/>
      <c r="R12" s="1572"/>
      <c r="S12" s="1572"/>
      <c r="T12" s="1572"/>
      <c r="U12" s="1572"/>
      <c r="W12" s="18"/>
      <c r="X12" s="18"/>
      <c r="Y12" s="18"/>
      <c r="Z12" s="18"/>
    </row>
    <row r="13" spans="2:26">
      <c r="B13" s="1048" t="s">
        <v>478</v>
      </c>
      <c r="C13" s="992">
        <v>54.1</v>
      </c>
      <c r="D13" s="992">
        <v>4</v>
      </c>
      <c r="F13" s="1577" t="s">
        <v>1679</v>
      </c>
      <c r="G13" s="1538">
        <v>44.095599999999997</v>
      </c>
      <c r="L13" s="16">
        <v>11</v>
      </c>
      <c r="M13" s="1572"/>
      <c r="N13" s="1572" t="s">
        <v>437</v>
      </c>
      <c r="O13" s="1572"/>
      <c r="P13" s="1572"/>
      <c r="Q13" s="1572"/>
      <c r="R13" s="1572"/>
      <c r="S13" s="1572"/>
      <c r="T13" s="1572"/>
      <c r="U13" s="1572"/>
    </row>
    <row r="14" spans="2:26">
      <c r="B14" s="1572" t="s">
        <v>656</v>
      </c>
      <c r="C14" s="992">
        <v>168.2</v>
      </c>
      <c r="D14" s="992">
        <v>8</v>
      </c>
      <c r="L14" s="16">
        <v>12</v>
      </c>
      <c r="M14" s="1572"/>
      <c r="N14" s="1572" t="s">
        <v>438</v>
      </c>
      <c r="O14" s="1572"/>
      <c r="P14" s="1572"/>
      <c r="Q14" s="1572"/>
      <c r="R14" s="1572"/>
      <c r="S14" s="1572"/>
      <c r="T14" s="1572"/>
      <c r="U14" s="1572"/>
    </row>
    <row r="15" spans="2:26">
      <c r="B15" s="1048" t="s">
        <v>182</v>
      </c>
      <c r="C15" s="992">
        <v>56.1</v>
      </c>
      <c r="D15" s="992">
        <v>4</v>
      </c>
      <c r="L15" s="16">
        <v>13</v>
      </c>
      <c r="M15" s="1572"/>
      <c r="N15" s="1572" t="s">
        <v>439</v>
      </c>
      <c r="O15" s="1572"/>
      <c r="P15" s="1572"/>
      <c r="Q15" s="1572"/>
      <c r="R15" s="1572"/>
      <c r="S15" s="1572"/>
      <c r="T15" s="1572"/>
      <c r="U15" s="1572"/>
    </row>
    <row r="16" spans="2:26">
      <c r="B16" s="1048" t="s">
        <v>751</v>
      </c>
      <c r="C16" s="992">
        <v>90.12</v>
      </c>
      <c r="D16" s="992">
        <v>4</v>
      </c>
      <c r="L16" s="16">
        <v>14</v>
      </c>
      <c r="M16" s="1572"/>
      <c r="N16" s="1572" t="s">
        <v>440</v>
      </c>
      <c r="O16" s="1572"/>
      <c r="P16" s="1572"/>
      <c r="Q16" s="1572"/>
      <c r="R16" s="1572"/>
      <c r="S16" s="1572"/>
      <c r="T16" s="1572"/>
      <c r="U16" s="1572"/>
    </row>
    <row r="17" spans="2:21">
      <c r="B17" s="1048" t="s">
        <v>752</v>
      </c>
      <c r="C17" s="992">
        <v>132.16</v>
      </c>
      <c r="D17" s="992">
        <v>6</v>
      </c>
      <c r="L17" s="16">
        <v>15</v>
      </c>
      <c r="M17" s="1572"/>
      <c r="N17" s="1572" t="s">
        <v>477</v>
      </c>
      <c r="O17" s="1572"/>
      <c r="P17" s="1572"/>
      <c r="Q17" s="1572"/>
      <c r="R17" s="1572"/>
      <c r="S17" s="1572"/>
      <c r="T17" s="1572"/>
      <c r="U17" s="1572"/>
    </row>
    <row r="18" spans="2:21">
      <c r="B18" s="1050" t="s">
        <v>585</v>
      </c>
      <c r="C18" s="992">
        <v>99.13</v>
      </c>
      <c r="D18" s="992">
        <v>5</v>
      </c>
      <c r="L18" s="16">
        <v>16</v>
      </c>
      <c r="M18" s="1572"/>
      <c r="N18" s="1572"/>
      <c r="O18" s="1572"/>
      <c r="P18" s="1572"/>
      <c r="Q18" s="1572"/>
      <c r="R18" s="1572"/>
      <c r="S18" s="1572"/>
      <c r="T18" s="1572"/>
      <c r="U18" s="1572"/>
    </row>
    <row r="19" spans="2:21">
      <c r="B19" s="1048" t="s">
        <v>699</v>
      </c>
      <c r="C19" s="1049">
        <v>100.2</v>
      </c>
      <c r="D19" s="992">
        <v>7</v>
      </c>
      <c r="L19" s="16">
        <v>17</v>
      </c>
      <c r="M19" s="1572"/>
      <c r="N19" s="1572"/>
      <c r="O19" s="1572"/>
      <c r="P19" s="1572"/>
      <c r="Q19" s="1572"/>
      <c r="R19" s="1572"/>
      <c r="S19" s="1572"/>
      <c r="T19" s="1572"/>
      <c r="U19" s="1572"/>
    </row>
    <row r="20" spans="2:21">
      <c r="B20" s="1572" t="s">
        <v>773</v>
      </c>
      <c r="C20" s="992">
        <v>174.2</v>
      </c>
      <c r="D20" s="992">
        <v>9</v>
      </c>
      <c r="L20" s="16">
        <v>18</v>
      </c>
      <c r="M20" s="1572"/>
      <c r="N20" s="1572"/>
      <c r="O20" s="1572"/>
      <c r="P20" s="1572"/>
      <c r="Q20" s="1572"/>
      <c r="R20" s="1572"/>
      <c r="S20" s="1572"/>
      <c r="T20" s="1572"/>
      <c r="U20" s="1572"/>
    </row>
    <row r="21" spans="2:21">
      <c r="B21" s="1572" t="s">
        <v>774</v>
      </c>
      <c r="C21" s="992">
        <v>174.2</v>
      </c>
      <c r="D21" s="992">
        <v>9</v>
      </c>
      <c r="L21" s="16" t="s">
        <v>448</v>
      </c>
      <c r="M21" s="133">
        <f t="shared" ref="M21:T21" si="0">COUNTA(M3:M20)</f>
        <v>8</v>
      </c>
      <c r="N21" s="133">
        <f t="shared" si="0"/>
        <v>15</v>
      </c>
      <c r="O21" s="133">
        <f t="shared" si="0"/>
        <v>10</v>
      </c>
      <c r="P21" s="133">
        <f t="shared" si="0"/>
        <v>2</v>
      </c>
      <c r="Q21" s="133">
        <f t="shared" si="0"/>
        <v>7</v>
      </c>
      <c r="R21" s="133">
        <f t="shared" si="0"/>
        <v>4</v>
      </c>
      <c r="S21" s="133">
        <f t="shared" si="0"/>
        <v>4</v>
      </c>
      <c r="T21" s="133">
        <f t="shared" si="0"/>
        <v>4</v>
      </c>
      <c r="U21" s="1572"/>
    </row>
    <row r="22" spans="2:21">
      <c r="B22" s="1048" t="s">
        <v>225</v>
      </c>
      <c r="C22" s="992">
        <v>118.18</v>
      </c>
      <c r="D22" s="992">
        <v>6</v>
      </c>
      <c r="S22" s="456"/>
    </row>
    <row r="23" spans="2:21">
      <c r="B23" s="1048" t="s">
        <v>753</v>
      </c>
      <c r="C23" s="992">
        <v>160.21</v>
      </c>
      <c r="D23" s="992">
        <v>8</v>
      </c>
      <c r="F23" s="16" t="s">
        <v>1171</v>
      </c>
      <c r="G23" s="16" t="e">
        <f ca="1">_xll.MW(H23)</f>
        <v>#NAME?</v>
      </c>
      <c r="H23" s="16" t="s">
        <v>1172</v>
      </c>
      <c r="S23" s="456"/>
    </row>
    <row r="24" spans="2:21">
      <c r="B24" s="1048" t="s">
        <v>1090</v>
      </c>
      <c r="C24" s="992">
        <v>90.12</v>
      </c>
      <c r="D24" s="992">
        <v>4</v>
      </c>
      <c r="L24" s="16">
        <v>1</v>
      </c>
      <c r="M24" s="1048" t="s">
        <v>183</v>
      </c>
      <c r="N24" s="1048" t="s">
        <v>189</v>
      </c>
      <c r="O24" s="1048" t="s">
        <v>196</v>
      </c>
      <c r="P24" s="1048" t="s">
        <v>203</v>
      </c>
      <c r="Q24" s="1048" t="s">
        <v>207</v>
      </c>
      <c r="R24" s="1048" t="s">
        <v>218</v>
      </c>
      <c r="S24" s="1048" t="s">
        <v>659</v>
      </c>
      <c r="T24" s="1048" t="s">
        <v>742</v>
      </c>
      <c r="U24" s="1048" t="s">
        <v>731</v>
      </c>
    </row>
    <row r="25" spans="2:21">
      <c r="B25" s="1048" t="s">
        <v>1091</v>
      </c>
      <c r="C25" s="992">
        <v>132.16</v>
      </c>
      <c r="D25" s="992">
        <v>6</v>
      </c>
      <c r="L25" s="16">
        <v>2</v>
      </c>
      <c r="M25" s="1048" t="s">
        <v>787</v>
      </c>
      <c r="N25" s="1048" t="s">
        <v>187</v>
      </c>
      <c r="O25" s="1048" t="s">
        <v>197</v>
      </c>
      <c r="P25" s="1048" t="s">
        <v>794</v>
      </c>
      <c r="Q25" s="1048" t="s">
        <v>208</v>
      </c>
      <c r="R25" s="1048" t="s">
        <v>219</v>
      </c>
      <c r="S25" s="1048" t="s">
        <v>660</v>
      </c>
      <c r="T25" s="1048" t="s">
        <v>743</v>
      </c>
      <c r="U25" s="1048" t="s">
        <v>734</v>
      </c>
    </row>
    <row r="26" spans="2:21">
      <c r="B26" s="1048" t="s">
        <v>344</v>
      </c>
      <c r="C26" s="992">
        <v>100.16</v>
      </c>
      <c r="D26" s="992">
        <v>6</v>
      </c>
      <c r="L26" s="16">
        <v>3</v>
      </c>
      <c r="M26" s="1048" t="s">
        <v>788</v>
      </c>
      <c r="N26" s="1048" t="s">
        <v>188</v>
      </c>
      <c r="O26" s="1048" t="s">
        <v>198</v>
      </c>
      <c r="P26" s="1048" t="s">
        <v>258</v>
      </c>
      <c r="Q26" s="1048" t="s">
        <v>209</v>
      </c>
      <c r="R26" s="1048" t="s">
        <v>220</v>
      </c>
      <c r="S26" s="1048" t="s">
        <v>661</v>
      </c>
      <c r="T26" s="1048" t="s">
        <v>744</v>
      </c>
      <c r="U26" s="1048" t="s">
        <v>734</v>
      </c>
    </row>
    <row r="27" spans="2:21">
      <c r="B27" s="1048" t="s">
        <v>1089</v>
      </c>
      <c r="C27" s="992">
        <v>76.09</v>
      </c>
      <c r="D27" s="992">
        <v>3</v>
      </c>
      <c r="L27" s="16">
        <v>4</v>
      </c>
      <c r="M27" s="1048" t="s">
        <v>184</v>
      </c>
      <c r="N27" s="1048" t="s">
        <v>190</v>
      </c>
      <c r="O27" s="1048" t="s">
        <v>199</v>
      </c>
      <c r="P27" s="1048" t="s">
        <v>257</v>
      </c>
      <c r="Q27" s="1048" t="s">
        <v>777</v>
      </c>
      <c r="R27" s="1048" t="s">
        <v>221</v>
      </c>
      <c r="S27" s="1048" t="s">
        <v>729</v>
      </c>
      <c r="T27" s="1048" t="s">
        <v>749</v>
      </c>
      <c r="U27" s="1048" t="s">
        <v>736</v>
      </c>
    </row>
    <row r="28" spans="2:21">
      <c r="B28" s="1048" t="s">
        <v>346</v>
      </c>
      <c r="C28" s="992">
        <v>100.2</v>
      </c>
      <c r="D28" s="992">
        <v>7</v>
      </c>
      <c r="L28" s="16">
        <v>5</v>
      </c>
      <c r="M28" s="1048" t="s">
        <v>185</v>
      </c>
      <c r="N28" s="1048" t="s">
        <v>191</v>
      </c>
      <c r="O28" s="1048" t="s">
        <v>789</v>
      </c>
      <c r="P28" s="1048" t="s">
        <v>249</v>
      </c>
      <c r="Q28" s="1048" t="s">
        <v>210</v>
      </c>
      <c r="R28" s="1048" t="s">
        <v>245</v>
      </c>
      <c r="S28" s="1048" t="s">
        <v>658</v>
      </c>
      <c r="T28" s="1048" t="s">
        <v>776</v>
      </c>
      <c r="U28" s="1048" t="s">
        <v>736</v>
      </c>
    </row>
    <row r="29" spans="2:21">
      <c r="B29" s="1048" t="s">
        <v>347</v>
      </c>
      <c r="C29" s="992">
        <v>136.24</v>
      </c>
      <c r="D29" s="992">
        <v>10</v>
      </c>
      <c r="L29" s="16">
        <v>6</v>
      </c>
      <c r="M29" s="1048" t="s">
        <v>186</v>
      </c>
      <c r="N29" s="1048" t="s">
        <v>192</v>
      </c>
      <c r="O29" s="1048" t="s">
        <v>200</v>
      </c>
      <c r="P29" s="1048" t="s">
        <v>204</v>
      </c>
      <c r="Q29" s="1048" t="s">
        <v>211</v>
      </c>
      <c r="R29" s="1048" t="s">
        <v>745</v>
      </c>
      <c r="S29" s="1048"/>
      <c r="T29" s="1048" t="s">
        <v>750</v>
      </c>
      <c r="U29" s="1048" t="s">
        <v>736</v>
      </c>
    </row>
    <row r="30" spans="2:21">
      <c r="B30" s="1048" t="s">
        <v>726</v>
      </c>
      <c r="C30" s="992">
        <v>100.2</v>
      </c>
      <c r="D30" s="992">
        <v>7</v>
      </c>
      <c r="L30" s="16">
        <v>7</v>
      </c>
      <c r="M30" s="1048" t="s">
        <v>225</v>
      </c>
      <c r="N30" s="1048" t="s">
        <v>193</v>
      </c>
      <c r="O30" s="1048" t="s">
        <v>201</v>
      </c>
      <c r="P30" s="1048" t="s">
        <v>205</v>
      </c>
      <c r="Q30" s="1048" t="s">
        <v>790</v>
      </c>
      <c r="R30" s="1048" t="s">
        <v>746</v>
      </c>
      <c r="S30" s="1048"/>
      <c r="T30" s="1048" t="s">
        <v>741</v>
      </c>
      <c r="U30" s="1048" t="s">
        <v>736</v>
      </c>
    </row>
    <row r="31" spans="2:21">
      <c r="B31" s="1572" t="s">
        <v>1687</v>
      </c>
      <c r="C31" s="992">
        <v>44.04</v>
      </c>
      <c r="D31" s="992">
        <v>2</v>
      </c>
      <c r="L31" s="16">
        <v>8</v>
      </c>
      <c r="M31" s="1048"/>
      <c r="N31" s="1048" t="s">
        <v>194</v>
      </c>
      <c r="O31" s="1048" t="s">
        <v>202</v>
      </c>
      <c r="P31" s="1048" t="s">
        <v>243</v>
      </c>
      <c r="Q31" s="1048" t="s">
        <v>799</v>
      </c>
      <c r="R31" s="1048" t="s">
        <v>748</v>
      </c>
      <c r="S31" s="1048"/>
      <c r="T31" s="1048" t="s">
        <v>551</v>
      </c>
      <c r="U31" s="1048"/>
    </row>
    <row r="32" spans="2:21">
      <c r="B32" s="1048" t="s">
        <v>342</v>
      </c>
      <c r="C32" s="992">
        <v>58.08</v>
      </c>
      <c r="D32" s="992">
        <v>3</v>
      </c>
      <c r="L32" s="16">
        <v>9</v>
      </c>
      <c r="M32" s="1048"/>
      <c r="N32" s="1048" t="s">
        <v>195</v>
      </c>
      <c r="O32" s="1048" t="s">
        <v>816</v>
      </c>
      <c r="P32" s="1048" t="s">
        <v>244</v>
      </c>
      <c r="Q32" s="1048" t="s">
        <v>212</v>
      </c>
      <c r="R32" s="1048" t="s">
        <v>222</v>
      </c>
      <c r="S32" s="1048"/>
    </row>
    <row r="33" spans="2:21">
      <c r="B33" s="1048" t="s">
        <v>1088</v>
      </c>
      <c r="C33" s="992">
        <v>41.05</v>
      </c>
      <c r="D33" s="992">
        <v>2</v>
      </c>
      <c r="L33" s="16">
        <v>10</v>
      </c>
      <c r="M33" s="1048"/>
      <c r="N33" s="1048" t="s">
        <v>226</v>
      </c>
      <c r="O33" s="1048" t="s">
        <v>347</v>
      </c>
      <c r="P33" s="1048" t="s">
        <v>206</v>
      </c>
      <c r="Q33" s="1048" t="s">
        <v>213</v>
      </c>
      <c r="R33" s="1048" t="s">
        <v>730</v>
      </c>
      <c r="S33" s="1048"/>
    </row>
    <row r="34" spans="2:21">
      <c r="B34" s="1048" t="s">
        <v>479</v>
      </c>
      <c r="C34" s="992">
        <v>26.04</v>
      </c>
      <c r="D34" s="992">
        <v>2</v>
      </c>
      <c r="L34" s="16">
        <v>11</v>
      </c>
      <c r="M34" s="992"/>
      <c r="P34" s="1048" t="s">
        <v>248</v>
      </c>
      <c r="Q34" s="1048" t="s">
        <v>759</v>
      </c>
      <c r="R34" s="1048" t="s">
        <v>223</v>
      </c>
      <c r="S34" s="1048"/>
      <c r="T34" s="1048"/>
      <c r="U34" s="1048"/>
    </row>
    <row r="35" spans="2:21">
      <c r="B35" s="1572" t="s">
        <v>764</v>
      </c>
      <c r="C35" s="992">
        <v>56.06</v>
      </c>
      <c r="D35" s="992">
        <v>3</v>
      </c>
      <c r="L35" s="16">
        <v>12</v>
      </c>
      <c r="M35" s="1048"/>
      <c r="N35" s="1048"/>
      <c r="O35" s="1048"/>
      <c r="P35" s="1048" t="s">
        <v>247</v>
      </c>
      <c r="Q35" s="1048" t="s">
        <v>214</v>
      </c>
      <c r="R35" s="1048" t="s">
        <v>723</v>
      </c>
      <c r="S35" s="1048"/>
      <c r="T35" s="1048"/>
      <c r="U35" s="1048"/>
    </row>
    <row r="36" spans="2:21">
      <c r="B36" s="1048" t="s">
        <v>760</v>
      </c>
      <c r="C36" s="992">
        <v>53.06</v>
      </c>
      <c r="D36" s="992">
        <v>3</v>
      </c>
      <c r="L36" s="16">
        <v>13</v>
      </c>
      <c r="M36" s="992"/>
      <c r="N36" s="1048"/>
      <c r="O36" s="1048"/>
      <c r="P36" s="1048" t="s">
        <v>260</v>
      </c>
      <c r="Q36" s="1048" t="s">
        <v>215</v>
      </c>
      <c r="R36" s="1048" t="s">
        <v>267</v>
      </c>
      <c r="S36" s="1048"/>
      <c r="T36" s="1048"/>
      <c r="U36" s="1048"/>
    </row>
    <row r="37" spans="2:21">
      <c r="B37" s="1048" t="s">
        <v>700</v>
      </c>
      <c r="C37" s="992">
        <v>118.2</v>
      </c>
      <c r="D37" s="992">
        <v>9</v>
      </c>
      <c r="L37" s="16">
        <v>14</v>
      </c>
      <c r="M37" s="1048"/>
      <c r="N37" s="1048"/>
      <c r="O37" s="1048"/>
      <c r="P37" s="1048" t="s">
        <v>246</v>
      </c>
      <c r="Q37" s="1048" t="s">
        <v>216</v>
      </c>
      <c r="R37" s="1048" t="s">
        <v>266</v>
      </c>
      <c r="S37" s="1048"/>
      <c r="T37" s="1048"/>
      <c r="U37" s="1048"/>
    </row>
    <row r="38" spans="2:21">
      <c r="B38" s="1048" t="s">
        <v>482</v>
      </c>
      <c r="C38" s="992">
        <v>136.24</v>
      </c>
      <c r="D38" s="992">
        <v>10</v>
      </c>
      <c r="L38" s="16">
        <v>15</v>
      </c>
      <c r="M38" s="1048"/>
      <c r="N38" s="1048"/>
      <c r="O38" s="1048"/>
      <c r="P38" s="1048" t="s">
        <v>637</v>
      </c>
      <c r="Q38" s="1048" t="s">
        <v>217</v>
      </c>
      <c r="R38" s="1048"/>
      <c r="S38" s="1048"/>
      <c r="T38" s="1048"/>
      <c r="U38" s="1048"/>
    </row>
    <row r="39" spans="2:21">
      <c r="B39" s="1572" t="s">
        <v>1168</v>
      </c>
      <c r="C39" s="1049">
        <v>39.948</v>
      </c>
      <c r="D39" s="992">
        <v>0</v>
      </c>
      <c r="L39" s="16">
        <v>16</v>
      </c>
      <c r="M39" s="1048"/>
      <c r="N39" s="1048"/>
      <c r="O39" s="1048"/>
      <c r="P39" s="1048"/>
      <c r="Q39" s="1048" t="s">
        <v>265</v>
      </c>
      <c r="R39" s="1048"/>
      <c r="S39" s="1048"/>
      <c r="T39" s="1048"/>
      <c r="U39" s="1048"/>
    </row>
    <row r="40" spans="2:21">
      <c r="B40" s="1048" t="s">
        <v>307</v>
      </c>
      <c r="C40" s="992">
        <v>78.11</v>
      </c>
      <c r="D40" s="992">
        <v>6</v>
      </c>
      <c r="L40" s="16">
        <v>17</v>
      </c>
      <c r="M40" s="1048"/>
      <c r="N40" s="1048"/>
      <c r="O40" s="1048"/>
      <c r="P40" s="1048"/>
      <c r="Q40" s="1048"/>
      <c r="R40" s="1048"/>
      <c r="S40" s="1048"/>
      <c r="T40" s="1048"/>
      <c r="U40" s="1048"/>
    </row>
    <row r="41" spans="2:21">
      <c r="B41" s="1048" t="s">
        <v>483</v>
      </c>
      <c r="C41" s="992">
        <v>136.24</v>
      </c>
      <c r="D41" s="992">
        <v>10</v>
      </c>
      <c r="L41" s="16">
        <v>18</v>
      </c>
      <c r="M41" s="1048"/>
      <c r="N41" s="1048"/>
      <c r="O41" s="1048"/>
      <c r="P41" s="1048"/>
      <c r="Q41" s="1048"/>
      <c r="R41" s="1048"/>
      <c r="S41" s="1048"/>
      <c r="T41" s="1048"/>
      <c r="U41" s="1048"/>
    </row>
    <row r="42" spans="2:21">
      <c r="B42" s="1048" t="s">
        <v>800</v>
      </c>
      <c r="C42" s="992">
        <v>58.1</v>
      </c>
      <c r="D42" s="992">
        <v>4</v>
      </c>
      <c r="L42" s="16" t="s">
        <v>448</v>
      </c>
      <c r="M42" s="16">
        <f>COUNTA(M24:M41)</f>
        <v>7</v>
      </c>
      <c r="N42" s="16">
        <f>COUNTA(N25:N41)</f>
        <v>9</v>
      </c>
      <c r="O42" s="16">
        <f t="shared" ref="O42:T42" si="1">COUNTA(O24:O41)</f>
        <v>10</v>
      </c>
      <c r="P42" s="16">
        <f t="shared" si="1"/>
        <v>15</v>
      </c>
      <c r="Q42" s="16">
        <f t="shared" si="1"/>
        <v>16</v>
      </c>
      <c r="R42" s="16">
        <f t="shared" si="1"/>
        <v>14</v>
      </c>
      <c r="S42" s="16">
        <f t="shared" si="1"/>
        <v>5</v>
      </c>
      <c r="T42" s="16">
        <f t="shared" si="1"/>
        <v>8</v>
      </c>
      <c r="U42" s="1048"/>
    </row>
    <row r="43" spans="2:21">
      <c r="B43" s="1048" t="s">
        <v>801</v>
      </c>
      <c r="C43" s="992">
        <v>74.12</v>
      </c>
      <c r="D43" s="992">
        <v>4</v>
      </c>
      <c r="U43" s="1048"/>
    </row>
    <row r="44" spans="2:21">
      <c r="B44" s="1048" t="s">
        <v>802</v>
      </c>
      <c r="C44" s="992">
        <v>116.16</v>
      </c>
      <c r="D44" s="992">
        <v>6</v>
      </c>
      <c r="U44" s="1048"/>
    </row>
    <row r="45" spans="2:21">
      <c r="B45" s="1048" t="s">
        <v>658</v>
      </c>
      <c r="C45" s="992">
        <v>128.16999999999999</v>
      </c>
      <c r="D45" s="992">
        <v>7</v>
      </c>
      <c r="M45" s="821" t="s">
        <v>906</v>
      </c>
      <c r="N45" s="456">
        <f>SUM(M42:R42)</f>
        <v>71</v>
      </c>
      <c r="U45" s="1048"/>
    </row>
    <row r="46" spans="2:21">
      <c r="B46" s="1050" t="s">
        <v>687</v>
      </c>
      <c r="C46" s="992">
        <v>90.19</v>
      </c>
      <c r="D46" s="992">
        <v>4</v>
      </c>
    </row>
    <row r="47" spans="2:21">
      <c r="B47" s="1572" t="s">
        <v>766</v>
      </c>
      <c r="C47" s="992">
        <v>72.099999999999994</v>
      </c>
      <c r="D47" s="992">
        <v>4</v>
      </c>
    </row>
    <row r="48" spans="2:21" ht="17">
      <c r="B48" s="1050" t="s">
        <v>452</v>
      </c>
      <c r="C48" s="992">
        <v>86.18</v>
      </c>
      <c r="D48" s="992">
        <v>6</v>
      </c>
    </row>
    <row r="49" spans="2:4" ht="17">
      <c r="B49" s="1050" t="s">
        <v>453</v>
      </c>
      <c r="C49" s="992">
        <v>86.18</v>
      </c>
      <c r="D49" s="992">
        <v>6</v>
      </c>
    </row>
    <row r="50" spans="2:4">
      <c r="B50" s="1048" t="s">
        <v>735</v>
      </c>
      <c r="C50" s="992">
        <v>142.28</v>
      </c>
      <c r="D50" s="992">
        <v>10</v>
      </c>
    </row>
    <row r="51" spans="2:4">
      <c r="B51" s="1572" t="s">
        <v>305</v>
      </c>
      <c r="C51" s="1049">
        <v>44.009799999999998</v>
      </c>
      <c r="D51" s="992">
        <v>1</v>
      </c>
    </row>
    <row r="52" spans="2:4">
      <c r="B52" s="1048" t="s">
        <v>689</v>
      </c>
      <c r="C52" s="992">
        <v>76.14</v>
      </c>
      <c r="D52" s="992">
        <v>1</v>
      </c>
    </row>
    <row r="53" spans="2:4">
      <c r="B53" s="1572" t="s">
        <v>304</v>
      </c>
      <c r="C53" s="1049">
        <v>28.010399999999997</v>
      </c>
      <c r="D53" s="992">
        <v>1</v>
      </c>
    </row>
    <row r="54" spans="2:4">
      <c r="B54" s="1048" t="s">
        <v>754</v>
      </c>
      <c r="C54" s="992">
        <v>153.82</v>
      </c>
      <c r="D54" s="992">
        <v>1</v>
      </c>
    </row>
    <row r="55" spans="2:4">
      <c r="B55" s="1572" t="s">
        <v>1170</v>
      </c>
      <c r="C55" s="1049">
        <v>98.91579999999999</v>
      </c>
      <c r="D55" s="992">
        <v>1</v>
      </c>
    </row>
    <row r="56" spans="2:4">
      <c r="B56" s="1048" t="s">
        <v>683</v>
      </c>
      <c r="C56" s="992">
        <v>60.08</v>
      </c>
      <c r="D56" s="992">
        <v>1</v>
      </c>
    </row>
    <row r="57" spans="2:4">
      <c r="B57" s="1048" t="s">
        <v>486</v>
      </c>
      <c r="C57" s="992">
        <v>132.16</v>
      </c>
      <c r="D57" s="992">
        <v>6</v>
      </c>
    </row>
    <row r="58" spans="2:4">
      <c r="B58" s="1048" t="s">
        <v>336</v>
      </c>
      <c r="C58" s="992">
        <v>112.56</v>
      </c>
      <c r="D58" s="992">
        <v>6</v>
      </c>
    </row>
    <row r="59" spans="2:4">
      <c r="B59" s="1048" t="s">
        <v>1110</v>
      </c>
      <c r="C59" s="992">
        <v>64.510000000000005</v>
      </c>
      <c r="D59" s="992">
        <v>2</v>
      </c>
    </row>
    <row r="60" spans="2:4">
      <c r="B60" s="1048" t="s">
        <v>741</v>
      </c>
      <c r="C60" s="992">
        <v>130.54900000000001</v>
      </c>
      <c r="D60" s="992">
        <v>6</v>
      </c>
    </row>
    <row r="61" spans="2:4">
      <c r="B61" s="1048" t="s">
        <v>333</v>
      </c>
      <c r="C61" s="992">
        <v>119.38</v>
      </c>
      <c r="D61" s="992">
        <v>1</v>
      </c>
    </row>
    <row r="62" spans="2:4">
      <c r="B62" s="1048" t="s">
        <v>881</v>
      </c>
      <c r="C62" s="992">
        <v>50.49</v>
      </c>
      <c r="D62" s="992">
        <v>1</v>
      </c>
    </row>
    <row r="63" spans="2:4">
      <c r="B63" s="1048" t="s">
        <v>738</v>
      </c>
      <c r="C63" s="992">
        <v>96.95</v>
      </c>
      <c r="D63" s="992">
        <v>2</v>
      </c>
    </row>
    <row r="64" spans="2:4">
      <c r="B64" s="1048" t="s">
        <v>176</v>
      </c>
      <c r="C64" s="992">
        <v>56.1</v>
      </c>
      <c r="D64" s="992">
        <v>4</v>
      </c>
    </row>
    <row r="65" spans="2:4">
      <c r="B65" s="1048" t="s">
        <v>485</v>
      </c>
      <c r="C65" s="992">
        <v>84.16</v>
      </c>
      <c r="D65" s="992">
        <v>6</v>
      </c>
    </row>
    <row r="66" spans="2:4">
      <c r="B66" s="1048" t="s">
        <v>487</v>
      </c>
      <c r="C66" s="992">
        <v>100.16</v>
      </c>
      <c r="D66" s="992">
        <v>6</v>
      </c>
    </row>
    <row r="67" spans="2:4">
      <c r="B67" s="1048" t="s">
        <v>491</v>
      </c>
      <c r="C67" s="992">
        <v>98.14</v>
      </c>
      <c r="D67" s="992">
        <v>6</v>
      </c>
    </row>
    <row r="68" spans="2:4">
      <c r="B68" s="1048" t="s">
        <v>551</v>
      </c>
      <c r="C68" s="992">
        <v>70.099999999999994</v>
      </c>
      <c r="D68" s="992">
        <v>5</v>
      </c>
    </row>
    <row r="69" spans="2:4">
      <c r="B69" s="1048" t="s">
        <v>484</v>
      </c>
      <c r="C69" s="992">
        <v>42.1</v>
      </c>
      <c r="D69" s="992">
        <v>3</v>
      </c>
    </row>
    <row r="70" spans="2:4">
      <c r="B70" s="1048" t="s">
        <v>803</v>
      </c>
      <c r="C70" s="992">
        <v>142.28</v>
      </c>
      <c r="D70" s="992">
        <v>10</v>
      </c>
    </row>
    <row r="71" spans="2:4">
      <c r="B71" s="1050" t="s">
        <v>690</v>
      </c>
      <c r="C71" s="992">
        <v>86.18</v>
      </c>
      <c r="D71" s="992">
        <v>6</v>
      </c>
    </row>
    <row r="72" spans="2:4">
      <c r="B72" s="1048" t="s">
        <v>755</v>
      </c>
      <c r="C72" s="992">
        <v>116.16</v>
      </c>
      <c r="D72" s="992">
        <v>6</v>
      </c>
    </row>
    <row r="73" spans="2:4">
      <c r="B73" s="1048" t="s">
        <v>332</v>
      </c>
      <c r="C73" s="992">
        <v>84.93</v>
      </c>
      <c r="D73" s="992">
        <v>1</v>
      </c>
    </row>
    <row r="74" spans="2:4">
      <c r="B74" s="1048" t="s">
        <v>771</v>
      </c>
      <c r="C74" s="992">
        <v>73.14</v>
      </c>
      <c r="D74" s="992">
        <v>4</v>
      </c>
    </row>
    <row r="75" spans="2:4">
      <c r="B75" s="1048" t="s">
        <v>740</v>
      </c>
      <c r="C75" s="992">
        <v>114.09</v>
      </c>
      <c r="D75" s="992">
        <v>6</v>
      </c>
    </row>
    <row r="76" spans="2:4">
      <c r="B76" s="1048" t="s">
        <v>419</v>
      </c>
      <c r="C76" s="992">
        <v>94.2</v>
      </c>
      <c r="D76" s="992">
        <v>2</v>
      </c>
    </row>
    <row r="77" spans="2:4">
      <c r="B77" s="1048" t="s">
        <v>174</v>
      </c>
      <c r="C77" s="992">
        <v>46.1</v>
      </c>
      <c r="D77" s="992">
        <v>2</v>
      </c>
    </row>
    <row r="78" spans="2:4">
      <c r="B78" s="1048" t="s">
        <v>688</v>
      </c>
      <c r="C78" s="992">
        <v>62.14</v>
      </c>
      <c r="D78" s="992">
        <v>2</v>
      </c>
    </row>
    <row r="79" spans="2:4">
      <c r="B79" s="1048" t="s">
        <v>770</v>
      </c>
      <c r="C79" s="992">
        <v>58.94</v>
      </c>
      <c r="D79" s="992">
        <v>2</v>
      </c>
    </row>
    <row r="80" spans="2:4">
      <c r="B80" s="1048" t="s">
        <v>733</v>
      </c>
      <c r="C80" s="992">
        <v>130.19999999999999</v>
      </c>
      <c r="D80" s="992">
        <v>10</v>
      </c>
    </row>
    <row r="81" spans="2:4">
      <c r="B81" s="1048" t="s">
        <v>815</v>
      </c>
      <c r="C81" s="992">
        <v>136.24</v>
      </c>
      <c r="D81" s="992">
        <v>10</v>
      </c>
    </row>
    <row r="82" spans="2:4">
      <c r="B82" s="1048" t="s">
        <v>804</v>
      </c>
      <c r="C82" s="992">
        <v>170.33</v>
      </c>
      <c r="D82" s="992">
        <v>12</v>
      </c>
    </row>
    <row r="83" spans="2:4">
      <c r="B83" s="1048" t="s">
        <v>763</v>
      </c>
      <c r="C83" s="992">
        <v>92.52</v>
      </c>
      <c r="D83" s="992">
        <v>3</v>
      </c>
    </row>
    <row r="84" spans="2:4">
      <c r="B84" s="1048" t="s">
        <v>178</v>
      </c>
      <c r="C84" s="992">
        <v>30.1</v>
      </c>
      <c r="D84" s="992">
        <v>2</v>
      </c>
    </row>
    <row r="85" spans="2:4">
      <c r="B85" s="1048" t="s">
        <v>345</v>
      </c>
      <c r="C85" s="992">
        <v>46.07</v>
      </c>
      <c r="D85" s="992">
        <v>2</v>
      </c>
    </row>
    <row r="86" spans="2:4">
      <c r="B86" s="1048" t="s">
        <v>756</v>
      </c>
      <c r="C86" s="992">
        <v>88.11</v>
      </c>
      <c r="D86" s="992">
        <v>4</v>
      </c>
    </row>
    <row r="87" spans="2:4">
      <c r="B87" s="1048" t="s">
        <v>761</v>
      </c>
      <c r="C87" s="992">
        <v>100.1</v>
      </c>
      <c r="D87" s="992">
        <v>5</v>
      </c>
    </row>
    <row r="88" spans="2:4">
      <c r="B88" s="1048" t="s">
        <v>757</v>
      </c>
      <c r="C88" s="992">
        <v>176.21</v>
      </c>
      <c r="D88" s="992">
        <v>8</v>
      </c>
    </row>
    <row r="89" spans="2:4">
      <c r="B89" s="1048" t="s">
        <v>685</v>
      </c>
      <c r="C89" s="992">
        <v>62.14</v>
      </c>
      <c r="D89" s="992">
        <v>2</v>
      </c>
    </row>
    <row r="90" spans="2:4">
      <c r="B90" s="1048" t="s">
        <v>309</v>
      </c>
      <c r="C90" s="992">
        <v>106.17</v>
      </c>
      <c r="D90" s="992">
        <v>8</v>
      </c>
    </row>
    <row r="91" spans="2:4">
      <c r="B91" s="1048" t="s">
        <v>179</v>
      </c>
      <c r="C91" s="992">
        <v>28.05</v>
      </c>
      <c r="D91" s="992">
        <v>2</v>
      </c>
    </row>
    <row r="92" spans="2:4">
      <c r="B92" s="1048" t="s">
        <v>266</v>
      </c>
      <c r="C92" s="992">
        <v>96.1</v>
      </c>
      <c r="D92" s="992">
        <v>6</v>
      </c>
    </row>
    <row r="93" spans="2:4">
      <c r="B93" s="1572" t="s">
        <v>359</v>
      </c>
      <c r="C93" s="992">
        <v>30.03</v>
      </c>
      <c r="D93" s="992">
        <v>1</v>
      </c>
    </row>
    <row r="94" spans="2:4">
      <c r="B94" s="1048" t="s">
        <v>732</v>
      </c>
      <c r="C94" s="992">
        <v>142.15</v>
      </c>
      <c r="D94" s="992">
        <v>7</v>
      </c>
    </row>
    <row r="95" spans="2:4">
      <c r="B95" s="1048" t="s">
        <v>805</v>
      </c>
      <c r="C95" s="992">
        <v>100.2</v>
      </c>
      <c r="D95" s="992">
        <v>7</v>
      </c>
    </row>
    <row r="96" spans="2:4">
      <c r="B96" s="1572" t="s">
        <v>662</v>
      </c>
      <c r="C96" s="992">
        <v>100</v>
      </c>
      <c r="D96" s="992">
        <v>6</v>
      </c>
    </row>
    <row r="97" spans="2:19">
      <c r="B97" s="1048" t="s">
        <v>797</v>
      </c>
      <c r="C97" s="992">
        <v>86.175399999999996</v>
      </c>
      <c r="D97" s="992">
        <v>6</v>
      </c>
    </row>
    <row r="98" spans="2:19">
      <c r="B98" s="1572" t="s">
        <v>1167</v>
      </c>
      <c r="C98" s="1049">
        <v>2.0158800000000001</v>
      </c>
      <c r="D98" s="992">
        <v>0</v>
      </c>
    </row>
    <row r="99" spans="2:19">
      <c r="B99" s="1048" t="s">
        <v>642</v>
      </c>
      <c r="C99" s="992">
        <v>34.1</v>
      </c>
      <c r="D99" s="992">
        <v>0</v>
      </c>
    </row>
    <row r="100" spans="2:19">
      <c r="B100" s="1048" t="s">
        <v>778</v>
      </c>
      <c r="C100" s="992">
        <v>58.1</v>
      </c>
      <c r="D100" s="992">
        <v>4</v>
      </c>
    </row>
    <row r="101" spans="2:19">
      <c r="B101" s="1048" t="s">
        <v>779</v>
      </c>
      <c r="C101" s="992">
        <v>74.12</v>
      </c>
      <c r="D101" s="992">
        <v>4</v>
      </c>
    </row>
    <row r="102" spans="2:19">
      <c r="B102" s="1050" t="s">
        <v>780</v>
      </c>
      <c r="C102" s="992">
        <v>56.1</v>
      </c>
      <c r="D102" s="992">
        <v>4</v>
      </c>
    </row>
    <row r="103" spans="2:19">
      <c r="B103" s="1048" t="s">
        <v>781</v>
      </c>
      <c r="C103" s="992">
        <v>114.23</v>
      </c>
      <c r="D103" s="992">
        <v>8</v>
      </c>
    </row>
    <row r="104" spans="2:19">
      <c r="B104" s="1048" t="s">
        <v>782</v>
      </c>
      <c r="C104" s="992">
        <v>72.150000000000006</v>
      </c>
      <c r="D104" s="992">
        <v>5</v>
      </c>
    </row>
    <row r="105" spans="2:19">
      <c r="B105" s="1048" t="s">
        <v>637</v>
      </c>
      <c r="C105" s="992">
        <v>138.21</v>
      </c>
      <c r="D105" s="992">
        <v>9</v>
      </c>
      <c r="S105" s="456"/>
    </row>
    <row r="106" spans="2:19">
      <c r="B106" s="1048" t="s">
        <v>783</v>
      </c>
      <c r="C106" s="1049">
        <v>60.1</v>
      </c>
      <c r="D106" s="992">
        <v>3</v>
      </c>
      <c r="S106" s="456"/>
    </row>
    <row r="107" spans="2:19">
      <c r="B107" s="1048" t="s">
        <v>784</v>
      </c>
      <c r="C107" s="992">
        <v>102.13</v>
      </c>
      <c r="D107" s="992">
        <v>5</v>
      </c>
      <c r="S107" s="456"/>
    </row>
    <row r="108" spans="2:19">
      <c r="B108" s="1048" t="s">
        <v>451</v>
      </c>
      <c r="C108" s="992">
        <v>76.16</v>
      </c>
      <c r="D108" s="992">
        <v>3</v>
      </c>
      <c r="S108" s="456"/>
    </row>
    <row r="109" spans="2:19">
      <c r="B109" s="1048" t="s">
        <v>786</v>
      </c>
      <c r="C109" s="992">
        <v>59.1</v>
      </c>
      <c r="D109" s="992">
        <v>3</v>
      </c>
      <c r="S109" s="456"/>
    </row>
    <row r="110" spans="2:19">
      <c r="B110" s="1048" t="s">
        <v>785</v>
      </c>
      <c r="C110" s="992">
        <v>120.19</v>
      </c>
      <c r="D110" s="992">
        <v>9</v>
      </c>
      <c r="S110" s="456"/>
    </row>
    <row r="111" spans="2:19">
      <c r="B111" s="1572" t="s">
        <v>769</v>
      </c>
      <c r="C111" s="992">
        <v>108.14</v>
      </c>
      <c r="D111" s="992">
        <v>7</v>
      </c>
      <c r="S111" s="456"/>
    </row>
    <row r="112" spans="2:19">
      <c r="B112" s="1048" t="s">
        <v>1092</v>
      </c>
      <c r="C112" s="992">
        <v>106.17</v>
      </c>
      <c r="D112" s="992">
        <v>8</v>
      </c>
      <c r="S112" s="456"/>
    </row>
    <row r="113" spans="2:26">
      <c r="B113" s="1048" t="s">
        <v>701</v>
      </c>
      <c r="C113" s="992">
        <v>134.22</v>
      </c>
      <c r="D113" s="992">
        <v>10</v>
      </c>
      <c r="S113" s="456"/>
    </row>
    <row r="114" spans="2:26">
      <c r="B114" s="1048" t="s">
        <v>177</v>
      </c>
      <c r="C114" s="992">
        <v>16.0425</v>
      </c>
      <c r="D114" s="992">
        <v>1</v>
      </c>
      <c r="S114" s="456"/>
    </row>
    <row r="115" spans="2:26">
      <c r="B115" s="1048" t="s">
        <v>758</v>
      </c>
      <c r="C115" s="992">
        <v>72.11</v>
      </c>
      <c r="D115" s="992">
        <v>4</v>
      </c>
      <c r="S115" s="456"/>
    </row>
    <row r="116" spans="2:26">
      <c r="B116" s="1048" t="s">
        <v>684</v>
      </c>
      <c r="C116" s="992">
        <v>48.11</v>
      </c>
      <c r="D116" s="992">
        <v>1</v>
      </c>
      <c r="S116" s="456"/>
    </row>
    <row r="117" spans="2:26">
      <c r="B117" s="1048" t="s">
        <v>762</v>
      </c>
      <c r="C117" s="992">
        <v>100.12</v>
      </c>
      <c r="D117" s="992">
        <v>5</v>
      </c>
      <c r="S117" s="456"/>
    </row>
    <row r="118" spans="2:26">
      <c r="B118" s="1048" t="s">
        <v>702</v>
      </c>
      <c r="C118" s="992">
        <v>112.27</v>
      </c>
      <c r="D118" s="992">
        <v>7</v>
      </c>
      <c r="S118" s="456"/>
    </row>
    <row r="119" spans="2:26">
      <c r="B119" s="1572" t="s">
        <v>772</v>
      </c>
      <c r="C119" s="992">
        <v>250.3</v>
      </c>
      <c r="D119" s="992">
        <v>15</v>
      </c>
      <c r="S119" s="456"/>
    </row>
    <row r="120" spans="2:26">
      <c r="B120" s="1048" t="s">
        <v>343</v>
      </c>
      <c r="C120" s="992">
        <v>100.16</v>
      </c>
      <c r="D120" s="992">
        <v>6</v>
      </c>
      <c r="S120" s="456"/>
    </row>
    <row r="121" spans="2:26">
      <c r="B121" s="1572" t="s">
        <v>1163</v>
      </c>
      <c r="C121" s="1049">
        <v>46.005539999999996</v>
      </c>
      <c r="D121" s="992">
        <v>0</v>
      </c>
      <c r="S121" s="456"/>
    </row>
    <row r="122" spans="2:26">
      <c r="B122" s="1572" t="s">
        <v>1173</v>
      </c>
      <c r="C122" s="1049">
        <v>28.013480000000001</v>
      </c>
      <c r="D122" s="992">
        <v>0</v>
      </c>
      <c r="S122" s="456"/>
    </row>
    <row r="123" spans="2:26">
      <c r="B123" s="1572" t="s">
        <v>1164</v>
      </c>
      <c r="C123" s="1049">
        <v>46.005539999999996</v>
      </c>
      <c r="D123" s="992">
        <v>0</v>
      </c>
      <c r="M123" s="4"/>
      <c r="N123" s="16"/>
      <c r="O123" s="16"/>
      <c r="P123" s="16"/>
      <c r="Q123" s="16"/>
      <c r="R123" s="16"/>
      <c r="S123" s="16"/>
      <c r="T123" s="4"/>
      <c r="U123" s="4"/>
      <c r="V123" s="4"/>
      <c r="W123" s="4"/>
      <c r="X123" s="4"/>
      <c r="Y123" s="4"/>
      <c r="Z123" s="4"/>
    </row>
    <row r="124" spans="2:26">
      <c r="B124" s="1572" t="s">
        <v>1165</v>
      </c>
      <c r="C124" s="1049">
        <v>46.005539999999996</v>
      </c>
      <c r="D124" s="992">
        <v>0</v>
      </c>
    </row>
    <row r="125" spans="2:26">
      <c r="B125" s="1572" t="s">
        <v>1166</v>
      </c>
      <c r="C125" s="1049">
        <v>44.012880000000003</v>
      </c>
      <c r="D125" s="992">
        <v>0</v>
      </c>
    </row>
    <row r="126" spans="2:26">
      <c r="B126" s="1048" t="s">
        <v>806</v>
      </c>
      <c r="C126" s="992">
        <v>128.26</v>
      </c>
      <c r="D126" s="992">
        <v>9</v>
      </c>
    </row>
    <row r="127" spans="2:26">
      <c r="B127" s="1572" t="s">
        <v>654</v>
      </c>
      <c r="C127" s="992">
        <v>108.14</v>
      </c>
      <c r="D127" s="992">
        <v>7</v>
      </c>
    </row>
    <row r="128" spans="2:26">
      <c r="B128" s="1048" t="s">
        <v>807</v>
      </c>
      <c r="C128" s="992">
        <v>114.23</v>
      </c>
      <c r="D128" s="992">
        <v>8</v>
      </c>
    </row>
    <row r="129" spans="2:4">
      <c r="B129" s="1048" t="s">
        <v>703</v>
      </c>
      <c r="C129" s="992">
        <v>134.22</v>
      </c>
      <c r="D129" s="992">
        <v>10</v>
      </c>
    </row>
    <row r="130" spans="2:4">
      <c r="B130" s="1572" t="s">
        <v>37</v>
      </c>
      <c r="C130" s="1049">
        <v>31.998799999999999</v>
      </c>
      <c r="D130" s="992">
        <v>0</v>
      </c>
    </row>
    <row r="131" spans="2:4">
      <c r="B131" s="1048" t="s">
        <v>338</v>
      </c>
      <c r="C131" s="992">
        <v>106.17</v>
      </c>
      <c r="D131" s="992">
        <v>8</v>
      </c>
    </row>
    <row r="132" spans="2:4">
      <c r="B132" s="1048" t="s">
        <v>265</v>
      </c>
      <c r="C132" s="992">
        <v>134.22</v>
      </c>
      <c r="D132" s="992">
        <v>10</v>
      </c>
    </row>
    <row r="133" spans="2:4">
      <c r="B133" s="1048" t="s">
        <v>808</v>
      </c>
      <c r="C133" s="992">
        <v>72.150000000000006</v>
      </c>
      <c r="D133" s="992">
        <v>5</v>
      </c>
    </row>
    <row r="134" spans="2:4">
      <c r="B134" s="1572" t="s">
        <v>365</v>
      </c>
      <c r="C134" s="992">
        <v>94.11</v>
      </c>
      <c r="D134" s="992">
        <v>6</v>
      </c>
    </row>
    <row r="135" spans="2:4">
      <c r="B135" s="1572" t="s">
        <v>1169</v>
      </c>
      <c r="C135" s="1049">
        <v>98.91579999999999</v>
      </c>
      <c r="D135" s="992">
        <v>1</v>
      </c>
    </row>
    <row r="136" spans="2:4">
      <c r="B136" s="1048" t="s">
        <v>480</v>
      </c>
      <c r="C136" s="992">
        <v>40.1</v>
      </c>
      <c r="D136" s="992">
        <v>3</v>
      </c>
    </row>
    <row r="137" spans="2:4">
      <c r="B137" s="1048" t="s">
        <v>180</v>
      </c>
      <c r="C137" s="992">
        <v>44.095599999999997</v>
      </c>
      <c r="D137" s="992">
        <v>3</v>
      </c>
    </row>
    <row r="138" spans="2:4">
      <c r="B138" s="1572" t="s">
        <v>765</v>
      </c>
      <c r="C138" s="992">
        <v>58.08</v>
      </c>
      <c r="D138" s="992">
        <v>3</v>
      </c>
    </row>
    <row r="139" spans="2:4">
      <c r="B139" s="1048" t="s">
        <v>809</v>
      </c>
      <c r="C139" s="992">
        <v>102.13</v>
      </c>
      <c r="D139" s="992">
        <v>5</v>
      </c>
    </row>
    <row r="140" spans="2:4">
      <c r="B140" s="1572" t="s">
        <v>686</v>
      </c>
      <c r="C140" s="992">
        <v>76.16</v>
      </c>
      <c r="D140" s="992">
        <v>3</v>
      </c>
    </row>
    <row r="141" spans="2:4">
      <c r="B141" s="1048" t="s">
        <v>810</v>
      </c>
      <c r="C141" s="992">
        <v>120.19</v>
      </c>
      <c r="D141" s="992">
        <v>9</v>
      </c>
    </row>
    <row r="142" spans="2:4">
      <c r="B142" s="1048" t="s">
        <v>181</v>
      </c>
      <c r="C142" s="992">
        <v>42.1</v>
      </c>
      <c r="D142" s="992">
        <v>3</v>
      </c>
    </row>
    <row r="143" spans="2:4">
      <c r="B143" s="1048" t="s">
        <v>477</v>
      </c>
      <c r="C143" s="992">
        <v>40.06</v>
      </c>
      <c r="D143" s="992">
        <v>3</v>
      </c>
    </row>
    <row r="144" spans="2:4">
      <c r="B144" s="1048" t="s">
        <v>457</v>
      </c>
      <c r="C144" s="992">
        <v>128.16999999999999</v>
      </c>
      <c r="D144" s="992">
        <v>7</v>
      </c>
    </row>
    <row r="145" spans="2:4">
      <c r="B145" s="1048" t="s">
        <v>456</v>
      </c>
      <c r="C145" s="992">
        <v>119.38</v>
      </c>
      <c r="D145" s="992">
        <v>1</v>
      </c>
    </row>
    <row r="146" spans="2:4">
      <c r="B146" s="1048" t="s">
        <v>454</v>
      </c>
      <c r="C146" s="992">
        <v>106.17</v>
      </c>
      <c r="D146" s="992">
        <v>8</v>
      </c>
    </row>
    <row r="147" spans="2:4">
      <c r="B147" s="1048" t="s">
        <v>455</v>
      </c>
      <c r="C147" s="992">
        <v>100.12</v>
      </c>
      <c r="D147" s="992">
        <v>5</v>
      </c>
    </row>
    <row r="148" spans="2:4">
      <c r="B148" s="1048" t="s">
        <v>883</v>
      </c>
      <c r="C148" s="992">
        <v>92.14</v>
      </c>
      <c r="D148" s="992">
        <v>6</v>
      </c>
    </row>
    <row r="149" spans="2:4">
      <c r="B149" s="1572" t="s">
        <v>768</v>
      </c>
      <c r="C149" s="992">
        <v>110.11</v>
      </c>
      <c r="D149" s="992">
        <v>6</v>
      </c>
    </row>
    <row r="150" spans="2:4">
      <c r="B150" s="1048" t="s">
        <v>722</v>
      </c>
      <c r="C150" s="992">
        <v>120.19</v>
      </c>
      <c r="D150" s="992">
        <v>9</v>
      </c>
    </row>
    <row r="151" spans="2:4">
      <c r="B151" s="1048" t="s">
        <v>337</v>
      </c>
      <c r="C151" s="992">
        <v>104.15</v>
      </c>
      <c r="D151" s="992">
        <v>8</v>
      </c>
    </row>
    <row r="152" spans="2:4">
      <c r="B152" s="1572" t="s">
        <v>591</v>
      </c>
      <c r="C152" s="1049">
        <v>64.064800000000005</v>
      </c>
      <c r="D152" s="992">
        <v>0</v>
      </c>
    </row>
    <row r="153" spans="2:4">
      <c r="B153" s="1048" t="s">
        <v>795</v>
      </c>
      <c r="C153" s="992">
        <v>134.22</v>
      </c>
      <c r="D153" s="992">
        <v>10</v>
      </c>
    </row>
    <row r="154" spans="2:4">
      <c r="B154" s="1048" t="s">
        <v>796</v>
      </c>
      <c r="C154" s="992">
        <v>165.83</v>
      </c>
      <c r="D154" s="992">
        <v>2</v>
      </c>
    </row>
    <row r="155" spans="2:4">
      <c r="B155" s="1048" t="s">
        <v>226</v>
      </c>
      <c r="C155" s="992">
        <v>198.39</v>
      </c>
      <c r="D155" s="992">
        <v>14</v>
      </c>
    </row>
    <row r="156" spans="2:4">
      <c r="B156" s="1051" t="s">
        <v>354</v>
      </c>
      <c r="C156" s="992">
        <v>86.18</v>
      </c>
      <c r="D156" s="992">
        <v>6</v>
      </c>
    </row>
    <row r="157" spans="2:4">
      <c r="B157" s="1048" t="s">
        <v>308</v>
      </c>
      <c r="C157" s="992">
        <v>92.14</v>
      </c>
      <c r="D157" s="992">
        <v>6</v>
      </c>
    </row>
    <row r="158" spans="2:4">
      <c r="B158" s="1048" t="s">
        <v>739</v>
      </c>
      <c r="C158" s="992">
        <v>96.95</v>
      </c>
      <c r="D158" s="992">
        <v>2</v>
      </c>
    </row>
    <row r="159" spans="2:4">
      <c r="B159" s="1048" t="s">
        <v>175</v>
      </c>
      <c r="C159" s="992">
        <v>56.1</v>
      </c>
      <c r="D159" s="992">
        <v>4</v>
      </c>
    </row>
    <row r="160" spans="2:4">
      <c r="B160" s="1048" t="s">
        <v>704</v>
      </c>
      <c r="C160" s="992">
        <v>131.38999999999999</v>
      </c>
      <c r="D160" s="992">
        <v>2</v>
      </c>
    </row>
    <row r="161" spans="2:4">
      <c r="B161" s="1048" t="s">
        <v>775</v>
      </c>
      <c r="C161" s="992">
        <v>137.37</v>
      </c>
      <c r="D161" s="992">
        <v>1</v>
      </c>
    </row>
    <row r="162" spans="2:4">
      <c r="B162" s="1048" t="s">
        <v>811</v>
      </c>
      <c r="C162" s="992">
        <v>184.36</v>
      </c>
      <c r="D162" s="992">
        <v>13</v>
      </c>
    </row>
    <row r="163" spans="2:4">
      <c r="B163" s="1048" t="s">
        <v>653</v>
      </c>
      <c r="C163" s="992">
        <v>101.1</v>
      </c>
      <c r="D163" s="992">
        <v>6</v>
      </c>
    </row>
    <row r="164" spans="2:4">
      <c r="B164" s="1048" t="s">
        <v>812</v>
      </c>
      <c r="C164" s="992">
        <v>156.31</v>
      </c>
      <c r="D164" s="992">
        <v>11</v>
      </c>
    </row>
    <row r="165" spans="2:4">
      <c r="B165" s="1572" t="s">
        <v>767</v>
      </c>
      <c r="C165" s="992">
        <v>86.1</v>
      </c>
      <c r="D165" s="992">
        <v>5</v>
      </c>
    </row>
    <row r="166" spans="2:4">
      <c r="B166" s="1048" t="s">
        <v>458</v>
      </c>
      <c r="C166" s="992">
        <v>86.09</v>
      </c>
      <c r="D166" s="992">
        <v>2</v>
      </c>
    </row>
    <row r="167" spans="2:4">
      <c r="B167" s="1048" t="s">
        <v>793</v>
      </c>
      <c r="C167" s="992">
        <v>62.5</v>
      </c>
      <c r="D167" s="992">
        <v>2</v>
      </c>
    </row>
    <row r="168" spans="2:4">
      <c r="B168" s="1051" t="s">
        <v>352</v>
      </c>
      <c r="C168" s="992">
        <v>86.18</v>
      </c>
      <c r="D168" s="992">
        <v>6</v>
      </c>
    </row>
    <row r="169" spans="2:4">
      <c r="B169" s="1051" t="s">
        <v>351</v>
      </c>
      <c r="C169" s="992">
        <v>44.1</v>
      </c>
      <c r="D169" s="992">
        <v>3</v>
      </c>
    </row>
    <row r="170" spans="2:4">
      <c r="B170" s="1050" t="s">
        <v>353</v>
      </c>
      <c r="C170" s="992">
        <v>86.18</v>
      </c>
      <c r="D170" s="992">
        <v>6</v>
      </c>
    </row>
    <row r="171" spans="2:4">
      <c r="B171" s="1048"/>
      <c r="C171" s="992"/>
      <c r="D171" s="992"/>
    </row>
    <row r="172" spans="2:4">
      <c r="B172" s="1048"/>
      <c r="C172" s="992"/>
      <c r="D172" s="992"/>
    </row>
    <row r="173" spans="2:4">
      <c r="B173" s="1048"/>
      <c r="C173" s="992"/>
      <c r="D173" s="992"/>
    </row>
    <row r="174" spans="2:4">
      <c r="B174" s="1048"/>
      <c r="C174" s="992"/>
      <c r="D174" s="992"/>
    </row>
    <row r="175" spans="2:4">
      <c r="B175" s="1050" t="s">
        <v>813</v>
      </c>
      <c r="C175" s="992"/>
      <c r="D175" s="992"/>
    </row>
    <row r="176" spans="2:4">
      <c r="B176" s="1048"/>
      <c r="C176" s="992"/>
      <c r="D176" s="992"/>
    </row>
    <row r="177" spans="2:4">
      <c r="B177" s="1048"/>
      <c r="C177" s="992"/>
      <c r="D177" s="992"/>
    </row>
    <row r="178" spans="2:4">
      <c r="B178" s="1048"/>
      <c r="C178" s="992"/>
      <c r="D178" s="992"/>
    </row>
    <row r="179" spans="2:4">
      <c r="B179" s="1048"/>
      <c r="C179" s="992"/>
      <c r="D179" s="992"/>
    </row>
    <row r="180" spans="2:4">
      <c r="B180" s="1048"/>
      <c r="C180" s="992"/>
      <c r="D180" s="992"/>
    </row>
  </sheetData>
  <sheetProtection sheet="1" objects="1" scenarios="1"/>
  <phoneticPr fontId="25" type="noConversion"/>
  <printOptions horizontalCentered="1"/>
  <pageMargins left="0.19685039370078741" right="0.19685039370078741" top="0.62992125984251968" bottom="0.39370078740157483" header="0.31496062992125984" footer="0.19685039370078741"/>
  <pageSetup paperSize="9" orientation="landscape" horizontalDpi="4294967295" verticalDpi="96"/>
  <headerFooter alignWithMargins="0">
    <oddHeader>&amp;C&amp;"MS Sans Serif,Bold"&amp;16&amp;A</oddHeader>
    <oddFooter>&amp;L&amp;8&amp;Z&amp;F&amp;R&amp;8&amp;D &amp;T</oddFooter>
  </headerFooter>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theme="5" tint="0.59999389629810485"/>
    <pageSetUpPr fitToPage="1"/>
  </sheetPr>
  <dimension ref="A1:AQ115"/>
  <sheetViews>
    <sheetView topLeftCell="J9" workbookViewId="0">
      <selection activeCell="J9" sqref="J9"/>
    </sheetView>
  </sheetViews>
  <sheetFormatPr baseColWidth="10" defaultColWidth="8.7109375" defaultRowHeight="13.5" customHeight="1" x14ac:dyDescent="0"/>
  <cols>
    <col min="1" max="6" width="5.28515625" style="15" hidden="1" customWidth="1"/>
    <col min="7" max="7" width="5.5703125" style="15" hidden="1" customWidth="1"/>
    <col min="8" max="8" width="16.7109375" style="15" hidden="1" customWidth="1"/>
    <col min="9" max="9" width="29" style="15" hidden="1" customWidth="1"/>
    <col min="10" max="10" width="14.28515625" style="493" customWidth="1"/>
    <col min="11" max="11" width="5.28515625" style="493" hidden="1" customWidth="1"/>
    <col min="12" max="12" width="7.42578125" style="493" hidden="1" customWidth="1"/>
    <col min="13" max="13" width="0" style="493" hidden="1" customWidth="1"/>
    <col min="14" max="14" width="9.140625" style="1" customWidth="1"/>
    <col min="15" max="16" width="5.28515625" style="1" customWidth="1"/>
    <col min="17" max="18" width="5.28515625" style="15" customWidth="1"/>
    <col min="19" max="28" width="5.28515625" style="1" customWidth="1"/>
    <col min="29" max="31" width="5.28515625" style="15" customWidth="1"/>
    <col min="32" max="43" width="5.28515625" style="1" customWidth="1"/>
    <col min="44" max="16384" width="8.7109375" style="1"/>
  </cols>
  <sheetData>
    <row r="1" spans="1:43" ht="13.5" hidden="1" customHeight="1">
      <c r="A1" s="1071" t="s">
        <v>1456</v>
      </c>
      <c r="B1" s="494"/>
      <c r="C1" s="1071" t="s">
        <v>1457</v>
      </c>
      <c r="D1" s="1072"/>
      <c r="E1" s="1071" t="s">
        <v>1458</v>
      </c>
      <c r="F1" s="1072"/>
      <c r="G1" s="1071" t="s">
        <v>1459</v>
      </c>
      <c r="H1" s="495"/>
      <c r="I1" s="496"/>
      <c r="J1" s="523"/>
      <c r="K1" s="523"/>
      <c r="L1" s="523"/>
      <c r="M1" s="523"/>
      <c r="N1" s="497"/>
      <c r="O1" s="497"/>
      <c r="P1" s="498"/>
      <c r="Q1" s="499"/>
      <c r="R1" s="499"/>
      <c r="S1" s="498"/>
      <c r="T1" s="498"/>
      <c r="U1" s="498"/>
      <c r="V1" s="498"/>
      <c r="W1" s="498"/>
      <c r="X1" s="498"/>
      <c r="Y1" s="498"/>
      <c r="Z1" s="498"/>
      <c r="AA1" s="498"/>
      <c r="AB1" s="498"/>
      <c r="AC1" s="503"/>
      <c r="AD1" s="499"/>
      <c r="AE1" s="499"/>
      <c r="AF1" s="497"/>
      <c r="AG1" s="497"/>
      <c r="AH1" s="497"/>
      <c r="AI1" s="497"/>
      <c r="AJ1" s="497"/>
      <c r="AK1" s="497"/>
      <c r="AL1" s="497"/>
      <c r="AM1" s="497"/>
      <c r="AN1" s="497"/>
      <c r="AO1" s="497"/>
      <c r="AP1" s="497"/>
      <c r="AQ1" s="500"/>
    </row>
    <row r="2" spans="1:43" ht="13.5" hidden="1" customHeight="1">
      <c r="A2" s="484">
        <f>NozzleKitID1</f>
        <v>0</v>
      </c>
      <c r="B2" s="34"/>
      <c r="C2" s="484">
        <f>NozzleKitID2</f>
        <v>0</v>
      </c>
      <c r="D2" s="34"/>
      <c r="E2" s="484">
        <f>NozzleKitID3</f>
        <v>0</v>
      </c>
      <c r="F2" s="34"/>
      <c r="G2" s="484">
        <f>NozzleKitID4</f>
        <v>0</v>
      </c>
      <c r="H2" s="494" t="s">
        <v>1234</v>
      </c>
      <c r="I2" s="34"/>
      <c r="J2" s="491"/>
      <c r="K2" s="491"/>
      <c r="L2" s="491"/>
      <c r="M2" s="491"/>
      <c r="N2" s="492"/>
      <c r="O2" s="492"/>
      <c r="P2" s="486"/>
      <c r="Q2" s="485"/>
      <c r="R2" s="485"/>
      <c r="S2" s="486"/>
      <c r="T2" s="486"/>
      <c r="U2" s="486"/>
      <c r="V2" s="486"/>
      <c r="W2" s="486"/>
      <c r="X2" s="486"/>
      <c r="Y2" s="486"/>
      <c r="Z2" s="486"/>
      <c r="AA2" s="486"/>
      <c r="AB2" s="486"/>
      <c r="AC2" s="504"/>
      <c r="AD2" s="485"/>
      <c r="AE2" s="485"/>
      <c r="AF2" s="492"/>
      <c r="AG2" s="492"/>
      <c r="AH2" s="492"/>
      <c r="AI2" s="492"/>
      <c r="AJ2" s="492"/>
      <c r="AK2" s="492"/>
      <c r="AL2" s="492"/>
      <c r="AM2" s="492"/>
      <c r="AN2" s="492"/>
      <c r="AO2" s="492"/>
      <c r="AP2" s="492"/>
      <c r="AQ2" s="502"/>
    </row>
    <row r="3" spans="1:43" ht="13.5" hidden="1" customHeight="1">
      <c r="A3" s="487" t="e">
        <f>MATCH(A$2,$J10:$J114,0)</f>
        <v>#N/A</v>
      </c>
      <c r="B3" s="34"/>
      <c r="C3" s="487" t="e">
        <f>MATCH(C$2,$J10:$J114,0)</f>
        <v>#N/A</v>
      </c>
      <c r="D3" s="34"/>
      <c r="E3" s="487" t="e">
        <f>MATCH(E$2,$J10:$J114,0)</f>
        <v>#N/A</v>
      </c>
      <c r="F3" s="34"/>
      <c r="G3" s="487" t="e">
        <f>MATCH(G$2,$J10:$J114,0)</f>
        <v>#N/A</v>
      </c>
      <c r="H3" s="494" t="s">
        <v>271</v>
      </c>
      <c r="I3" s="34"/>
      <c r="J3" s="491"/>
      <c r="K3" s="491"/>
      <c r="L3" s="491"/>
      <c r="M3" s="491"/>
      <c r="N3" s="492"/>
      <c r="O3" s="492"/>
      <c r="P3" s="486"/>
      <c r="Q3" s="485"/>
      <c r="R3" s="485"/>
      <c r="S3" s="486"/>
      <c r="T3" s="486"/>
      <c r="U3" s="486"/>
      <c r="V3" s="486"/>
      <c r="W3" s="486"/>
      <c r="X3" s="486"/>
      <c r="Y3" s="486"/>
      <c r="Z3" s="486"/>
      <c r="AA3" s="486"/>
      <c r="AB3" s="486"/>
      <c r="AC3" s="504"/>
      <c r="AD3" s="485"/>
      <c r="AE3" s="485"/>
      <c r="AF3" s="492"/>
      <c r="AG3" s="492"/>
      <c r="AH3" s="492"/>
      <c r="AI3" s="492"/>
      <c r="AJ3" s="492"/>
      <c r="AK3" s="492"/>
      <c r="AL3" s="492"/>
      <c r="AM3" s="492"/>
      <c r="AN3" s="492"/>
      <c r="AO3" s="492"/>
      <c r="AP3" s="492"/>
      <c r="AQ3" s="502"/>
    </row>
    <row r="4" spans="1:43" ht="13.5" hidden="1" customHeight="1">
      <c r="A4" s="488" t="e">
        <f>NozzleIdeal1</f>
        <v>#VALUE!</v>
      </c>
      <c r="B4" s="34"/>
      <c r="C4" s="488" t="e">
        <f>NozzleIdeal2</f>
        <v>#VALUE!</v>
      </c>
      <c r="D4" s="34"/>
      <c r="E4" s="488" t="e">
        <f>NozzleIdeal3</f>
        <v>#VALUE!</v>
      </c>
      <c r="F4" s="34"/>
      <c r="G4" s="488" t="e">
        <f>NozzleIdeal4</f>
        <v>#VALUE!</v>
      </c>
      <c r="H4" s="494" t="s">
        <v>1233</v>
      </c>
      <c r="I4" s="34"/>
      <c r="J4" s="491"/>
      <c r="K4" s="491"/>
      <c r="L4" s="491"/>
      <c r="M4" s="491"/>
      <c r="N4" s="492"/>
      <c r="O4" s="492"/>
      <c r="P4" s="486"/>
      <c r="Q4" s="485"/>
      <c r="R4" s="485"/>
      <c r="S4" s="486"/>
      <c r="T4" s="486"/>
      <c r="U4" s="486"/>
      <c r="V4" s="486"/>
      <c r="W4" s="486"/>
      <c r="X4" s="486"/>
      <c r="Y4" s="486"/>
      <c r="Z4" s="486"/>
      <c r="AA4" s="486"/>
      <c r="AB4" s="486"/>
      <c r="AC4" s="504"/>
      <c r="AD4" s="485"/>
      <c r="AE4" s="485"/>
      <c r="AF4" s="492"/>
      <c r="AG4" s="492"/>
      <c r="AH4" s="492"/>
      <c r="AI4" s="492"/>
      <c r="AJ4" s="492"/>
      <c r="AK4" s="492"/>
      <c r="AL4" s="492"/>
      <c r="AM4" s="492"/>
      <c r="AN4" s="492"/>
      <c r="AO4" s="492"/>
      <c r="AP4" s="492"/>
      <c r="AQ4" s="502"/>
    </row>
    <row r="5" spans="1:43" ht="13.5" hidden="1" customHeight="1">
      <c r="A5" s="488" t="e">
        <f>INDEX(Nozzles,A$3,INDEX(A$10:A$114,A$3,1))</f>
        <v>#N/A</v>
      </c>
      <c r="B5" s="34"/>
      <c r="C5" s="488" t="e">
        <f>INDEX(Nozzles,C$3,INDEX(C$10:C$114,C$3,1))</f>
        <v>#N/A</v>
      </c>
      <c r="D5" s="34"/>
      <c r="E5" s="488" t="e">
        <f>INDEX(Nozzles,E$3,INDEX(E$10:E$114,E$3,1))</f>
        <v>#N/A</v>
      </c>
      <c r="F5" s="34"/>
      <c r="G5" s="488" t="e">
        <f>INDEX(Nozzles,G$3,INDEX(G$10:G$114,G$3,1))</f>
        <v>#N/A</v>
      </c>
      <c r="H5" s="494" t="s">
        <v>1306</v>
      </c>
      <c r="I5" s="34"/>
      <c r="J5" s="491"/>
      <c r="K5" s="491"/>
      <c r="L5" s="491"/>
      <c r="M5" s="491"/>
      <c r="N5" s="492"/>
      <c r="O5" s="492"/>
      <c r="P5" s="486"/>
      <c r="Q5" s="485"/>
      <c r="R5" s="485"/>
      <c r="S5" s="486"/>
      <c r="T5" s="486"/>
      <c r="U5" s="486"/>
      <c r="V5" s="486"/>
      <c r="W5" s="486"/>
      <c r="X5" s="486"/>
      <c r="Y5" s="486"/>
      <c r="Z5" s="486"/>
      <c r="AA5" s="486"/>
      <c r="AB5" s="486"/>
      <c r="AC5" s="504"/>
      <c r="AD5" s="485"/>
      <c r="AE5" s="485"/>
      <c r="AF5" s="492"/>
      <c r="AG5" s="492"/>
      <c r="AH5" s="492"/>
      <c r="AI5" s="492"/>
      <c r="AJ5" s="492"/>
      <c r="AK5" s="492"/>
      <c r="AL5" s="492"/>
      <c r="AM5" s="492"/>
      <c r="AN5" s="492"/>
      <c r="AO5" s="492"/>
      <c r="AP5" s="492"/>
      <c r="AQ5" s="502"/>
    </row>
    <row r="6" spans="1:43" ht="13.5" hidden="1" customHeight="1">
      <c r="A6" s="488" t="e">
        <f>INDEX(Nozzles,A$3,INDEX(B$10:B$114,A$3,1))</f>
        <v>#N/A</v>
      </c>
      <c r="B6" s="34"/>
      <c r="C6" s="488" t="e">
        <f>INDEX(Nozzles,C$3,INDEX(D$10:D$114,C$3,1))</f>
        <v>#N/A</v>
      </c>
      <c r="D6" s="34"/>
      <c r="E6" s="488" t="e">
        <f>INDEX(Nozzles,E$3,INDEX(F$10:F$114,E$3,1))</f>
        <v>#N/A</v>
      </c>
      <c r="F6" s="34"/>
      <c r="G6" s="488" t="e">
        <f>INDEX(Nozzles,G$3,INDEX(H$10:H$114,G$3,1))</f>
        <v>#N/A</v>
      </c>
      <c r="H6" s="494" t="s">
        <v>1307</v>
      </c>
      <c r="I6" s="34"/>
      <c r="J6" s="491"/>
      <c r="K6" s="491"/>
      <c r="L6" s="491"/>
      <c r="M6" s="491"/>
      <c r="N6" s="492"/>
      <c r="O6" s="492"/>
      <c r="P6" s="486"/>
      <c r="Q6" s="485"/>
      <c r="R6" s="485"/>
      <c r="S6" s="486"/>
      <c r="T6" s="486"/>
      <c r="U6" s="486"/>
      <c r="V6" s="486"/>
      <c r="W6" s="486"/>
      <c r="X6" s="486"/>
      <c r="Y6" s="486"/>
      <c r="Z6" s="486"/>
      <c r="AA6" s="486"/>
      <c r="AB6" s="486"/>
      <c r="AC6" s="504"/>
      <c r="AD6" s="485"/>
      <c r="AE6" s="485"/>
      <c r="AF6" s="492"/>
      <c r="AG6" s="492"/>
      <c r="AH6" s="492"/>
      <c r="AI6" s="492"/>
      <c r="AJ6" s="492"/>
      <c r="AK6" s="492"/>
      <c r="AL6" s="492"/>
      <c r="AM6" s="492"/>
      <c r="AN6" s="492"/>
      <c r="AO6" s="492"/>
      <c r="AP6" s="492"/>
      <c r="AQ6" s="502"/>
    </row>
    <row r="7" spans="1:43" ht="13.5" hidden="1" customHeight="1">
      <c r="A7" s="488" t="e">
        <f>IF(A6&gt;A4,A6,A5)</f>
        <v>#N/A</v>
      </c>
      <c r="B7" s="34"/>
      <c r="C7" s="488" t="e">
        <f>IF(C6&gt;C4,C6,C5)</f>
        <v>#N/A</v>
      </c>
      <c r="D7" s="34"/>
      <c r="E7" s="488" t="e">
        <f>IF(ABS(E4-E5)&lt;ABS(E4-E6),E5,E6)</f>
        <v>#VALUE!</v>
      </c>
      <c r="F7" s="34"/>
      <c r="G7" s="488" t="e">
        <f>IF(ABS(G4-G5)&lt;ABS(G4-G6),G5,G6)</f>
        <v>#VALUE!</v>
      </c>
      <c r="H7" s="494" t="s">
        <v>1235</v>
      </c>
      <c r="I7" s="34"/>
      <c r="J7" s="491"/>
      <c r="K7" s="491"/>
      <c r="L7" s="491"/>
      <c r="M7" s="491"/>
      <c r="N7" s="492"/>
      <c r="O7" s="492"/>
      <c r="P7" s="486"/>
      <c r="Q7" s="485"/>
      <c r="R7" s="485"/>
      <c r="S7" s="486"/>
      <c r="T7" s="486"/>
      <c r="U7" s="486"/>
      <c r="V7" s="486"/>
      <c r="W7" s="486"/>
      <c r="X7" s="486"/>
      <c r="Y7" s="486"/>
      <c r="Z7" s="486"/>
      <c r="AA7" s="486"/>
      <c r="AB7" s="486"/>
      <c r="AC7" s="504"/>
      <c r="AD7" s="485"/>
      <c r="AE7" s="485"/>
      <c r="AF7" s="492"/>
      <c r="AG7" s="492"/>
      <c r="AH7" s="492"/>
      <c r="AI7" s="492"/>
      <c r="AJ7" s="492"/>
      <c r="AK7" s="492"/>
      <c r="AL7" s="492"/>
      <c r="AM7" s="492"/>
      <c r="AN7" s="492"/>
      <c r="AO7" s="492"/>
      <c r="AP7" s="492"/>
      <c r="AQ7" s="502"/>
    </row>
    <row r="8" spans="1:43" ht="13.5" hidden="1" customHeight="1">
      <c r="A8" s="501"/>
      <c r="B8" s="489"/>
      <c r="C8" s="484"/>
      <c r="D8" s="484"/>
      <c r="E8" s="484"/>
      <c r="F8" s="484"/>
      <c r="G8" s="484"/>
      <c r="H8" s="484"/>
      <c r="I8" s="484"/>
      <c r="J8" s="524"/>
      <c r="K8" s="524"/>
      <c r="L8" s="524"/>
      <c r="M8" s="524"/>
      <c r="N8" s="484"/>
      <c r="O8" s="484"/>
      <c r="P8" s="490"/>
      <c r="Q8" s="484"/>
      <c r="R8" s="484"/>
      <c r="S8" s="486"/>
      <c r="T8" s="486"/>
      <c r="U8" s="486"/>
      <c r="V8" s="486"/>
      <c r="W8" s="486"/>
      <c r="X8" s="486"/>
      <c r="Y8" s="486"/>
      <c r="Z8" s="486"/>
      <c r="AA8" s="486"/>
      <c r="AB8" s="486"/>
      <c r="AC8" s="504"/>
      <c r="AD8" s="485"/>
      <c r="AE8" s="485"/>
      <c r="AF8" s="492"/>
      <c r="AG8" s="492"/>
      <c r="AH8" s="492"/>
      <c r="AI8" s="492"/>
      <c r="AJ8" s="492"/>
      <c r="AK8" s="492"/>
      <c r="AL8" s="492"/>
      <c r="AM8" s="492"/>
      <c r="AN8" s="492"/>
      <c r="AO8" s="492"/>
      <c r="AP8" s="492"/>
      <c r="AQ8" s="502"/>
    </row>
    <row r="9" spans="1:43" s="526" customFormat="1" ht="13.5" customHeight="1">
      <c r="A9" s="525"/>
      <c r="B9" s="525"/>
      <c r="C9" s="525"/>
      <c r="D9" s="525"/>
      <c r="E9" s="525"/>
      <c r="F9" s="525"/>
      <c r="G9" s="525"/>
      <c r="H9" s="525"/>
      <c r="I9" s="532"/>
      <c r="J9" s="2196" t="s">
        <v>272</v>
      </c>
      <c r="K9" s="2197"/>
      <c r="L9" s="2197"/>
      <c r="M9" s="2197"/>
      <c r="N9" s="2197"/>
      <c r="O9" s="527"/>
      <c r="P9" s="528" t="s">
        <v>274</v>
      </c>
      <c r="Q9" s="529"/>
      <c r="R9" s="529"/>
      <c r="S9" s="527"/>
      <c r="T9" s="527"/>
      <c r="U9" s="527"/>
      <c r="V9" s="527"/>
      <c r="W9" s="527"/>
      <c r="X9" s="527"/>
      <c r="Y9" s="527"/>
      <c r="Z9" s="527"/>
      <c r="AA9" s="527"/>
      <c r="AB9" s="527"/>
      <c r="AC9" s="530"/>
      <c r="AD9" s="528" t="s">
        <v>273</v>
      </c>
      <c r="AE9" s="527"/>
      <c r="AF9" s="529"/>
      <c r="AG9" s="527"/>
      <c r="AH9" s="527"/>
      <c r="AI9" s="527"/>
      <c r="AJ9" s="527"/>
      <c r="AK9" s="527"/>
      <c r="AL9" s="527"/>
      <c r="AM9" s="527"/>
      <c r="AN9" s="527"/>
      <c r="AO9" s="527"/>
      <c r="AP9" s="527"/>
      <c r="AQ9" s="531"/>
    </row>
    <row r="10" spans="1:43" ht="13.5" customHeight="1">
      <c r="A10" s="34" t="e">
        <f>MATCH($A$4,$O10:$AC10,1)</f>
        <v>#VALUE!</v>
      </c>
      <c r="B10" s="1095" t="e">
        <f>MATCH($A$4,$O10:$AC10,1)+1</f>
        <v>#VALUE!</v>
      </c>
      <c r="C10" s="34" t="e">
        <f>MATCH($C$4,$O10:$AC10,1)</f>
        <v>#VALUE!</v>
      </c>
      <c r="D10" s="1094" t="e">
        <f>MATCH($C$4,$O10:$AC10,1)+1</f>
        <v>#VALUE!</v>
      </c>
      <c r="E10" s="34" t="e">
        <f>MATCH($E$4,$O10:$AC10,1)</f>
        <v>#VALUE!</v>
      </c>
      <c r="F10" s="1094" t="e">
        <f>MATCH($E$4,$O10:$AC10,1)+1</f>
        <v>#VALUE!</v>
      </c>
      <c r="G10" s="34" t="e">
        <f>MATCH($G$4,$O10:$AC10,1)</f>
        <v>#VALUE!</v>
      </c>
      <c r="H10" s="1094" t="e">
        <f>MATCH($G$4,$O10:$AC10,1)+1</f>
        <v>#VALUE!</v>
      </c>
      <c r="I10" s="533"/>
      <c r="J10" s="705">
        <v>4</v>
      </c>
      <c r="K10" s="706">
        <v>4</v>
      </c>
      <c r="L10" s="706" t="s">
        <v>582</v>
      </c>
      <c r="M10" s="706" t="s">
        <v>575</v>
      </c>
      <c r="N10" s="694" t="s">
        <v>521</v>
      </c>
      <c r="O10" s="519">
        <v>0</v>
      </c>
      <c r="P10" s="511">
        <v>3.01</v>
      </c>
      <c r="Q10" s="505">
        <v>4.1900000000000004</v>
      </c>
      <c r="R10" s="505">
        <v>5.99</v>
      </c>
      <c r="S10" s="505">
        <v>7.65</v>
      </c>
      <c r="T10" s="505">
        <v>9.3800000000000008</v>
      </c>
      <c r="U10" s="505">
        <v>10.86</v>
      </c>
      <c r="V10" s="505">
        <v>12.51</v>
      </c>
      <c r="W10" s="505"/>
      <c r="X10" s="505"/>
      <c r="Y10" s="505"/>
      <c r="Z10" s="505"/>
      <c r="AA10" s="505"/>
      <c r="AB10" s="505"/>
      <c r="AC10" s="506"/>
      <c r="AD10" s="511">
        <f t="shared" ref="AD10:AJ14" si="0">P10^2*PI()/4*60/1000</f>
        <v>0.42694715401183314</v>
      </c>
      <c r="AE10" s="505">
        <f t="shared" si="0"/>
        <v>0.82731172178531676</v>
      </c>
      <c r="AF10" s="505">
        <f t="shared" si="0"/>
        <v>1.6908098785510073</v>
      </c>
      <c r="AG10" s="505">
        <f t="shared" si="0"/>
        <v>2.7578078410456301</v>
      </c>
      <c r="AH10" s="505">
        <f t="shared" si="0"/>
        <v>4.1461671700575868</v>
      </c>
      <c r="AI10" s="505">
        <f t="shared" si="0"/>
        <v>5.557772713909781</v>
      </c>
      <c r="AJ10" s="505">
        <f t="shared" si="0"/>
        <v>7.3748934666910202</v>
      </c>
      <c r="AK10" s="505"/>
      <c r="AL10" s="505"/>
      <c r="AM10" s="505"/>
      <c r="AN10" s="505"/>
      <c r="AO10" s="505"/>
      <c r="AP10" s="505"/>
      <c r="AQ10" s="512"/>
    </row>
    <row r="11" spans="1:43" s="26" customFormat="1" ht="13.5" customHeight="1">
      <c r="A11" s="34" t="e">
        <f t="shared" ref="A11:A78" si="1">MATCH($A$4,$O11:$AC11,1)</f>
        <v>#VALUE!</v>
      </c>
      <c r="B11" s="1095" t="e">
        <f t="shared" ref="B11:B78" si="2">MATCH($A$4,$O11:$AC11,1)+1</f>
        <v>#VALUE!</v>
      </c>
      <c r="C11" s="34" t="e">
        <f t="shared" ref="C11:C78" si="3">MATCH($C$4,$O11:$AC11,1)</f>
        <v>#VALUE!</v>
      </c>
      <c r="D11" s="1094" t="e">
        <f t="shared" ref="D11:D78" si="4">MATCH($C$4,$O11:$AC11,1)+1</f>
        <v>#VALUE!</v>
      </c>
      <c r="E11" s="34" t="e">
        <f t="shared" ref="E11:E78" si="5">MATCH($E$4,$O11:$AC11,1)</f>
        <v>#VALUE!</v>
      </c>
      <c r="F11" s="1094" t="e">
        <f t="shared" ref="F11:F78" si="6">MATCH($E$4,$O11:$AC11,1)+1</f>
        <v>#VALUE!</v>
      </c>
      <c r="G11" s="34" t="e">
        <f t="shared" ref="G11:G78" si="7">MATCH($G$4,$O11:$AC11,1)</f>
        <v>#VALUE!</v>
      </c>
      <c r="H11" s="1094" t="e">
        <f t="shared" ref="H11:H78" si="8">MATCH($G$4,$O11:$AC11,1)+1</f>
        <v>#VALUE!</v>
      </c>
      <c r="I11" s="534"/>
      <c r="J11" s="707">
        <v>5</v>
      </c>
      <c r="K11" s="708">
        <v>5</v>
      </c>
      <c r="L11" s="708" t="s">
        <v>582</v>
      </c>
      <c r="M11" s="708" t="s">
        <v>575</v>
      </c>
      <c r="N11" s="695" t="s">
        <v>523</v>
      </c>
      <c r="O11" s="520">
        <v>0</v>
      </c>
      <c r="P11" s="513">
        <v>3.18</v>
      </c>
      <c r="Q11" s="507">
        <v>4.72</v>
      </c>
      <c r="R11" s="507">
        <v>6.44</v>
      </c>
      <c r="S11" s="507">
        <v>8.06</v>
      </c>
      <c r="T11" s="507">
        <v>9.61</v>
      </c>
      <c r="U11" s="507">
        <v>12.9</v>
      </c>
      <c r="V11" s="507">
        <v>15.8</v>
      </c>
      <c r="W11" s="507"/>
      <c r="X11" s="507"/>
      <c r="Y11" s="507"/>
      <c r="Z11" s="507"/>
      <c r="AA11" s="507"/>
      <c r="AB11" s="507"/>
      <c r="AC11" s="508"/>
      <c r="AD11" s="513">
        <f t="shared" si="0"/>
        <v>0.47653562325242138</v>
      </c>
      <c r="AE11" s="507">
        <f t="shared" si="0"/>
        <v>1.0498448666060225</v>
      </c>
      <c r="AF11" s="507">
        <f t="shared" si="0"/>
        <v>1.9543973561688246</v>
      </c>
      <c r="AG11" s="507">
        <f t="shared" si="0"/>
        <v>3.0613375276611889</v>
      </c>
      <c r="AH11" s="507">
        <f t="shared" si="0"/>
        <v>4.3519901835538484</v>
      </c>
      <c r="AI11" s="507">
        <f t="shared" si="0"/>
        <v>7.8418865022581627</v>
      </c>
      <c r="AJ11" s="507">
        <f t="shared" si="0"/>
        <v>11.764007850632341</v>
      </c>
      <c r="AK11" s="507"/>
      <c r="AL11" s="507"/>
      <c r="AM11" s="507"/>
      <c r="AN11" s="507"/>
      <c r="AO11" s="507"/>
      <c r="AP11" s="507"/>
      <c r="AQ11" s="514"/>
    </row>
    <row r="12" spans="1:43" s="3" customFormat="1" ht="13.5" customHeight="1">
      <c r="A12" s="34" t="e">
        <f t="shared" si="1"/>
        <v>#VALUE!</v>
      </c>
      <c r="B12" s="1095" t="e">
        <f t="shared" si="2"/>
        <v>#VALUE!</v>
      </c>
      <c r="C12" s="34" t="e">
        <f t="shared" si="3"/>
        <v>#VALUE!</v>
      </c>
      <c r="D12" s="1094" t="e">
        <f t="shared" si="4"/>
        <v>#VALUE!</v>
      </c>
      <c r="E12" s="34" t="e">
        <f t="shared" si="5"/>
        <v>#VALUE!</v>
      </c>
      <c r="F12" s="1094" t="e">
        <f t="shared" si="6"/>
        <v>#VALUE!</v>
      </c>
      <c r="G12" s="34" t="e">
        <f t="shared" si="7"/>
        <v>#VALUE!</v>
      </c>
      <c r="H12" s="1094" t="e">
        <f t="shared" si="8"/>
        <v>#VALUE!</v>
      </c>
      <c r="I12" s="535"/>
      <c r="J12" s="707">
        <v>6</v>
      </c>
      <c r="K12" s="708">
        <v>6</v>
      </c>
      <c r="L12" s="708" t="s">
        <v>580</v>
      </c>
      <c r="M12" s="708" t="s">
        <v>575</v>
      </c>
      <c r="N12" s="695" t="s">
        <v>1243</v>
      </c>
      <c r="O12" s="520">
        <v>0</v>
      </c>
      <c r="P12" s="513">
        <v>2.9</v>
      </c>
      <c r="Q12" s="507">
        <v>3.34</v>
      </c>
      <c r="R12" s="507">
        <v>3.6</v>
      </c>
      <c r="S12" s="507">
        <v>4.25</v>
      </c>
      <c r="T12" s="507">
        <v>4.45</v>
      </c>
      <c r="U12" s="507">
        <v>5.23</v>
      </c>
      <c r="V12" s="507">
        <v>5.57</v>
      </c>
      <c r="W12" s="507">
        <v>5.91</v>
      </c>
      <c r="X12" s="507">
        <v>7</v>
      </c>
      <c r="Y12" s="507">
        <v>7.71</v>
      </c>
      <c r="Z12" s="507">
        <v>8.59</v>
      </c>
      <c r="AA12" s="507">
        <v>9.86</v>
      </c>
      <c r="AB12" s="507"/>
      <c r="AC12" s="508"/>
      <c r="AD12" s="513">
        <f t="shared" si="0"/>
        <v>0.39631191325035242</v>
      </c>
      <c r="AE12" s="507">
        <f t="shared" si="0"/>
        <v>0.52569526509579445</v>
      </c>
      <c r="AF12" s="507">
        <f t="shared" si="0"/>
        <v>0.61072561185785579</v>
      </c>
      <c r="AG12" s="507">
        <f t="shared" si="0"/>
        <v>0.85117525958198459</v>
      </c>
      <c r="AH12" s="507">
        <f t="shared" si="0"/>
        <v>0.93317082784067829</v>
      </c>
      <c r="AI12" s="507">
        <f t="shared" si="0"/>
        <v>1.2889750454156439</v>
      </c>
      <c r="AJ12" s="507">
        <f t="shared" si="0"/>
        <v>1.4620139687753697</v>
      </c>
      <c r="AK12" s="507">
        <f t="shared" ref="AK12:AO13" si="9">W12^2*PI()/4*60/1000</f>
        <v>1.6459479354577446</v>
      </c>
      <c r="AL12" s="507">
        <f t="shared" si="9"/>
        <v>2.3090706003884978</v>
      </c>
      <c r="AM12" s="507">
        <f t="shared" si="9"/>
        <v>2.8012372178888554</v>
      </c>
      <c r="AN12" s="507">
        <f t="shared" si="9"/>
        <v>3.4771822932352352</v>
      </c>
      <c r="AO12" s="507">
        <f t="shared" si="9"/>
        <v>4.5813657171740729</v>
      </c>
      <c r="AP12" s="507"/>
      <c r="AQ12" s="515"/>
    </row>
    <row r="13" spans="1:43" ht="13.5" customHeight="1">
      <c r="A13" s="34" t="e">
        <f t="shared" si="1"/>
        <v>#VALUE!</v>
      </c>
      <c r="B13" s="1095" t="e">
        <f t="shared" si="2"/>
        <v>#VALUE!</v>
      </c>
      <c r="C13" s="34" t="e">
        <f t="shared" si="3"/>
        <v>#VALUE!</v>
      </c>
      <c r="D13" s="1094" t="e">
        <f t="shared" si="4"/>
        <v>#VALUE!</v>
      </c>
      <c r="E13" s="34" t="e">
        <f t="shared" si="5"/>
        <v>#VALUE!</v>
      </c>
      <c r="F13" s="1094" t="e">
        <f t="shared" si="6"/>
        <v>#VALUE!</v>
      </c>
      <c r="G13" s="34" t="e">
        <f t="shared" si="7"/>
        <v>#VALUE!</v>
      </c>
      <c r="H13" s="1094" t="e">
        <f t="shared" si="8"/>
        <v>#VALUE!</v>
      </c>
      <c r="I13" s="533"/>
      <c r="J13" s="707">
        <v>7</v>
      </c>
      <c r="K13" s="708">
        <v>7</v>
      </c>
      <c r="L13" s="708" t="s">
        <v>580</v>
      </c>
      <c r="M13" s="708" t="s">
        <v>575</v>
      </c>
      <c r="N13" s="695" t="s">
        <v>1243</v>
      </c>
      <c r="O13" s="520">
        <v>0</v>
      </c>
      <c r="P13" s="513">
        <v>3.1</v>
      </c>
      <c r="Q13" s="507">
        <v>3.4</v>
      </c>
      <c r="R13" s="507">
        <v>3.6</v>
      </c>
      <c r="S13" s="507">
        <v>4.2</v>
      </c>
      <c r="T13" s="507">
        <v>4.49</v>
      </c>
      <c r="U13" s="507">
        <v>4.84</v>
      </c>
      <c r="V13" s="507">
        <v>5.49</v>
      </c>
      <c r="W13" s="507">
        <v>5.87</v>
      </c>
      <c r="X13" s="507">
        <v>6.61</v>
      </c>
      <c r="Y13" s="507">
        <v>7.57</v>
      </c>
      <c r="Z13" s="507">
        <v>8.56</v>
      </c>
      <c r="AA13" s="507">
        <v>9.7100000000000009</v>
      </c>
      <c r="AB13" s="507"/>
      <c r="AC13" s="508"/>
      <c r="AD13" s="513">
        <f t="shared" si="0"/>
        <v>0.45286058101496879</v>
      </c>
      <c r="AE13" s="507">
        <f t="shared" si="0"/>
        <v>0.54475216613247002</v>
      </c>
      <c r="AF13" s="507">
        <f t="shared" si="0"/>
        <v>0.61072561185785579</v>
      </c>
      <c r="AG13" s="507">
        <f t="shared" si="0"/>
        <v>0.83126541613985916</v>
      </c>
      <c r="AH13" s="507">
        <f t="shared" si="0"/>
        <v>0.95002233083453391</v>
      </c>
      <c r="AI13" s="507">
        <f t="shared" si="0"/>
        <v>1.1039053929889957</v>
      </c>
      <c r="AJ13" s="507">
        <f t="shared" si="0"/>
        <v>1.420318751076926</v>
      </c>
      <c r="AK13" s="507">
        <f t="shared" si="9"/>
        <v>1.6237431585821722</v>
      </c>
      <c r="AL13" s="507">
        <f t="shared" si="9"/>
        <v>2.0589417056986594</v>
      </c>
      <c r="AM13" s="507">
        <f t="shared" si="9"/>
        <v>2.7004297928204664</v>
      </c>
      <c r="AN13" s="507">
        <f t="shared" si="9"/>
        <v>3.4529370519311562</v>
      </c>
      <c r="AO13" s="507">
        <f t="shared" si="9"/>
        <v>4.4430335386548823</v>
      </c>
      <c r="AP13" s="507"/>
      <c r="AQ13" s="516"/>
    </row>
    <row r="14" spans="1:43" ht="13.5" customHeight="1">
      <c r="A14" s="34" t="e">
        <f t="shared" si="1"/>
        <v>#VALUE!</v>
      </c>
      <c r="B14" s="1095" t="e">
        <f t="shared" si="2"/>
        <v>#VALUE!</v>
      </c>
      <c r="C14" s="34" t="e">
        <f t="shared" si="3"/>
        <v>#VALUE!</v>
      </c>
      <c r="D14" s="1094" t="e">
        <f t="shared" si="4"/>
        <v>#VALUE!</v>
      </c>
      <c r="E14" s="34" t="e">
        <f t="shared" si="5"/>
        <v>#VALUE!</v>
      </c>
      <c r="F14" s="1094" t="e">
        <f t="shared" si="6"/>
        <v>#VALUE!</v>
      </c>
      <c r="G14" s="34" t="e">
        <f t="shared" si="7"/>
        <v>#VALUE!</v>
      </c>
      <c r="H14" s="1094" t="e">
        <f t="shared" si="8"/>
        <v>#VALUE!</v>
      </c>
      <c r="I14" s="533"/>
      <c r="J14" s="707">
        <v>8</v>
      </c>
      <c r="K14" s="708">
        <v>8</v>
      </c>
      <c r="L14" s="708" t="s">
        <v>581</v>
      </c>
      <c r="M14" s="708" t="s">
        <v>575</v>
      </c>
      <c r="N14" s="695" t="s">
        <v>521</v>
      </c>
      <c r="O14" s="520">
        <v>0</v>
      </c>
      <c r="P14" s="513">
        <v>6.28</v>
      </c>
      <c r="Q14" s="507">
        <v>9.66</v>
      </c>
      <c r="R14" s="507">
        <v>11.03</v>
      </c>
      <c r="S14" s="507">
        <v>12.76</v>
      </c>
      <c r="T14" s="507"/>
      <c r="U14" s="507"/>
      <c r="V14" s="507"/>
      <c r="W14" s="507"/>
      <c r="X14" s="507"/>
      <c r="Y14" s="507"/>
      <c r="Z14" s="507"/>
      <c r="AA14" s="507"/>
      <c r="AB14" s="507"/>
      <c r="AC14" s="508"/>
      <c r="AD14" s="513">
        <f t="shared" si="0"/>
        <v>1.8584908156400355</v>
      </c>
      <c r="AE14" s="507">
        <f t="shared" si="0"/>
        <v>4.3973940513798562</v>
      </c>
      <c r="AF14" s="507">
        <f t="shared" si="0"/>
        <v>5.7331348450368358</v>
      </c>
      <c r="AG14" s="507">
        <f t="shared" si="0"/>
        <v>7.6725986405268225</v>
      </c>
      <c r="AH14" s="507">
        <f t="shared" si="0"/>
        <v>0</v>
      </c>
      <c r="AI14" s="507">
        <f t="shared" si="0"/>
        <v>0</v>
      </c>
      <c r="AJ14" s="507">
        <f t="shared" si="0"/>
        <v>0</v>
      </c>
      <c r="AK14" s="507"/>
      <c r="AL14" s="507"/>
      <c r="AM14" s="507"/>
      <c r="AN14" s="507"/>
      <c r="AO14" s="507"/>
      <c r="AP14" s="507"/>
      <c r="AQ14" s="516"/>
    </row>
    <row r="15" spans="1:43" ht="13.5" customHeight="1">
      <c r="A15" s="34" t="e">
        <f t="shared" si="1"/>
        <v>#VALUE!</v>
      </c>
      <c r="B15" s="1095" t="e">
        <f t="shared" si="2"/>
        <v>#VALUE!</v>
      </c>
      <c r="C15" s="34" t="e">
        <f t="shared" si="3"/>
        <v>#VALUE!</v>
      </c>
      <c r="D15" s="1094" t="e">
        <f t="shared" si="4"/>
        <v>#VALUE!</v>
      </c>
      <c r="E15" s="34" t="e">
        <f t="shared" si="5"/>
        <v>#VALUE!</v>
      </c>
      <c r="F15" s="1094" t="e">
        <f t="shared" si="6"/>
        <v>#VALUE!</v>
      </c>
      <c r="G15" s="34" t="e">
        <f t="shared" si="7"/>
        <v>#VALUE!</v>
      </c>
      <c r="H15" s="1094" t="e">
        <f t="shared" si="8"/>
        <v>#VALUE!</v>
      </c>
      <c r="I15" s="533"/>
      <c r="J15" s="707">
        <v>9</v>
      </c>
      <c r="K15" s="708" t="s">
        <v>1315</v>
      </c>
      <c r="L15" s="999" t="s">
        <v>1364</v>
      </c>
      <c r="M15" s="708" t="s">
        <v>574</v>
      </c>
      <c r="N15" s="695" t="s">
        <v>523</v>
      </c>
      <c r="O15" s="520">
        <v>0</v>
      </c>
      <c r="P15" s="513">
        <v>5.55</v>
      </c>
      <c r="Q15" s="507">
        <v>8.02</v>
      </c>
      <c r="R15" s="507">
        <v>8.93</v>
      </c>
      <c r="S15" s="507">
        <v>10.01</v>
      </c>
      <c r="T15" s="507">
        <v>12.3</v>
      </c>
      <c r="U15" s="507"/>
      <c r="V15" s="507"/>
      <c r="W15" s="507"/>
      <c r="X15" s="507"/>
      <c r="Y15" s="507"/>
      <c r="Z15" s="507"/>
      <c r="AA15" s="507"/>
      <c r="AB15" s="507"/>
      <c r="AC15" s="508"/>
      <c r="AD15" s="513">
        <f t="shared" ref="AD15:AH16" si="10">P15^2*PI()/4*60/1000</f>
        <v>1.4515336156829939</v>
      </c>
      <c r="AE15" s="507">
        <f t="shared" si="10"/>
        <v>3.0310274417393539</v>
      </c>
      <c r="AF15" s="507">
        <f t="shared" si="10"/>
        <v>3.7578898800187903</v>
      </c>
      <c r="AG15" s="507">
        <f t="shared" si="10"/>
        <v>4.7218184707344397</v>
      </c>
      <c r="AH15" s="507">
        <f t="shared" si="10"/>
        <v>7.1293732884239978</v>
      </c>
      <c r="AI15" s="507"/>
      <c r="AJ15" s="507"/>
      <c r="AK15" s="507"/>
      <c r="AL15" s="507"/>
      <c r="AM15" s="507"/>
      <c r="AN15" s="507"/>
      <c r="AO15" s="507"/>
      <c r="AP15" s="507"/>
      <c r="AQ15" s="516"/>
    </row>
    <row r="16" spans="1:43" ht="13.5" customHeight="1">
      <c r="A16" s="34" t="e">
        <f t="shared" si="1"/>
        <v>#VALUE!</v>
      </c>
      <c r="B16" s="1095" t="e">
        <f t="shared" si="2"/>
        <v>#VALUE!</v>
      </c>
      <c r="C16" s="34" t="e">
        <f t="shared" si="3"/>
        <v>#VALUE!</v>
      </c>
      <c r="D16" s="1094" t="e">
        <f t="shared" si="4"/>
        <v>#VALUE!</v>
      </c>
      <c r="E16" s="34" t="e">
        <f t="shared" si="5"/>
        <v>#VALUE!</v>
      </c>
      <c r="F16" s="1094" t="e">
        <f t="shared" si="6"/>
        <v>#VALUE!</v>
      </c>
      <c r="G16" s="34" t="e">
        <f t="shared" si="7"/>
        <v>#VALUE!</v>
      </c>
      <c r="H16" s="1094" t="e">
        <f t="shared" si="8"/>
        <v>#VALUE!</v>
      </c>
      <c r="I16" s="533"/>
      <c r="J16" s="707">
        <v>10</v>
      </c>
      <c r="K16" s="708" t="s">
        <v>1316</v>
      </c>
      <c r="L16" s="708" t="s">
        <v>581</v>
      </c>
      <c r="M16" s="708" t="s">
        <v>574</v>
      </c>
      <c r="N16" s="695" t="s">
        <v>523</v>
      </c>
      <c r="O16" s="520">
        <v>0</v>
      </c>
      <c r="P16" s="513">
        <v>5.62</v>
      </c>
      <c r="Q16" s="507">
        <v>7.88</v>
      </c>
      <c r="R16" s="507">
        <v>9.02</v>
      </c>
      <c r="S16" s="507">
        <v>10.029999999999999</v>
      </c>
      <c r="T16" s="507">
        <v>12.27</v>
      </c>
      <c r="U16" s="507"/>
      <c r="V16" s="507"/>
      <c r="W16" s="507"/>
      <c r="X16" s="507"/>
      <c r="Y16" s="507"/>
      <c r="Z16" s="507"/>
      <c r="AA16" s="507"/>
      <c r="AB16" s="507"/>
      <c r="AC16" s="508"/>
      <c r="AD16" s="513">
        <f t="shared" si="10"/>
        <v>1.488379785120622</v>
      </c>
      <c r="AE16" s="507">
        <f t="shared" si="10"/>
        <v>2.9261296630359905</v>
      </c>
      <c r="AF16" s="507">
        <f t="shared" si="10"/>
        <v>3.8340185239969049</v>
      </c>
      <c r="AG16" s="507">
        <f t="shared" si="10"/>
        <v>4.7407057257678211</v>
      </c>
      <c r="AH16" s="507">
        <f t="shared" si="10"/>
        <v>7.0946382692495806</v>
      </c>
      <c r="AI16" s="507"/>
      <c r="AJ16" s="507"/>
      <c r="AK16" s="507"/>
      <c r="AL16" s="507"/>
      <c r="AM16" s="507"/>
      <c r="AN16" s="507"/>
      <c r="AO16" s="507"/>
      <c r="AP16" s="507"/>
      <c r="AQ16" s="516"/>
    </row>
    <row r="17" spans="1:43" ht="13.5" customHeight="1">
      <c r="A17" s="34" t="e">
        <f t="shared" si="1"/>
        <v>#VALUE!</v>
      </c>
      <c r="B17" s="1095" t="e">
        <f t="shared" si="2"/>
        <v>#VALUE!</v>
      </c>
      <c r="C17" s="34" t="e">
        <f t="shared" si="3"/>
        <v>#VALUE!</v>
      </c>
      <c r="D17" s="1094" t="e">
        <f t="shared" si="4"/>
        <v>#VALUE!</v>
      </c>
      <c r="E17" s="34" t="e">
        <f t="shared" si="5"/>
        <v>#VALUE!</v>
      </c>
      <c r="F17" s="1094" t="e">
        <f t="shared" si="6"/>
        <v>#VALUE!</v>
      </c>
      <c r="G17" s="34" t="e">
        <f t="shared" si="7"/>
        <v>#VALUE!</v>
      </c>
      <c r="H17" s="1094" t="e">
        <f t="shared" si="8"/>
        <v>#VALUE!</v>
      </c>
      <c r="I17" s="533"/>
      <c r="J17" s="707">
        <v>16</v>
      </c>
      <c r="K17" s="708" t="s">
        <v>1225</v>
      </c>
      <c r="L17" s="999" t="s">
        <v>1364</v>
      </c>
      <c r="M17" s="708" t="s">
        <v>577</v>
      </c>
      <c r="N17" s="695" t="s">
        <v>521</v>
      </c>
      <c r="O17" s="520">
        <v>0</v>
      </c>
      <c r="P17" s="513">
        <v>5.83</v>
      </c>
      <c r="Q17" s="507">
        <v>7.79</v>
      </c>
      <c r="R17" s="507">
        <v>12.83</v>
      </c>
      <c r="S17" s="507"/>
      <c r="T17" s="507"/>
      <c r="U17" s="507"/>
      <c r="V17" s="507"/>
      <c r="W17" s="507"/>
      <c r="X17" s="507"/>
      <c r="Y17" s="507"/>
      <c r="Z17" s="507"/>
      <c r="AA17" s="507"/>
      <c r="AB17" s="507"/>
      <c r="AC17" s="508"/>
      <c r="AD17" s="513">
        <f t="shared" ref="AD17:AD25" si="11">P17^2*PI()/4*60/1000</f>
        <v>1.6016891781539719</v>
      </c>
      <c r="AE17" s="507">
        <f t="shared" ref="AE17:AE25" si="12">Q17^2*PI()/4*60/1000</f>
        <v>2.8596708412456255</v>
      </c>
      <c r="AF17" s="507">
        <f t="shared" ref="AF17:AF25" si="13">R17^2*PI()/4*60/1000</f>
        <v>7.7570116643324534</v>
      </c>
      <c r="AG17" s="507">
        <f t="shared" ref="AG17:AG25" si="14">S17^2*PI()/4*60/1000</f>
        <v>0</v>
      </c>
      <c r="AH17" s="507"/>
      <c r="AI17" s="507"/>
      <c r="AJ17" s="507"/>
      <c r="AK17" s="507"/>
      <c r="AL17" s="507"/>
      <c r="AM17" s="507"/>
      <c r="AN17" s="507"/>
      <c r="AO17" s="507"/>
      <c r="AP17" s="507"/>
      <c r="AQ17" s="516"/>
    </row>
    <row r="18" spans="1:43" ht="13.5" customHeight="1">
      <c r="A18" s="34" t="e">
        <f t="shared" si="1"/>
        <v>#VALUE!</v>
      </c>
      <c r="B18" s="1095" t="e">
        <f t="shared" si="2"/>
        <v>#VALUE!</v>
      </c>
      <c r="C18" s="34" t="e">
        <f t="shared" si="3"/>
        <v>#VALUE!</v>
      </c>
      <c r="D18" s="1094" t="e">
        <f t="shared" si="4"/>
        <v>#VALUE!</v>
      </c>
      <c r="E18" s="34" t="e">
        <f t="shared" si="5"/>
        <v>#VALUE!</v>
      </c>
      <c r="F18" s="1094" t="e">
        <f t="shared" si="6"/>
        <v>#VALUE!</v>
      </c>
      <c r="G18" s="34" t="e">
        <f t="shared" si="7"/>
        <v>#VALUE!</v>
      </c>
      <c r="H18" s="1094" t="e">
        <f t="shared" si="8"/>
        <v>#VALUE!</v>
      </c>
      <c r="I18" s="533"/>
      <c r="J18" s="707">
        <v>17</v>
      </c>
      <c r="K18" s="708" t="s">
        <v>1226</v>
      </c>
      <c r="L18" s="708" t="s">
        <v>581</v>
      </c>
      <c r="M18" s="708" t="s">
        <v>577</v>
      </c>
      <c r="N18" s="695" t="s">
        <v>521</v>
      </c>
      <c r="O18" s="520">
        <v>0</v>
      </c>
      <c r="P18" s="513">
        <v>4.71</v>
      </c>
      <c r="Q18" s="507">
        <v>6.55</v>
      </c>
      <c r="R18" s="507">
        <v>8.0299999999999994</v>
      </c>
      <c r="S18" s="507">
        <v>9.75</v>
      </c>
      <c r="T18" s="507">
        <v>12.54</v>
      </c>
      <c r="U18" s="507"/>
      <c r="V18" s="507"/>
      <c r="W18" s="507"/>
      <c r="X18" s="507"/>
      <c r="Y18" s="507"/>
      <c r="Z18" s="507"/>
      <c r="AA18" s="507"/>
      <c r="AB18" s="507"/>
      <c r="AC18" s="508"/>
      <c r="AD18" s="513">
        <f t="shared" si="11"/>
        <v>1.0454010837975201</v>
      </c>
      <c r="AE18" s="507">
        <f t="shared" si="12"/>
        <v>2.0217326823095414</v>
      </c>
      <c r="AF18" s="507">
        <f t="shared" si="13"/>
        <v>3.0385908260528707</v>
      </c>
      <c r="AG18" s="507">
        <f t="shared" si="14"/>
        <v>4.4797147744781949</v>
      </c>
      <c r="AH18" s="507">
        <f>T18^2*PI()/4*60/1000</f>
        <v>7.41030706987861</v>
      </c>
      <c r="AI18" s="507"/>
      <c r="AJ18" s="507"/>
      <c r="AK18" s="507"/>
      <c r="AL18" s="507"/>
      <c r="AM18" s="507"/>
      <c r="AN18" s="507"/>
      <c r="AO18" s="507"/>
      <c r="AP18" s="507"/>
      <c r="AQ18" s="516"/>
    </row>
    <row r="19" spans="1:43" ht="13.5" customHeight="1">
      <c r="A19" s="34" t="e">
        <f t="shared" si="1"/>
        <v>#VALUE!</v>
      </c>
      <c r="B19" s="1095" t="e">
        <f t="shared" si="2"/>
        <v>#VALUE!</v>
      </c>
      <c r="C19" s="34" t="e">
        <f t="shared" si="3"/>
        <v>#VALUE!</v>
      </c>
      <c r="D19" s="1094" t="e">
        <f t="shared" si="4"/>
        <v>#VALUE!</v>
      </c>
      <c r="E19" s="34" t="e">
        <f t="shared" si="5"/>
        <v>#VALUE!</v>
      </c>
      <c r="F19" s="1094" t="e">
        <f t="shared" si="6"/>
        <v>#VALUE!</v>
      </c>
      <c r="G19" s="34" t="e">
        <f t="shared" si="7"/>
        <v>#VALUE!</v>
      </c>
      <c r="H19" s="1094" t="e">
        <f t="shared" si="8"/>
        <v>#VALUE!</v>
      </c>
      <c r="I19" s="533"/>
      <c r="J19" s="707">
        <v>18</v>
      </c>
      <c r="K19" s="708" t="s">
        <v>1227</v>
      </c>
      <c r="L19" s="708" t="s">
        <v>590</v>
      </c>
      <c r="M19" s="708" t="s">
        <v>576</v>
      </c>
      <c r="N19" s="695" t="s">
        <v>524</v>
      </c>
      <c r="O19" s="520">
        <v>0</v>
      </c>
      <c r="P19" s="513">
        <v>4.0199999999999996</v>
      </c>
      <c r="Q19" s="507">
        <v>4.9800000000000004</v>
      </c>
      <c r="R19" s="507">
        <v>5.99</v>
      </c>
      <c r="S19" s="507">
        <v>7.97</v>
      </c>
      <c r="T19" s="507"/>
      <c r="U19" s="507"/>
      <c r="V19" s="507"/>
      <c r="W19" s="507"/>
      <c r="X19" s="507"/>
      <c r="Y19" s="507"/>
      <c r="Z19" s="507"/>
      <c r="AA19" s="507"/>
      <c r="AB19" s="507"/>
      <c r="AC19" s="508"/>
      <c r="AD19" s="513">
        <f t="shared" si="11"/>
        <v>0.76154090878608716</v>
      </c>
      <c r="AE19" s="507">
        <f t="shared" si="12"/>
        <v>1.1686913166913249</v>
      </c>
      <c r="AF19" s="507">
        <f t="shared" si="13"/>
        <v>1.6908098785510073</v>
      </c>
      <c r="AG19" s="507">
        <f t="shared" si="14"/>
        <v>2.9933518918411783</v>
      </c>
      <c r="AH19" s="507"/>
      <c r="AI19" s="507"/>
      <c r="AJ19" s="507"/>
      <c r="AK19" s="507"/>
      <c r="AL19" s="507"/>
      <c r="AM19" s="507"/>
      <c r="AN19" s="507"/>
      <c r="AO19" s="507"/>
      <c r="AP19" s="507"/>
      <c r="AQ19" s="516"/>
    </row>
    <row r="20" spans="1:43" ht="13.5" customHeight="1">
      <c r="A20" s="34" t="e">
        <f t="shared" si="1"/>
        <v>#VALUE!</v>
      </c>
      <c r="B20" s="1095" t="e">
        <f t="shared" si="2"/>
        <v>#VALUE!</v>
      </c>
      <c r="C20" s="34" t="e">
        <f t="shared" si="3"/>
        <v>#VALUE!</v>
      </c>
      <c r="D20" s="1094" t="e">
        <f t="shared" si="4"/>
        <v>#VALUE!</v>
      </c>
      <c r="E20" s="34" t="e">
        <f t="shared" si="5"/>
        <v>#VALUE!</v>
      </c>
      <c r="F20" s="1094" t="e">
        <f t="shared" si="6"/>
        <v>#VALUE!</v>
      </c>
      <c r="G20" s="34" t="e">
        <f t="shared" si="7"/>
        <v>#VALUE!</v>
      </c>
      <c r="H20" s="1094" t="e">
        <f t="shared" si="8"/>
        <v>#VALUE!</v>
      </c>
      <c r="I20" s="533"/>
      <c r="J20" s="707">
        <v>19</v>
      </c>
      <c r="K20" s="708" t="s">
        <v>1228</v>
      </c>
      <c r="L20" s="999" t="s">
        <v>1364</v>
      </c>
      <c r="M20" s="708" t="s">
        <v>576</v>
      </c>
      <c r="N20" s="695" t="s">
        <v>524</v>
      </c>
      <c r="O20" s="520">
        <v>0</v>
      </c>
      <c r="P20" s="513">
        <v>4.21</v>
      </c>
      <c r="Q20" s="507">
        <v>5.31</v>
      </c>
      <c r="R20" s="507">
        <v>6.5</v>
      </c>
      <c r="S20" s="507">
        <v>8.1300000000000008</v>
      </c>
      <c r="T20" s="507"/>
      <c r="U20" s="507"/>
      <c r="V20" s="507"/>
      <c r="W20" s="507"/>
      <c r="X20" s="507"/>
      <c r="Y20" s="507"/>
      <c r="Z20" s="507"/>
      <c r="AA20" s="507"/>
      <c r="AB20" s="507"/>
      <c r="AC20" s="508"/>
      <c r="AD20" s="513">
        <f t="shared" si="11"/>
        <v>0.83522853527236285</v>
      </c>
      <c r="AE20" s="507">
        <f t="shared" si="12"/>
        <v>1.3287099092982471</v>
      </c>
      <c r="AF20" s="507">
        <f t="shared" si="13"/>
        <v>1.9909843442125315</v>
      </c>
      <c r="AG20" s="507">
        <f t="shared" si="14"/>
        <v>3.1147430319758889</v>
      </c>
      <c r="AH20" s="507"/>
      <c r="AI20" s="507"/>
      <c r="AJ20" s="507"/>
      <c r="AK20" s="507"/>
      <c r="AL20" s="507"/>
      <c r="AM20" s="507"/>
      <c r="AN20" s="507"/>
      <c r="AO20" s="507"/>
      <c r="AP20" s="507"/>
      <c r="AQ20" s="516"/>
    </row>
    <row r="21" spans="1:43" ht="13.5" customHeight="1">
      <c r="A21" s="34" t="e">
        <f t="shared" si="1"/>
        <v>#VALUE!</v>
      </c>
      <c r="B21" s="1095" t="e">
        <f t="shared" si="2"/>
        <v>#VALUE!</v>
      </c>
      <c r="C21" s="34" t="e">
        <f t="shared" si="3"/>
        <v>#VALUE!</v>
      </c>
      <c r="D21" s="1094" t="e">
        <f t="shared" si="4"/>
        <v>#VALUE!</v>
      </c>
      <c r="E21" s="34" t="e">
        <f t="shared" si="5"/>
        <v>#VALUE!</v>
      </c>
      <c r="F21" s="1094" t="e">
        <f t="shared" si="6"/>
        <v>#VALUE!</v>
      </c>
      <c r="G21" s="34" t="e">
        <f t="shared" si="7"/>
        <v>#VALUE!</v>
      </c>
      <c r="H21" s="1094" t="e">
        <f t="shared" si="8"/>
        <v>#VALUE!</v>
      </c>
      <c r="I21" s="533"/>
      <c r="J21" s="707">
        <v>20</v>
      </c>
      <c r="K21" s="708" t="s">
        <v>1230</v>
      </c>
      <c r="L21" s="708" t="s">
        <v>581</v>
      </c>
      <c r="M21" s="708" t="s">
        <v>577</v>
      </c>
      <c r="N21" s="695" t="s">
        <v>1243</v>
      </c>
      <c r="O21" s="520">
        <v>0</v>
      </c>
      <c r="P21" s="513">
        <v>3.04</v>
      </c>
      <c r="Q21" s="507">
        <v>3.32</v>
      </c>
      <c r="R21" s="507">
        <v>3.79</v>
      </c>
      <c r="S21" s="507">
        <v>3.93</v>
      </c>
      <c r="T21" s="507">
        <v>4.04</v>
      </c>
      <c r="U21" s="507">
        <v>4.5599999999999996</v>
      </c>
      <c r="V21" s="507">
        <v>5.29</v>
      </c>
      <c r="W21" s="507">
        <v>5.48</v>
      </c>
      <c r="X21" s="507">
        <v>5.99</v>
      </c>
      <c r="Y21" s="507">
        <v>6.86</v>
      </c>
      <c r="Z21" s="507">
        <v>7.55</v>
      </c>
      <c r="AA21" s="507">
        <v>8.6</v>
      </c>
      <c r="AB21" s="507">
        <v>9.85</v>
      </c>
      <c r="AC21" s="508"/>
      <c r="AD21" s="513">
        <f t="shared" si="11"/>
        <v>0.4355001400112315</v>
      </c>
      <c r="AE21" s="507">
        <f t="shared" si="12"/>
        <v>0.51941836297392208</v>
      </c>
      <c r="AF21" s="507">
        <f t="shared" si="13"/>
        <v>0.67689226553143711</v>
      </c>
      <c r="AG21" s="507">
        <f t="shared" si="14"/>
        <v>0.72782376563143503</v>
      </c>
      <c r="AH21" s="507">
        <f t="shared" ref="AH21:AP21" si="15">T21^2*PI()/4*60/1000</f>
        <v>0.7691372798224676</v>
      </c>
      <c r="AI21" s="507">
        <f t="shared" si="15"/>
        <v>0.97987531502527081</v>
      </c>
      <c r="AJ21" s="507">
        <f t="shared" si="15"/>
        <v>1.3187196446598322</v>
      </c>
      <c r="AK21" s="507">
        <f t="shared" si="15"/>
        <v>1.4151492603654441</v>
      </c>
      <c r="AL21" s="507">
        <f t="shared" si="15"/>
        <v>1.6908098785510073</v>
      </c>
      <c r="AM21" s="507">
        <f t="shared" si="15"/>
        <v>2.2176314046131131</v>
      </c>
      <c r="AN21" s="507">
        <f t="shared" si="15"/>
        <v>2.6861795285437831</v>
      </c>
      <c r="AO21" s="507">
        <f t="shared" si="15"/>
        <v>3.4852828898925159</v>
      </c>
      <c r="AP21" s="507">
        <f t="shared" si="15"/>
        <v>4.5720775984937356</v>
      </c>
      <c r="AQ21" s="516"/>
    </row>
    <row r="22" spans="1:43" ht="13.5" customHeight="1">
      <c r="A22" s="34" t="e">
        <f t="shared" si="1"/>
        <v>#VALUE!</v>
      </c>
      <c r="B22" s="1095" t="e">
        <f t="shared" si="2"/>
        <v>#VALUE!</v>
      </c>
      <c r="C22" s="34" t="e">
        <f t="shared" si="3"/>
        <v>#VALUE!</v>
      </c>
      <c r="D22" s="1094" t="e">
        <f t="shared" si="4"/>
        <v>#VALUE!</v>
      </c>
      <c r="E22" s="34" t="e">
        <f t="shared" si="5"/>
        <v>#VALUE!</v>
      </c>
      <c r="F22" s="1094" t="e">
        <f t="shared" si="6"/>
        <v>#VALUE!</v>
      </c>
      <c r="G22" s="34" t="e">
        <f t="shared" si="7"/>
        <v>#VALUE!</v>
      </c>
      <c r="H22" s="1094" t="e">
        <f t="shared" si="8"/>
        <v>#VALUE!</v>
      </c>
      <c r="I22" s="533"/>
      <c r="J22" s="707">
        <v>21</v>
      </c>
      <c r="K22" s="708" t="s">
        <v>1229</v>
      </c>
      <c r="L22" s="708" t="s">
        <v>581</v>
      </c>
      <c r="M22" s="708" t="s">
        <v>576</v>
      </c>
      <c r="N22" s="695" t="s">
        <v>524</v>
      </c>
      <c r="O22" s="520">
        <v>0</v>
      </c>
      <c r="P22" s="513">
        <v>4.79</v>
      </c>
      <c r="Q22" s="507">
        <v>6.44</v>
      </c>
      <c r="R22" s="507">
        <v>9.52</v>
      </c>
      <c r="S22" s="507">
        <v>12.55</v>
      </c>
      <c r="T22" s="507"/>
      <c r="U22" s="507"/>
      <c r="V22" s="507"/>
      <c r="W22" s="507"/>
      <c r="X22" s="507"/>
      <c r="Y22" s="507"/>
      <c r="Z22" s="507"/>
      <c r="AA22" s="507"/>
      <c r="AB22" s="507"/>
      <c r="AC22" s="508"/>
      <c r="AD22" s="513">
        <f t="shared" si="11"/>
        <v>1.0812152400484436</v>
      </c>
      <c r="AE22" s="507">
        <f t="shared" si="12"/>
        <v>1.9543973561688246</v>
      </c>
      <c r="AF22" s="507">
        <f t="shared" si="13"/>
        <v>4.2708569824785654</v>
      </c>
      <c r="AG22" s="507">
        <f t="shared" si="14"/>
        <v>7.4221304538303965</v>
      </c>
      <c r="AH22" s="507"/>
      <c r="AI22" s="507"/>
      <c r="AJ22" s="507"/>
      <c r="AK22" s="507"/>
      <c r="AL22" s="507"/>
      <c r="AM22" s="507"/>
      <c r="AN22" s="507"/>
      <c r="AO22" s="507"/>
      <c r="AP22" s="507"/>
      <c r="AQ22" s="516"/>
    </row>
    <row r="23" spans="1:43" ht="13.5" customHeight="1">
      <c r="A23" s="34" t="e">
        <f t="shared" si="1"/>
        <v>#VALUE!</v>
      </c>
      <c r="B23" s="1095" t="e">
        <f t="shared" si="2"/>
        <v>#VALUE!</v>
      </c>
      <c r="C23" s="34" t="e">
        <f t="shared" si="3"/>
        <v>#VALUE!</v>
      </c>
      <c r="D23" s="1094" t="e">
        <f t="shared" si="4"/>
        <v>#VALUE!</v>
      </c>
      <c r="E23" s="34" t="e">
        <f t="shared" si="5"/>
        <v>#VALUE!</v>
      </c>
      <c r="F23" s="1094" t="e">
        <f t="shared" si="6"/>
        <v>#VALUE!</v>
      </c>
      <c r="G23" s="34" t="e">
        <f t="shared" si="7"/>
        <v>#VALUE!</v>
      </c>
      <c r="H23" s="1094" t="e">
        <f t="shared" si="8"/>
        <v>#VALUE!</v>
      </c>
      <c r="I23" s="533"/>
      <c r="J23" s="707">
        <v>22</v>
      </c>
      <c r="K23" s="708" t="s">
        <v>1231</v>
      </c>
      <c r="L23" s="708" t="s">
        <v>582</v>
      </c>
      <c r="M23" s="708" t="s">
        <v>577</v>
      </c>
      <c r="N23" s="695" t="s">
        <v>1243</v>
      </c>
      <c r="O23" s="520">
        <v>0</v>
      </c>
      <c r="P23" s="513">
        <v>3.05</v>
      </c>
      <c r="Q23" s="507">
        <v>3.17</v>
      </c>
      <c r="R23" s="507">
        <v>3.49</v>
      </c>
      <c r="S23" s="507">
        <v>4.01</v>
      </c>
      <c r="T23" s="507">
        <v>4.12</v>
      </c>
      <c r="U23" s="507">
        <v>4.71</v>
      </c>
      <c r="V23" s="507">
        <v>4.99</v>
      </c>
      <c r="W23" s="507">
        <v>5.44</v>
      </c>
      <c r="X23" s="507">
        <v>5.93</v>
      </c>
      <c r="Y23" s="507">
        <v>6.85</v>
      </c>
      <c r="Z23" s="507">
        <v>7.6</v>
      </c>
      <c r="AA23" s="507">
        <v>8.65</v>
      </c>
      <c r="AB23" s="507">
        <v>9.86</v>
      </c>
      <c r="AC23" s="508"/>
      <c r="AD23" s="513">
        <f t="shared" si="11"/>
        <v>0.43836998490028567</v>
      </c>
      <c r="AE23" s="507">
        <f t="shared" si="12"/>
        <v>0.47354325624987714</v>
      </c>
      <c r="AF23" s="507">
        <f t="shared" si="13"/>
        <v>0.57397369019983568</v>
      </c>
      <c r="AG23" s="507">
        <f t="shared" si="14"/>
        <v>0.75775686043483848</v>
      </c>
      <c r="AH23" s="507">
        <f t="shared" ref="AH23:AP23" si="16">T23^2*PI()/4*60/1000</f>
        <v>0.79989975508641875</v>
      </c>
      <c r="AI23" s="507">
        <f t="shared" si="16"/>
        <v>1.0454010837975201</v>
      </c>
      <c r="AJ23" s="507">
        <f t="shared" si="16"/>
        <v>1.1733895685047679</v>
      </c>
      <c r="AK23" s="507">
        <f t="shared" si="16"/>
        <v>1.3945655452991239</v>
      </c>
      <c r="AL23" s="507">
        <f t="shared" si="16"/>
        <v>1.6571068725632956</v>
      </c>
      <c r="AM23" s="507">
        <f t="shared" si="16"/>
        <v>2.211170719321006</v>
      </c>
      <c r="AN23" s="507">
        <f t="shared" si="16"/>
        <v>2.721875875070197</v>
      </c>
      <c r="AO23" s="507">
        <f t="shared" si="16"/>
        <v>3.5259272448483343</v>
      </c>
      <c r="AP23" s="507">
        <f t="shared" si="16"/>
        <v>4.5813657171740729</v>
      </c>
      <c r="AQ23" s="516"/>
    </row>
    <row r="24" spans="1:43" ht="13.5" customHeight="1">
      <c r="A24" s="34" t="e">
        <f t="shared" si="1"/>
        <v>#VALUE!</v>
      </c>
      <c r="B24" s="1095" t="e">
        <f t="shared" si="2"/>
        <v>#VALUE!</v>
      </c>
      <c r="C24" s="34" t="e">
        <f t="shared" si="3"/>
        <v>#VALUE!</v>
      </c>
      <c r="D24" s="1094" t="e">
        <f t="shared" si="4"/>
        <v>#VALUE!</v>
      </c>
      <c r="E24" s="34" t="e">
        <f t="shared" si="5"/>
        <v>#VALUE!</v>
      </c>
      <c r="F24" s="1094" t="e">
        <f t="shared" si="6"/>
        <v>#VALUE!</v>
      </c>
      <c r="G24" s="34" t="e">
        <f t="shared" si="7"/>
        <v>#VALUE!</v>
      </c>
      <c r="H24" s="1094" t="e">
        <f t="shared" si="8"/>
        <v>#VALUE!</v>
      </c>
      <c r="I24" s="533"/>
      <c r="J24" s="707">
        <v>23</v>
      </c>
      <c r="K24" s="708" t="s">
        <v>1266</v>
      </c>
      <c r="L24" s="708" t="s">
        <v>581</v>
      </c>
      <c r="M24" s="708" t="s">
        <v>577</v>
      </c>
      <c r="N24" s="695" t="s">
        <v>1243</v>
      </c>
      <c r="O24" s="520">
        <v>0</v>
      </c>
      <c r="P24" s="513">
        <v>3.45</v>
      </c>
      <c r="Q24" s="507">
        <v>3.91</v>
      </c>
      <c r="R24" s="507">
        <v>4.32</v>
      </c>
      <c r="S24" s="507">
        <v>4.7300000000000004</v>
      </c>
      <c r="T24" s="507">
        <v>5.1100000000000003</v>
      </c>
      <c r="U24" s="507">
        <v>5.24</v>
      </c>
      <c r="V24" s="507">
        <v>6.85</v>
      </c>
      <c r="W24" s="507">
        <v>6.86</v>
      </c>
      <c r="X24" s="507">
        <v>8.81</v>
      </c>
      <c r="Y24" s="507">
        <v>10.050000000000001</v>
      </c>
      <c r="Z24" s="507"/>
      <c r="AA24" s="507"/>
      <c r="AB24" s="507"/>
      <c r="AC24" s="508"/>
      <c r="AD24" s="513">
        <f t="shared" si="11"/>
        <v>0.56089209839028775</v>
      </c>
      <c r="AE24" s="507">
        <f t="shared" si="12"/>
        <v>0.72043473971019178</v>
      </c>
      <c r="AF24" s="507">
        <f t="shared" si="13"/>
        <v>0.87944488107531238</v>
      </c>
      <c r="AG24" s="507">
        <f t="shared" si="14"/>
        <v>1.0542980741924863</v>
      </c>
      <c r="AH24" s="507">
        <f t="shared" ref="AH24:AN25" si="17">T24^2*PI()/4*60/1000</f>
        <v>1.2305037229470306</v>
      </c>
      <c r="AI24" s="507">
        <f t="shared" si="17"/>
        <v>1.2939089166781068</v>
      </c>
      <c r="AJ24" s="507">
        <f t="shared" si="17"/>
        <v>2.211170719321006</v>
      </c>
      <c r="AK24" s="507">
        <f t="shared" si="17"/>
        <v>2.2176314046131131</v>
      </c>
      <c r="AL24" s="507">
        <f t="shared" si="17"/>
        <v>3.6575725434043611</v>
      </c>
      <c r="AM24" s="507">
        <f t="shared" si="17"/>
        <v>4.7596306799130472</v>
      </c>
      <c r="AN24" s="507">
        <f t="shared" si="17"/>
        <v>0</v>
      </c>
      <c r="AO24" s="507"/>
      <c r="AP24" s="507"/>
      <c r="AQ24" s="516"/>
    </row>
    <row r="25" spans="1:43" ht="13.5" customHeight="1">
      <c r="A25" s="34" t="e">
        <f t="shared" si="1"/>
        <v>#VALUE!</v>
      </c>
      <c r="B25" s="1095" t="e">
        <f t="shared" si="2"/>
        <v>#VALUE!</v>
      </c>
      <c r="C25" s="34" t="e">
        <f t="shared" si="3"/>
        <v>#VALUE!</v>
      </c>
      <c r="D25" s="1094" t="e">
        <f t="shared" si="4"/>
        <v>#VALUE!</v>
      </c>
      <c r="E25" s="34" t="e">
        <f t="shared" si="5"/>
        <v>#VALUE!</v>
      </c>
      <c r="F25" s="1094" t="e">
        <f t="shared" si="6"/>
        <v>#VALUE!</v>
      </c>
      <c r="G25" s="34" t="e">
        <f t="shared" si="7"/>
        <v>#VALUE!</v>
      </c>
      <c r="H25" s="1094" t="e">
        <f t="shared" si="8"/>
        <v>#VALUE!</v>
      </c>
      <c r="I25" s="533"/>
      <c r="J25" s="707">
        <v>24</v>
      </c>
      <c r="K25" s="708" t="s">
        <v>1308</v>
      </c>
      <c r="L25" s="708" t="s">
        <v>581</v>
      </c>
      <c r="M25" s="708" t="s">
        <v>577</v>
      </c>
      <c r="N25" s="695" t="s">
        <v>1243</v>
      </c>
      <c r="O25" s="520">
        <v>0</v>
      </c>
      <c r="P25" s="513">
        <v>3.67</v>
      </c>
      <c r="Q25" s="507">
        <v>4.04</v>
      </c>
      <c r="R25" s="507">
        <v>4.4000000000000004</v>
      </c>
      <c r="S25" s="507">
        <v>5</v>
      </c>
      <c r="T25" s="507">
        <v>5.38</v>
      </c>
      <c r="U25" s="507">
        <v>6.03</v>
      </c>
      <c r="V25" s="507">
        <v>6.71</v>
      </c>
      <c r="W25" s="507">
        <v>8.0500000000000007</v>
      </c>
      <c r="X25" s="507">
        <v>9.06</v>
      </c>
      <c r="Y25" s="507">
        <v>9.9700000000000006</v>
      </c>
      <c r="Z25" s="507">
        <v>10.95</v>
      </c>
      <c r="AA25" s="507">
        <v>11.98</v>
      </c>
      <c r="AB25" s="507"/>
      <c r="AC25" s="508"/>
      <c r="AD25" s="513">
        <f t="shared" si="11"/>
        <v>0.63470695937903354</v>
      </c>
      <c r="AE25" s="507">
        <f t="shared" si="12"/>
        <v>0.7691372798224676</v>
      </c>
      <c r="AF25" s="507">
        <f t="shared" si="13"/>
        <v>0.91231850660247604</v>
      </c>
      <c r="AG25" s="507">
        <f t="shared" si="14"/>
        <v>1.1780972450961724</v>
      </c>
      <c r="AH25" s="507">
        <f t="shared" si="17"/>
        <v>1.363972716038466</v>
      </c>
      <c r="AI25" s="507">
        <f t="shared" si="17"/>
        <v>1.7134670447686968</v>
      </c>
      <c r="AJ25" s="507">
        <f t="shared" si="17"/>
        <v>2.1217107269173829</v>
      </c>
      <c r="AK25" s="507">
        <f t="shared" si="17"/>
        <v>3.0537458690137886</v>
      </c>
      <c r="AL25" s="507">
        <f t="shared" si="17"/>
        <v>3.8680985211030472</v>
      </c>
      <c r="AM25" s="507">
        <f t="shared" si="17"/>
        <v>4.6841570580032057</v>
      </c>
      <c r="AN25" s="507">
        <f t="shared" si="17"/>
        <v>5.6502721972057515</v>
      </c>
      <c r="AO25" s="507">
        <f>AA25^2*PI()/4*60/1000</f>
        <v>6.7632395142040291</v>
      </c>
      <c r="AP25" s="507"/>
      <c r="AQ25" s="516"/>
    </row>
    <row r="26" spans="1:43" ht="13.5" customHeight="1">
      <c r="A26" s="34" t="e">
        <f t="shared" si="1"/>
        <v>#VALUE!</v>
      </c>
      <c r="B26" s="1095" t="e">
        <f t="shared" si="2"/>
        <v>#VALUE!</v>
      </c>
      <c r="C26" s="34" t="e">
        <f t="shared" si="3"/>
        <v>#VALUE!</v>
      </c>
      <c r="D26" s="1094" t="e">
        <f t="shared" si="4"/>
        <v>#VALUE!</v>
      </c>
      <c r="E26" s="34" t="e">
        <f t="shared" si="5"/>
        <v>#VALUE!</v>
      </c>
      <c r="F26" s="1094" t="e">
        <f t="shared" si="6"/>
        <v>#VALUE!</v>
      </c>
      <c r="G26" s="34" t="e">
        <f t="shared" si="7"/>
        <v>#VALUE!</v>
      </c>
      <c r="H26" s="1094" t="e">
        <f t="shared" si="8"/>
        <v>#VALUE!</v>
      </c>
      <c r="I26" s="533"/>
      <c r="J26" s="707">
        <v>25</v>
      </c>
      <c r="K26" s="708" t="s">
        <v>1310</v>
      </c>
      <c r="L26" s="708"/>
      <c r="M26" s="708" t="s">
        <v>576</v>
      </c>
      <c r="N26" s="695" t="s">
        <v>1232</v>
      </c>
      <c r="O26" s="520">
        <v>0</v>
      </c>
      <c r="P26" s="513">
        <v>8.6199999999999992</v>
      </c>
      <c r="Q26" s="507">
        <v>9.77</v>
      </c>
      <c r="R26" s="507"/>
      <c r="S26" s="507"/>
      <c r="T26" s="507"/>
      <c r="U26" s="507"/>
      <c r="V26" s="507"/>
      <c r="W26" s="507"/>
      <c r="X26" s="507"/>
      <c r="Y26" s="507"/>
      <c r="Z26" s="507"/>
      <c r="AA26" s="507"/>
      <c r="AB26" s="507"/>
      <c r="AC26" s="508"/>
      <c r="AD26" s="513">
        <f t="shared" ref="AD26:AE30" si="18">P26^2*PI()/4*60/1000</f>
        <v>3.5015123575409608</v>
      </c>
      <c r="AE26" s="507">
        <f t="shared" si="18"/>
        <v>4.4981119410576165</v>
      </c>
      <c r="AF26" s="507"/>
      <c r="AG26" s="507"/>
      <c r="AH26" s="507"/>
      <c r="AI26" s="507"/>
      <c r="AJ26" s="507"/>
      <c r="AK26" s="507"/>
      <c r="AL26" s="507"/>
      <c r="AM26" s="507"/>
      <c r="AN26" s="507"/>
      <c r="AO26" s="507"/>
      <c r="AP26" s="507"/>
      <c r="AQ26" s="516"/>
    </row>
    <row r="27" spans="1:43" ht="13.5" customHeight="1">
      <c r="A27" s="34" t="e">
        <f t="shared" si="1"/>
        <v>#VALUE!</v>
      </c>
      <c r="B27" s="1095" t="e">
        <f t="shared" si="2"/>
        <v>#VALUE!</v>
      </c>
      <c r="C27" s="34" t="e">
        <f t="shared" si="3"/>
        <v>#VALUE!</v>
      </c>
      <c r="D27" s="1094" t="e">
        <f t="shared" si="4"/>
        <v>#VALUE!</v>
      </c>
      <c r="E27" s="34" t="e">
        <f t="shared" si="5"/>
        <v>#VALUE!</v>
      </c>
      <c r="F27" s="1094" t="e">
        <f t="shared" si="6"/>
        <v>#VALUE!</v>
      </c>
      <c r="G27" s="34" t="e">
        <f t="shared" si="7"/>
        <v>#VALUE!</v>
      </c>
      <c r="H27" s="1094" t="e">
        <f t="shared" si="8"/>
        <v>#VALUE!</v>
      </c>
      <c r="I27" s="533"/>
      <c r="J27" s="707">
        <v>27</v>
      </c>
      <c r="K27" s="708" t="s">
        <v>515</v>
      </c>
      <c r="L27" s="708" t="s">
        <v>582</v>
      </c>
      <c r="M27" s="708" t="s">
        <v>578</v>
      </c>
      <c r="N27" s="695" t="s">
        <v>521</v>
      </c>
      <c r="O27" s="520">
        <v>0</v>
      </c>
      <c r="P27" s="513">
        <v>2.91</v>
      </c>
      <c r="Q27" s="507">
        <v>4.51</v>
      </c>
      <c r="R27" s="507">
        <v>6.07</v>
      </c>
      <c r="S27" s="507">
        <v>7.36</v>
      </c>
      <c r="T27" s="507">
        <v>10.06</v>
      </c>
      <c r="U27" s="507">
        <v>12.46</v>
      </c>
      <c r="V27" s="507"/>
      <c r="W27" s="507"/>
      <c r="X27" s="507"/>
      <c r="Y27" s="507"/>
      <c r="Z27" s="507"/>
      <c r="AA27" s="507"/>
      <c r="AB27" s="507"/>
      <c r="AC27" s="508"/>
      <c r="AD27" s="513">
        <f t="shared" si="18"/>
        <v>0.39904981124795597</v>
      </c>
      <c r="AE27" s="507">
        <f t="shared" si="18"/>
        <v>0.95850463099922623</v>
      </c>
      <c r="AF27" s="507">
        <f>R27^2*PI()/4*60/1000</f>
        <v>1.7362750074337585</v>
      </c>
      <c r="AG27" s="507">
        <f>S27^2*PI()/4*60/1000</f>
        <v>2.5526822611184654</v>
      </c>
      <c r="AH27" s="507">
        <f>T27^2*PI()/4*60/1000</f>
        <v>4.7691072941526009</v>
      </c>
      <c r="AI27" s="507">
        <f>U27^2*PI()/4*60/1000</f>
        <v>7.3160592902709176</v>
      </c>
      <c r="AJ27" s="507"/>
      <c r="AK27" s="507"/>
      <c r="AL27" s="507"/>
      <c r="AM27" s="507"/>
      <c r="AN27" s="507"/>
      <c r="AO27" s="507"/>
      <c r="AP27" s="507"/>
      <c r="AQ27" s="516"/>
    </row>
    <row r="28" spans="1:43" ht="13.5" customHeight="1">
      <c r="A28" s="34" t="e">
        <f t="shared" si="1"/>
        <v>#VALUE!</v>
      </c>
      <c r="B28" s="1095" t="e">
        <f t="shared" si="2"/>
        <v>#VALUE!</v>
      </c>
      <c r="C28" s="34" t="e">
        <f t="shared" si="3"/>
        <v>#VALUE!</v>
      </c>
      <c r="D28" s="1094" t="e">
        <f t="shared" si="4"/>
        <v>#VALUE!</v>
      </c>
      <c r="E28" s="34" t="e">
        <f t="shared" si="5"/>
        <v>#VALUE!</v>
      </c>
      <c r="F28" s="1094" t="e">
        <f t="shared" si="6"/>
        <v>#VALUE!</v>
      </c>
      <c r="G28" s="34" t="e">
        <f t="shared" si="7"/>
        <v>#VALUE!</v>
      </c>
      <c r="H28" s="1094" t="e">
        <f t="shared" si="8"/>
        <v>#VALUE!</v>
      </c>
      <c r="I28" s="533"/>
      <c r="J28" s="707">
        <v>28</v>
      </c>
      <c r="K28" s="708" t="s">
        <v>516</v>
      </c>
      <c r="L28" s="708" t="s">
        <v>582</v>
      </c>
      <c r="M28" s="708" t="s">
        <v>578</v>
      </c>
      <c r="N28" s="695" t="s">
        <v>521</v>
      </c>
      <c r="O28" s="520">
        <v>0</v>
      </c>
      <c r="P28" s="513">
        <v>3.67</v>
      </c>
      <c r="Q28" s="507">
        <v>4.26</v>
      </c>
      <c r="R28" s="507">
        <v>6.12</v>
      </c>
      <c r="S28" s="507">
        <v>7.55</v>
      </c>
      <c r="T28" s="507">
        <v>10.19</v>
      </c>
      <c r="U28" s="507"/>
      <c r="V28" s="507"/>
      <c r="W28" s="507"/>
      <c r="X28" s="507"/>
      <c r="Y28" s="507"/>
      <c r="Z28" s="507"/>
      <c r="AA28" s="507"/>
      <c r="AB28" s="507"/>
      <c r="AC28" s="508"/>
      <c r="AD28" s="513">
        <f t="shared" si="18"/>
        <v>0.63470695937903354</v>
      </c>
      <c r="AE28" s="507">
        <f t="shared" si="18"/>
        <v>0.85518550260429171</v>
      </c>
      <c r="AF28" s="507">
        <f t="shared" ref="AF28:AH29" si="19">R28^2*PI()/4*60/1000</f>
        <v>1.7649970182692032</v>
      </c>
      <c r="AG28" s="507">
        <f t="shared" si="19"/>
        <v>2.6861795285437831</v>
      </c>
      <c r="AH28" s="507">
        <f t="shared" si="19"/>
        <v>4.8931609340612257</v>
      </c>
      <c r="AI28" s="507"/>
      <c r="AJ28" s="507"/>
      <c r="AK28" s="507"/>
      <c r="AL28" s="507"/>
      <c r="AM28" s="507"/>
      <c r="AN28" s="507"/>
      <c r="AO28" s="507"/>
      <c r="AP28" s="507"/>
      <c r="AQ28" s="516"/>
    </row>
    <row r="29" spans="1:43" ht="13.5" customHeight="1">
      <c r="A29" s="34" t="e">
        <f t="shared" si="1"/>
        <v>#VALUE!</v>
      </c>
      <c r="B29" s="1095" t="e">
        <f t="shared" si="2"/>
        <v>#VALUE!</v>
      </c>
      <c r="C29" s="34" t="e">
        <f t="shared" si="3"/>
        <v>#VALUE!</v>
      </c>
      <c r="D29" s="1094" t="e">
        <f t="shared" si="4"/>
        <v>#VALUE!</v>
      </c>
      <c r="E29" s="34" t="e">
        <f t="shared" si="5"/>
        <v>#VALUE!</v>
      </c>
      <c r="F29" s="1094" t="e">
        <f t="shared" si="6"/>
        <v>#VALUE!</v>
      </c>
      <c r="G29" s="34" t="e">
        <f t="shared" si="7"/>
        <v>#VALUE!</v>
      </c>
      <c r="H29" s="1094" t="e">
        <f t="shared" si="8"/>
        <v>#VALUE!</v>
      </c>
      <c r="I29" s="533"/>
      <c r="J29" s="707">
        <v>29</v>
      </c>
      <c r="K29" s="708" t="s">
        <v>517</v>
      </c>
      <c r="L29" s="708" t="s">
        <v>582</v>
      </c>
      <c r="M29" s="708" t="s">
        <v>579</v>
      </c>
      <c r="N29" s="695" t="s">
        <v>522</v>
      </c>
      <c r="O29" s="520">
        <v>0</v>
      </c>
      <c r="P29" s="513">
        <v>5.39</v>
      </c>
      <c r="Q29" s="507">
        <v>7.48</v>
      </c>
      <c r="R29" s="507">
        <v>9.3000000000000007</v>
      </c>
      <c r="S29" s="507">
        <v>11.49</v>
      </c>
      <c r="T29" s="507">
        <v>14.38</v>
      </c>
      <c r="U29" s="507">
        <v>17.48</v>
      </c>
      <c r="V29" s="507">
        <v>20.399999999999999</v>
      </c>
      <c r="W29" s="507">
        <v>24.43</v>
      </c>
      <c r="X29" s="507">
        <v>29.45</v>
      </c>
      <c r="Y29" s="507"/>
      <c r="Z29" s="507"/>
      <c r="AA29" s="507"/>
      <c r="AB29" s="507"/>
      <c r="AC29" s="508"/>
      <c r="AD29" s="513">
        <f t="shared" si="18"/>
        <v>1.3690479589703402</v>
      </c>
      <c r="AE29" s="507">
        <f t="shared" si="18"/>
        <v>2.6366004840811557</v>
      </c>
      <c r="AF29" s="507">
        <f t="shared" si="19"/>
        <v>4.0757452291347178</v>
      </c>
      <c r="AG29" s="507">
        <f t="shared" si="19"/>
        <v>6.2213006442928487</v>
      </c>
      <c r="AH29" s="507">
        <f t="shared" si="19"/>
        <v>9.7444852787546008</v>
      </c>
      <c r="AI29" s="507">
        <f>U29^2*PI()/4*60/1000</f>
        <v>14.398723379121343</v>
      </c>
      <c r="AJ29" s="507"/>
      <c r="AK29" s="507"/>
      <c r="AL29" s="507"/>
      <c r="AM29" s="507"/>
      <c r="AN29" s="507"/>
      <c r="AO29" s="507"/>
      <c r="AP29" s="507"/>
      <c r="AQ29" s="516"/>
    </row>
    <row r="30" spans="1:43" ht="13.5" customHeight="1">
      <c r="A30" s="34" t="e">
        <f t="shared" si="1"/>
        <v>#VALUE!</v>
      </c>
      <c r="B30" s="1095" t="e">
        <f t="shared" si="2"/>
        <v>#VALUE!</v>
      </c>
      <c r="C30" s="34" t="e">
        <f t="shared" si="3"/>
        <v>#VALUE!</v>
      </c>
      <c r="D30" s="1094" t="e">
        <f t="shared" si="4"/>
        <v>#VALUE!</v>
      </c>
      <c r="E30" s="34" t="e">
        <f t="shared" si="5"/>
        <v>#VALUE!</v>
      </c>
      <c r="F30" s="1094" t="e">
        <f t="shared" si="6"/>
        <v>#VALUE!</v>
      </c>
      <c r="G30" s="34" t="e">
        <f t="shared" si="7"/>
        <v>#VALUE!</v>
      </c>
      <c r="H30" s="1094" t="e">
        <f t="shared" si="8"/>
        <v>#VALUE!</v>
      </c>
      <c r="I30" s="533"/>
      <c r="J30" s="707">
        <v>30</v>
      </c>
      <c r="K30" s="708" t="s">
        <v>518</v>
      </c>
      <c r="L30" s="708" t="s">
        <v>582</v>
      </c>
      <c r="M30" s="708" t="s">
        <v>578</v>
      </c>
      <c r="N30" s="695" t="s">
        <v>523</v>
      </c>
      <c r="O30" s="520">
        <v>0</v>
      </c>
      <c r="P30" s="513">
        <v>5.48</v>
      </c>
      <c r="Q30" s="507">
        <v>8.06</v>
      </c>
      <c r="R30" s="507">
        <v>12.62</v>
      </c>
      <c r="S30" s="507"/>
      <c r="T30" s="507"/>
      <c r="U30" s="507"/>
      <c r="V30" s="507"/>
      <c r="W30" s="507"/>
      <c r="X30" s="507"/>
      <c r="Y30" s="507"/>
      <c r="Z30" s="507"/>
      <c r="AA30" s="507"/>
      <c r="AB30" s="507"/>
      <c r="AC30" s="508"/>
      <c r="AD30" s="513">
        <f t="shared" si="18"/>
        <v>1.4151492603654441</v>
      </c>
      <c r="AE30" s="507">
        <f t="shared" si="18"/>
        <v>3.0613375276611889</v>
      </c>
      <c r="AF30" s="507">
        <f>R30^2*PI()/4*60/1000</f>
        <v>7.5051580352757918</v>
      </c>
      <c r="AG30" s="507"/>
      <c r="AH30" s="507"/>
      <c r="AI30" s="507"/>
      <c r="AJ30" s="507"/>
      <c r="AK30" s="507"/>
      <c r="AL30" s="507"/>
      <c r="AM30" s="507"/>
      <c r="AN30" s="507"/>
      <c r="AO30" s="507"/>
      <c r="AP30" s="507"/>
      <c r="AQ30" s="516"/>
    </row>
    <row r="31" spans="1:43" ht="13.5" customHeight="1">
      <c r="A31" s="34" t="e">
        <f t="shared" si="1"/>
        <v>#VALUE!</v>
      </c>
      <c r="B31" s="1095" t="e">
        <f t="shared" si="2"/>
        <v>#VALUE!</v>
      </c>
      <c r="C31" s="34" t="e">
        <f t="shared" si="3"/>
        <v>#VALUE!</v>
      </c>
      <c r="D31" s="1094" t="e">
        <f t="shared" si="4"/>
        <v>#VALUE!</v>
      </c>
      <c r="E31" s="34" t="e">
        <f t="shared" si="5"/>
        <v>#VALUE!</v>
      </c>
      <c r="F31" s="1094" t="e">
        <f t="shared" si="6"/>
        <v>#VALUE!</v>
      </c>
      <c r="G31" s="34" t="e">
        <f t="shared" si="7"/>
        <v>#VALUE!</v>
      </c>
      <c r="H31" s="1094" t="e">
        <f t="shared" si="8"/>
        <v>#VALUE!</v>
      </c>
      <c r="I31" s="533"/>
      <c r="J31" s="707">
        <v>31</v>
      </c>
      <c r="K31" s="708" t="s">
        <v>519</v>
      </c>
      <c r="L31" s="708" t="s">
        <v>582</v>
      </c>
      <c r="M31" s="708" t="s">
        <v>576</v>
      </c>
      <c r="N31" s="695" t="s">
        <v>520</v>
      </c>
      <c r="O31" s="520">
        <v>0</v>
      </c>
      <c r="P31" s="513">
        <v>19.03</v>
      </c>
      <c r="Q31" s="507"/>
      <c r="R31" s="507"/>
      <c r="S31" s="507"/>
      <c r="T31" s="507"/>
      <c r="U31" s="507"/>
      <c r="V31" s="507"/>
      <c r="W31" s="507"/>
      <c r="X31" s="507"/>
      <c r="Y31" s="507"/>
      <c r="Z31" s="507"/>
      <c r="AA31" s="507"/>
      <c r="AB31" s="507"/>
      <c r="AC31" s="508"/>
      <c r="AD31" s="513">
        <f t="shared" ref="AD31:AD62" si="20">P31^2*PI()/4*60/1000</f>
        <v>17.06548786506594</v>
      </c>
      <c r="AE31" s="507"/>
      <c r="AF31" s="507"/>
      <c r="AG31" s="507"/>
      <c r="AH31" s="507"/>
      <c r="AI31" s="507"/>
      <c r="AJ31" s="507"/>
      <c r="AK31" s="507"/>
      <c r="AL31" s="507"/>
      <c r="AM31" s="507"/>
      <c r="AN31" s="507"/>
      <c r="AO31" s="507"/>
      <c r="AP31" s="507"/>
      <c r="AQ31" s="516"/>
    </row>
    <row r="32" spans="1:43" ht="13.5" customHeight="1">
      <c r="A32" s="34" t="e">
        <f t="shared" si="1"/>
        <v>#VALUE!</v>
      </c>
      <c r="B32" s="1095" t="e">
        <f t="shared" si="2"/>
        <v>#VALUE!</v>
      </c>
      <c r="C32" s="34" t="e">
        <f t="shared" si="3"/>
        <v>#VALUE!</v>
      </c>
      <c r="D32" s="1094" t="e">
        <f t="shared" si="4"/>
        <v>#VALUE!</v>
      </c>
      <c r="E32" s="34" t="e">
        <f t="shared" si="5"/>
        <v>#VALUE!</v>
      </c>
      <c r="F32" s="1094" t="e">
        <f t="shared" si="6"/>
        <v>#VALUE!</v>
      </c>
      <c r="G32" s="34" t="e">
        <f t="shared" si="7"/>
        <v>#VALUE!</v>
      </c>
      <c r="H32" s="1094" t="e">
        <f t="shared" si="8"/>
        <v>#VALUE!</v>
      </c>
      <c r="I32" s="533"/>
      <c r="J32" s="707">
        <v>32</v>
      </c>
      <c r="K32" s="708" t="s">
        <v>550</v>
      </c>
      <c r="L32" s="708" t="s">
        <v>582</v>
      </c>
      <c r="M32" s="708" t="s">
        <v>574</v>
      </c>
      <c r="N32" s="695" t="s">
        <v>523</v>
      </c>
      <c r="O32" s="520">
        <v>0</v>
      </c>
      <c r="P32" s="513"/>
      <c r="Q32" s="507">
        <v>7.81</v>
      </c>
      <c r="R32" s="507">
        <v>8.36</v>
      </c>
      <c r="S32" s="507">
        <v>9.42</v>
      </c>
      <c r="T32" s="507">
        <v>11.84</v>
      </c>
      <c r="U32" s="507"/>
      <c r="V32" s="507"/>
      <c r="W32" s="507"/>
      <c r="X32" s="507"/>
      <c r="Y32" s="507"/>
      <c r="Z32" s="507"/>
      <c r="AA32" s="507"/>
      <c r="AB32" s="507"/>
      <c r="AC32" s="508"/>
      <c r="AD32" s="513">
        <f t="shared" si="20"/>
        <v>0</v>
      </c>
      <c r="AE32" s="507">
        <f>Q32^2*PI()/4*60/1000</f>
        <v>2.8743734948644257</v>
      </c>
      <c r="AF32" s="507">
        <f>R32^2*PI()/4*60/1000</f>
        <v>3.2934698088349377</v>
      </c>
      <c r="AG32" s="507">
        <f>S32^2*PI()/4*60/1000</f>
        <v>4.1816043351900802</v>
      </c>
      <c r="AH32" s="507">
        <f>T32^2*PI()/4*60/1000</f>
        <v>6.606090766486159</v>
      </c>
      <c r="AI32" s="507"/>
      <c r="AJ32" s="507"/>
      <c r="AK32" s="507"/>
      <c r="AL32" s="507"/>
      <c r="AM32" s="507"/>
      <c r="AN32" s="507"/>
      <c r="AO32" s="507"/>
      <c r="AP32" s="507"/>
      <c r="AQ32" s="516"/>
    </row>
    <row r="33" spans="1:43" ht="13.5" customHeight="1">
      <c r="A33" s="34" t="e">
        <f t="shared" si="1"/>
        <v>#VALUE!</v>
      </c>
      <c r="B33" s="1095" t="e">
        <f t="shared" si="2"/>
        <v>#VALUE!</v>
      </c>
      <c r="C33" s="34" t="e">
        <f t="shared" si="3"/>
        <v>#VALUE!</v>
      </c>
      <c r="D33" s="1094" t="e">
        <f t="shared" si="4"/>
        <v>#VALUE!</v>
      </c>
      <c r="E33" s="34" t="e">
        <f t="shared" si="5"/>
        <v>#VALUE!</v>
      </c>
      <c r="F33" s="1094" t="e">
        <f t="shared" si="6"/>
        <v>#VALUE!</v>
      </c>
      <c r="G33" s="34" t="e">
        <f t="shared" si="7"/>
        <v>#VALUE!</v>
      </c>
      <c r="H33" s="1094" t="e">
        <f t="shared" si="8"/>
        <v>#VALUE!</v>
      </c>
      <c r="I33" s="533"/>
      <c r="J33" s="707">
        <v>36</v>
      </c>
      <c r="K33" s="708" t="s">
        <v>1400</v>
      </c>
      <c r="L33" s="708" t="s">
        <v>582</v>
      </c>
      <c r="M33" s="708" t="s">
        <v>574</v>
      </c>
      <c r="N33" s="695" t="s">
        <v>140</v>
      </c>
      <c r="O33" s="520">
        <v>0</v>
      </c>
      <c r="P33" s="513">
        <v>8.06</v>
      </c>
      <c r="Q33" s="507">
        <v>8.2100000000000009</v>
      </c>
      <c r="R33" s="507"/>
      <c r="S33" s="507"/>
      <c r="T33" s="507"/>
      <c r="U33" s="507"/>
      <c r="V33" s="507"/>
      <c r="W33" s="507"/>
      <c r="X33" s="507"/>
      <c r="Y33" s="507"/>
      <c r="Z33" s="507"/>
      <c r="AA33" s="507"/>
      <c r="AB33" s="507"/>
      <c r="AC33" s="508"/>
      <c r="AD33" s="513">
        <f t="shared" si="20"/>
        <v>3.0613375276611889</v>
      </c>
      <c r="AE33" s="507">
        <f t="shared" ref="AE33:AE64" si="21">Q33^2*PI()/4*60/1000</f>
        <v>3.1763433807274772</v>
      </c>
      <c r="AF33" s="507"/>
      <c r="AG33" s="507"/>
      <c r="AH33" s="507"/>
      <c r="AI33" s="507"/>
      <c r="AJ33" s="507"/>
      <c r="AK33" s="507"/>
      <c r="AL33" s="507"/>
      <c r="AM33" s="507"/>
      <c r="AN33" s="507"/>
      <c r="AO33" s="507"/>
      <c r="AP33" s="507"/>
      <c r="AQ33" s="516"/>
    </row>
    <row r="34" spans="1:43" ht="13.5" customHeight="1">
      <c r="A34" s="34" t="e">
        <f t="shared" si="1"/>
        <v>#VALUE!</v>
      </c>
      <c r="B34" s="1095" t="e">
        <f t="shared" si="2"/>
        <v>#VALUE!</v>
      </c>
      <c r="C34" s="34" t="e">
        <f t="shared" si="3"/>
        <v>#VALUE!</v>
      </c>
      <c r="D34" s="1094" t="e">
        <f t="shared" si="4"/>
        <v>#VALUE!</v>
      </c>
      <c r="E34" s="34" t="e">
        <f t="shared" si="5"/>
        <v>#VALUE!</v>
      </c>
      <c r="F34" s="1094" t="e">
        <f t="shared" si="6"/>
        <v>#VALUE!</v>
      </c>
      <c r="G34" s="34" t="e">
        <f t="shared" si="7"/>
        <v>#VALUE!</v>
      </c>
      <c r="H34" s="1094" t="e">
        <f t="shared" si="8"/>
        <v>#VALUE!</v>
      </c>
      <c r="I34" s="533"/>
      <c r="J34" s="707">
        <v>39</v>
      </c>
      <c r="K34" s="708" t="s">
        <v>1403</v>
      </c>
      <c r="L34" s="708" t="s">
        <v>581</v>
      </c>
      <c r="M34" s="708" t="s">
        <v>577</v>
      </c>
      <c r="N34" s="695" t="s">
        <v>521</v>
      </c>
      <c r="O34" s="520">
        <v>0</v>
      </c>
      <c r="P34" s="513">
        <v>3.24</v>
      </c>
      <c r="Q34" s="507">
        <v>5.1100000000000003</v>
      </c>
      <c r="R34" s="507">
        <v>6.8</v>
      </c>
      <c r="S34" s="507">
        <v>9.58</v>
      </c>
      <c r="T34" s="507">
        <v>12.75</v>
      </c>
      <c r="U34" s="507"/>
      <c r="V34" s="507"/>
      <c r="W34" s="507"/>
      <c r="X34" s="507"/>
      <c r="Y34" s="507"/>
      <c r="Z34" s="507"/>
      <c r="AA34" s="507"/>
      <c r="AB34" s="507"/>
      <c r="AC34" s="508"/>
      <c r="AD34" s="513">
        <f t="shared" si="20"/>
        <v>0.49468774560486328</v>
      </c>
      <c r="AE34" s="507">
        <f t="shared" si="21"/>
        <v>1.2305037229470306</v>
      </c>
      <c r="AF34" s="507">
        <f>R34^2*PI()/4*60/1000</f>
        <v>2.1790086645298801</v>
      </c>
      <c r="AG34" s="507">
        <f>S34^2*PI()/4*60/1000</f>
        <v>4.3248609601937744</v>
      </c>
      <c r="AH34" s="507">
        <f>T34^2*PI()/4*60/1000</f>
        <v>7.6605773362378615</v>
      </c>
      <c r="AI34" s="507">
        <f>U34^2*PI()/4*60/1000</f>
        <v>0</v>
      </c>
      <c r="AJ34" s="507"/>
      <c r="AK34" s="507"/>
      <c r="AL34" s="507"/>
      <c r="AM34" s="507"/>
      <c r="AN34" s="507"/>
      <c r="AO34" s="507"/>
      <c r="AP34" s="507"/>
      <c r="AQ34" s="516"/>
    </row>
    <row r="35" spans="1:43" ht="13.5" customHeight="1">
      <c r="A35" s="34" t="e">
        <f t="shared" si="1"/>
        <v>#VALUE!</v>
      </c>
      <c r="B35" s="1095" t="e">
        <f t="shared" si="2"/>
        <v>#VALUE!</v>
      </c>
      <c r="C35" s="34" t="e">
        <f t="shared" si="3"/>
        <v>#VALUE!</v>
      </c>
      <c r="D35" s="1094" t="e">
        <f t="shared" si="4"/>
        <v>#VALUE!</v>
      </c>
      <c r="E35" s="34" t="e">
        <f t="shared" si="5"/>
        <v>#VALUE!</v>
      </c>
      <c r="F35" s="1094" t="e">
        <f t="shared" si="6"/>
        <v>#VALUE!</v>
      </c>
      <c r="G35" s="34" t="e">
        <f t="shared" si="7"/>
        <v>#VALUE!</v>
      </c>
      <c r="H35" s="1094" t="e">
        <f t="shared" si="8"/>
        <v>#VALUE!</v>
      </c>
      <c r="I35" s="533"/>
      <c r="J35" s="707">
        <v>40</v>
      </c>
      <c r="K35" s="708" t="s">
        <v>1404</v>
      </c>
      <c r="L35" s="708"/>
      <c r="M35" s="708" t="s">
        <v>574</v>
      </c>
      <c r="N35" s="695" t="s">
        <v>523</v>
      </c>
      <c r="O35" s="520">
        <v>0</v>
      </c>
      <c r="P35" s="513">
        <v>5.4</v>
      </c>
      <c r="Q35" s="507">
        <v>5.42</v>
      </c>
      <c r="R35" s="507"/>
      <c r="S35" s="507"/>
      <c r="T35" s="507"/>
      <c r="U35" s="507"/>
      <c r="V35" s="507"/>
      <c r="W35" s="507"/>
      <c r="X35" s="507"/>
      <c r="Y35" s="507"/>
      <c r="Z35" s="507"/>
      <c r="AA35" s="507"/>
      <c r="AB35" s="507"/>
      <c r="AC35" s="508"/>
      <c r="AD35" s="513">
        <f t="shared" si="20"/>
        <v>1.3741326266801757</v>
      </c>
      <c r="AE35" s="829">
        <f t="shared" si="21"/>
        <v>1.3843302364337278</v>
      </c>
      <c r="AF35" s="829"/>
      <c r="AG35" s="829"/>
      <c r="AH35" s="829"/>
      <c r="AI35" s="829"/>
      <c r="AJ35" s="507"/>
      <c r="AK35" s="507"/>
      <c r="AL35" s="507"/>
      <c r="AM35" s="507"/>
      <c r="AN35" s="507"/>
      <c r="AO35" s="507"/>
      <c r="AP35" s="507"/>
      <c r="AQ35" s="516"/>
    </row>
    <row r="36" spans="1:43" ht="13.5" customHeight="1">
      <c r="A36" s="34" t="e">
        <f t="shared" si="1"/>
        <v>#VALUE!</v>
      </c>
      <c r="B36" s="1095" t="e">
        <f t="shared" si="2"/>
        <v>#VALUE!</v>
      </c>
      <c r="C36" s="34" t="e">
        <f t="shared" si="3"/>
        <v>#VALUE!</v>
      </c>
      <c r="D36" s="1094" t="e">
        <f t="shared" si="4"/>
        <v>#VALUE!</v>
      </c>
      <c r="E36" s="34" t="e">
        <f t="shared" si="5"/>
        <v>#VALUE!</v>
      </c>
      <c r="F36" s="1094" t="e">
        <f t="shared" si="6"/>
        <v>#VALUE!</v>
      </c>
      <c r="G36" s="34" t="e">
        <f t="shared" si="7"/>
        <v>#VALUE!</v>
      </c>
      <c r="H36" s="1094" t="e">
        <f t="shared" si="8"/>
        <v>#VALUE!</v>
      </c>
      <c r="I36" s="533"/>
      <c r="J36" s="707">
        <v>41</v>
      </c>
      <c r="K36" s="708" t="s">
        <v>1405</v>
      </c>
      <c r="L36" s="708"/>
      <c r="M36" s="708" t="s">
        <v>574</v>
      </c>
      <c r="N36" s="695" t="s">
        <v>523</v>
      </c>
      <c r="O36" s="520">
        <v>0</v>
      </c>
      <c r="P36" s="513">
        <v>5.88</v>
      </c>
      <c r="Q36" s="507">
        <v>5.79</v>
      </c>
      <c r="R36" s="507">
        <v>15.08</v>
      </c>
      <c r="S36" s="507">
        <v>14.96</v>
      </c>
      <c r="T36" s="507"/>
      <c r="U36" s="507"/>
      <c r="V36" s="507"/>
      <c r="W36" s="507"/>
      <c r="X36" s="507"/>
      <c r="Y36" s="507"/>
      <c r="Z36" s="507"/>
      <c r="AA36" s="507"/>
      <c r="AB36" s="507"/>
      <c r="AC36" s="508"/>
      <c r="AD36" s="996">
        <f t="shared" si="20"/>
        <v>1.629280215634124</v>
      </c>
      <c r="AE36" s="988">
        <f t="shared" si="21"/>
        <v>1.5797859941731436</v>
      </c>
      <c r="AF36" s="988">
        <f>R36^2*PI()/4*60/1000</f>
        <v>10.716274134289527</v>
      </c>
      <c r="AG36" s="988">
        <f>S36^2*PI()/4*60/1000</f>
        <v>10.546401936324623</v>
      </c>
      <c r="AH36" s="988"/>
      <c r="AI36" s="988"/>
      <c r="AJ36" s="985"/>
      <c r="AK36" s="507"/>
      <c r="AL36" s="507"/>
      <c r="AM36" s="507"/>
      <c r="AN36" s="507"/>
      <c r="AO36" s="507"/>
      <c r="AP36" s="507"/>
      <c r="AQ36" s="516"/>
    </row>
    <row r="37" spans="1:43" ht="13.5" customHeight="1">
      <c r="A37" s="34" t="e">
        <f t="shared" si="1"/>
        <v>#VALUE!</v>
      </c>
      <c r="B37" s="1095" t="e">
        <f t="shared" si="2"/>
        <v>#VALUE!</v>
      </c>
      <c r="C37" s="34" t="e">
        <f t="shared" si="3"/>
        <v>#VALUE!</v>
      </c>
      <c r="D37" s="1094" t="e">
        <f t="shared" si="4"/>
        <v>#VALUE!</v>
      </c>
      <c r="E37" s="34" t="e">
        <f t="shared" si="5"/>
        <v>#VALUE!</v>
      </c>
      <c r="F37" s="1094" t="e">
        <f t="shared" si="6"/>
        <v>#VALUE!</v>
      </c>
      <c r="G37" s="34" t="e">
        <f t="shared" si="7"/>
        <v>#VALUE!</v>
      </c>
      <c r="H37" s="1094" t="e">
        <f t="shared" si="8"/>
        <v>#VALUE!</v>
      </c>
      <c r="I37" s="533"/>
      <c r="J37" s="707">
        <v>42</v>
      </c>
      <c r="K37" s="708" t="s">
        <v>1406</v>
      </c>
      <c r="L37" s="708"/>
      <c r="M37" s="708" t="s">
        <v>577</v>
      </c>
      <c r="N37" s="695" t="s">
        <v>169</v>
      </c>
      <c r="O37" s="520">
        <v>0</v>
      </c>
      <c r="P37" s="513">
        <v>6.02</v>
      </c>
      <c r="Q37" s="507">
        <v>9.4</v>
      </c>
      <c r="R37" s="507">
        <v>13.14</v>
      </c>
      <c r="S37" s="507"/>
      <c r="T37" s="507"/>
      <c r="U37" s="507"/>
      <c r="V37" s="507"/>
      <c r="W37" s="507"/>
      <c r="X37" s="507"/>
      <c r="Y37" s="507"/>
      <c r="Z37" s="507"/>
      <c r="AA37" s="507"/>
      <c r="AB37" s="507"/>
      <c r="AC37" s="508"/>
      <c r="AD37" s="996">
        <f t="shared" si="20"/>
        <v>1.7077886160473326</v>
      </c>
      <c r="AE37" s="988">
        <f t="shared" si="21"/>
        <v>4.1638669030679116</v>
      </c>
      <c r="AF37" s="988">
        <f>R37^2*PI()/4*60/1000</f>
        <v>8.1363919639762834</v>
      </c>
      <c r="AG37" s="988"/>
      <c r="AH37" s="988"/>
      <c r="AI37" s="988"/>
      <c r="AJ37" s="985"/>
      <c r="AK37" s="507"/>
      <c r="AL37" s="507"/>
      <c r="AM37" s="507"/>
      <c r="AN37" s="507"/>
      <c r="AO37" s="507"/>
      <c r="AP37" s="507"/>
      <c r="AQ37" s="516"/>
    </row>
    <row r="38" spans="1:43" ht="13.5" customHeight="1">
      <c r="A38" s="34" t="e">
        <f t="shared" si="1"/>
        <v>#VALUE!</v>
      </c>
      <c r="B38" s="1095" t="e">
        <f t="shared" si="2"/>
        <v>#VALUE!</v>
      </c>
      <c r="C38" s="34" t="e">
        <f t="shared" si="3"/>
        <v>#VALUE!</v>
      </c>
      <c r="D38" s="1094" t="e">
        <f t="shared" si="4"/>
        <v>#VALUE!</v>
      </c>
      <c r="E38" s="34" t="e">
        <f t="shared" si="5"/>
        <v>#VALUE!</v>
      </c>
      <c r="F38" s="1094" t="e">
        <f t="shared" si="6"/>
        <v>#VALUE!</v>
      </c>
      <c r="G38" s="34" t="e">
        <f t="shared" si="7"/>
        <v>#VALUE!</v>
      </c>
      <c r="H38" s="1094" t="e">
        <f t="shared" si="8"/>
        <v>#VALUE!</v>
      </c>
      <c r="I38" s="533"/>
      <c r="J38" s="707">
        <v>43</v>
      </c>
      <c r="K38" s="708" t="s">
        <v>1309</v>
      </c>
      <c r="L38" s="999" t="s">
        <v>590</v>
      </c>
      <c r="M38" s="708" t="s">
        <v>575</v>
      </c>
      <c r="N38" s="695" t="s">
        <v>521</v>
      </c>
      <c r="O38" s="520">
        <v>0</v>
      </c>
      <c r="P38" s="513">
        <v>2.98</v>
      </c>
      <c r="Q38" s="507">
        <v>4.32</v>
      </c>
      <c r="R38" s="507">
        <v>5.88</v>
      </c>
      <c r="S38" s="507">
        <v>7.46</v>
      </c>
      <c r="T38" s="507">
        <v>9.2799999999999994</v>
      </c>
      <c r="U38" s="507">
        <v>10.99</v>
      </c>
      <c r="V38" s="507">
        <v>12.61</v>
      </c>
      <c r="W38" s="507"/>
      <c r="X38" s="507"/>
      <c r="Y38" s="507"/>
      <c r="Z38" s="507"/>
      <c r="AA38" s="507"/>
      <c r="AB38" s="507"/>
      <c r="AC38" s="508"/>
      <c r="AD38" s="996">
        <f t="shared" si="20"/>
        <v>0.41847899101408198</v>
      </c>
      <c r="AE38" s="988">
        <f t="shared" si="21"/>
        <v>0.87944488107531238</v>
      </c>
      <c r="AF38" s="988"/>
      <c r="AG38" s="988"/>
      <c r="AH38" s="988"/>
      <c r="AI38" s="988"/>
      <c r="AJ38" s="985"/>
      <c r="AK38" s="507"/>
      <c r="AL38" s="507"/>
      <c r="AM38" s="507"/>
      <c r="AN38" s="507"/>
      <c r="AO38" s="507"/>
      <c r="AP38" s="507"/>
      <c r="AQ38" s="516"/>
    </row>
    <row r="39" spans="1:43" ht="13.5" customHeight="1">
      <c r="A39" s="34" t="e">
        <f t="shared" si="1"/>
        <v>#VALUE!</v>
      </c>
      <c r="B39" s="1095" t="e">
        <f t="shared" si="2"/>
        <v>#VALUE!</v>
      </c>
      <c r="C39" s="34" t="e">
        <f t="shared" si="3"/>
        <v>#VALUE!</v>
      </c>
      <c r="D39" s="1094" t="e">
        <f t="shared" si="4"/>
        <v>#VALUE!</v>
      </c>
      <c r="E39" s="34" t="e">
        <f t="shared" si="5"/>
        <v>#VALUE!</v>
      </c>
      <c r="F39" s="1094" t="e">
        <f t="shared" si="6"/>
        <v>#VALUE!</v>
      </c>
      <c r="G39" s="34" t="e">
        <f t="shared" si="7"/>
        <v>#VALUE!</v>
      </c>
      <c r="H39" s="1094" t="e">
        <f t="shared" si="8"/>
        <v>#VALUE!</v>
      </c>
      <c r="I39" s="533"/>
      <c r="J39" s="707">
        <v>45</v>
      </c>
      <c r="K39" s="708"/>
      <c r="L39" s="708" t="s">
        <v>580</v>
      </c>
      <c r="M39" s="708" t="s">
        <v>575</v>
      </c>
      <c r="N39" s="695" t="s">
        <v>1244</v>
      </c>
      <c r="O39" s="520">
        <v>0</v>
      </c>
      <c r="P39" s="513">
        <v>2.96</v>
      </c>
      <c r="Q39" s="507">
        <v>3.3</v>
      </c>
      <c r="R39" s="507">
        <v>3.76</v>
      </c>
      <c r="S39" s="507">
        <v>4.24</v>
      </c>
      <c r="T39" s="507">
        <v>4.62</v>
      </c>
      <c r="U39" s="507">
        <v>4.95</v>
      </c>
      <c r="V39" s="507">
        <v>5.05</v>
      </c>
      <c r="W39" s="507">
        <v>5.97</v>
      </c>
      <c r="X39" s="507"/>
      <c r="Y39" s="507"/>
      <c r="Z39" s="507"/>
      <c r="AA39" s="507"/>
      <c r="AB39" s="507"/>
      <c r="AC39" s="508"/>
      <c r="AD39" s="996">
        <f t="shared" si="20"/>
        <v>0.41288067290538494</v>
      </c>
      <c r="AE39" s="988">
        <f t="shared" si="21"/>
        <v>0.51317915996389263</v>
      </c>
      <c r="AF39" s="988">
        <f t="shared" ref="AF39:AK39" si="22">R39^2*PI()/4*60/1000</f>
        <v>0.66621870449086573</v>
      </c>
      <c r="AG39" s="988">
        <f t="shared" si="22"/>
        <v>0.84717444133763808</v>
      </c>
      <c r="AH39" s="988">
        <f t="shared" si="22"/>
        <v>1.0058311535292297</v>
      </c>
      <c r="AI39" s="988">
        <f t="shared" si="22"/>
        <v>1.1546531099187587</v>
      </c>
      <c r="AJ39" s="985">
        <f t="shared" si="22"/>
        <v>1.2017769997226055</v>
      </c>
      <c r="AK39" s="507">
        <f t="shared" si="22"/>
        <v>1.6795378441099267</v>
      </c>
      <c r="AL39" s="507"/>
      <c r="AM39" s="507"/>
      <c r="AN39" s="507"/>
      <c r="AO39" s="507"/>
      <c r="AP39" s="507"/>
      <c r="AQ39" s="516"/>
    </row>
    <row r="40" spans="1:43" ht="13.5" customHeight="1">
      <c r="A40" s="34" t="e">
        <f t="shared" si="1"/>
        <v>#VALUE!</v>
      </c>
      <c r="B40" s="1095" t="e">
        <f t="shared" si="2"/>
        <v>#VALUE!</v>
      </c>
      <c r="C40" s="34" t="e">
        <f t="shared" si="3"/>
        <v>#VALUE!</v>
      </c>
      <c r="D40" s="1094" t="e">
        <f t="shared" si="4"/>
        <v>#VALUE!</v>
      </c>
      <c r="E40" s="34" t="e">
        <f t="shared" si="5"/>
        <v>#VALUE!</v>
      </c>
      <c r="F40" s="1094" t="e">
        <f t="shared" si="6"/>
        <v>#VALUE!</v>
      </c>
      <c r="G40" s="34" t="e">
        <f t="shared" si="7"/>
        <v>#VALUE!</v>
      </c>
      <c r="H40" s="1094" t="e">
        <f t="shared" si="8"/>
        <v>#VALUE!</v>
      </c>
      <c r="I40" s="533"/>
      <c r="J40" s="707">
        <v>46</v>
      </c>
      <c r="K40" s="708"/>
      <c r="L40" s="708" t="s">
        <v>582</v>
      </c>
      <c r="M40" s="708" t="s">
        <v>575</v>
      </c>
      <c r="N40" s="695" t="s">
        <v>523</v>
      </c>
      <c r="O40" s="520">
        <v>0</v>
      </c>
      <c r="P40" s="513">
        <v>3.14</v>
      </c>
      <c r="Q40" s="507">
        <v>4.8600000000000003</v>
      </c>
      <c r="R40" s="507">
        <v>9.64</v>
      </c>
      <c r="S40" s="507">
        <v>12.77</v>
      </c>
      <c r="T40" s="507"/>
      <c r="U40" s="507"/>
      <c r="V40" s="507"/>
      <c r="W40" s="507"/>
      <c r="X40" s="507"/>
      <c r="Y40" s="507"/>
      <c r="Z40" s="507"/>
      <c r="AA40" s="507"/>
      <c r="AB40" s="507"/>
      <c r="AC40" s="508"/>
      <c r="AD40" s="996">
        <f t="shared" si="20"/>
        <v>0.46462270391000887</v>
      </c>
      <c r="AE40" s="988">
        <f t="shared" si="21"/>
        <v>1.1130474276109421</v>
      </c>
      <c r="AF40" s="988">
        <f t="shared" ref="AF40:AJ42" si="23">R40^2*PI()/4*60/1000</f>
        <v>4.3792042299155707</v>
      </c>
      <c r="AG40" s="988">
        <f t="shared" si="23"/>
        <v>7.6846293695937442</v>
      </c>
      <c r="AH40" s="988">
        <f t="shared" si="23"/>
        <v>0</v>
      </c>
      <c r="AI40" s="988">
        <f t="shared" si="23"/>
        <v>0</v>
      </c>
      <c r="AJ40" s="985">
        <f t="shared" si="23"/>
        <v>0</v>
      </c>
      <c r="AK40" s="507"/>
      <c r="AL40" s="507"/>
      <c r="AM40" s="507"/>
      <c r="AN40" s="507"/>
      <c r="AO40" s="507"/>
      <c r="AP40" s="507"/>
      <c r="AQ40" s="516"/>
    </row>
    <row r="41" spans="1:43" ht="13.5" customHeight="1">
      <c r="A41" s="34" t="e">
        <f t="shared" si="1"/>
        <v>#VALUE!</v>
      </c>
      <c r="B41" s="1095" t="e">
        <f t="shared" si="2"/>
        <v>#VALUE!</v>
      </c>
      <c r="C41" s="34" t="e">
        <f t="shared" si="3"/>
        <v>#VALUE!</v>
      </c>
      <c r="D41" s="1094" t="e">
        <f t="shared" si="4"/>
        <v>#VALUE!</v>
      </c>
      <c r="E41" s="34" t="e">
        <f t="shared" si="5"/>
        <v>#VALUE!</v>
      </c>
      <c r="F41" s="1094" t="e">
        <f t="shared" si="6"/>
        <v>#VALUE!</v>
      </c>
      <c r="G41" s="34" t="e">
        <f t="shared" si="7"/>
        <v>#VALUE!</v>
      </c>
      <c r="H41" s="1094" t="e">
        <f t="shared" si="8"/>
        <v>#VALUE!</v>
      </c>
      <c r="I41" s="533"/>
      <c r="J41" s="707">
        <v>48</v>
      </c>
      <c r="K41" s="708"/>
      <c r="L41" s="708" t="s">
        <v>580</v>
      </c>
      <c r="M41" s="708" t="s">
        <v>575</v>
      </c>
      <c r="N41" s="695" t="s">
        <v>523</v>
      </c>
      <c r="O41" s="520">
        <v>0</v>
      </c>
      <c r="P41" s="513">
        <v>2.77</v>
      </c>
      <c r="Q41" s="507">
        <v>3.86</v>
      </c>
      <c r="R41" s="507">
        <v>4.76</v>
      </c>
      <c r="S41" s="507">
        <v>7.76</v>
      </c>
      <c r="T41" s="507">
        <v>9.43</v>
      </c>
      <c r="U41" s="507">
        <v>11.02</v>
      </c>
      <c r="V41" s="507">
        <v>12.6</v>
      </c>
      <c r="W41" s="507"/>
      <c r="X41" s="507"/>
      <c r="Y41" s="507"/>
      <c r="Z41" s="507"/>
      <c r="AA41" s="507"/>
      <c r="AB41" s="507"/>
      <c r="AC41" s="508"/>
      <c r="AD41" s="996">
        <f t="shared" si="20"/>
        <v>0.36157689407593679</v>
      </c>
      <c r="AE41" s="988">
        <f t="shared" si="21"/>
        <v>0.70212710852139715</v>
      </c>
      <c r="AF41" s="988">
        <f t="shared" si="23"/>
        <v>1.0677142456196413</v>
      </c>
      <c r="AG41" s="988">
        <f t="shared" si="23"/>
        <v>2.837687546652131</v>
      </c>
      <c r="AH41" s="988">
        <f t="shared" si="23"/>
        <v>4.1904871884181043</v>
      </c>
      <c r="AI41" s="988">
        <f t="shared" si="23"/>
        <v>5.7227440273350885</v>
      </c>
      <c r="AJ41" s="985">
        <f t="shared" si="23"/>
        <v>7.4813887452587329</v>
      </c>
      <c r="AK41" s="507"/>
      <c r="AL41" s="507"/>
      <c r="AM41" s="507"/>
      <c r="AN41" s="507"/>
      <c r="AO41" s="507"/>
      <c r="AP41" s="507"/>
      <c r="AQ41" s="516"/>
    </row>
    <row r="42" spans="1:43" ht="13.5" customHeight="1">
      <c r="A42" s="34" t="e">
        <f t="shared" si="1"/>
        <v>#VALUE!</v>
      </c>
      <c r="B42" s="1095" t="e">
        <f t="shared" si="2"/>
        <v>#VALUE!</v>
      </c>
      <c r="C42" s="34" t="e">
        <f t="shared" si="3"/>
        <v>#VALUE!</v>
      </c>
      <c r="D42" s="1094" t="e">
        <f t="shared" si="4"/>
        <v>#VALUE!</v>
      </c>
      <c r="E42" s="34" t="e">
        <f t="shared" si="5"/>
        <v>#VALUE!</v>
      </c>
      <c r="F42" s="1094" t="e">
        <f t="shared" si="6"/>
        <v>#VALUE!</v>
      </c>
      <c r="G42" s="34" t="e">
        <f t="shared" si="7"/>
        <v>#VALUE!</v>
      </c>
      <c r="H42" s="1094" t="e">
        <f t="shared" si="8"/>
        <v>#VALUE!</v>
      </c>
      <c r="I42" s="533"/>
      <c r="J42" s="707">
        <v>49</v>
      </c>
      <c r="K42" s="708"/>
      <c r="L42" s="999" t="s">
        <v>1364</v>
      </c>
      <c r="M42" s="708" t="s">
        <v>575</v>
      </c>
      <c r="N42" s="695" t="s">
        <v>523</v>
      </c>
      <c r="O42" s="520">
        <v>0</v>
      </c>
      <c r="P42" s="513">
        <v>2.92</v>
      </c>
      <c r="Q42" s="507">
        <v>7.46</v>
      </c>
      <c r="R42" s="507">
        <v>9.69</v>
      </c>
      <c r="S42" s="507">
        <v>12.92</v>
      </c>
      <c r="T42" s="507"/>
      <c r="U42" s="507"/>
      <c r="V42" s="507"/>
      <c r="W42" s="507"/>
      <c r="X42" s="507"/>
      <c r="Y42" s="507"/>
      <c r="Z42" s="507"/>
      <c r="AA42" s="507"/>
      <c r="AB42" s="507"/>
      <c r="AC42" s="508"/>
      <c r="AD42" s="996">
        <f t="shared" si="20"/>
        <v>0.40179713402352013</v>
      </c>
      <c r="AE42" s="988">
        <f t="shared" si="21"/>
        <v>2.622519865807766</v>
      </c>
      <c r="AF42" s="988">
        <f t="shared" si="23"/>
        <v>4.4247494694109886</v>
      </c>
      <c r="AG42" s="988">
        <f t="shared" si="23"/>
        <v>7.8662212789528692</v>
      </c>
      <c r="AH42" s="988">
        <f t="shared" si="23"/>
        <v>0</v>
      </c>
      <c r="AI42" s="988">
        <f t="shared" si="23"/>
        <v>0</v>
      </c>
      <c r="AJ42" s="985">
        <f t="shared" si="23"/>
        <v>0</v>
      </c>
      <c r="AK42" s="507"/>
      <c r="AL42" s="507"/>
      <c r="AM42" s="507"/>
      <c r="AN42" s="507"/>
      <c r="AO42" s="507"/>
      <c r="AP42" s="507"/>
      <c r="AQ42" s="516"/>
    </row>
    <row r="43" spans="1:43" ht="13.5" customHeight="1">
      <c r="A43" s="34" t="e">
        <f t="shared" si="1"/>
        <v>#VALUE!</v>
      </c>
      <c r="B43" s="1095" t="e">
        <f t="shared" si="2"/>
        <v>#VALUE!</v>
      </c>
      <c r="C43" s="34" t="e">
        <f t="shared" si="3"/>
        <v>#VALUE!</v>
      </c>
      <c r="D43" s="1094" t="e">
        <f t="shared" si="4"/>
        <v>#VALUE!</v>
      </c>
      <c r="E43" s="34" t="e">
        <f t="shared" si="5"/>
        <v>#VALUE!</v>
      </c>
      <c r="F43" s="1094" t="e">
        <f t="shared" si="6"/>
        <v>#VALUE!</v>
      </c>
      <c r="G43" s="34" t="e">
        <f t="shared" si="7"/>
        <v>#VALUE!</v>
      </c>
      <c r="H43" s="1094" t="e">
        <f t="shared" si="8"/>
        <v>#VALUE!</v>
      </c>
      <c r="I43" s="533"/>
      <c r="J43" s="707">
        <v>52</v>
      </c>
      <c r="K43" s="708"/>
      <c r="L43" s="708" t="s">
        <v>581</v>
      </c>
      <c r="M43" s="708" t="s">
        <v>576</v>
      </c>
      <c r="N43" s="695" t="s">
        <v>523</v>
      </c>
      <c r="O43" s="520">
        <v>0</v>
      </c>
      <c r="P43" s="513">
        <v>5.75</v>
      </c>
      <c r="Q43" s="507">
        <v>7.99</v>
      </c>
      <c r="R43" s="507">
        <v>8.86</v>
      </c>
      <c r="S43" s="507">
        <v>10.52</v>
      </c>
      <c r="T43" s="507">
        <v>12.09</v>
      </c>
      <c r="U43" s="507"/>
      <c r="V43" s="507"/>
      <c r="W43" s="507"/>
      <c r="X43" s="507"/>
      <c r="Y43" s="507"/>
      <c r="Z43" s="507"/>
      <c r="AA43" s="507"/>
      <c r="AB43" s="507"/>
      <c r="AC43" s="508"/>
      <c r="AD43" s="996">
        <f t="shared" si="20"/>
        <v>1.558033606639688</v>
      </c>
      <c r="AE43" s="988">
        <f t="shared" si="21"/>
        <v>3.0083938374665662</v>
      </c>
      <c r="AF43" s="988">
        <f t="shared" ref="AF43:AH44" si="24">R43^2*PI()/4*60/1000</f>
        <v>3.6992065000460594</v>
      </c>
      <c r="AG43" s="988">
        <f t="shared" si="24"/>
        <v>5.2152197341476567</v>
      </c>
      <c r="AH43" s="988">
        <f t="shared" si="24"/>
        <v>6.8880094372376739</v>
      </c>
      <c r="AI43" s="988"/>
      <c r="AJ43" s="985"/>
      <c r="AK43" s="507"/>
      <c r="AL43" s="507"/>
      <c r="AM43" s="507"/>
      <c r="AN43" s="507"/>
      <c r="AO43" s="507"/>
      <c r="AP43" s="507"/>
      <c r="AQ43" s="516"/>
    </row>
    <row r="44" spans="1:43" ht="13.5" customHeight="1">
      <c r="A44" s="34" t="e">
        <f t="shared" si="1"/>
        <v>#VALUE!</v>
      </c>
      <c r="B44" s="1095" t="e">
        <f t="shared" si="2"/>
        <v>#VALUE!</v>
      </c>
      <c r="C44" s="34" t="e">
        <f t="shared" si="3"/>
        <v>#VALUE!</v>
      </c>
      <c r="D44" s="1094" t="e">
        <f t="shared" si="4"/>
        <v>#VALUE!</v>
      </c>
      <c r="E44" s="34" t="e">
        <f t="shared" si="5"/>
        <v>#VALUE!</v>
      </c>
      <c r="F44" s="1094" t="e">
        <f t="shared" si="6"/>
        <v>#VALUE!</v>
      </c>
      <c r="G44" s="34" t="e">
        <f t="shared" si="7"/>
        <v>#VALUE!</v>
      </c>
      <c r="H44" s="1094" t="e">
        <f t="shared" si="8"/>
        <v>#VALUE!</v>
      </c>
      <c r="I44" s="533"/>
      <c r="J44" s="707">
        <v>53</v>
      </c>
      <c r="K44" s="708"/>
      <c r="L44" s="708" t="s">
        <v>580</v>
      </c>
      <c r="M44" s="708" t="s">
        <v>575</v>
      </c>
      <c r="N44" s="695" t="s">
        <v>1243</v>
      </c>
      <c r="O44" s="520">
        <v>0</v>
      </c>
      <c r="P44" s="513">
        <v>3.04</v>
      </c>
      <c r="Q44" s="507">
        <v>3.45</v>
      </c>
      <c r="R44" s="507">
        <v>3.73</v>
      </c>
      <c r="S44" s="507">
        <v>4.16</v>
      </c>
      <c r="T44" s="507">
        <v>4.5599999999999996</v>
      </c>
      <c r="U44" s="507">
        <v>4.9400000000000004</v>
      </c>
      <c r="V44" s="507">
        <v>5.74</v>
      </c>
      <c r="W44" s="507">
        <v>6.13</v>
      </c>
      <c r="X44" s="507">
        <v>6.68</v>
      </c>
      <c r="Y44" s="507">
        <v>7.61</v>
      </c>
      <c r="Z44" s="507">
        <v>8.64</v>
      </c>
      <c r="AA44" s="507">
        <v>9.69</v>
      </c>
      <c r="AB44" s="507"/>
      <c r="AC44" s="508"/>
      <c r="AD44" s="513">
        <f t="shared" si="20"/>
        <v>0.4355001400112315</v>
      </c>
      <c r="AE44" s="986">
        <f t="shared" si="21"/>
        <v>0.56089209839028775</v>
      </c>
      <c r="AF44" s="986">
        <f t="shared" si="24"/>
        <v>0.65562996645194149</v>
      </c>
      <c r="AG44" s="986">
        <f t="shared" si="24"/>
        <v>0.81550718738945294</v>
      </c>
      <c r="AH44" s="986">
        <f t="shared" si="24"/>
        <v>0.97987531502527081</v>
      </c>
      <c r="AI44" s="986">
        <f t="shared" ref="AI44:AN44" si="25">U44^2*PI()/4*60/1000</f>
        <v>1.1499925572171585</v>
      </c>
      <c r="AJ44" s="507">
        <f t="shared" si="25"/>
        <v>1.552619071701226</v>
      </c>
      <c r="AK44" s="507">
        <f t="shared" si="25"/>
        <v>1.7707696947701745</v>
      </c>
      <c r="AL44" s="507">
        <f t="shared" si="25"/>
        <v>2.1027810603831778</v>
      </c>
      <c r="AM44" s="507">
        <f t="shared" si="25"/>
        <v>2.7290434187093622</v>
      </c>
      <c r="AN44" s="507">
        <f t="shared" si="25"/>
        <v>3.5177795243012495</v>
      </c>
      <c r="AO44" s="507"/>
      <c r="AP44" s="507"/>
      <c r="AQ44" s="516"/>
    </row>
    <row r="45" spans="1:43" ht="13.5" customHeight="1">
      <c r="A45" s="34" t="e">
        <f t="shared" si="1"/>
        <v>#VALUE!</v>
      </c>
      <c r="B45" s="1095" t="e">
        <f t="shared" si="2"/>
        <v>#VALUE!</v>
      </c>
      <c r="C45" s="34" t="e">
        <f t="shared" si="3"/>
        <v>#VALUE!</v>
      </c>
      <c r="D45" s="1094" t="e">
        <f t="shared" si="4"/>
        <v>#VALUE!</v>
      </c>
      <c r="E45" s="34" t="e">
        <f t="shared" si="5"/>
        <v>#VALUE!</v>
      </c>
      <c r="F45" s="1094" t="e">
        <f t="shared" si="6"/>
        <v>#VALUE!</v>
      </c>
      <c r="G45" s="34" t="e">
        <f t="shared" si="7"/>
        <v>#VALUE!</v>
      </c>
      <c r="H45" s="1094" t="e">
        <f t="shared" si="8"/>
        <v>#VALUE!</v>
      </c>
      <c r="I45" s="533"/>
      <c r="J45" s="707">
        <v>54</v>
      </c>
      <c r="K45" s="708"/>
      <c r="L45" s="708" t="s">
        <v>580</v>
      </c>
      <c r="M45" s="708" t="s">
        <v>574</v>
      </c>
      <c r="N45" s="695" t="s">
        <v>140</v>
      </c>
      <c r="O45" s="520">
        <v>0</v>
      </c>
      <c r="P45" s="513">
        <v>8.07</v>
      </c>
      <c r="Q45" s="507">
        <v>8.14</v>
      </c>
      <c r="R45" s="507"/>
      <c r="S45" s="507"/>
      <c r="T45" s="507"/>
      <c r="U45" s="507"/>
      <c r="V45" s="507"/>
      <c r="W45" s="507"/>
      <c r="X45" s="507"/>
      <c r="Y45" s="507"/>
      <c r="Z45" s="507"/>
      <c r="AA45" s="507"/>
      <c r="AB45" s="507"/>
      <c r="AC45" s="508"/>
      <c r="AD45" s="513">
        <f t="shared" si="20"/>
        <v>3.0689386110865495</v>
      </c>
      <c r="AE45" s="507">
        <f t="shared" si="21"/>
        <v>3.1224100888469741</v>
      </c>
      <c r="AF45" s="507"/>
      <c r="AG45" s="507"/>
      <c r="AH45" s="507"/>
      <c r="AI45" s="507"/>
      <c r="AJ45" s="507"/>
      <c r="AK45" s="507"/>
      <c r="AL45" s="507"/>
      <c r="AM45" s="507"/>
      <c r="AN45" s="507"/>
      <c r="AO45" s="507"/>
      <c r="AP45" s="507"/>
      <c r="AQ45" s="516"/>
    </row>
    <row r="46" spans="1:43" ht="13.5" customHeight="1">
      <c r="A46" s="34" t="e">
        <f t="shared" si="1"/>
        <v>#VALUE!</v>
      </c>
      <c r="B46" s="1095" t="e">
        <f t="shared" si="2"/>
        <v>#VALUE!</v>
      </c>
      <c r="C46" s="34" t="e">
        <f t="shared" si="3"/>
        <v>#VALUE!</v>
      </c>
      <c r="D46" s="1094" t="e">
        <f t="shared" si="4"/>
        <v>#VALUE!</v>
      </c>
      <c r="E46" s="34" t="e">
        <f t="shared" si="5"/>
        <v>#VALUE!</v>
      </c>
      <c r="F46" s="1094" t="e">
        <f t="shared" si="6"/>
        <v>#VALUE!</v>
      </c>
      <c r="G46" s="34" t="e">
        <f t="shared" si="7"/>
        <v>#VALUE!</v>
      </c>
      <c r="H46" s="1094" t="e">
        <f t="shared" si="8"/>
        <v>#VALUE!</v>
      </c>
      <c r="I46" s="533"/>
      <c r="J46" s="707">
        <v>55</v>
      </c>
      <c r="K46" s="708"/>
      <c r="L46" s="708" t="s">
        <v>582</v>
      </c>
      <c r="M46" s="708" t="s">
        <v>575</v>
      </c>
      <c r="N46" s="695" t="s">
        <v>523</v>
      </c>
      <c r="O46" s="520">
        <v>0</v>
      </c>
      <c r="P46" s="513">
        <v>3.15</v>
      </c>
      <c r="Q46" s="507">
        <v>4.8600000000000003</v>
      </c>
      <c r="R46" s="507">
        <v>8.17</v>
      </c>
      <c r="S46" s="507">
        <v>9.81</v>
      </c>
      <c r="T46" s="507">
        <v>11.06</v>
      </c>
      <c r="U46" s="507">
        <v>13.03</v>
      </c>
      <c r="V46" s="507"/>
      <c r="W46" s="507"/>
      <c r="X46" s="507"/>
      <c r="Y46" s="507"/>
      <c r="Z46" s="507"/>
      <c r="AA46" s="507"/>
      <c r="AB46" s="507"/>
      <c r="AC46" s="508"/>
      <c r="AD46" s="513">
        <f t="shared" si="20"/>
        <v>0.4675867965786708</v>
      </c>
      <c r="AE46" s="507">
        <f t="shared" si="21"/>
        <v>1.1130474276109421</v>
      </c>
      <c r="AF46" s="507">
        <f t="shared" ref="AF46:AF59" si="26">R46^2*PI()/4*60/1000</f>
        <v>3.1454678081279956</v>
      </c>
      <c r="AG46" s="507">
        <f t="shared" ref="AG46:AG59" si="27">S46^2*PI()/4*60/1000</f>
        <v>4.5350193715519911</v>
      </c>
      <c r="AH46" s="507">
        <f t="shared" ref="AH46:AH59" si="28">T46^2*PI()/4*60/1000</f>
        <v>5.7643638468098466</v>
      </c>
      <c r="AI46" s="507">
        <f t="shared" ref="AI46:AI59" si="29">U46^2*PI()/4*60/1000</f>
        <v>8.0007364223979476</v>
      </c>
      <c r="AJ46" s="507">
        <f t="shared" ref="AJ46:AJ59" si="30">V46^2*PI()/4*60/1000</f>
        <v>0</v>
      </c>
      <c r="AK46" s="507"/>
      <c r="AL46" s="507"/>
      <c r="AM46" s="507"/>
      <c r="AN46" s="507"/>
      <c r="AO46" s="507"/>
      <c r="AP46" s="507"/>
      <c r="AQ46" s="516"/>
    </row>
    <row r="47" spans="1:43" ht="13.5" customHeight="1">
      <c r="A47" s="34" t="e">
        <f t="shared" si="1"/>
        <v>#VALUE!</v>
      </c>
      <c r="B47" s="1095" t="e">
        <f t="shared" si="2"/>
        <v>#VALUE!</v>
      </c>
      <c r="C47" s="34" t="e">
        <f t="shared" si="3"/>
        <v>#VALUE!</v>
      </c>
      <c r="D47" s="1094" t="e">
        <f t="shared" si="4"/>
        <v>#VALUE!</v>
      </c>
      <c r="E47" s="34" t="e">
        <f t="shared" si="5"/>
        <v>#VALUE!</v>
      </c>
      <c r="F47" s="1094" t="e">
        <f t="shared" si="6"/>
        <v>#VALUE!</v>
      </c>
      <c r="G47" s="34" t="e">
        <f t="shared" si="7"/>
        <v>#VALUE!</v>
      </c>
      <c r="H47" s="1094" t="e">
        <f t="shared" si="8"/>
        <v>#VALUE!</v>
      </c>
      <c r="I47" s="533"/>
      <c r="J47" s="707">
        <v>56</v>
      </c>
      <c r="K47" s="708"/>
      <c r="L47" s="708" t="s">
        <v>582</v>
      </c>
      <c r="M47" s="708" t="s">
        <v>575</v>
      </c>
      <c r="N47" s="695" t="s">
        <v>523</v>
      </c>
      <c r="O47" s="520">
        <v>0</v>
      </c>
      <c r="P47" s="513">
        <v>3.11</v>
      </c>
      <c r="Q47" s="507">
        <v>4.83</v>
      </c>
      <c r="R47" s="507">
        <v>6.34</v>
      </c>
      <c r="S47" s="507">
        <v>7.92</v>
      </c>
      <c r="T47" s="507">
        <v>9.73</v>
      </c>
      <c r="U47" s="507">
        <v>11.08</v>
      </c>
      <c r="V47" s="507">
        <v>12.8</v>
      </c>
      <c r="W47" s="507"/>
      <c r="X47" s="507"/>
      <c r="Y47" s="507"/>
      <c r="Z47" s="507"/>
      <c r="AA47" s="507"/>
      <c r="AB47" s="507"/>
      <c r="AC47" s="508"/>
      <c r="AD47" s="513">
        <f t="shared" si="20"/>
        <v>0.45578697457178746</v>
      </c>
      <c r="AE47" s="507">
        <f t="shared" si="21"/>
        <v>1.099348512844964</v>
      </c>
      <c r="AF47" s="507">
        <f t="shared" si="26"/>
        <v>1.8941730249995086</v>
      </c>
      <c r="AG47" s="507">
        <f t="shared" si="27"/>
        <v>2.9559119613920219</v>
      </c>
      <c r="AH47" s="507">
        <f t="shared" si="28"/>
        <v>4.461355307010618</v>
      </c>
      <c r="AI47" s="507">
        <f t="shared" si="29"/>
        <v>5.7852303052149887</v>
      </c>
      <c r="AJ47" s="507">
        <f t="shared" si="30"/>
        <v>7.7207781054622764</v>
      </c>
      <c r="AK47" s="507"/>
      <c r="AL47" s="507"/>
      <c r="AM47" s="507"/>
      <c r="AN47" s="507"/>
      <c r="AO47" s="507"/>
      <c r="AP47" s="507"/>
      <c r="AQ47" s="516"/>
    </row>
    <row r="48" spans="1:43" ht="13.5" customHeight="1">
      <c r="A48" s="34" t="e">
        <f t="shared" si="1"/>
        <v>#VALUE!</v>
      </c>
      <c r="B48" s="1095" t="e">
        <f t="shared" si="2"/>
        <v>#VALUE!</v>
      </c>
      <c r="C48" s="34" t="e">
        <f t="shared" si="3"/>
        <v>#VALUE!</v>
      </c>
      <c r="D48" s="1094" t="e">
        <f t="shared" si="4"/>
        <v>#VALUE!</v>
      </c>
      <c r="E48" s="34" t="e">
        <f t="shared" si="5"/>
        <v>#VALUE!</v>
      </c>
      <c r="F48" s="1094" t="e">
        <f t="shared" si="6"/>
        <v>#VALUE!</v>
      </c>
      <c r="G48" s="34" t="e">
        <f t="shared" si="7"/>
        <v>#VALUE!</v>
      </c>
      <c r="H48" s="1094" t="e">
        <f t="shared" si="8"/>
        <v>#VALUE!</v>
      </c>
      <c r="I48" s="533"/>
      <c r="J48" s="707">
        <v>1006</v>
      </c>
      <c r="K48" s="708"/>
      <c r="L48" s="999" t="s">
        <v>1512</v>
      </c>
      <c r="M48" s="708" t="s">
        <v>575</v>
      </c>
      <c r="N48" s="695" t="s">
        <v>1515</v>
      </c>
      <c r="O48" s="520">
        <v>0</v>
      </c>
      <c r="P48" s="513">
        <v>2.92</v>
      </c>
      <c r="Q48" s="507">
        <v>4.5</v>
      </c>
      <c r="R48" s="507">
        <v>5.94</v>
      </c>
      <c r="S48" s="507">
        <v>7.65</v>
      </c>
      <c r="T48" s="507">
        <v>9.36</v>
      </c>
      <c r="U48" s="507">
        <v>10.88</v>
      </c>
      <c r="V48" s="507">
        <v>12.49</v>
      </c>
      <c r="W48" s="507"/>
      <c r="X48" s="507"/>
      <c r="Y48" s="507"/>
      <c r="Z48" s="507"/>
      <c r="AA48" s="507"/>
      <c r="AB48" s="507"/>
      <c r="AC48" s="508"/>
      <c r="AD48" s="513">
        <f t="shared" si="20"/>
        <v>0.40179713402352013</v>
      </c>
      <c r="AE48" s="507">
        <f t="shared" si="21"/>
        <v>0.95425876852789959</v>
      </c>
      <c r="AF48" s="507">
        <f t="shared" si="26"/>
        <v>1.6627004782830126</v>
      </c>
      <c r="AG48" s="507">
        <f t="shared" si="27"/>
        <v>2.7578078410456301</v>
      </c>
      <c r="AH48" s="507">
        <f t="shared" si="28"/>
        <v>4.1285051361591041</v>
      </c>
      <c r="AI48" s="507">
        <f t="shared" si="29"/>
        <v>5.5782621811964956</v>
      </c>
      <c r="AJ48" s="507">
        <f t="shared" si="30"/>
        <v>7.3513315217890955</v>
      </c>
      <c r="AK48" s="507">
        <f t="shared" ref="AK48:AO49" si="31">W48^2*PI()/4*60/1000</f>
        <v>0</v>
      </c>
      <c r="AL48" s="507">
        <f t="shared" si="31"/>
        <v>0</v>
      </c>
      <c r="AM48" s="507">
        <f t="shared" si="31"/>
        <v>0</v>
      </c>
      <c r="AN48" s="507">
        <f t="shared" si="31"/>
        <v>0</v>
      </c>
      <c r="AO48" s="507">
        <f t="shared" si="31"/>
        <v>0</v>
      </c>
      <c r="AP48" s="507"/>
      <c r="AQ48" s="516"/>
    </row>
    <row r="49" spans="1:43" ht="13.5" customHeight="1">
      <c r="A49" s="34" t="e">
        <f t="shared" si="1"/>
        <v>#VALUE!</v>
      </c>
      <c r="B49" s="1095" t="e">
        <f t="shared" si="2"/>
        <v>#VALUE!</v>
      </c>
      <c r="C49" s="34" t="e">
        <f t="shared" si="3"/>
        <v>#VALUE!</v>
      </c>
      <c r="D49" s="1094" t="e">
        <f t="shared" si="4"/>
        <v>#VALUE!</v>
      </c>
      <c r="E49" s="34" t="e">
        <f t="shared" si="5"/>
        <v>#VALUE!</v>
      </c>
      <c r="F49" s="1094" t="e">
        <f t="shared" si="6"/>
        <v>#VALUE!</v>
      </c>
      <c r="G49" s="34" t="e">
        <f t="shared" si="7"/>
        <v>#VALUE!</v>
      </c>
      <c r="H49" s="1094" t="e">
        <f t="shared" si="8"/>
        <v>#VALUE!</v>
      </c>
      <c r="I49" s="533"/>
      <c r="J49" s="707">
        <v>1007</v>
      </c>
      <c r="K49" s="708"/>
      <c r="L49" s="999" t="s">
        <v>1512</v>
      </c>
      <c r="M49" s="708" t="s">
        <v>575</v>
      </c>
      <c r="N49" s="695" t="s">
        <v>1515</v>
      </c>
      <c r="O49" s="520">
        <v>0</v>
      </c>
      <c r="P49" s="513">
        <v>2.91</v>
      </c>
      <c r="Q49" s="507">
        <v>4.4000000000000004</v>
      </c>
      <c r="R49" s="507">
        <v>5.94</v>
      </c>
      <c r="S49" s="507">
        <v>7.62</v>
      </c>
      <c r="T49" s="507">
        <v>9.26</v>
      </c>
      <c r="U49" s="507">
        <v>10.88</v>
      </c>
      <c r="V49" s="507">
        <v>12.61</v>
      </c>
      <c r="W49" s="507"/>
      <c r="X49" s="507"/>
      <c r="Y49" s="507"/>
      <c r="Z49" s="507"/>
      <c r="AA49" s="507"/>
      <c r="AB49" s="507"/>
      <c r="AC49" s="508"/>
      <c r="AD49" s="513">
        <f t="shared" si="20"/>
        <v>0.39904981124795597</v>
      </c>
      <c r="AE49" s="507">
        <f t="shared" si="21"/>
        <v>0.91231850660247604</v>
      </c>
      <c r="AF49" s="507">
        <f t="shared" si="26"/>
        <v>1.6627004782830126</v>
      </c>
      <c r="AG49" s="507">
        <f t="shared" si="27"/>
        <v>2.7362203871264872</v>
      </c>
      <c r="AH49" s="507">
        <f t="shared" si="28"/>
        <v>4.0407604533443422</v>
      </c>
      <c r="AI49" s="507">
        <f t="shared" si="29"/>
        <v>5.5782621811964956</v>
      </c>
      <c r="AJ49" s="507">
        <f t="shared" si="30"/>
        <v>7.493268677878282</v>
      </c>
      <c r="AK49" s="507">
        <f t="shared" si="31"/>
        <v>0</v>
      </c>
      <c r="AL49" s="507">
        <f t="shared" si="31"/>
        <v>0</v>
      </c>
      <c r="AM49" s="507">
        <f t="shared" si="31"/>
        <v>0</v>
      </c>
      <c r="AN49" s="507">
        <f t="shared" si="31"/>
        <v>0</v>
      </c>
      <c r="AO49" s="507">
        <f t="shared" si="31"/>
        <v>0</v>
      </c>
      <c r="AP49" s="507"/>
      <c r="AQ49" s="516"/>
    </row>
    <row r="50" spans="1:43" ht="13.5" customHeight="1">
      <c r="A50" s="34" t="e">
        <f t="shared" si="1"/>
        <v>#VALUE!</v>
      </c>
      <c r="B50" s="1095" t="e">
        <f t="shared" si="2"/>
        <v>#VALUE!</v>
      </c>
      <c r="C50" s="34" t="e">
        <f t="shared" si="3"/>
        <v>#VALUE!</v>
      </c>
      <c r="D50" s="1094" t="e">
        <f t="shared" si="4"/>
        <v>#VALUE!</v>
      </c>
      <c r="E50" s="34" t="e">
        <f t="shared" si="5"/>
        <v>#VALUE!</v>
      </c>
      <c r="F50" s="1094" t="e">
        <f t="shared" si="6"/>
        <v>#VALUE!</v>
      </c>
      <c r="G50" s="34" t="e">
        <f t="shared" si="7"/>
        <v>#VALUE!</v>
      </c>
      <c r="H50" s="1094" t="e">
        <f t="shared" si="8"/>
        <v>#VALUE!</v>
      </c>
      <c r="I50" s="533"/>
      <c r="J50" s="707">
        <v>1008</v>
      </c>
      <c r="K50" s="708"/>
      <c r="L50" s="999" t="s">
        <v>1512</v>
      </c>
      <c r="M50" s="708" t="s">
        <v>575</v>
      </c>
      <c r="N50" s="695" t="s">
        <v>1513</v>
      </c>
      <c r="O50" s="520">
        <v>0</v>
      </c>
      <c r="P50" s="513">
        <v>3.21</v>
      </c>
      <c r="Q50" s="507">
        <v>4.43</v>
      </c>
      <c r="R50" s="507">
        <v>6.3</v>
      </c>
      <c r="S50" s="507">
        <v>7.93</v>
      </c>
      <c r="T50" s="507">
        <v>9.6999999999999993</v>
      </c>
      <c r="U50" s="507">
        <v>11.14</v>
      </c>
      <c r="V50" s="507">
        <v>12.77</v>
      </c>
      <c r="W50" s="507"/>
      <c r="X50" s="507"/>
      <c r="Y50" s="507"/>
      <c r="Z50" s="507"/>
      <c r="AA50" s="507"/>
      <c r="AB50" s="507"/>
      <c r="AC50" s="508"/>
      <c r="AD50" s="513">
        <f t="shared" si="20"/>
        <v>0.48556927292781887</v>
      </c>
      <c r="AE50" s="507">
        <f t="shared" si="21"/>
        <v>0.92480162501151486</v>
      </c>
      <c r="AF50" s="507">
        <f t="shared" si="26"/>
        <v>1.8703471863146832</v>
      </c>
      <c r="AG50" s="507">
        <f t="shared" si="27"/>
        <v>2.9633810979259314</v>
      </c>
      <c r="AH50" s="507">
        <f t="shared" si="28"/>
        <v>4.4338867916439542</v>
      </c>
      <c r="AI50" s="507">
        <f t="shared" si="29"/>
        <v>5.8480558751014788</v>
      </c>
      <c r="AJ50" s="507">
        <f t="shared" si="30"/>
        <v>7.6846293695937442</v>
      </c>
      <c r="AK50" s="507"/>
      <c r="AL50" s="507"/>
      <c r="AM50" s="507"/>
      <c r="AN50" s="507"/>
      <c r="AO50" s="507"/>
      <c r="AP50" s="507"/>
      <c r="AQ50" s="516"/>
    </row>
    <row r="51" spans="1:43" ht="13.5" customHeight="1">
      <c r="A51" s="34" t="e">
        <f t="shared" si="1"/>
        <v>#VALUE!</v>
      </c>
      <c r="B51" s="1095" t="e">
        <f t="shared" si="2"/>
        <v>#VALUE!</v>
      </c>
      <c r="C51" s="34" t="e">
        <f t="shared" si="3"/>
        <v>#VALUE!</v>
      </c>
      <c r="D51" s="1094" t="e">
        <f t="shared" si="4"/>
        <v>#VALUE!</v>
      </c>
      <c r="E51" s="34" t="e">
        <f t="shared" si="5"/>
        <v>#VALUE!</v>
      </c>
      <c r="F51" s="1094" t="e">
        <f t="shared" si="6"/>
        <v>#VALUE!</v>
      </c>
      <c r="G51" s="34" t="e">
        <f t="shared" si="7"/>
        <v>#VALUE!</v>
      </c>
      <c r="H51" s="1094" t="e">
        <f t="shared" si="8"/>
        <v>#VALUE!</v>
      </c>
      <c r="I51" s="533"/>
      <c r="J51" s="707">
        <v>1009</v>
      </c>
      <c r="K51" s="708"/>
      <c r="L51" s="999" t="s">
        <v>1512</v>
      </c>
      <c r="M51" s="708" t="s">
        <v>575</v>
      </c>
      <c r="N51" s="695" t="s">
        <v>1513</v>
      </c>
      <c r="O51" s="520">
        <v>0</v>
      </c>
      <c r="P51" s="513">
        <v>3.05</v>
      </c>
      <c r="Q51" s="507">
        <v>4.63</v>
      </c>
      <c r="R51" s="507">
        <v>6.11</v>
      </c>
      <c r="S51" s="507">
        <v>7.81</v>
      </c>
      <c r="T51" s="507">
        <v>9.6199999999999992</v>
      </c>
      <c r="U51" s="507">
        <v>10.96</v>
      </c>
      <c r="V51" s="507">
        <v>12.68</v>
      </c>
      <c r="W51" s="507"/>
      <c r="X51" s="507"/>
      <c r="Y51" s="507"/>
      <c r="Z51" s="507"/>
      <c r="AA51" s="507"/>
      <c r="AB51" s="507"/>
      <c r="AC51" s="508"/>
      <c r="AD51" s="513">
        <f t="shared" si="20"/>
        <v>0.43836998490028567</v>
      </c>
      <c r="AE51" s="507">
        <f t="shared" si="21"/>
        <v>1.0101901133360855</v>
      </c>
      <c r="AF51" s="507">
        <f t="shared" si="26"/>
        <v>1.759233766546193</v>
      </c>
      <c r="AG51" s="507">
        <f t="shared" si="27"/>
        <v>2.8743734948644257</v>
      </c>
      <c r="AH51" s="507">
        <f t="shared" si="28"/>
        <v>4.3610521075631281</v>
      </c>
      <c r="AI51" s="507">
        <f t="shared" si="29"/>
        <v>5.6605970414617763</v>
      </c>
      <c r="AJ51" s="507">
        <f t="shared" si="30"/>
        <v>7.5766920999980343</v>
      </c>
      <c r="AK51" s="507"/>
      <c r="AL51" s="507"/>
      <c r="AM51" s="507"/>
      <c r="AN51" s="507"/>
      <c r="AO51" s="507"/>
      <c r="AP51" s="507"/>
      <c r="AQ51" s="516"/>
    </row>
    <row r="52" spans="1:43" ht="13.5" customHeight="1">
      <c r="A52" s="34" t="e">
        <f t="shared" si="1"/>
        <v>#VALUE!</v>
      </c>
      <c r="B52" s="1095" t="e">
        <f t="shared" si="2"/>
        <v>#VALUE!</v>
      </c>
      <c r="C52" s="34" t="e">
        <f t="shared" si="3"/>
        <v>#VALUE!</v>
      </c>
      <c r="D52" s="1094" t="e">
        <f t="shared" si="4"/>
        <v>#VALUE!</v>
      </c>
      <c r="E52" s="34" t="e">
        <f t="shared" si="5"/>
        <v>#VALUE!</v>
      </c>
      <c r="F52" s="1094" t="e">
        <f t="shared" si="6"/>
        <v>#VALUE!</v>
      </c>
      <c r="G52" s="34" t="e">
        <f t="shared" si="7"/>
        <v>#VALUE!</v>
      </c>
      <c r="H52" s="1094" t="e">
        <f t="shared" si="8"/>
        <v>#VALUE!</v>
      </c>
      <c r="I52" s="533"/>
      <c r="J52" s="707">
        <v>1028</v>
      </c>
      <c r="K52" s="708"/>
      <c r="L52" s="999" t="s">
        <v>1512</v>
      </c>
      <c r="M52" s="708" t="s">
        <v>575</v>
      </c>
      <c r="N52" s="695" t="s">
        <v>1515</v>
      </c>
      <c r="O52" s="520">
        <v>0</v>
      </c>
      <c r="P52" s="513">
        <v>2.9</v>
      </c>
      <c r="Q52" s="507">
        <v>4.4800000000000004</v>
      </c>
      <c r="R52" s="507">
        <v>5.9</v>
      </c>
      <c r="S52" s="507">
        <v>7.66</v>
      </c>
      <c r="T52" s="507">
        <v>9.24</v>
      </c>
      <c r="U52" s="507">
        <v>10.89</v>
      </c>
      <c r="V52" s="507">
        <v>12.46</v>
      </c>
      <c r="W52" s="507"/>
      <c r="X52" s="507"/>
      <c r="Y52" s="507"/>
      <c r="Z52" s="507"/>
      <c r="AA52" s="507"/>
      <c r="AB52" s="507"/>
      <c r="AC52" s="508"/>
      <c r="AD52" s="513">
        <f t="shared" si="20"/>
        <v>0.39631191325035242</v>
      </c>
      <c r="AE52" s="507">
        <f t="shared" si="21"/>
        <v>0.94579531791912885</v>
      </c>
      <c r="AF52" s="507">
        <f t="shared" si="26"/>
        <v>1.6403826040719107</v>
      </c>
      <c r="AG52" s="507">
        <f t="shared" si="27"/>
        <v>2.765022508574599</v>
      </c>
      <c r="AH52" s="507">
        <f t="shared" si="28"/>
        <v>4.0233246141169188</v>
      </c>
      <c r="AI52" s="507">
        <f t="shared" si="29"/>
        <v>5.5885210520067918</v>
      </c>
      <c r="AJ52" s="507">
        <f t="shared" si="30"/>
        <v>7.3160592902709176</v>
      </c>
      <c r="AK52" s="507"/>
      <c r="AL52" s="507"/>
      <c r="AM52" s="507"/>
      <c r="AN52" s="507"/>
      <c r="AO52" s="507"/>
      <c r="AP52" s="507"/>
      <c r="AQ52" s="516"/>
    </row>
    <row r="53" spans="1:43" ht="13.5" customHeight="1">
      <c r="A53" s="34" t="e">
        <f t="shared" si="1"/>
        <v>#VALUE!</v>
      </c>
      <c r="B53" s="1095" t="e">
        <f t="shared" si="2"/>
        <v>#VALUE!</v>
      </c>
      <c r="C53" s="34" t="e">
        <f t="shared" si="3"/>
        <v>#VALUE!</v>
      </c>
      <c r="D53" s="1094" t="e">
        <f t="shared" si="4"/>
        <v>#VALUE!</v>
      </c>
      <c r="E53" s="34" t="e">
        <f t="shared" si="5"/>
        <v>#VALUE!</v>
      </c>
      <c r="F53" s="1094" t="e">
        <f t="shared" si="6"/>
        <v>#VALUE!</v>
      </c>
      <c r="G53" s="34" t="e">
        <f t="shared" si="7"/>
        <v>#VALUE!</v>
      </c>
      <c r="H53" s="1094" t="e">
        <f t="shared" si="8"/>
        <v>#VALUE!</v>
      </c>
      <c r="I53" s="533"/>
      <c r="J53" s="707">
        <v>1029</v>
      </c>
      <c r="K53" s="708"/>
      <c r="L53" s="999" t="s">
        <v>1512</v>
      </c>
      <c r="M53" s="708" t="s">
        <v>575</v>
      </c>
      <c r="N53" s="695" t="s">
        <v>1515</v>
      </c>
      <c r="O53" s="520">
        <v>0</v>
      </c>
      <c r="P53" s="513">
        <v>2.91</v>
      </c>
      <c r="Q53" s="507">
        <v>4.4400000000000004</v>
      </c>
      <c r="R53" s="507">
        <v>5.93</v>
      </c>
      <c r="S53" s="507">
        <v>7.71</v>
      </c>
      <c r="T53" s="507">
        <v>9.27</v>
      </c>
      <c r="U53" s="507">
        <v>10.82</v>
      </c>
      <c r="V53" s="507">
        <v>12.64</v>
      </c>
      <c r="W53" s="507"/>
      <c r="X53" s="507"/>
      <c r="Y53" s="507"/>
      <c r="Z53" s="507"/>
      <c r="AA53" s="507"/>
      <c r="AB53" s="507"/>
      <c r="AC53" s="508"/>
      <c r="AD53" s="513">
        <f t="shared" si="20"/>
        <v>0.39904981124795597</v>
      </c>
      <c r="AE53" s="507">
        <f t="shared" si="21"/>
        <v>0.92898151403711626</v>
      </c>
      <c r="AF53" s="507">
        <f t="shared" si="26"/>
        <v>1.6571068725632956</v>
      </c>
      <c r="AG53" s="507">
        <f t="shared" si="27"/>
        <v>2.8012372178888554</v>
      </c>
      <c r="AH53" s="507">
        <f t="shared" si="28"/>
        <v>4.0494925101249946</v>
      </c>
      <c r="AI53" s="507">
        <f t="shared" si="29"/>
        <v>5.5169068766718858</v>
      </c>
      <c r="AJ53" s="507">
        <f t="shared" si="30"/>
        <v>7.5289650244046982</v>
      </c>
      <c r="AK53" s="507">
        <f>W53^2*PI()/4*60/1000</f>
        <v>0</v>
      </c>
      <c r="AL53" s="507">
        <f>X53^2*PI()/4*60/1000</f>
        <v>0</v>
      </c>
      <c r="AM53" s="507">
        <f>Y53^2*PI()/4*60/1000</f>
        <v>0</v>
      </c>
      <c r="AN53" s="507">
        <f>Z53^2*PI()/4*60/1000</f>
        <v>0</v>
      </c>
      <c r="AO53" s="507">
        <f>AA53^2*PI()/4*60/1000</f>
        <v>0</v>
      </c>
      <c r="AP53" s="507"/>
      <c r="AQ53" s="516"/>
    </row>
    <row r="54" spans="1:43" ht="13.5" customHeight="1">
      <c r="A54" s="34" t="e">
        <f t="shared" si="1"/>
        <v>#VALUE!</v>
      </c>
      <c r="B54" s="1095" t="e">
        <f t="shared" si="2"/>
        <v>#VALUE!</v>
      </c>
      <c r="C54" s="34" t="e">
        <f t="shared" si="3"/>
        <v>#VALUE!</v>
      </c>
      <c r="D54" s="1094" t="e">
        <f t="shared" si="4"/>
        <v>#VALUE!</v>
      </c>
      <c r="E54" s="34" t="e">
        <f t="shared" si="5"/>
        <v>#VALUE!</v>
      </c>
      <c r="F54" s="1094" t="e">
        <f t="shared" si="6"/>
        <v>#VALUE!</v>
      </c>
      <c r="G54" s="34" t="e">
        <f t="shared" si="7"/>
        <v>#VALUE!</v>
      </c>
      <c r="H54" s="1094" t="e">
        <f t="shared" si="8"/>
        <v>#VALUE!</v>
      </c>
      <c r="I54" s="533"/>
      <c r="J54" s="825">
        <v>1030</v>
      </c>
      <c r="K54" s="826"/>
      <c r="L54" s="1064" t="s">
        <v>1363</v>
      </c>
      <c r="M54" s="826" t="s">
        <v>575</v>
      </c>
      <c r="N54" s="827" t="s">
        <v>1514</v>
      </c>
      <c r="O54" s="520">
        <v>0</v>
      </c>
      <c r="P54" s="828">
        <v>3.52</v>
      </c>
      <c r="Q54" s="829">
        <v>4.96</v>
      </c>
      <c r="R54" s="829">
        <v>6.35</v>
      </c>
      <c r="S54" s="829">
        <v>7.99</v>
      </c>
      <c r="T54" s="829">
        <v>11.01</v>
      </c>
      <c r="U54" s="829">
        <v>12.87</v>
      </c>
      <c r="V54" s="829"/>
      <c r="W54" s="829"/>
      <c r="X54" s="829"/>
      <c r="Y54" s="829"/>
      <c r="Z54" s="829"/>
      <c r="AA54" s="829"/>
      <c r="AB54" s="829"/>
      <c r="AC54" s="830"/>
      <c r="AD54" s="513">
        <f t="shared" si="20"/>
        <v>0.5838838442255847</v>
      </c>
      <c r="AE54" s="507">
        <f t="shared" si="21"/>
        <v>1.1593230873983198</v>
      </c>
      <c r="AF54" s="507">
        <f t="shared" si="26"/>
        <v>1.9001530466156165</v>
      </c>
      <c r="AG54" s="507">
        <f t="shared" si="27"/>
        <v>3.0083938374665662</v>
      </c>
      <c r="AH54" s="507">
        <f t="shared" si="28"/>
        <v>5.712362634411301</v>
      </c>
      <c r="AI54" s="507">
        <f t="shared" si="29"/>
        <v>7.8054550230508069</v>
      </c>
      <c r="AJ54" s="507">
        <f t="shared" si="30"/>
        <v>0</v>
      </c>
      <c r="AK54" s="507"/>
      <c r="AL54" s="829"/>
      <c r="AM54" s="829"/>
      <c r="AN54" s="829"/>
      <c r="AO54" s="829"/>
      <c r="AP54" s="829"/>
      <c r="AQ54" s="831"/>
    </row>
    <row r="55" spans="1:43" ht="13.5" customHeight="1">
      <c r="A55" s="34" t="e">
        <f t="shared" si="1"/>
        <v>#VALUE!</v>
      </c>
      <c r="B55" s="1095" t="e">
        <f t="shared" si="2"/>
        <v>#VALUE!</v>
      </c>
      <c r="C55" s="34" t="e">
        <f t="shared" si="3"/>
        <v>#VALUE!</v>
      </c>
      <c r="D55" s="1094" t="e">
        <f t="shared" si="4"/>
        <v>#VALUE!</v>
      </c>
      <c r="E55" s="34" t="e">
        <f t="shared" si="5"/>
        <v>#VALUE!</v>
      </c>
      <c r="F55" s="1094" t="e">
        <f t="shared" si="6"/>
        <v>#VALUE!</v>
      </c>
      <c r="G55" s="34" t="e">
        <f t="shared" si="7"/>
        <v>#VALUE!</v>
      </c>
      <c r="H55" s="1094" t="e">
        <f t="shared" si="8"/>
        <v>#VALUE!</v>
      </c>
      <c r="I55" s="533"/>
      <c r="J55" s="825">
        <v>1031</v>
      </c>
      <c r="K55" s="826"/>
      <c r="L55" s="1064" t="s">
        <v>1363</v>
      </c>
      <c r="M55" s="826" t="s">
        <v>575</v>
      </c>
      <c r="N55" s="695" t="s">
        <v>1514</v>
      </c>
      <c r="O55" s="520">
        <v>0</v>
      </c>
      <c r="P55" s="828">
        <v>3.5</v>
      </c>
      <c r="Q55" s="829">
        <v>4.8600000000000003</v>
      </c>
      <c r="R55" s="829">
        <v>6.48</v>
      </c>
      <c r="S55" s="829">
        <v>8.01</v>
      </c>
      <c r="T55" s="829">
        <v>9.43</v>
      </c>
      <c r="U55" s="829">
        <v>12.86</v>
      </c>
      <c r="V55" s="829">
        <v>12.91</v>
      </c>
      <c r="W55" s="829"/>
      <c r="X55" s="829"/>
      <c r="Y55" s="829"/>
      <c r="Z55" s="829"/>
      <c r="AA55" s="829"/>
      <c r="AB55" s="829"/>
      <c r="AC55" s="830"/>
      <c r="AD55" s="513">
        <f t="shared" si="20"/>
        <v>0.57726765009712444</v>
      </c>
      <c r="AE55" s="507">
        <f t="shared" si="21"/>
        <v>1.1130474276109421</v>
      </c>
      <c r="AF55" s="507">
        <f t="shared" si="26"/>
        <v>1.9787509824194531</v>
      </c>
      <c r="AG55" s="507">
        <f t="shared" si="27"/>
        <v>3.0234734822037974</v>
      </c>
      <c r="AH55" s="507">
        <f t="shared" si="28"/>
        <v>4.1904871884181043</v>
      </c>
      <c r="AI55" s="507">
        <f t="shared" si="29"/>
        <v>7.7933300462042778</v>
      </c>
      <c r="AJ55" s="507">
        <f t="shared" si="30"/>
        <v>7.8540491782165356</v>
      </c>
      <c r="AK55" s="507"/>
      <c r="AL55" s="829"/>
      <c r="AM55" s="829"/>
      <c r="AN55" s="829"/>
      <c r="AO55" s="829"/>
      <c r="AP55" s="829"/>
      <c r="AQ55" s="831"/>
    </row>
    <row r="56" spans="1:43" ht="13.5" customHeight="1">
      <c r="A56" s="34" t="e">
        <f t="shared" si="1"/>
        <v>#VALUE!</v>
      </c>
      <c r="B56" s="1095" t="e">
        <f t="shared" si="2"/>
        <v>#VALUE!</v>
      </c>
      <c r="C56" s="34" t="e">
        <f t="shared" si="3"/>
        <v>#VALUE!</v>
      </c>
      <c r="D56" s="1094" t="e">
        <f t="shared" si="4"/>
        <v>#VALUE!</v>
      </c>
      <c r="E56" s="34" t="e">
        <f t="shared" si="5"/>
        <v>#VALUE!</v>
      </c>
      <c r="F56" s="1094" t="e">
        <f t="shared" si="6"/>
        <v>#VALUE!</v>
      </c>
      <c r="G56" s="34" t="e">
        <f t="shared" si="7"/>
        <v>#VALUE!</v>
      </c>
      <c r="H56" s="1094" t="e">
        <f t="shared" si="8"/>
        <v>#VALUE!</v>
      </c>
      <c r="I56" s="533"/>
      <c r="J56" s="825">
        <v>1032</v>
      </c>
      <c r="K56" s="826"/>
      <c r="L56" s="1064" t="s">
        <v>1512</v>
      </c>
      <c r="M56" s="826" t="s">
        <v>575</v>
      </c>
      <c r="N56" s="695" t="s">
        <v>1513</v>
      </c>
      <c r="O56" s="520">
        <v>0</v>
      </c>
      <c r="P56" s="828">
        <v>3.13</v>
      </c>
      <c r="Q56" s="829"/>
      <c r="R56" s="829">
        <v>6.48</v>
      </c>
      <c r="S56" s="829"/>
      <c r="T56" s="829">
        <v>9.67</v>
      </c>
      <c r="U56" s="829">
        <v>11.07</v>
      </c>
      <c r="V56" s="829">
        <v>12.81</v>
      </c>
      <c r="W56" s="829"/>
      <c r="X56" s="829"/>
      <c r="Y56" s="829"/>
      <c r="Z56" s="829"/>
      <c r="AA56" s="829"/>
      <c r="AB56" s="829"/>
      <c r="AC56" s="830"/>
      <c r="AD56" s="513">
        <f t="shared" si="20"/>
        <v>0.46166803601930761</v>
      </c>
      <c r="AE56" s="507">
        <f t="shared" si="21"/>
        <v>0</v>
      </c>
      <c r="AF56" s="507">
        <f t="shared" si="26"/>
        <v>1.9787509824194531</v>
      </c>
      <c r="AG56" s="507">
        <f t="shared" si="27"/>
        <v>0</v>
      </c>
      <c r="AH56" s="507">
        <f t="shared" si="28"/>
        <v>4.4065030992789387</v>
      </c>
      <c r="AI56" s="507">
        <f t="shared" si="29"/>
        <v>5.7747923636234386</v>
      </c>
      <c r="AJ56" s="507">
        <f t="shared" si="30"/>
        <v>7.732846533641041</v>
      </c>
      <c r="AK56" s="507"/>
      <c r="AL56" s="829"/>
      <c r="AM56" s="829"/>
      <c r="AN56" s="829"/>
      <c r="AO56" s="829"/>
      <c r="AP56" s="829"/>
      <c r="AQ56" s="831"/>
    </row>
    <row r="57" spans="1:43" ht="13.5" customHeight="1">
      <c r="A57" s="34" t="e">
        <f t="shared" si="1"/>
        <v>#VALUE!</v>
      </c>
      <c r="B57" s="1095" t="e">
        <f t="shared" si="2"/>
        <v>#VALUE!</v>
      </c>
      <c r="C57" s="34" t="e">
        <f t="shared" si="3"/>
        <v>#VALUE!</v>
      </c>
      <c r="D57" s="1094" t="e">
        <f t="shared" si="4"/>
        <v>#VALUE!</v>
      </c>
      <c r="E57" s="34" t="e">
        <f t="shared" si="5"/>
        <v>#VALUE!</v>
      </c>
      <c r="F57" s="1094" t="e">
        <f t="shared" si="6"/>
        <v>#VALUE!</v>
      </c>
      <c r="G57" s="34" t="e">
        <f t="shared" si="7"/>
        <v>#VALUE!</v>
      </c>
      <c r="H57" s="1094" t="e">
        <f t="shared" si="8"/>
        <v>#VALUE!</v>
      </c>
      <c r="I57" s="533"/>
      <c r="J57" s="825">
        <v>1033</v>
      </c>
      <c r="K57" s="826"/>
      <c r="L57" s="1064" t="s">
        <v>1512</v>
      </c>
      <c r="M57" s="826" t="s">
        <v>575</v>
      </c>
      <c r="N57" s="695" t="s">
        <v>1513</v>
      </c>
      <c r="O57" s="520">
        <v>0</v>
      </c>
      <c r="P57" s="828">
        <v>3.26</v>
      </c>
      <c r="Q57" s="829">
        <v>4.6900000000000004</v>
      </c>
      <c r="R57" s="829">
        <v>6.09</v>
      </c>
      <c r="S57" s="829"/>
      <c r="T57" s="829">
        <v>9.41</v>
      </c>
      <c r="U57" s="829">
        <v>10.86</v>
      </c>
      <c r="V57" s="829">
        <v>12.62</v>
      </c>
      <c r="W57" s="829"/>
      <c r="X57" s="829"/>
      <c r="Y57" s="829"/>
      <c r="Z57" s="829"/>
      <c r="AA57" s="829"/>
      <c r="AB57" s="829"/>
      <c r="AC57" s="830"/>
      <c r="AD57" s="513">
        <f t="shared" si="20"/>
        <v>0.50081385127936329</v>
      </c>
      <c r="AE57" s="507">
        <f t="shared" si="21"/>
        <v>1.0365417925143967</v>
      </c>
      <c r="AF57" s="507">
        <f t="shared" si="26"/>
        <v>1.747735537434054</v>
      </c>
      <c r="AG57" s="507">
        <f t="shared" si="27"/>
        <v>0</v>
      </c>
      <c r="AH57" s="507">
        <f t="shared" si="28"/>
        <v>4.172730906740016</v>
      </c>
      <c r="AI57" s="507">
        <f t="shared" si="29"/>
        <v>5.557772713909781</v>
      </c>
      <c r="AJ57" s="507">
        <f t="shared" si="30"/>
        <v>7.5051580352757918</v>
      </c>
      <c r="AK57" s="507"/>
      <c r="AL57" s="829"/>
      <c r="AM57" s="829"/>
      <c r="AN57" s="829"/>
      <c r="AO57" s="829"/>
      <c r="AP57" s="829"/>
      <c r="AQ57" s="831"/>
    </row>
    <row r="58" spans="1:43" ht="13.5" customHeight="1">
      <c r="A58" s="34" t="e">
        <f t="shared" si="1"/>
        <v>#VALUE!</v>
      </c>
      <c r="B58" s="1095" t="e">
        <f t="shared" si="2"/>
        <v>#VALUE!</v>
      </c>
      <c r="C58" s="34" t="e">
        <f t="shared" si="3"/>
        <v>#VALUE!</v>
      </c>
      <c r="D58" s="1094" t="e">
        <f t="shared" si="4"/>
        <v>#VALUE!</v>
      </c>
      <c r="E58" s="34" t="e">
        <f t="shared" si="5"/>
        <v>#VALUE!</v>
      </c>
      <c r="F58" s="1094" t="e">
        <f t="shared" si="6"/>
        <v>#VALUE!</v>
      </c>
      <c r="G58" s="34" t="e">
        <f t="shared" si="7"/>
        <v>#VALUE!</v>
      </c>
      <c r="H58" s="1094" t="e">
        <f t="shared" si="8"/>
        <v>#VALUE!</v>
      </c>
      <c r="I58" s="533"/>
      <c r="J58" s="825">
        <v>1053</v>
      </c>
      <c r="K58" s="826"/>
      <c r="L58" s="1064" t="s">
        <v>1512</v>
      </c>
      <c r="M58" s="826" t="s">
        <v>575</v>
      </c>
      <c r="N58" s="695" t="s">
        <v>1515</v>
      </c>
      <c r="O58" s="520">
        <v>0</v>
      </c>
      <c r="P58" s="828">
        <v>2.84</v>
      </c>
      <c r="Q58" s="829">
        <v>4.46</v>
      </c>
      <c r="R58" s="829">
        <v>5.98</v>
      </c>
      <c r="S58" s="829">
        <v>7.47</v>
      </c>
      <c r="T58" s="829">
        <v>9.2100000000000009</v>
      </c>
      <c r="U58" s="829">
        <v>10.86</v>
      </c>
      <c r="V58" s="829">
        <v>12.36</v>
      </c>
      <c r="W58" s="829"/>
      <c r="X58" s="829"/>
      <c r="Y58" s="829"/>
      <c r="Z58" s="829"/>
      <c r="AA58" s="829"/>
      <c r="AB58" s="829"/>
      <c r="AC58" s="830"/>
      <c r="AD58" s="513">
        <f t="shared" si="20"/>
        <v>0.38008244560190751</v>
      </c>
      <c r="AE58" s="507">
        <f t="shared" si="21"/>
        <v>0.93736956642220093</v>
      </c>
      <c r="AF58" s="507">
        <f t="shared" si="26"/>
        <v>1.6851691489414868</v>
      </c>
      <c r="AG58" s="507">
        <f t="shared" si="27"/>
        <v>2.6295554625554804</v>
      </c>
      <c r="AH58" s="507">
        <f t="shared" si="28"/>
        <v>3.99724154111049</v>
      </c>
      <c r="AI58" s="829">
        <f t="shared" si="29"/>
        <v>5.557772713909781</v>
      </c>
      <c r="AJ58" s="829">
        <f t="shared" si="30"/>
        <v>7.1990977957777682</v>
      </c>
      <c r="AK58" s="507"/>
      <c r="AL58" s="829"/>
      <c r="AM58" s="829"/>
      <c r="AN58" s="829"/>
      <c r="AO58" s="829"/>
      <c r="AP58" s="829"/>
      <c r="AQ58" s="831"/>
    </row>
    <row r="59" spans="1:43" ht="13.5" customHeight="1">
      <c r="A59" s="34" t="e">
        <f t="shared" si="1"/>
        <v>#VALUE!</v>
      </c>
      <c r="B59" s="1095" t="e">
        <f t="shared" si="2"/>
        <v>#VALUE!</v>
      </c>
      <c r="C59" s="34" t="e">
        <f t="shared" si="3"/>
        <v>#VALUE!</v>
      </c>
      <c r="D59" s="1094" t="e">
        <f t="shared" si="4"/>
        <v>#VALUE!</v>
      </c>
      <c r="E59" s="34" t="e">
        <f t="shared" si="5"/>
        <v>#VALUE!</v>
      </c>
      <c r="F59" s="1094" t="e">
        <f t="shared" si="6"/>
        <v>#VALUE!</v>
      </c>
      <c r="G59" s="34" t="e">
        <f t="shared" si="7"/>
        <v>#VALUE!</v>
      </c>
      <c r="H59" s="1094" t="e">
        <f t="shared" si="8"/>
        <v>#VALUE!</v>
      </c>
      <c r="I59" s="533"/>
      <c r="J59" s="825">
        <v>1054</v>
      </c>
      <c r="K59" s="826"/>
      <c r="L59" s="1064" t="s">
        <v>1512</v>
      </c>
      <c r="M59" s="826" t="s">
        <v>575</v>
      </c>
      <c r="N59" s="695" t="s">
        <v>1515</v>
      </c>
      <c r="O59" s="520">
        <v>0</v>
      </c>
      <c r="P59" s="828">
        <v>2.87</v>
      </c>
      <c r="Q59" s="829">
        <v>4.45</v>
      </c>
      <c r="R59" s="829">
        <v>5.85</v>
      </c>
      <c r="S59" s="829">
        <v>7.49</v>
      </c>
      <c r="T59" s="829">
        <v>9.4</v>
      </c>
      <c r="U59" s="829">
        <v>10.89</v>
      </c>
      <c r="V59" s="829">
        <v>12.5</v>
      </c>
      <c r="W59" s="829"/>
      <c r="X59" s="829"/>
      <c r="Y59" s="829"/>
      <c r="Z59" s="829"/>
      <c r="AA59" s="829"/>
      <c r="AB59" s="829"/>
      <c r="AC59" s="830"/>
      <c r="AD59" s="513">
        <f t="shared" si="20"/>
        <v>0.38815476792530651</v>
      </c>
      <c r="AE59" s="507">
        <f t="shared" si="21"/>
        <v>0.93317082784067829</v>
      </c>
      <c r="AF59" s="507">
        <f t="shared" si="26"/>
        <v>1.6126973188121501</v>
      </c>
      <c r="AG59" s="507">
        <f t="shared" si="27"/>
        <v>2.643654930384792</v>
      </c>
      <c r="AH59" s="984">
        <f t="shared" si="28"/>
        <v>4.1638669030679116</v>
      </c>
      <c r="AI59" s="988">
        <f t="shared" si="29"/>
        <v>5.5885210520067918</v>
      </c>
      <c r="AJ59" s="988">
        <f t="shared" si="30"/>
        <v>7.3631077818510775</v>
      </c>
      <c r="AK59" s="985"/>
      <c r="AL59" s="829"/>
      <c r="AM59" s="829"/>
      <c r="AN59" s="829"/>
      <c r="AO59" s="829"/>
      <c r="AP59" s="829"/>
      <c r="AQ59" s="831"/>
    </row>
    <row r="60" spans="1:43" ht="13.5" customHeight="1">
      <c r="A60" s="34" t="e">
        <f t="shared" si="1"/>
        <v>#VALUE!</v>
      </c>
      <c r="B60" s="1095" t="e">
        <f t="shared" si="2"/>
        <v>#VALUE!</v>
      </c>
      <c r="C60" s="34" t="e">
        <f t="shared" si="3"/>
        <v>#VALUE!</v>
      </c>
      <c r="D60" s="1094" t="e">
        <f t="shared" si="4"/>
        <v>#VALUE!</v>
      </c>
      <c r="E60" s="34" t="e">
        <f t="shared" si="5"/>
        <v>#VALUE!</v>
      </c>
      <c r="F60" s="1094" t="e">
        <f t="shared" si="6"/>
        <v>#VALUE!</v>
      </c>
      <c r="G60" s="34" t="e">
        <f t="shared" si="7"/>
        <v>#VALUE!</v>
      </c>
      <c r="H60" s="1094" t="e">
        <f t="shared" si="8"/>
        <v>#VALUE!</v>
      </c>
      <c r="I60" s="533"/>
      <c r="J60" s="825">
        <v>1055</v>
      </c>
      <c r="K60" s="826"/>
      <c r="L60" s="826" t="s">
        <v>580</v>
      </c>
      <c r="M60" s="826" t="s">
        <v>575</v>
      </c>
      <c r="N60" s="695" t="s">
        <v>523</v>
      </c>
      <c r="O60" s="520">
        <v>0</v>
      </c>
      <c r="P60" s="828">
        <v>3.8</v>
      </c>
      <c r="Q60" s="829">
        <v>5.68</v>
      </c>
      <c r="R60" s="829">
        <v>6.39</v>
      </c>
      <c r="S60" s="829">
        <v>7.97</v>
      </c>
      <c r="T60" s="829">
        <v>10.34</v>
      </c>
      <c r="U60" s="829">
        <v>11.06</v>
      </c>
      <c r="V60" s="829">
        <v>12.65</v>
      </c>
      <c r="W60" s="829"/>
      <c r="X60" s="829"/>
      <c r="Y60" s="829"/>
      <c r="Z60" s="829"/>
      <c r="AA60" s="829"/>
      <c r="AB60" s="829"/>
      <c r="AC60" s="830"/>
      <c r="AD60" s="513">
        <f t="shared" si="20"/>
        <v>0.68046896876754925</v>
      </c>
      <c r="AE60" s="507">
        <f t="shared" si="21"/>
        <v>1.5203297824076301</v>
      </c>
      <c r="AF60" s="507">
        <f t="shared" ref="AF60:AF68" si="32">R60^2*PI()/4*60/1000</f>
        <v>1.9241673808596567</v>
      </c>
      <c r="AG60" s="507">
        <f t="shared" ref="AG60:AG68" si="33">S60^2*PI()/4*60/1000</f>
        <v>2.9933518918411783</v>
      </c>
      <c r="AH60" s="984">
        <f t="shared" ref="AH60:AH68" si="34">T60^2*PI()/4*60/1000</f>
        <v>5.0382789527121732</v>
      </c>
      <c r="AI60" s="988"/>
      <c r="AJ60" s="988"/>
      <c r="AK60" s="985"/>
      <c r="AL60" s="829"/>
      <c r="AM60" s="829"/>
      <c r="AN60" s="829"/>
      <c r="AO60" s="829"/>
      <c r="AP60" s="829"/>
      <c r="AQ60" s="831"/>
    </row>
    <row r="61" spans="1:43" ht="13.5" customHeight="1">
      <c r="A61" s="34" t="e">
        <f t="shared" si="1"/>
        <v>#VALUE!</v>
      </c>
      <c r="B61" s="1095" t="e">
        <f t="shared" si="2"/>
        <v>#VALUE!</v>
      </c>
      <c r="C61" s="34" t="e">
        <f t="shared" si="3"/>
        <v>#VALUE!</v>
      </c>
      <c r="D61" s="1094" t="e">
        <f t="shared" si="4"/>
        <v>#VALUE!</v>
      </c>
      <c r="E61" s="34" t="e">
        <f t="shared" si="5"/>
        <v>#VALUE!</v>
      </c>
      <c r="F61" s="1094" t="e">
        <f t="shared" si="6"/>
        <v>#VALUE!</v>
      </c>
      <c r="G61" s="34" t="e">
        <f t="shared" si="7"/>
        <v>#VALUE!</v>
      </c>
      <c r="H61" s="1094" t="e">
        <f t="shared" si="8"/>
        <v>#VALUE!</v>
      </c>
      <c r="I61" s="533"/>
      <c r="J61" s="825">
        <v>1056</v>
      </c>
      <c r="K61" s="826"/>
      <c r="L61" s="826" t="s">
        <v>580</v>
      </c>
      <c r="M61" s="826" t="s">
        <v>575</v>
      </c>
      <c r="N61" s="827" t="s">
        <v>523</v>
      </c>
      <c r="O61" s="520">
        <v>0</v>
      </c>
      <c r="P61" s="828">
        <v>2.96</v>
      </c>
      <c r="Q61" s="829">
        <v>5.63</v>
      </c>
      <c r="R61" s="829">
        <v>6.32</v>
      </c>
      <c r="S61" s="829">
        <v>8.01</v>
      </c>
      <c r="T61" s="829">
        <v>9.44</v>
      </c>
      <c r="U61" s="829">
        <v>11.09</v>
      </c>
      <c r="V61" s="829">
        <v>12.96</v>
      </c>
      <c r="W61" s="829"/>
      <c r="X61" s="829"/>
      <c r="Y61" s="829"/>
      <c r="Z61" s="829"/>
      <c r="AA61" s="829"/>
      <c r="AB61" s="829"/>
      <c r="AC61" s="830"/>
      <c r="AD61" s="513">
        <f t="shared" si="20"/>
        <v>0.41288067290538494</v>
      </c>
      <c r="AE61" s="507">
        <f t="shared" si="21"/>
        <v>1.4936812227235545</v>
      </c>
      <c r="AF61" s="829">
        <f t="shared" si="32"/>
        <v>1.8822412561011745</v>
      </c>
      <c r="AG61" s="829">
        <f t="shared" si="33"/>
        <v>3.0234734822037974</v>
      </c>
      <c r="AH61" s="829">
        <f t="shared" si="34"/>
        <v>4.19937946642409</v>
      </c>
      <c r="AI61" s="987">
        <f t="shared" ref="AI61:AJ65" si="35">U61^2*PI()/4*60/1000</f>
        <v>5.7956776715845022</v>
      </c>
      <c r="AJ61" s="987">
        <f t="shared" si="35"/>
        <v>7.9150039296778125</v>
      </c>
      <c r="AK61" s="829"/>
      <c r="AL61" s="829"/>
      <c r="AM61" s="829"/>
      <c r="AN61" s="829"/>
      <c r="AO61" s="829"/>
      <c r="AP61" s="829"/>
      <c r="AQ61" s="831"/>
    </row>
    <row r="62" spans="1:43" ht="13.5" customHeight="1">
      <c r="A62" s="34" t="e">
        <f t="shared" si="1"/>
        <v>#VALUE!</v>
      </c>
      <c r="B62" s="1095" t="e">
        <f t="shared" si="2"/>
        <v>#VALUE!</v>
      </c>
      <c r="C62" s="34" t="e">
        <f t="shared" si="3"/>
        <v>#VALUE!</v>
      </c>
      <c r="D62" s="1094" t="e">
        <f t="shared" si="4"/>
        <v>#VALUE!</v>
      </c>
      <c r="E62" s="34" t="e">
        <f t="shared" si="5"/>
        <v>#VALUE!</v>
      </c>
      <c r="F62" s="1094" t="e">
        <f t="shared" si="6"/>
        <v>#VALUE!</v>
      </c>
      <c r="G62" s="34" t="e">
        <f t="shared" si="7"/>
        <v>#VALUE!</v>
      </c>
      <c r="H62" s="1094" t="e">
        <f t="shared" si="8"/>
        <v>#VALUE!</v>
      </c>
      <c r="I62" s="533"/>
      <c r="J62" s="825">
        <v>1078</v>
      </c>
      <c r="K62" s="826"/>
      <c r="L62" s="826" t="s">
        <v>580</v>
      </c>
      <c r="M62" s="826" t="s">
        <v>575</v>
      </c>
      <c r="N62" s="827" t="s">
        <v>523</v>
      </c>
      <c r="O62" s="520">
        <v>0</v>
      </c>
      <c r="P62" s="828">
        <v>2.98</v>
      </c>
      <c r="Q62" s="829">
        <v>4.75</v>
      </c>
      <c r="R62" s="829">
        <v>6.27</v>
      </c>
      <c r="S62" s="829">
        <v>7.97</v>
      </c>
      <c r="T62" s="829">
        <v>9.5</v>
      </c>
      <c r="U62" s="829">
        <v>11.09</v>
      </c>
      <c r="V62" s="829">
        <v>12.64</v>
      </c>
      <c r="W62" s="829"/>
      <c r="X62" s="829"/>
      <c r="Y62" s="829"/>
      <c r="Z62" s="829"/>
      <c r="AA62" s="829"/>
      <c r="AB62" s="829"/>
      <c r="AC62" s="830"/>
      <c r="AD62" s="513">
        <f t="shared" si="20"/>
        <v>0.41847899101408198</v>
      </c>
      <c r="AE62" s="984">
        <f t="shared" si="21"/>
        <v>1.0632327636992955</v>
      </c>
      <c r="AF62" s="988">
        <f t="shared" si="32"/>
        <v>1.8525767674696525</v>
      </c>
      <c r="AG62" s="988">
        <f t="shared" si="33"/>
        <v>2.9933518918411783</v>
      </c>
      <c r="AH62" s="988">
        <f t="shared" si="34"/>
        <v>4.2529310547971821</v>
      </c>
      <c r="AI62" s="988">
        <f t="shared" si="35"/>
        <v>5.7956776715845022</v>
      </c>
      <c r="AJ62" s="988">
        <f t="shared" si="35"/>
        <v>7.5289650244046982</v>
      </c>
      <c r="AK62" s="988"/>
      <c r="AL62" s="988"/>
      <c r="AM62" s="988"/>
      <c r="AN62" s="985"/>
      <c r="AO62" s="829"/>
      <c r="AP62" s="829"/>
      <c r="AQ62" s="831"/>
    </row>
    <row r="63" spans="1:43" ht="13.5" customHeight="1">
      <c r="A63" s="34" t="e">
        <f t="shared" si="1"/>
        <v>#VALUE!</v>
      </c>
      <c r="B63" s="1095" t="e">
        <f t="shared" si="2"/>
        <v>#VALUE!</v>
      </c>
      <c r="C63" s="34" t="e">
        <f t="shared" si="3"/>
        <v>#VALUE!</v>
      </c>
      <c r="D63" s="1094" t="e">
        <f t="shared" si="4"/>
        <v>#VALUE!</v>
      </c>
      <c r="E63" s="34" t="e">
        <f t="shared" si="5"/>
        <v>#VALUE!</v>
      </c>
      <c r="F63" s="1094" t="e">
        <f t="shared" si="6"/>
        <v>#VALUE!</v>
      </c>
      <c r="G63" s="34" t="e">
        <f t="shared" si="7"/>
        <v>#VALUE!</v>
      </c>
      <c r="H63" s="1094" t="e">
        <f t="shared" si="8"/>
        <v>#VALUE!</v>
      </c>
      <c r="I63" s="533"/>
      <c r="J63" s="825">
        <v>1079</v>
      </c>
      <c r="K63" s="826"/>
      <c r="L63" s="826" t="s">
        <v>580</v>
      </c>
      <c r="M63" s="826" t="s">
        <v>575</v>
      </c>
      <c r="N63" s="827" t="s">
        <v>523</v>
      </c>
      <c r="O63" s="520">
        <v>0</v>
      </c>
      <c r="P63" s="828">
        <v>3.23</v>
      </c>
      <c r="Q63" s="829">
        <v>4.6900000000000004</v>
      </c>
      <c r="R63" s="829">
        <v>6.26</v>
      </c>
      <c r="S63" s="829">
        <v>6.53</v>
      </c>
      <c r="T63" s="829">
        <v>7.11</v>
      </c>
      <c r="U63" s="829">
        <v>9.59</v>
      </c>
      <c r="V63" s="829">
        <v>11.19</v>
      </c>
      <c r="W63" s="829"/>
      <c r="X63" s="829"/>
      <c r="Y63" s="829"/>
      <c r="Z63" s="829"/>
      <c r="AA63" s="829"/>
      <c r="AB63" s="829"/>
      <c r="AC63" s="830"/>
      <c r="AD63" s="513">
        <f t="shared" ref="AD63:AD94" si="36">P63^2*PI()/4*60/1000</f>
        <v>0.49163882993455432</v>
      </c>
      <c r="AE63" s="507">
        <f t="shared" si="21"/>
        <v>1.0365417925143967</v>
      </c>
      <c r="AF63" s="988">
        <f t="shared" si="32"/>
        <v>1.8466721440772305</v>
      </c>
      <c r="AG63" s="988">
        <f t="shared" si="33"/>
        <v>2.0094050727368553</v>
      </c>
      <c r="AH63" s="988">
        <f t="shared" si="34"/>
        <v>2.3822115897530489</v>
      </c>
      <c r="AI63" s="988">
        <f t="shared" si="35"/>
        <v>4.333894609869172</v>
      </c>
      <c r="AJ63" s="988">
        <f t="shared" si="35"/>
        <v>5.900669698067472</v>
      </c>
      <c r="AK63" s="988"/>
      <c r="AL63" s="987"/>
      <c r="AM63" s="987"/>
      <c r="AN63" s="829"/>
      <c r="AO63" s="829"/>
      <c r="AP63" s="829"/>
      <c r="AQ63" s="831"/>
    </row>
    <row r="64" spans="1:43" ht="13.5" customHeight="1">
      <c r="A64" s="34" t="e">
        <f t="shared" si="1"/>
        <v>#VALUE!</v>
      </c>
      <c r="B64" s="1095" t="e">
        <f t="shared" si="2"/>
        <v>#VALUE!</v>
      </c>
      <c r="C64" s="34" t="e">
        <f t="shared" si="3"/>
        <v>#VALUE!</v>
      </c>
      <c r="D64" s="1094" t="e">
        <f t="shared" si="4"/>
        <v>#VALUE!</v>
      </c>
      <c r="E64" s="34" t="e">
        <f t="shared" si="5"/>
        <v>#VALUE!</v>
      </c>
      <c r="F64" s="1094" t="e">
        <f t="shared" si="6"/>
        <v>#VALUE!</v>
      </c>
      <c r="G64" s="34" t="e">
        <f t="shared" si="7"/>
        <v>#VALUE!</v>
      </c>
      <c r="H64" s="1094" t="e">
        <f t="shared" si="8"/>
        <v>#VALUE!</v>
      </c>
      <c r="I64" s="533"/>
      <c r="J64" s="705">
        <v>1106</v>
      </c>
      <c r="K64" s="826"/>
      <c r="L64" s="1064" t="s">
        <v>1512</v>
      </c>
      <c r="M64" s="826" t="s">
        <v>575</v>
      </c>
      <c r="N64" s="827" t="s">
        <v>1515</v>
      </c>
      <c r="O64" s="520">
        <v>0</v>
      </c>
      <c r="P64" s="828">
        <v>2.91</v>
      </c>
      <c r="Q64" s="829">
        <v>4.32</v>
      </c>
      <c r="R64" s="829">
        <v>5.93</v>
      </c>
      <c r="S64" s="829">
        <v>7.46</v>
      </c>
      <c r="T64" s="829">
        <v>9.0500000000000007</v>
      </c>
      <c r="U64" s="829">
        <v>10.89</v>
      </c>
      <c r="V64" s="829">
        <v>12.32</v>
      </c>
      <c r="W64" s="829"/>
      <c r="X64" s="829"/>
      <c r="Y64" s="829"/>
      <c r="Z64" s="829"/>
      <c r="AA64" s="829"/>
      <c r="AB64" s="829"/>
      <c r="AC64" s="830"/>
      <c r="AD64" s="513">
        <f t="shared" si="36"/>
        <v>0.39904981124795597</v>
      </c>
      <c r="AE64" s="507">
        <f t="shared" si="21"/>
        <v>0.87944488107531238</v>
      </c>
      <c r="AF64" s="988">
        <f t="shared" si="32"/>
        <v>1.6571068725632956</v>
      </c>
      <c r="AG64" s="988">
        <f t="shared" si="33"/>
        <v>2.622519865807766</v>
      </c>
      <c r="AH64" s="988">
        <f t="shared" si="34"/>
        <v>3.8595643846595706</v>
      </c>
      <c r="AI64" s="988">
        <f t="shared" si="35"/>
        <v>5.5885210520067918</v>
      </c>
      <c r="AJ64" s="988">
        <f t="shared" si="35"/>
        <v>7.1525770917634111</v>
      </c>
      <c r="AK64" s="988"/>
      <c r="AL64" s="987"/>
      <c r="AM64" s="987"/>
      <c r="AN64" s="829"/>
      <c r="AO64" s="829"/>
      <c r="AP64" s="829"/>
      <c r="AQ64" s="831"/>
    </row>
    <row r="65" spans="1:43" ht="13.5" customHeight="1">
      <c r="A65" s="34" t="e">
        <f t="shared" si="1"/>
        <v>#VALUE!</v>
      </c>
      <c r="B65" s="1095" t="e">
        <f t="shared" si="2"/>
        <v>#VALUE!</v>
      </c>
      <c r="C65" s="34" t="e">
        <f t="shared" si="3"/>
        <v>#VALUE!</v>
      </c>
      <c r="D65" s="1094" t="e">
        <f t="shared" si="4"/>
        <v>#VALUE!</v>
      </c>
      <c r="E65" s="34" t="e">
        <f t="shared" si="5"/>
        <v>#VALUE!</v>
      </c>
      <c r="F65" s="1094" t="e">
        <f t="shared" si="6"/>
        <v>#VALUE!</v>
      </c>
      <c r="G65" s="34" t="e">
        <f t="shared" si="7"/>
        <v>#VALUE!</v>
      </c>
      <c r="H65" s="1094" t="e">
        <f t="shared" si="8"/>
        <v>#VALUE!</v>
      </c>
      <c r="I65" s="533"/>
      <c r="J65" s="707">
        <v>1107</v>
      </c>
      <c r="K65" s="826"/>
      <c r="L65" s="1064" t="s">
        <v>1512</v>
      </c>
      <c r="M65" s="826" t="s">
        <v>575</v>
      </c>
      <c r="N65" s="827" t="s">
        <v>1515</v>
      </c>
      <c r="O65" s="520">
        <v>0</v>
      </c>
      <c r="P65" s="828">
        <v>2.94</v>
      </c>
      <c r="Q65" s="829">
        <v>4.2699999999999996</v>
      </c>
      <c r="R65" s="829">
        <v>5.86</v>
      </c>
      <c r="S65" s="829">
        <v>7.54</v>
      </c>
      <c r="T65" s="829">
        <v>9.26</v>
      </c>
      <c r="U65" s="829">
        <v>10.76</v>
      </c>
      <c r="V65" s="829">
        <v>12.35</v>
      </c>
      <c r="W65" s="829"/>
      <c r="X65" s="829"/>
      <c r="Y65" s="829"/>
      <c r="Z65" s="829"/>
      <c r="AA65" s="829"/>
      <c r="AB65" s="829"/>
      <c r="AC65" s="830"/>
      <c r="AD65" s="513">
        <f t="shared" si="36"/>
        <v>0.40732005390853099</v>
      </c>
      <c r="AE65" s="507">
        <f t="shared" ref="AE65:AE96" si="37">Q65^2*PI()/4*60/1000</f>
        <v>0.85920517040456001</v>
      </c>
      <c r="AF65" s="988">
        <f t="shared" si="32"/>
        <v>1.618215526308181</v>
      </c>
      <c r="AG65" s="988">
        <f t="shared" si="33"/>
        <v>2.6790685335723818</v>
      </c>
      <c r="AH65" s="988">
        <f t="shared" si="34"/>
        <v>4.0407604533443422</v>
      </c>
      <c r="AI65" s="988">
        <f t="shared" si="35"/>
        <v>5.4558908641538642</v>
      </c>
      <c r="AJ65" s="988">
        <f t="shared" si="35"/>
        <v>7.1874534826072365</v>
      </c>
      <c r="AK65" s="988"/>
      <c r="AL65" s="987"/>
      <c r="AM65" s="987"/>
      <c r="AN65" s="829"/>
      <c r="AO65" s="829"/>
      <c r="AP65" s="829"/>
      <c r="AQ65" s="831"/>
    </row>
    <row r="66" spans="1:43" ht="13.5" customHeight="1">
      <c r="A66" s="34" t="e">
        <f t="shared" si="1"/>
        <v>#VALUE!</v>
      </c>
      <c r="B66" s="1095" t="e">
        <f t="shared" si="2"/>
        <v>#VALUE!</v>
      </c>
      <c r="C66" s="34" t="e">
        <f t="shared" si="3"/>
        <v>#VALUE!</v>
      </c>
      <c r="D66" s="1094" t="e">
        <f t="shared" si="4"/>
        <v>#VALUE!</v>
      </c>
      <c r="E66" s="34" t="e">
        <f t="shared" si="5"/>
        <v>#VALUE!</v>
      </c>
      <c r="F66" s="1094" t="e">
        <f t="shared" si="6"/>
        <v>#VALUE!</v>
      </c>
      <c r="G66" s="34" t="e">
        <f t="shared" si="7"/>
        <v>#VALUE!</v>
      </c>
      <c r="H66" s="1094" t="e">
        <f t="shared" si="8"/>
        <v>#VALUE!</v>
      </c>
      <c r="I66" s="533"/>
      <c r="J66" s="825">
        <v>1222</v>
      </c>
      <c r="K66" s="826" t="s">
        <v>1313</v>
      </c>
      <c r="L66" s="826" t="s">
        <v>580</v>
      </c>
      <c r="M66" s="826" t="s">
        <v>574</v>
      </c>
      <c r="N66" s="827" t="s">
        <v>523</v>
      </c>
      <c r="O66" s="520">
        <v>0</v>
      </c>
      <c r="P66" s="828">
        <v>5.76</v>
      </c>
      <c r="Q66" s="829">
        <v>7.94</v>
      </c>
      <c r="R66" s="829">
        <v>9.6999999999999993</v>
      </c>
      <c r="S66" s="829">
        <v>9.76</v>
      </c>
      <c r="T66" s="829">
        <v>12.26</v>
      </c>
      <c r="U66" s="2200"/>
      <c r="V66" s="2200"/>
      <c r="W66" s="2200"/>
      <c r="X66" s="2200"/>
      <c r="Y66" s="2200"/>
      <c r="Z66" s="2200"/>
      <c r="AA66" s="2200"/>
      <c r="AB66" s="2200"/>
      <c r="AC66" s="830"/>
      <c r="AD66" s="513">
        <f t="shared" si="36"/>
        <v>1.5634575663561106</v>
      </c>
      <c r="AE66" s="507">
        <f t="shared" si="37"/>
        <v>2.9708596592378025</v>
      </c>
      <c r="AF66" s="988">
        <f t="shared" si="32"/>
        <v>4.4338867916439542</v>
      </c>
      <c r="AG66" s="988">
        <f t="shared" si="33"/>
        <v>4.4889086453789258</v>
      </c>
      <c r="AH66" s="988">
        <f t="shared" si="34"/>
        <v>7.0830787790806982</v>
      </c>
      <c r="AI66" s="2201"/>
      <c r="AJ66" s="2201"/>
      <c r="AK66" s="2201"/>
      <c r="AL66" s="2203"/>
      <c r="AM66" s="2203"/>
      <c r="AN66" s="2200"/>
      <c r="AO66" s="2200"/>
      <c r="AP66" s="2200"/>
      <c r="AQ66" s="831"/>
    </row>
    <row r="67" spans="1:43" ht="13.5" customHeight="1">
      <c r="A67" s="34" t="e">
        <f t="shared" si="1"/>
        <v>#VALUE!</v>
      </c>
      <c r="B67" s="1095" t="e">
        <f t="shared" si="2"/>
        <v>#VALUE!</v>
      </c>
      <c r="C67" s="34" t="e">
        <f t="shared" si="3"/>
        <v>#VALUE!</v>
      </c>
      <c r="D67" s="1094" t="e">
        <f t="shared" si="4"/>
        <v>#VALUE!</v>
      </c>
      <c r="E67" s="34" t="e">
        <f t="shared" si="5"/>
        <v>#VALUE!</v>
      </c>
      <c r="F67" s="1094" t="e">
        <f t="shared" si="6"/>
        <v>#VALUE!</v>
      </c>
      <c r="G67" s="34" t="e">
        <f t="shared" si="7"/>
        <v>#VALUE!</v>
      </c>
      <c r="H67" s="1094" t="e">
        <f t="shared" si="8"/>
        <v>#VALUE!</v>
      </c>
      <c r="I67" s="533"/>
      <c r="J67" s="825">
        <v>1223</v>
      </c>
      <c r="K67" s="826" t="s">
        <v>1314</v>
      </c>
      <c r="L67" s="826" t="s">
        <v>580</v>
      </c>
      <c r="M67" s="826" t="s">
        <v>574</v>
      </c>
      <c r="N67" s="827" t="s">
        <v>523</v>
      </c>
      <c r="O67" s="521">
        <v>0</v>
      </c>
      <c r="P67" s="2198">
        <v>5.83</v>
      </c>
      <c r="Q67" s="2199">
        <v>7.47</v>
      </c>
      <c r="R67" s="2199">
        <v>8.42</v>
      </c>
      <c r="S67" s="2199">
        <v>9.92</v>
      </c>
      <c r="T67" s="2199">
        <v>12.09</v>
      </c>
      <c r="U67" s="2199"/>
      <c r="V67" s="2199"/>
      <c r="W67" s="2199"/>
      <c r="X67" s="2199"/>
      <c r="Y67" s="2199"/>
      <c r="Z67" s="2199"/>
      <c r="AA67" s="2199"/>
      <c r="AB67" s="2199"/>
      <c r="AC67" s="830"/>
      <c r="AD67" s="513">
        <f t="shared" si="36"/>
        <v>1.6016891781539719</v>
      </c>
      <c r="AE67" s="507">
        <f t="shared" si="37"/>
        <v>2.6295554625554804</v>
      </c>
      <c r="AF67" s="988">
        <f t="shared" si="32"/>
        <v>3.3409141410894514</v>
      </c>
      <c r="AG67" s="988">
        <f t="shared" si="33"/>
        <v>4.6372923495932792</v>
      </c>
      <c r="AH67" s="988">
        <f t="shared" si="34"/>
        <v>6.8880094372376739</v>
      </c>
      <c r="AI67" s="988"/>
      <c r="AJ67" s="2202"/>
      <c r="AK67" s="2202"/>
      <c r="AL67" s="2204"/>
      <c r="AM67" s="2204"/>
      <c r="AN67" s="2205"/>
      <c r="AO67" s="2205"/>
      <c r="AP67" s="2205"/>
      <c r="AQ67" s="831"/>
    </row>
    <row r="68" spans="1:43" ht="13.5" customHeight="1">
      <c r="A68" s="34" t="e">
        <f t="shared" si="1"/>
        <v>#VALUE!</v>
      </c>
      <c r="B68" s="1095" t="e">
        <f t="shared" si="2"/>
        <v>#VALUE!</v>
      </c>
      <c r="C68" s="34" t="e">
        <f t="shared" si="3"/>
        <v>#VALUE!</v>
      </c>
      <c r="D68" s="1094" t="e">
        <f t="shared" si="4"/>
        <v>#VALUE!</v>
      </c>
      <c r="E68" s="34" t="e">
        <f t="shared" si="5"/>
        <v>#VALUE!</v>
      </c>
      <c r="F68" s="1094" t="e">
        <f t="shared" si="6"/>
        <v>#VALUE!</v>
      </c>
      <c r="G68" s="34" t="e">
        <f t="shared" si="7"/>
        <v>#VALUE!</v>
      </c>
      <c r="H68" s="1094" t="e">
        <f t="shared" si="8"/>
        <v>#VALUE!</v>
      </c>
      <c r="I68" s="533"/>
      <c r="J68" s="825">
        <v>1224</v>
      </c>
      <c r="K68" s="826" t="s">
        <v>1317</v>
      </c>
      <c r="L68" s="826" t="s">
        <v>580</v>
      </c>
      <c r="M68" s="826" t="s">
        <v>574</v>
      </c>
      <c r="N68" s="827" t="s">
        <v>523</v>
      </c>
      <c r="O68" s="520">
        <v>0</v>
      </c>
      <c r="P68" s="828">
        <v>5.33</v>
      </c>
      <c r="Q68" s="829">
        <v>7.98</v>
      </c>
      <c r="R68" s="829">
        <v>8.9</v>
      </c>
      <c r="S68" s="829">
        <v>10.7</v>
      </c>
      <c r="T68" s="829">
        <v>11.76</v>
      </c>
      <c r="U68" s="829"/>
      <c r="V68" s="829"/>
      <c r="W68" s="829"/>
      <c r="X68" s="829"/>
      <c r="Y68" s="829"/>
      <c r="Z68" s="829"/>
      <c r="AA68" s="829"/>
      <c r="AB68" s="829"/>
      <c r="AC68" s="830"/>
      <c r="AD68" s="513">
        <f t="shared" si="36"/>
        <v>1.3387378730485062</v>
      </c>
      <c r="AE68" s="507">
        <f t="shared" si="37"/>
        <v>3.0008681522648923</v>
      </c>
      <c r="AF68" s="988">
        <f t="shared" si="32"/>
        <v>3.7326833113627131</v>
      </c>
      <c r="AG68" s="988">
        <f t="shared" si="33"/>
        <v>5.3952141436424297</v>
      </c>
      <c r="AH68" s="988">
        <f t="shared" si="34"/>
        <v>6.5171208625364958</v>
      </c>
      <c r="AI68" s="988"/>
      <c r="AJ68" s="988"/>
      <c r="AK68" s="988"/>
      <c r="AL68" s="987"/>
      <c r="AM68" s="987"/>
      <c r="AN68" s="829"/>
      <c r="AO68" s="829"/>
      <c r="AP68" s="829"/>
      <c r="AQ68" s="831"/>
    </row>
    <row r="69" spans="1:43" ht="13.5" customHeight="1">
      <c r="A69" s="34" t="e">
        <f t="shared" si="1"/>
        <v>#VALUE!</v>
      </c>
      <c r="B69" s="1095" t="e">
        <f t="shared" si="2"/>
        <v>#VALUE!</v>
      </c>
      <c r="C69" s="34" t="e">
        <f t="shared" si="3"/>
        <v>#VALUE!</v>
      </c>
      <c r="D69" s="1094" t="e">
        <f t="shared" si="4"/>
        <v>#VALUE!</v>
      </c>
      <c r="E69" s="34" t="e">
        <f t="shared" si="5"/>
        <v>#VALUE!</v>
      </c>
      <c r="F69" s="1094" t="e">
        <f t="shared" si="6"/>
        <v>#VALUE!</v>
      </c>
      <c r="G69" s="34" t="e">
        <f t="shared" si="7"/>
        <v>#VALUE!</v>
      </c>
      <c r="H69" s="1094" t="e">
        <f t="shared" si="8"/>
        <v>#VALUE!</v>
      </c>
      <c r="I69" s="533"/>
      <c r="J69" s="825">
        <v>1225</v>
      </c>
      <c r="K69" s="826" t="s">
        <v>1224</v>
      </c>
      <c r="L69" s="826"/>
      <c r="M69" s="826" t="s">
        <v>576</v>
      </c>
      <c r="N69" s="827" t="s">
        <v>522</v>
      </c>
      <c r="O69" s="520">
        <v>0</v>
      </c>
      <c r="P69" s="828">
        <v>6.27</v>
      </c>
      <c r="Q69" s="829">
        <v>9.6</v>
      </c>
      <c r="R69" s="829">
        <v>12.85</v>
      </c>
      <c r="S69" s="829"/>
      <c r="T69" s="829"/>
      <c r="U69" s="829"/>
      <c r="V69" s="829"/>
      <c r="W69" s="829"/>
      <c r="X69" s="829"/>
      <c r="Y69" s="829"/>
      <c r="Z69" s="829"/>
      <c r="AA69" s="829"/>
      <c r="AB69" s="829"/>
      <c r="AC69" s="830"/>
      <c r="AD69" s="513">
        <f t="shared" si="36"/>
        <v>1.8525767674696525</v>
      </c>
      <c r="AE69" s="507">
        <f t="shared" si="37"/>
        <v>4.3429376843225302</v>
      </c>
      <c r="AF69" s="988">
        <f t="shared" ref="AF69:AF112" si="38">R69^2*PI()/4*60/1000</f>
        <v>7.7812144941357095</v>
      </c>
      <c r="AG69" s="988"/>
      <c r="AH69" s="988"/>
      <c r="AI69" s="988"/>
      <c r="AJ69" s="988"/>
      <c r="AK69" s="988"/>
      <c r="AL69" s="987"/>
      <c r="AM69" s="987"/>
      <c r="AN69" s="829"/>
      <c r="AO69" s="829"/>
      <c r="AP69" s="829"/>
      <c r="AQ69" s="831"/>
    </row>
    <row r="70" spans="1:43" ht="13.5" customHeight="1">
      <c r="A70" s="34" t="e">
        <f t="shared" si="1"/>
        <v>#VALUE!</v>
      </c>
      <c r="B70" s="1095" t="e">
        <f t="shared" si="2"/>
        <v>#VALUE!</v>
      </c>
      <c r="C70" s="34" t="e">
        <f t="shared" si="3"/>
        <v>#VALUE!</v>
      </c>
      <c r="D70" s="1094" t="e">
        <f t="shared" si="4"/>
        <v>#VALUE!</v>
      </c>
      <c r="E70" s="34" t="e">
        <f t="shared" si="5"/>
        <v>#VALUE!</v>
      </c>
      <c r="F70" s="1094" t="e">
        <f t="shared" si="6"/>
        <v>#VALUE!</v>
      </c>
      <c r="G70" s="34" t="e">
        <f t="shared" si="7"/>
        <v>#VALUE!</v>
      </c>
      <c r="H70" s="1094" t="e">
        <f t="shared" si="8"/>
        <v>#VALUE!</v>
      </c>
      <c r="I70" s="533"/>
      <c r="J70" s="825">
        <v>1226</v>
      </c>
      <c r="K70" s="826"/>
      <c r="L70" s="1064" t="s">
        <v>1512</v>
      </c>
      <c r="M70" s="826" t="s">
        <v>575</v>
      </c>
      <c r="N70" s="695" t="s">
        <v>1513</v>
      </c>
      <c r="O70" s="520">
        <v>0</v>
      </c>
      <c r="P70" s="828"/>
      <c r="Q70" s="829">
        <v>5.71</v>
      </c>
      <c r="R70" s="829">
        <v>7.2</v>
      </c>
      <c r="S70" s="829">
        <v>9.36</v>
      </c>
      <c r="T70" s="829">
        <v>12.02</v>
      </c>
      <c r="U70" s="829"/>
      <c r="V70" s="829"/>
      <c r="W70" s="829"/>
      <c r="X70" s="829"/>
      <c r="Y70" s="829"/>
      <c r="Z70" s="829"/>
      <c r="AA70" s="829"/>
      <c r="AB70" s="829"/>
      <c r="AC70" s="830"/>
      <c r="AD70" s="513">
        <f t="shared" si="36"/>
        <v>0</v>
      </c>
      <c r="AE70" s="507">
        <f t="shared" si="37"/>
        <v>1.5364320155536046</v>
      </c>
      <c r="AF70" s="507">
        <f t="shared" si="38"/>
        <v>2.4429024474314232</v>
      </c>
      <c r="AG70" s="507">
        <f t="shared" ref="AG70:AJ72" si="39">S70^2*PI()/4*60/1000</f>
        <v>4.1285051361591041</v>
      </c>
      <c r="AH70" s="507">
        <f t="shared" si="39"/>
        <v>6.8084784484157215</v>
      </c>
      <c r="AI70" s="507">
        <f t="shared" si="39"/>
        <v>0</v>
      </c>
      <c r="AJ70" s="507">
        <f t="shared" si="39"/>
        <v>0</v>
      </c>
      <c r="AK70" s="507"/>
      <c r="AL70" s="507"/>
      <c r="AM70" s="507"/>
      <c r="AN70" s="507"/>
      <c r="AO70" s="507"/>
      <c r="AP70" s="507"/>
      <c r="AQ70" s="831"/>
    </row>
    <row r="71" spans="1:43" ht="13.5" customHeight="1">
      <c r="A71" s="34" t="e">
        <f t="shared" si="1"/>
        <v>#VALUE!</v>
      </c>
      <c r="B71" s="1095" t="e">
        <f t="shared" si="2"/>
        <v>#VALUE!</v>
      </c>
      <c r="C71" s="34" t="e">
        <f t="shared" si="3"/>
        <v>#VALUE!</v>
      </c>
      <c r="D71" s="1094" t="e">
        <f t="shared" si="4"/>
        <v>#VALUE!</v>
      </c>
      <c r="E71" s="34" t="e">
        <f t="shared" si="5"/>
        <v>#VALUE!</v>
      </c>
      <c r="F71" s="1094" t="e">
        <f t="shared" si="6"/>
        <v>#VALUE!</v>
      </c>
      <c r="G71" s="34" t="e">
        <f t="shared" si="7"/>
        <v>#VALUE!</v>
      </c>
      <c r="H71" s="1094" t="e">
        <f t="shared" si="8"/>
        <v>#VALUE!</v>
      </c>
      <c r="I71" s="533"/>
      <c r="J71" s="825">
        <v>1227</v>
      </c>
      <c r="K71" s="826"/>
      <c r="L71" s="1064" t="s">
        <v>1363</v>
      </c>
      <c r="M71" s="826" t="s">
        <v>575</v>
      </c>
      <c r="N71" s="695" t="s">
        <v>1514</v>
      </c>
      <c r="O71" s="520">
        <v>0</v>
      </c>
      <c r="P71" s="828">
        <v>3.37</v>
      </c>
      <c r="Q71" s="829">
        <v>4.96</v>
      </c>
      <c r="R71" s="829">
        <v>6.58</v>
      </c>
      <c r="S71" s="829">
        <v>8.0299999999999994</v>
      </c>
      <c r="T71" s="829">
        <v>9.8699999999999992</v>
      </c>
      <c r="U71" s="829">
        <v>11.13</v>
      </c>
      <c r="V71" s="829">
        <v>12.87</v>
      </c>
      <c r="W71" s="829"/>
      <c r="X71" s="829"/>
      <c r="Y71" s="829"/>
      <c r="Z71" s="829"/>
      <c r="AA71" s="829"/>
      <c r="AB71" s="829"/>
      <c r="AC71" s="830"/>
      <c r="AD71" s="513">
        <f t="shared" si="36"/>
        <v>0.53518130411330878</v>
      </c>
      <c r="AE71" s="507">
        <f t="shared" si="37"/>
        <v>1.1593230873983198</v>
      </c>
      <c r="AF71" s="507">
        <f t="shared" si="38"/>
        <v>2.0402947825032767</v>
      </c>
      <c r="AG71" s="507">
        <f t="shared" si="39"/>
        <v>3.0385908260528707</v>
      </c>
      <c r="AH71" s="507">
        <f t="shared" si="39"/>
        <v>4.5906632606323718</v>
      </c>
      <c r="AI71" s="507">
        <f t="shared" si="39"/>
        <v>5.8375613848421626</v>
      </c>
      <c r="AJ71" s="507">
        <f t="shared" si="39"/>
        <v>7.8054550230508069</v>
      </c>
      <c r="AK71" s="507"/>
      <c r="AL71" s="507"/>
      <c r="AM71" s="507"/>
      <c r="AN71" s="507"/>
      <c r="AO71" s="507"/>
      <c r="AP71" s="507"/>
      <c r="AQ71" s="831"/>
    </row>
    <row r="72" spans="1:43" ht="13.5" customHeight="1">
      <c r="A72" s="34" t="e">
        <f t="shared" si="1"/>
        <v>#VALUE!</v>
      </c>
      <c r="B72" s="1095" t="e">
        <f t="shared" si="2"/>
        <v>#VALUE!</v>
      </c>
      <c r="C72" s="34" t="e">
        <f t="shared" si="3"/>
        <v>#VALUE!</v>
      </c>
      <c r="D72" s="1094" t="e">
        <f t="shared" si="4"/>
        <v>#VALUE!</v>
      </c>
      <c r="E72" s="34" t="e">
        <f t="shared" si="5"/>
        <v>#VALUE!</v>
      </c>
      <c r="F72" s="1094" t="e">
        <f t="shared" si="6"/>
        <v>#VALUE!</v>
      </c>
      <c r="G72" s="34" t="e">
        <f t="shared" si="7"/>
        <v>#VALUE!</v>
      </c>
      <c r="H72" s="1094" t="e">
        <f t="shared" si="8"/>
        <v>#VALUE!</v>
      </c>
      <c r="I72" s="533"/>
      <c r="J72" s="825">
        <v>1228</v>
      </c>
      <c r="K72" s="826"/>
      <c r="L72" s="1064" t="s">
        <v>1363</v>
      </c>
      <c r="M72" s="826" t="s">
        <v>575</v>
      </c>
      <c r="N72" s="695" t="s">
        <v>1514</v>
      </c>
      <c r="O72" s="520">
        <v>0</v>
      </c>
      <c r="P72" s="828">
        <v>3.26</v>
      </c>
      <c r="Q72" s="829">
        <v>4.84</v>
      </c>
      <c r="R72" s="829">
        <v>6.55</v>
      </c>
      <c r="S72" s="829">
        <v>7.95</v>
      </c>
      <c r="T72" s="829">
        <v>10.99</v>
      </c>
      <c r="U72" s="829">
        <v>13</v>
      </c>
      <c r="V72" s="829"/>
      <c r="W72" s="829"/>
      <c r="X72" s="829"/>
      <c r="Y72" s="829"/>
      <c r="Z72" s="829"/>
      <c r="AA72" s="829"/>
      <c r="AB72" s="829"/>
      <c r="AC72" s="830"/>
      <c r="AD72" s="513">
        <f t="shared" si="36"/>
        <v>0.50081385127936329</v>
      </c>
      <c r="AE72" s="507">
        <f t="shared" si="37"/>
        <v>1.1039053929889957</v>
      </c>
      <c r="AF72" s="507">
        <f t="shared" si="38"/>
        <v>2.0217326823095414</v>
      </c>
      <c r="AG72" s="507">
        <f t="shared" si="39"/>
        <v>2.9783476453276334</v>
      </c>
      <c r="AH72" s="507">
        <f t="shared" si="39"/>
        <v>5.6916281228976082</v>
      </c>
      <c r="AI72" s="507">
        <f t="shared" si="39"/>
        <v>7.9639373768501258</v>
      </c>
      <c r="AJ72" s="507">
        <f t="shared" si="39"/>
        <v>0</v>
      </c>
      <c r="AK72" s="507"/>
      <c r="AL72" s="507"/>
      <c r="AM72" s="507"/>
      <c r="AN72" s="507"/>
      <c r="AO72" s="507"/>
      <c r="AP72" s="507"/>
      <c r="AQ72" s="831"/>
    </row>
    <row r="73" spans="1:43" ht="13.5" customHeight="1">
      <c r="A73" s="34" t="e">
        <f t="shared" si="1"/>
        <v>#VALUE!</v>
      </c>
      <c r="B73" s="1095" t="e">
        <f t="shared" si="2"/>
        <v>#VALUE!</v>
      </c>
      <c r="C73" s="34" t="e">
        <f t="shared" si="3"/>
        <v>#VALUE!</v>
      </c>
      <c r="D73" s="1094" t="e">
        <f t="shared" si="4"/>
        <v>#VALUE!</v>
      </c>
      <c r="E73" s="34" t="e">
        <f t="shared" si="5"/>
        <v>#VALUE!</v>
      </c>
      <c r="F73" s="1094" t="e">
        <f t="shared" si="6"/>
        <v>#VALUE!</v>
      </c>
      <c r="G73" s="34" t="e">
        <f t="shared" si="7"/>
        <v>#VALUE!</v>
      </c>
      <c r="H73" s="1094" t="e">
        <f t="shared" si="8"/>
        <v>#VALUE!</v>
      </c>
      <c r="I73" s="533"/>
      <c r="J73" s="825">
        <v>1229</v>
      </c>
      <c r="K73" s="826" t="s">
        <v>1223</v>
      </c>
      <c r="L73" s="826"/>
      <c r="M73" s="826" t="s">
        <v>577</v>
      </c>
      <c r="N73" s="695" t="s">
        <v>521</v>
      </c>
      <c r="O73" s="520">
        <v>0</v>
      </c>
      <c r="P73" s="828">
        <v>3.05</v>
      </c>
      <c r="Q73" s="829">
        <v>4.83</v>
      </c>
      <c r="R73" s="829">
        <v>6.3</v>
      </c>
      <c r="S73" s="829">
        <v>9.67</v>
      </c>
      <c r="T73" s="829">
        <v>12.69</v>
      </c>
      <c r="U73" s="829"/>
      <c r="V73" s="829"/>
      <c r="W73" s="829"/>
      <c r="X73" s="829"/>
      <c r="Y73" s="829"/>
      <c r="Z73" s="829"/>
      <c r="AA73" s="829"/>
      <c r="AB73" s="829"/>
      <c r="AC73" s="830"/>
      <c r="AD73" s="513">
        <f t="shared" si="36"/>
        <v>0.43836998490028567</v>
      </c>
      <c r="AE73" s="507">
        <f t="shared" si="37"/>
        <v>1.099348512844964</v>
      </c>
      <c r="AF73" s="507">
        <f t="shared" si="38"/>
        <v>1.8703471863146832</v>
      </c>
      <c r="AG73" s="507">
        <f>S73^2*PI()/4*60/1000</f>
        <v>4.4065030992789387</v>
      </c>
      <c r="AH73" s="507">
        <f>T73^2*PI()/4*60/1000</f>
        <v>7.5886474308412684</v>
      </c>
      <c r="AI73" s="507"/>
      <c r="AJ73" s="507"/>
      <c r="AK73" s="507"/>
      <c r="AL73" s="507"/>
      <c r="AM73" s="507"/>
      <c r="AN73" s="507"/>
      <c r="AO73" s="507"/>
      <c r="AP73" s="507"/>
      <c r="AQ73" s="831"/>
    </row>
    <row r="74" spans="1:43" ht="13.5" customHeight="1">
      <c r="A74" s="34" t="e">
        <f t="shared" si="1"/>
        <v>#VALUE!</v>
      </c>
      <c r="B74" s="1095" t="e">
        <f t="shared" si="2"/>
        <v>#VALUE!</v>
      </c>
      <c r="C74" s="34" t="e">
        <f t="shared" si="3"/>
        <v>#VALUE!</v>
      </c>
      <c r="D74" s="1094" t="e">
        <f t="shared" si="4"/>
        <v>#VALUE!</v>
      </c>
      <c r="E74" s="34" t="e">
        <f t="shared" si="5"/>
        <v>#VALUE!</v>
      </c>
      <c r="F74" s="1094" t="e">
        <f t="shared" si="6"/>
        <v>#VALUE!</v>
      </c>
      <c r="G74" s="34" t="e">
        <f t="shared" si="7"/>
        <v>#VALUE!</v>
      </c>
      <c r="H74" s="1094" t="e">
        <f t="shared" si="8"/>
        <v>#VALUE!</v>
      </c>
      <c r="I74" s="533"/>
      <c r="J74" s="825">
        <v>1230</v>
      </c>
      <c r="K74" s="826" t="s">
        <v>1311</v>
      </c>
      <c r="L74" s="826"/>
      <c r="M74" s="826" t="s">
        <v>577</v>
      </c>
      <c r="N74" s="827" t="s">
        <v>521</v>
      </c>
      <c r="O74" s="520">
        <v>0</v>
      </c>
      <c r="P74" s="828">
        <v>4.41</v>
      </c>
      <c r="Q74" s="829">
        <v>6.33</v>
      </c>
      <c r="R74" s="829">
        <v>9.4700000000000006</v>
      </c>
      <c r="S74" s="829"/>
      <c r="T74" s="829"/>
      <c r="U74" s="829"/>
      <c r="V74" s="829"/>
      <c r="W74" s="829"/>
      <c r="X74" s="829"/>
      <c r="Y74" s="829"/>
      <c r="Z74" s="829"/>
      <c r="AA74" s="829"/>
      <c r="AB74" s="829"/>
      <c r="AC74" s="830"/>
      <c r="AD74" s="513">
        <f t="shared" si="36"/>
        <v>0.91647012129419492</v>
      </c>
      <c r="AE74" s="507">
        <f t="shared" si="37"/>
        <v>1.8882024281613607</v>
      </c>
      <c r="AF74" s="507">
        <f t="shared" si="38"/>
        <v>4.2261128491098132</v>
      </c>
      <c r="AG74" s="507"/>
      <c r="AH74" s="507"/>
      <c r="AI74" s="507"/>
      <c r="AJ74" s="507"/>
      <c r="AK74" s="507"/>
      <c r="AL74" s="507"/>
      <c r="AM74" s="507"/>
      <c r="AN74" s="507"/>
      <c r="AO74" s="507"/>
      <c r="AP74" s="507"/>
      <c r="AQ74" s="831"/>
    </row>
    <row r="75" spans="1:43" ht="13.5" customHeight="1">
      <c r="A75" s="34" t="e">
        <f t="shared" si="1"/>
        <v>#VALUE!</v>
      </c>
      <c r="B75" s="1095" t="e">
        <f t="shared" si="2"/>
        <v>#VALUE!</v>
      </c>
      <c r="C75" s="34" t="e">
        <f t="shared" si="3"/>
        <v>#VALUE!</v>
      </c>
      <c r="D75" s="1094" t="e">
        <f t="shared" si="4"/>
        <v>#VALUE!</v>
      </c>
      <c r="E75" s="34" t="e">
        <f t="shared" si="5"/>
        <v>#VALUE!</v>
      </c>
      <c r="F75" s="1094" t="e">
        <f t="shared" si="6"/>
        <v>#VALUE!</v>
      </c>
      <c r="G75" s="34" t="e">
        <f t="shared" si="7"/>
        <v>#VALUE!</v>
      </c>
      <c r="H75" s="1094" t="e">
        <f t="shared" si="8"/>
        <v>#VALUE!</v>
      </c>
      <c r="I75" s="533"/>
      <c r="J75" s="825">
        <v>1231</v>
      </c>
      <c r="K75" s="826" t="s">
        <v>1318</v>
      </c>
      <c r="L75" s="826"/>
      <c r="M75" s="826" t="s">
        <v>577</v>
      </c>
      <c r="N75" s="827" t="s">
        <v>521</v>
      </c>
      <c r="O75" s="520">
        <v>0</v>
      </c>
      <c r="P75" s="828">
        <v>4.83</v>
      </c>
      <c r="Q75" s="829">
        <v>6.46</v>
      </c>
      <c r="R75" s="829">
        <v>9.6</v>
      </c>
      <c r="S75" s="829"/>
      <c r="T75" s="829"/>
      <c r="U75" s="829"/>
      <c r="V75" s="829"/>
      <c r="W75" s="829"/>
      <c r="X75" s="829"/>
      <c r="Y75" s="829"/>
      <c r="Z75" s="829"/>
      <c r="AA75" s="829"/>
      <c r="AB75" s="829"/>
      <c r="AC75" s="830"/>
      <c r="AD75" s="513">
        <f t="shared" si="36"/>
        <v>1.099348512844964</v>
      </c>
      <c r="AE75" s="507">
        <f t="shared" si="37"/>
        <v>1.9665553197382173</v>
      </c>
      <c r="AF75" s="507">
        <f t="shared" si="38"/>
        <v>4.3429376843225302</v>
      </c>
      <c r="AG75" s="507"/>
      <c r="AH75" s="507"/>
      <c r="AI75" s="507"/>
      <c r="AJ75" s="507"/>
      <c r="AK75" s="507"/>
      <c r="AL75" s="507"/>
      <c r="AM75" s="507"/>
      <c r="AN75" s="507"/>
      <c r="AO75" s="507"/>
      <c r="AP75" s="507"/>
      <c r="AQ75" s="831"/>
    </row>
    <row r="76" spans="1:43" ht="13.5" customHeight="1">
      <c r="A76" s="34" t="e">
        <f t="shared" si="1"/>
        <v>#VALUE!</v>
      </c>
      <c r="B76" s="1095" t="e">
        <f t="shared" si="2"/>
        <v>#VALUE!</v>
      </c>
      <c r="C76" s="34" t="e">
        <f t="shared" si="3"/>
        <v>#VALUE!</v>
      </c>
      <c r="D76" s="1094" t="e">
        <f t="shared" si="4"/>
        <v>#VALUE!</v>
      </c>
      <c r="E76" s="34" t="e">
        <f t="shared" si="5"/>
        <v>#VALUE!</v>
      </c>
      <c r="F76" s="1094" t="e">
        <f t="shared" si="6"/>
        <v>#VALUE!</v>
      </c>
      <c r="G76" s="34" t="e">
        <f t="shared" si="7"/>
        <v>#VALUE!</v>
      </c>
      <c r="H76" s="1094" t="e">
        <f t="shared" si="8"/>
        <v>#VALUE!</v>
      </c>
      <c r="I76" s="533"/>
      <c r="J76" s="825">
        <v>1232</v>
      </c>
      <c r="K76" s="826"/>
      <c r="L76" s="1064" t="s">
        <v>1512</v>
      </c>
      <c r="M76" s="826"/>
      <c r="N76" s="827" t="s">
        <v>1517</v>
      </c>
      <c r="O76" s="520">
        <v>0</v>
      </c>
      <c r="P76" s="828">
        <v>4.51</v>
      </c>
      <c r="Q76" s="829">
        <v>7</v>
      </c>
      <c r="R76" s="829">
        <v>9.3800000000000008</v>
      </c>
      <c r="S76" s="829"/>
      <c r="T76" s="829"/>
      <c r="U76" s="829"/>
      <c r="V76" s="829"/>
      <c r="W76" s="829"/>
      <c r="X76" s="829"/>
      <c r="Y76" s="829"/>
      <c r="Z76" s="829"/>
      <c r="AA76" s="829"/>
      <c r="AB76" s="829"/>
      <c r="AC76" s="830"/>
      <c r="AD76" s="513">
        <f t="shared" si="36"/>
        <v>0.95850463099922623</v>
      </c>
      <c r="AE76" s="507">
        <f t="shared" si="37"/>
        <v>2.3090706003884978</v>
      </c>
      <c r="AF76" s="507">
        <f t="shared" si="38"/>
        <v>4.1461671700575868</v>
      </c>
      <c r="AG76" s="507">
        <f t="shared" ref="AG76:AJ77" si="40">S76^2*PI()/4*60/1000</f>
        <v>0</v>
      </c>
      <c r="AH76" s="507">
        <f t="shared" si="40"/>
        <v>0</v>
      </c>
      <c r="AI76" s="507">
        <f t="shared" si="40"/>
        <v>0</v>
      </c>
      <c r="AJ76" s="507">
        <f t="shared" si="40"/>
        <v>0</v>
      </c>
      <c r="AK76" s="507"/>
      <c r="AL76" s="507"/>
      <c r="AM76" s="507"/>
      <c r="AN76" s="507"/>
      <c r="AO76" s="507"/>
      <c r="AP76" s="507"/>
      <c r="AQ76" s="831"/>
    </row>
    <row r="77" spans="1:43" ht="13.5" customHeight="1">
      <c r="A77" s="34" t="e">
        <f t="shared" si="1"/>
        <v>#VALUE!</v>
      </c>
      <c r="B77" s="1095" t="e">
        <f t="shared" si="2"/>
        <v>#VALUE!</v>
      </c>
      <c r="C77" s="34" t="e">
        <f t="shared" si="3"/>
        <v>#VALUE!</v>
      </c>
      <c r="D77" s="1094" t="e">
        <f t="shared" si="4"/>
        <v>#VALUE!</v>
      </c>
      <c r="E77" s="34" t="e">
        <f t="shared" si="5"/>
        <v>#VALUE!</v>
      </c>
      <c r="F77" s="1094" t="e">
        <f t="shared" si="6"/>
        <v>#VALUE!</v>
      </c>
      <c r="G77" s="34" t="e">
        <f t="shared" si="7"/>
        <v>#VALUE!</v>
      </c>
      <c r="H77" s="1094" t="e">
        <f t="shared" si="8"/>
        <v>#VALUE!</v>
      </c>
      <c r="I77" s="533"/>
      <c r="J77" s="825">
        <v>1233</v>
      </c>
      <c r="K77" s="826"/>
      <c r="L77" s="1064" t="s">
        <v>1512</v>
      </c>
      <c r="M77" s="826"/>
      <c r="N77" s="827" t="s">
        <v>1517</v>
      </c>
      <c r="O77" s="520">
        <v>0</v>
      </c>
      <c r="P77" s="828">
        <v>4.5199999999999996</v>
      </c>
      <c r="Q77" s="829">
        <v>7</v>
      </c>
      <c r="R77" s="829">
        <v>9.4700000000000006</v>
      </c>
      <c r="S77" s="829"/>
      <c r="T77" s="829"/>
      <c r="U77" s="829"/>
      <c r="V77" s="829"/>
      <c r="W77" s="829"/>
      <c r="X77" s="829"/>
      <c r="Y77" s="829"/>
      <c r="Z77" s="829"/>
      <c r="AA77" s="829"/>
      <c r="AB77" s="829"/>
      <c r="AC77" s="830"/>
      <c r="AD77" s="513">
        <f t="shared" si="36"/>
        <v>0.96275991824851326</v>
      </c>
      <c r="AE77" s="507">
        <f t="shared" si="37"/>
        <v>2.3090706003884978</v>
      </c>
      <c r="AF77" s="507">
        <f t="shared" si="38"/>
        <v>4.2261128491098132</v>
      </c>
      <c r="AG77" s="507">
        <f t="shared" si="40"/>
        <v>0</v>
      </c>
      <c r="AH77" s="507">
        <f t="shared" si="40"/>
        <v>0</v>
      </c>
      <c r="AI77" s="507">
        <f t="shared" si="40"/>
        <v>0</v>
      </c>
      <c r="AJ77" s="507">
        <f t="shared" si="40"/>
        <v>0</v>
      </c>
      <c r="AK77" s="507"/>
      <c r="AL77" s="507"/>
      <c r="AM77" s="507"/>
      <c r="AN77" s="507"/>
      <c r="AO77" s="507"/>
      <c r="AP77" s="507"/>
      <c r="AQ77" s="831"/>
    </row>
    <row r="78" spans="1:43" ht="13.5" customHeight="1">
      <c r="A78" s="34" t="e">
        <f t="shared" si="1"/>
        <v>#VALUE!</v>
      </c>
      <c r="B78" s="1095" t="e">
        <f t="shared" si="2"/>
        <v>#VALUE!</v>
      </c>
      <c r="C78" s="34" t="e">
        <f t="shared" si="3"/>
        <v>#VALUE!</v>
      </c>
      <c r="D78" s="1094" t="e">
        <f t="shared" si="4"/>
        <v>#VALUE!</v>
      </c>
      <c r="E78" s="34" t="e">
        <f t="shared" si="5"/>
        <v>#VALUE!</v>
      </c>
      <c r="F78" s="1094" t="e">
        <f t="shared" si="6"/>
        <v>#VALUE!</v>
      </c>
      <c r="G78" s="34" t="e">
        <f t="shared" si="7"/>
        <v>#VALUE!</v>
      </c>
      <c r="H78" s="1094" t="e">
        <f t="shared" si="8"/>
        <v>#VALUE!</v>
      </c>
      <c r="I78" s="533"/>
      <c r="J78" s="825">
        <v>1234</v>
      </c>
      <c r="K78" s="826" t="s">
        <v>1221</v>
      </c>
      <c r="L78" s="826" t="s">
        <v>580</v>
      </c>
      <c r="M78" s="826" t="s">
        <v>576</v>
      </c>
      <c r="N78" s="827" t="s">
        <v>524</v>
      </c>
      <c r="O78" s="520">
        <v>0</v>
      </c>
      <c r="P78" s="828">
        <v>4.17</v>
      </c>
      <c r="Q78" s="829">
        <v>5.17</v>
      </c>
      <c r="R78" s="829">
        <v>5.92</v>
      </c>
      <c r="S78" s="829">
        <v>8.15</v>
      </c>
      <c r="T78" s="829"/>
      <c r="U78" s="829"/>
      <c r="V78" s="829"/>
      <c r="W78" s="829"/>
      <c r="X78" s="829"/>
      <c r="Y78" s="829"/>
      <c r="Z78" s="829"/>
      <c r="AA78" s="829"/>
      <c r="AB78" s="829"/>
      <c r="AC78" s="830"/>
      <c r="AD78" s="513">
        <f t="shared" si="36"/>
        <v>0.81943260741011326</v>
      </c>
      <c r="AE78" s="507">
        <f t="shared" si="37"/>
        <v>1.2595697381780433</v>
      </c>
      <c r="AF78" s="507">
        <f t="shared" si="38"/>
        <v>1.6515226916215398</v>
      </c>
      <c r="AG78" s="507">
        <f t="shared" ref="AG78:AG110" si="41">S78^2*PI()/4*60/1000</f>
        <v>3.1300865704960206</v>
      </c>
      <c r="AH78" s="507"/>
      <c r="AI78" s="507"/>
      <c r="AJ78" s="507"/>
      <c r="AK78" s="507"/>
      <c r="AL78" s="507"/>
      <c r="AM78" s="507"/>
      <c r="AN78" s="507"/>
      <c r="AO78" s="507"/>
      <c r="AP78" s="507"/>
      <c r="AQ78" s="831"/>
    </row>
    <row r="79" spans="1:43" ht="13.5" customHeight="1">
      <c r="A79" s="34" t="e">
        <f t="shared" ref="A79:A114" si="42">MATCH($A$4,$O79:$AC79,1)</f>
        <v>#VALUE!</v>
      </c>
      <c r="B79" s="1095" t="e">
        <f t="shared" ref="B79:B114" si="43">MATCH($A$4,$O79:$AC79,1)+1</f>
        <v>#VALUE!</v>
      </c>
      <c r="C79" s="34" t="e">
        <f t="shared" ref="C79:C114" si="44">MATCH($C$4,$O79:$AC79,1)</f>
        <v>#VALUE!</v>
      </c>
      <c r="D79" s="1094" t="e">
        <f t="shared" ref="D79:D114" si="45">MATCH($C$4,$O79:$AC79,1)+1</f>
        <v>#VALUE!</v>
      </c>
      <c r="E79" s="34" t="e">
        <f t="shared" ref="E79:E114" si="46">MATCH($E$4,$O79:$AC79,1)</f>
        <v>#VALUE!</v>
      </c>
      <c r="F79" s="1094" t="e">
        <f t="shared" ref="F79:F114" si="47">MATCH($E$4,$O79:$AC79,1)+1</f>
        <v>#VALUE!</v>
      </c>
      <c r="G79" s="34" t="e">
        <f t="shared" ref="G79:G114" si="48">MATCH($G$4,$O79:$AC79,1)</f>
        <v>#VALUE!</v>
      </c>
      <c r="H79" s="1094" t="e">
        <f t="shared" ref="H79:H114" si="49">MATCH($G$4,$O79:$AC79,1)+1</f>
        <v>#VALUE!</v>
      </c>
      <c r="I79" s="533"/>
      <c r="J79" s="825">
        <v>1235</v>
      </c>
      <c r="K79" s="826" t="s">
        <v>1222</v>
      </c>
      <c r="L79" s="826" t="s">
        <v>580</v>
      </c>
      <c r="M79" s="826" t="s">
        <v>576</v>
      </c>
      <c r="N79" s="827" t="s">
        <v>524</v>
      </c>
      <c r="O79" s="520">
        <v>0</v>
      </c>
      <c r="P79" s="828">
        <v>3.88</v>
      </c>
      <c r="Q79" s="829">
        <v>5.0999999999999996</v>
      </c>
      <c r="R79" s="829">
        <v>5.91</v>
      </c>
      <c r="S79" s="829">
        <v>7.91</v>
      </c>
      <c r="T79" s="829"/>
      <c r="U79" s="829"/>
      <c r="V79" s="829"/>
      <c r="W79" s="829"/>
      <c r="X79" s="829"/>
      <c r="Y79" s="829"/>
      <c r="Z79" s="829"/>
      <c r="AA79" s="829"/>
      <c r="AB79" s="829"/>
      <c r="AC79" s="830"/>
      <c r="AD79" s="513">
        <f t="shared" si="36"/>
        <v>0.70942188666303274</v>
      </c>
      <c r="AE79" s="507">
        <f t="shared" si="37"/>
        <v>1.2256923737980578</v>
      </c>
      <c r="AF79" s="507">
        <f t="shared" si="38"/>
        <v>1.6459479354577446</v>
      </c>
      <c r="AG79" s="507">
        <f t="shared" si="41"/>
        <v>2.9484522496360728</v>
      </c>
      <c r="AH79" s="507">
        <f t="shared" ref="AH79:AH110" si="50">T79^2*PI()/4*60/1000</f>
        <v>0</v>
      </c>
      <c r="AI79" s="507"/>
      <c r="AJ79" s="507"/>
      <c r="AK79" s="507"/>
      <c r="AL79" s="507"/>
      <c r="AM79" s="507"/>
      <c r="AN79" s="507"/>
      <c r="AO79" s="507"/>
      <c r="AP79" s="507"/>
      <c r="AQ79" s="831"/>
    </row>
    <row r="80" spans="1:43" ht="13.5" customHeight="1">
      <c r="A80" s="34" t="e">
        <f t="shared" si="42"/>
        <v>#VALUE!</v>
      </c>
      <c r="B80" s="1095" t="e">
        <f t="shared" si="43"/>
        <v>#VALUE!</v>
      </c>
      <c r="C80" s="34" t="e">
        <f t="shared" si="44"/>
        <v>#VALUE!</v>
      </c>
      <c r="D80" s="1094" t="e">
        <f t="shared" si="45"/>
        <v>#VALUE!</v>
      </c>
      <c r="E80" s="34" t="e">
        <f t="shared" si="46"/>
        <v>#VALUE!</v>
      </c>
      <c r="F80" s="1094" t="e">
        <f t="shared" si="47"/>
        <v>#VALUE!</v>
      </c>
      <c r="G80" s="34" t="e">
        <f t="shared" si="48"/>
        <v>#VALUE!</v>
      </c>
      <c r="H80" s="1094" t="e">
        <f t="shared" si="49"/>
        <v>#VALUE!</v>
      </c>
      <c r="I80" s="533"/>
      <c r="J80" s="825">
        <v>1237</v>
      </c>
      <c r="K80" s="826" t="s">
        <v>1398</v>
      </c>
      <c r="L80" s="826" t="s">
        <v>580</v>
      </c>
      <c r="M80" s="826" t="s">
        <v>574</v>
      </c>
      <c r="N80" s="827" t="s">
        <v>523</v>
      </c>
      <c r="O80" s="520">
        <v>0</v>
      </c>
      <c r="P80" s="828">
        <v>5.91</v>
      </c>
      <c r="Q80" s="829">
        <v>7.74</v>
      </c>
      <c r="R80" s="829">
        <v>8.7799999999999994</v>
      </c>
      <c r="S80" s="829">
        <v>9.7100000000000009</v>
      </c>
      <c r="T80" s="829">
        <v>11.92</v>
      </c>
      <c r="U80" s="829"/>
      <c r="V80" s="829"/>
      <c r="W80" s="829"/>
      <c r="X80" s="829"/>
      <c r="Y80" s="829"/>
      <c r="Z80" s="829"/>
      <c r="AA80" s="829"/>
      <c r="AB80" s="829"/>
      <c r="AC80" s="830"/>
      <c r="AD80" s="513">
        <f t="shared" si="36"/>
        <v>1.6459479354577446</v>
      </c>
      <c r="AE80" s="507">
        <f t="shared" si="37"/>
        <v>2.8230791408129385</v>
      </c>
      <c r="AF80" s="507">
        <f t="shared" si="38"/>
        <v>3.6327052667548707</v>
      </c>
      <c r="AG80" s="507">
        <f t="shared" si="41"/>
        <v>4.4430335386548823</v>
      </c>
      <c r="AH80" s="507">
        <f t="shared" si="50"/>
        <v>6.6956638562253117</v>
      </c>
      <c r="AI80" s="507"/>
      <c r="AJ80" s="507"/>
      <c r="AK80" s="507"/>
      <c r="AL80" s="507"/>
      <c r="AM80" s="507"/>
      <c r="AN80" s="507"/>
      <c r="AO80" s="507"/>
      <c r="AP80" s="507"/>
      <c r="AQ80" s="831"/>
    </row>
    <row r="81" spans="1:43" ht="13.5" customHeight="1">
      <c r="A81" s="34" t="e">
        <f t="shared" si="42"/>
        <v>#VALUE!</v>
      </c>
      <c r="B81" s="1095" t="e">
        <f t="shared" si="43"/>
        <v>#VALUE!</v>
      </c>
      <c r="C81" s="34" t="e">
        <f t="shared" si="44"/>
        <v>#VALUE!</v>
      </c>
      <c r="D81" s="1094" t="e">
        <f t="shared" si="45"/>
        <v>#VALUE!</v>
      </c>
      <c r="E81" s="34" t="e">
        <f t="shared" si="46"/>
        <v>#VALUE!</v>
      </c>
      <c r="F81" s="1094" t="e">
        <f t="shared" si="47"/>
        <v>#VALUE!</v>
      </c>
      <c r="G81" s="34" t="e">
        <f t="shared" si="48"/>
        <v>#VALUE!</v>
      </c>
      <c r="H81" s="1094" t="e">
        <f t="shared" si="49"/>
        <v>#VALUE!</v>
      </c>
      <c r="I81" s="533"/>
      <c r="J81" s="825">
        <v>1238</v>
      </c>
      <c r="K81" s="826" t="s">
        <v>1399</v>
      </c>
      <c r="L81" s="826" t="s">
        <v>580</v>
      </c>
      <c r="M81" s="826" t="s">
        <v>574</v>
      </c>
      <c r="N81" s="827" t="s">
        <v>523</v>
      </c>
      <c r="O81" s="520">
        <v>0</v>
      </c>
      <c r="P81" s="828">
        <v>5.77</v>
      </c>
      <c r="Q81" s="829">
        <v>8.5399999999999991</v>
      </c>
      <c r="R81" s="829">
        <v>9.64</v>
      </c>
      <c r="S81" s="829">
        <v>8.43</v>
      </c>
      <c r="T81" s="829">
        <v>12.07</v>
      </c>
      <c r="U81" s="829"/>
      <c r="V81" s="829"/>
      <c r="W81" s="829"/>
      <c r="X81" s="829"/>
      <c r="Y81" s="829"/>
      <c r="Z81" s="829"/>
      <c r="AA81" s="829"/>
      <c r="AB81" s="829"/>
      <c r="AC81" s="830"/>
      <c r="AD81" s="513">
        <f t="shared" si="36"/>
        <v>1.5688909508504942</v>
      </c>
      <c r="AE81" s="507">
        <f t="shared" si="37"/>
        <v>3.4368206816182401</v>
      </c>
      <c r="AF81" s="507">
        <f t="shared" si="38"/>
        <v>4.3792042299155707</v>
      </c>
      <c r="AG81" s="507">
        <f t="shared" si="41"/>
        <v>3.3488545165213992</v>
      </c>
      <c r="AH81" s="507">
        <f t="shared" si="50"/>
        <v>6.8652391736844551</v>
      </c>
      <c r="AI81" s="507"/>
      <c r="AJ81" s="507"/>
      <c r="AK81" s="507"/>
      <c r="AL81" s="507"/>
      <c r="AM81" s="507"/>
      <c r="AN81" s="507"/>
      <c r="AO81" s="507"/>
      <c r="AP81" s="507"/>
      <c r="AQ81" s="831"/>
    </row>
    <row r="82" spans="1:43" ht="13.5" customHeight="1">
      <c r="A82" s="34" t="e">
        <f t="shared" si="42"/>
        <v>#VALUE!</v>
      </c>
      <c r="B82" s="1095" t="e">
        <f t="shared" si="43"/>
        <v>#VALUE!</v>
      </c>
      <c r="C82" s="34" t="e">
        <f t="shared" si="44"/>
        <v>#VALUE!</v>
      </c>
      <c r="D82" s="1094" t="e">
        <f t="shared" si="45"/>
        <v>#VALUE!</v>
      </c>
      <c r="E82" s="34" t="e">
        <f t="shared" si="46"/>
        <v>#VALUE!</v>
      </c>
      <c r="F82" s="1094" t="e">
        <f t="shared" si="47"/>
        <v>#VALUE!</v>
      </c>
      <c r="G82" s="34" t="e">
        <f t="shared" si="48"/>
        <v>#VALUE!</v>
      </c>
      <c r="H82" s="1094" t="e">
        <f t="shared" si="49"/>
        <v>#VALUE!</v>
      </c>
      <c r="I82" s="533"/>
      <c r="J82" s="825">
        <v>1239</v>
      </c>
      <c r="K82" s="826" t="s">
        <v>1401</v>
      </c>
      <c r="L82" s="826" t="s">
        <v>580</v>
      </c>
      <c r="M82" s="826" t="s">
        <v>577</v>
      </c>
      <c r="N82" s="827" t="s">
        <v>521</v>
      </c>
      <c r="O82" s="520">
        <v>0</v>
      </c>
      <c r="P82" s="828">
        <v>3.02</v>
      </c>
      <c r="Q82" s="829">
        <v>4.58</v>
      </c>
      <c r="R82" s="829">
        <v>6.25</v>
      </c>
      <c r="S82" s="829">
        <v>7.81</v>
      </c>
      <c r="T82" s="829">
        <v>9.39</v>
      </c>
      <c r="U82" s="829">
        <v>12.61</v>
      </c>
      <c r="V82" s="829"/>
      <c r="W82" s="829"/>
      <c r="X82" s="829"/>
      <c r="Y82" s="829"/>
      <c r="Z82" s="829"/>
      <c r="AA82" s="829"/>
      <c r="AB82" s="829"/>
      <c r="AC82" s="830"/>
      <c r="AD82" s="513">
        <f t="shared" si="36"/>
        <v>0.42978872456700529</v>
      </c>
      <c r="AE82" s="507">
        <f t="shared" si="37"/>
        <v>0.98848956208141403</v>
      </c>
      <c r="AF82" s="507">
        <f t="shared" si="38"/>
        <v>1.8407769454627694</v>
      </c>
      <c r="AG82" s="507">
        <f t="shared" si="41"/>
        <v>2.8743734948644257</v>
      </c>
      <c r="AH82" s="507">
        <f t="shared" si="50"/>
        <v>4.1550123241737689</v>
      </c>
      <c r="AI82" s="507">
        <f>U82^2*PI()/4*60/1000</f>
        <v>7.493268677878282</v>
      </c>
      <c r="AJ82" s="507"/>
      <c r="AK82" s="507"/>
      <c r="AL82" s="507"/>
      <c r="AM82" s="507"/>
      <c r="AN82" s="507"/>
      <c r="AO82" s="507"/>
      <c r="AP82" s="507"/>
      <c r="AQ82" s="831"/>
    </row>
    <row r="83" spans="1:43" ht="13.5" customHeight="1">
      <c r="A83" s="34" t="e">
        <f t="shared" si="42"/>
        <v>#VALUE!</v>
      </c>
      <c r="B83" s="1095" t="e">
        <f t="shared" si="43"/>
        <v>#VALUE!</v>
      </c>
      <c r="C83" s="34" t="e">
        <f t="shared" si="44"/>
        <v>#VALUE!</v>
      </c>
      <c r="D83" s="1094" t="e">
        <f t="shared" si="45"/>
        <v>#VALUE!</v>
      </c>
      <c r="E83" s="34" t="e">
        <f t="shared" si="46"/>
        <v>#VALUE!</v>
      </c>
      <c r="F83" s="1094" t="e">
        <f t="shared" si="47"/>
        <v>#VALUE!</v>
      </c>
      <c r="G83" s="34" t="e">
        <f t="shared" si="48"/>
        <v>#VALUE!</v>
      </c>
      <c r="H83" s="1094" t="e">
        <f t="shared" si="49"/>
        <v>#VALUE!</v>
      </c>
      <c r="I83" s="533"/>
      <c r="J83" s="825">
        <v>1240</v>
      </c>
      <c r="K83" s="826" t="s">
        <v>1402</v>
      </c>
      <c r="L83" s="826" t="s">
        <v>580</v>
      </c>
      <c r="M83" s="826" t="s">
        <v>577</v>
      </c>
      <c r="N83" s="827" t="s">
        <v>521</v>
      </c>
      <c r="O83" s="520">
        <v>0</v>
      </c>
      <c r="P83" s="828">
        <v>3.05</v>
      </c>
      <c r="Q83" s="829">
        <v>4.63</v>
      </c>
      <c r="R83" s="829">
        <v>6.35</v>
      </c>
      <c r="S83" s="829">
        <v>7.76</v>
      </c>
      <c r="T83" s="829">
        <v>9.48</v>
      </c>
      <c r="U83" s="829">
        <v>12.42</v>
      </c>
      <c r="V83" s="829"/>
      <c r="W83" s="829"/>
      <c r="X83" s="829"/>
      <c r="Y83" s="829"/>
      <c r="Z83" s="829"/>
      <c r="AA83" s="829"/>
      <c r="AB83" s="829"/>
      <c r="AC83" s="830"/>
      <c r="AD83" s="513">
        <f t="shared" si="36"/>
        <v>0.43836998490028567</v>
      </c>
      <c r="AE83" s="507">
        <f t="shared" si="37"/>
        <v>1.0101901133360855</v>
      </c>
      <c r="AF83" s="507">
        <f t="shared" si="38"/>
        <v>1.9001530466156165</v>
      </c>
      <c r="AG83" s="507">
        <f t="shared" si="41"/>
        <v>2.837687546652131</v>
      </c>
      <c r="AH83" s="507">
        <f t="shared" si="50"/>
        <v>4.2350428262276418</v>
      </c>
      <c r="AI83" s="507">
        <f>U83^2*PI()/4*60/1000</f>
        <v>7.2691615951381285</v>
      </c>
      <c r="AJ83" s="507"/>
      <c r="AK83" s="507"/>
      <c r="AL83" s="507"/>
      <c r="AM83" s="507"/>
      <c r="AN83" s="507"/>
      <c r="AO83" s="507"/>
      <c r="AP83" s="507"/>
      <c r="AQ83" s="831"/>
    </row>
    <row r="84" spans="1:43" ht="13.5" customHeight="1">
      <c r="A84" s="34" t="e">
        <f t="shared" si="42"/>
        <v>#VALUE!</v>
      </c>
      <c r="B84" s="1095" t="e">
        <f t="shared" si="43"/>
        <v>#VALUE!</v>
      </c>
      <c r="C84" s="34" t="e">
        <f t="shared" si="44"/>
        <v>#VALUE!</v>
      </c>
      <c r="D84" s="1094" t="e">
        <f t="shared" si="45"/>
        <v>#VALUE!</v>
      </c>
      <c r="E84" s="34" t="e">
        <f t="shared" si="46"/>
        <v>#VALUE!</v>
      </c>
      <c r="F84" s="1094" t="e">
        <f t="shared" si="47"/>
        <v>#VALUE!</v>
      </c>
      <c r="G84" s="34" t="e">
        <f t="shared" si="48"/>
        <v>#VALUE!</v>
      </c>
      <c r="H84" s="1094" t="e">
        <f t="shared" si="49"/>
        <v>#VALUE!</v>
      </c>
      <c r="I84" s="533"/>
      <c r="J84" s="825">
        <v>1833</v>
      </c>
      <c r="K84" s="826" t="s">
        <v>1312</v>
      </c>
      <c r="L84" s="826" t="s">
        <v>581</v>
      </c>
      <c r="M84" s="826" t="s">
        <v>574</v>
      </c>
      <c r="N84" s="827" t="s">
        <v>523</v>
      </c>
      <c r="O84" s="520">
        <v>0</v>
      </c>
      <c r="P84" s="828">
        <v>6.02</v>
      </c>
      <c r="Q84" s="829">
        <v>7.97</v>
      </c>
      <c r="R84" s="829">
        <v>8.91</v>
      </c>
      <c r="S84" s="829">
        <v>10.02</v>
      </c>
      <c r="T84" s="829">
        <v>12.09</v>
      </c>
      <c r="U84" s="829"/>
      <c r="V84" s="829"/>
      <c r="W84" s="829"/>
      <c r="X84" s="829"/>
      <c r="Y84" s="829"/>
      <c r="Z84" s="829"/>
      <c r="AA84" s="829"/>
      <c r="AB84" s="829"/>
      <c r="AC84" s="830"/>
      <c r="AD84" s="513">
        <f t="shared" si="36"/>
        <v>1.7077886160473326</v>
      </c>
      <c r="AE84" s="507">
        <f t="shared" si="37"/>
        <v>2.9933518918411783</v>
      </c>
      <c r="AF84" s="507">
        <f t="shared" si="38"/>
        <v>3.7410760761367783</v>
      </c>
      <c r="AG84" s="507">
        <f t="shared" si="41"/>
        <v>4.7312573858621487</v>
      </c>
      <c r="AH84" s="507">
        <f t="shared" si="50"/>
        <v>6.8880094372376739</v>
      </c>
      <c r="AI84" s="507"/>
      <c r="AJ84" s="507"/>
      <c r="AK84" s="507"/>
      <c r="AL84" s="507"/>
      <c r="AM84" s="507"/>
      <c r="AN84" s="507"/>
      <c r="AO84" s="507"/>
      <c r="AP84" s="507"/>
      <c r="AQ84" s="831"/>
    </row>
    <row r="85" spans="1:43" ht="13.5" customHeight="1">
      <c r="A85" s="34" t="e">
        <f t="shared" si="42"/>
        <v>#VALUE!</v>
      </c>
      <c r="B85" s="1095" t="e">
        <f t="shared" si="43"/>
        <v>#VALUE!</v>
      </c>
      <c r="C85" s="34" t="e">
        <f t="shared" si="44"/>
        <v>#VALUE!</v>
      </c>
      <c r="D85" s="1094" t="e">
        <f t="shared" si="45"/>
        <v>#VALUE!</v>
      </c>
      <c r="E85" s="34" t="e">
        <f t="shared" si="46"/>
        <v>#VALUE!</v>
      </c>
      <c r="F85" s="1094" t="e">
        <f t="shared" si="47"/>
        <v>#VALUE!</v>
      </c>
      <c r="G85" s="34" t="e">
        <f t="shared" si="48"/>
        <v>#VALUE!</v>
      </c>
      <c r="H85" s="1094" t="e">
        <f t="shared" si="49"/>
        <v>#VALUE!</v>
      </c>
      <c r="I85" s="533"/>
      <c r="J85" s="825">
        <v>1835</v>
      </c>
      <c r="K85" s="826"/>
      <c r="L85" s="1064" t="s">
        <v>1512</v>
      </c>
      <c r="M85" s="826" t="s">
        <v>575</v>
      </c>
      <c r="N85" s="827" t="s">
        <v>1516</v>
      </c>
      <c r="O85" s="520">
        <v>0</v>
      </c>
      <c r="P85" s="828">
        <v>3.16</v>
      </c>
      <c r="Q85" s="829">
        <v>4.67</v>
      </c>
      <c r="R85" s="829">
        <v>6.34</v>
      </c>
      <c r="S85" s="829">
        <v>7.09</v>
      </c>
      <c r="T85" s="829">
        <v>9.4700000000000006</v>
      </c>
      <c r="U85" s="829">
        <v>11.09</v>
      </c>
      <c r="V85" s="829">
        <v>13</v>
      </c>
      <c r="W85" s="829"/>
      <c r="X85" s="829"/>
      <c r="Y85" s="829"/>
      <c r="Z85" s="829"/>
      <c r="AA85" s="829"/>
      <c r="AB85" s="829"/>
      <c r="AC85" s="830"/>
      <c r="AD85" s="513">
        <f t="shared" si="36"/>
        <v>0.47056031402529364</v>
      </c>
      <c r="AE85" s="507">
        <f t="shared" si="37"/>
        <v>1.0277202003431165</v>
      </c>
      <c r="AF85" s="507">
        <f t="shared" si="38"/>
        <v>1.8941730249995086</v>
      </c>
      <c r="AG85" s="507">
        <f t="shared" si="41"/>
        <v>2.368828405048756</v>
      </c>
      <c r="AH85" s="507">
        <f t="shared" si="50"/>
        <v>4.2261128491098132</v>
      </c>
      <c r="AI85" s="507">
        <f t="shared" ref="AI85:AI110" si="51">U85^2*PI()/4*60/1000</f>
        <v>5.7956776715845022</v>
      </c>
      <c r="AJ85" s="507">
        <f t="shared" ref="AJ85:AJ110" si="52">V85^2*PI()/4*60/1000</f>
        <v>7.9639373768501258</v>
      </c>
      <c r="AK85" s="507"/>
      <c r="AL85" s="507"/>
      <c r="AM85" s="507"/>
      <c r="AN85" s="507"/>
      <c r="AO85" s="507"/>
      <c r="AP85" s="507"/>
      <c r="AQ85" s="831"/>
    </row>
    <row r="86" spans="1:43" ht="13.5" customHeight="1">
      <c r="A86" s="34" t="e">
        <f t="shared" si="42"/>
        <v>#VALUE!</v>
      </c>
      <c r="B86" s="1095" t="e">
        <f t="shared" si="43"/>
        <v>#VALUE!</v>
      </c>
      <c r="C86" s="34" t="e">
        <f t="shared" si="44"/>
        <v>#VALUE!</v>
      </c>
      <c r="D86" s="1094" t="e">
        <f t="shared" si="45"/>
        <v>#VALUE!</v>
      </c>
      <c r="E86" s="34" t="e">
        <f t="shared" si="46"/>
        <v>#VALUE!</v>
      </c>
      <c r="F86" s="1094" t="e">
        <f t="shared" si="47"/>
        <v>#VALUE!</v>
      </c>
      <c r="G86" s="34" t="e">
        <f t="shared" si="48"/>
        <v>#VALUE!</v>
      </c>
      <c r="H86" s="1094" t="e">
        <f t="shared" si="49"/>
        <v>#VALUE!</v>
      </c>
      <c r="I86" s="533"/>
      <c r="J86" s="825">
        <v>1841</v>
      </c>
      <c r="K86" s="826"/>
      <c r="L86" s="1064" t="s">
        <v>1512</v>
      </c>
      <c r="M86" s="826" t="s">
        <v>575</v>
      </c>
      <c r="N86" s="827" t="s">
        <v>1515</v>
      </c>
      <c r="O86" s="520">
        <v>0</v>
      </c>
      <c r="P86" s="828">
        <v>2.94</v>
      </c>
      <c r="Q86" s="829">
        <v>4.49</v>
      </c>
      <c r="R86" s="829">
        <v>6.02</v>
      </c>
      <c r="S86" s="829">
        <v>7.48</v>
      </c>
      <c r="T86" s="829">
        <v>9.35</v>
      </c>
      <c r="U86" s="829">
        <v>10.73</v>
      </c>
      <c r="V86" s="829">
        <v>12.3</v>
      </c>
      <c r="W86" s="829"/>
      <c r="X86" s="829"/>
      <c r="Y86" s="829"/>
      <c r="Z86" s="829"/>
      <c r="AA86" s="829"/>
      <c r="AB86" s="829"/>
      <c r="AC86" s="830"/>
      <c r="AD86" s="513">
        <f t="shared" si="36"/>
        <v>0.40732005390853099</v>
      </c>
      <c r="AE86" s="507">
        <f t="shared" si="37"/>
        <v>0.95002233083453391</v>
      </c>
      <c r="AF86" s="507">
        <f t="shared" si="38"/>
        <v>1.7077886160473326</v>
      </c>
      <c r="AG86" s="507">
        <f t="shared" si="41"/>
        <v>2.6366004840811557</v>
      </c>
      <c r="AH86" s="507">
        <f t="shared" si="50"/>
        <v>4.1196882563768051</v>
      </c>
      <c r="AI86" s="507">
        <f t="shared" si="51"/>
        <v>5.4255100923973245</v>
      </c>
      <c r="AJ86" s="507">
        <f t="shared" si="52"/>
        <v>7.1293732884239978</v>
      </c>
      <c r="AK86" s="507"/>
      <c r="AL86" s="507"/>
      <c r="AM86" s="507"/>
      <c r="AN86" s="507"/>
      <c r="AO86" s="507"/>
      <c r="AP86" s="507"/>
      <c r="AQ86" s="831"/>
    </row>
    <row r="87" spans="1:43" ht="13.5" customHeight="1">
      <c r="A87" s="34" t="e">
        <f t="shared" si="42"/>
        <v>#VALUE!</v>
      </c>
      <c r="B87" s="1095" t="e">
        <f t="shared" si="43"/>
        <v>#VALUE!</v>
      </c>
      <c r="C87" s="34" t="e">
        <f t="shared" si="44"/>
        <v>#VALUE!</v>
      </c>
      <c r="D87" s="1094" t="e">
        <f t="shared" si="45"/>
        <v>#VALUE!</v>
      </c>
      <c r="E87" s="34" t="e">
        <f t="shared" si="46"/>
        <v>#VALUE!</v>
      </c>
      <c r="F87" s="1094" t="e">
        <f t="shared" si="47"/>
        <v>#VALUE!</v>
      </c>
      <c r="G87" s="34" t="e">
        <f t="shared" si="48"/>
        <v>#VALUE!</v>
      </c>
      <c r="H87" s="1094" t="e">
        <f t="shared" si="49"/>
        <v>#VALUE!</v>
      </c>
      <c r="I87" s="533"/>
      <c r="J87" s="825">
        <v>1842</v>
      </c>
      <c r="K87" s="826"/>
      <c r="L87" s="1064" t="s">
        <v>1512</v>
      </c>
      <c r="M87" s="826" t="s">
        <v>575</v>
      </c>
      <c r="N87" s="827" t="s">
        <v>1515</v>
      </c>
      <c r="O87" s="520">
        <v>0</v>
      </c>
      <c r="P87" s="828">
        <v>2.956666666666667</v>
      </c>
      <c r="Q87" s="829">
        <v>4.3500000000000005</v>
      </c>
      <c r="R87" s="829">
        <v>6.11</v>
      </c>
      <c r="S87" s="829">
        <v>7.5733333333333333</v>
      </c>
      <c r="T87" s="829">
        <v>9.2799999999999994</v>
      </c>
      <c r="U87" s="829">
        <v>10.82</v>
      </c>
      <c r="V87" s="829">
        <v>12.643333333333333</v>
      </c>
      <c r="W87" s="829"/>
      <c r="X87" s="829"/>
      <c r="Y87" s="829"/>
      <c r="Z87" s="829"/>
      <c r="AA87" s="829"/>
      <c r="AB87" s="829"/>
      <c r="AC87" s="830"/>
      <c r="AD87" s="513">
        <f t="shared" si="36"/>
        <v>0.41195128507869816</v>
      </c>
      <c r="AE87" s="507">
        <f t="shared" si="37"/>
        <v>0.89170180481329309</v>
      </c>
      <c r="AF87" s="507">
        <f t="shared" si="38"/>
        <v>1.759233766546193</v>
      </c>
      <c r="AG87" s="507">
        <f t="shared" si="41"/>
        <v>2.7028085020580086</v>
      </c>
      <c r="AH87" s="507">
        <f t="shared" si="50"/>
        <v>4.0582339916836085</v>
      </c>
      <c r="AI87" s="507">
        <f t="shared" si="51"/>
        <v>5.5169068766718858</v>
      </c>
      <c r="AJ87" s="507">
        <f t="shared" si="52"/>
        <v>7.5329365211176098</v>
      </c>
      <c r="AK87" s="507"/>
      <c r="AL87" s="507"/>
      <c r="AM87" s="507"/>
      <c r="AN87" s="507"/>
      <c r="AO87" s="507"/>
      <c r="AP87" s="507"/>
      <c r="AQ87" s="831"/>
    </row>
    <row r="88" spans="1:43" ht="13.5" customHeight="1">
      <c r="A88" s="34" t="e">
        <f t="shared" si="42"/>
        <v>#VALUE!</v>
      </c>
      <c r="B88" s="1095" t="e">
        <f t="shared" si="43"/>
        <v>#VALUE!</v>
      </c>
      <c r="C88" s="34" t="e">
        <f t="shared" si="44"/>
        <v>#VALUE!</v>
      </c>
      <c r="D88" s="1094" t="e">
        <f t="shared" si="45"/>
        <v>#VALUE!</v>
      </c>
      <c r="E88" s="34" t="e">
        <f t="shared" si="46"/>
        <v>#VALUE!</v>
      </c>
      <c r="F88" s="1094" t="e">
        <f t="shared" si="47"/>
        <v>#VALUE!</v>
      </c>
      <c r="G88" s="34" t="e">
        <f t="shared" si="48"/>
        <v>#VALUE!</v>
      </c>
      <c r="H88" s="1094" t="e">
        <f t="shared" si="49"/>
        <v>#VALUE!</v>
      </c>
      <c r="I88" s="533"/>
      <c r="J88" s="825" t="s">
        <v>1536</v>
      </c>
      <c r="K88" s="826"/>
      <c r="L88" s="1064" t="s">
        <v>1512</v>
      </c>
      <c r="M88" s="826" t="s">
        <v>575</v>
      </c>
      <c r="N88" s="827" t="s">
        <v>1243</v>
      </c>
      <c r="O88" s="520">
        <v>0</v>
      </c>
      <c r="P88" s="828">
        <v>3.13</v>
      </c>
      <c r="Q88" s="829">
        <v>3.28</v>
      </c>
      <c r="R88" s="829">
        <v>3.74</v>
      </c>
      <c r="S88" s="829">
        <v>4.0599999999999996</v>
      </c>
      <c r="T88" s="829">
        <v>4.5999999999999996</v>
      </c>
      <c r="U88" s="829">
        <v>4.9400000000000004</v>
      </c>
      <c r="V88" s="829">
        <v>5.41</v>
      </c>
      <c r="W88" s="829">
        <v>5.89</v>
      </c>
      <c r="X88" s="829">
        <v>6.69</v>
      </c>
      <c r="Y88" s="829">
        <v>7.54</v>
      </c>
      <c r="Z88" s="829">
        <v>8.6999999999999993</v>
      </c>
      <c r="AA88" s="829">
        <v>9.89</v>
      </c>
      <c r="AB88" s="829"/>
      <c r="AC88" s="830"/>
      <c r="AD88" s="513">
        <f t="shared" si="36"/>
        <v>0.46166803601930761</v>
      </c>
      <c r="AE88" s="507">
        <f t="shared" si="37"/>
        <v>0.50697765606570633</v>
      </c>
      <c r="AF88" s="507">
        <f t="shared" si="38"/>
        <v>0.65915012102028891</v>
      </c>
      <c r="AG88" s="507">
        <f t="shared" si="41"/>
        <v>0.77677134997069053</v>
      </c>
      <c r="AH88" s="507">
        <f t="shared" si="50"/>
        <v>0.99714150824940007</v>
      </c>
      <c r="AI88" s="507">
        <f t="shared" si="51"/>
        <v>1.1499925572171585</v>
      </c>
      <c r="AJ88" s="507">
        <f t="shared" si="52"/>
        <v>1.3792267191679715</v>
      </c>
      <c r="AK88" s="507"/>
      <c r="AL88" s="507"/>
      <c r="AM88" s="507"/>
      <c r="AN88" s="507"/>
      <c r="AO88" s="507"/>
      <c r="AP88" s="507"/>
      <c r="AQ88" s="831"/>
    </row>
    <row r="89" spans="1:43" ht="13.5" customHeight="1">
      <c r="A89" s="34" t="e">
        <f t="shared" si="42"/>
        <v>#VALUE!</v>
      </c>
      <c r="B89" s="1095" t="e">
        <f t="shared" si="43"/>
        <v>#VALUE!</v>
      </c>
      <c r="C89" s="34" t="e">
        <f t="shared" si="44"/>
        <v>#VALUE!</v>
      </c>
      <c r="D89" s="1094" t="e">
        <f t="shared" si="45"/>
        <v>#VALUE!</v>
      </c>
      <c r="E89" s="34" t="e">
        <f t="shared" si="46"/>
        <v>#VALUE!</v>
      </c>
      <c r="F89" s="1094" t="e">
        <f t="shared" si="47"/>
        <v>#VALUE!</v>
      </c>
      <c r="G89" s="34" t="e">
        <f t="shared" si="48"/>
        <v>#VALUE!</v>
      </c>
      <c r="H89" s="1094" t="e">
        <f t="shared" si="49"/>
        <v>#VALUE!</v>
      </c>
      <c r="I89" s="533"/>
      <c r="J89" s="1065" t="s">
        <v>1537</v>
      </c>
      <c r="K89" s="826"/>
      <c r="L89" s="1064" t="s">
        <v>1512</v>
      </c>
      <c r="M89" s="826" t="s">
        <v>575</v>
      </c>
      <c r="N89" s="827" t="s">
        <v>1243</v>
      </c>
      <c r="O89" s="520">
        <v>0</v>
      </c>
      <c r="P89" s="828">
        <v>3.17</v>
      </c>
      <c r="Q89" s="829">
        <v>3.28</v>
      </c>
      <c r="R89" s="829">
        <v>3.72</v>
      </c>
      <c r="S89" s="829">
        <v>3.98</v>
      </c>
      <c r="T89" s="829">
        <v>4.53</v>
      </c>
      <c r="U89" s="829">
        <v>4.93</v>
      </c>
      <c r="V89" s="829">
        <v>5.43</v>
      </c>
      <c r="W89" s="829">
        <v>5.83</v>
      </c>
      <c r="X89" s="829"/>
      <c r="Y89" s="829">
        <v>7.51</v>
      </c>
      <c r="Z89" s="829">
        <v>8.5299999999999994</v>
      </c>
      <c r="AA89" s="829">
        <v>9.69</v>
      </c>
      <c r="AB89" s="829"/>
      <c r="AC89" s="830"/>
      <c r="AD89" s="513">
        <f t="shared" si="36"/>
        <v>0.47354325624987714</v>
      </c>
      <c r="AE89" s="507">
        <f t="shared" si="37"/>
        <v>0.50697765606570633</v>
      </c>
      <c r="AF89" s="507">
        <f t="shared" si="38"/>
        <v>0.65211923666155502</v>
      </c>
      <c r="AG89" s="507">
        <f t="shared" si="41"/>
        <v>0.74646126404885649</v>
      </c>
      <c r="AH89" s="507">
        <f t="shared" si="50"/>
        <v>0.9670246302757618</v>
      </c>
      <c r="AI89" s="507">
        <f t="shared" si="51"/>
        <v>1.1453414292935182</v>
      </c>
      <c r="AJ89" s="507">
        <f t="shared" si="52"/>
        <v>1.3894431784774453</v>
      </c>
      <c r="AK89" s="507"/>
      <c r="AL89" s="507"/>
      <c r="AM89" s="507"/>
      <c r="AN89" s="507"/>
      <c r="AO89" s="507"/>
      <c r="AP89" s="507"/>
      <c r="AQ89" s="831"/>
    </row>
    <row r="90" spans="1:43" ht="13.5" customHeight="1">
      <c r="A90" s="34" t="e">
        <f t="shared" si="42"/>
        <v>#VALUE!</v>
      </c>
      <c r="B90" s="1095" t="e">
        <f t="shared" si="43"/>
        <v>#VALUE!</v>
      </c>
      <c r="C90" s="34" t="e">
        <f t="shared" si="44"/>
        <v>#VALUE!</v>
      </c>
      <c r="D90" s="1094" t="e">
        <f t="shared" si="45"/>
        <v>#VALUE!</v>
      </c>
      <c r="E90" s="34" t="e">
        <f t="shared" si="46"/>
        <v>#VALUE!</v>
      </c>
      <c r="F90" s="1094" t="e">
        <f t="shared" si="47"/>
        <v>#VALUE!</v>
      </c>
      <c r="G90" s="34" t="e">
        <f t="shared" si="48"/>
        <v>#VALUE!</v>
      </c>
      <c r="H90" s="1094" t="e">
        <f t="shared" si="49"/>
        <v>#VALUE!</v>
      </c>
      <c r="I90" s="533"/>
      <c r="J90" s="1065" t="s">
        <v>1538</v>
      </c>
      <c r="K90" s="826"/>
      <c r="L90" s="1064" t="s">
        <v>1512</v>
      </c>
      <c r="M90" s="826" t="s">
        <v>575</v>
      </c>
      <c r="N90" s="827" t="s">
        <v>1244</v>
      </c>
      <c r="O90" s="520">
        <v>0</v>
      </c>
      <c r="P90" s="828">
        <v>3.07</v>
      </c>
      <c r="Q90" s="829">
        <v>3.34</v>
      </c>
      <c r="R90" s="829">
        <v>3.84</v>
      </c>
      <c r="S90" s="829">
        <v>4.2699999999999996</v>
      </c>
      <c r="T90" s="829">
        <v>4.68</v>
      </c>
      <c r="U90" s="829">
        <v>4.9400000000000004</v>
      </c>
      <c r="V90" s="829">
        <v>5.29</v>
      </c>
      <c r="W90" s="829">
        <v>5.64</v>
      </c>
      <c r="X90" s="829">
        <v>6.21</v>
      </c>
      <c r="Y90" s="829">
        <v>6.74</v>
      </c>
      <c r="Z90" s="829">
        <v>7.32</v>
      </c>
      <c r="AA90" s="829">
        <v>7.92</v>
      </c>
      <c r="AB90" s="829"/>
      <c r="AC90" s="830"/>
      <c r="AD90" s="513">
        <f t="shared" si="36"/>
        <v>0.4441379490122766</v>
      </c>
      <c r="AE90" s="507">
        <f t="shared" si="37"/>
        <v>0.52569526509579445</v>
      </c>
      <c r="AF90" s="507">
        <f t="shared" si="38"/>
        <v>0.69487002949160481</v>
      </c>
      <c r="AG90" s="507">
        <f t="shared" si="41"/>
        <v>0.85920517040456001</v>
      </c>
      <c r="AH90" s="507">
        <f t="shared" si="50"/>
        <v>1.032126284039776</v>
      </c>
      <c r="AI90" s="507">
        <f t="shared" si="51"/>
        <v>1.1499925572171585</v>
      </c>
      <c r="AJ90" s="507">
        <f t="shared" si="52"/>
        <v>1.3187196446598322</v>
      </c>
      <c r="AK90" s="507"/>
      <c r="AL90" s="507"/>
      <c r="AM90" s="507"/>
      <c r="AN90" s="507"/>
      <c r="AO90" s="507"/>
      <c r="AP90" s="507"/>
      <c r="AQ90" s="831"/>
    </row>
    <row r="91" spans="1:43" ht="13.5" customHeight="1">
      <c r="A91" s="34" t="e">
        <f t="shared" si="42"/>
        <v>#VALUE!</v>
      </c>
      <c r="B91" s="1095" t="e">
        <f t="shared" si="43"/>
        <v>#VALUE!</v>
      </c>
      <c r="C91" s="34" t="e">
        <f t="shared" si="44"/>
        <v>#VALUE!</v>
      </c>
      <c r="D91" s="1094" t="e">
        <f t="shared" si="45"/>
        <v>#VALUE!</v>
      </c>
      <c r="E91" s="34" t="e">
        <f t="shared" si="46"/>
        <v>#VALUE!</v>
      </c>
      <c r="F91" s="1094" t="e">
        <f t="shared" si="47"/>
        <v>#VALUE!</v>
      </c>
      <c r="G91" s="34" t="e">
        <f t="shared" si="48"/>
        <v>#VALUE!</v>
      </c>
      <c r="H91" s="1094" t="e">
        <f t="shared" si="49"/>
        <v>#VALUE!</v>
      </c>
      <c r="I91" s="533"/>
      <c r="J91" s="825" t="s">
        <v>1543</v>
      </c>
      <c r="K91" s="826"/>
      <c r="L91" s="1064" t="s">
        <v>1512</v>
      </c>
      <c r="M91" s="826"/>
      <c r="N91" s="827" t="s">
        <v>169</v>
      </c>
      <c r="O91" s="520">
        <v>0</v>
      </c>
      <c r="P91" s="828">
        <v>6.23</v>
      </c>
      <c r="Q91" s="829"/>
      <c r="R91" s="829"/>
      <c r="S91" s="829"/>
      <c r="T91" s="829"/>
      <c r="U91" s="829"/>
      <c r="V91" s="829"/>
      <c r="W91" s="829"/>
      <c r="X91" s="829"/>
      <c r="Y91" s="829"/>
      <c r="Z91" s="829"/>
      <c r="AA91" s="829"/>
      <c r="AB91" s="829"/>
      <c r="AC91" s="830"/>
      <c r="AD91" s="513">
        <f t="shared" si="36"/>
        <v>1.8290148225677294</v>
      </c>
      <c r="AE91" s="507">
        <f t="shared" si="37"/>
        <v>0</v>
      </c>
      <c r="AF91" s="507">
        <f t="shared" si="38"/>
        <v>0</v>
      </c>
      <c r="AG91" s="507">
        <f t="shared" si="41"/>
        <v>0</v>
      </c>
      <c r="AH91" s="507">
        <f t="shared" si="50"/>
        <v>0</v>
      </c>
      <c r="AI91" s="507">
        <f t="shared" si="51"/>
        <v>0</v>
      </c>
      <c r="AJ91" s="507">
        <f t="shared" si="52"/>
        <v>0</v>
      </c>
      <c r="AK91" s="507"/>
      <c r="AL91" s="507"/>
      <c r="AM91" s="507"/>
      <c r="AN91" s="507"/>
      <c r="AO91" s="507"/>
      <c r="AP91" s="507"/>
      <c r="AQ91" s="831"/>
    </row>
    <row r="92" spans="1:43" ht="13.5" customHeight="1">
      <c r="A92" s="34" t="e">
        <f t="shared" si="42"/>
        <v>#VALUE!</v>
      </c>
      <c r="B92" s="1095" t="e">
        <f t="shared" si="43"/>
        <v>#VALUE!</v>
      </c>
      <c r="C92" s="34" t="e">
        <f t="shared" si="44"/>
        <v>#VALUE!</v>
      </c>
      <c r="D92" s="1094" t="e">
        <f t="shared" si="45"/>
        <v>#VALUE!</v>
      </c>
      <c r="E92" s="34" t="e">
        <f t="shared" si="46"/>
        <v>#VALUE!</v>
      </c>
      <c r="F92" s="1094" t="e">
        <f t="shared" si="47"/>
        <v>#VALUE!</v>
      </c>
      <c r="G92" s="34" t="e">
        <f t="shared" si="48"/>
        <v>#VALUE!</v>
      </c>
      <c r="H92" s="1094" t="e">
        <f t="shared" si="49"/>
        <v>#VALUE!</v>
      </c>
      <c r="I92" s="533"/>
      <c r="J92" s="825" t="s">
        <v>1518</v>
      </c>
      <c r="K92" s="826"/>
      <c r="L92" s="1064" t="s">
        <v>1512</v>
      </c>
      <c r="M92" s="826" t="s">
        <v>575</v>
      </c>
      <c r="N92" s="827" t="s">
        <v>1515</v>
      </c>
      <c r="O92" s="520">
        <v>0</v>
      </c>
      <c r="P92" s="828">
        <v>2.97</v>
      </c>
      <c r="Q92" s="829">
        <v>4.43</v>
      </c>
      <c r="R92" s="829">
        <v>6.06</v>
      </c>
      <c r="S92" s="829">
        <v>7.73</v>
      </c>
      <c r="T92" s="829">
        <v>9.5</v>
      </c>
      <c r="U92" s="829">
        <v>10.94</v>
      </c>
      <c r="V92" s="829">
        <v>12.54</v>
      </c>
      <c r="W92" s="829"/>
      <c r="X92" s="829"/>
      <c r="Y92" s="829"/>
      <c r="Z92" s="829"/>
      <c r="AA92" s="829"/>
      <c r="AB92" s="829"/>
      <c r="AC92" s="830"/>
      <c r="AD92" s="513">
        <f t="shared" si="36"/>
        <v>0.41567511957075315</v>
      </c>
      <c r="AE92" s="507">
        <f t="shared" si="37"/>
        <v>0.92480162501151486</v>
      </c>
      <c r="AF92" s="507">
        <f t="shared" si="38"/>
        <v>1.7305588796005518</v>
      </c>
      <c r="AG92" s="507">
        <f t="shared" si="41"/>
        <v>2.8157890750602839</v>
      </c>
      <c r="AH92" s="507">
        <f t="shared" si="50"/>
        <v>4.2529310547971821</v>
      </c>
      <c r="AI92" s="507">
        <f t="shared" si="51"/>
        <v>5.63995677772769</v>
      </c>
      <c r="AJ92" s="507">
        <f t="shared" si="52"/>
        <v>7.41030706987861</v>
      </c>
      <c r="AK92" s="507"/>
      <c r="AL92" s="507"/>
      <c r="AM92" s="507"/>
      <c r="AN92" s="507"/>
      <c r="AO92" s="507"/>
      <c r="AP92" s="507"/>
      <c r="AQ92" s="831"/>
    </row>
    <row r="93" spans="1:43" ht="13.5" customHeight="1">
      <c r="A93" s="34" t="e">
        <f t="shared" si="42"/>
        <v>#VALUE!</v>
      </c>
      <c r="B93" s="1095" t="e">
        <f t="shared" si="43"/>
        <v>#VALUE!</v>
      </c>
      <c r="C93" s="34" t="e">
        <f t="shared" si="44"/>
        <v>#VALUE!</v>
      </c>
      <c r="D93" s="1094" t="e">
        <f t="shared" si="45"/>
        <v>#VALUE!</v>
      </c>
      <c r="E93" s="34" t="e">
        <f t="shared" si="46"/>
        <v>#VALUE!</v>
      </c>
      <c r="F93" s="1094" t="e">
        <f t="shared" si="47"/>
        <v>#VALUE!</v>
      </c>
      <c r="G93" s="34" t="e">
        <f t="shared" si="48"/>
        <v>#VALUE!</v>
      </c>
      <c r="H93" s="1094" t="e">
        <f t="shared" si="49"/>
        <v>#VALUE!</v>
      </c>
      <c r="I93" s="533"/>
      <c r="J93" s="825" t="s">
        <v>1519</v>
      </c>
      <c r="K93" s="826"/>
      <c r="L93" s="1064" t="s">
        <v>1512</v>
      </c>
      <c r="M93" s="826" t="s">
        <v>575</v>
      </c>
      <c r="N93" s="827" t="s">
        <v>1515</v>
      </c>
      <c r="O93" s="520">
        <v>0</v>
      </c>
      <c r="P93" s="828">
        <v>2.95</v>
      </c>
      <c r="Q93" s="829">
        <v>4.43</v>
      </c>
      <c r="R93" s="829">
        <v>6.03</v>
      </c>
      <c r="S93" s="829">
        <v>7.76</v>
      </c>
      <c r="T93" s="829">
        <v>9.4600000000000009</v>
      </c>
      <c r="U93" s="829">
        <v>10.96</v>
      </c>
      <c r="V93" s="829">
        <v>12.57</v>
      </c>
      <c r="W93" s="829"/>
      <c r="X93" s="829"/>
      <c r="Y93" s="829"/>
      <c r="Z93" s="829"/>
      <c r="AA93" s="829"/>
      <c r="AB93" s="829"/>
      <c r="AC93" s="830"/>
      <c r="AD93" s="513">
        <f t="shared" si="36"/>
        <v>0.41009565101797768</v>
      </c>
      <c r="AE93" s="507">
        <f t="shared" si="37"/>
        <v>0.92480162501151486</v>
      </c>
      <c r="AF93" s="507">
        <f t="shared" si="38"/>
        <v>1.7134670447686968</v>
      </c>
      <c r="AG93" s="507">
        <f t="shared" si="41"/>
        <v>2.837687546652131</v>
      </c>
      <c r="AH93" s="507">
        <f t="shared" si="50"/>
        <v>4.2171922967699453</v>
      </c>
      <c r="AI93" s="507">
        <f t="shared" si="51"/>
        <v>5.6605970414617763</v>
      </c>
      <c r="AJ93" s="507">
        <f t="shared" si="52"/>
        <v>7.4458054960678499</v>
      </c>
      <c r="AK93" s="507"/>
      <c r="AL93" s="507"/>
      <c r="AM93" s="507"/>
      <c r="AN93" s="507"/>
      <c r="AO93" s="507"/>
      <c r="AP93" s="507"/>
      <c r="AQ93" s="831"/>
    </row>
    <row r="94" spans="1:43" ht="13.5" customHeight="1">
      <c r="A94" s="34" t="e">
        <f t="shared" si="42"/>
        <v>#VALUE!</v>
      </c>
      <c r="B94" s="1095" t="e">
        <f t="shared" si="43"/>
        <v>#VALUE!</v>
      </c>
      <c r="C94" s="34" t="e">
        <f t="shared" si="44"/>
        <v>#VALUE!</v>
      </c>
      <c r="D94" s="1094" t="e">
        <f t="shared" si="45"/>
        <v>#VALUE!</v>
      </c>
      <c r="E94" s="34" t="e">
        <f t="shared" si="46"/>
        <v>#VALUE!</v>
      </c>
      <c r="F94" s="1094" t="e">
        <f t="shared" si="47"/>
        <v>#VALUE!</v>
      </c>
      <c r="G94" s="34" t="e">
        <f t="shared" si="48"/>
        <v>#VALUE!</v>
      </c>
      <c r="H94" s="1094" t="e">
        <f t="shared" si="49"/>
        <v>#VALUE!</v>
      </c>
      <c r="I94" s="533"/>
      <c r="J94" s="825" t="s">
        <v>1524</v>
      </c>
      <c r="K94" s="826"/>
      <c r="L94" s="1064" t="s">
        <v>1512</v>
      </c>
      <c r="M94" s="826" t="s">
        <v>575</v>
      </c>
      <c r="N94" s="827" t="s">
        <v>1513</v>
      </c>
      <c r="O94" s="520">
        <v>0</v>
      </c>
      <c r="P94" s="828">
        <v>2.99</v>
      </c>
      <c r="Q94" s="829">
        <v>4.7300000000000004</v>
      </c>
      <c r="R94" s="829">
        <v>6.28</v>
      </c>
      <c r="S94" s="829">
        <v>7.9</v>
      </c>
      <c r="T94" s="829">
        <v>9.61</v>
      </c>
      <c r="U94" s="829">
        <v>11</v>
      </c>
      <c r="V94" s="829">
        <v>12.63</v>
      </c>
      <c r="W94" s="829"/>
      <c r="X94" s="829"/>
      <c r="Y94" s="829"/>
      <c r="Z94" s="829"/>
      <c r="AA94" s="829"/>
      <c r="AB94" s="829"/>
      <c r="AC94" s="830"/>
      <c r="AD94" s="513">
        <f t="shared" si="36"/>
        <v>0.42129228723537171</v>
      </c>
      <c r="AE94" s="507">
        <f t="shared" si="37"/>
        <v>1.0542980741924863</v>
      </c>
      <c r="AF94" s="507">
        <f t="shared" si="38"/>
        <v>1.8584908156400355</v>
      </c>
      <c r="AG94" s="507">
        <f t="shared" si="41"/>
        <v>2.9410019626580852</v>
      </c>
      <c r="AH94" s="507">
        <f t="shared" si="50"/>
        <v>4.3519901835538484</v>
      </c>
      <c r="AI94" s="507">
        <f t="shared" si="51"/>
        <v>5.7019906662654751</v>
      </c>
      <c r="AJ94" s="507">
        <f t="shared" si="52"/>
        <v>7.517056817451266</v>
      </c>
      <c r="AK94" s="507"/>
      <c r="AL94" s="507"/>
      <c r="AM94" s="507"/>
      <c r="AN94" s="507"/>
      <c r="AO94" s="507"/>
      <c r="AP94" s="507"/>
      <c r="AQ94" s="831"/>
    </row>
    <row r="95" spans="1:43" ht="13.5" customHeight="1">
      <c r="A95" s="34" t="e">
        <f t="shared" si="42"/>
        <v>#VALUE!</v>
      </c>
      <c r="B95" s="1095" t="e">
        <f t="shared" si="43"/>
        <v>#VALUE!</v>
      </c>
      <c r="C95" s="34" t="e">
        <f t="shared" si="44"/>
        <v>#VALUE!</v>
      </c>
      <c r="D95" s="1094" t="e">
        <f t="shared" si="45"/>
        <v>#VALUE!</v>
      </c>
      <c r="E95" s="34" t="e">
        <f t="shared" si="46"/>
        <v>#VALUE!</v>
      </c>
      <c r="F95" s="1094" t="e">
        <f t="shared" si="47"/>
        <v>#VALUE!</v>
      </c>
      <c r="G95" s="34" t="e">
        <f t="shared" si="48"/>
        <v>#VALUE!</v>
      </c>
      <c r="H95" s="1094" t="e">
        <f t="shared" si="49"/>
        <v>#VALUE!</v>
      </c>
      <c r="I95" s="533"/>
      <c r="J95" s="825" t="s">
        <v>1525</v>
      </c>
      <c r="K95" s="826"/>
      <c r="L95" s="1064" t="s">
        <v>1512</v>
      </c>
      <c r="M95" s="826" t="s">
        <v>575</v>
      </c>
      <c r="N95" s="827" t="s">
        <v>1513</v>
      </c>
      <c r="O95" s="520">
        <v>0</v>
      </c>
      <c r="P95" s="828">
        <v>3.1</v>
      </c>
      <c r="Q95" s="829">
        <v>4.79</v>
      </c>
      <c r="R95" s="829">
        <v>6.81</v>
      </c>
      <c r="S95" s="829">
        <v>7.84</v>
      </c>
      <c r="T95" s="829">
        <v>9.66</v>
      </c>
      <c r="U95" s="829">
        <v>10.93</v>
      </c>
      <c r="V95" s="829">
        <v>12.68</v>
      </c>
      <c r="W95" s="829"/>
      <c r="X95" s="829"/>
      <c r="Y95" s="829"/>
      <c r="Z95" s="829"/>
      <c r="AA95" s="829"/>
      <c r="AB95" s="829"/>
      <c r="AC95" s="830"/>
      <c r="AD95" s="513">
        <f t="shared" ref="AD95:AD113" si="53">P95^2*PI()/4*60/1000</f>
        <v>0.45286058101496879</v>
      </c>
      <c r="AE95" s="507">
        <f t="shared" si="37"/>
        <v>1.0812152400484436</v>
      </c>
      <c r="AF95" s="507">
        <f t="shared" si="38"/>
        <v>2.1854222259321836</v>
      </c>
      <c r="AG95" s="507">
        <f t="shared" si="41"/>
        <v>2.8964981611273317</v>
      </c>
      <c r="AH95" s="507">
        <f t="shared" si="50"/>
        <v>4.3973940513798562</v>
      </c>
      <c r="AI95" s="507">
        <f t="shared" si="51"/>
        <v>5.6296507830275884</v>
      </c>
      <c r="AJ95" s="507">
        <f t="shared" si="52"/>
        <v>7.5766920999980343</v>
      </c>
      <c r="AK95" s="507"/>
      <c r="AL95" s="507"/>
      <c r="AM95" s="507"/>
      <c r="AN95" s="507"/>
      <c r="AO95" s="507"/>
      <c r="AP95" s="507"/>
      <c r="AQ95" s="831"/>
    </row>
    <row r="96" spans="1:43" ht="13.5" customHeight="1">
      <c r="A96" s="34" t="e">
        <f t="shared" si="42"/>
        <v>#VALUE!</v>
      </c>
      <c r="B96" s="1095" t="e">
        <f t="shared" si="43"/>
        <v>#VALUE!</v>
      </c>
      <c r="C96" s="34" t="e">
        <f t="shared" si="44"/>
        <v>#VALUE!</v>
      </c>
      <c r="D96" s="1094" t="e">
        <f t="shared" si="45"/>
        <v>#VALUE!</v>
      </c>
      <c r="E96" s="34" t="e">
        <f t="shared" si="46"/>
        <v>#VALUE!</v>
      </c>
      <c r="F96" s="1094" t="e">
        <f t="shared" si="47"/>
        <v>#VALUE!</v>
      </c>
      <c r="G96" s="34" t="e">
        <f t="shared" si="48"/>
        <v>#VALUE!</v>
      </c>
      <c r="H96" s="1094" t="e">
        <f t="shared" si="49"/>
        <v>#VALUE!</v>
      </c>
      <c r="I96" s="533"/>
      <c r="J96" s="825" t="s">
        <v>1526</v>
      </c>
      <c r="K96" s="826"/>
      <c r="L96" s="1064" t="s">
        <v>1512</v>
      </c>
      <c r="M96" s="826" t="s">
        <v>575</v>
      </c>
      <c r="N96" s="827" t="s">
        <v>1514</v>
      </c>
      <c r="O96" s="520">
        <v>0</v>
      </c>
      <c r="P96" s="828">
        <v>3.02</v>
      </c>
      <c r="Q96" s="829">
        <v>4.71</v>
      </c>
      <c r="R96" s="829">
        <v>6.41</v>
      </c>
      <c r="S96" s="829">
        <v>8.0399999999999991</v>
      </c>
      <c r="T96" s="829">
        <v>9.61</v>
      </c>
      <c r="U96" s="829">
        <v>11.02</v>
      </c>
      <c r="V96" s="829">
        <v>12.66</v>
      </c>
      <c r="W96" s="829"/>
      <c r="X96" s="829"/>
      <c r="Y96" s="829"/>
      <c r="Z96" s="829"/>
      <c r="AA96" s="829"/>
      <c r="AB96" s="829"/>
      <c r="AC96" s="830"/>
      <c r="AD96" s="513">
        <f t="shared" si="53"/>
        <v>0.42978872456700529</v>
      </c>
      <c r="AE96" s="507">
        <f t="shared" si="37"/>
        <v>1.0454010837975201</v>
      </c>
      <c r="AF96" s="507">
        <f t="shared" si="38"/>
        <v>1.9362310966494418</v>
      </c>
      <c r="AG96" s="507">
        <f t="shared" si="41"/>
        <v>3.0461636351443486</v>
      </c>
      <c r="AH96" s="507">
        <f t="shared" si="50"/>
        <v>4.3519901835538484</v>
      </c>
      <c r="AI96" s="507">
        <f t="shared" si="51"/>
        <v>5.7227440273350885</v>
      </c>
      <c r="AJ96" s="507">
        <f t="shared" si="52"/>
        <v>7.552809712645443</v>
      </c>
      <c r="AK96" s="507"/>
      <c r="AL96" s="507"/>
      <c r="AM96" s="507"/>
      <c r="AN96" s="507"/>
      <c r="AO96" s="507"/>
      <c r="AP96" s="507"/>
      <c r="AQ96" s="831"/>
    </row>
    <row r="97" spans="1:43" ht="13.5" customHeight="1">
      <c r="A97" s="34" t="e">
        <f t="shared" si="42"/>
        <v>#VALUE!</v>
      </c>
      <c r="B97" s="1095" t="e">
        <f t="shared" si="43"/>
        <v>#VALUE!</v>
      </c>
      <c r="C97" s="34" t="e">
        <f t="shared" si="44"/>
        <v>#VALUE!</v>
      </c>
      <c r="D97" s="1094" t="e">
        <f t="shared" si="45"/>
        <v>#VALUE!</v>
      </c>
      <c r="E97" s="34" t="e">
        <f t="shared" si="46"/>
        <v>#VALUE!</v>
      </c>
      <c r="F97" s="1094" t="e">
        <f t="shared" si="47"/>
        <v>#VALUE!</v>
      </c>
      <c r="G97" s="34" t="e">
        <f t="shared" si="48"/>
        <v>#VALUE!</v>
      </c>
      <c r="H97" s="1094" t="e">
        <f t="shared" si="49"/>
        <v>#VALUE!</v>
      </c>
      <c r="I97" s="533"/>
      <c r="J97" s="825" t="s">
        <v>1527</v>
      </c>
      <c r="K97" s="826"/>
      <c r="L97" s="1064" t="s">
        <v>1512</v>
      </c>
      <c r="M97" s="826" t="s">
        <v>575</v>
      </c>
      <c r="N97" s="827" t="s">
        <v>1514</v>
      </c>
      <c r="O97" s="520">
        <v>0</v>
      </c>
      <c r="P97" s="828">
        <v>3.29</v>
      </c>
      <c r="Q97" s="829">
        <v>4.6500000000000004</v>
      </c>
      <c r="R97" s="829">
        <v>6.4</v>
      </c>
      <c r="S97" s="829">
        <v>8.01</v>
      </c>
      <c r="T97" s="829">
        <v>9.66</v>
      </c>
      <c r="U97" s="829">
        <v>11.03</v>
      </c>
      <c r="V97" s="829">
        <v>12.6</v>
      </c>
      <c r="W97" s="829"/>
      <c r="X97" s="829"/>
      <c r="Y97" s="829"/>
      <c r="Z97" s="829"/>
      <c r="AA97" s="829"/>
      <c r="AB97" s="829"/>
      <c r="AC97" s="830"/>
      <c r="AD97" s="513">
        <f t="shared" si="53"/>
        <v>0.51007369562581917</v>
      </c>
      <c r="AE97" s="507">
        <f t="shared" ref="AE97:AE112" si="54">Q97^2*PI()/4*60/1000</f>
        <v>1.0189363072836795</v>
      </c>
      <c r="AF97" s="507">
        <f t="shared" si="38"/>
        <v>1.9301945263655691</v>
      </c>
      <c r="AG97" s="507">
        <f t="shared" si="41"/>
        <v>3.0234734822037974</v>
      </c>
      <c r="AH97" s="507">
        <f t="shared" si="50"/>
        <v>4.3973940513798562</v>
      </c>
      <c r="AI97" s="507">
        <f t="shared" si="51"/>
        <v>5.7331348450368358</v>
      </c>
      <c r="AJ97" s="507">
        <f t="shared" si="52"/>
        <v>7.4813887452587329</v>
      </c>
      <c r="AK97" s="507"/>
      <c r="AL97" s="507"/>
      <c r="AM97" s="507"/>
      <c r="AN97" s="507"/>
      <c r="AO97" s="507"/>
      <c r="AP97" s="507"/>
      <c r="AQ97" s="831"/>
    </row>
    <row r="98" spans="1:43" ht="13.5" customHeight="1">
      <c r="A98" s="34" t="e">
        <f t="shared" si="42"/>
        <v>#VALUE!</v>
      </c>
      <c r="B98" s="1095" t="e">
        <f t="shared" si="43"/>
        <v>#VALUE!</v>
      </c>
      <c r="C98" s="34" t="e">
        <f t="shared" si="44"/>
        <v>#VALUE!</v>
      </c>
      <c r="D98" s="1094" t="e">
        <f t="shared" si="45"/>
        <v>#VALUE!</v>
      </c>
      <c r="E98" s="34" t="e">
        <f t="shared" si="46"/>
        <v>#VALUE!</v>
      </c>
      <c r="F98" s="1094" t="e">
        <f t="shared" si="47"/>
        <v>#VALUE!</v>
      </c>
      <c r="G98" s="34" t="e">
        <f t="shared" si="48"/>
        <v>#VALUE!</v>
      </c>
      <c r="H98" s="1094" t="e">
        <f t="shared" si="49"/>
        <v>#VALUE!</v>
      </c>
      <c r="I98" s="533"/>
      <c r="J98" s="825" t="s">
        <v>1539</v>
      </c>
      <c r="K98" s="826"/>
      <c r="L98" s="1064" t="s">
        <v>1512</v>
      </c>
      <c r="M98" s="826" t="s">
        <v>575</v>
      </c>
      <c r="N98" s="827" t="s">
        <v>1243</v>
      </c>
      <c r="O98" s="520">
        <v>0</v>
      </c>
      <c r="P98" s="828">
        <v>3.06</v>
      </c>
      <c r="Q98" s="829">
        <v>3.33</v>
      </c>
      <c r="R98" s="829">
        <v>3.59</v>
      </c>
      <c r="S98" s="829">
        <v>4.18</v>
      </c>
      <c r="T98" s="829">
        <v>4.67</v>
      </c>
      <c r="U98" s="829">
        <v>4.8899999999999997</v>
      </c>
      <c r="V98" s="829">
        <v>5.28</v>
      </c>
      <c r="W98" s="829">
        <v>5.83</v>
      </c>
      <c r="X98" s="829">
        <v>6.74</v>
      </c>
      <c r="Y98" s="829">
        <v>7.61</v>
      </c>
      <c r="Z98" s="829">
        <v>8.75</v>
      </c>
      <c r="AA98" s="829">
        <v>9.85</v>
      </c>
      <c r="AB98" s="829"/>
      <c r="AC98" s="830"/>
      <c r="AD98" s="513">
        <f t="shared" si="53"/>
        <v>0.4412492545673008</v>
      </c>
      <c r="AE98" s="507">
        <f t="shared" si="54"/>
        <v>0.52255210164587784</v>
      </c>
      <c r="AF98" s="507">
        <f t="shared" si="38"/>
        <v>0.60733740418095905</v>
      </c>
      <c r="AG98" s="507">
        <f t="shared" si="41"/>
        <v>0.82336745220873442</v>
      </c>
      <c r="AH98" s="507">
        <f t="shared" si="50"/>
        <v>1.0277202003431165</v>
      </c>
      <c r="AI98" s="507">
        <f t="shared" si="51"/>
        <v>1.1268311653785672</v>
      </c>
      <c r="AJ98" s="507">
        <f t="shared" si="52"/>
        <v>1.3137386495075654</v>
      </c>
      <c r="AK98" s="507"/>
      <c r="AL98" s="507"/>
      <c r="AM98" s="507"/>
      <c r="AN98" s="507"/>
      <c r="AO98" s="507"/>
      <c r="AP98" s="507"/>
      <c r="AQ98" s="831"/>
    </row>
    <row r="99" spans="1:43" ht="13.5" customHeight="1">
      <c r="A99" s="34" t="e">
        <f t="shared" si="42"/>
        <v>#VALUE!</v>
      </c>
      <c r="B99" s="1095" t="e">
        <f t="shared" si="43"/>
        <v>#VALUE!</v>
      </c>
      <c r="C99" s="34" t="e">
        <f t="shared" si="44"/>
        <v>#VALUE!</v>
      </c>
      <c r="D99" s="1094" t="e">
        <f t="shared" si="45"/>
        <v>#VALUE!</v>
      </c>
      <c r="E99" s="34" t="e">
        <f t="shared" si="46"/>
        <v>#VALUE!</v>
      </c>
      <c r="F99" s="1094" t="e">
        <f t="shared" si="47"/>
        <v>#VALUE!</v>
      </c>
      <c r="G99" s="34" t="e">
        <f t="shared" si="48"/>
        <v>#VALUE!</v>
      </c>
      <c r="H99" s="1094" t="e">
        <f t="shared" si="49"/>
        <v>#VALUE!</v>
      </c>
      <c r="I99" s="533"/>
      <c r="J99" s="825" t="s">
        <v>1540</v>
      </c>
      <c r="K99" s="826"/>
      <c r="L99" s="1064" t="s">
        <v>1512</v>
      </c>
      <c r="M99" s="826" t="s">
        <v>575</v>
      </c>
      <c r="N99" s="827" t="s">
        <v>1243</v>
      </c>
      <c r="O99" s="520">
        <v>0</v>
      </c>
      <c r="P99" s="828">
        <v>2.89</v>
      </c>
      <c r="Q99" s="829">
        <v>2.99</v>
      </c>
      <c r="R99" s="829">
        <v>3.32</v>
      </c>
      <c r="S99" s="829">
        <v>4.2300000000000004</v>
      </c>
      <c r="T99" s="829">
        <v>4.4800000000000004</v>
      </c>
      <c r="U99" s="829">
        <v>4.8499999999999996</v>
      </c>
      <c r="V99" s="829">
        <v>5.36</v>
      </c>
      <c r="W99" s="829">
        <v>5.72</v>
      </c>
      <c r="X99" s="829">
        <v>6.73</v>
      </c>
      <c r="Y99" s="829">
        <v>7.61</v>
      </c>
      <c r="Z99" s="829">
        <v>8.74</v>
      </c>
      <c r="AA99" s="829">
        <v>9.91</v>
      </c>
      <c r="AB99" s="829"/>
      <c r="AC99" s="830"/>
      <c r="AD99" s="513">
        <f t="shared" si="53"/>
        <v>0.39358344003070966</v>
      </c>
      <c r="AE99" s="507">
        <f t="shared" si="54"/>
        <v>0.42129228723537171</v>
      </c>
      <c r="AF99" s="507">
        <f t="shared" si="38"/>
        <v>0.51941836297392208</v>
      </c>
      <c r="AG99" s="507">
        <f t="shared" si="41"/>
        <v>0.84318304787125242</v>
      </c>
      <c r="AH99" s="507">
        <f t="shared" si="50"/>
        <v>0.94579531791912885</v>
      </c>
      <c r="AI99" s="507">
        <f t="shared" si="51"/>
        <v>1.1084716979109885</v>
      </c>
      <c r="AJ99" s="507">
        <f t="shared" si="52"/>
        <v>1.3538505045086002</v>
      </c>
      <c r="AK99" s="507"/>
      <c r="AL99" s="507"/>
      <c r="AM99" s="507"/>
      <c r="AN99" s="507"/>
      <c r="AO99" s="507"/>
      <c r="AP99" s="507"/>
      <c r="AQ99" s="831"/>
    </row>
    <row r="100" spans="1:43" ht="13.5" customHeight="1">
      <c r="A100" s="34" t="e">
        <f t="shared" si="42"/>
        <v>#VALUE!</v>
      </c>
      <c r="B100" s="1095" t="e">
        <f t="shared" si="43"/>
        <v>#VALUE!</v>
      </c>
      <c r="C100" s="34" t="e">
        <f t="shared" si="44"/>
        <v>#VALUE!</v>
      </c>
      <c r="D100" s="1094" t="e">
        <f t="shared" si="45"/>
        <v>#VALUE!</v>
      </c>
      <c r="E100" s="34" t="e">
        <f t="shared" si="46"/>
        <v>#VALUE!</v>
      </c>
      <c r="F100" s="1094" t="e">
        <f t="shared" si="47"/>
        <v>#VALUE!</v>
      </c>
      <c r="G100" s="34" t="e">
        <f t="shared" si="48"/>
        <v>#VALUE!</v>
      </c>
      <c r="H100" s="1094" t="e">
        <f t="shared" si="49"/>
        <v>#VALUE!</v>
      </c>
      <c r="I100" s="533"/>
      <c r="J100" s="1065" t="s">
        <v>1541</v>
      </c>
      <c r="K100" s="826"/>
      <c r="L100" s="1064" t="s">
        <v>1512</v>
      </c>
      <c r="M100" s="826" t="s">
        <v>575</v>
      </c>
      <c r="N100" s="827" t="s">
        <v>1243</v>
      </c>
      <c r="O100" s="520">
        <v>0</v>
      </c>
      <c r="P100" s="828">
        <v>2.99</v>
      </c>
      <c r="Q100" s="829">
        <v>3.21</v>
      </c>
      <c r="R100" s="829">
        <v>3.62</v>
      </c>
      <c r="S100" s="829">
        <v>4.0199999999999996</v>
      </c>
      <c r="T100" s="829">
        <v>4.1100000000000003</v>
      </c>
      <c r="U100" s="829">
        <v>4.6900000000000004</v>
      </c>
      <c r="V100" s="829">
        <v>5.35</v>
      </c>
      <c r="W100" s="829">
        <v>5.66</v>
      </c>
      <c r="X100" s="829">
        <v>6.65</v>
      </c>
      <c r="Y100" s="829">
        <v>7.52</v>
      </c>
      <c r="Z100" s="829">
        <v>8.67</v>
      </c>
      <c r="AA100" s="829">
        <v>9.83</v>
      </c>
      <c r="AB100" s="829"/>
      <c r="AC100" s="830"/>
      <c r="AD100" s="513">
        <f t="shared" si="53"/>
        <v>0.42129228723537171</v>
      </c>
      <c r="AE100" s="507">
        <f t="shared" si="54"/>
        <v>0.48556927292781887</v>
      </c>
      <c r="AF100" s="507">
        <f t="shared" si="38"/>
        <v>0.61753030154553135</v>
      </c>
      <c r="AG100" s="507">
        <f t="shared" si="41"/>
        <v>0.76154090878608716</v>
      </c>
      <c r="AH100" s="507">
        <f t="shared" si="50"/>
        <v>0.7960214589555622</v>
      </c>
      <c r="AI100" s="507">
        <f t="shared" si="51"/>
        <v>1.0365417925143967</v>
      </c>
      <c r="AJ100" s="507">
        <f t="shared" si="52"/>
        <v>1.3488035359106074</v>
      </c>
      <c r="AK100" s="507"/>
      <c r="AL100" s="507"/>
      <c r="AM100" s="507"/>
      <c r="AN100" s="507"/>
      <c r="AO100" s="507"/>
      <c r="AP100" s="507"/>
      <c r="AQ100" s="831"/>
    </row>
    <row r="101" spans="1:43" ht="13.5" customHeight="1">
      <c r="A101" s="34" t="e">
        <f t="shared" si="42"/>
        <v>#VALUE!</v>
      </c>
      <c r="B101" s="1095" t="e">
        <f t="shared" si="43"/>
        <v>#VALUE!</v>
      </c>
      <c r="C101" s="34" t="e">
        <f t="shared" si="44"/>
        <v>#VALUE!</v>
      </c>
      <c r="D101" s="1094" t="e">
        <f t="shared" si="45"/>
        <v>#VALUE!</v>
      </c>
      <c r="E101" s="34" t="e">
        <f t="shared" si="46"/>
        <v>#VALUE!</v>
      </c>
      <c r="F101" s="1094" t="e">
        <f t="shared" si="47"/>
        <v>#VALUE!</v>
      </c>
      <c r="G101" s="34" t="e">
        <f t="shared" si="48"/>
        <v>#VALUE!</v>
      </c>
      <c r="H101" s="1094" t="e">
        <f t="shared" si="49"/>
        <v>#VALUE!</v>
      </c>
      <c r="I101" s="533"/>
      <c r="J101" s="1065" t="s">
        <v>1542</v>
      </c>
      <c r="K101" s="826"/>
      <c r="L101" s="1064" t="s">
        <v>1512</v>
      </c>
      <c r="M101" s="1064" t="s">
        <v>575</v>
      </c>
      <c r="N101" s="827" t="s">
        <v>1244</v>
      </c>
      <c r="O101" s="520">
        <v>0</v>
      </c>
      <c r="P101" s="828">
        <v>3.04</v>
      </c>
      <c r="Q101" s="829">
        <v>3.37</v>
      </c>
      <c r="R101" s="829">
        <v>3.93</v>
      </c>
      <c r="S101" s="829">
        <v>4.51</v>
      </c>
      <c r="T101" s="829">
        <v>4.76</v>
      </c>
      <c r="U101" s="829">
        <v>5.07</v>
      </c>
      <c r="V101" s="829">
        <v>5.37</v>
      </c>
      <c r="W101" s="829">
        <v>5.78</v>
      </c>
      <c r="X101" s="829">
        <v>6.05</v>
      </c>
      <c r="Y101" s="829">
        <v>6.78</v>
      </c>
      <c r="Z101" s="829">
        <v>7.12</v>
      </c>
      <c r="AA101" s="829">
        <v>7.91</v>
      </c>
      <c r="AB101" s="829"/>
      <c r="AC101" s="830"/>
      <c r="AD101" s="513">
        <f t="shared" si="53"/>
        <v>0.4355001400112315</v>
      </c>
      <c r="AE101" s="507">
        <f t="shared" si="54"/>
        <v>0.53518130411330878</v>
      </c>
      <c r="AF101" s="507">
        <f t="shared" si="38"/>
        <v>0.72782376563143503</v>
      </c>
      <c r="AG101" s="507">
        <f t="shared" si="41"/>
        <v>0.95850463099922623</v>
      </c>
      <c r="AH101" s="507">
        <f t="shared" si="50"/>
        <v>1.0677142456196413</v>
      </c>
      <c r="AI101" s="507">
        <f t="shared" si="51"/>
        <v>1.2113148750189042</v>
      </c>
      <c r="AJ101" s="507">
        <f t="shared" si="52"/>
        <v>1.3589068978845527</v>
      </c>
      <c r="AK101" s="507"/>
      <c r="AL101" s="507"/>
      <c r="AM101" s="507"/>
      <c r="AN101" s="507"/>
      <c r="AO101" s="507"/>
      <c r="AP101" s="507"/>
      <c r="AQ101" s="831"/>
    </row>
    <row r="102" spans="1:43" ht="13.5" customHeight="1">
      <c r="A102" s="34" t="e">
        <f t="shared" si="42"/>
        <v>#VALUE!</v>
      </c>
      <c r="B102" s="1095" t="e">
        <f t="shared" si="43"/>
        <v>#VALUE!</v>
      </c>
      <c r="C102" s="34" t="e">
        <f t="shared" si="44"/>
        <v>#VALUE!</v>
      </c>
      <c r="D102" s="1094" t="e">
        <f t="shared" si="45"/>
        <v>#VALUE!</v>
      </c>
      <c r="E102" s="34" t="e">
        <f t="shared" si="46"/>
        <v>#VALUE!</v>
      </c>
      <c r="F102" s="1094" t="e">
        <f t="shared" si="47"/>
        <v>#VALUE!</v>
      </c>
      <c r="G102" s="34" t="e">
        <f t="shared" si="48"/>
        <v>#VALUE!</v>
      </c>
      <c r="H102" s="1094" t="e">
        <f t="shared" si="49"/>
        <v>#VALUE!</v>
      </c>
      <c r="I102" s="533"/>
      <c r="J102" s="825" t="s">
        <v>1522</v>
      </c>
      <c r="K102" s="826"/>
      <c r="L102" s="1064" t="s">
        <v>1364</v>
      </c>
      <c r="M102" s="826" t="s">
        <v>575</v>
      </c>
      <c r="N102" s="827" t="s">
        <v>1515</v>
      </c>
      <c r="O102" s="520">
        <v>0</v>
      </c>
      <c r="P102" s="828">
        <v>3.04</v>
      </c>
      <c r="Q102" s="829">
        <v>4.43</v>
      </c>
      <c r="R102" s="829">
        <v>6.05</v>
      </c>
      <c r="S102" s="829">
        <v>7.44</v>
      </c>
      <c r="T102" s="829">
        <v>9.4</v>
      </c>
      <c r="U102" s="829">
        <v>11.11</v>
      </c>
      <c r="V102" s="829">
        <v>12.49</v>
      </c>
      <c r="W102" s="829"/>
      <c r="X102" s="829"/>
      <c r="Y102" s="829"/>
      <c r="Z102" s="829"/>
      <c r="AA102" s="829"/>
      <c r="AB102" s="829"/>
      <c r="AC102" s="830"/>
      <c r="AD102" s="513">
        <f t="shared" si="53"/>
        <v>0.4355001400112315</v>
      </c>
      <c r="AE102" s="507">
        <f t="shared" si="54"/>
        <v>0.92480162501151486</v>
      </c>
      <c r="AF102" s="507">
        <f t="shared" si="38"/>
        <v>1.7248521765453058</v>
      </c>
      <c r="AG102" s="507">
        <f t="shared" si="41"/>
        <v>2.6084769466462201</v>
      </c>
      <c r="AH102" s="507">
        <f t="shared" si="50"/>
        <v>4.1638669030679116</v>
      </c>
      <c r="AI102" s="507">
        <f t="shared" si="51"/>
        <v>5.8166006786574096</v>
      </c>
      <c r="AJ102" s="507">
        <f t="shared" si="52"/>
        <v>7.3513315217890955</v>
      </c>
      <c r="AK102" s="507"/>
      <c r="AL102" s="507"/>
      <c r="AM102" s="507"/>
      <c r="AN102" s="507"/>
      <c r="AO102" s="507"/>
      <c r="AP102" s="507"/>
      <c r="AQ102" s="831"/>
    </row>
    <row r="103" spans="1:43" ht="13.5" customHeight="1">
      <c r="A103" s="34" t="e">
        <f t="shared" si="42"/>
        <v>#VALUE!</v>
      </c>
      <c r="B103" s="1095" t="e">
        <f t="shared" si="43"/>
        <v>#VALUE!</v>
      </c>
      <c r="C103" s="34" t="e">
        <f t="shared" si="44"/>
        <v>#VALUE!</v>
      </c>
      <c r="D103" s="1094" t="e">
        <f t="shared" si="45"/>
        <v>#VALUE!</v>
      </c>
      <c r="E103" s="34" t="e">
        <f t="shared" si="46"/>
        <v>#VALUE!</v>
      </c>
      <c r="F103" s="1094" t="e">
        <f t="shared" si="47"/>
        <v>#VALUE!</v>
      </c>
      <c r="G103" s="34" t="e">
        <f t="shared" si="48"/>
        <v>#VALUE!</v>
      </c>
      <c r="H103" s="1094" t="e">
        <f t="shared" si="49"/>
        <v>#VALUE!</v>
      </c>
      <c r="I103" s="533"/>
      <c r="J103" s="825" t="s">
        <v>1523</v>
      </c>
      <c r="K103" s="826"/>
      <c r="L103" s="1064" t="s">
        <v>1364</v>
      </c>
      <c r="M103" s="826" t="s">
        <v>575</v>
      </c>
      <c r="N103" s="827" t="s">
        <v>1515</v>
      </c>
      <c r="O103" s="520">
        <v>0</v>
      </c>
      <c r="P103" s="828">
        <v>2.94</v>
      </c>
      <c r="Q103" s="829">
        <v>4.53</v>
      </c>
      <c r="R103" s="829">
        <v>6.05</v>
      </c>
      <c r="S103" s="829">
        <v>7.48</v>
      </c>
      <c r="T103" s="829">
        <v>9.4</v>
      </c>
      <c r="U103" s="829">
        <v>11.1</v>
      </c>
      <c r="V103" s="829">
        <v>12.49</v>
      </c>
      <c r="W103" s="829"/>
      <c r="X103" s="829"/>
      <c r="Y103" s="829"/>
      <c r="Z103" s="829"/>
      <c r="AA103" s="829"/>
      <c r="AB103" s="829"/>
      <c r="AC103" s="830"/>
      <c r="AD103" s="513">
        <f t="shared" si="53"/>
        <v>0.40732005390853099</v>
      </c>
      <c r="AE103" s="507">
        <f t="shared" si="54"/>
        <v>0.9670246302757618</v>
      </c>
      <c r="AF103" s="507">
        <f t="shared" si="38"/>
        <v>1.7248521765453058</v>
      </c>
      <c r="AG103" s="507">
        <f t="shared" si="41"/>
        <v>2.6366004840811557</v>
      </c>
      <c r="AH103" s="507">
        <f t="shared" si="50"/>
        <v>4.1638669030679116</v>
      </c>
      <c r="AI103" s="507">
        <f t="shared" si="51"/>
        <v>5.8061344627319755</v>
      </c>
      <c r="AJ103" s="507">
        <f t="shared" si="52"/>
        <v>7.3513315217890955</v>
      </c>
      <c r="AK103" s="507"/>
      <c r="AL103" s="507"/>
      <c r="AM103" s="507"/>
      <c r="AN103" s="507"/>
      <c r="AO103" s="507"/>
      <c r="AP103" s="507"/>
      <c r="AQ103" s="831"/>
    </row>
    <row r="104" spans="1:43" ht="13.5" customHeight="1">
      <c r="A104" s="34" t="e">
        <f t="shared" si="42"/>
        <v>#VALUE!</v>
      </c>
      <c r="B104" s="1095" t="e">
        <f t="shared" si="43"/>
        <v>#VALUE!</v>
      </c>
      <c r="C104" s="34" t="e">
        <f t="shared" si="44"/>
        <v>#VALUE!</v>
      </c>
      <c r="D104" s="1094" t="e">
        <f t="shared" si="45"/>
        <v>#VALUE!</v>
      </c>
      <c r="E104" s="34" t="e">
        <f t="shared" si="46"/>
        <v>#VALUE!</v>
      </c>
      <c r="F104" s="1094" t="e">
        <f t="shared" si="47"/>
        <v>#VALUE!</v>
      </c>
      <c r="G104" s="34" t="e">
        <f t="shared" si="48"/>
        <v>#VALUE!</v>
      </c>
      <c r="H104" s="1094" t="e">
        <f t="shared" si="49"/>
        <v>#VALUE!</v>
      </c>
      <c r="I104" s="533"/>
      <c r="J104" s="825" t="s">
        <v>1530</v>
      </c>
      <c r="K104" s="826"/>
      <c r="L104" s="1064" t="s">
        <v>1364</v>
      </c>
      <c r="M104" s="826" t="s">
        <v>575</v>
      </c>
      <c r="N104" s="827" t="s">
        <v>1516</v>
      </c>
      <c r="O104" s="520">
        <v>0</v>
      </c>
      <c r="P104" s="828">
        <v>3.28</v>
      </c>
      <c r="Q104" s="829">
        <v>4.91</v>
      </c>
      <c r="R104" s="829">
        <v>6.44</v>
      </c>
      <c r="S104" s="829">
        <v>7.89</v>
      </c>
      <c r="T104" s="829">
        <v>9.51</v>
      </c>
      <c r="U104" s="829">
        <v>10.84</v>
      </c>
      <c r="V104" s="829">
        <v>12.7</v>
      </c>
      <c r="W104" s="829"/>
      <c r="X104" s="829"/>
      <c r="Y104" s="829"/>
      <c r="Z104" s="829"/>
      <c r="AA104" s="829"/>
      <c r="AB104" s="829"/>
      <c r="AC104" s="830"/>
      <c r="AD104" s="513">
        <f t="shared" si="53"/>
        <v>0.50697765606570633</v>
      </c>
      <c r="AE104" s="507">
        <f t="shared" si="54"/>
        <v>1.1360674477801214</v>
      </c>
      <c r="AF104" s="507">
        <f t="shared" si="38"/>
        <v>1.9543973561688246</v>
      </c>
      <c r="AG104" s="507">
        <f t="shared" si="41"/>
        <v>2.9335611004580571</v>
      </c>
      <c r="AH104" s="507">
        <f t="shared" si="50"/>
        <v>4.261889306248893</v>
      </c>
      <c r="AI104" s="507">
        <f t="shared" si="51"/>
        <v>5.5373209457349111</v>
      </c>
      <c r="AJ104" s="507">
        <f t="shared" si="52"/>
        <v>7.6006121864624658</v>
      </c>
      <c r="AK104" s="507"/>
      <c r="AL104" s="507"/>
      <c r="AM104" s="507"/>
      <c r="AN104" s="507"/>
      <c r="AO104" s="507"/>
      <c r="AP104" s="507"/>
      <c r="AQ104" s="831"/>
    </row>
    <row r="105" spans="1:43" ht="13.5" customHeight="1">
      <c r="A105" s="34" t="e">
        <f t="shared" si="42"/>
        <v>#VALUE!</v>
      </c>
      <c r="B105" s="1095" t="e">
        <f t="shared" si="43"/>
        <v>#VALUE!</v>
      </c>
      <c r="C105" s="34" t="e">
        <f t="shared" si="44"/>
        <v>#VALUE!</v>
      </c>
      <c r="D105" s="1094" t="e">
        <f t="shared" si="45"/>
        <v>#VALUE!</v>
      </c>
      <c r="E105" s="34" t="e">
        <f t="shared" si="46"/>
        <v>#VALUE!</v>
      </c>
      <c r="F105" s="1094" t="e">
        <f t="shared" si="47"/>
        <v>#VALUE!</v>
      </c>
      <c r="G105" s="34" t="e">
        <f t="shared" si="48"/>
        <v>#VALUE!</v>
      </c>
      <c r="H105" s="1094" t="e">
        <f t="shared" si="49"/>
        <v>#VALUE!</v>
      </c>
      <c r="I105" s="533"/>
      <c r="J105" s="825" t="s">
        <v>1531</v>
      </c>
      <c r="K105" s="826"/>
      <c r="L105" s="1064" t="s">
        <v>1512</v>
      </c>
      <c r="M105" s="826" t="s">
        <v>575</v>
      </c>
      <c r="N105" s="827" t="s">
        <v>1516</v>
      </c>
      <c r="O105" s="520">
        <v>0</v>
      </c>
      <c r="P105" s="828">
        <v>3.17</v>
      </c>
      <c r="Q105" s="829">
        <v>4.7</v>
      </c>
      <c r="R105" s="829">
        <v>6.38</v>
      </c>
      <c r="S105" s="829">
        <v>7.94</v>
      </c>
      <c r="T105" s="829">
        <v>9.66</v>
      </c>
      <c r="U105" s="829">
        <v>10.97</v>
      </c>
      <c r="V105" s="829">
        <v>12.78</v>
      </c>
      <c r="W105" s="829"/>
      <c r="X105" s="829"/>
      <c r="Y105" s="829"/>
      <c r="Z105" s="829"/>
      <c r="AA105" s="829"/>
      <c r="AB105" s="829"/>
      <c r="AC105" s="830"/>
      <c r="AD105" s="513">
        <f t="shared" si="53"/>
        <v>0.47354325624987714</v>
      </c>
      <c r="AE105" s="507">
        <f t="shared" si="54"/>
        <v>1.0409667257669779</v>
      </c>
      <c r="AF105" s="507">
        <f t="shared" si="38"/>
        <v>1.9181496601317056</v>
      </c>
      <c r="AG105" s="507">
        <f t="shared" si="41"/>
        <v>2.9708596592378025</v>
      </c>
      <c r="AH105" s="507">
        <f t="shared" si="50"/>
        <v>4.3973940513798562</v>
      </c>
      <c r="AI105" s="507">
        <f t="shared" si="51"/>
        <v>5.6709313104957602</v>
      </c>
      <c r="AJ105" s="507">
        <f t="shared" si="52"/>
        <v>7.6966695234386266</v>
      </c>
      <c r="AK105" s="507"/>
      <c r="AL105" s="507"/>
      <c r="AM105" s="507"/>
      <c r="AN105" s="507"/>
      <c r="AO105" s="507"/>
      <c r="AP105" s="507"/>
      <c r="AQ105" s="831"/>
    </row>
    <row r="106" spans="1:43" ht="13.5" customHeight="1">
      <c r="A106" s="34" t="e">
        <f t="shared" si="42"/>
        <v>#VALUE!</v>
      </c>
      <c r="B106" s="1095" t="e">
        <f t="shared" si="43"/>
        <v>#VALUE!</v>
      </c>
      <c r="C106" s="34" t="e">
        <f t="shared" si="44"/>
        <v>#VALUE!</v>
      </c>
      <c r="D106" s="1094" t="e">
        <f t="shared" si="45"/>
        <v>#VALUE!</v>
      </c>
      <c r="E106" s="34" t="e">
        <f t="shared" si="46"/>
        <v>#VALUE!</v>
      </c>
      <c r="F106" s="1094" t="e">
        <f t="shared" si="47"/>
        <v>#VALUE!</v>
      </c>
      <c r="G106" s="34" t="e">
        <f t="shared" si="48"/>
        <v>#VALUE!</v>
      </c>
      <c r="H106" s="1094" t="e">
        <f t="shared" si="49"/>
        <v>#VALUE!</v>
      </c>
      <c r="I106" s="533"/>
      <c r="J106" s="825" t="s">
        <v>1532</v>
      </c>
      <c r="K106" s="826"/>
      <c r="L106" s="1064" t="s">
        <v>1512</v>
      </c>
      <c r="M106" s="826" t="s">
        <v>575</v>
      </c>
      <c r="N106" s="827" t="s">
        <v>1516</v>
      </c>
      <c r="O106" s="520">
        <v>0</v>
      </c>
      <c r="P106" s="828">
        <v>3.13</v>
      </c>
      <c r="Q106" s="829">
        <v>4.6500000000000004</v>
      </c>
      <c r="R106" s="829">
        <v>6.56</v>
      </c>
      <c r="S106" s="829">
        <v>8.07</v>
      </c>
      <c r="T106" s="829">
        <v>9.6300000000000008</v>
      </c>
      <c r="U106" s="829">
        <v>11</v>
      </c>
      <c r="V106" s="829">
        <v>12.76</v>
      </c>
      <c r="W106" s="829"/>
      <c r="X106" s="829"/>
      <c r="Y106" s="829"/>
      <c r="Z106" s="829"/>
      <c r="AA106" s="829"/>
      <c r="AB106" s="829"/>
      <c r="AC106" s="830"/>
      <c r="AD106" s="513">
        <f t="shared" si="53"/>
        <v>0.46166803601930761</v>
      </c>
      <c r="AE106" s="507">
        <f t="shared" si="54"/>
        <v>1.0189363072836795</v>
      </c>
      <c r="AF106" s="507">
        <f t="shared" si="38"/>
        <v>2.0279106242628253</v>
      </c>
      <c r="AG106" s="507">
        <f t="shared" si="41"/>
        <v>3.0689386110865495</v>
      </c>
      <c r="AH106" s="507">
        <f t="shared" si="50"/>
        <v>4.3701234563503704</v>
      </c>
      <c r="AI106" s="507">
        <f t="shared" si="51"/>
        <v>5.7019906662654751</v>
      </c>
      <c r="AJ106" s="507">
        <f t="shared" si="52"/>
        <v>7.6725986405268225</v>
      </c>
      <c r="AK106" s="507"/>
      <c r="AL106" s="507"/>
      <c r="AM106" s="507"/>
      <c r="AN106" s="507"/>
      <c r="AO106" s="507"/>
      <c r="AP106" s="507"/>
      <c r="AQ106" s="831"/>
    </row>
    <row r="107" spans="1:43" ht="13.5" customHeight="1">
      <c r="A107" s="34" t="e">
        <f t="shared" si="42"/>
        <v>#VALUE!</v>
      </c>
      <c r="B107" s="1095" t="e">
        <f t="shared" si="43"/>
        <v>#VALUE!</v>
      </c>
      <c r="C107" s="34" t="e">
        <f t="shared" si="44"/>
        <v>#VALUE!</v>
      </c>
      <c r="D107" s="1094" t="e">
        <f t="shared" si="45"/>
        <v>#VALUE!</v>
      </c>
      <c r="E107" s="34" t="e">
        <f t="shared" si="46"/>
        <v>#VALUE!</v>
      </c>
      <c r="F107" s="1094" t="e">
        <f t="shared" si="47"/>
        <v>#VALUE!</v>
      </c>
      <c r="G107" s="34" t="e">
        <f t="shared" si="48"/>
        <v>#VALUE!</v>
      </c>
      <c r="H107" s="1094" t="e">
        <f t="shared" si="49"/>
        <v>#VALUE!</v>
      </c>
      <c r="I107" s="533"/>
      <c r="J107" s="825" t="s">
        <v>1535</v>
      </c>
      <c r="K107" s="826"/>
      <c r="L107" s="1064" t="s">
        <v>1364</v>
      </c>
      <c r="M107" s="826" t="s">
        <v>575</v>
      </c>
      <c r="N107" s="827" t="s">
        <v>1516</v>
      </c>
      <c r="O107" s="520">
        <v>0</v>
      </c>
      <c r="P107" s="828">
        <v>3.23</v>
      </c>
      <c r="Q107" s="829">
        <v>4.6100000000000003</v>
      </c>
      <c r="R107" s="829">
        <v>6.46</v>
      </c>
      <c r="S107" s="829">
        <v>7.99</v>
      </c>
      <c r="T107" s="829">
        <v>9.6999999999999993</v>
      </c>
      <c r="U107" s="829">
        <v>11.03</v>
      </c>
      <c r="V107" s="829">
        <v>12.68</v>
      </c>
      <c r="W107" s="829"/>
      <c r="X107" s="829"/>
      <c r="Y107" s="829"/>
      <c r="Z107" s="829"/>
      <c r="AA107" s="829"/>
      <c r="AB107" s="829"/>
      <c r="AC107" s="830"/>
      <c r="AD107" s="513">
        <f t="shared" si="53"/>
        <v>0.49163882993455432</v>
      </c>
      <c r="AE107" s="507">
        <f t="shared" si="54"/>
        <v>1.0014816185003346</v>
      </c>
      <c r="AF107" s="507">
        <f t="shared" si="38"/>
        <v>1.9665553197382173</v>
      </c>
      <c r="AG107" s="507">
        <f t="shared" si="41"/>
        <v>3.0083938374665662</v>
      </c>
      <c r="AH107" s="507">
        <f t="shared" si="50"/>
        <v>4.4338867916439542</v>
      </c>
      <c r="AI107" s="507">
        <f t="shared" si="51"/>
        <v>5.7331348450368358</v>
      </c>
      <c r="AJ107" s="507">
        <f t="shared" si="52"/>
        <v>7.5766920999980343</v>
      </c>
      <c r="AK107" s="507">
        <f t="shared" ref="AK107:AO110" si="55">W107^2*PI()/4*60/1000</f>
        <v>0</v>
      </c>
      <c r="AL107" s="507">
        <f t="shared" si="55"/>
        <v>0</v>
      </c>
      <c r="AM107" s="507">
        <f t="shared" si="55"/>
        <v>0</v>
      </c>
      <c r="AN107" s="507">
        <f t="shared" si="55"/>
        <v>0</v>
      </c>
      <c r="AO107" s="507">
        <f t="shared" si="55"/>
        <v>0</v>
      </c>
      <c r="AP107" s="507"/>
      <c r="AQ107" s="831"/>
    </row>
    <row r="108" spans="1:43" ht="13.5" customHeight="1">
      <c r="A108" s="34" t="e">
        <f t="shared" si="42"/>
        <v>#VALUE!</v>
      </c>
      <c r="B108" s="1095" t="e">
        <f t="shared" si="43"/>
        <v>#VALUE!</v>
      </c>
      <c r="C108" s="34" t="e">
        <f t="shared" si="44"/>
        <v>#VALUE!</v>
      </c>
      <c r="D108" s="1094" t="e">
        <f t="shared" si="45"/>
        <v>#VALUE!</v>
      </c>
      <c r="E108" s="34" t="e">
        <f t="shared" si="46"/>
        <v>#VALUE!</v>
      </c>
      <c r="F108" s="1094" t="e">
        <f t="shared" si="47"/>
        <v>#VALUE!</v>
      </c>
      <c r="G108" s="34" t="e">
        <f t="shared" si="48"/>
        <v>#VALUE!</v>
      </c>
      <c r="H108" s="1094" t="e">
        <f t="shared" si="49"/>
        <v>#VALUE!</v>
      </c>
      <c r="I108" s="533"/>
      <c r="J108" s="825" t="s">
        <v>1520</v>
      </c>
      <c r="K108" s="826"/>
      <c r="L108" s="1064" t="s">
        <v>1512</v>
      </c>
      <c r="M108" s="826" t="s">
        <v>575</v>
      </c>
      <c r="N108" s="827" t="s">
        <v>1515</v>
      </c>
      <c r="O108" s="520">
        <v>0</v>
      </c>
      <c r="P108" s="828">
        <v>3.03</v>
      </c>
      <c r="Q108" s="829">
        <v>4.4400000000000004</v>
      </c>
      <c r="R108" s="829">
        <v>6.31</v>
      </c>
      <c r="S108" s="829">
        <v>7.75</v>
      </c>
      <c r="T108" s="829">
        <v>9.1199999999999992</v>
      </c>
      <c r="U108" s="829">
        <v>11.02</v>
      </c>
      <c r="V108" s="829">
        <v>12.41</v>
      </c>
      <c r="W108" s="829"/>
      <c r="X108" s="829"/>
      <c r="Y108" s="829"/>
      <c r="Z108" s="829"/>
      <c r="AA108" s="829"/>
      <c r="AB108" s="829"/>
      <c r="AC108" s="830"/>
      <c r="AD108" s="513">
        <f t="shared" si="53"/>
        <v>0.43263971990013794</v>
      </c>
      <c r="AE108" s="507">
        <f t="shared" si="54"/>
        <v>0.92898151403711626</v>
      </c>
      <c r="AF108" s="507">
        <f t="shared" si="38"/>
        <v>1.876289508818948</v>
      </c>
      <c r="AG108" s="507">
        <f t="shared" si="41"/>
        <v>2.8303786313435544</v>
      </c>
      <c r="AH108" s="507">
        <f t="shared" si="50"/>
        <v>3.9195012601010832</v>
      </c>
      <c r="AI108" s="507">
        <f t="shared" si="51"/>
        <v>5.7227440273350885</v>
      </c>
      <c r="AJ108" s="507">
        <f t="shared" si="52"/>
        <v>7.2574607332998342</v>
      </c>
      <c r="AK108" s="507">
        <f t="shared" si="55"/>
        <v>0</v>
      </c>
      <c r="AL108" s="507">
        <f t="shared" si="55"/>
        <v>0</v>
      </c>
      <c r="AM108" s="507">
        <f t="shared" si="55"/>
        <v>0</v>
      </c>
      <c r="AN108" s="507">
        <f t="shared" si="55"/>
        <v>0</v>
      </c>
      <c r="AO108" s="507">
        <f t="shared" si="55"/>
        <v>0</v>
      </c>
      <c r="AP108" s="507"/>
      <c r="AQ108" s="831"/>
    </row>
    <row r="109" spans="1:43" ht="13.5" customHeight="1">
      <c r="A109" s="34" t="e">
        <f t="shared" si="42"/>
        <v>#VALUE!</v>
      </c>
      <c r="B109" s="1095" t="e">
        <f t="shared" si="43"/>
        <v>#VALUE!</v>
      </c>
      <c r="C109" s="34" t="e">
        <f t="shared" si="44"/>
        <v>#VALUE!</v>
      </c>
      <c r="D109" s="1094" t="e">
        <f t="shared" si="45"/>
        <v>#VALUE!</v>
      </c>
      <c r="E109" s="34" t="e">
        <f t="shared" si="46"/>
        <v>#VALUE!</v>
      </c>
      <c r="F109" s="1094" t="e">
        <f t="shared" si="47"/>
        <v>#VALUE!</v>
      </c>
      <c r="G109" s="34" t="e">
        <f t="shared" si="48"/>
        <v>#VALUE!</v>
      </c>
      <c r="H109" s="1094" t="e">
        <f t="shared" si="49"/>
        <v>#VALUE!</v>
      </c>
      <c r="I109" s="533"/>
      <c r="J109" s="825" t="s">
        <v>1521</v>
      </c>
      <c r="K109" s="826"/>
      <c r="L109" s="1064" t="s">
        <v>1512</v>
      </c>
      <c r="M109" s="826" t="s">
        <v>575</v>
      </c>
      <c r="N109" s="827" t="s">
        <v>1515</v>
      </c>
      <c r="O109" s="520">
        <v>0</v>
      </c>
      <c r="P109" s="828">
        <v>3.02</v>
      </c>
      <c r="Q109" s="829">
        <v>4.32</v>
      </c>
      <c r="R109" s="829">
        <v>6.22</v>
      </c>
      <c r="S109" s="829">
        <v>7.71</v>
      </c>
      <c r="T109" s="829">
        <v>9.17</v>
      </c>
      <c r="U109" s="829">
        <v>10.98</v>
      </c>
      <c r="V109" s="829">
        <v>12.4</v>
      </c>
      <c r="W109" s="829"/>
      <c r="X109" s="829"/>
      <c r="Y109" s="829"/>
      <c r="Z109" s="829"/>
      <c r="AA109" s="829"/>
      <c r="AB109" s="829"/>
      <c r="AC109" s="830"/>
      <c r="AD109" s="513">
        <f t="shared" si="53"/>
        <v>0.42978872456700529</v>
      </c>
      <c r="AE109" s="507">
        <f t="shared" si="54"/>
        <v>0.87944488107531238</v>
      </c>
      <c r="AF109" s="507">
        <f t="shared" si="38"/>
        <v>1.8231478982871498</v>
      </c>
      <c r="AG109" s="507">
        <f t="shared" si="41"/>
        <v>2.8012372178888554</v>
      </c>
      <c r="AH109" s="507">
        <f t="shared" si="50"/>
        <v>3.9625960573267012</v>
      </c>
      <c r="AI109" s="507">
        <f t="shared" si="51"/>
        <v>5.6812750043077038</v>
      </c>
      <c r="AJ109" s="507">
        <f t="shared" si="52"/>
        <v>7.2457692962395006</v>
      </c>
      <c r="AK109" s="507">
        <f t="shared" si="55"/>
        <v>0</v>
      </c>
      <c r="AL109" s="507">
        <f t="shared" si="55"/>
        <v>0</v>
      </c>
      <c r="AM109" s="507">
        <f t="shared" si="55"/>
        <v>0</v>
      </c>
      <c r="AN109" s="507">
        <f t="shared" si="55"/>
        <v>0</v>
      </c>
      <c r="AO109" s="507">
        <f t="shared" si="55"/>
        <v>0</v>
      </c>
      <c r="AP109" s="507"/>
      <c r="AQ109" s="831"/>
    </row>
    <row r="110" spans="1:43" ht="13.5" customHeight="1">
      <c r="A110" s="34" t="e">
        <f t="shared" si="42"/>
        <v>#VALUE!</v>
      </c>
      <c r="B110" s="1095" t="e">
        <f t="shared" si="43"/>
        <v>#VALUE!</v>
      </c>
      <c r="C110" s="34" t="e">
        <f t="shared" si="44"/>
        <v>#VALUE!</v>
      </c>
      <c r="D110" s="1094" t="e">
        <f t="shared" si="45"/>
        <v>#VALUE!</v>
      </c>
      <c r="E110" s="34" t="e">
        <f t="shared" si="46"/>
        <v>#VALUE!</v>
      </c>
      <c r="F110" s="1094" t="e">
        <f t="shared" si="47"/>
        <v>#VALUE!</v>
      </c>
      <c r="G110" s="34" t="e">
        <f t="shared" si="48"/>
        <v>#VALUE!</v>
      </c>
      <c r="H110" s="1094" t="e">
        <f t="shared" si="49"/>
        <v>#VALUE!</v>
      </c>
      <c r="I110" s="533"/>
      <c r="J110" s="825" t="s">
        <v>1528</v>
      </c>
      <c r="K110" s="826"/>
      <c r="L110" s="1064" t="s">
        <v>1512</v>
      </c>
      <c r="M110" s="826" t="s">
        <v>575</v>
      </c>
      <c r="N110" s="827" t="s">
        <v>1513</v>
      </c>
      <c r="O110" s="520">
        <v>0</v>
      </c>
      <c r="P110" s="828">
        <v>3.07</v>
      </c>
      <c r="Q110" s="829">
        <v>4.53</v>
      </c>
      <c r="R110" s="829">
        <v>6.41</v>
      </c>
      <c r="S110" s="829">
        <v>8.0299999999999994</v>
      </c>
      <c r="T110" s="829">
        <v>9.49</v>
      </c>
      <c r="U110" s="829">
        <v>11.08</v>
      </c>
      <c r="V110" s="829">
        <v>12.7</v>
      </c>
      <c r="W110" s="829"/>
      <c r="X110" s="829"/>
      <c r="Y110" s="829"/>
      <c r="Z110" s="829"/>
      <c r="AA110" s="829"/>
      <c r="AB110" s="829"/>
      <c r="AC110" s="830"/>
      <c r="AD110" s="513">
        <f t="shared" si="53"/>
        <v>0.4441379490122766</v>
      </c>
      <c r="AE110" s="507">
        <f t="shared" si="54"/>
        <v>0.9670246302757618</v>
      </c>
      <c r="AF110" s="507">
        <f t="shared" si="38"/>
        <v>1.9362310966494418</v>
      </c>
      <c r="AG110" s="507">
        <f t="shared" si="41"/>
        <v>3.0385908260528707</v>
      </c>
      <c r="AH110" s="507">
        <f t="shared" si="50"/>
        <v>4.2439822281234321</v>
      </c>
      <c r="AI110" s="507">
        <f t="shared" si="51"/>
        <v>5.7852303052149887</v>
      </c>
      <c r="AJ110" s="507">
        <f t="shared" si="52"/>
        <v>7.6006121864624658</v>
      </c>
      <c r="AK110" s="507">
        <f t="shared" si="55"/>
        <v>0</v>
      </c>
      <c r="AL110" s="507">
        <f t="shared" si="55"/>
        <v>0</v>
      </c>
      <c r="AM110" s="507">
        <f t="shared" si="55"/>
        <v>0</v>
      </c>
      <c r="AN110" s="507">
        <f t="shared" si="55"/>
        <v>0</v>
      </c>
      <c r="AO110" s="507">
        <f t="shared" si="55"/>
        <v>0</v>
      </c>
      <c r="AP110" s="507"/>
      <c r="AQ110" s="831"/>
    </row>
    <row r="111" spans="1:43" ht="13.5" customHeight="1">
      <c r="A111" s="34" t="e">
        <f t="shared" si="42"/>
        <v>#VALUE!</v>
      </c>
      <c r="B111" s="1095" t="e">
        <f t="shared" si="43"/>
        <v>#VALUE!</v>
      </c>
      <c r="C111" s="34" t="e">
        <f t="shared" si="44"/>
        <v>#VALUE!</v>
      </c>
      <c r="D111" s="1094" t="e">
        <f t="shared" si="45"/>
        <v>#VALUE!</v>
      </c>
      <c r="E111" s="34" t="e">
        <f t="shared" si="46"/>
        <v>#VALUE!</v>
      </c>
      <c r="F111" s="1094" t="e">
        <f t="shared" si="47"/>
        <v>#VALUE!</v>
      </c>
      <c r="G111" s="34" t="e">
        <f t="shared" si="48"/>
        <v>#VALUE!</v>
      </c>
      <c r="H111" s="1094" t="e">
        <f t="shared" si="49"/>
        <v>#VALUE!</v>
      </c>
      <c r="I111" s="533"/>
      <c r="J111" s="825" t="s">
        <v>1529</v>
      </c>
      <c r="K111" s="826"/>
      <c r="L111" s="1064" t="s">
        <v>1512</v>
      </c>
      <c r="M111" s="826" t="s">
        <v>575</v>
      </c>
      <c r="N111" s="827" t="s">
        <v>1513</v>
      </c>
      <c r="O111" s="520">
        <v>0</v>
      </c>
      <c r="P111" s="828">
        <v>3.13</v>
      </c>
      <c r="Q111" s="829">
        <v>4.54</v>
      </c>
      <c r="R111" s="829">
        <v>6.37</v>
      </c>
      <c r="S111" s="829">
        <v>7.94</v>
      </c>
      <c r="T111" s="829">
        <v>9.4</v>
      </c>
      <c r="U111" s="829">
        <v>11.07</v>
      </c>
      <c r="V111" s="829">
        <v>12.69</v>
      </c>
      <c r="W111" s="829"/>
      <c r="X111" s="829"/>
      <c r="Y111" s="829"/>
      <c r="Z111" s="829"/>
      <c r="AA111" s="829"/>
      <c r="AB111" s="829"/>
      <c r="AC111" s="830"/>
      <c r="AD111" s="513">
        <f t="shared" si="53"/>
        <v>0.46166803601930761</v>
      </c>
      <c r="AE111" s="507">
        <f t="shared" si="54"/>
        <v>0.97129876708097063</v>
      </c>
      <c r="AF111" s="507">
        <f t="shared" si="38"/>
        <v>1.9121413641817153</v>
      </c>
      <c r="AG111" s="507"/>
      <c r="AH111" s="507"/>
      <c r="AI111" s="507"/>
      <c r="AJ111" s="507"/>
      <c r="AK111" s="507"/>
      <c r="AL111" s="507"/>
      <c r="AM111" s="507"/>
      <c r="AN111" s="507"/>
      <c r="AO111" s="507"/>
      <c r="AP111" s="507"/>
      <c r="AQ111" s="831"/>
    </row>
    <row r="112" spans="1:43" ht="13.5" customHeight="1">
      <c r="A112" s="34" t="e">
        <f t="shared" si="42"/>
        <v>#VALUE!</v>
      </c>
      <c r="B112" s="1095" t="e">
        <f t="shared" si="43"/>
        <v>#VALUE!</v>
      </c>
      <c r="C112" s="34" t="e">
        <f t="shared" si="44"/>
        <v>#VALUE!</v>
      </c>
      <c r="D112" s="1094" t="e">
        <f t="shared" si="45"/>
        <v>#VALUE!</v>
      </c>
      <c r="E112" s="34" t="e">
        <f t="shared" si="46"/>
        <v>#VALUE!</v>
      </c>
      <c r="F112" s="1094" t="e">
        <f t="shared" si="47"/>
        <v>#VALUE!</v>
      </c>
      <c r="G112" s="34" t="e">
        <f t="shared" si="48"/>
        <v>#VALUE!</v>
      </c>
      <c r="H112" s="1094" t="e">
        <f t="shared" si="49"/>
        <v>#VALUE!</v>
      </c>
      <c r="I112" s="533"/>
      <c r="J112" s="825" t="s">
        <v>1533</v>
      </c>
      <c r="K112" s="826"/>
      <c r="L112" s="1064" t="s">
        <v>1512</v>
      </c>
      <c r="M112" s="826" t="s">
        <v>575</v>
      </c>
      <c r="N112" s="827" t="s">
        <v>1514</v>
      </c>
      <c r="O112" s="520">
        <v>0</v>
      </c>
      <c r="P112" s="828">
        <v>3.08</v>
      </c>
      <c r="Q112" s="829">
        <v>4.63</v>
      </c>
      <c r="R112" s="829">
        <v>6.37</v>
      </c>
      <c r="S112" s="829">
        <v>8.01</v>
      </c>
      <c r="T112" s="829">
        <v>9.56</v>
      </c>
      <c r="U112" s="829">
        <v>10.97</v>
      </c>
      <c r="V112" s="829">
        <v>12.68</v>
      </c>
      <c r="W112" s="829"/>
      <c r="X112" s="829"/>
      <c r="Y112" s="829"/>
      <c r="Z112" s="829"/>
      <c r="AA112" s="829"/>
      <c r="AB112" s="829"/>
      <c r="AC112" s="830"/>
      <c r="AD112" s="513">
        <f t="shared" si="53"/>
        <v>0.44703606823521319</v>
      </c>
      <c r="AE112" s="507">
        <f t="shared" si="54"/>
        <v>1.0101901133360855</v>
      </c>
      <c r="AF112" s="507">
        <f t="shared" si="38"/>
        <v>1.9121413641817153</v>
      </c>
      <c r="AG112" s="507"/>
      <c r="AH112" s="507"/>
      <c r="AI112" s="507"/>
      <c r="AJ112" s="507"/>
      <c r="AK112" s="507"/>
      <c r="AL112" s="507"/>
      <c r="AM112" s="507"/>
      <c r="AN112" s="507"/>
      <c r="AO112" s="507"/>
      <c r="AP112" s="507"/>
      <c r="AQ112" s="831"/>
    </row>
    <row r="113" spans="1:43" ht="13.5" customHeight="1">
      <c r="A113" s="34" t="e">
        <f t="shared" si="42"/>
        <v>#VALUE!</v>
      </c>
      <c r="B113" s="1095" t="e">
        <f t="shared" si="43"/>
        <v>#VALUE!</v>
      </c>
      <c r="C113" s="34" t="e">
        <f t="shared" si="44"/>
        <v>#VALUE!</v>
      </c>
      <c r="D113" s="1094" t="e">
        <f t="shared" si="45"/>
        <v>#VALUE!</v>
      </c>
      <c r="E113" s="34" t="e">
        <f t="shared" si="46"/>
        <v>#VALUE!</v>
      </c>
      <c r="F113" s="1094" t="e">
        <f t="shared" si="47"/>
        <v>#VALUE!</v>
      </c>
      <c r="G113" s="34" t="e">
        <f t="shared" si="48"/>
        <v>#VALUE!</v>
      </c>
      <c r="H113" s="1094" t="e">
        <f t="shared" si="49"/>
        <v>#VALUE!</v>
      </c>
      <c r="I113" s="533"/>
      <c r="J113" s="825" t="s">
        <v>1534</v>
      </c>
      <c r="K113" s="826"/>
      <c r="L113" s="1064" t="s">
        <v>1512</v>
      </c>
      <c r="M113" s="826" t="s">
        <v>575</v>
      </c>
      <c r="N113" s="827" t="s">
        <v>1514</v>
      </c>
      <c r="O113" s="520">
        <v>0</v>
      </c>
      <c r="P113" s="828">
        <v>3.12</v>
      </c>
      <c r="Q113" s="829">
        <v>4.59</v>
      </c>
      <c r="R113" s="829">
        <v>6.41</v>
      </c>
      <c r="S113" s="829">
        <v>7.91</v>
      </c>
      <c r="T113" s="829">
        <v>9.48</v>
      </c>
      <c r="U113" s="829">
        <v>10.98</v>
      </c>
      <c r="V113" s="829">
        <v>12.74</v>
      </c>
      <c r="W113" s="829"/>
      <c r="X113" s="829"/>
      <c r="Y113" s="829"/>
      <c r="Z113" s="829"/>
      <c r="AA113" s="829"/>
      <c r="AB113" s="829"/>
      <c r="AC113" s="830"/>
      <c r="AD113" s="513">
        <f t="shared" si="53"/>
        <v>0.45872279290656731</v>
      </c>
      <c r="AE113" s="507"/>
      <c r="AF113" s="507"/>
      <c r="AG113" s="507"/>
      <c r="AH113" s="507"/>
      <c r="AI113" s="507"/>
      <c r="AJ113" s="507"/>
      <c r="AK113" s="507"/>
      <c r="AL113" s="507"/>
      <c r="AM113" s="507"/>
      <c r="AN113" s="507"/>
      <c r="AO113" s="507"/>
      <c r="AP113" s="507"/>
      <c r="AQ113" s="831"/>
    </row>
    <row r="114" spans="1:43" ht="13.5" customHeight="1">
      <c r="A114" s="34" t="e">
        <f t="shared" si="42"/>
        <v>#VALUE!</v>
      </c>
      <c r="B114" s="1095" t="e">
        <f t="shared" si="43"/>
        <v>#VALUE!</v>
      </c>
      <c r="C114" s="34" t="e">
        <f t="shared" si="44"/>
        <v>#VALUE!</v>
      </c>
      <c r="D114" s="1094" t="e">
        <f t="shared" si="45"/>
        <v>#VALUE!</v>
      </c>
      <c r="E114" s="34" t="e">
        <f t="shared" si="46"/>
        <v>#VALUE!</v>
      </c>
      <c r="F114" s="1094" t="e">
        <f t="shared" si="47"/>
        <v>#VALUE!</v>
      </c>
      <c r="G114" s="34" t="e">
        <f t="shared" si="48"/>
        <v>#VALUE!</v>
      </c>
      <c r="H114" s="1094" t="e">
        <f t="shared" si="49"/>
        <v>#VALUE!</v>
      </c>
      <c r="I114" s="533"/>
      <c r="J114" s="825"/>
      <c r="K114" s="826"/>
      <c r="L114" s="826"/>
      <c r="M114" s="826"/>
      <c r="N114" s="827"/>
      <c r="O114" s="520">
        <v>0</v>
      </c>
      <c r="P114" s="828"/>
      <c r="Q114" s="829"/>
      <c r="R114" s="829"/>
      <c r="S114" s="829"/>
      <c r="T114" s="829"/>
      <c r="U114" s="829"/>
      <c r="V114" s="829"/>
      <c r="W114" s="829"/>
      <c r="X114" s="829"/>
      <c r="Y114" s="829"/>
      <c r="Z114" s="829"/>
      <c r="AA114" s="829"/>
      <c r="AB114" s="829"/>
      <c r="AC114" s="830"/>
      <c r="AD114" s="513"/>
      <c r="AE114" s="507"/>
      <c r="AF114" s="507"/>
      <c r="AG114" s="507"/>
      <c r="AH114" s="507"/>
      <c r="AI114" s="507"/>
      <c r="AJ114" s="507"/>
      <c r="AK114" s="507"/>
      <c r="AL114" s="829"/>
      <c r="AM114" s="829"/>
      <c r="AN114" s="829"/>
      <c r="AO114" s="829"/>
      <c r="AP114" s="829"/>
      <c r="AQ114" s="831"/>
    </row>
    <row r="115" spans="1:43" ht="13.5" customHeight="1">
      <c r="A115" s="34"/>
      <c r="B115" s="34"/>
      <c r="C115" s="34"/>
      <c r="D115" s="34"/>
      <c r="E115" s="34"/>
      <c r="F115" s="34"/>
      <c r="G115" s="34"/>
      <c r="H115" s="34"/>
      <c r="I115" s="533"/>
      <c r="J115" s="709"/>
      <c r="K115" s="710"/>
      <c r="L115" s="710"/>
      <c r="M115" s="710"/>
      <c r="N115" s="696"/>
      <c r="O115" s="522"/>
      <c r="P115" s="517"/>
      <c r="Q115" s="509"/>
      <c r="R115" s="509"/>
      <c r="S115" s="509"/>
      <c r="T115" s="509"/>
      <c r="U115" s="509"/>
      <c r="V115" s="509"/>
      <c r="W115" s="509"/>
      <c r="X115" s="509"/>
      <c r="Y115" s="509"/>
      <c r="Z115" s="509"/>
      <c r="AA115" s="509"/>
      <c r="AB115" s="509"/>
      <c r="AC115" s="510"/>
      <c r="AD115" s="517"/>
      <c r="AE115" s="509"/>
      <c r="AF115" s="509"/>
      <c r="AG115" s="509"/>
      <c r="AH115" s="509"/>
      <c r="AI115" s="509"/>
      <c r="AJ115" s="509"/>
      <c r="AK115" s="509"/>
      <c r="AL115" s="509"/>
      <c r="AM115" s="509"/>
      <c r="AN115" s="509"/>
      <c r="AO115" s="509"/>
      <c r="AP115" s="509"/>
      <c r="AQ115" s="518"/>
    </row>
  </sheetData>
  <sheetProtection algorithmName="SHA-512" hashValue="qNUyKKsJ/NN0dsTw6dFL0YuJ2Pp5C/pkx57LPPBFlF4gjJXc0wqK5NAzoTALaL6nNvcdVzXOikem+V5iRbOZJQ==" saltValue="N+nqpesAS/OpXCfdpk+E3g==" spinCount="100000" sheet="1" objects="1" scenarios="1"/>
  <autoFilter ref="J9:AP113">
    <sortState ref="J10:AP114">
      <sortCondition ref="J9:J113"/>
    </sortState>
  </autoFilter>
  <phoneticPr fontId="0" type="noConversion"/>
  <printOptions horizontalCentered="1"/>
  <pageMargins left="0.35433070866141703" right="0.35433070866141703" top="0.984251969" bottom="0.78740157480314998" header="0.511811023622047" footer="0.31496062992126"/>
  <pageSetup paperSize="9" fitToWidth="0" orientation="portrait" horizontalDpi="300" verticalDpi="300"/>
  <headerFooter alignWithMargins="0">
    <oddHeader>&amp;C&amp;"MS Sans Serif,Bold"&amp;16&amp;A</oddHeader>
    <oddFooter>&amp;L&amp;8&amp;F&amp;R&amp;8&amp;D  &amp;T</oddFooter>
  </headerFooter>
  <colBreaks count="1" manualBreakCount="1">
    <brk id="29" max="1048575" man="1"/>
  </colBreaks>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enableFormatConditionsCalculation="0">
    <tabColor theme="5" tint="0.59999389629810485"/>
    <pageSetUpPr fitToPage="1"/>
  </sheetPr>
  <dimension ref="A1:BE84"/>
  <sheetViews>
    <sheetView workbookViewId="0">
      <pane xSplit="1" ySplit="9" topLeftCell="AM10" activePane="bottomRight" state="frozen"/>
      <selection activeCell="L28" sqref="L28"/>
      <selection pane="topRight" activeCell="L28" sqref="L28"/>
      <selection pane="bottomLeft" activeCell="L28" sqref="L28"/>
      <selection pane="bottomRight"/>
    </sheetView>
  </sheetViews>
  <sheetFormatPr baseColWidth="10" defaultColWidth="8.7109375" defaultRowHeight="12.75" customHeight="1" x14ac:dyDescent="0"/>
  <cols>
    <col min="1" max="1" width="9" style="15" customWidth="1"/>
    <col min="2" max="11" width="5.85546875" style="15" customWidth="1"/>
    <col min="12" max="27" width="5.85546875" style="1" customWidth="1"/>
    <col min="28" max="28" width="5.85546875" style="15" customWidth="1"/>
    <col min="29" max="31" width="5.85546875" style="1" customWidth="1"/>
    <col min="32" max="55" width="9.140625" style="1" customWidth="1"/>
    <col min="56" max="56" width="5.85546875" style="1" customWidth="1"/>
    <col min="57" max="57" width="10.5703125" style="15" customWidth="1"/>
    <col min="58" max="16384" width="8.7109375" style="1"/>
  </cols>
  <sheetData>
    <row r="1" spans="1:57" s="677" customFormat="1" ht="12.75" customHeight="1">
      <c r="A1" s="748" t="s">
        <v>1209</v>
      </c>
      <c r="B1" s="742" t="s">
        <v>512</v>
      </c>
      <c r="C1" s="678" t="s">
        <v>512</v>
      </c>
      <c r="D1" s="678" t="s">
        <v>512</v>
      </c>
      <c r="E1" s="678" t="s">
        <v>513</v>
      </c>
      <c r="F1" s="678" t="s">
        <v>512</v>
      </c>
      <c r="G1" s="678" t="s">
        <v>512</v>
      </c>
      <c r="H1" s="678" t="s">
        <v>512</v>
      </c>
      <c r="I1" s="678" t="s">
        <v>512</v>
      </c>
      <c r="J1" s="678" t="s">
        <v>512</v>
      </c>
      <c r="K1" s="678" t="s">
        <v>513</v>
      </c>
      <c r="L1" s="678" t="s">
        <v>512</v>
      </c>
      <c r="M1" s="678" t="s">
        <v>512</v>
      </c>
      <c r="N1" s="678" t="s">
        <v>512</v>
      </c>
      <c r="O1" s="678" t="s">
        <v>512</v>
      </c>
      <c r="P1" s="678" t="s">
        <v>512</v>
      </c>
      <c r="Q1" s="678" t="s">
        <v>512</v>
      </c>
      <c r="R1" s="678" t="s">
        <v>513</v>
      </c>
      <c r="S1" s="678" t="s">
        <v>513</v>
      </c>
      <c r="T1" s="678" t="s">
        <v>513</v>
      </c>
      <c r="U1" s="678" t="s">
        <v>513</v>
      </c>
      <c r="V1" s="678" t="s">
        <v>513</v>
      </c>
      <c r="W1" s="678" t="s">
        <v>513</v>
      </c>
      <c r="X1" s="678" t="s">
        <v>513</v>
      </c>
      <c r="Y1" s="678" t="s">
        <v>513</v>
      </c>
      <c r="Z1" s="678" t="s">
        <v>513</v>
      </c>
      <c r="AA1" s="678" t="s">
        <v>513</v>
      </c>
      <c r="AB1" s="678" t="s">
        <v>513</v>
      </c>
      <c r="AC1" s="678" t="s">
        <v>513</v>
      </c>
      <c r="AD1" s="678" t="s">
        <v>513</v>
      </c>
      <c r="AE1" s="678" t="s">
        <v>513</v>
      </c>
      <c r="AF1" s="1068" t="s">
        <v>513</v>
      </c>
      <c r="AG1" s="1068" t="s">
        <v>512</v>
      </c>
      <c r="AH1" s="1068" t="s">
        <v>512</v>
      </c>
      <c r="AI1" s="1068" t="s">
        <v>512</v>
      </c>
      <c r="AJ1" s="1068" t="s">
        <v>512</v>
      </c>
      <c r="AK1" s="1068" t="s">
        <v>512</v>
      </c>
      <c r="AL1" s="1068" t="s">
        <v>512</v>
      </c>
      <c r="AM1" s="1068" t="s">
        <v>512</v>
      </c>
      <c r="AN1" s="1068" t="s">
        <v>512</v>
      </c>
      <c r="AO1" s="1068" t="s">
        <v>512</v>
      </c>
      <c r="AP1" s="1068" t="s">
        <v>512</v>
      </c>
      <c r="AQ1" s="1068" t="s">
        <v>512</v>
      </c>
      <c r="AR1" s="1068" t="s">
        <v>512</v>
      </c>
      <c r="AS1" s="1068" t="s">
        <v>512</v>
      </c>
      <c r="AT1" s="1068" t="s">
        <v>512</v>
      </c>
      <c r="AU1" s="1068" t="s">
        <v>512</v>
      </c>
      <c r="AV1" s="1068" t="s">
        <v>512</v>
      </c>
      <c r="AW1" s="1068" t="s">
        <v>512</v>
      </c>
      <c r="AX1" s="1068" t="s">
        <v>512</v>
      </c>
      <c r="AY1" s="1068" t="s">
        <v>512</v>
      </c>
      <c r="AZ1" s="1068" t="s">
        <v>512</v>
      </c>
      <c r="BA1" s="1068" t="s">
        <v>512</v>
      </c>
      <c r="BB1" s="1068" t="s">
        <v>512</v>
      </c>
      <c r="BC1" s="1068" t="s">
        <v>512</v>
      </c>
      <c r="BD1" s="687"/>
      <c r="BE1" s="692" t="s">
        <v>1209</v>
      </c>
    </row>
    <row r="2" spans="1:57" s="727" customFormat="1" ht="12.75" customHeight="1">
      <c r="A2" s="749" t="s">
        <v>595</v>
      </c>
      <c r="B2" s="743" t="s">
        <v>596</v>
      </c>
      <c r="C2" s="724" t="s">
        <v>596</v>
      </c>
      <c r="D2" s="724" t="s">
        <v>596</v>
      </c>
      <c r="E2" s="724" t="s">
        <v>599</v>
      </c>
      <c r="F2" s="724" t="s">
        <v>598</v>
      </c>
      <c r="G2" s="724" t="s">
        <v>596</v>
      </c>
      <c r="H2" s="724" t="s">
        <v>596</v>
      </c>
      <c r="I2" s="724" t="s">
        <v>596</v>
      </c>
      <c r="J2" s="724" t="s">
        <v>596</v>
      </c>
      <c r="K2" s="724" t="s">
        <v>599</v>
      </c>
      <c r="L2" s="724" t="s">
        <v>597</v>
      </c>
      <c r="M2" s="724" t="s">
        <v>597</v>
      </c>
      <c r="N2" s="724" t="s">
        <v>596</v>
      </c>
      <c r="O2" s="724" t="s">
        <v>596</v>
      </c>
      <c r="P2" s="724" t="s">
        <v>596</v>
      </c>
      <c r="Q2" s="724" t="s">
        <v>596</v>
      </c>
      <c r="R2" s="724">
        <v>5</v>
      </c>
      <c r="S2" s="724" t="s">
        <v>648</v>
      </c>
      <c r="T2" s="724" t="s">
        <v>600</v>
      </c>
      <c r="U2" s="724" t="s">
        <v>648</v>
      </c>
      <c r="V2" s="724" t="s">
        <v>648</v>
      </c>
      <c r="W2" s="724" t="s">
        <v>600</v>
      </c>
      <c r="X2" s="724" t="s">
        <v>648</v>
      </c>
      <c r="Y2" s="724" t="s">
        <v>648</v>
      </c>
      <c r="Z2" s="724" t="s">
        <v>648</v>
      </c>
      <c r="AA2" s="724" t="s">
        <v>648</v>
      </c>
      <c r="AB2" s="724" t="s">
        <v>250</v>
      </c>
      <c r="AC2" s="724" t="s">
        <v>250</v>
      </c>
      <c r="AD2" s="724" t="s">
        <v>648</v>
      </c>
      <c r="AE2" s="724" t="s">
        <v>648</v>
      </c>
      <c r="AF2" s="743" t="s">
        <v>596</v>
      </c>
      <c r="AG2" s="724" t="s">
        <v>598</v>
      </c>
      <c r="AH2" s="724" t="s">
        <v>598</v>
      </c>
      <c r="AI2" s="724" t="s">
        <v>598</v>
      </c>
      <c r="AJ2" s="724" t="s">
        <v>598</v>
      </c>
      <c r="AK2" s="724" t="s">
        <v>598</v>
      </c>
      <c r="AL2" s="724" t="s">
        <v>598</v>
      </c>
      <c r="AM2" s="724" t="s">
        <v>598</v>
      </c>
      <c r="AN2" s="724" t="s">
        <v>598</v>
      </c>
      <c r="AO2" s="724" t="s">
        <v>598</v>
      </c>
      <c r="AP2" s="724" t="s">
        <v>598</v>
      </c>
      <c r="AQ2" s="724" t="s">
        <v>598</v>
      </c>
      <c r="AR2" s="724" t="s">
        <v>598</v>
      </c>
      <c r="AS2" s="724" t="s">
        <v>598</v>
      </c>
      <c r="AT2" s="724" t="s">
        <v>598</v>
      </c>
      <c r="AU2" s="724" t="s">
        <v>598</v>
      </c>
      <c r="AV2" s="724" t="s">
        <v>598</v>
      </c>
      <c r="AW2" s="724" t="s">
        <v>598</v>
      </c>
      <c r="AX2" s="724" t="s">
        <v>598</v>
      </c>
      <c r="AY2" s="724" t="s">
        <v>598</v>
      </c>
      <c r="AZ2" s="724" t="s">
        <v>598</v>
      </c>
      <c r="BA2" s="724" t="s">
        <v>598</v>
      </c>
      <c r="BB2" s="724" t="s">
        <v>598</v>
      </c>
      <c r="BC2" s="724" t="s">
        <v>598</v>
      </c>
      <c r="BD2" s="725"/>
      <c r="BE2" s="726" t="s">
        <v>595</v>
      </c>
    </row>
    <row r="3" spans="1:57" ht="12.75" customHeight="1">
      <c r="A3" s="750" t="s">
        <v>1335</v>
      </c>
      <c r="B3" s="744">
        <v>41786</v>
      </c>
      <c r="C3" s="679">
        <v>41786</v>
      </c>
      <c r="D3" s="679">
        <v>41534</v>
      </c>
      <c r="E3" s="679">
        <v>41781</v>
      </c>
      <c r="F3" s="679">
        <v>39317</v>
      </c>
      <c r="G3" s="679">
        <v>41881</v>
      </c>
      <c r="H3" s="679">
        <v>41284</v>
      </c>
      <c r="I3" s="679">
        <v>41793</v>
      </c>
      <c r="J3" s="679">
        <v>41759</v>
      </c>
      <c r="K3" s="679">
        <v>41781</v>
      </c>
      <c r="L3" s="679">
        <v>39295</v>
      </c>
      <c r="M3" s="679">
        <v>37949</v>
      </c>
      <c r="N3" s="679">
        <v>41884</v>
      </c>
      <c r="O3" s="679">
        <v>41786</v>
      </c>
      <c r="P3" s="679">
        <v>41792</v>
      </c>
      <c r="Q3" s="679">
        <v>41977</v>
      </c>
      <c r="R3" s="679">
        <v>41995</v>
      </c>
      <c r="S3" s="679">
        <v>41802</v>
      </c>
      <c r="T3" s="679">
        <v>41767</v>
      </c>
      <c r="U3" s="679">
        <v>41995</v>
      </c>
      <c r="V3" s="679">
        <v>42011</v>
      </c>
      <c r="W3" s="679">
        <v>41361</v>
      </c>
      <c r="X3" s="679">
        <v>41284</v>
      </c>
      <c r="Y3" s="679">
        <v>42221</v>
      </c>
      <c r="Z3" s="679" t="s">
        <v>398</v>
      </c>
      <c r="AA3" s="679" t="s">
        <v>398</v>
      </c>
      <c r="AB3" s="679">
        <v>41885</v>
      </c>
      <c r="AC3" s="679">
        <v>41808</v>
      </c>
      <c r="AD3" s="679">
        <v>40190</v>
      </c>
      <c r="AE3" s="679">
        <v>40190</v>
      </c>
      <c r="AF3" s="1069">
        <v>41759</v>
      </c>
      <c r="AG3" s="1069">
        <v>41761</v>
      </c>
      <c r="AH3" s="1069">
        <v>41656</v>
      </c>
      <c r="AI3" s="1069">
        <v>41656</v>
      </c>
      <c r="AJ3" s="1069">
        <v>41656</v>
      </c>
      <c r="AK3" s="1069">
        <v>41656</v>
      </c>
      <c r="AL3" s="1069">
        <v>42156</v>
      </c>
      <c r="AM3" s="1069">
        <v>41655</v>
      </c>
      <c r="AN3" s="1069">
        <v>41655</v>
      </c>
      <c r="AO3" s="1069">
        <v>41655</v>
      </c>
      <c r="AP3" s="1069">
        <v>41661</v>
      </c>
      <c r="AQ3" s="1069">
        <v>41694</v>
      </c>
      <c r="AR3" s="1069">
        <v>41736</v>
      </c>
      <c r="AS3" s="1069">
        <v>41736</v>
      </c>
      <c r="AT3" s="1069">
        <v>41295</v>
      </c>
      <c r="AU3" s="1069">
        <v>41295</v>
      </c>
      <c r="AV3" s="1069">
        <v>42012</v>
      </c>
      <c r="AW3" s="1069">
        <v>42012</v>
      </c>
      <c r="AX3" s="1069">
        <v>42153</v>
      </c>
      <c r="AY3" s="1069">
        <v>42153</v>
      </c>
      <c r="AZ3" s="1069">
        <v>42012</v>
      </c>
      <c r="BA3" s="1069">
        <v>42012</v>
      </c>
      <c r="BB3" s="1069">
        <v>42152</v>
      </c>
      <c r="BC3" s="1069">
        <v>42153</v>
      </c>
      <c r="BD3" s="688"/>
      <c r="BE3" s="683" t="s">
        <v>1335</v>
      </c>
    </row>
    <row r="4" spans="1:57" s="6" customFormat="1" ht="12.75" customHeight="1">
      <c r="A4" s="750" t="s">
        <v>607</v>
      </c>
      <c r="B4" s="745"/>
      <c r="C4" s="680"/>
      <c r="D4" s="680"/>
      <c r="E4" s="680">
        <v>0.25259999999999999</v>
      </c>
      <c r="F4" s="680"/>
      <c r="G4" s="680"/>
      <c r="H4" s="680"/>
      <c r="I4" s="680"/>
      <c r="J4" s="680"/>
      <c r="K4" s="680">
        <v>0.25900000000000001</v>
      </c>
      <c r="L4" s="680"/>
      <c r="M4" s="680"/>
      <c r="N4" s="680"/>
      <c r="O4" s="680"/>
      <c r="P4" s="680"/>
      <c r="Q4" s="680"/>
      <c r="R4" s="680">
        <v>0.59030000000000005</v>
      </c>
      <c r="S4" s="680">
        <v>0.79871999999999999</v>
      </c>
      <c r="T4" s="680">
        <v>0.58620000000000005</v>
      </c>
      <c r="U4" s="680">
        <v>1.5608</v>
      </c>
      <c r="V4" s="680">
        <v>0.89749999999999996</v>
      </c>
      <c r="W4" s="680">
        <v>0.61850000000000005</v>
      </c>
      <c r="X4" s="680">
        <v>7.1300000000000002E-2</v>
      </c>
      <c r="Y4" s="680">
        <v>0.56310000000000004</v>
      </c>
      <c r="Z4" s="680"/>
      <c r="AA4" s="680"/>
      <c r="AB4" s="680">
        <v>10.736736000000001</v>
      </c>
      <c r="AC4" s="680">
        <v>0.38329999999999997</v>
      </c>
      <c r="AD4" s="680">
        <v>0.72370000000000001</v>
      </c>
      <c r="AE4" s="680">
        <v>0.44740000000000002</v>
      </c>
      <c r="AF4" s="1066">
        <v>0.91439999999999999</v>
      </c>
      <c r="AG4" s="1066"/>
      <c r="AH4" s="1066"/>
      <c r="AI4" s="1066"/>
      <c r="AJ4" s="1066"/>
      <c r="AK4" s="1066"/>
      <c r="AL4" s="1066"/>
      <c r="AM4" s="1066"/>
      <c r="AN4" s="1066"/>
      <c r="AO4" s="1066"/>
      <c r="AP4" s="1066"/>
      <c r="AQ4" s="1066"/>
      <c r="AR4" s="1066"/>
      <c r="AS4" s="1066"/>
      <c r="AT4" s="1066"/>
      <c r="AU4" s="1066"/>
      <c r="AV4" s="1066"/>
      <c r="AW4" s="1066"/>
      <c r="AX4" s="1066"/>
      <c r="AY4" s="1066"/>
      <c r="AZ4" s="1066"/>
      <c r="BA4" s="1066"/>
      <c r="BB4" s="1066"/>
      <c r="BC4" s="1066"/>
      <c r="BD4" s="689" t="str">
        <f>DHat1</f>
        <v>NA</v>
      </c>
      <c r="BE4" s="1073" t="s">
        <v>1578</v>
      </c>
    </row>
    <row r="5" spans="1:57" s="6" customFormat="1" ht="12.75" customHeight="1">
      <c r="A5" s="750" t="s">
        <v>608</v>
      </c>
      <c r="B5" s="745"/>
      <c r="C5" s="680"/>
      <c r="D5" s="680"/>
      <c r="E5" s="680">
        <v>0.96899999999999997</v>
      </c>
      <c r="F5" s="680"/>
      <c r="G5" s="680"/>
      <c r="H5" s="680"/>
      <c r="I5" s="680"/>
      <c r="J5" s="680"/>
      <c r="K5" s="680">
        <v>1.9794</v>
      </c>
      <c r="L5" s="680"/>
      <c r="M5" s="680"/>
      <c r="N5" s="680"/>
      <c r="O5" s="680"/>
      <c r="P5" s="680"/>
      <c r="Q5" s="680"/>
      <c r="R5" s="680">
        <v>2.1637</v>
      </c>
      <c r="S5" s="680">
        <v>1.8451</v>
      </c>
      <c r="T5" s="680">
        <v>1.9742999999999999</v>
      </c>
      <c r="U5" s="680">
        <v>1.7907</v>
      </c>
      <c r="V5" s="680">
        <v>1.9564999999999999</v>
      </c>
      <c r="W5" s="680">
        <v>1.9499</v>
      </c>
      <c r="X5" s="680">
        <v>2.7915000000000001</v>
      </c>
      <c r="Y5" s="680">
        <v>2.1652</v>
      </c>
      <c r="Z5" s="680"/>
      <c r="AA5" s="680"/>
      <c r="AB5" s="680">
        <v>1.3167534999999999</v>
      </c>
      <c r="AC5" s="680">
        <v>2.8908999999999998</v>
      </c>
      <c r="AD5" s="680">
        <v>2.1473</v>
      </c>
      <c r="AE5" s="680">
        <v>2.2178</v>
      </c>
      <c r="AF5" s="1066">
        <v>1.0319</v>
      </c>
      <c r="AG5" s="1066"/>
      <c r="AH5" s="1066"/>
      <c r="AI5" s="1066"/>
      <c r="AJ5" s="1066"/>
      <c r="AK5" s="1066"/>
      <c r="AL5" s="1066"/>
      <c r="AM5" s="1066"/>
      <c r="AN5" s="1066"/>
      <c r="AO5" s="1066"/>
      <c r="AP5" s="1066"/>
      <c r="AQ5" s="1066"/>
      <c r="AR5" s="1066"/>
      <c r="AS5" s="1066"/>
      <c r="AT5" s="1066"/>
      <c r="AU5" s="1066"/>
      <c r="AV5" s="1066"/>
      <c r="AW5" s="1066"/>
      <c r="AX5" s="1066"/>
      <c r="AY5" s="1066"/>
      <c r="AZ5" s="1066"/>
      <c r="BA5" s="1066"/>
      <c r="BB5" s="1066"/>
      <c r="BC5" s="1066"/>
      <c r="BD5" s="689" t="str">
        <f>DHat2</f>
        <v>NA</v>
      </c>
      <c r="BE5" s="1073" t="s">
        <v>1579</v>
      </c>
    </row>
    <row r="6" spans="1:57" s="6" customFormat="1" ht="12.75" customHeight="1">
      <c r="A6" s="750" t="s">
        <v>609</v>
      </c>
      <c r="B6" s="745">
        <v>0.96889999999999998</v>
      </c>
      <c r="C6" s="680">
        <v>1.0244</v>
      </c>
      <c r="D6" s="680">
        <v>0.88880000000000003</v>
      </c>
      <c r="E6" s="680"/>
      <c r="F6" s="680">
        <v>1.4007000000000001</v>
      </c>
      <c r="G6" s="680">
        <v>1.0669</v>
      </c>
      <c r="H6" s="680">
        <v>0.98709999999999998</v>
      </c>
      <c r="I6" s="680">
        <v>0.96350000000000002</v>
      </c>
      <c r="J6" s="680">
        <v>0.99450000000000005</v>
      </c>
      <c r="K6" s="680"/>
      <c r="L6" s="680">
        <v>0.96240000000000003</v>
      </c>
      <c r="M6" s="680">
        <v>1.4432</v>
      </c>
      <c r="N6" s="680">
        <v>0.97819999999999996</v>
      </c>
      <c r="O6" s="680">
        <v>1.0206999999999999</v>
      </c>
      <c r="P6" s="680">
        <v>1.0129999999999999</v>
      </c>
      <c r="Q6" s="680">
        <v>1.014</v>
      </c>
      <c r="R6" s="680"/>
      <c r="S6" s="680"/>
      <c r="T6" s="680"/>
      <c r="U6" s="680"/>
      <c r="V6" s="680"/>
      <c r="W6" s="680"/>
      <c r="X6" s="680"/>
      <c r="Y6" s="680"/>
      <c r="Z6" s="680"/>
      <c r="AA6" s="680"/>
      <c r="AB6" s="680"/>
      <c r="AC6" s="680"/>
      <c r="AD6" s="680"/>
      <c r="AE6" s="680"/>
      <c r="AF6" s="1066"/>
      <c r="AG6" s="1066">
        <v>0.66749999999999998</v>
      </c>
      <c r="AH6" s="1066">
        <v>0.67320000000000002</v>
      </c>
      <c r="AI6" s="1066">
        <v>0.75180000000000002</v>
      </c>
      <c r="AJ6" s="1066">
        <v>0.62309999999999999</v>
      </c>
      <c r="AK6" s="1066">
        <v>0.68510000000000004</v>
      </c>
      <c r="AL6" s="1066">
        <v>0.97550000000000003</v>
      </c>
      <c r="AM6" s="1066">
        <v>0.72209999999999996</v>
      </c>
      <c r="AN6" s="1066">
        <v>0.73019999999999996</v>
      </c>
      <c r="AO6" s="1066">
        <v>0.7288</v>
      </c>
      <c r="AP6" s="1066">
        <v>0.74890000000000001</v>
      </c>
      <c r="AQ6" s="1066">
        <v>0.69740000000000002</v>
      </c>
      <c r="AR6" s="1066">
        <v>1.2954000000000001</v>
      </c>
      <c r="AS6" s="1066">
        <v>1.3461000000000001</v>
      </c>
      <c r="AT6" s="1066">
        <v>1.2497</v>
      </c>
      <c r="AU6" s="1066">
        <v>1.2630999999999999</v>
      </c>
      <c r="AV6" s="1066">
        <v>0.49059999999999998</v>
      </c>
      <c r="AW6" s="1066">
        <v>0.64549999999999996</v>
      </c>
      <c r="AX6" s="1066">
        <v>0.62480000000000002</v>
      </c>
      <c r="AY6" s="1066">
        <v>0.68520000000000003</v>
      </c>
      <c r="AZ6" s="1066">
        <v>0.60189999999999999</v>
      </c>
      <c r="BA6" s="1066">
        <v>0.65569999999999995</v>
      </c>
      <c r="BB6" s="1066">
        <v>0.66800000000000004</v>
      </c>
      <c r="BC6" s="1066">
        <v>0.67579999999999996</v>
      </c>
      <c r="BD6" s="689"/>
      <c r="BE6" s="693"/>
    </row>
    <row r="7" spans="1:57" s="6" customFormat="1" ht="12.75" customHeight="1">
      <c r="A7" s="750" t="s">
        <v>610</v>
      </c>
      <c r="B7" s="745">
        <v>2.1707000000000001</v>
      </c>
      <c r="C7" s="680">
        <v>2.4140999999999999</v>
      </c>
      <c r="D7" s="680">
        <v>3.9260000000000002</v>
      </c>
      <c r="E7" s="680"/>
      <c r="F7" s="680">
        <v>-1.4922</v>
      </c>
      <c r="G7" s="680">
        <v>-4.8413000000000004</v>
      </c>
      <c r="H7" s="680">
        <v>4.3299999999999998E-2</v>
      </c>
      <c r="I7" s="680">
        <v>2.3530000000000002</v>
      </c>
      <c r="J7" s="680">
        <v>2.3996</v>
      </c>
      <c r="K7" s="680"/>
      <c r="L7" s="680">
        <v>2.2241</v>
      </c>
      <c r="M7" s="680">
        <v>0.78249999999999997</v>
      </c>
      <c r="N7" s="680">
        <v>1.3240000000000001</v>
      </c>
      <c r="O7" s="680">
        <v>0.8841</v>
      </c>
      <c r="P7" s="680">
        <v>1.5935999999999999</v>
      </c>
      <c r="Q7" s="680">
        <v>1.7910999999999999</v>
      </c>
      <c r="R7" s="680"/>
      <c r="S7" s="680"/>
      <c r="T7" s="680"/>
      <c r="U7" s="680"/>
      <c r="V7" s="680"/>
      <c r="W7" s="680"/>
      <c r="X7" s="680"/>
      <c r="Y7" s="680"/>
      <c r="Z7" s="680"/>
      <c r="AA7" s="680"/>
      <c r="AB7" s="680"/>
      <c r="AC7" s="680"/>
      <c r="AD7" s="680"/>
      <c r="AE7" s="680"/>
      <c r="AF7" s="1066"/>
      <c r="AG7" s="1066">
        <v>0.68530000000000002</v>
      </c>
      <c r="AH7" s="1066">
        <v>-0.57140000000000002</v>
      </c>
      <c r="AI7" s="1066">
        <v>-1.9061999999999999</v>
      </c>
      <c r="AJ7" s="1066">
        <v>1.9097</v>
      </c>
      <c r="AK7" s="1066">
        <v>-0.66620000000000001</v>
      </c>
      <c r="AL7" s="1066">
        <v>1.3007</v>
      </c>
      <c r="AM7" s="1066">
        <v>-0.51249999999999996</v>
      </c>
      <c r="AN7" s="1066">
        <v>-0.69740000000000002</v>
      </c>
      <c r="AO7" s="1066">
        <v>-0.52569999999999995</v>
      </c>
      <c r="AP7" s="1066">
        <v>-1.1434</v>
      </c>
      <c r="AQ7" s="1066">
        <v>0.19350000000000001</v>
      </c>
      <c r="AR7" s="1066">
        <v>3.343</v>
      </c>
      <c r="AS7" s="1066">
        <v>2.9460999999999999</v>
      </c>
      <c r="AT7" s="1066">
        <v>3.7502</v>
      </c>
      <c r="AU7" s="1066">
        <v>3.6131000000000002</v>
      </c>
      <c r="AV7" s="1066">
        <v>5.1506999999999996</v>
      </c>
      <c r="AW7" s="1066">
        <v>1.0563</v>
      </c>
      <c r="AX7" s="1066">
        <v>0.10009999999999999</v>
      </c>
      <c r="AY7" s="1066">
        <v>-0.44600000000000001</v>
      </c>
      <c r="AZ7" s="1066">
        <v>1.224</v>
      </c>
      <c r="BA7" s="1066">
        <v>0.33579999999999999</v>
      </c>
      <c r="BB7" s="1066">
        <v>-0.11600000000000001</v>
      </c>
      <c r="BC7" s="1066">
        <v>1.6000000000000001E-3</v>
      </c>
      <c r="BD7" s="689" t="str">
        <f>Y2T1</f>
        <v>NA</v>
      </c>
      <c r="BE7" s="684" t="s">
        <v>1580</v>
      </c>
    </row>
    <row r="8" spans="1:57" s="6" customFormat="1" ht="12.75" customHeight="1">
      <c r="A8" s="1002" t="s">
        <v>253</v>
      </c>
      <c r="B8" s="1003">
        <v>1</v>
      </c>
      <c r="C8" s="1004">
        <v>1</v>
      </c>
      <c r="D8" s="1004">
        <v>0.98</v>
      </c>
      <c r="E8" s="1004">
        <v>1.006</v>
      </c>
      <c r="F8" s="1004">
        <v>1</v>
      </c>
      <c r="G8" s="1004">
        <v>1</v>
      </c>
      <c r="H8" s="1004">
        <v>0.99</v>
      </c>
      <c r="I8" s="1004">
        <v>1</v>
      </c>
      <c r="J8" s="1004">
        <v>1</v>
      </c>
      <c r="K8" s="1004">
        <v>0.98099999999999998</v>
      </c>
      <c r="L8" s="1004">
        <v>1</v>
      </c>
      <c r="M8" s="1004">
        <v>1</v>
      </c>
      <c r="N8" s="1004">
        <v>1</v>
      </c>
      <c r="O8" s="1004">
        <v>1</v>
      </c>
      <c r="P8" s="1004">
        <v>1</v>
      </c>
      <c r="Q8" s="1004">
        <v>1</v>
      </c>
      <c r="R8" s="1004">
        <v>1.004</v>
      </c>
      <c r="S8" s="1004">
        <v>0.98299999999999998</v>
      </c>
      <c r="T8" s="1004">
        <v>0.97299999999999998</v>
      </c>
      <c r="U8" s="1004">
        <v>1.0740000000000001</v>
      </c>
      <c r="V8" s="1004">
        <v>1.0269999999999999</v>
      </c>
      <c r="W8" s="1004">
        <v>1.0249999999999999</v>
      </c>
      <c r="X8" s="1004">
        <v>1.01</v>
      </c>
      <c r="Y8" s="1004">
        <v>1.006</v>
      </c>
      <c r="Z8" s="1004"/>
      <c r="AA8" s="1004"/>
      <c r="AB8" s="1004">
        <v>1.024</v>
      </c>
      <c r="AC8" s="1004">
        <v>1.0169999999999999</v>
      </c>
      <c r="AD8" s="1004">
        <v>1</v>
      </c>
      <c r="AE8" s="1004">
        <v>1</v>
      </c>
      <c r="AF8" s="1067">
        <v>1</v>
      </c>
      <c r="AG8" s="1067">
        <v>1</v>
      </c>
      <c r="AH8" s="1067">
        <v>1</v>
      </c>
      <c r="AI8" s="1067">
        <v>1</v>
      </c>
      <c r="AJ8" s="1067">
        <v>1</v>
      </c>
      <c r="AK8" s="1067">
        <v>1</v>
      </c>
      <c r="AL8" s="1067">
        <v>1</v>
      </c>
      <c r="AM8" s="1067">
        <v>1</v>
      </c>
      <c r="AN8" s="1067">
        <v>1</v>
      </c>
      <c r="AO8" s="1067">
        <v>1</v>
      </c>
      <c r="AP8" s="1067">
        <v>1</v>
      </c>
      <c r="AQ8" s="1067">
        <v>1</v>
      </c>
      <c r="AR8" s="1067">
        <v>1</v>
      </c>
      <c r="AS8" s="1067">
        <v>1</v>
      </c>
      <c r="AT8" s="1067">
        <v>1</v>
      </c>
      <c r="AU8" s="1067">
        <v>1</v>
      </c>
      <c r="AV8" s="1067">
        <v>1</v>
      </c>
      <c r="AW8" s="1067">
        <v>1</v>
      </c>
      <c r="AX8" s="1067">
        <v>1</v>
      </c>
      <c r="AY8" s="1067">
        <v>1</v>
      </c>
      <c r="AZ8" s="1067">
        <v>1</v>
      </c>
      <c r="BA8" s="1067">
        <v>1</v>
      </c>
      <c r="BB8" s="1067">
        <v>1</v>
      </c>
      <c r="BC8" s="1067">
        <v>1</v>
      </c>
      <c r="BD8" s="1005" t="str">
        <f>Y2T2</f>
        <v>NA</v>
      </c>
      <c r="BE8" s="684" t="s">
        <v>1581</v>
      </c>
    </row>
    <row r="9" spans="1:57" ht="12.75" customHeight="1">
      <c r="A9" s="758" t="s">
        <v>1299</v>
      </c>
      <c r="B9" s="759">
        <v>1</v>
      </c>
      <c r="C9" s="760">
        <v>2</v>
      </c>
      <c r="D9" s="760">
        <v>3</v>
      </c>
      <c r="E9" s="760">
        <v>4</v>
      </c>
      <c r="F9" s="760">
        <v>5</v>
      </c>
      <c r="G9" s="760">
        <v>6</v>
      </c>
      <c r="H9" s="760">
        <v>7</v>
      </c>
      <c r="I9" s="760">
        <v>8</v>
      </c>
      <c r="J9" s="760">
        <v>9</v>
      </c>
      <c r="K9" s="760">
        <v>10</v>
      </c>
      <c r="L9" s="760">
        <v>11</v>
      </c>
      <c r="M9" s="760">
        <v>12</v>
      </c>
      <c r="N9" s="760">
        <v>13</v>
      </c>
      <c r="O9" s="760">
        <v>14</v>
      </c>
      <c r="P9" s="760">
        <v>15</v>
      </c>
      <c r="Q9" s="760">
        <v>16</v>
      </c>
      <c r="R9" s="760">
        <v>17</v>
      </c>
      <c r="S9" s="760">
        <v>18</v>
      </c>
      <c r="T9" s="760">
        <v>19</v>
      </c>
      <c r="U9" s="760">
        <v>20</v>
      </c>
      <c r="V9" s="760">
        <v>21</v>
      </c>
      <c r="W9" s="760">
        <v>22</v>
      </c>
      <c r="X9" s="760">
        <v>23</v>
      </c>
      <c r="Y9" s="760">
        <v>24</v>
      </c>
      <c r="Z9" s="760">
        <v>25</v>
      </c>
      <c r="AA9" s="760">
        <v>26</v>
      </c>
      <c r="AB9" s="760">
        <v>27</v>
      </c>
      <c r="AC9" s="760">
        <v>28</v>
      </c>
      <c r="AD9" s="760" t="s">
        <v>510</v>
      </c>
      <c r="AE9" s="760" t="s">
        <v>511</v>
      </c>
      <c r="AF9" s="760" t="s">
        <v>1544</v>
      </c>
      <c r="AG9" s="760" t="s">
        <v>1545</v>
      </c>
      <c r="AH9" s="760" t="s">
        <v>1546</v>
      </c>
      <c r="AI9" s="760" t="s">
        <v>1547</v>
      </c>
      <c r="AJ9" s="760" t="s">
        <v>1548</v>
      </c>
      <c r="AK9" s="760" t="s">
        <v>1549</v>
      </c>
      <c r="AL9" s="760" t="s">
        <v>1550</v>
      </c>
      <c r="AM9" s="760" t="s">
        <v>1551</v>
      </c>
      <c r="AN9" s="760" t="s">
        <v>1552</v>
      </c>
      <c r="AO9" s="760" t="s">
        <v>1553</v>
      </c>
      <c r="AP9" s="760" t="s">
        <v>1554</v>
      </c>
      <c r="AQ9" s="760" t="s">
        <v>1555</v>
      </c>
      <c r="AR9" s="760" t="s">
        <v>1556</v>
      </c>
      <c r="AS9" s="760" t="s">
        <v>1557</v>
      </c>
      <c r="AT9" s="760" t="s">
        <v>1558</v>
      </c>
      <c r="AU9" s="760" t="s">
        <v>1559</v>
      </c>
      <c r="AV9" s="760" t="s">
        <v>1560</v>
      </c>
      <c r="AW9" s="760" t="s">
        <v>1561</v>
      </c>
      <c r="AX9" s="760" t="s">
        <v>1562</v>
      </c>
      <c r="AY9" s="760" t="s">
        <v>1563</v>
      </c>
      <c r="AZ9" s="760" t="s">
        <v>1564</v>
      </c>
      <c r="BA9" s="760" t="s">
        <v>1565</v>
      </c>
      <c r="BB9" s="1920" t="s">
        <v>1915</v>
      </c>
      <c r="BC9" s="1920" t="s">
        <v>1916</v>
      </c>
      <c r="BD9" s="761" t="s">
        <v>1582</v>
      </c>
      <c r="BE9" s="762" t="s">
        <v>1265</v>
      </c>
    </row>
    <row r="10" spans="1:57" ht="12.75" customHeight="1">
      <c r="A10" s="753">
        <v>1</v>
      </c>
      <c r="B10" s="754" t="str">
        <f t="shared" ref="B10:K19" si="0">FlowSet(B$1,$A10,B$4,B$5,B$6,B$7,AverageMeterTemp,AverageMeterPress,BaroPress,OPF)</f>
        <v/>
      </c>
      <c r="C10" s="755" t="str">
        <f t="shared" si="0"/>
        <v/>
      </c>
      <c r="D10" s="755" t="str">
        <f t="shared" si="0"/>
        <v/>
      </c>
      <c r="E10" s="755" t="str">
        <f t="shared" si="0"/>
        <v/>
      </c>
      <c r="F10" s="755" t="str">
        <f t="shared" si="0"/>
        <v/>
      </c>
      <c r="G10" s="755" t="str">
        <f t="shared" si="0"/>
        <v/>
      </c>
      <c r="H10" s="755" t="str">
        <f t="shared" si="0"/>
        <v/>
      </c>
      <c r="I10" s="755" t="str">
        <f t="shared" si="0"/>
        <v/>
      </c>
      <c r="J10" s="755" t="str">
        <f t="shared" si="0"/>
        <v/>
      </c>
      <c r="K10" s="755" t="str">
        <f t="shared" si="0"/>
        <v/>
      </c>
      <c r="L10" s="755" t="str">
        <f t="shared" ref="L10:AC25" si="1">FlowSet(L$1,$A10,L$4,L$5,L$6,L$7,AverageMeterTemp,AverageMeterPress,BaroPress,OPF)</f>
        <v/>
      </c>
      <c r="M10" s="755" t="str">
        <f t="shared" si="1"/>
        <v/>
      </c>
      <c r="N10" s="755" t="str">
        <f t="shared" si="1"/>
        <v/>
      </c>
      <c r="O10" s="755" t="str">
        <f t="shared" si="1"/>
        <v/>
      </c>
      <c r="P10" s="755" t="str">
        <f t="shared" si="1"/>
        <v/>
      </c>
      <c r="Q10" s="755" t="str">
        <f t="shared" si="1"/>
        <v/>
      </c>
      <c r="R10" s="755" t="str">
        <f t="shared" si="1"/>
        <v/>
      </c>
      <c r="S10" s="755" t="str">
        <f t="shared" si="1"/>
        <v/>
      </c>
      <c r="T10" s="755" t="str">
        <f t="shared" si="1"/>
        <v/>
      </c>
      <c r="U10" s="755" t="str">
        <f t="shared" si="1"/>
        <v/>
      </c>
      <c r="V10" s="755" t="str">
        <f t="shared" si="1"/>
        <v/>
      </c>
      <c r="W10" s="755" t="str">
        <f t="shared" si="1"/>
        <v/>
      </c>
      <c r="X10" s="755" t="str">
        <f t="shared" si="1"/>
        <v/>
      </c>
      <c r="Y10" s="755" t="str">
        <f t="shared" si="1"/>
        <v/>
      </c>
      <c r="Z10" s="755" t="str">
        <f t="shared" si="1"/>
        <v/>
      </c>
      <c r="AA10" s="755" t="str">
        <f t="shared" si="1"/>
        <v/>
      </c>
      <c r="AB10" s="755" t="str">
        <f t="shared" si="1"/>
        <v/>
      </c>
      <c r="AC10" s="755" t="str">
        <f t="shared" si="1"/>
        <v/>
      </c>
      <c r="AD10" s="755" t="str">
        <f t="shared" ref="AD10:AR10" si="2">FlowSet(AD$1,$A10,AD$4,AD$5,AD$6,AD$7,AverageMeterTemp,AverageMeterPress,BaroPress,OPF)</f>
        <v/>
      </c>
      <c r="AE10" s="755" t="str">
        <f t="shared" si="2"/>
        <v/>
      </c>
      <c r="AF10" s="755" t="str">
        <f t="shared" si="2"/>
        <v/>
      </c>
      <c r="AG10" s="755" t="str">
        <f t="shared" si="2"/>
        <v/>
      </c>
      <c r="AH10" s="755" t="str">
        <f t="shared" si="2"/>
        <v/>
      </c>
      <c r="AI10" s="755" t="str">
        <f t="shared" si="2"/>
        <v/>
      </c>
      <c r="AJ10" s="755" t="str">
        <f t="shared" si="2"/>
        <v/>
      </c>
      <c r="AK10" s="755" t="str">
        <f t="shared" si="2"/>
        <v/>
      </c>
      <c r="AL10" s="755" t="str">
        <f t="shared" si="2"/>
        <v/>
      </c>
      <c r="AM10" s="755" t="str">
        <f t="shared" si="2"/>
        <v/>
      </c>
      <c r="AN10" s="755" t="str">
        <f t="shared" si="2"/>
        <v/>
      </c>
      <c r="AO10" s="755" t="str">
        <f t="shared" si="2"/>
        <v/>
      </c>
      <c r="AP10" s="755" t="str">
        <f t="shared" si="2"/>
        <v/>
      </c>
      <c r="AQ10" s="755" t="str">
        <f t="shared" si="2"/>
        <v/>
      </c>
      <c r="AR10" s="755" t="str">
        <f t="shared" si="2"/>
        <v/>
      </c>
      <c r="AS10" s="755" t="str">
        <f t="shared" ref="AE10:BA21" si="3">FlowSet(AS$1,$A10,AS$4,AS$5,AS$6,AS$7,AverageMeterTemp,AverageMeterPress,BaroPress,OPF)</f>
        <v/>
      </c>
      <c r="AT10" s="755" t="str">
        <f t="shared" si="3"/>
        <v/>
      </c>
      <c r="AU10" s="755" t="str">
        <f t="shared" si="3"/>
        <v/>
      </c>
      <c r="AV10" s="755" t="str">
        <f t="shared" si="3"/>
        <v/>
      </c>
      <c r="AW10" s="755" t="str">
        <f t="shared" si="3"/>
        <v/>
      </c>
      <c r="AX10" s="755" t="str">
        <f t="shared" si="3"/>
        <v/>
      </c>
      <c r="AY10" s="755" t="str">
        <f t="shared" si="3"/>
        <v/>
      </c>
      <c r="AZ10" s="755" t="str">
        <f t="shared" si="3"/>
        <v/>
      </c>
      <c r="BA10" s="755" t="str">
        <f t="shared" si="3"/>
        <v/>
      </c>
      <c r="BB10" s="1921"/>
      <c r="BC10" s="1921"/>
      <c r="BD10" s="756"/>
      <c r="BE10" s="757">
        <v>1</v>
      </c>
    </row>
    <row r="11" spans="1:57" ht="12.75" customHeight="1">
      <c r="A11" s="751">
        <v>2</v>
      </c>
      <c r="B11" s="746" t="str">
        <f t="shared" si="0"/>
        <v/>
      </c>
      <c r="C11" s="681" t="str">
        <f t="shared" si="0"/>
        <v/>
      </c>
      <c r="D11" s="681" t="str">
        <f t="shared" si="0"/>
        <v/>
      </c>
      <c r="E11" s="681" t="str">
        <f t="shared" si="0"/>
        <v/>
      </c>
      <c r="F11" s="681" t="str">
        <f t="shared" si="0"/>
        <v/>
      </c>
      <c r="G11" s="681" t="str">
        <f t="shared" si="0"/>
        <v/>
      </c>
      <c r="H11" s="681" t="str">
        <f t="shared" si="0"/>
        <v/>
      </c>
      <c r="I11" s="681" t="str">
        <f t="shared" si="0"/>
        <v/>
      </c>
      <c r="J11" s="681" t="str">
        <f t="shared" si="0"/>
        <v/>
      </c>
      <c r="K11" s="681" t="str">
        <f t="shared" si="0"/>
        <v/>
      </c>
      <c r="L11" s="681" t="str">
        <f t="shared" si="1"/>
        <v/>
      </c>
      <c r="M11" s="681" t="str">
        <f t="shared" si="1"/>
        <v/>
      </c>
      <c r="N11" s="681" t="str">
        <f t="shared" si="1"/>
        <v/>
      </c>
      <c r="O11" s="681" t="str">
        <f t="shared" si="1"/>
        <v/>
      </c>
      <c r="P11" s="681" t="str">
        <f t="shared" si="1"/>
        <v/>
      </c>
      <c r="Q11" s="681" t="str">
        <f t="shared" si="1"/>
        <v/>
      </c>
      <c r="R11" s="681" t="str">
        <f t="shared" si="1"/>
        <v/>
      </c>
      <c r="S11" s="681" t="str">
        <f t="shared" si="1"/>
        <v/>
      </c>
      <c r="T11" s="681" t="str">
        <f t="shared" si="1"/>
        <v/>
      </c>
      <c r="U11" s="681" t="str">
        <f t="shared" si="1"/>
        <v/>
      </c>
      <c r="V11" s="681" t="str">
        <f t="shared" si="1"/>
        <v/>
      </c>
      <c r="W11" s="755" t="str">
        <f t="shared" si="1"/>
        <v/>
      </c>
      <c r="X11" s="755" t="str">
        <f t="shared" si="1"/>
        <v/>
      </c>
      <c r="Y11" s="755" t="str">
        <f t="shared" si="1"/>
        <v/>
      </c>
      <c r="Z11" s="681" t="str">
        <f t="shared" si="1"/>
        <v/>
      </c>
      <c r="AA11" s="681" t="str">
        <f t="shared" si="1"/>
        <v/>
      </c>
      <c r="AB11" s="681" t="str">
        <f t="shared" si="1"/>
        <v/>
      </c>
      <c r="AC11" s="681" t="str">
        <f t="shared" ref="AC11:AD19" si="4">FlowSet(AC$1,$A11,AC$4,AC$5,AC$6,AC$7,AverageMeterTemp,AverageMeterPress,BaroPress,OPF)</f>
        <v/>
      </c>
      <c r="AD11" s="681" t="str">
        <f t="shared" si="4"/>
        <v/>
      </c>
      <c r="AE11" s="681" t="str">
        <f t="shared" si="3"/>
        <v/>
      </c>
      <c r="AF11" s="681" t="str">
        <f t="shared" si="3"/>
        <v/>
      </c>
      <c r="AG11" s="681" t="str">
        <f t="shared" si="3"/>
        <v/>
      </c>
      <c r="AH11" s="681" t="str">
        <f t="shared" si="3"/>
        <v/>
      </c>
      <c r="AI11" s="681" t="str">
        <f t="shared" si="3"/>
        <v/>
      </c>
      <c r="AJ11" s="681" t="str">
        <f t="shared" si="3"/>
        <v/>
      </c>
      <c r="AK11" s="681" t="str">
        <f t="shared" si="3"/>
        <v/>
      </c>
      <c r="AL11" s="681" t="str">
        <f t="shared" si="3"/>
        <v/>
      </c>
      <c r="AM11" s="681" t="str">
        <f t="shared" si="3"/>
        <v/>
      </c>
      <c r="AN11" s="681" t="str">
        <f t="shared" si="3"/>
        <v/>
      </c>
      <c r="AO11" s="681" t="str">
        <f t="shared" si="3"/>
        <v/>
      </c>
      <c r="AP11" s="681" t="str">
        <f t="shared" si="3"/>
        <v/>
      </c>
      <c r="AQ11" s="681" t="str">
        <f t="shared" si="3"/>
        <v/>
      </c>
      <c r="AR11" s="681" t="str">
        <f t="shared" si="3"/>
        <v/>
      </c>
      <c r="AS11" s="681" t="str">
        <f t="shared" si="3"/>
        <v/>
      </c>
      <c r="AT11" s="681" t="str">
        <f t="shared" si="3"/>
        <v/>
      </c>
      <c r="AU11" s="681" t="str">
        <f t="shared" si="3"/>
        <v/>
      </c>
      <c r="AV11" s="681" t="str">
        <f t="shared" si="3"/>
        <v/>
      </c>
      <c r="AW11" s="681" t="str">
        <f t="shared" si="3"/>
        <v/>
      </c>
      <c r="AX11" s="681" t="str">
        <f t="shared" si="3"/>
        <v/>
      </c>
      <c r="AY11" s="681" t="str">
        <f t="shared" si="3"/>
        <v/>
      </c>
      <c r="AZ11" s="681" t="str">
        <f t="shared" si="3"/>
        <v/>
      </c>
      <c r="BA11" s="681" t="str">
        <f t="shared" si="3"/>
        <v/>
      </c>
      <c r="BB11" s="1922"/>
      <c r="BC11" s="1922"/>
      <c r="BD11" s="690"/>
      <c r="BE11" s="685">
        <v>2</v>
      </c>
    </row>
    <row r="12" spans="1:57" ht="12.75" customHeight="1">
      <c r="A12" s="751">
        <v>3</v>
      </c>
      <c r="B12" s="746" t="str">
        <f t="shared" si="0"/>
        <v/>
      </c>
      <c r="C12" s="681" t="str">
        <f t="shared" si="0"/>
        <v/>
      </c>
      <c r="D12" s="681" t="str">
        <f t="shared" si="0"/>
        <v/>
      </c>
      <c r="E12" s="681" t="str">
        <f t="shared" si="0"/>
        <v/>
      </c>
      <c r="F12" s="681" t="str">
        <f t="shared" si="0"/>
        <v/>
      </c>
      <c r="G12" s="681" t="str">
        <f t="shared" si="0"/>
        <v/>
      </c>
      <c r="H12" s="681" t="str">
        <f t="shared" si="0"/>
        <v/>
      </c>
      <c r="I12" s="681" t="str">
        <f t="shared" si="0"/>
        <v/>
      </c>
      <c r="J12" s="681" t="str">
        <f t="shared" si="0"/>
        <v/>
      </c>
      <c r="K12" s="681" t="str">
        <f t="shared" si="0"/>
        <v/>
      </c>
      <c r="L12" s="681" t="str">
        <f t="shared" si="1"/>
        <v/>
      </c>
      <c r="M12" s="681" t="str">
        <f t="shared" si="1"/>
        <v/>
      </c>
      <c r="N12" s="681" t="str">
        <f t="shared" si="1"/>
        <v/>
      </c>
      <c r="O12" s="681" t="str">
        <f t="shared" si="1"/>
        <v/>
      </c>
      <c r="P12" s="681" t="str">
        <f t="shared" si="1"/>
        <v/>
      </c>
      <c r="Q12" s="681" t="str">
        <f t="shared" si="1"/>
        <v/>
      </c>
      <c r="R12" s="681" t="str">
        <f t="shared" si="1"/>
        <v/>
      </c>
      <c r="S12" s="681" t="str">
        <f t="shared" si="1"/>
        <v/>
      </c>
      <c r="T12" s="681" t="str">
        <f t="shared" si="1"/>
        <v/>
      </c>
      <c r="U12" s="681" t="str">
        <f t="shared" si="1"/>
        <v/>
      </c>
      <c r="V12" s="681" t="str">
        <f t="shared" si="1"/>
        <v/>
      </c>
      <c r="W12" s="755" t="str">
        <f t="shared" si="1"/>
        <v/>
      </c>
      <c r="X12" s="755" t="str">
        <f t="shared" si="1"/>
        <v/>
      </c>
      <c r="Y12" s="755" t="str">
        <f t="shared" si="1"/>
        <v/>
      </c>
      <c r="Z12" s="681" t="str">
        <f t="shared" si="1"/>
        <v/>
      </c>
      <c r="AA12" s="681" t="str">
        <f t="shared" si="1"/>
        <v/>
      </c>
      <c r="AB12" s="681" t="str">
        <f t="shared" si="1"/>
        <v/>
      </c>
      <c r="AC12" s="681" t="str">
        <f t="shared" si="4"/>
        <v/>
      </c>
      <c r="AD12" s="681" t="str">
        <f t="shared" si="4"/>
        <v/>
      </c>
      <c r="AE12" s="681" t="str">
        <f t="shared" si="3"/>
        <v/>
      </c>
      <c r="AF12" s="681" t="str">
        <f t="shared" si="3"/>
        <v/>
      </c>
      <c r="AG12" s="681" t="str">
        <f t="shared" si="3"/>
        <v/>
      </c>
      <c r="AH12" s="681" t="str">
        <f t="shared" si="3"/>
        <v/>
      </c>
      <c r="AI12" s="681" t="str">
        <f t="shared" si="3"/>
        <v/>
      </c>
      <c r="AJ12" s="681" t="str">
        <f t="shared" si="3"/>
        <v/>
      </c>
      <c r="AK12" s="681" t="str">
        <f t="shared" si="3"/>
        <v/>
      </c>
      <c r="AL12" s="681" t="str">
        <f t="shared" si="3"/>
        <v/>
      </c>
      <c r="AM12" s="681" t="str">
        <f t="shared" si="3"/>
        <v/>
      </c>
      <c r="AN12" s="681" t="str">
        <f t="shared" si="3"/>
        <v/>
      </c>
      <c r="AO12" s="681" t="str">
        <f t="shared" si="3"/>
        <v/>
      </c>
      <c r="AP12" s="681" t="str">
        <f t="shared" si="3"/>
        <v/>
      </c>
      <c r="AQ12" s="681" t="str">
        <f t="shared" si="3"/>
        <v/>
      </c>
      <c r="AR12" s="681" t="str">
        <f t="shared" si="3"/>
        <v/>
      </c>
      <c r="AS12" s="681" t="str">
        <f t="shared" si="3"/>
        <v/>
      </c>
      <c r="AT12" s="681" t="str">
        <f t="shared" si="3"/>
        <v/>
      </c>
      <c r="AU12" s="681" t="str">
        <f t="shared" si="3"/>
        <v/>
      </c>
      <c r="AV12" s="681" t="str">
        <f t="shared" si="3"/>
        <v/>
      </c>
      <c r="AW12" s="681" t="str">
        <f t="shared" si="3"/>
        <v/>
      </c>
      <c r="AX12" s="681" t="str">
        <f t="shared" si="3"/>
        <v/>
      </c>
      <c r="AY12" s="681" t="str">
        <f t="shared" si="3"/>
        <v/>
      </c>
      <c r="AZ12" s="681" t="str">
        <f t="shared" si="3"/>
        <v/>
      </c>
      <c r="BA12" s="681" t="str">
        <f t="shared" si="3"/>
        <v/>
      </c>
      <c r="BB12" s="1922"/>
      <c r="BC12" s="1922"/>
      <c r="BD12" s="690"/>
      <c r="BE12" s="685">
        <v>3</v>
      </c>
    </row>
    <row r="13" spans="1:57" ht="12.75" customHeight="1">
      <c r="A13" s="751">
        <v>4</v>
      </c>
      <c r="B13" s="746" t="str">
        <f t="shared" si="0"/>
        <v/>
      </c>
      <c r="C13" s="681" t="str">
        <f t="shared" si="0"/>
        <v/>
      </c>
      <c r="D13" s="681" t="str">
        <f t="shared" si="0"/>
        <v/>
      </c>
      <c r="E13" s="681" t="str">
        <f t="shared" si="0"/>
        <v/>
      </c>
      <c r="F13" s="681" t="str">
        <f t="shared" si="0"/>
        <v/>
      </c>
      <c r="G13" s="681" t="str">
        <f t="shared" si="0"/>
        <v/>
      </c>
      <c r="H13" s="681" t="str">
        <f t="shared" si="0"/>
        <v/>
      </c>
      <c r="I13" s="681" t="str">
        <f t="shared" si="0"/>
        <v/>
      </c>
      <c r="J13" s="681" t="str">
        <f t="shared" si="0"/>
        <v/>
      </c>
      <c r="K13" s="681" t="str">
        <f t="shared" si="0"/>
        <v/>
      </c>
      <c r="L13" s="681" t="str">
        <f t="shared" si="1"/>
        <v/>
      </c>
      <c r="M13" s="681" t="str">
        <f t="shared" si="1"/>
        <v/>
      </c>
      <c r="N13" s="681" t="str">
        <f t="shared" si="1"/>
        <v/>
      </c>
      <c r="O13" s="681" t="str">
        <f t="shared" si="1"/>
        <v/>
      </c>
      <c r="P13" s="681" t="str">
        <f t="shared" si="1"/>
        <v/>
      </c>
      <c r="Q13" s="681" t="str">
        <f t="shared" si="1"/>
        <v/>
      </c>
      <c r="R13" s="681" t="str">
        <f t="shared" si="1"/>
        <v/>
      </c>
      <c r="S13" s="681" t="str">
        <f t="shared" si="1"/>
        <v/>
      </c>
      <c r="T13" s="681" t="str">
        <f t="shared" si="1"/>
        <v/>
      </c>
      <c r="U13" s="681" t="str">
        <f t="shared" si="1"/>
        <v/>
      </c>
      <c r="V13" s="681" t="str">
        <f t="shared" si="1"/>
        <v/>
      </c>
      <c r="W13" s="755" t="str">
        <f t="shared" si="1"/>
        <v/>
      </c>
      <c r="X13" s="755" t="str">
        <f t="shared" si="1"/>
        <v/>
      </c>
      <c r="Y13" s="755" t="str">
        <f t="shared" si="1"/>
        <v/>
      </c>
      <c r="Z13" s="681" t="str">
        <f t="shared" si="1"/>
        <v/>
      </c>
      <c r="AA13" s="681" t="str">
        <f t="shared" si="1"/>
        <v/>
      </c>
      <c r="AB13" s="681" t="str">
        <f t="shared" si="1"/>
        <v/>
      </c>
      <c r="AC13" s="681" t="str">
        <f t="shared" si="4"/>
        <v/>
      </c>
      <c r="AD13" s="681" t="str">
        <f t="shared" si="4"/>
        <v/>
      </c>
      <c r="AE13" s="681" t="str">
        <f t="shared" si="3"/>
        <v/>
      </c>
      <c r="AF13" s="681" t="str">
        <f t="shared" si="3"/>
        <v/>
      </c>
      <c r="AG13" s="681" t="str">
        <f t="shared" si="3"/>
        <v/>
      </c>
      <c r="AH13" s="681" t="str">
        <f t="shared" si="3"/>
        <v/>
      </c>
      <c r="AI13" s="681" t="str">
        <f t="shared" si="3"/>
        <v/>
      </c>
      <c r="AJ13" s="681" t="str">
        <f t="shared" si="3"/>
        <v/>
      </c>
      <c r="AK13" s="681" t="str">
        <f t="shared" si="3"/>
        <v/>
      </c>
      <c r="AL13" s="681" t="str">
        <f t="shared" si="3"/>
        <v/>
      </c>
      <c r="AM13" s="681" t="str">
        <f t="shared" si="3"/>
        <v/>
      </c>
      <c r="AN13" s="681" t="str">
        <f t="shared" si="3"/>
        <v/>
      </c>
      <c r="AO13" s="681" t="str">
        <f t="shared" si="3"/>
        <v/>
      </c>
      <c r="AP13" s="681" t="str">
        <f t="shared" si="3"/>
        <v/>
      </c>
      <c r="AQ13" s="681" t="str">
        <f t="shared" si="3"/>
        <v/>
      </c>
      <c r="AR13" s="681" t="str">
        <f t="shared" si="3"/>
        <v/>
      </c>
      <c r="AS13" s="681" t="str">
        <f t="shared" si="3"/>
        <v/>
      </c>
      <c r="AT13" s="681" t="str">
        <f t="shared" si="3"/>
        <v/>
      </c>
      <c r="AU13" s="681" t="str">
        <f t="shared" si="3"/>
        <v/>
      </c>
      <c r="AV13" s="681" t="str">
        <f t="shared" si="3"/>
        <v/>
      </c>
      <c r="AW13" s="681" t="str">
        <f t="shared" si="3"/>
        <v/>
      </c>
      <c r="AX13" s="681" t="str">
        <f t="shared" si="3"/>
        <v/>
      </c>
      <c r="AY13" s="681" t="str">
        <f t="shared" si="3"/>
        <v/>
      </c>
      <c r="AZ13" s="681" t="str">
        <f t="shared" si="3"/>
        <v/>
      </c>
      <c r="BA13" s="681" t="str">
        <f t="shared" si="3"/>
        <v/>
      </c>
      <c r="BB13" s="1922"/>
      <c r="BC13" s="1922"/>
      <c r="BD13" s="690"/>
      <c r="BE13" s="685">
        <v>4</v>
      </c>
    </row>
    <row r="14" spans="1:57" ht="12.75" customHeight="1">
      <c r="A14" s="751">
        <v>5</v>
      </c>
      <c r="B14" s="746" t="str">
        <f t="shared" si="0"/>
        <v/>
      </c>
      <c r="C14" s="681" t="str">
        <f t="shared" si="0"/>
        <v/>
      </c>
      <c r="D14" s="681" t="str">
        <f t="shared" si="0"/>
        <v/>
      </c>
      <c r="E14" s="681" t="str">
        <f t="shared" si="0"/>
        <v/>
      </c>
      <c r="F14" s="681" t="str">
        <f t="shared" si="0"/>
        <v/>
      </c>
      <c r="G14" s="681" t="str">
        <f t="shared" si="0"/>
        <v/>
      </c>
      <c r="H14" s="681" t="str">
        <f t="shared" si="0"/>
        <v/>
      </c>
      <c r="I14" s="681" t="str">
        <f t="shared" si="0"/>
        <v/>
      </c>
      <c r="J14" s="681" t="str">
        <f t="shared" si="0"/>
        <v/>
      </c>
      <c r="K14" s="681" t="str">
        <f t="shared" si="0"/>
        <v/>
      </c>
      <c r="L14" s="681" t="str">
        <f t="shared" si="1"/>
        <v/>
      </c>
      <c r="M14" s="681" t="str">
        <f t="shared" si="1"/>
        <v/>
      </c>
      <c r="N14" s="681" t="str">
        <f t="shared" si="1"/>
        <v/>
      </c>
      <c r="O14" s="681" t="str">
        <f t="shared" si="1"/>
        <v/>
      </c>
      <c r="P14" s="681" t="str">
        <f t="shared" si="1"/>
        <v/>
      </c>
      <c r="Q14" s="681" t="str">
        <f t="shared" si="1"/>
        <v/>
      </c>
      <c r="R14" s="681" t="str">
        <f t="shared" si="1"/>
        <v/>
      </c>
      <c r="S14" s="681" t="str">
        <f t="shared" si="1"/>
        <v/>
      </c>
      <c r="T14" s="681" t="str">
        <f t="shared" si="1"/>
        <v/>
      </c>
      <c r="U14" s="681" t="str">
        <f t="shared" si="1"/>
        <v/>
      </c>
      <c r="V14" s="681" t="str">
        <f t="shared" si="1"/>
        <v/>
      </c>
      <c r="W14" s="755" t="str">
        <f t="shared" si="1"/>
        <v/>
      </c>
      <c r="X14" s="755" t="str">
        <f t="shared" si="1"/>
        <v/>
      </c>
      <c r="Y14" s="755" t="str">
        <f t="shared" si="1"/>
        <v/>
      </c>
      <c r="Z14" s="681" t="str">
        <f t="shared" si="1"/>
        <v/>
      </c>
      <c r="AA14" s="681" t="str">
        <f t="shared" si="1"/>
        <v/>
      </c>
      <c r="AB14" s="681" t="str">
        <f t="shared" si="1"/>
        <v/>
      </c>
      <c r="AC14" s="681" t="str">
        <f t="shared" si="4"/>
        <v/>
      </c>
      <c r="AD14" s="681" t="str">
        <f t="shared" si="4"/>
        <v/>
      </c>
      <c r="AE14" s="681" t="str">
        <f t="shared" si="3"/>
        <v/>
      </c>
      <c r="AF14" s="681" t="str">
        <f t="shared" si="3"/>
        <v/>
      </c>
      <c r="AG14" s="681" t="str">
        <f t="shared" si="3"/>
        <v/>
      </c>
      <c r="AH14" s="681" t="str">
        <f t="shared" si="3"/>
        <v/>
      </c>
      <c r="AI14" s="681" t="str">
        <f t="shared" si="3"/>
        <v/>
      </c>
      <c r="AJ14" s="681" t="str">
        <f t="shared" si="3"/>
        <v/>
      </c>
      <c r="AK14" s="681" t="str">
        <f t="shared" si="3"/>
        <v/>
      </c>
      <c r="AL14" s="681" t="str">
        <f t="shared" si="3"/>
        <v/>
      </c>
      <c r="AM14" s="681" t="str">
        <f t="shared" si="3"/>
        <v/>
      </c>
      <c r="AN14" s="681" t="str">
        <f t="shared" si="3"/>
        <v/>
      </c>
      <c r="AO14" s="681" t="str">
        <f t="shared" si="3"/>
        <v/>
      </c>
      <c r="AP14" s="681" t="str">
        <f t="shared" si="3"/>
        <v/>
      </c>
      <c r="AQ14" s="681" t="str">
        <f t="shared" si="3"/>
        <v/>
      </c>
      <c r="AR14" s="681" t="str">
        <f t="shared" si="3"/>
        <v/>
      </c>
      <c r="AS14" s="681" t="str">
        <f t="shared" si="3"/>
        <v/>
      </c>
      <c r="AT14" s="681" t="str">
        <f t="shared" si="3"/>
        <v/>
      </c>
      <c r="AU14" s="681" t="str">
        <f t="shared" si="3"/>
        <v/>
      </c>
      <c r="AV14" s="681" t="str">
        <f t="shared" si="3"/>
        <v/>
      </c>
      <c r="AW14" s="681" t="str">
        <f t="shared" si="3"/>
        <v/>
      </c>
      <c r="AX14" s="681" t="str">
        <f t="shared" si="3"/>
        <v/>
      </c>
      <c r="AY14" s="681" t="str">
        <f t="shared" si="3"/>
        <v/>
      </c>
      <c r="AZ14" s="681" t="str">
        <f t="shared" si="3"/>
        <v/>
      </c>
      <c r="BA14" s="681" t="str">
        <f t="shared" si="3"/>
        <v/>
      </c>
      <c r="BB14" s="1922"/>
      <c r="BC14" s="1922"/>
      <c r="BD14" s="690"/>
      <c r="BE14" s="685">
        <v>5</v>
      </c>
    </row>
    <row r="15" spans="1:57" ht="12.75" customHeight="1">
      <c r="A15" s="751">
        <v>6</v>
      </c>
      <c r="B15" s="746" t="str">
        <f t="shared" si="0"/>
        <v/>
      </c>
      <c r="C15" s="681" t="str">
        <f t="shared" si="0"/>
        <v/>
      </c>
      <c r="D15" s="681" t="str">
        <f t="shared" si="0"/>
        <v/>
      </c>
      <c r="E15" s="681" t="str">
        <f t="shared" si="0"/>
        <v/>
      </c>
      <c r="F15" s="681" t="str">
        <f t="shared" si="0"/>
        <v/>
      </c>
      <c r="G15" s="681" t="str">
        <f t="shared" si="0"/>
        <v/>
      </c>
      <c r="H15" s="681" t="str">
        <f t="shared" si="0"/>
        <v/>
      </c>
      <c r="I15" s="681" t="str">
        <f t="shared" si="0"/>
        <v/>
      </c>
      <c r="J15" s="681" t="str">
        <f t="shared" si="0"/>
        <v/>
      </c>
      <c r="K15" s="681" t="str">
        <f t="shared" si="0"/>
        <v/>
      </c>
      <c r="L15" s="681" t="str">
        <f t="shared" si="1"/>
        <v/>
      </c>
      <c r="M15" s="681" t="str">
        <f t="shared" si="1"/>
        <v/>
      </c>
      <c r="N15" s="681" t="str">
        <f t="shared" si="1"/>
        <v/>
      </c>
      <c r="O15" s="681" t="str">
        <f t="shared" si="1"/>
        <v/>
      </c>
      <c r="P15" s="681" t="str">
        <f t="shared" si="1"/>
        <v/>
      </c>
      <c r="Q15" s="681" t="str">
        <f t="shared" si="1"/>
        <v/>
      </c>
      <c r="R15" s="681" t="str">
        <f t="shared" si="1"/>
        <v/>
      </c>
      <c r="S15" s="681" t="str">
        <f t="shared" si="1"/>
        <v/>
      </c>
      <c r="T15" s="681" t="str">
        <f t="shared" si="1"/>
        <v/>
      </c>
      <c r="U15" s="681" t="str">
        <f t="shared" si="1"/>
        <v/>
      </c>
      <c r="V15" s="681" t="str">
        <f t="shared" si="1"/>
        <v/>
      </c>
      <c r="W15" s="755" t="str">
        <f t="shared" si="1"/>
        <v/>
      </c>
      <c r="X15" s="755" t="str">
        <f t="shared" si="1"/>
        <v/>
      </c>
      <c r="Y15" s="755" t="str">
        <f t="shared" si="1"/>
        <v/>
      </c>
      <c r="Z15" s="681" t="str">
        <f t="shared" si="1"/>
        <v/>
      </c>
      <c r="AA15" s="681" t="str">
        <f t="shared" si="1"/>
        <v/>
      </c>
      <c r="AB15" s="681" t="str">
        <f t="shared" si="1"/>
        <v/>
      </c>
      <c r="AC15" s="681" t="str">
        <f t="shared" si="4"/>
        <v/>
      </c>
      <c r="AD15" s="681" t="str">
        <f t="shared" si="4"/>
        <v/>
      </c>
      <c r="AE15" s="681" t="str">
        <f t="shared" si="3"/>
        <v/>
      </c>
      <c r="AF15" s="681" t="str">
        <f t="shared" si="3"/>
        <v/>
      </c>
      <c r="AG15" s="681" t="str">
        <f t="shared" si="3"/>
        <v/>
      </c>
      <c r="AH15" s="681" t="str">
        <f t="shared" si="3"/>
        <v/>
      </c>
      <c r="AI15" s="681" t="str">
        <f t="shared" si="3"/>
        <v/>
      </c>
      <c r="AJ15" s="681" t="str">
        <f t="shared" si="3"/>
        <v/>
      </c>
      <c r="AK15" s="681" t="str">
        <f t="shared" si="3"/>
        <v/>
      </c>
      <c r="AL15" s="681" t="str">
        <f t="shared" si="3"/>
        <v/>
      </c>
      <c r="AM15" s="681" t="str">
        <f t="shared" si="3"/>
        <v/>
      </c>
      <c r="AN15" s="681" t="str">
        <f t="shared" si="3"/>
        <v/>
      </c>
      <c r="AO15" s="681" t="str">
        <f t="shared" si="3"/>
        <v/>
      </c>
      <c r="AP15" s="681" t="str">
        <f t="shared" si="3"/>
        <v/>
      </c>
      <c r="AQ15" s="681" t="str">
        <f t="shared" si="3"/>
        <v/>
      </c>
      <c r="AR15" s="681" t="str">
        <f t="shared" si="3"/>
        <v/>
      </c>
      <c r="AS15" s="681" t="str">
        <f t="shared" si="3"/>
        <v/>
      </c>
      <c r="AT15" s="681" t="str">
        <f t="shared" si="3"/>
        <v/>
      </c>
      <c r="AU15" s="681" t="str">
        <f t="shared" si="3"/>
        <v/>
      </c>
      <c r="AV15" s="681" t="str">
        <f t="shared" si="3"/>
        <v/>
      </c>
      <c r="AW15" s="681" t="str">
        <f t="shared" si="3"/>
        <v/>
      </c>
      <c r="AX15" s="681" t="str">
        <f t="shared" si="3"/>
        <v/>
      </c>
      <c r="AY15" s="681" t="str">
        <f t="shared" si="3"/>
        <v/>
      </c>
      <c r="AZ15" s="681" t="str">
        <f t="shared" si="3"/>
        <v/>
      </c>
      <c r="BA15" s="681" t="str">
        <f t="shared" si="3"/>
        <v/>
      </c>
      <c r="BB15" s="1922"/>
      <c r="BC15" s="1922"/>
      <c r="BD15" s="690"/>
      <c r="BE15" s="685">
        <v>6</v>
      </c>
    </row>
    <row r="16" spans="1:57" ht="12.75" customHeight="1">
      <c r="A16" s="751">
        <v>7</v>
      </c>
      <c r="B16" s="746" t="str">
        <f t="shared" si="0"/>
        <v/>
      </c>
      <c r="C16" s="681" t="str">
        <f t="shared" si="0"/>
        <v/>
      </c>
      <c r="D16" s="681" t="str">
        <f t="shared" si="0"/>
        <v/>
      </c>
      <c r="E16" s="681" t="str">
        <f t="shared" si="0"/>
        <v/>
      </c>
      <c r="F16" s="681" t="str">
        <f t="shared" si="0"/>
        <v/>
      </c>
      <c r="G16" s="681" t="str">
        <f t="shared" si="0"/>
        <v/>
      </c>
      <c r="H16" s="681" t="str">
        <f t="shared" si="0"/>
        <v/>
      </c>
      <c r="I16" s="681" t="str">
        <f t="shared" si="0"/>
        <v/>
      </c>
      <c r="J16" s="681" t="str">
        <f t="shared" si="0"/>
        <v/>
      </c>
      <c r="K16" s="681" t="str">
        <f t="shared" si="0"/>
        <v/>
      </c>
      <c r="L16" s="681" t="str">
        <f t="shared" si="1"/>
        <v/>
      </c>
      <c r="M16" s="681" t="str">
        <f t="shared" si="1"/>
        <v/>
      </c>
      <c r="N16" s="681" t="str">
        <f t="shared" si="1"/>
        <v/>
      </c>
      <c r="O16" s="681" t="str">
        <f t="shared" si="1"/>
        <v/>
      </c>
      <c r="P16" s="681" t="str">
        <f t="shared" si="1"/>
        <v/>
      </c>
      <c r="Q16" s="681" t="str">
        <f t="shared" si="1"/>
        <v/>
      </c>
      <c r="R16" s="681" t="str">
        <f t="shared" si="1"/>
        <v/>
      </c>
      <c r="S16" s="681" t="str">
        <f t="shared" si="1"/>
        <v/>
      </c>
      <c r="T16" s="681" t="str">
        <f t="shared" si="1"/>
        <v/>
      </c>
      <c r="U16" s="681" t="str">
        <f t="shared" si="1"/>
        <v/>
      </c>
      <c r="V16" s="681" t="str">
        <f t="shared" si="1"/>
        <v/>
      </c>
      <c r="W16" s="755" t="str">
        <f t="shared" si="1"/>
        <v/>
      </c>
      <c r="X16" s="755" t="str">
        <f t="shared" si="1"/>
        <v/>
      </c>
      <c r="Y16" s="755" t="str">
        <f t="shared" si="1"/>
        <v/>
      </c>
      <c r="Z16" s="681" t="str">
        <f t="shared" si="1"/>
        <v/>
      </c>
      <c r="AA16" s="681" t="str">
        <f t="shared" si="1"/>
        <v/>
      </c>
      <c r="AB16" s="681" t="str">
        <f t="shared" si="1"/>
        <v/>
      </c>
      <c r="AC16" s="681" t="str">
        <f t="shared" si="4"/>
        <v/>
      </c>
      <c r="AD16" s="681" t="str">
        <f t="shared" si="4"/>
        <v/>
      </c>
      <c r="AE16" s="681" t="str">
        <f t="shared" si="3"/>
        <v/>
      </c>
      <c r="AF16" s="681" t="str">
        <f t="shared" si="3"/>
        <v/>
      </c>
      <c r="AG16" s="681" t="str">
        <f t="shared" si="3"/>
        <v/>
      </c>
      <c r="AH16" s="681" t="str">
        <f t="shared" si="3"/>
        <v/>
      </c>
      <c r="AI16" s="681" t="str">
        <f t="shared" si="3"/>
        <v/>
      </c>
      <c r="AJ16" s="681" t="str">
        <f t="shared" si="3"/>
        <v/>
      </c>
      <c r="AK16" s="681" t="str">
        <f t="shared" si="3"/>
        <v/>
      </c>
      <c r="AL16" s="681" t="str">
        <f t="shared" si="3"/>
        <v/>
      </c>
      <c r="AM16" s="681" t="str">
        <f t="shared" si="3"/>
        <v/>
      </c>
      <c r="AN16" s="681" t="str">
        <f t="shared" si="3"/>
        <v/>
      </c>
      <c r="AO16" s="681" t="str">
        <f t="shared" si="3"/>
        <v/>
      </c>
      <c r="AP16" s="681" t="str">
        <f t="shared" si="3"/>
        <v/>
      </c>
      <c r="AQ16" s="681" t="str">
        <f t="shared" si="3"/>
        <v/>
      </c>
      <c r="AR16" s="681" t="str">
        <f t="shared" si="3"/>
        <v/>
      </c>
      <c r="AS16" s="681" t="str">
        <f t="shared" si="3"/>
        <v/>
      </c>
      <c r="AT16" s="681" t="str">
        <f t="shared" si="3"/>
        <v/>
      </c>
      <c r="AU16" s="681" t="str">
        <f t="shared" si="3"/>
        <v/>
      </c>
      <c r="AV16" s="681" t="str">
        <f t="shared" si="3"/>
        <v/>
      </c>
      <c r="AW16" s="681" t="str">
        <f t="shared" si="3"/>
        <v/>
      </c>
      <c r="AX16" s="681" t="str">
        <f t="shared" si="3"/>
        <v/>
      </c>
      <c r="AY16" s="681" t="str">
        <f t="shared" si="3"/>
        <v/>
      </c>
      <c r="AZ16" s="681" t="str">
        <f t="shared" si="3"/>
        <v/>
      </c>
      <c r="BA16" s="681" t="str">
        <f t="shared" si="3"/>
        <v/>
      </c>
      <c r="BB16" s="1922"/>
      <c r="BC16" s="1922"/>
      <c r="BD16" s="690"/>
      <c r="BE16" s="685">
        <v>7</v>
      </c>
    </row>
    <row r="17" spans="1:57" ht="12.75" customHeight="1">
      <c r="A17" s="751">
        <v>8</v>
      </c>
      <c r="B17" s="746" t="str">
        <f t="shared" si="0"/>
        <v/>
      </c>
      <c r="C17" s="681" t="str">
        <f t="shared" si="0"/>
        <v/>
      </c>
      <c r="D17" s="681" t="str">
        <f t="shared" si="0"/>
        <v/>
      </c>
      <c r="E17" s="681" t="str">
        <f t="shared" si="0"/>
        <v/>
      </c>
      <c r="F17" s="681" t="str">
        <f t="shared" si="0"/>
        <v/>
      </c>
      <c r="G17" s="681" t="str">
        <f t="shared" si="0"/>
        <v/>
      </c>
      <c r="H17" s="681" t="str">
        <f t="shared" si="0"/>
        <v/>
      </c>
      <c r="I17" s="681" t="str">
        <f t="shared" si="0"/>
        <v/>
      </c>
      <c r="J17" s="681" t="str">
        <f t="shared" si="0"/>
        <v/>
      </c>
      <c r="K17" s="681" t="str">
        <f t="shared" si="0"/>
        <v/>
      </c>
      <c r="L17" s="681" t="str">
        <f t="shared" si="1"/>
        <v/>
      </c>
      <c r="M17" s="681" t="str">
        <f t="shared" si="1"/>
        <v/>
      </c>
      <c r="N17" s="681" t="str">
        <f t="shared" si="1"/>
        <v/>
      </c>
      <c r="O17" s="681" t="str">
        <f t="shared" si="1"/>
        <v/>
      </c>
      <c r="P17" s="681" t="str">
        <f t="shared" si="1"/>
        <v/>
      </c>
      <c r="Q17" s="681" t="str">
        <f t="shared" si="1"/>
        <v/>
      </c>
      <c r="R17" s="681" t="str">
        <f t="shared" si="1"/>
        <v/>
      </c>
      <c r="S17" s="681" t="str">
        <f t="shared" si="1"/>
        <v/>
      </c>
      <c r="T17" s="681" t="str">
        <f t="shared" si="1"/>
        <v/>
      </c>
      <c r="U17" s="681" t="str">
        <f t="shared" si="1"/>
        <v/>
      </c>
      <c r="V17" s="681" t="str">
        <f t="shared" si="1"/>
        <v/>
      </c>
      <c r="W17" s="755" t="str">
        <f t="shared" si="1"/>
        <v/>
      </c>
      <c r="X17" s="755" t="str">
        <f t="shared" si="1"/>
        <v/>
      </c>
      <c r="Y17" s="755" t="str">
        <f t="shared" si="1"/>
        <v/>
      </c>
      <c r="Z17" s="681" t="str">
        <f t="shared" si="1"/>
        <v/>
      </c>
      <c r="AA17" s="681" t="str">
        <f t="shared" si="1"/>
        <v/>
      </c>
      <c r="AB17" s="681" t="str">
        <f t="shared" si="1"/>
        <v/>
      </c>
      <c r="AC17" s="681" t="str">
        <f t="shared" si="4"/>
        <v/>
      </c>
      <c r="AD17" s="681" t="str">
        <f t="shared" si="4"/>
        <v/>
      </c>
      <c r="AE17" s="681" t="str">
        <f t="shared" si="3"/>
        <v/>
      </c>
      <c r="AF17" s="681" t="str">
        <f t="shared" si="3"/>
        <v/>
      </c>
      <c r="AG17" s="681" t="str">
        <f t="shared" si="3"/>
        <v/>
      </c>
      <c r="AH17" s="681" t="str">
        <f t="shared" si="3"/>
        <v/>
      </c>
      <c r="AI17" s="681" t="str">
        <f t="shared" si="3"/>
        <v/>
      </c>
      <c r="AJ17" s="681" t="str">
        <f t="shared" si="3"/>
        <v/>
      </c>
      <c r="AK17" s="681" t="str">
        <f t="shared" si="3"/>
        <v/>
      </c>
      <c r="AL17" s="681" t="str">
        <f t="shared" si="3"/>
        <v/>
      </c>
      <c r="AM17" s="681" t="str">
        <f t="shared" si="3"/>
        <v/>
      </c>
      <c r="AN17" s="681" t="str">
        <f t="shared" si="3"/>
        <v/>
      </c>
      <c r="AO17" s="681" t="str">
        <f t="shared" si="3"/>
        <v/>
      </c>
      <c r="AP17" s="681" t="str">
        <f t="shared" si="3"/>
        <v/>
      </c>
      <c r="AQ17" s="681" t="str">
        <f t="shared" si="3"/>
        <v/>
      </c>
      <c r="AR17" s="681" t="str">
        <f t="shared" si="3"/>
        <v/>
      </c>
      <c r="AS17" s="681" t="str">
        <f t="shared" si="3"/>
        <v/>
      </c>
      <c r="AT17" s="681" t="str">
        <f t="shared" si="3"/>
        <v/>
      </c>
      <c r="AU17" s="681" t="str">
        <f t="shared" si="3"/>
        <v/>
      </c>
      <c r="AV17" s="681" t="str">
        <f t="shared" si="3"/>
        <v/>
      </c>
      <c r="AW17" s="681" t="str">
        <f t="shared" si="3"/>
        <v/>
      </c>
      <c r="AX17" s="681" t="str">
        <f t="shared" si="3"/>
        <v/>
      </c>
      <c r="AY17" s="681" t="str">
        <f t="shared" si="3"/>
        <v/>
      </c>
      <c r="AZ17" s="681" t="str">
        <f t="shared" si="3"/>
        <v/>
      </c>
      <c r="BA17" s="681" t="str">
        <f t="shared" si="3"/>
        <v/>
      </c>
      <c r="BB17" s="1922"/>
      <c r="BC17" s="1922"/>
      <c r="BD17" s="690"/>
      <c r="BE17" s="685">
        <v>8</v>
      </c>
    </row>
    <row r="18" spans="1:57" ht="12.75" customHeight="1">
      <c r="A18" s="751">
        <v>9</v>
      </c>
      <c r="B18" s="746" t="str">
        <f t="shared" si="0"/>
        <v/>
      </c>
      <c r="C18" s="681" t="str">
        <f t="shared" si="0"/>
        <v/>
      </c>
      <c r="D18" s="681" t="str">
        <f t="shared" si="0"/>
        <v/>
      </c>
      <c r="E18" s="681" t="str">
        <f t="shared" si="0"/>
        <v/>
      </c>
      <c r="F18" s="681" t="str">
        <f t="shared" si="0"/>
        <v/>
      </c>
      <c r="G18" s="681" t="str">
        <f t="shared" si="0"/>
        <v/>
      </c>
      <c r="H18" s="681" t="str">
        <f t="shared" si="0"/>
        <v/>
      </c>
      <c r="I18" s="681" t="str">
        <f t="shared" si="0"/>
        <v/>
      </c>
      <c r="J18" s="681" t="str">
        <f t="shared" si="0"/>
        <v/>
      </c>
      <c r="K18" s="681" t="str">
        <f t="shared" si="0"/>
        <v/>
      </c>
      <c r="L18" s="681" t="str">
        <f t="shared" si="1"/>
        <v/>
      </c>
      <c r="M18" s="681" t="str">
        <f t="shared" si="1"/>
        <v/>
      </c>
      <c r="N18" s="681" t="str">
        <f t="shared" si="1"/>
        <v/>
      </c>
      <c r="O18" s="681" t="str">
        <f t="shared" si="1"/>
        <v/>
      </c>
      <c r="P18" s="681" t="str">
        <f t="shared" si="1"/>
        <v/>
      </c>
      <c r="Q18" s="681" t="str">
        <f t="shared" si="1"/>
        <v/>
      </c>
      <c r="R18" s="681" t="str">
        <f t="shared" si="1"/>
        <v/>
      </c>
      <c r="S18" s="681" t="str">
        <f t="shared" si="1"/>
        <v/>
      </c>
      <c r="T18" s="681" t="str">
        <f t="shared" si="1"/>
        <v/>
      </c>
      <c r="U18" s="681" t="str">
        <f t="shared" si="1"/>
        <v/>
      </c>
      <c r="V18" s="681" t="str">
        <f t="shared" si="1"/>
        <v/>
      </c>
      <c r="W18" s="755" t="str">
        <f t="shared" si="1"/>
        <v/>
      </c>
      <c r="X18" s="755" t="str">
        <f t="shared" si="1"/>
        <v/>
      </c>
      <c r="Y18" s="755" t="str">
        <f t="shared" si="1"/>
        <v/>
      </c>
      <c r="Z18" s="681" t="str">
        <f t="shared" si="1"/>
        <v/>
      </c>
      <c r="AA18" s="681" t="str">
        <f t="shared" si="1"/>
        <v/>
      </c>
      <c r="AB18" s="681" t="str">
        <f t="shared" si="1"/>
        <v/>
      </c>
      <c r="AC18" s="681" t="str">
        <f t="shared" si="4"/>
        <v/>
      </c>
      <c r="AD18" s="681" t="str">
        <f t="shared" si="4"/>
        <v/>
      </c>
      <c r="AE18" s="681" t="str">
        <f t="shared" si="3"/>
        <v/>
      </c>
      <c r="AF18" s="681" t="str">
        <f t="shared" si="3"/>
        <v/>
      </c>
      <c r="AG18" s="681" t="str">
        <f t="shared" si="3"/>
        <v/>
      </c>
      <c r="AH18" s="681" t="str">
        <f t="shared" si="3"/>
        <v/>
      </c>
      <c r="AI18" s="681" t="str">
        <f t="shared" si="3"/>
        <v/>
      </c>
      <c r="AJ18" s="681" t="str">
        <f t="shared" si="3"/>
        <v/>
      </c>
      <c r="AK18" s="681" t="str">
        <f t="shared" si="3"/>
        <v/>
      </c>
      <c r="AL18" s="681" t="str">
        <f t="shared" si="3"/>
        <v/>
      </c>
      <c r="AM18" s="681" t="str">
        <f t="shared" si="3"/>
        <v/>
      </c>
      <c r="AN18" s="681" t="str">
        <f t="shared" si="3"/>
        <v/>
      </c>
      <c r="AO18" s="681" t="str">
        <f t="shared" si="3"/>
        <v/>
      </c>
      <c r="AP18" s="681" t="str">
        <f t="shared" si="3"/>
        <v/>
      </c>
      <c r="AQ18" s="681" t="str">
        <f t="shared" si="3"/>
        <v/>
      </c>
      <c r="AR18" s="681" t="str">
        <f t="shared" si="3"/>
        <v/>
      </c>
      <c r="AS18" s="681" t="str">
        <f t="shared" si="3"/>
        <v/>
      </c>
      <c r="AT18" s="681" t="str">
        <f t="shared" si="3"/>
        <v/>
      </c>
      <c r="AU18" s="681" t="str">
        <f t="shared" si="3"/>
        <v/>
      </c>
      <c r="AV18" s="681" t="str">
        <f t="shared" si="3"/>
        <v/>
      </c>
      <c r="AW18" s="681" t="str">
        <f t="shared" si="3"/>
        <v/>
      </c>
      <c r="AX18" s="681" t="str">
        <f t="shared" si="3"/>
        <v/>
      </c>
      <c r="AY18" s="681" t="str">
        <f t="shared" si="3"/>
        <v/>
      </c>
      <c r="AZ18" s="681" t="str">
        <f t="shared" si="3"/>
        <v/>
      </c>
      <c r="BA18" s="681" t="str">
        <f t="shared" si="3"/>
        <v/>
      </c>
      <c r="BB18" s="1922"/>
      <c r="BC18" s="1922"/>
      <c r="BD18" s="690"/>
      <c r="BE18" s="685">
        <v>9</v>
      </c>
    </row>
    <row r="19" spans="1:57" ht="12.75" customHeight="1">
      <c r="A19" s="751">
        <v>10</v>
      </c>
      <c r="B19" s="746" t="str">
        <f t="shared" si="0"/>
        <v/>
      </c>
      <c r="C19" s="681" t="str">
        <f t="shared" si="0"/>
        <v/>
      </c>
      <c r="D19" s="681" t="str">
        <f t="shared" si="0"/>
        <v/>
      </c>
      <c r="E19" s="681" t="str">
        <f t="shared" si="0"/>
        <v/>
      </c>
      <c r="F19" s="681" t="str">
        <f t="shared" si="0"/>
        <v/>
      </c>
      <c r="G19" s="681" t="str">
        <f t="shared" si="0"/>
        <v/>
      </c>
      <c r="H19" s="681" t="str">
        <f t="shared" si="0"/>
        <v/>
      </c>
      <c r="I19" s="681" t="str">
        <f t="shared" si="0"/>
        <v/>
      </c>
      <c r="J19" s="681" t="str">
        <f t="shared" si="0"/>
        <v/>
      </c>
      <c r="K19" s="681" t="str">
        <f t="shared" si="0"/>
        <v/>
      </c>
      <c r="L19" s="681" t="str">
        <f t="shared" si="1"/>
        <v/>
      </c>
      <c r="M19" s="681" t="str">
        <f t="shared" si="1"/>
        <v/>
      </c>
      <c r="N19" s="681" t="str">
        <f t="shared" si="1"/>
        <v/>
      </c>
      <c r="O19" s="681" t="str">
        <f t="shared" si="1"/>
        <v/>
      </c>
      <c r="P19" s="681" t="str">
        <f t="shared" si="1"/>
        <v/>
      </c>
      <c r="Q19" s="681" t="str">
        <f t="shared" si="1"/>
        <v/>
      </c>
      <c r="R19" s="681" t="str">
        <f t="shared" si="1"/>
        <v/>
      </c>
      <c r="S19" s="681" t="str">
        <f t="shared" si="1"/>
        <v/>
      </c>
      <c r="T19" s="681" t="str">
        <f t="shared" si="1"/>
        <v/>
      </c>
      <c r="U19" s="681" t="str">
        <f t="shared" si="1"/>
        <v/>
      </c>
      <c r="V19" s="681" t="str">
        <f t="shared" si="1"/>
        <v/>
      </c>
      <c r="W19" s="755" t="str">
        <f t="shared" si="1"/>
        <v/>
      </c>
      <c r="X19" s="755" t="str">
        <f t="shared" si="1"/>
        <v/>
      </c>
      <c r="Y19" s="755" t="str">
        <f t="shared" si="1"/>
        <v/>
      </c>
      <c r="Z19" s="681" t="str">
        <f t="shared" si="1"/>
        <v/>
      </c>
      <c r="AA19" s="681" t="str">
        <f t="shared" si="1"/>
        <v/>
      </c>
      <c r="AB19" s="681" t="str">
        <f t="shared" si="1"/>
        <v/>
      </c>
      <c r="AC19" s="681" t="str">
        <f t="shared" si="4"/>
        <v/>
      </c>
      <c r="AD19" s="681" t="str">
        <f t="shared" si="4"/>
        <v/>
      </c>
      <c r="AE19" s="681" t="str">
        <f t="shared" si="3"/>
        <v/>
      </c>
      <c r="AF19" s="681" t="str">
        <f t="shared" si="3"/>
        <v/>
      </c>
      <c r="AG19" s="681" t="str">
        <f t="shared" si="3"/>
        <v/>
      </c>
      <c r="AH19" s="681" t="str">
        <f t="shared" si="3"/>
        <v/>
      </c>
      <c r="AI19" s="681" t="str">
        <f t="shared" si="3"/>
        <v/>
      </c>
      <c r="AJ19" s="681" t="str">
        <f t="shared" si="3"/>
        <v/>
      </c>
      <c r="AK19" s="681" t="str">
        <f t="shared" si="3"/>
        <v/>
      </c>
      <c r="AL19" s="681" t="str">
        <f t="shared" si="3"/>
        <v/>
      </c>
      <c r="AM19" s="681" t="str">
        <f t="shared" si="3"/>
        <v/>
      </c>
      <c r="AN19" s="681" t="str">
        <f t="shared" si="3"/>
        <v/>
      </c>
      <c r="AO19" s="681" t="str">
        <f t="shared" si="3"/>
        <v/>
      </c>
      <c r="AP19" s="681" t="str">
        <f t="shared" si="3"/>
        <v/>
      </c>
      <c r="AQ19" s="681" t="str">
        <f t="shared" si="3"/>
        <v/>
      </c>
      <c r="AR19" s="681" t="str">
        <f t="shared" si="3"/>
        <v/>
      </c>
      <c r="AS19" s="681" t="str">
        <f t="shared" si="3"/>
        <v/>
      </c>
      <c r="AT19" s="681" t="str">
        <f t="shared" si="3"/>
        <v/>
      </c>
      <c r="AU19" s="681" t="str">
        <f t="shared" si="3"/>
        <v/>
      </c>
      <c r="AV19" s="681" t="str">
        <f t="shared" si="3"/>
        <v/>
      </c>
      <c r="AW19" s="681" t="str">
        <f t="shared" si="3"/>
        <v/>
      </c>
      <c r="AX19" s="681" t="str">
        <f t="shared" si="3"/>
        <v/>
      </c>
      <c r="AY19" s="681" t="str">
        <f t="shared" si="3"/>
        <v/>
      </c>
      <c r="AZ19" s="681" t="str">
        <f t="shared" si="3"/>
        <v/>
      </c>
      <c r="BA19" s="681" t="str">
        <f t="shared" si="3"/>
        <v/>
      </c>
      <c r="BB19" s="1922"/>
      <c r="BC19" s="1922"/>
      <c r="BD19" s="690"/>
      <c r="BE19" s="685">
        <v>10</v>
      </c>
    </row>
    <row r="20" spans="1:57" ht="12.75" customHeight="1">
      <c r="A20" s="751">
        <v>11</v>
      </c>
      <c r="B20" s="746" t="str">
        <f t="shared" ref="B20:K34" si="5">FlowSet(B$1,$A20,B$4,B$5,B$6,B$7,AverageMeterTemp,AverageMeterPress,BaroPress,OPF)</f>
        <v/>
      </c>
      <c r="C20" s="681" t="str">
        <f t="shared" si="5"/>
        <v/>
      </c>
      <c r="D20" s="681" t="str">
        <f t="shared" si="5"/>
        <v/>
      </c>
      <c r="E20" s="681" t="str">
        <f t="shared" si="5"/>
        <v/>
      </c>
      <c r="F20" s="681" t="str">
        <f t="shared" si="5"/>
        <v/>
      </c>
      <c r="G20" s="681" t="str">
        <f t="shared" si="5"/>
        <v/>
      </c>
      <c r="H20" s="681" t="str">
        <f t="shared" si="5"/>
        <v/>
      </c>
      <c r="I20" s="681" t="str">
        <f t="shared" si="5"/>
        <v/>
      </c>
      <c r="J20" s="681" t="str">
        <f t="shared" si="5"/>
        <v/>
      </c>
      <c r="K20" s="681" t="str">
        <f t="shared" si="5"/>
        <v/>
      </c>
      <c r="L20" s="681" t="str">
        <f t="shared" ref="L20:AC35" si="6">FlowSet(L$1,$A20,L$4,L$5,L$6,L$7,AverageMeterTemp,AverageMeterPress,BaroPress,OPF)</f>
        <v/>
      </c>
      <c r="M20" s="681" t="str">
        <f t="shared" si="6"/>
        <v/>
      </c>
      <c r="N20" s="681" t="str">
        <f t="shared" si="6"/>
        <v/>
      </c>
      <c r="O20" s="681" t="str">
        <f t="shared" si="6"/>
        <v/>
      </c>
      <c r="P20" s="681" t="str">
        <f t="shared" si="6"/>
        <v/>
      </c>
      <c r="Q20" s="681" t="str">
        <f t="shared" si="6"/>
        <v/>
      </c>
      <c r="R20" s="681" t="str">
        <f t="shared" si="6"/>
        <v/>
      </c>
      <c r="S20" s="681" t="str">
        <f t="shared" si="6"/>
        <v/>
      </c>
      <c r="T20" s="681" t="str">
        <f t="shared" si="6"/>
        <v/>
      </c>
      <c r="U20" s="681" t="str">
        <f t="shared" si="6"/>
        <v/>
      </c>
      <c r="V20" s="681" t="str">
        <f t="shared" si="6"/>
        <v/>
      </c>
      <c r="W20" s="755" t="str">
        <f t="shared" si="1"/>
        <v/>
      </c>
      <c r="X20" s="755" t="str">
        <f t="shared" si="1"/>
        <v/>
      </c>
      <c r="Y20" s="755" t="str">
        <f t="shared" si="1"/>
        <v/>
      </c>
      <c r="Z20" s="681" t="str">
        <f t="shared" si="6"/>
        <v/>
      </c>
      <c r="AA20" s="681" t="str">
        <f t="shared" si="6"/>
        <v/>
      </c>
      <c r="AB20" s="681" t="str">
        <f t="shared" si="6"/>
        <v/>
      </c>
      <c r="AC20" s="681" t="str">
        <f t="shared" si="6"/>
        <v/>
      </c>
      <c r="AD20" s="681" t="str">
        <f t="shared" ref="AD20:AD59" si="7">FlowSet(AD$1,$A20,AD$4,AD$5,AD$6,AD$7,AverageMeterTemp,AverageMeterPress,BaroPress,OPF)</f>
        <v/>
      </c>
      <c r="AE20" s="681" t="str">
        <f t="shared" si="3"/>
        <v/>
      </c>
      <c r="AF20" s="681" t="str">
        <f t="shared" si="3"/>
        <v/>
      </c>
      <c r="AG20" s="681" t="str">
        <f t="shared" si="3"/>
        <v/>
      </c>
      <c r="AH20" s="681" t="str">
        <f t="shared" si="3"/>
        <v/>
      </c>
      <c r="AI20" s="681" t="str">
        <f t="shared" si="3"/>
        <v/>
      </c>
      <c r="AJ20" s="681" t="str">
        <f t="shared" si="3"/>
        <v/>
      </c>
      <c r="AK20" s="681" t="str">
        <f t="shared" si="3"/>
        <v/>
      </c>
      <c r="AL20" s="681" t="str">
        <f t="shared" si="3"/>
        <v/>
      </c>
      <c r="AM20" s="681" t="str">
        <f t="shared" si="3"/>
        <v/>
      </c>
      <c r="AN20" s="681" t="str">
        <f t="shared" si="3"/>
        <v/>
      </c>
      <c r="AO20" s="681" t="str">
        <f t="shared" si="3"/>
        <v/>
      </c>
      <c r="AP20" s="681" t="str">
        <f t="shared" si="3"/>
        <v/>
      </c>
      <c r="AQ20" s="681" t="str">
        <f t="shared" si="3"/>
        <v/>
      </c>
      <c r="AR20" s="681" t="str">
        <f t="shared" si="3"/>
        <v/>
      </c>
      <c r="AS20" s="681" t="str">
        <f t="shared" si="3"/>
        <v/>
      </c>
      <c r="AT20" s="681" t="str">
        <f t="shared" si="3"/>
        <v/>
      </c>
      <c r="AU20" s="681" t="str">
        <f t="shared" si="3"/>
        <v/>
      </c>
      <c r="AV20" s="681" t="str">
        <f t="shared" si="3"/>
        <v/>
      </c>
      <c r="AW20" s="681" t="str">
        <f t="shared" si="3"/>
        <v/>
      </c>
      <c r="AX20" s="681" t="str">
        <f t="shared" si="3"/>
        <v/>
      </c>
      <c r="AY20" s="681" t="str">
        <f t="shared" si="3"/>
        <v/>
      </c>
      <c r="AZ20" s="681" t="str">
        <f t="shared" si="3"/>
        <v/>
      </c>
      <c r="BA20" s="681" t="str">
        <f t="shared" si="3"/>
        <v/>
      </c>
      <c r="BB20" s="1922"/>
      <c r="BC20" s="1922"/>
      <c r="BD20" s="690"/>
      <c r="BE20" s="685">
        <v>11</v>
      </c>
    </row>
    <row r="21" spans="1:57" ht="12.75" customHeight="1">
      <c r="A21" s="751">
        <v>12</v>
      </c>
      <c r="B21" s="746" t="str">
        <f t="shared" si="5"/>
        <v/>
      </c>
      <c r="C21" s="681" t="str">
        <f t="shared" si="5"/>
        <v/>
      </c>
      <c r="D21" s="681" t="str">
        <f t="shared" si="5"/>
        <v/>
      </c>
      <c r="E21" s="681" t="str">
        <f t="shared" si="5"/>
        <v/>
      </c>
      <c r="F21" s="681" t="str">
        <f t="shared" si="5"/>
        <v/>
      </c>
      <c r="G21" s="681" t="str">
        <f t="shared" si="5"/>
        <v/>
      </c>
      <c r="H21" s="681" t="str">
        <f t="shared" si="5"/>
        <v/>
      </c>
      <c r="I21" s="681" t="str">
        <f t="shared" si="5"/>
        <v/>
      </c>
      <c r="J21" s="681" t="str">
        <f t="shared" si="5"/>
        <v/>
      </c>
      <c r="K21" s="681" t="str">
        <f t="shared" si="5"/>
        <v/>
      </c>
      <c r="L21" s="681" t="str">
        <f t="shared" si="6"/>
        <v/>
      </c>
      <c r="M21" s="681" t="str">
        <f t="shared" si="6"/>
        <v/>
      </c>
      <c r="N21" s="681" t="str">
        <f t="shared" si="6"/>
        <v/>
      </c>
      <c r="O21" s="681" t="str">
        <f t="shared" si="6"/>
        <v/>
      </c>
      <c r="P21" s="681" t="str">
        <f t="shared" si="6"/>
        <v/>
      </c>
      <c r="Q21" s="681" t="str">
        <f t="shared" si="6"/>
        <v/>
      </c>
      <c r="R21" s="681" t="str">
        <f t="shared" si="6"/>
        <v/>
      </c>
      <c r="S21" s="681" t="str">
        <f t="shared" si="6"/>
        <v/>
      </c>
      <c r="T21" s="681" t="str">
        <f t="shared" si="6"/>
        <v/>
      </c>
      <c r="U21" s="681" t="str">
        <f t="shared" si="6"/>
        <v/>
      </c>
      <c r="V21" s="681" t="str">
        <f t="shared" si="6"/>
        <v/>
      </c>
      <c r="W21" s="755" t="str">
        <f t="shared" si="1"/>
        <v/>
      </c>
      <c r="X21" s="755" t="str">
        <f t="shared" si="1"/>
        <v/>
      </c>
      <c r="Y21" s="755" t="str">
        <f t="shared" si="1"/>
        <v/>
      </c>
      <c r="Z21" s="681" t="str">
        <f t="shared" si="6"/>
        <v/>
      </c>
      <c r="AA21" s="681" t="str">
        <f t="shared" si="6"/>
        <v/>
      </c>
      <c r="AB21" s="681" t="str">
        <f t="shared" si="6"/>
        <v/>
      </c>
      <c r="AC21" s="681" t="str">
        <f t="shared" ref="AC21:AC34" si="8">FlowSet(AC$1,$A21,AC$4,AC$5,AC$6,AC$7,AverageMeterTemp,AverageMeterPress,BaroPress,OPF)</f>
        <v/>
      </c>
      <c r="AD21" s="681" t="str">
        <f t="shared" si="7"/>
        <v/>
      </c>
      <c r="AE21" s="681" t="str">
        <f t="shared" si="3"/>
        <v/>
      </c>
      <c r="AF21" s="681" t="str">
        <f t="shared" si="3"/>
        <v/>
      </c>
      <c r="AG21" s="681" t="str">
        <f t="shared" si="3"/>
        <v/>
      </c>
      <c r="AH21" s="681" t="str">
        <f t="shared" si="3"/>
        <v/>
      </c>
      <c r="AI21" s="681" t="str">
        <f t="shared" si="3"/>
        <v/>
      </c>
      <c r="AJ21" s="681" t="str">
        <f t="shared" si="3"/>
        <v/>
      </c>
      <c r="AK21" s="681" t="str">
        <f t="shared" si="3"/>
        <v/>
      </c>
      <c r="AL21" s="681" t="str">
        <f t="shared" si="3"/>
        <v/>
      </c>
      <c r="AM21" s="681" t="str">
        <f t="shared" si="3"/>
        <v/>
      </c>
      <c r="AN21" s="681" t="str">
        <f t="shared" si="3"/>
        <v/>
      </c>
      <c r="AO21" s="681" t="str">
        <f t="shared" si="3"/>
        <v/>
      </c>
      <c r="AP21" s="681" t="str">
        <f t="shared" si="3"/>
        <v/>
      </c>
      <c r="AQ21" s="681" t="str">
        <f t="shared" si="3"/>
        <v/>
      </c>
      <c r="AR21" s="681" t="str">
        <f t="shared" si="3"/>
        <v/>
      </c>
      <c r="AS21" s="681" t="str">
        <f t="shared" si="3"/>
        <v/>
      </c>
      <c r="AT21" s="681" t="str">
        <f t="shared" si="3"/>
        <v/>
      </c>
      <c r="AU21" s="681" t="str">
        <f t="shared" ref="AE21:BA33" si="9">FlowSet(AU$1,$A21,AU$4,AU$5,AU$6,AU$7,AverageMeterTemp,AverageMeterPress,BaroPress,OPF)</f>
        <v/>
      </c>
      <c r="AV21" s="681" t="str">
        <f t="shared" si="9"/>
        <v/>
      </c>
      <c r="AW21" s="681" t="str">
        <f t="shared" si="9"/>
        <v/>
      </c>
      <c r="AX21" s="681" t="str">
        <f t="shared" si="9"/>
        <v/>
      </c>
      <c r="AY21" s="681" t="str">
        <f t="shared" si="9"/>
        <v/>
      </c>
      <c r="AZ21" s="681" t="str">
        <f t="shared" si="9"/>
        <v/>
      </c>
      <c r="BA21" s="681" t="str">
        <f t="shared" si="9"/>
        <v/>
      </c>
      <c r="BB21" s="1922"/>
      <c r="BC21" s="1922"/>
      <c r="BD21" s="690"/>
      <c r="BE21" s="685">
        <v>12</v>
      </c>
    </row>
    <row r="22" spans="1:57" ht="12.75" customHeight="1">
      <c r="A22" s="751">
        <v>13</v>
      </c>
      <c r="B22" s="746" t="str">
        <f t="shared" si="5"/>
        <v/>
      </c>
      <c r="C22" s="681" t="str">
        <f t="shared" si="5"/>
        <v/>
      </c>
      <c r="D22" s="681" t="str">
        <f t="shared" si="5"/>
        <v/>
      </c>
      <c r="E22" s="681" t="str">
        <f t="shared" si="5"/>
        <v/>
      </c>
      <c r="F22" s="681" t="str">
        <f t="shared" si="5"/>
        <v/>
      </c>
      <c r="G22" s="681" t="str">
        <f t="shared" si="5"/>
        <v/>
      </c>
      <c r="H22" s="681" t="str">
        <f t="shared" si="5"/>
        <v/>
      </c>
      <c r="I22" s="681" t="str">
        <f t="shared" si="5"/>
        <v/>
      </c>
      <c r="J22" s="681" t="str">
        <f t="shared" si="5"/>
        <v/>
      </c>
      <c r="K22" s="681" t="str">
        <f t="shared" si="5"/>
        <v/>
      </c>
      <c r="L22" s="681" t="str">
        <f t="shared" si="6"/>
        <v/>
      </c>
      <c r="M22" s="681" t="str">
        <f t="shared" si="6"/>
        <v/>
      </c>
      <c r="N22" s="681" t="str">
        <f t="shared" si="6"/>
        <v/>
      </c>
      <c r="O22" s="681" t="str">
        <f t="shared" si="6"/>
        <v/>
      </c>
      <c r="P22" s="681" t="str">
        <f t="shared" si="6"/>
        <v/>
      </c>
      <c r="Q22" s="681" t="str">
        <f t="shared" si="6"/>
        <v/>
      </c>
      <c r="R22" s="681" t="str">
        <f t="shared" si="6"/>
        <v/>
      </c>
      <c r="S22" s="681" t="str">
        <f t="shared" si="6"/>
        <v/>
      </c>
      <c r="T22" s="681" t="str">
        <f t="shared" si="6"/>
        <v/>
      </c>
      <c r="U22" s="681" t="str">
        <f t="shared" si="6"/>
        <v/>
      </c>
      <c r="V22" s="681" t="str">
        <f t="shared" si="6"/>
        <v/>
      </c>
      <c r="W22" s="755" t="str">
        <f t="shared" si="1"/>
        <v/>
      </c>
      <c r="X22" s="755" t="str">
        <f t="shared" si="1"/>
        <v/>
      </c>
      <c r="Y22" s="755" t="str">
        <f t="shared" si="1"/>
        <v/>
      </c>
      <c r="Z22" s="681" t="str">
        <f t="shared" si="6"/>
        <v/>
      </c>
      <c r="AA22" s="681" t="str">
        <f t="shared" si="6"/>
        <v/>
      </c>
      <c r="AB22" s="681" t="str">
        <f t="shared" si="6"/>
        <v/>
      </c>
      <c r="AC22" s="681" t="str">
        <f t="shared" si="8"/>
        <v/>
      </c>
      <c r="AD22" s="681" t="str">
        <f t="shared" si="7"/>
        <v/>
      </c>
      <c r="AE22" s="681" t="str">
        <f t="shared" si="9"/>
        <v/>
      </c>
      <c r="AF22" s="681" t="str">
        <f t="shared" si="9"/>
        <v/>
      </c>
      <c r="AG22" s="681" t="str">
        <f t="shared" si="9"/>
        <v/>
      </c>
      <c r="AH22" s="681" t="str">
        <f t="shared" si="9"/>
        <v/>
      </c>
      <c r="AI22" s="681" t="str">
        <f t="shared" si="9"/>
        <v/>
      </c>
      <c r="AJ22" s="681" t="str">
        <f t="shared" si="9"/>
        <v/>
      </c>
      <c r="AK22" s="681" t="str">
        <f t="shared" si="9"/>
        <v/>
      </c>
      <c r="AL22" s="681" t="str">
        <f t="shared" si="9"/>
        <v/>
      </c>
      <c r="AM22" s="681" t="str">
        <f t="shared" si="9"/>
        <v/>
      </c>
      <c r="AN22" s="681" t="str">
        <f t="shared" si="9"/>
        <v/>
      </c>
      <c r="AO22" s="681" t="str">
        <f t="shared" si="9"/>
        <v/>
      </c>
      <c r="AP22" s="681" t="str">
        <f t="shared" si="9"/>
        <v/>
      </c>
      <c r="AQ22" s="681" t="str">
        <f t="shared" si="9"/>
        <v/>
      </c>
      <c r="AR22" s="681" t="str">
        <f t="shared" si="9"/>
        <v/>
      </c>
      <c r="AS22" s="681" t="str">
        <f t="shared" si="9"/>
        <v/>
      </c>
      <c r="AT22" s="681" t="str">
        <f t="shared" si="9"/>
        <v/>
      </c>
      <c r="AU22" s="681" t="str">
        <f t="shared" si="9"/>
        <v/>
      </c>
      <c r="AV22" s="681" t="str">
        <f t="shared" si="9"/>
        <v/>
      </c>
      <c r="AW22" s="681" t="str">
        <f t="shared" si="9"/>
        <v/>
      </c>
      <c r="AX22" s="681" t="str">
        <f t="shared" si="9"/>
        <v/>
      </c>
      <c r="AY22" s="681" t="str">
        <f t="shared" si="9"/>
        <v/>
      </c>
      <c r="AZ22" s="681" t="str">
        <f t="shared" si="9"/>
        <v/>
      </c>
      <c r="BA22" s="681" t="str">
        <f t="shared" si="9"/>
        <v/>
      </c>
      <c r="BB22" s="1922"/>
      <c r="BC22" s="1922"/>
      <c r="BD22" s="690"/>
      <c r="BE22" s="685">
        <v>13</v>
      </c>
    </row>
    <row r="23" spans="1:57" ht="12.75" customHeight="1">
      <c r="A23" s="751">
        <v>14</v>
      </c>
      <c r="B23" s="746" t="str">
        <f t="shared" si="5"/>
        <v/>
      </c>
      <c r="C23" s="681" t="str">
        <f t="shared" si="5"/>
        <v/>
      </c>
      <c r="D23" s="681" t="str">
        <f t="shared" si="5"/>
        <v/>
      </c>
      <c r="E23" s="681" t="str">
        <f t="shared" si="5"/>
        <v/>
      </c>
      <c r="F23" s="681" t="str">
        <f t="shared" si="5"/>
        <v/>
      </c>
      <c r="G23" s="681" t="str">
        <f t="shared" si="5"/>
        <v/>
      </c>
      <c r="H23" s="681" t="str">
        <f t="shared" si="5"/>
        <v/>
      </c>
      <c r="I23" s="681" t="str">
        <f t="shared" si="5"/>
        <v/>
      </c>
      <c r="J23" s="681" t="str">
        <f t="shared" si="5"/>
        <v/>
      </c>
      <c r="K23" s="681" t="str">
        <f t="shared" si="5"/>
        <v/>
      </c>
      <c r="L23" s="681" t="str">
        <f t="shared" si="6"/>
        <v/>
      </c>
      <c r="M23" s="681" t="str">
        <f t="shared" si="6"/>
        <v/>
      </c>
      <c r="N23" s="681" t="str">
        <f t="shared" si="6"/>
        <v/>
      </c>
      <c r="O23" s="681" t="str">
        <f t="shared" si="6"/>
        <v/>
      </c>
      <c r="P23" s="681" t="str">
        <f t="shared" si="6"/>
        <v/>
      </c>
      <c r="Q23" s="681" t="str">
        <f t="shared" si="6"/>
        <v/>
      </c>
      <c r="R23" s="681" t="str">
        <f t="shared" si="6"/>
        <v/>
      </c>
      <c r="S23" s="681" t="str">
        <f t="shared" si="6"/>
        <v/>
      </c>
      <c r="T23" s="681" t="str">
        <f t="shared" si="6"/>
        <v/>
      </c>
      <c r="U23" s="681" t="str">
        <f t="shared" si="6"/>
        <v/>
      </c>
      <c r="V23" s="681" t="str">
        <f t="shared" si="6"/>
        <v/>
      </c>
      <c r="W23" s="755" t="str">
        <f t="shared" si="1"/>
        <v/>
      </c>
      <c r="X23" s="755" t="str">
        <f t="shared" si="1"/>
        <v/>
      </c>
      <c r="Y23" s="755" t="str">
        <f t="shared" si="1"/>
        <v/>
      </c>
      <c r="Z23" s="681" t="str">
        <f t="shared" si="6"/>
        <v/>
      </c>
      <c r="AA23" s="681" t="str">
        <f t="shared" si="6"/>
        <v/>
      </c>
      <c r="AB23" s="681" t="str">
        <f t="shared" si="6"/>
        <v/>
      </c>
      <c r="AC23" s="681" t="str">
        <f t="shared" si="8"/>
        <v/>
      </c>
      <c r="AD23" s="681" t="str">
        <f t="shared" si="7"/>
        <v/>
      </c>
      <c r="AE23" s="681" t="str">
        <f t="shared" si="9"/>
        <v/>
      </c>
      <c r="AF23" s="681" t="str">
        <f t="shared" si="9"/>
        <v/>
      </c>
      <c r="AG23" s="681" t="str">
        <f t="shared" si="9"/>
        <v/>
      </c>
      <c r="AH23" s="681" t="str">
        <f t="shared" si="9"/>
        <v/>
      </c>
      <c r="AI23" s="681" t="str">
        <f t="shared" si="9"/>
        <v/>
      </c>
      <c r="AJ23" s="681" t="str">
        <f t="shared" si="9"/>
        <v/>
      </c>
      <c r="AK23" s="681" t="str">
        <f t="shared" si="9"/>
        <v/>
      </c>
      <c r="AL23" s="681" t="str">
        <f t="shared" si="9"/>
        <v/>
      </c>
      <c r="AM23" s="681" t="str">
        <f t="shared" si="9"/>
        <v/>
      </c>
      <c r="AN23" s="681" t="str">
        <f t="shared" si="9"/>
        <v/>
      </c>
      <c r="AO23" s="681" t="str">
        <f t="shared" si="9"/>
        <v/>
      </c>
      <c r="AP23" s="681" t="str">
        <f t="shared" si="9"/>
        <v/>
      </c>
      <c r="AQ23" s="681" t="str">
        <f t="shared" si="9"/>
        <v/>
      </c>
      <c r="AR23" s="681" t="str">
        <f t="shared" si="9"/>
        <v/>
      </c>
      <c r="AS23" s="681" t="str">
        <f t="shared" si="9"/>
        <v/>
      </c>
      <c r="AT23" s="681" t="str">
        <f t="shared" si="9"/>
        <v/>
      </c>
      <c r="AU23" s="681" t="str">
        <f t="shared" si="9"/>
        <v/>
      </c>
      <c r="AV23" s="681" t="str">
        <f t="shared" si="9"/>
        <v/>
      </c>
      <c r="AW23" s="681" t="str">
        <f t="shared" si="9"/>
        <v/>
      </c>
      <c r="AX23" s="681" t="str">
        <f t="shared" si="9"/>
        <v/>
      </c>
      <c r="AY23" s="681" t="str">
        <f t="shared" si="9"/>
        <v/>
      </c>
      <c r="AZ23" s="681" t="str">
        <f t="shared" si="9"/>
        <v/>
      </c>
      <c r="BA23" s="681" t="str">
        <f t="shared" si="9"/>
        <v/>
      </c>
      <c r="BB23" s="1922"/>
      <c r="BC23" s="1922"/>
      <c r="BD23" s="690"/>
      <c r="BE23" s="685">
        <v>14</v>
      </c>
    </row>
    <row r="24" spans="1:57" ht="12.75" customHeight="1">
      <c r="A24" s="751">
        <v>15</v>
      </c>
      <c r="B24" s="746" t="str">
        <f t="shared" si="5"/>
        <v/>
      </c>
      <c r="C24" s="681" t="str">
        <f t="shared" si="5"/>
        <v/>
      </c>
      <c r="D24" s="681" t="str">
        <f t="shared" si="5"/>
        <v/>
      </c>
      <c r="E24" s="681" t="str">
        <f t="shared" si="5"/>
        <v/>
      </c>
      <c r="F24" s="681" t="str">
        <f t="shared" si="5"/>
        <v/>
      </c>
      <c r="G24" s="681" t="str">
        <f t="shared" si="5"/>
        <v/>
      </c>
      <c r="H24" s="681" t="str">
        <f t="shared" si="5"/>
        <v/>
      </c>
      <c r="I24" s="681" t="str">
        <f t="shared" si="5"/>
        <v/>
      </c>
      <c r="J24" s="681" t="str">
        <f t="shared" si="5"/>
        <v/>
      </c>
      <c r="K24" s="681" t="str">
        <f t="shared" si="5"/>
        <v/>
      </c>
      <c r="L24" s="681" t="str">
        <f t="shared" si="6"/>
        <v/>
      </c>
      <c r="M24" s="681" t="str">
        <f t="shared" si="6"/>
        <v/>
      </c>
      <c r="N24" s="681" t="str">
        <f t="shared" si="6"/>
        <v/>
      </c>
      <c r="O24" s="681" t="str">
        <f t="shared" si="6"/>
        <v/>
      </c>
      <c r="P24" s="681" t="str">
        <f t="shared" si="6"/>
        <v/>
      </c>
      <c r="Q24" s="681" t="str">
        <f t="shared" si="6"/>
        <v/>
      </c>
      <c r="R24" s="681" t="str">
        <f t="shared" si="6"/>
        <v/>
      </c>
      <c r="S24" s="681" t="str">
        <f t="shared" si="6"/>
        <v/>
      </c>
      <c r="T24" s="681" t="str">
        <f t="shared" si="6"/>
        <v/>
      </c>
      <c r="U24" s="681" t="str">
        <f t="shared" si="6"/>
        <v/>
      </c>
      <c r="V24" s="681" t="str">
        <f t="shared" si="6"/>
        <v/>
      </c>
      <c r="W24" s="755" t="str">
        <f t="shared" si="1"/>
        <v/>
      </c>
      <c r="X24" s="755" t="str">
        <f t="shared" si="1"/>
        <v/>
      </c>
      <c r="Y24" s="755" t="str">
        <f t="shared" si="1"/>
        <v/>
      </c>
      <c r="Z24" s="681" t="str">
        <f t="shared" si="6"/>
        <v/>
      </c>
      <c r="AA24" s="681" t="str">
        <f t="shared" si="6"/>
        <v/>
      </c>
      <c r="AB24" s="681" t="str">
        <f t="shared" si="6"/>
        <v/>
      </c>
      <c r="AC24" s="681" t="str">
        <f t="shared" si="8"/>
        <v/>
      </c>
      <c r="AD24" s="681" t="str">
        <f t="shared" si="7"/>
        <v/>
      </c>
      <c r="AE24" s="681" t="str">
        <f t="shared" si="9"/>
        <v/>
      </c>
      <c r="AF24" s="681" t="str">
        <f t="shared" si="9"/>
        <v/>
      </c>
      <c r="AG24" s="681" t="str">
        <f t="shared" si="9"/>
        <v/>
      </c>
      <c r="AH24" s="681" t="str">
        <f t="shared" si="9"/>
        <v/>
      </c>
      <c r="AI24" s="681" t="str">
        <f t="shared" si="9"/>
        <v/>
      </c>
      <c r="AJ24" s="681" t="str">
        <f t="shared" si="9"/>
        <v/>
      </c>
      <c r="AK24" s="681" t="str">
        <f t="shared" si="9"/>
        <v/>
      </c>
      <c r="AL24" s="681" t="str">
        <f t="shared" si="9"/>
        <v/>
      </c>
      <c r="AM24" s="681" t="str">
        <f t="shared" si="9"/>
        <v/>
      </c>
      <c r="AN24" s="681" t="str">
        <f t="shared" si="9"/>
        <v/>
      </c>
      <c r="AO24" s="681" t="str">
        <f t="shared" si="9"/>
        <v/>
      </c>
      <c r="AP24" s="681" t="str">
        <f t="shared" si="9"/>
        <v/>
      </c>
      <c r="AQ24" s="681" t="str">
        <f t="shared" si="9"/>
        <v/>
      </c>
      <c r="AR24" s="681" t="str">
        <f t="shared" si="9"/>
        <v/>
      </c>
      <c r="AS24" s="681" t="str">
        <f t="shared" si="9"/>
        <v/>
      </c>
      <c r="AT24" s="681" t="str">
        <f t="shared" si="9"/>
        <v/>
      </c>
      <c r="AU24" s="681" t="str">
        <f t="shared" si="9"/>
        <v/>
      </c>
      <c r="AV24" s="681" t="str">
        <f t="shared" si="9"/>
        <v/>
      </c>
      <c r="AW24" s="681" t="str">
        <f t="shared" si="9"/>
        <v/>
      </c>
      <c r="AX24" s="681" t="str">
        <f t="shared" si="9"/>
        <v/>
      </c>
      <c r="AY24" s="681" t="str">
        <f t="shared" si="9"/>
        <v/>
      </c>
      <c r="AZ24" s="681" t="str">
        <f t="shared" si="9"/>
        <v/>
      </c>
      <c r="BA24" s="681" t="str">
        <f t="shared" si="9"/>
        <v/>
      </c>
      <c r="BB24" s="1922"/>
      <c r="BC24" s="1922"/>
      <c r="BD24" s="690"/>
      <c r="BE24" s="685">
        <v>15</v>
      </c>
    </row>
    <row r="25" spans="1:57" ht="12.75" customHeight="1">
      <c r="A25" s="751">
        <v>16</v>
      </c>
      <c r="B25" s="746" t="str">
        <f t="shared" si="5"/>
        <v/>
      </c>
      <c r="C25" s="681" t="str">
        <f t="shared" si="5"/>
        <v/>
      </c>
      <c r="D25" s="681" t="str">
        <f t="shared" si="5"/>
        <v/>
      </c>
      <c r="E25" s="681" t="str">
        <f t="shared" si="5"/>
        <v/>
      </c>
      <c r="F25" s="681" t="str">
        <f t="shared" si="5"/>
        <v/>
      </c>
      <c r="G25" s="681" t="str">
        <f t="shared" si="5"/>
        <v/>
      </c>
      <c r="H25" s="681" t="str">
        <f t="shared" si="5"/>
        <v/>
      </c>
      <c r="I25" s="681" t="str">
        <f t="shared" si="5"/>
        <v/>
      </c>
      <c r="J25" s="681" t="str">
        <f t="shared" si="5"/>
        <v/>
      </c>
      <c r="K25" s="681" t="str">
        <f t="shared" si="5"/>
        <v/>
      </c>
      <c r="L25" s="681" t="str">
        <f t="shared" si="6"/>
        <v/>
      </c>
      <c r="M25" s="681" t="str">
        <f t="shared" si="6"/>
        <v/>
      </c>
      <c r="N25" s="681" t="str">
        <f t="shared" si="6"/>
        <v/>
      </c>
      <c r="O25" s="681" t="str">
        <f t="shared" si="6"/>
        <v/>
      </c>
      <c r="P25" s="681" t="str">
        <f t="shared" si="6"/>
        <v/>
      </c>
      <c r="Q25" s="681" t="str">
        <f t="shared" si="6"/>
        <v/>
      </c>
      <c r="R25" s="681" t="str">
        <f t="shared" si="6"/>
        <v/>
      </c>
      <c r="S25" s="681" t="str">
        <f t="shared" si="6"/>
        <v/>
      </c>
      <c r="T25" s="681" t="str">
        <f t="shared" si="6"/>
        <v/>
      </c>
      <c r="U25" s="681" t="str">
        <f t="shared" si="6"/>
        <v/>
      </c>
      <c r="V25" s="681" t="str">
        <f t="shared" si="6"/>
        <v/>
      </c>
      <c r="W25" s="755" t="str">
        <f t="shared" si="1"/>
        <v/>
      </c>
      <c r="X25" s="755" t="str">
        <f t="shared" si="1"/>
        <v/>
      </c>
      <c r="Y25" s="755" t="str">
        <f t="shared" si="1"/>
        <v/>
      </c>
      <c r="Z25" s="681" t="str">
        <f t="shared" si="6"/>
        <v/>
      </c>
      <c r="AA25" s="681" t="str">
        <f t="shared" si="6"/>
        <v/>
      </c>
      <c r="AB25" s="681" t="str">
        <f t="shared" si="6"/>
        <v/>
      </c>
      <c r="AC25" s="681" t="str">
        <f t="shared" si="8"/>
        <v/>
      </c>
      <c r="AD25" s="681" t="str">
        <f t="shared" si="7"/>
        <v/>
      </c>
      <c r="AE25" s="681" t="str">
        <f t="shared" si="9"/>
        <v/>
      </c>
      <c r="AF25" s="681" t="str">
        <f t="shared" si="9"/>
        <v/>
      </c>
      <c r="AG25" s="681" t="str">
        <f t="shared" si="9"/>
        <v/>
      </c>
      <c r="AH25" s="681" t="str">
        <f t="shared" si="9"/>
        <v/>
      </c>
      <c r="AI25" s="681" t="str">
        <f t="shared" si="9"/>
        <v/>
      </c>
      <c r="AJ25" s="681" t="str">
        <f t="shared" si="9"/>
        <v/>
      </c>
      <c r="AK25" s="681" t="str">
        <f t="shared" si="9"/>
        <v/>
      </c>
      <c r="AL25" s="681" t="str">
        <f t="shared" si="9"/>
        <v/>
      </c>
      <c r="AM25" s="681" t="str">
        <f t="shared" si="9"/>
        <v/>
      </c>
      <c r="AN25" s="681" t="str">
        <f t="shared" si="9"/>
        <v/>
      </c>
      <c r="AO25" s="681" t="str">
        <f t="shared" si="9"/>
        <v/>
      </c>
      <c r="AP25" s="681" t="str">
        <f t="shared" si="9"/>
        <v/>
      </c>
      <c r="AQ25" s="681" t="str">
        <f t="shared" si="9"/>
        <v/>
      </c>
      <c r="AR25" s="681" t="str">
        <f t="shared" si="9"/>
        <v/>
      </c>
      <c r="AS25" s="681" t="str">
        <f t="shared" si="9"/>
        <v/>
      </c>
      <c r="AT25" s="681" t="str">
        <f t="shared" si="9"/>
        <v/>
      </c>
      <c r="AU25" s="681" t="str">
        <f t="shared" si="9"/>
        <v/>
      </c>
      <c r="AV25" s="681" t="str">
        <f t="shared" si="9"/>
        <v/>
      </c>
      <c r="AW25" s="681" t="str">
        <f t="shared" si="9"/>
        <v/>
      </c>
      <c r="AX25" s="681" t="str">
        <f t="shared" si="9"/>
        <v/>
      </c>
      <c r="AY25" s="681" t="str">
        <f t="shared" si="9"/>
        <v/>
      </c>
      <c r="AZ25" s="681" t="str">
        <f t="shared" si="9"/>
        <v/>
      </c>
      <c r="BA25" s="681" t="str">
        <f t="shared" si="9"/>
        <v/>
      </c>
      <c r="BB25" s="1922"/>
      <c r="BC25" s="1922"/>
      <c r="BD25" s="690"/>
      <c r="BE25" s="685">
        <v>16</v>
      </c>
    </row>
    <row r="26" spans="1:57" ht="12.75" customHeight="1">
      <c r="A26" s="751">
        <v>17</v>
      </c>
      <c r="B26" s="746" t="str">
        <f t="shared" si="5"/>
        <v/>
      </c>
      <c r="C26" s="681" t="str">
        <f t="shared" si="5"/>
        <v/>
      </c>
      <c r="D26" s="681" t="str">
        <f t="shared" si="5"/>
        <v/>
      </c>
      <c r="E26" s="681" t="str">
        <f t="shared" si="5"/>
        <v/>
      </c>
      <c r="F26" s="681" t="str">
        <f t="shared" si="5"/>
        <v/>
      </c>
      <c r="G26" s="681" t="str">
        <f t="shared" si="5"/>
        <v/>
      </c>
      <c r="H26" s="681" t="str">
        <f t="shared" si="5"/>
        <v/>
      </c>
      <c r="I26" s="681" t="str">
        <f t="shared" si="5"/>
        <v/>
      </c>
      <c r="J26" s="681" t="str">
        <f t="shared" si="5"/>
        <v/>
      </c>
      <c r="K26" s="681" t="str">
        <f t="shared" si="5"/>
        <v/>
      </c>
      <c r="L26" s="681" t="str">
        <f t="shared" si="6"/>
        <v/>
      </c>
      <c r="M26" s="681" t="str">
        <f t="shared" si="6"/>
        <v/>
      </c>
      <c r="N26" s="681" t="str">
        <f t="shared" si="6"/>
        <v/>
      </c>
      <c r="O26" s="681" t="str">
        <f t="shared" si="6"/>
        <v/>
      </c>
      <c r="P26" s="681" t="str">
        <f t="shared" si="6"/>
        <v/>
      </c>
      <c r="Q26" s="681" t="str">
        <f t="shared" si="6"/>
        <v/>
      </c>
      <c r="R26" s="681" t="str">
        <f t="shared" si="6"/>
        <v/>
      </c>
      <c r="S26" s="681" t="str">
        <f t="shared" si="6"/>
        <v/>
      </c>
      <c r="T26" s="681" t="str">
        <f t="shared" si="6"/>
        <v/>
      </c>
      <c r="U26" s="681" t="str">
        <f t="shared" si="6"/>
        <v/>
      </c>
      <c r="V26" s="681" t="str">
        <f t="shared" si="6"/>
        <v/>
      </c>
      <c r="W26" s="755" t="str">
        <f t="shared" si="6"/>
        <v/>
      </c>
      <c r="X26" s="755" t="str">
        <f t="shared" si="6"/>
        <v/>
      </c>
      <c r="Y26" s="755" t="str">
        <f t="shared" si="6"/>
        <v/>
      </c>
      <c r="Z26" s="681" t="str">
        <f t="shared" si="6"/>
        <v/>
      </c>
      <c r="AA26" s="681" t="str">
        <f t="shared" si="6"/>
        <v/>
      </c>
      <c r="AB26" s="681" t="str">
        <f t="shared" si="6"/>
        <v/>
      </c>
      <c r="AC26" s="681" t="str">
        <f t="shared" si="8"/>
        <v/>
      </c>
      <c r="AD26" s="681" t="str">
        <f t="shared" si="7"/>
        <v/>
      </c>
      <c r="AE26" s="681" t="str">
        <f t="shared" ref="AE26:AR26" si="10">FlowSet(AE$1,$A26,AE$4,AE$5,AE$6,AE$7,AverageMeterTemp,AverageMeterPress,BaroPress,OPF)</f>
        <v/>
      </c>
      <c r="AF26" s="681" t="str">
        <f t="shared" si="10"/>
        <v/>
      </c>
      <c r="AG26" s="681" t="str">
        <f t="shared" si="10"/>
        <v/>
      </c>
      <c r="AH26" s="681" t="str">
        <f t="shared" si="10"/>
        <v/>
      </c>
      <c r="AI26" s="681" t="str">
        <f t="shared" si="10"/>
        <v/>
      </c>
      <c r="AJ26" s="681" t="str">
        <f t="shared" si="10"/>
        <v/>
      </c>
      <c r="AK26" s="681" t="str">
        <f t="shared" si="10"/>
        <v/>
      </c>
      <c r="AL26" s="681" t="str">
        <f t="shared" si="10"/>
        <v/>
      </c>
      <c r="AM26" s="681" t="str">
        <f t="shared" si="10"/>
        <v/>
      </c>
      <c r="AN26" s="681" t="str">
        <f t="shared" si="10"/>
        <v/>
      </c>
      <c r="AO26" s="681" t="str">
        <f t="shared" si="10"/>
        <v/>
      </c>
      <c r="AP26" s="681" t="str">
        <f t="shared" si="10"/>
        <v/>
      </c>
      <c r="AQ26" s="681" t="str">
        <f t="shared" si="10"/>
        <v/>
      </c>
      <c r="AR26" s="681" t="str">
        <f t="shared" si="10"/>
        <v/>
      </c>
      <c r="AS26" s="681" t="str">
        <f t="shared" si="9"/>
        <v/>
      </c>
      <c r="AT26" s="681" t="str">
        <f t="shared" si="9"/>
        <v/>
      </c>
      <c r="AU26" s="681" t="str">
        <f t="shared" si="9"/>
        <v/>
      </c>
      <c r="AV26" s="681" t="str">
        <f t="shared" si="9"/>
        <v/>
      </c>
      <c r="AW26" s="681" t="str">
        <f t="shared" si="9"/>
        <v/>
      </c>
      <c r="AX26" s="681" t="str">
        <f t="shared" si="9"/>
        <v/>
      </c>
      <c r="AY26" s="681" t="str">
        <f t="shared" si="9"/>
        <v/>
      </c>
      <c r="AZ26" s="681" t="str">
        <f t="shared" si="9"/>
        <v/>
      </c>
      <c r="BA26" s="681" t="str">
        <f t="shared" si="9"/>
        <v/>
      </c>
      <c r="BB26" s="1922"/>
      <c r="BC26" s="1922"/>
      <c r="BD26" s="690"/>
      <c r="BE26" s="685">
        <v>17</v>
      </c>
    </row>
    <row r="27" spans="1:57" ht="12.75" customHeight="1">
      <c r="A27" s="751">
        <v>18</v>
      </c>
      <c r="B27" s="746" t="str">
        <f t="shared" si="5"/>
        <v/>
      </c>
      <c r="C27" s="681" t="str">
        <f t="shared" si="5"/>
        <v/>
      </c>
      <c r="D27" s="681" t="str">
        <f t="shared" si="5"/>
        <v/>
      </c>
      <c r="E27" s="681" t="str">
        <f t="shared" si="5"/>
        <v/>
      </c>
      <c r="F27" s="681" t="str">
        <f t="shared" si="5"/>
        <v/>
      </c>
      <c r="G27" s="681" t="str">
        <f t="shared" si="5"/>
        <v/>
      </c>
      <c r="H27" s="681" t="str">
        <f t="shared" si="5"/>
        <v/>
      </c>
      <c r="I27" s="681" t="str">
        <f t="shared" si="5"/>
        <v/>
      </c>
      <c r="J27" s="681" t="str">
        <f t="shared" si="5"/>
        <v/>
      </c>
      <c r="K27" s="681" t="str">
        <f t="shared" si="5"/>
        <v/>
      </c>
      <c r="L27" s="681" t="str">
        <f t="shared" si="6"/>
        <v/>
      </c>
      <c r="M27" s="681" t="str">
        <f t="shared" si="6"/>
        <v/>
      </c>
      <c r="N27" s="681" t="str">
        <f t="shared" si="6"/>
        <v/>
      </c>
      <c r="O27" s="681" t="str">
        <f t="shared" si="6"/>
        <v/>
      </c>
      <c r="P27" s="681" t="str">
        <f t="shared" si="6"/>
        <v/>
      </c>
      <c r="Q27" s="681" t="str">
        <f t="shared" si="6"/>
        <v/>
      </c>
      <c r="R27" s="681" t="str">
        <f t="shared" si="6"/>
        <v/>
      </c>
      <c r="S27" s="681" t="str">
        <f t="shared" si="6"/>
        <v/>
      </c>
      <c r="T27" s="681" t="str">
        <f t="shared" si="6"/>
        <v/>
      </c>
      <c r="U27" s="681" t="str">
        <f t="shared" si="6"/>
        <v/>
      </c>
      <c r="V27" s="681" t="str">
        <f t="shared" si="6"/>
        <v/>
      </c>
      <c r="W27" s="755" t="str">
        <f t="shared" si="6"/>
        <v/>
      </c>
      <c r="X27" s="755" t="str">
        <f t="shared" si="6"/>
        <v/>
      </c>
      <c r="Y27" s="755" t="str">
        <f t="shared" si="6"/>
        <v/>
      </c>
      <c r="Z27" s="681" t="str">
        <f t="shared" si="6"/>
        <v/>
      </c>
      <c r="AA27" s="681" t="str">
        <f t="shared" si="6"/>
        <v/>
      </c>
      <c r="AB27" s="681" t="str">
        <f t="shared" si="6"/>
        <v/>
      </c>
      <c r="AC27" s="681" t="str">
        <f t="shared" si="8"/>
        <v/>
      </c>
      <c r="AD27" s="681" t="str">
        <f t="shared" si="7"/>
        <v/>
      </c>
      <c r="AE27" s="681" t="str">
        <f t="shared" si="9"/>
        <v/>
      </c>
      <c r="AF27" s="681" t="str">
        <f t="shared" si="9"/>
        <v/>
      </c>
      <c r="AG27" s="681" t="str">
        <f t="shared" si="9"/>
        <v/>
      </c>
      <c r="AH27" s="681" t="str">
        <f t="shared" si="9"/>
        <v/>
      </c>
      <c r="AI27" s="681" t="str">
        <f t="shared" si="9"/>
        <v/>
      </c>
      <c r="AJ27" s="681" t="str">
        <f t="shared" si="9"/>
        <v/>
      </c>
      <c r="AK27" s="681" t="str">
        <f t="shared" si="9"/>
        <v/>
      </c>
      <c r="AL27" s="681" t="str">
        <f t="shared" si="9"/>
        <v/>
      </c>
      <c r="AM27" s="681" t="str">
        <f t="shared" si="9"/>
        <v/>
      </c>
      <c r="AN27" s="681" t="str">
        <f t="shared" si="9"/>
        <v/>
      </c>
      <c r="AO27" s="681" t="str">
        <f t="shared" si="9"/>
        <v/>
      </c>
      <c r="AP27" s="681" t="str">
        <f t="shared" si="9"/>
        <v/>
      </c>
      <c r="AQ27" s="681" t="str">
        <f t="shared" si="9"/>
        <v/>
      </c>
      <c r="AR27" s="681" t="str">
        <f t="shared" si="9"/>
        <v/>
      </c>
      <c r="AS27" s="681" t="str">
        <f t="shared" si="9"/>
        <v/>
      </c>
      <c r="AT27" s="681" t="str">
        <f t="shared" si="9"/>
        <v/>
      </c>
      <c r="AU27" s="681" t="str">
        <f t="shared" si="9"/>
        <v/>
      </c>
      <c r="AV27" s="681" t="str">
        <f t="shared" si="9"/>
        <v/>
      </c>
      <c r="AW27" s="681" t="str">
        <f t="shared" si="9"/>
        <v/>
      </c>
      <c r="AX27" s="681" t="str">
        <f t="shared" si="9"/>
        <v/>
      </c>
      <c r="AY27" s="681" t="str">
        <f t="shared" si="9"/>
        <v/>
      </c>
      <c r="AZ27" s="681" t="str">
        <f t="shared" si="9"/>
        <v/>
      </c>
      <c r="BA27" s="681" t="str">
        <f t="shared" si="9"/>
        <v/>
      </c>
      <c r="BB27" s="1922"/>
      <c r="BC27" s="1922"/>
      <c r="BD27" s="690"/>
      <c r="BE27" s="685">
        <v>18</v>
      </c>
    </row>
    <row r="28" spans="1:57" ht="12.75" customHeight="1">
      <c r="A28" s="751">
        <v>19</v>
      </c>
      <c r="B28" s="746" t="str">
        <f t="shared" si="5"/>
        <v/>
      </c>
      <c r="C28" s="681" t="str">
        <f t="shared" si="5"/>
        <v/>
      </c>
      <c r="D28" s="681" t="str">
        <f t="shared" si="5"/>
        <v/>
      </c>
      <c r="E28" s="681" t="str">
        <f t="shared" si="5"/>
        <v/>
      </c>
      <c r="F28" s="681" t="str">
        <f t="shared" si="5"/>
        <v/>
      </c>
      <c r="G28" s="681" t="str">
        <f t="shared" si="5"/>
        <v/>
      </c>
      <c r="H28" s="681" t="str">
        <f t="shared" si="5"/>
        <v/>
      </c>
      <c r="I28" s="681" t="str">
        <f t="shared" si="5"/>
        <v/>
      </c>
      <c r="J28" s="681" t="str">
        <f t="shared" si="5"/>
        <v/>
      </c>
      <c r="K28" s="681" t="str">
        <f t="shared" si="5"/>
        <v/>
      </c>
      <c r="L28" s="681" t="str">
        <f t="shared" si="6"/>
        <v/>
      </c>
      <c r="M28" s="681" t="str">
        <f t="shared" si="6"/>
        <v/>
      </c>
      <c r="N28" s="681" t="str">
        <f t="shared" si="6"/>
        <v/>
      </c>
      <c r="O28" s="681" t="str">
        <f t="shared" si="6"/>
        <v/>
      </c>
      <c r="P28" s="681" t="str">
        <f t="shared" si="6"/>
        <v/>
      </c>
      <c r="Q28" s="681" t="str">
        <f t="shared" si="6"/>
        <v/>
      </c>
      <c r="R28" s="681" t="str">
        <f t="shared" si="6"/>
        <v/>
      </c>
      <c r="S28" s="681" t="str">
        <f t="shared" si="6"/>
        <v/>
      </c>
      <c r="T28" s="681" t="str">
        <f t="shared" si="6"/>
        <v/>
      </c>
      <c r="U28" s="681" t="str">
        <f t="shared" si="6"/>
        <v/>
      </c>
      <c r="V28" s="681" t="str">
        <f t="shared" si="6"/>
        <v/>
      </c>
      <c r="W28" s="755" t="str">
        <f t="shared" si="6"/>
        <v/>
      </c>
      <c r="X28" s="755" t="str">
        <f t="shared" si="6"/>
        <v/>
      </c>
      <c r="Y28" s="755" t="str">
        <f t="shared" si="6"/>
        <v/>
      </c>
      <c r="Z28" s="681" t="str">
        <f t="shared" si="6"/>
        <v/>
      </c>
      <c r="AA28" s="681" t="str">
        <f t="shared" si="6"/>
        <v/>
      </c>
      <c r="AB28" s="681" t="str">
        <f t="shared" si="6"/>
        <v/>
      </c>
      <c r="AC28" s="681" t="str">
        <f t="shared" si="8"/>
        <v/>
      </c>
      <c r="AD28" s="681" t="str">
        <f t="shared" si="7"/>
        <v/>
      </c>
      <c r="AE28" s="681" t="str">
        <f t="shared" si="9"/>
        <v/>
      </c>
      <c r="AF28" s="681" t="str">
        <f t="shared" si="9"/>
        <v/>
      </c>
      <c r="AG28" s="681" t="str">
        <f t="shared" si="9"/>
        <v/>
      </c>
      <c r="AH28" s="681" t="str">
        <f t="shared" si="9"/>
        <v/>
      </c>
      <c r="AI28" s="681" t="str">
        <f t="shared" si="9"/>
        <v/>
      </c>
      <c r="AJ28" s="681" t="str">
        <f t="shared" si="9"/>
        <v/>
      </c>
      <c r="AK28" s="681" t="str">
        <f t="shared" si="9"/>
        <v/>
      </c>
      <c r="AL28" s="681" t="str">
        <f t="shared" si="9"/>
        <v/>
      </c>
      <c r="AM28" s="681" t="str">
        <f t="shared" si="9"/>
        <v/>
      </c>
      <c r="AN28" s="681" t="str">
        <f t="shared" si="9"/>
        <v/>
      </c>
      <c r="AO28" s="681" t="str">
        <f t="shared" si="9"/>
        <v/>
      </c>
      <c r="AP28" s="681" t="str">
        <f t="shared" si="9"/>
        <v/>
      </c>
      <c r="AQ28" s="681" t="str">
        <f t="shared" si="9"/>
        <v/>
      </c>
      <c r="AR28" s="681" t="str">
        <f t="shared" si="9"/>
        <v/>
      </c>
      <c r="AS28" s="681" t="str">
        <f t="shared" si="9"/>
        <v/>
      </c>
      <c r="AT28" s="681" t="str">
        <f t="shared" si="9"/>
        <v/>
      </c>
      <c r="AU28" s="681" t="str">
        <f t="shared" si="9"/>
        <v/>
      </c>
      <c r="AV28" s="681" t="str">
        <f t="shared" si="9"/>
        <v/>
      </c>
      <c r="AW28" s="681" t="str">
        <f t="shared" si="9"/>
        <v/>
      </c>
      <c r="AX28" s="681" t="str">
        <f t="shared" si="9"/>
        <v/>
      </c>
      <c r="AY28" s="681" t="str">
        <f t="shared" si="9"/>
        <v/>
      </c>
      <c r="AZ28" s="681" t="str">
        <f t="shared" si="9"/>
        <v/>
      </c>
      <c r="BA28" s="681" t="str">
        <f t="shared" si="9"/>
        <v/>
      </c>
      <c r="BB28" s="1922"/>
      <c r="BC28" s="1922"/>
      <c r="BD28" s="690"/>
      <c r="BE28" s="685">
        <v>19</v>
      </c>
    </row>
    <row r="29" spans="1:57" ht="12.75" customHeight="1">
      <c r="A29" s="751">
        <v>20</v>
      </c>
      <c r="B29" s="746" t="str">
        <f t="shared" si="5"/>
        <v/>
      </c>
      <c r="C29" s="681" t="str">
        <f t="shared" si="5"/>
        <v/>
      </c>
      <c r="D29" s="681" t="str">
        <f t="shared" si="5"/>
        <v/>
      </c>
      <c r="E29" s="681" t="str">
        <f t="shared" si="5"/>
        <v/>
      </c>
      <c r="F29" s="681" t="str">
        <f t="shared" si="5"/>
        <v/>
      </c>
      <c r="G29" s="681" t="str">
        <f t="shared" si="5"/>
        <v/>
      </c>
      <c r="H29" s="681" t="str">
        <f t="shared" si="5"/>
        <v/>
      </c>
      <c r="I29" s="681" t="str">
        <f t="shared" si="5"/>
        <v/>
      </c>
      <c r="J29" s="681" t="str">
        <f t="shared" si="5"/>
        <v/>
      </c>
      <c r="K29" s="681" t="str">
        <f t="shared" si="5"/>
        <v/>
      </c>
      <c r="L29" s="681" t="str">
        <f t="shared" si="6"/>
        <v/>
      </c>
      <c r="M29" s="681" t="str">
        <f t="shared" si="6"/>
        <v/>
      </c>
      <c r="N29" s="681" t="str">
        <f t="shared" si="6"/>
        <v/>
      </c>
      <c r="O29" s="681" t="str">
        <f t="shared" si="6"/>
        <v/>
      </c>
      <c r="P29" s="681" t="str">
        <f t="shared" si="6"/>
        <v/>
      </c>
      <c r="Q29" s="681" t="str">
        <f t="shared" si="6"/>
        <v/>
      </c>
      <c r="R29" s="681" t="str">
        <f t="shared" si="6"/>
        <v/>
      </c>
      <c r="S29" s="681" t="str">
        <f t="shared" si="6"/>
        <v/>
      </c>
      <c r="T29" s="681" t="str">
        <f t="shared" si="6"/>
        <v/>
      </c>
      <c r="U29" s="681" t="str">
        <f t="shared" si="6"/>
        <v/>
      </c>
      <c r="V29" s="681" t="str">
        <f t="shared" si="6"/>
        <v/>
      </c>
      <c r="W29" s="755" t="str">
        <f t="shared" si="6"/>
        <v/>
      </c>
      <c r="X29" s="755" t="str">
        <f t="shared" si="6"/>
        <v/>
      </c>
      <c r="Y29" s="755" t="str">
        <f t="shared" si="6"/>
        <v/>
      </c>
      <c r="Z29" s="681" t="str">
        <f t="shared" si="6"/>
        <v/>
      </c>
      <c r="AA29" s="681" t="str">
        <f t="shared" si="6"/>
        <v/>
      </c>
      <c r="AB29" s="681" t="str">
        <f t="shared" si="6"/>
        <v/>
      </c>
      <c r="AC29" s="681" t="str">
        <f t="shared" si="8"/>
        <v/>
      </c>
      <c r="AD29" s="681" t="str">
        <f t="shared" si="7"/>
        <v/>
      </c>
      <c r="AE29" s="681" t="str">
        <f t="shared" si="9"/>
        <v/>
      </c>
      <c r="AF29" s="681" t="str">
        <f t="shared" si="9"/>
        <v/>
      </c>
      <c r="AG29" s="681" t="str">
        <f t="shared" si="9"/>
        <v/>
      </c>
      <c r="AH29" s="681" t="str">
        <f t="shared" si="9"/>
        <v/>
      </c>
      <c r="AI29" s="681" t="str">
        <f t="shared" si="9"/>
        <v/>
      </c>
      <c r="AJ29" s="681" t="str">
        <f t="shared" si="9"/>
        <v/>
      </c>
      <c r="AK29" s="681" t="str">
        <f t="shared" si="9"/>
        <v/>
      </c>
      <c r="AL29" s="681" t="str">
        <f t="shared" si="9"/>
        <v/>
      </c>
      <c r="AM29" s="681" t="str">
        <f t="shared" si="9"/>
        <v/>
      </c>
      <c r="AN29" s="681" t="str">
        <f t="shared" si="9"/>
        <v/>
      </c>
      <c r="AO29" s="681" t="str">
        <f t="shared" si="9"/>
        <v/>
      </c>
      <c r="AP29" s="681" t="str">
        <f t="shared" si="9"/>
        <v/>
      </c>
      <c r="AQ29" s="681" t="str">
        <f t="shared" si="9"/>
        <v/>
      </c>
      <c r="AR29" s="681" t="str">
        <f t="shared" si="9"/>
        <v/>
      </c>
      <c r="AS29" s="681" t="str">
        <f t="shared" si="9"/>
        <v/>
      </c>
      <c r="AT29" s="681" t="str">
        <f t="shared" si="9"/>
        <v/>
      </c>
      <c r="AU29" s="681" t="str">
        <f t="shared" si="9"/>
        <v/>
      </c>
      <c r="AV29" s="681" t="str">
        <f t="shared" si="9"/>
        <v/>
      </c>
      <c r="AW29" s="681" t="str">
        <f t="shared" si="9"/>
        <v/>
      </c>
      <c r="AX29" s="681" t="str">
        <f t="shared" si="9"/>
        <v/>
      </c>
      <c r="AY29" s="681" t="str">
        <f t="shared" si="9"/>
        <v/>
      </c>
      <c r="AZ29" s="681" t="str">
        <f t="shared" si="9"/>
        <v/>
      </c>
      <c r="BA29" s="681" t="str">
        <f t="shared" si="9"/>
        <v/>
      </c>
      <c r="BB29" s="1922"/>
      <c r="BC29" s="1922"/>
      <c r="BD29" s="690"/>
      <c r="BE29" s="685">
        <v>20</v>
      </c>
    </row>
    <row r="30" spans="1:57" ht="12.75" customHeight="1">
      <c r="A30" s="751">
        <v>21</v>
      </c>
      <c r="B30" s="746" t="str">
        <f t="shared" si="5"/>
        <v/>
      </c>
      <c r="C30" s="681" t="str">
        <f t="shared" si="5"/>
        <v/>
      </c>
      <c r="D30" s="681" t="str">
        <f t="shared" si="5"/>
        <v/>
      </c>
      <c r="E30" s="681" t="str">
        <f t="shared" si="5"/>
        <v/>
      </c>
      <c r="F30" s="681" t="str">
        <f t="shared" si="5"/>
        <v/>
      </c>
      <c r="G30" s="681" t="str">
        <f t="shared" si="5"/>
        <v/>
      </c>
      <c r="H30" s="681" t="str">
        <f t="shared" si="5"/>
        <v/>
      </c>
      <c r="I30" s="681" t="str">
        <f t="shared" si="5"/>
        <v/>
      </c>
      <c r="J30" s="681" t="str">
        <f t="shared" si="5"/>
        <v/>
      </c>
      <c r="K30" s="681" t="str">
        <f t="shared" si="5"/>
        <v/>
      </c>
      <c r="L30" s="681" t="str">
        <f t="shared" si="6"/>
        <v/>
      </c>
      <c r="M30" s="681" t="str">
        <f t="shared" si="6"/>
        <v/>
      </c>
      <c r="N30" s="681" t="str">
        <f t="shared" si="6"/>
        <v/>
      </c>
      <c r="O30" s="681" t="str">
        <f t="shared" si="6"/>
        <v/>
      </c>
      <c r="P30" s="681" t="str">
        <f t="shared" si="6"/>
        <v/>
      </c>
      <c r="Q30" s="681" t="str">
        <f t="shared" si="6"/>
        <v/>
      </c>
      <c r="R30" s="681" t="str">
        <f t="shared" si="6"/>
        <v/>
      </c>
      <c r="S30" s="681" t="str">
        <f t="shared" si="6"/>
        <v/>
      </c>
      <c r="T30" s="681" t="str">
        <f t="shared" si="6"/>
        <v/>
      </c>
      <c r="U30" s="681" t="str">
        <f t="shared" si="6"/>
        <v/>
      </c>
      <c r="V30" s="681" t="str">
        <f t="shared" si="6"/>
        <v/>
      </c>
      <c r="W30" s="755" t="str">
        <f t="shared" si="6"/>
        <v/>
      </c>
      <c r="X30" s="755" t="str">
        <f t="shared" si="6"/>
        <v/>
      </c>
      <c r="Y30" s="755" t="str">
        <f t="shared" si="6"/>
        <v/>
      </c>
      <c r="Z30" s="681" t="str">
        <f t="shared" si="6"/>
        <v/>
      </c>
      <c r="AA30" s="681" t="str">
        <f t="shared" si="6"/>
        <v/>
      </c>
      <c r="AB30" s="681" t="str">
        <f t="shared" si="6"/>
        <v/>
      </c>
      <c r="AC30" s="681" t="str">
        <f t="shared" si="8"/>
        <v/>
      </c>
      <c r="AD30" s="681" t="str">
        <f t="shared" si="7"/>
        <v/>
      </c>
      <c r="AE30" s="681" t="str">
        <f t="shared" si="9"/>
        <v/>
      </c>
      <c r="AF30" s="681" t="str">
        <f t="shared" si="9"/>
        <v/>
      </c>
      <c r="AG30" s="681" t="str">
        <f t="shared" si="9"/>
        <v/>
      </c>
      <c r="AH30" s="681" t="str">
        <f t="shared" si="9"/>
        <v/>
      </c>
      <c r="AI30" s="681" t="str">
        <f t="shared" si="9"/>
        <v/>
      </c>
      <c r="AJ30" s="681" t="str">
        <f t="shared" si="9"/>
        <v/>
      </c>
      <c r="AK30" s="681" t="str">
        <f t="shared" si="9"/>
        <v/>
      </c>
      <c r="AL30" s="681" t="str">
        <f t="shared" si="9"/>
        <v/>
      </c>
      <c r="AM30" s="681" t="str">
        <f t="shared" si="9"/>
        <v/>
      </c>
      <c r="AN30" s="681" t="str">
        <f t="shared" si="9"/>
        <v/>
      </c>
      <c r="AO30" s="681" t="str">
        <f t="shared" si="9"/>
        <v/>
      </c>
      <c r="AP30" s="681" t="str">
        <f t="shared" si="9"/>
        <v/>
      </c>
      <c r="AQ30" s="681" t="str">
        <f t="shared" si="9"/>
        <v/>
      </c>
      <c r="AR30" s="681" t="str">
        <f t="shared" si="9"/>
        <v/>
      </c>
      <c r="AS30" s="681" t="str">
        <f t="shared" si="9"/>
        <v/>
      </c>
      <c r="AT30" s="681" t="str">
        <f t="shared" si="9"/>
        <v/>
      </c>
      <c r="AU30" s="681" t="str">
        <f t="shared" si="9"/>
        <v/>
      </c>
      <c r="AV30" s="681" t="str">
        <f t="shared" si="9"/>
        <v/>
      </c>
      <c r="AW30" s="681" t="str">
        <f t="shared" si="9"/>
        <v/>
      </c>
      <c r="AX30" s="681" t="str">
        <f t="shared" si="9"/>
        <v/>
      </c>
      <c r="AY30" s="681" t="str">
        <f t="shared" si="9"/>
        <v/>
      </c>
      <c r="AZ30" s="681" t="str">
        <f t="shared" si="9"/>
        <v/>
      </c>
      <c r="BA30" s="681" t="str">
        <f t="shared" si="9"/>
        <v/>
      </c>
      <c r="BB30" s="1922"/>
      <c r="BC30" s="1922"/>
      <c r="BD30" s="690"/>
      <c r="BE30" s="685">
        <v>21</v>
      </c>
    </row>
    <row r="31" spans="1:57" ht="12.75" customHeight="1">
      <c r="A31" s="751">
        <v>22</v>
      </c>
      <c r="B31" s="746" t="str">
        <f t="shared" si="5"/>
        <v/>
      </c>
      <c r="C31" s="681" t="str">
        <f t="shared" si="5"/>
        <v/>
      </c>
      <c r="D31" s="681" t="str">
        <f t="shared" si="5"/>
        <v/>
      </c>
      <c r="E31" s="681" t="str">
        <f t="shared" si="5"/>
        <v/>
      </c>
      <c r="F31" s="681" t="str">
        <f t="shared" si="5"/>
        <v/>
      </c>
      <c r="G31" s="681" t="str">
        <f t="shared" si="5"/>
        <v/>
      </c>
      <c r="H31" s="681" t="str">
        <f t="shared" si="5"/>
        <v/>
      </c>
      <c r="I31" s="681" t="str">
        <f t="shared" si="5"/>
        <v/>
      </c>
      <c r="J31" s="681" t="str">
        <f t="shared" si="5"/>
        <v/>
      </c>
      <c r="K31" s="681" t="str">
        <f t="shared" si="5"/>
        <v/>
      </c>
      <c r="L31" s="681" t="str">
        <f t="shared" si="6"/>
        <v/>
      </c>
      <c r="M31" s="681" t="str">
        <f t="shared" si="6"/>
        <v/>
      </c>
      <c r="N31" s="681" t="str">
        <f t="shared" si="6"/>
        <v/>
      </c>
      <c r="O31" s="681" t="str">
        <f t="shared" si="6"/>
        <v/>
      </c>
      <c r="P31" s="681" t="str">
        <f t="shared" si="6"/>
        <v/>
      </c>
      <c r="Q31" s="681" t="str">
        <f t="shared" si="6"/>
        <v/>
      </c>
      <c r="R31" s="681" t="str">
        <f t="shared" si="6"/>
        <v/>
      </c>
      <c r="S31" s="681" t="str">
        <f t="shared" si="6"/>
        <v/>
      </c>
      <c r="T31" s="681" t="str">
        <f t="shared" si="6"/>
        <v/>
      </c>
      <c r="U31" s="681" t="str">
        <f t="shared" si="6"/>
        <v/>
      </c>
      <c r="V31" s="681" t="str">
        <f t="shared" si="6"/>
        <v/>
      </c>
      <c r="W31" s="755" t="str">
        <f t="shared" si="6"/>
        <v/>
      </c>
      <c r="X31" s="755" t="str">
        <f t="shared" si="6"/>
        <v/>
      </c>
      <c r="Y31" s="755" t="str">
        <f t="shared" si="6"/>
        <v/>
      </c>
      <c r="Z31" s="681" t="str">
        <f t="shared" si="6"/>
        <v/>
      </c>
      <c r="AA31" s="681" t="str">
        <f t="shared" si="6"/>
        <v/>
      </c>
      <c r="AB31" s="681" t="str">
        <f t="shared" si="6"/>
        <v/>
      </c>
      <c r="AC31" s="681" t="str">
        <f t="shared" si="8"/>
        <v/>
      </c>
      <c r="AD31" s="681" t="str">
        <f t="shared" si="7"/>
        <v/>
      </c>
      <c r="AE31" s="681" t="str">
        <f t="shared" si="9"/>
        <v/>
      </c>
      <c r="AF31" s="681" t="str">
        <f t="shared" si="9"/>
        <v/>
      </c>
      <c r="AG31" s="681" t="str">
        <f t="shared" si="9"/>
        <v/>
      </c>
      <c r="AH31" s="681" t="str">
        <f t="shared" si="9"/>
        <v/>
      </c>
      <c r="AI31" s="681" t="str">
        <f t="shared" si="9"/>
        <v/>
      </c>
      <c r="AJ31" s="681" t="str">
        <f t="shared" si="9"/>
        <v/>
      </c>
      <c r="AK31" s="681" t="str">
        <f t="shared" si="9"/>
        <v/>
      </c>
      <c r="AL31" s="681" t="str">
        <f t="shared" si="9"/>
        <v/>
      </c>
      <c r="AM31" s="681" t="str">
        <f t="shared" si="9"/>
        <v/>
      </c>
      <c r="AN31" s="681" t="str">
        <f t="shared" si="9"/>
        <v/>
      </c>
      <c r="AO31" s="681" t="str">
        <f t="shared" si="9"/>
        <v/>
      </c>
      <c r="AP31" s="681" t="str">
        <f t="shared" si="9"/>
        <v/>
      </c>
      <c r="AQ31" s="681" t="str">
        <f t="shared" si="9"/>
        <v/>
      </c>
      <c r="AR31" s="681" t="str">
        <f t="shared" si="9"/>
        <v/>
      </c>
      <c r="AS31" s="681" t="str">
        <f t="shared" si="9"/>
        <v/>
      </c>
      <c r="AT31" s="681" t="str">
        <f t="shared" si="9"/>
        <v/>
      </c>
      <c r="AU31" s="681" t="str">
        <f t="shared" si="9"/>
        <v/>
      </c>
      <c r="AV31" s="681" t="str">
        <f t="shared" si="9"/>
        <v/>
      </c>
      <c r="AW31" s="681" t="str">
        <f t="shared" si="9"/>
        <v/>
      </c>
      <c r="AX31" s="681" t="str">
        <f t="shared" si="9"/>
        <v/>
      </c>
      <c r="AY31" s="681" t="str">
        <f t="shared" si="9"/>
        <v/>
      </c>
      <c r="AZ31" s="681" t="str">
        <f t="shared" si="9"/>
        <v/>
      </c>
      <c r="BA31" s="681" t="str">
        <f t="shared" si="9"/>
        <v/>
      </c>
      <c r="BB31" s="1922"/>
      <c r="BC31" s="1922"/>
      <c r="BD31" s="690"/>
      <c r="BE31" s="685">
        <v>22</v>
      </c>
    </row>
    <row r="32" spans="1:57" ht="12.75" customHeight="1">
      <c r="A32" s="751">
        <v>23</v>
      </c>
      <c r="B32" s="746" t="str">
        <f t="shared" si="5"/>
        <v/>
      </c>
      <c r="C32" s="681" t="str">
        <f t="shared" si="5"/>
        <v/>
      </c>
      <c r="D32" s="681" t="str">
        <f t="shared" si="5"/>
        <v/>
      </c>
      <c r="E32" s="681" t="str">
        <f t="shared" si="5"/>
        <v/>
      </c>
      <c r="F32" s="681" t="str">
        <f t="shared" si="5"/>
        <v/>
      </c>
      <c r="G32" s="681" t="str">
        <f t="shared" si="5"/>
        <v/>
      </c>
      <c r="H32" s="681" t="str">
        <f t="shared" si="5"/>
        <v/>
      </c>
      <c r="I32" s="681" t="str">
        <f t="shared" si="5"/>
        <v/>
      </c>
      <c r="J32" s="681" t="str">
        <f t="shared" si="5"/>
        <v/>
      </c>
      <c r="K32" s="681" t="str">
        <f t="shared" si="5"/>
        <v/>
      </c>
      <c r="L32" s="681" t="str">
        <f t="shared" si="6"/>
        <v/>
      </c>
      <c r="M32" s="681" t="str">
        <f t="shared" si="6"/>
        <v/>
      </c>
      <c r="N32" s="681" t="str">
        <f t="shared" si="6"/>
        <v/>
      </c>
      <c r="O32" s="681" t="str">
        <f t="shared" si="6"/>
        <v/>
      </c>
      <c r="P32" s="681" t="str">
        <f t="shared" si="6"/>
        <v/>
      </c>
      <c r="Q32" s="681" t="str">
        <f t="shared" si="6"/>
        <v/>
      </c>
      <c r="R32" s="681" t="str">
        <f t="shared" si="6"/>
        <v/>
      </c>
      <c r="S32" s="681" t="str">
        <f t="shared" si="6"/>
        <v/>
      </c>
      <c r="T32" s="681" t="str">
        <f t="shared" si="6"/>
        <v/>
      </c>
      <c r="U32" s="681" t="str">
        <f t="shared" si="6"/>
        <v/>
      </c>
      <c r="V32" s="681" t="str">
        <f t="shared" si="6"/>
        <v/>
      </c>
      <c r="W32" s="755" t="str">
        <f t="shared" si="6"/>
        <v/>
      </c>
      <c r="X32" s="755" t="str">
        <f t="shared" si="6"/>
        <v/>
      </c>
      <c r="Y32" s="755" t="str">
        <f t="shared" si="6"/>
        <v/>
      </c>
      <c r="Z32" s="681" t="str">
        <f t="shared" si="6"/>
        <v/>
      </c>
      <c r="AA32" s="681" t="str">
        <f t="shared" si="6"/>
        <v/>
      </c>
      <c r="AB32" s="681" t="str">
        <f t="shared" si="6"/>
        <v/>
      </c>
      <c r="AC32" s="681" t="str">
        <f t="shared" si="8"/>
        <v/>
      </c>
      <c r="AD32" s="681" t="str">
        <f t="shared" si="7"/>
        <v/>
      </c>
      <c r="AE32" s="681" t="str">
        <f t="shared" si="9"/>
        <v/>
      </c>
      <c r="AF32" s="681" t="str">
        <f t="shared" si="9"/>
        <v/>
      </c>
      <c r="AG32" s="681" t="str">
        <f t="shared" si="9"/>
        <v/>
      </c>
      <c r="AH32" s="681" t="str">
        <f t="shared" si="9"/>
        <v/>
      </c>
      <c r="AI32" s="681" t="str">
        <f t="shared" si="9"/>
        <v/>
      </c>
      <c r="AJ32" s="681" t="str">
        <f t="shared" si="9"/>
        <v/>
      </c>
      <c r="AK32" s="681" t="str">
        <f t="shared" si="9"/>
        <v/>
      </c>
      <c r="AL32" s="681" t="str">
        <f t="shared" si="9"/>
        <v/>
      </c>
      <c r="AM32" s="681" t="str">
        <f t="shared" si="9"/>
        <v/>
      </c>
      <c r="AN32" s="681" t="str">
        <f t="shared" si="9"/>
        <v/>
      </c>
      <c r="AO32" s="681" t="str">
        <f t="shared" si="9"/>
        <v/>
      </c>
      <c r="AP32" s="681" t="str">
        <f t="shared" si="9"/>
        <v/>
      </c>
      <c r="AQ32" s="681" t="str">
        <f t="shared" si="9"/>
        <v/>
      </c>
      <c r="AR32" s="681" t="str">
        <f t="shared" si="9"/>
        <v/>
      </c>
      <c r="AS32" s="681" t="str">
        <f t="shared" si="9"/>
        <v/>
      </c>
      <c r="AT32" s="681" t="str">
        <f t="shared" si="9"/>
        <v/>
      </c>
      <c r="AU32" s="681" t="str">
        <f t="shared" si="9"/>
        <v/>
      </c>
      <c r="AV32" s="681" t="str">
        <f t="shared" si="9"/>
        <v/>
      </c>
      <c r="AW32" s="681" t="str">
        <f t="shared" si="9"/>
        <v/>
      </c>
      <c r="AX32" s="681" t="str">
        <f t="shared" si="9"/>
        <v/>
      </c>
      <c r="AY32" s="681" t="str">
        <f t="shared" si="9"/>
        <v/>
      </c>
      <c r="AZ32" s="681" t="str">
        <f t="shared" si="9"/>
        <v/>
      </c>
      <c r="BA32" s="681" t="str">
        <f t="shared" si="9"/>
        <v/>
      </c>
      <c r="BB32" s="1922"/>
      <c r="BC32" s="1922"/>
      <c r="BD32" s="690"/>
      <c r="BE32" s="685">
        <v>23</v>
      </c>
    </row>
    <row r="33" spans="1:57" ht="12.75" customHeight="1">
      <c r="A33" s="751">
        <v>24</v>
      </c>
      <c r="B33" s="746" t="str">
        <f t="shared" si="5"/>
        <v/>
      </c>
      <c r="C33" s="681" t="str">
        <f t="shared" si="5"/>
        <v/>
      </c>
      <c r="D33" s="681" t="str">
        <f t="shared" si="5"/>
        <v/>
      </c>
      <c r="E33" s="681" t="str">
        <f t="shared" si="5"/>
        <v/>
      </c>
      <c r="F33" s="681" t="str">
        <f t="shared" si="5"/>
        <v/>
      </c>
      <c r="G33" s="681" t="str">
        <f t="shared" si="5"/>
        <v/>
      </c>
      <c r="H33" s="681" t="str">
        <f t="shared" si="5"/>
        <v/>
      </c>
      <c r="I33" s="681" t="str">
        <f t="shared" si="5"/>
        <v/>
      </c>
      <c r="J33" s="681" t="str">
        <f t="shared" si="5"/>
        <v/>
      </c>
      <c r="K33" s="681" t="str">
        <f t="shared" si="5"/>
        <v/>
      </c>
      <c r="L33" s="681" t="str">
        <f t="shared" si="6"/>
        <v/>
      </c>
      <c r="M33" s="681" t="str">
        <f t="shared" si="6"/>
        <v/>
      </c>
      <c r="N33" s="681" t="str">
        <f t="shared" si="6"/>
        <v/>
      </c>
      <c r="O33" s="681" t="str">
        <f t="shared" si="6"/>
        <v/>
      </c>
      <c r="P33" s="681" t="str">
        <f t="shared" si="6"/>
        <v/>
      </c>
      <c r="Q33" s="681" t="str">
        <f t="shared" si="6"/>
        <v/>
      </c>
      <c r="R33" s="681" t="str">
        <f t="shared" si="6"/>
        <v/>
      </c>
      <c r="S33" s="681" t="str">
        <f t="shared" si="6"/>
        <v/>
      </c>
      <c r="T33" s="681" t="str">
        <f t="shared" si="6"/>
        <v/>
      </c>
      <c r="U33" s="681" t="str">
        <f t="shared" si="6"/>
        <v/>
      </c>
      <c r="V33" s="681" t="str">
        <f t="shared" si="6"/>
        <v/>
      </c>
      <c r="W33" s="755" t="str">
        <f t="shared" si="6"/>
        <v/>
      </c>
      <c r="X33" s="755" t="str">
        <f t="shared" si="6"/>
        <v/>
      </c>
      <c r="Y33" s="755" t="str">
        <f t="shared" si="6"/>
        <v/>
      </c>
      <c r="Z33" s="681" t="str">
        <f t="shared" si="6"/>
        <v/>
      </c>
      <c r="AA33" s="681" t="str">
        <f t="shared" si="6"/>
        <v/>
      </c>
      <c r="AB33" s="681" t="str">
        <f t="shared" si="6"/>
        <v/>
      </c>
      <c r="AC33" s="681" t="str">
        <f t="shared" si="8"/>
        <v/>
      </c>
      <c r="AD33" s="681" t="str">
        <f t="shared" si="7"/>
        <v/>
      </c>
      <c r="AE33" s="681" t="str">
        <f t="shared" si="9"/>
        <v/>
      </c>
      <c r="AF33" s="681" t="str">
        <f t="shared" si="9"/>
        <v/>
      </c>
      <c r="AG33" s="681" t="str">
        <f t="shared" si="9"/>
        <v/>
      </c>
      <c r="AH33" s="681" t="str">
        <f t="shared" si="9"/>
        <v/>
      </c>
      <c r="AI33" s="681" t="str">
        <f t="shared" si="9"/>
        <v/>
      </c>
      <c r="AJ33" s="681" t="str">
        <f t="shared" si="9"/>
        <v/>
      </c>
      <c r="AK33" s="681" t="str">
        <f t="shared" si="9"/>
        <v/>
      </c>
      <c r="AL33" s="681" t="str">
        <f t="shared" si="9"/>
        <v/>
      </c>
      <c r="AM33" s="681" t="str">
        <f t="shared" si="9"/>
        <v/>
      </c>
      <c r="AN33" s="681" t="str">
        <f t="shared" ref="AE33:BA45" si="11">FlowSet(AN$1,$A33,AN$4,AN$5,AN$6,AN$7,AverageMeterTemp,AverageMeterPress,BaroPress,OPF)</f>
        <v/>
      </c>
      <c r="AO33" s="681" t="str">
        <f t="shared" si="11"/>
        <v/>
      </c>
      <c r="AP33" s="681" t="str">
        <f t="shared" si="11"/>
        <v/>
      </c>
      <c r="AQ33" s="681" t="str">
        <f t="shared" si="11"/>
        <v/>
      </c>
      <c r="AR33" s="681" t="str">
        <f t="shared" si="11"/>
        <v/>
      </c>
      <c r="AS33" s="681" t="str">
        <f t="shared" si="11"/>
        <v/>
      </c>
      <c r="AT33" s="681" t="str">
        <f t="shared" si="11"/>
        <v/>
      </c>
      <c r="AU33" s="681" t="str">
        <f t="shared" si="11"/>
        <v/>
      </c>
      <c r="AV33" s="681" t="str">
        <f t="shared" si="11"/>
        <v/>
      </c>
      <c r="AW33" s="681" t="str">
        <f t="shared" si="11"/>
        <v/>
      </c>
      <c r="AX33" s="681" t="str">
        <f t="shared" si="11"/>
        <v/>
      </c>
      <c r="AY33" s="681" t="str">
        <f t="shared" si="11"/>
        <v/>
      </c>
      <c r="AZ33" s="681" t="str">
        <f t="shared" si="11"/>
        <v/>
      </c>
      <c r="BA33" s="681" t="str">
        <f t="shared" si="11"/>
        <v/>
      </c>
      <c r="BB33" s="1922"/>
      <c r="BC33" s="1922"/>
      <c r="BD33" s="690"/>
      <c r="BE33" s="685">
        <v>24</v>
      </c>
    </row>
    <row r="34" spans="1:57" ht="12.75" customHeight="1">
      <c r="A34" s="751">
        <v>25</v>
      </c>
      <c r="B34" s="746" t="str">
        <f t="shared" si="5"/>
        <v/>
      </c>
      <c r="C34" s="681" t="str">
        <f t="shared" si="5"/>
        <v/>
      </c>
      <c r="D34" s="681" t="str">
        <f t="shared" si="5"/>
        <v/>
      </c>
      <c r="E34" s="681" t="str">
        <f t="shared" si="5"/>
        <v/>
      </c>
      <c r="F34" s="681" t="str">
        <f t="shared" si="5"/>
        <v/>
      </c>
      <c r="G34" s="681" t="str">
        <f t="shared" si="5"/>
        <v/>
      </c>
      <c r="H34" s="681" t="str">
        <f t="shared" si="5"/>
        <v/>
      </c>
      <c r="I34" s="681" t="str">
        <f t="shared" si="5"/>
        <v/>
      </c>
      <c r="J34" s="681" t="str">
        <f t="shared" si="5"/>
        <v/>
      </c>
      <c r="K34" s="681" t="str">
        <f t="shared" si="5"/>
        <v/>
      </c>
      <c r="L34" s="681" t="str">
        <f t="shared" si="6"/>
        <v/>
      </c>
      <c r="M34" s="681" t="str">
        <f t="shared" si="6"/>
        <v/>
      </c>
      <c r="N34" s="681" t="str">
        <f t="shared" si="6"/>
        <v/>
      </c>
      <c r="O34" s="681" t="str">
        <f t="shared" si="6"/>
        <v/>
      </c>
      <c r="P34" s="681" t="str">
        <f t="shared" si="6"/>
        <v/>
      </c>
      <c r="Q34" s="681" t="str">
        <f t="shared" si="6"/>
        <v/>
      </c>
      <c r="R34" s="681" t="str">
        <f t="shared" si="6"/>
        <v/>
      </c>
      <c r="S34" s="681" t="str">
        <f t="shared" si="6"/>
        <v/>
      </c>
      <c r="T34" s="681" t="str">
        <f t="shared" si="6"/>
        <v/>
      </c>
      <c r="U34" s="681" t="str">
        <f t="shared" si="6"/>
        <v/>
      </c>
      <c r="V34" s="681" t="str">
        <f t="shared" si="6"/>
        <v/>
      </c>
      <c r="W34" s="755" t="str">
        <f t="shared" si="6"/>
        <v/>
      </c>
      <c r="X34" s="755" t="str">
        <f t="shared" si="6"/>
        <v/>
      </c>
      <c r="Y34" s="755" t="str">
        <f t="shared" si="6"/>
        <v/>
      </c>
      <c r="Z34" s="681" t="str">
        <f t="shared" si="6"/>
        <v/>
      </c>
      <c r="AA34" s="681" t="str">
        <f t="shared" si="6"/>
        <v/>
      </c>
      <c r="AB34" s="681" t="str">
        <f t="shared" si="6"/>
        <v/>
      </c>
      <c r="AC34" s="681" t="str">
        <f t="shared" si="8"/>
        <v/>
      </c>
      <c r="AD34" s="681" t="str">
        <f t="shared" si="7"/>
        <v/>
      </c>
      <c r="AE34" s="681" t="str">
        <f t="shared" si="11"/>
        <v/>
      </c>
      <c r="AF34" s="681" t="str">
        <f t="shared" si="11"/>
        <v/>
      </c>
      <c r="AG34" s="681" t="str">
        <f t="shared" si="11"/>
        <v/>
      </c>
      <c r="AH34" s="681" t="str">
        <f t="shared" si="11"/>
        <v/>
      </c>
      <c r="AI34" s="681" t="str">
        <f t="shared" si="11"/>
        <v/>
      </c>
      <c r="AJ34" s="681" t="str">
        <f t="shared" si="11"/>
        <v/>
      </c>
      <c r="AK34" s="681" t="str">
        <f t="shared" si="11"/>
        <v/>
      </c>
      <c r="AL34" s="681" t="str">
        <f t="shared" si="11"/>
        <v/>
      </c>
      <c r="AM34" s="681" t="str">
        <f t="shared" si="11"/>
        <v/>
      </c>
      <c r="AN34" s="681" t="str">
        <f t="shared" si="11"/>
        <v/>
      </c>
      <c r="AO34" s="681" t="str">
        <f t="shared" si="11"/>
        <v/>
      </c>
      <c r="AP34" s="681" t="str">
        <f t="shared" si="11"/>
        <v/>
      </c>
      <c r="AQ34" s="681" t="str">
        <f t="shared" si="11"/>
        <v/>
      </c>
      <c r="AR34" s="681" t="str">
        <f t="shared" si="11"/>
        <v/>
      </c>
      <c r="AS34" s="681" t="str">
        <f t="shared" si="11"/>
        <v/>
      </c>
      <c r="AT34" s="681" t="str">
        <f t="shared" si="11"/>
        <v/>
      </c>
      <c r="AU34" s="681" t="str">
        <f t="shared" si="11"/>
        <v/>
      </c>
      <c r="AV34" s="681" t="str">
        <f t="shared" si="11"/>
        <v/>
      </c>
      <c r="AW34" s="681" t="str">
        <f t="shared" si="11"/>
        <v/>
      </c>
      <c r="AX34" s="681" t="str">
        <f t="shared" si="11"/>
        <v/>
      </c>
      <c r="AY34" s="681" t="str">
        <f t="shared" si="11"/>
        <v/>
      </c>
      <c r="AZ34" s="681" t="str">
        <f t="shared" si="11"/>
        <v/>
      </c>
      <c r="BA34" s="681" t="str">
        <f t="shared" si="11"/>
        <v/>
      </c>
      <c r="BB34" s="1922"/>
      <c r="BC34" s="1922"/>
      <c r="BD34" s="690"/>
      <c r="BE34" s="685">
        <v>25</v>
      </c>
    </row>
    <row r="35" spans="1:57" ht="12.75" customHeight="1">
      <c r="A35" s="751">
        <v>26</v>
      </c>
      <c r="B35" s="746" t="str">
        <f t="shared" ref="B35:D59" si="12">FlowSet(B$1,$A35,B$4,B$5,B$6,B$7,AverageMeterTemp,AverageMeterPress,BaroPress,OPF)</f>
        <v/>
      </c>
      <c r="C35" s="681" t="str">
        <f t="shared" si="12"/>
        <v/>
      </c>
      <c r="D35" s="681" t="str">
        <f t="shared" si="12"/>
        <v/>
      </c>
      <c r="E35" s="681"/>
      <c r="F35" s="681"/>
      <c r="G35" s="681" t="str">
        <f t="shared" ref="G35:J59" si="13">FlowSet(G$1,$A35,G$4,G$5,G$6,G$7,AverageMeterTemp,AverageMeterPress,BaroPress,OPF)</f>
        <v/>
      </c>
      <c r="H35" s="681" t="str">
        <f t="shared" si="13"/>
        <v/>
      </c>
      <c r="I35" s="681" t="str">
        <f t="shared" si="13"/>
        <v/>
      </c>
      <c r="J35" s="681" t="str">
        <f t="shared" si="13"/>
        <v/>
      </c>
      <c r="K35" s="681"/>
      <c r="L35" s="681" t="str">
        <f t="shared" ref="L35:AC50" si="14">FlowSet(L$1,$A35,L$4,L$5,L$6,L$7,AverageMeterTemp,AverageMeterPress,BaroPress,OPF)</f>
        <v/>
      </c>
      <c r="M35" s="681" t="str">
        <f t="shared" si="14"/>
        <v/>
      </c>
      <c r="N35" s="681" t="str">
        <f t="shared" si="14"/>
        <v/>
      </c>
      <c r="O35" s="681" t="str">
        <f t="shared" si="14"/>
        <v/>
      </c>
      <c r="P35" s="681" t="str">
        <f t="shared" si="14"/>
        <v/>
      </c>
      <c r="Q35" s="681" t="str">
        <f t="shared" si="14"/>
        <v/>
      </c>
      <c r="R35" s="681" t="str">
        <f t="shared" si="14"/>
        <v/>
      </c>
      <c r="S35" s="681" t="str">
        <f t="shared" si="14"/>
        <v/>
      </c>
      <c r="T35" s="681" t="str">
        <f t="shared" si="14"/>
        <v/>
      </c>
      <c r="U35" s="681" t="str">
        <f t="shared" si="14"/>
        <v/>
      </c>
      <c r="V35" s="681" t="str">
        <f t="shared" si="14"/>
        <v/>
      </c>
      <c r="W35" s="755" t="str">
        <f t="shared" si="6"/>
        <v/>
      </c>
      <c r="X35" s="755" t="str">
        <f t="shared" si="6"/>
        <v/>
      </c>
      <c r="Y35" s="755" t="str">
        <f t="shared" si="6"/>
        <v/>
      </c>
      <c r="Z35" s="681" t="str">
        <f t="shared" si="14"/>
        <v/>
      </c>
      <c r="AA35" s="681" t="str">
        <f t="shared" si="14"/>
        <v/>
      </c>
      <c r="AB35" s="681" t="str">
        <f t="shared" si="14"/>
        <v/>
      </c>
      <c r="AC35" s="681" t="str">
        <f t="shared" si="14"/>
        <v/>
      </c>
      <c r="AD35" s="681" t="str">
        <f t="shared" si="7"/>
        <v/>
      </c>
      <c r="AE35" s="681" t="str">
        <f t="shared" si="11"/>
        <v/>
      </c>
      <c r="AF35" s="681" t="str">
        <f t="shared" si="11"/>
        <v/>
      </c>
      <c r="AG35" s="681" t="str">
        <f t="shared" si="11"/>
        <v/>
      </c>
      <c r="AH35" s="681" t="str">
        <f t="shared" si="11"/>
        <v/>
      </c>
      <c r="AI35" s="681" t="str">
        <f t="shared" si="11"/>
        <v/>
      </c>
      <c r="AJ35" s="681" t="str">
        <f t="shared" si="11"/>
        <v/>
      </c>
      <c r="AK35" s="681" t="str">
        <f t="shared" si="11"/>
        <v/>
      </c>
      <c r="AL35" s="681" t="str">
        <f t="shared" si="11"/>
        <v/>
      </c>
      <c r="AM35" s="681" t="str">
        <f t="shared" si="11"/>
        <v/>
      </c>
      <c r="AN35" s="681" t="str">
        <f t="shared" si="11"/>
        <v/>
      </c>
      <c r="AO35" s="681" t="str">
        <f t="shared" si="11"/>
        <v/>
      </c>
      <c r="AP35" s="681" t="str">
        <f t="shared" si="11"/>
        <v/>
      </c>
      <c r="AQ35" s="681" t="str">
        <f t="shared" si="11"/>
        <v/>
      </c>
      <c r="AR35" s="681" t="str">
        <f t="shared" si="11"/>
        <v/>
      </c>
      <c r="AS35" s="681" t="str">
        <f t="shared" si="11"/>
        <v/>
      </c>
      <c r="AT35" s="681" t="str">
        <f t="shared" si="11"/>
        <v/>
      </c>
      <c r="AU35" s="681" t="str">
        <f t="shared" si="11"/>
        <v/>
      </c>
      <c r="AV35" s="681" t="str">
        <f t="shared" si="11"/>
        <v/>
      </c>
      <c r="AW35" s="681" t="str">
        <f t="shared" si="11"/>
        <v/>
      </c>
      <c r="AX35" s="681" t="str">
        <f t="shared" si="11"/>
        <v/>
      </c>
      <c r="AY35" s="681" t="str">
        <f t="shared" si="11"/>
        <v/>
      </c>
      <c r="AZ35" s="681" t="str">
        <f t="shared" si="11"/>
        <v/>
      </c>
      <c r="BA35" s="681" t="str">
        <f t="shared" si="11"/>
        <v/>
      </c>
      <c r="BB35" s="1922"/>
      <c r="BC35" s="1922"/>
      <c r="BD35" s="690"/>
      <c r="BE35" s="685">
        <v>26</v>
      </c>
    </row>
    <row r="36" spans="1:57" ht="12.75" customHeight="1">
      <c r="A36" s="751">
        <v>27</v>
      </c>
      <c r="B36" s="746" t="str">
        <f t="shared" si="12"/>
        <v/>
      </c>
      <c r="C36" s="681" t="str">
        <f t="shared" si="12"/>
        <v/>
      </c>
      <c r="D36" s="681" t="str">
        <f t="shared" si="12"/>
        <v/>
      </c>
      <c r="E36" s="681"/>
      <c r="F36" s="681"/>
      <c r="G36" s="681" t="str">
        <f t="shared" si="13"/>
        <v/>
      </c>
      <c r="H36" s="681" t="str">
        <f t="shared" si="13"/>
        <v/>
      </c>
      <c r="I36" s="681" t="str">
        <f t="shared" si="13"/>
        <v/>
      </c>
      <c r="J36" s="681" t="str">
        <f t="shared" si="13"/>
        <v/>
      </c>
      <c r="K36" s="681"/>
      <c r="L36" s="681" t="str">
        <f t="shared" si="14"/>
        <v/>
      </c>
      <c r="M36" s="681" t="str">
        <f t="shared" si="14"/>
        <v/>
      </c>
      <c r="N36" s="681" t="str">
        <f t="shared" si="14"/>
        <v/>
      </c>
      <c r="O36" s="681" t="str">
        <f t="shared" si="14"/>
        <v/>
      </c>
      <c r="P36" s="681" t="str">
        <f t="shared" si="14"/>
        <v/>
      </c>
      <c r="Q36" s="681" t="str">
        <f t="shared" si="14"/>
        <v/>
      </c>
      <c r="R36" s="681" t="str">
        <f t="shared" si="14"/>
        <v/>
      </c>
      <c r="S36" s="681" t="str">
        <f t="shared" si="14"/>
        <v/>
      </c>
      <c r="T36" s="681" t="str">
        <f t="shared" si="14"/>
        <v/>
      </c>
      <c r="U36" s="681" t="str">
        <f t="shared" si="14"/>
        <v/>
      </c>
      <c r="V36" s="681" t="str">
        <f t="shared" si="14"/>
        <v/>
      </c>
      <c r="W36" s="755" t="str">
        <f t="shared" si="14"/>
        <v/>
      </c>
      <c r="X36" s="755" t="str">
        <f t="shared" si="14"/>
        <v/>
      </c>
      <c r="Y36" s="755" t="str">
        <f t="shared" si="14"/>
        <v/>
      </c>
      <c r="Z36" s="681" t="str">
        <f t="shared" si="14"/>
        <v/>
      </c>
      <c r="AA36" s="681" t="str">
        <f t="shared" si="14"/>
        <v/>
      </c>
      <c r="AB36" s="681" t="str">
        <f t="shared" si="14"/>
        <v/>
      </c>
      <c r="AC36" s="681" t="str">
        <f t="shared" ref="AC36:AC44" si="15">FlowSet(AC$1,$A36,AC$4,AC$5,AC$6,AC$7,AverageMeterTemp,AverageMeterPress,BaroPress,OPF)</f>
        <v/>
      </c>
      <c r="AD36" s="681" t="str">
        <f t="shared" si="7"/>
        <v/>
      </c>
      <c r="AE36" s="681" t="str">
        <f t="shared" si="11"/>
        <v/>
      </c>
      <c r="AF36" s="681" t="str">
        <f t="shared" si="11"/>
        <v/>
      </c>
      <c r="AG36" s="681" t="str">
        <f t="shared" si="11"/>
        <v/>
      </c>
      <c r="AH36" s="681" t="str">
        <f t="shared" si="11"/>
        <v/>
      </c>
      <c r="AI36" s="681" t="str">
        <f t="shared" si="11"/>
        <v/>
      </c>
      <c r="AJ36" s="681" t="str">
        <f t="shared" si="11"/>
        <v/>
      </c>
      <c r="AK36" s="681" t="str">
        <f t="shared" si="11"/>
        <v/>
      </c>
      <c r="AL36" s="681" t="str">
        <f t="shared" si="11"/>
        <v/>
      </c>
      <c r="AM36" s="681" t="str">
        <f t="shared" si="11"/>
        <v/>
      </c>
      <c r="AN36" s="681" t="str">
        <f t="shared" si="11"/>
        <v/>
      </c>
      <c r="AO36" s="681" t="str">
        <f t="shared" si="11"/>
        <v/>
      </c>
      <c r="AP36" s="681" t="str">
        <f t="shared" si="11"/>
        <v/>
      </c>
      <c r="AQ36" s="681" t="str">
        <f t="shared" si="11"/>
        <v/>
      </c>
      <c r="AR36" s="681" t="str">
        <f t="shared" si="11"/>
        <v/>
      </c>
      <c r="AS36" s="681" t="str">
        <f t="shared" si="11"/>
        <v/>
      </c>
      <c r="AT36" s="681" t="str">
        <f t="shared" si="11"/>
        <v/>
      </c>
      <c r="AU36" s="681" t="str">
        <f t="shared" si="11"/>
        <v/>
      </c>
      <c r="AV36" s="681" t="str">
        <f t="shared" si="11"/>
        <v/>
      </c>
      <c r="AW36" s="681" t="str">
        <f t="shared" si="11"/>
        <v/>
      </c>
      <c r="AX36" s="681" t="str">
        <f t="shared" si="11"/>
        <v/>
      </c>
      <c r="AY36" s="681" t="str">
        <f t="shared" si="11"/>
        <v/>
      </c>
      <c r="AZ36" s="681" t="str">
        <f t="shared" si="11"/>
        <v/>
      </c>
      <c r="BA36" s="681" t="str">
        <f t="shared" si="11"/>
        <v/>
      </c>
      <c r="BB36" s="1922"/>
      <c r="BC36" s="1922"/>
      <c r="BD36" s="690"/>
      <c r="BE36" s="685">
        <v>27</v>
      </c>
    </row>
    <row r="37" spans="1:57" ht="12.75" customHeight="1">
      <c r="A37" s="751">
        <v>28</v>
      </c>
      <c r="B37" s="746" t="str">
        <f t="shared" si="12"/>
        <v/>
      </c>
      <c r="C37" s="681" t="str">
        <f t="shared" si="12"/>
        <v/>
      </c>
      <c r="D37" s="681" t="str">
        <f t="shared" si="12"/>
        <v/>
      </c>
      <c r="E37" s="681"/>
      <c r="F37" s="681"/>
      <c r="G37" s="681" t="str">
        <f t="shared" si="13"/>
        <v/>
      </c>
      <c r="H37" s="681" t="str">
        <f t="shared" si="13"/>
        <v/>
      </c>
      <c r="I37" s="681" t="str">
        <f t="shared" si="13"/>
        <v/>
      </c>
      <c r="J37" s="681" t="str">
        <f t="shared" si="13"/>
        <v/>
      </c>
      <c r="K37" s="681"/>
      <c r="L37" s="681" t="str">
        <f t="shared" si="14"/>
        <v/>
      </c>
      <c r="M37" s="681" t="str">
        <f t="shared" si="14"/>
        <v/>
      </c>
      <c r="N37" s="681" t="str">
        <f t="shared" si="14"/>
        <v/>
      </c>
      <c r="O37" s="681" t="str">
        <f t="shared" si="14"/>
        <v/>
      </c>
      <c r="P37" s="681" t="str">
        <f t="shared" si="14"/>
        <v/>
      </c>
      <c r="Q37" s="681" t="str">
        <f t="shared" si="14"/>
        <v/>
      </c>
      <c r="R37" s="681" t="str">
        <f t="shared" si="14"/>
        <v/>
      </c>
      <c r="S37" s="681" t="str">
        <f t="shared" si="14"/>
        <v/>
      </c>
      <c r="T37" s="681" t="str">
        <f t="shared" si="14"/>
        <v/>
      </c>
      <c r="U37" s="681" t="str">
        <f t="shared" si="14"/>
        <v/>
      </c>
      <c r="V37" s="681" t="str">
        <f t="shared" si="14"/>
        <v/>
      </c>
      <c r="W37" s="755" t="str">
        <f t="shared" si="14"/>
        <v/>
      </c>
      <c r="X37" s="755" t="str">
        <f t="shared" si="14"/>
        <v/>
      </c>
      <c r="Y37" s="755" t="str">
        <f t="shared" si="14"/>
        <v/>
      </c>
      <c r="Z37" s="681" t="str">
        <f t="shared" si="14"/>
        <v/>
      </c>
      <c r="AA37" s="681" t="str">
        <f t="shared" si="14"/>
        <v/>
      </c>
      <c r="AB37" s="681" t="str">
        <f t="shared" si="14"/>
        <v/>
      </c>
      <c r="AC37" s="681" t="str">
        <f t="shared" si="15"/>
        <v/>
      </c>
      <c r="AD37" s="681" t="str">
        <f t="shared" si="7"/>
        <v/>
      </c>
      <c r="AE37" s="681" t="str">
        <f t="shared" si="11"/>
        <v/>
      </c>
      <c r="AF37" s="681" t="str">
        <f t="shared" si="11"/>
        <v/>
      </c>
      <c r="AG37" s="681" t="str">
        <f t="shared" si="11"/>
        <v/>
      </c>
      <c r="AH37" s="681" t="str">
        <f t="shared" si="11"/>
        <v/>
      </c>
      <c r="AI37" s="681" t="str">
        <f t="shared" si="11"/>
        <v/>
      </c>
      <c r="AJ37" s="681" t="str">
        <f t="shared" si="11"/>
        <v/>
      </c>
      <c r="AK37" s="681" t="str">
        <f t="shared" si="11"/>
        <v/>
      </c>
      <c r="AL37" s="681" t="str">
        <f t="shared" si="11"/>
        <v/>
      </c>
      <c r="AM37" s="681" t="str">
        <f t="shared" si="11"/>
        <v/>
      </c>
      <c r="AN37" s="681" t="str">
        <f t="shared" si="11"/>
        <v/>
      </c>
      <c r="AO37" s="681" t="str">
        <f t="shared" si="11"/>
        <v/>
      </c>
      <c r="AP37" s="681" t="str">
        <f t="shared" si="11"/>
        <v/>
      </c>
      <c r="AQ37" s="681" t="str">
        <f t="shared" si="11"/>
        <v/>
      </c>
      <c r="AR37" s="681" t="str">
        <f t="shared" si="11"/>
        <v/>
      </c>
      <c r="AS37" s="681" t="str">
        <f t="shared" si="11"/>
        <v/>
      </c>
      <c r="AT37" s="681" t="str">
        <f t="shared" si="11"/>
        <v/>
      </c>
      <c r="AU37" s="681" t="str">
        <f t="shared" si="11"/>
        <v/>
      </c>
      <c r="AV37" s="681" t="str">
        <f t="shared" si="11"/>
        <v/>
      </c>
      <c r="AW37" s="681" t="str">
        <f t="shared" si="11"/>
        <v/>
      </c>
      <c r="AX37" s="681" t="str">
        <f t="shared" si="11"/>
        <v/>
      </c>
      <c r="AY37" s="681" t="str">
        <f t="shared" si="11"/>
        <v/>
      </c>
      <c r="AZ37" s="681" t="str">
        <f t="shared" si="11"/>
        <v/>
      </c>
      <c r="BA37" s="681" t="str">
        <f t="shared" si="11"/>
        <v/>
      </c>
      <c r="BB37" s="1922"/>
      <c r="BC37" s="1922"/>
      <c r="BD37" s="690"/>
      <c r="BE37" s="685">
        <v>28</v>
      </c>
    </row>
    <row r="38" spans="1:57" ht="12.75" customHeight="1">
      <c r="A38" s="751">
        <v>29</v>
      </c>
      <c r="B38" s="746" t="str">
        <f t="shared" si="12"/>
        <v/>
      </c>
      <c r="C38" s="681" t="str">
        <f t="shared" si="12"/>
        <v/>
      </c>
      <c r="D38" s="681" t="str">
        <f t="shared" si="12"/>
        <v/>
      </c>
      <c r="E38" s="681"/>
      <c r="F38" s="681"/>
      <c r="G38" s="681" t="str">
        <f t="shared" si="13"/>
        <v/>
      </c>
      <c r="H38" s="681" t="str">
        <f t="shared" si="13"/>
        <v/>
      </c>
      <c r="I38" s="681" t="str">
        <f t="shared" si="13"/>
        <v/>
      </c>
      <c r="J38" s="681" t="str">
        <f t="shared" si="13"/>
        <v/>
      </c>
      <c r="K38" s="681"/>
      <c r="L38" s="681" t="str">
        <f t="shared" si="14"/>
        <v/>
      </c>
      <c r="M38" s="681" t="str">
        <f t="shared" si="14"/>
        <v/>
      </c>
      <c r="N38" s="681" t="str">
        <f t="shared" si="14"/>
        <v/>
      </c>
      <c r="O38" s="681" t="str">
        <f t="shared" si="14"/>
        <v/>
      </c>
      <c r="P38" s="681" t="str">
        <f t="shared" si="14"/>
        <v/>
      </c>
      <c r="Q38" s="681" t="str">
        <f t="shared" si="14"/>
        <v/>
      </c>
      <c r="R38" s="681" t="str">
        <f t="shared" si="14"/>
        <v/>
      </c>
      <c r="S38" s="681" t="str">
        <f t="shared" si="14"/>
        <v/>
      </c>
      <c r="T38" s="681" t="str">
        <f t="shared" si="14"/>
        <v/>
      </c>
      <c r="U38" s="681" t="str">
        <f t="shared" si="14"/>
        <v/>
      </c>
      <c r="V38" s="681" t="str">
        <f t="shared" si="14"/>
        <v/>
      </c>
      <c r="W38" s="755" t="str">
        <f t="shared" si="14"/>
        <v/>
      </c>
      <c r="X38" s="755" t="str">
        <f t="shared" si="14"/>
        <v/>
      </c>
      <c r="Y38" s="755" t="str">
        <f t="shared" si="14"/>
        <v/>
      </c>
      <c r="Z38" s="681" t="str">
        <f t="shared" si="14"/>
        <v/>
      </c>
      <c r="AA38" s="681" t="str">
        <f t="shared" si="14"/>
        <v/>
      </c>
      <c r="AB38" s="681" t="str">
        <f t="shared" si="14"/>
        <v/>
      </c>
      <c r="AC38" s="681" t="str">
        <f t="shared" si="15"/>
        <v/>
      </c>
      <c r="AD38" s="681" t="str">
        <f t="shared" si="7"/>
        <v/>
      </c>
      <c r="AE38" s="681" t="str">
        <f t="shared" si="11"/>
        <v/>
      </c>
      <c r="AF38" s="681" t="str">
        <f t="shared" si="11"/>
        <v/>
      </c>
      <c r="AG38" s="681" t="str">
        <f t="shared" si="11"/>
        <v/>
      </c>
      <c r="AH38" s="681" t="str">
        <f t="shared" si="11"/>
        <v/>
      </c>
      <c r="AI38" s="681" t="str">
        <f t="shared" si="11"/>
        <v/>
      </c>
      <c r="AJ38" s="681" t="str">
        <f t="shared" si="11"/>
        <v/>
      </c>
      <c r="AK38" s="681" t="str">
        <f t="shared" si="11"/>
        <v/>
      </c>
      <c r="AL38" s="681" t="str">
        <f t="shared" si="11"/>
        <v/>
      </c>
      <c r="AM38" s="681" t="str">
        <f t="shared" si="11"/>
        <v/>
      </c>
      <c r="AN38" s="681" t="str">
        <f t="shared" si="11"/>
        <v/>
      </c>
      <c r="AO38" s="681" t="str">
        <f t="shared" si="11"/>
        <v/>
      </c>
      <c r="AP38" s="681" t="str">
        <f t="shared" si="11"/>
        <v/>
      </c>
      <c r="AQ38" s="681" t="str">
        <f t="shared" si="11"/>
        <v/>
      </c>
      <c r="AR38" s="681" t="str">
        <f t="shared" si="11"/>
        <v/>
      </c>
      <c r="AS38" s="681" t="str">
        <f t="shared" si="11"/>
        <v/>
      </c>
      <c r="AT38" s="681" t="str">
        <f t="shared" si="11"/>
        <v/>
      </c>
      <c r="AU38" s="681" t="str">
        <f t="shared" si="11"/>
        <v/>
      </c>
      <c r="AV38" s="681" t="str">
        <f t="shared" si="11"/>
        <v/>
      </c>
      <c r="AW38" s="681" t="str">
        <f t="shared" si="11"/>
        <v/>
      </c>
      <c r="AX38" s="681" t="str">
        <f t="shared" si="11"/>
        <v/>
      </c>
      <c r="AY38" s="681" t="str">
        <f t="shared" si="11"/>
        <v/>
      </c>
      <c r="AZ38" s="681" t="str">
        <f t="shared" si="11"/>
        <v/>
      </c>
      <c r="BA38" s="681" t="str">
        <f t="shared" si="11"/>
        <v/>
      </c>
      <c r="BB38" s="1922"/>
      <c r="BC38" s="1922"/>
      <c r="BD38" s="690"/>
      <c r="BE38" s="685">
        <v>29</v>
      </c>
    </row>
    <row r="39" spans="1:57" ht="12.75" customHeight="1">
      <c r="A39" s="751">
        <v>30</v>
      </c>
      <c r="B39" s="746" t="str">
        <f t="shared" si="12"/>
        <v/>
      </c>
      <c r="C39" s="681" t="str">
        <f t="shared" si="12"/>
        <v/>
      </c>
      <c r="D39" s="681" t="str">
        <f t="shared" si="12"/>
        <v/>
      </c>
      <c r="E39" s="681"/>
      <c r="F39" s="681"/>
      <c r="G39" s="681" t="str">
        <f t="shared" si="13"/>
        <v/>
      </c>
      <c r="H39" s="681" t="str">
        <f t="shared" si="13"/>
        <v/>
      </c>
      <c r="I39" s="681" t="str">
        <f t="shared" si="13"/>
        <v/>
      </c>
      <c r="J39" s="681" t="str">
        <f t="shared" si="13"/>
        <v/>
      </c>
      <c r="K39" s="681"/>
      <c r="L39" s="681" t="str">
        <f t="shared" si="14"/>
        <v/>
      </c>
      <c r="M39" s="681" t="str">
        <f t="shared" si="14"/>
        <v/>
      </c>
      <c r="N39" s="681" t="str">
        <f t="shared" si="14"/>
        <v/>
      </c>
      <c r="O39" s="681" t="str">
        <f t="shared" si="14"/>
        <v/>
      </c>
      <c r="P39" s="681" t="str">
        <f t="shared" si="14"/>
        <v/>
      </c>
      <c r="Q39" s="681" t="str">
        <f t="shared" si="14"/>
        <v/>
      </c>
      <c r="R39" s="681" t="str">
        <f t="shared" si="14"/>
        <v/>
      </c>
      <c r="S39" s="681" t="str">
        <f t="shared" si="14"/>
        <v/>
      </c>
      <c r="T39" s="681" t="str">
        <f t="shared" si="14"/>
        <v/>
      </c>
      <c r="U39" s="681" t="str">
        <f t="shared" si="14"/>
        <v/>
      </c>
      <c r="V39" s="681" t="str">
        <f t="shared" si="14"/>
        <v/>
      </c>
      <c r="W39" s="755" t="str">
        <f t="shared" si="14"/>
        <v/>
      </c>
      <c r="X39" s="755" t="str">
        <f t="shared" si="14"/>
        <v/>
      </c>
      <c r="Y39" s="755" t="str">
        <f t="shared" si="14"/>
        <v/>
      </c>
      <c r="Z39" s="681" t="str">
        <f t="shared" si="14"/>
        <v/>
      </c>
      <c r="AA39" s="681" t="str">
        <f t="shared" si="14"/>
        <v/>
      </c>
      <c r="AB39" s="681" t="str">
        <f t="shared" si="14"/>
        <v/>
      </c>
      <c r="AC39" s="681" t="str">
        <f t="shared" si="15"/>
        <v/>
      </c>
      <c r="AD39" s="681" t="str">
        <f t="shared" si="7"/>
        <v/>
      </c>
      <c r="AE39" s="681" t="str">
        <f t="shared" si="11"/>
        <v/>
      </c>
      <c r="AF39" s="681" t="str">
        <f t="shared" si="11"/>
        <v/>
      </c>
      <c r="AG39" s="681" t="str">
        <f t="shared" si="11"/>
        <v/>
      </c>
      <c r="AH39" s="681" t="str">
        <f t="shared" si="11"/>
        <v/>
      </c>
      <c r="AI39" s="681" t="str">
        <f t="shared" si="11"/>
        <v/>
      </c>
      <c r="AJ39" s="681" t="str">
        <f t="shared" si="11"/>
        <v/>
      </c>
      <c r="AK39" s="681" t="str">
        <f t="shared" si="11"/>
        <v/>
      </c>
      <c r="AL39" s="681" t="str">
        <f t="shared" si="11"/>
        <v/>
      </c>
      <c r="AM39" s="681" t="str">
        <f t="shared" si="11"/>
        <v/>
      </c>
      <c r="AN39" s="681" t="str">
        <f t="shared" si="11"/>
        <v/>
      </c>
      <c r="AO39" s="681" t="str">
        <f t="shared" si="11"/>
        <v/>
      </c>
      <c r="AP39" s="681" t="str">
        <f t="shared" si="11"/>
        <v/>
      </c>
      <c r="AQ39" s="681" t="str">
        <f t="shared" si="11"/>
        <v/>
      </c>
      <c r="AR39" s="681" t="str">
        <f t="shared" si="11"/>
        <v/>
      </c>
      <c r="AS39" s="681" t="str">
        <f t="shared" si="11"/>
        <v/>
      </c>
      <c r="AT39" s="681" t="str">
        <f t="shared" si="11"/>
        <v/>
      </c>
      <c r="AU39" s="681" t="str">
        <f t="shared" si="11"/>
        <v/>
      </c>
      <c r="AV39" s="681" t="str">
        <f t="shared" si="11"/>
        <v/>
      </c>
      <c r="AW39" s="681" t="str">
        <f t="shared" si="11"/>
        <v/>
      </c>
      <c r="AX39" s="681" t="str">
        <f t="shared" si="11"/>
        <v/>
      </c>
      <c r="AY39" s="681" t="str">
        <f t="shared" si="11"/>
        <v/>
      </c>
      <c r="AZ39" s="681" t="str">
        <f t="shared" si="11"/>
        <v/>
      </c>
      <c r="BA39" s="681" t="str">
        <f t="shared" si="11"/>
        <v/>
      </c>
      <c r="BB39" s="1922"/>
      <c r="BC39" s="1922"/>
      <c r="BD39" s="690"/>
      <c r="BE39" s="685">
        <v>30</v>
      </c>
    </row>
    <row r="40" spans="1:57" ht="12.75" customHeight="1">
      <c r="A40" s="751">
        <v>31</v>
      </c>
      <c r="B40" s="746" t="str">
        <f t="shared" si="12"/>
        <v/>
      </c>
      <c r="C40" s="681" t="str">
        <f t="shared" si="12"/>
        <v/>
      </c>
      <c r="D40" s="681" t="str">
        <f t="shared" si="12"/>
        <v/>
      </c>
      <c r="E40" s="681"/>
      <c r="F40" s="681"/>
      <c r="G40" s="681" t="str">
        <f t="shared" si="13"/>
        <v/>
      </c>
      <c r="H40" s="681" t="str">
        <f t="shared" si="13"/>
        <v/>
      </c>
      <c r="I40" s="681" t="str">
        <f t="shared" si="13"/>
        <v/>
      </c>
      <c r="J40" s="681" t="str">
        <f t="shared" si="13"/>
        <v/>
      </c>
      <c r="K40" s="681"/>
      <c r="L40" s="681" t="str">
        <f t="shared" si="14"/>
        <v/>
      </c>
      <c r="M40" s="681" t="str">
        <f t="shared" si="14"/>
        <v/>
      </c>
      <c r="N40" s="681" t="str">
        <f t="shared" si="14"/>
        <v/>
      </c>
      <c r="O40" s="681" t="str">
        <f t="shared" si="14"/>
        <v/>
      </c>
      <c r="P40" s="681" t="str">
        <f t="shared" si="14"/>
        <v/>
      </c>
      <c r="Q40" s="681" t="str">
        <f t="shared" si="14"/>
        <v/>
      </c>
      <c r="R40" s="681" t="str">
        <f t="shared" si="14"/>
        <v/>
      </c>
      <c r="S40" s="681" t="str">
        <f t="shared" si="14"/>
        <v/>
      </c>
      <c r="T40" s="681" t="str">
        <f t="shared" si="14"/>
        <v/>
      </c>
      <c r="U40" s="681" t="str">
        <f t="shared" si="14"/>
        <v/>
      </c>
      <c r="V40" s="681" t="str">
        <f t="shared" si="14"/>
        <v/>
      </c>
      <c r="W40" s="755" t="str">
        <f t="shared" si="14"/>
        <v/>
      </c>
      <c r="X40" s="755" t="str">
        <f t="shared" si="14"/>
        <v/>
      </c>
      <c r="Y40" s="755" t="str">
        <f t="shared" si="14"/>
        <v/>
      </c>
      <c r="Z40" s="681" t="str">
        <f t="shared" si="14"/>
        <v/>
      </c>
      <c r="AA40" s="681" t="str">
        <f t="shared" si="14"/>
        <v/>
      </c>
      <c r="AB40" s="681" t="str">
        <f t="shared" si="14"/>
        <v/>
      </c>
      <c r="AC40" s="681" t="str">
        <f t="shared" si="15"/>
        <v/>
      </c>
      <c r="AD40" s="681" t="str">
        <f t="shared" si="7"/>
        <v/>
      </c>
      <c r="AE40" s="681" t="str">
        <f t="shared" si="11"/>
        <v/>
      </c>
      <c r="AF40" s="681" t="str">
        <f t="shared" si="11"/>
        <v/>
      </c>
      <c r="AG40" s="681" t="str">
        <f t="shared" si="11"/>
        <v/>
      </c>
      <c r="AH40" s="681" t="str">
        <f t="shared" si="11"/>
        <v/>
      </c>
      <c r="AI40" s="681" t="str">
        <f t="shared" si="11"/>
        <v/>
      </c>
      <c r="AJ40" s="681" t="str">
        <f t="shared" si="11"/>
        <v/>
      </c>
      <c r="AK40" s="681" t="str">
        <f t="shared" si="11"/>
        <v/>
      </c>
      <c r="AL40" s="681" t="str">
        <f t="shared" si="11"/>
        <v/>
      </c>
      <c r="AM40" s="681" t="str">
        <f t="shared" si="11"/>
        <v/>
      </c>
      <c r="AN40" s="681" t="str">
        <f t="shared" si="11"/>
        <v/>
      </c>
      <c r="AO40" s="681" t="str">
        <f t="shared" si="11"/>
        <v/>
      </c>
      <c r="AP40" s="681" t="str">
        <f t="shared" si="11"/>
        <v/>
      </c>
      <c r="AQ40" s="681" t="str">
        <f t="shared" si="11"/>
        <v/>
      </c>
      <c r="AR40" s="681" t="str">
        <f t="shared" si="11"/>
        <v/>
      </c>
      <c r="AS40" s="681" t="str">
        <f t="shared" si="11"/>
        <v/>
      </c>
      <c r="AT40" s="681" t="str">
        <f t="shared" si="11"/>
        <v/>
      </c>
      <c r="AU40" s="681" t="str">
        <f t="shared" si="11"/>
        <v/>
      </c>
      <c r="AV40" s="681" t="str">
        <f t="shared" si="11"/>
        <v/>
      </c>
      <c r="AW40" s="681" t="str">
        <f t="shared" si="11"/>
        <v/>
      </c>
      <c r="AX40" s="681" t="str">
        <f t="shared" si="11"/>
        <v/>
      </c>
      <c r="AY40" s="681" t="str">
        <f t="shared" si="11"/>
        <v/>
      </c>
      <c r="AZ40" s="681" t="str">
        <f t="shared" si="11"/>
        <v/>
      </c>
      <c r="BA40" s="681" t="str">
        <f t="shared" si="11"/>
        <v/>
      </c>
      <c r="BB40" s="1922"/>
      <c r="BC40" s="1922"/>
      <c r="BD40" s="690"/>
      <c r="BE40" s="685">
        <v>31</v>
      </c>
    </row>
    <row r="41" spans="1:57" ht="12.75" customHeight="1">
      <c r="A41" s="751">
        <v>32</v>
      </c>
      <c r="B41" s="746" t="str">
        <f t="shared" si="12"/>
        <v/>
      </c>
      <c r="C41" s="681" t="str">
        <f t="shared" si="12"/>
        <v/>
      </c>
      <c r="D41" s="681" t="str">
        <f t="shared" si="12"/>
        <v/>
      </c>
      <c r="E41" s="681"/>
      <c r="F41" s="681"/>
      <c r="G41" s="681" t="str">
        <f t="shared" si="13"/>
        <v/>
      </c>
      <c r="H41" s="681" t="str">
        <f t="shared" si="13"/>
        <v/>
      </c>
      <c r="I41" s="681" t="str">
        <f t="shared" si="13"/>
        <v/>
      </c>
      <c r="J41" s="681" t="str">
        <f t="shared" si="13"/>
        <v/>
      </c>
      <c r="K41" s="681"/>
      <c r="L41" s="681" t="str">
        <f t="shared" si="14"/>
        <v/>
      </c>
      <c r="M41" s="681" t="str">
        <f t="shared" si="14"/>
        <v/>
      </c>
      <c r="N41" s="681" t="str">
        <f t="shared" si="14"/>
        <v/>
      </c>
      <c r="O41" s="681" t="str">
        <f t="shared" si="14"/>
        <v/>
      </c>
      <c r="P41" s="681" t="str">
        <f t="shared" si="14"/>
        <v/>
      </c>
      <c r="Q41" s="681" t="str">
        <f t="shared" si="14"/>
        <v/>
      </c>
      <c r="R41" s="681" t="str">
        <f t="shared" si="14"/>
        <v/>
      </c>
      <c r="S41" s="681" t="str">
        <f t="shared" si="14"/>
        <v/>
      </c>
      <c r="T41" s="681" t="str">
        <f t="shared" si="14"/>
        <v/>
      </c>
      <c r="U41" s="681" t="str">
        <f t="shared" si="14"/>
        <v/>
      </c>
      <c r="V41" s="681" t="str">
        <f t="shared" si="14"/>
        <v/>
      </c>
      <c r="W41" s="755" t="str">
        <f t="shared" si="14"/>
        <v/>
      </c>
      <c r="X41" s="755" t="str">
        <f t="shared" si="14"/>
        <v/>
      </c>
      <c r="Y41" s="755" t="str">
        <f t="shared" si="14"/>
        <v/>
      </c>
      <c r="Z41" s="681" t="str">
        <f t="shared" si="14"/>
        <v/>
      </c>
      <c r="AA41" s="681" t="str">
        <f t="shared" si="14"/>
        <v/>
      </c>
      <c r="AB41" s="681" t="str">
        <f t="shared" si="14"/>
        <v/>
      </c>
      <c r="AC41" s="681" t="str">
        <f t="shared" si="15"/>
        <v/>
      </c>
      <c r="AD41" s="681" t="str">
        <f t="shared" si="7"/>
        <v/>
      </c>
      <c r="AE41" s="681" t="str">
        <f t="shared" si="11"/>
        <v/>
      </c>
      <c r="AF41" s="681" t="str">
        <f t="shared" si="11"/>
        <v/>
      </c>
      <c r="AG41" s="681" t="str">
        <f t="shared" si="11"/>
        <v/>
      </c>
      <c r="AH41" s="681" t="str">
        <f t="shared" si="11"/>
        <v/>
      </c>
      <c r="AI41" s="681" t="str">
        <f t="shared" si="11"/>
        <v/>
      </c>
      <c r="AJ41" s="681" t="str">
        <f t="shared" si="11"/>
        <v/>
      </c>
      <c r="AK41" s="681" t="str">
        <f t="shared" si="11"/>
        <v/>
      </c>
      <c r="AL41" s="681" t="str">
        <f t="shared" si="11"/>
        <v/>
      </c>
      <c r="AM41" s="681" t="str">
        <f t="shared" si="11"/>
        <v/>
      </c>
      <c r="AN41" s="681" t="str">
        <f t="shared" si="11"/>
        <v/>
      </c>
      <c r="AO41" s="681" t="str">
        <f t="shared" si="11"/>
        <v/>
      </c>
      <c r="AP41" s="681" t="str">
        <f t="shared" si="11"/>
        <v/>
      </c>
      <c r="AQ41" s="681" t="str">
        <f t="shared" si="11"/>
        <v/>
      </c>
      <c r="AR41" s="681" t="str">
        <f t="shared" si="11"/>
        <v/>
      </c>
      <c r="AS41" s="681" t="str">
        <f t="shared" si="11"/>
        <v/>
      </c>
      <c r="AT41" s="681" t="str">
        <f t="shared" si="11"/>
        <v/>
      </c>
      <c r="AU41" s="681" t="str">
        <f t="shared" si="11"/>
        <v/>
      </c>
      <c r="AV41" s="681" t="str">
        <f t="shared" si="11"/>
        <v/>
      </c>
      <c r="AW41" s="681" t="str">
        <f t="shared" si="11"/>
        <v/>
      </c>
      <c r="AX41" s="681" t="str">
        <f t="shared" si="11"/>
        <v/>
      </c>
      <c r="AY41" s="681" t="str">
        <f t="shared" si="11"/>
        <v/>
      </c>
      <c r="AZ41" s="681" t="str">
        <f t="shared" si="11"/>
        <v/>
      </c>
      <c r="BA41" s="681" t="str">
        <f t="shared" si="11"/>
        <v/>
      </c>
      <c r="BB41" s="1922"/>
      <c r="BC41" s="1922"/>
      <c r="BD41" s="690"/>
      <c r="BE41" s="685">
        <v>32</v>
      </c>
    </row>
    <row r="42" spans="1:57" ht="12.75" customHeight="1">
      <c r="A42" s="751">
        <v>33</v>
      </c>
      <c r="B42" s="746" t="str">
        <f t="shared" si="12"/>
        <v/>
      </c>
      <c r="C42" s="681" t="str">
        <f t="shared" si="12"/>
        <v/>
      </c>
      <c r="D42" s="681" t="str">
        <f t="shared" si="12"/>
        <v/>
      </c>
      <c r="E42" s="681"/>
      <c r="F42" s="681"/>
      <c r="G42" s="681" t="str">
        <f t="shared" si="13"/>
        <v/>
      </c>
      <c r="H42" s="681" t="str">
        <f t="shared" si="13"/>
        <v/>
      </c>
      <c r="I42" s="681" t="str">
        <f t="shared" si="13"/>
        <v/>
      </c>
      <c r="J42" s="681" t="str">
        <f t="shared" si="13"/>
        <v/>
      </c>
      <c r="K42" s="681"/>
      <c r="L42" s="681" t="str">
        <f t="shared" si="14"/>
        <v/>
      </c>
      <c r="M42" s="681" t="str">
        <f t="shared" si="14"/>
        <v/>
      </c>
      <c r="N42" s="681" t="str">
        <f t="shared" si="14"/>
        <v/>
      </c>
      <c r="O42" s="681" t="str">
        <f t="shared" si="14"/>
        <v/>
      </c>
      <c r="P42" s="681" t="str">
        <f t="shared" si="14"/>
        <v/>
      </c>
      <c r="Q42" s="681" t="str">
        <f t="shared" si="14"/>
        <v/>
      </c>
      <c r="R42" s="681" t="str">
        <f t="shared" si="14"/>
        <v/>
      </c>
      <c r="S42" s="681" t="str">
        <f t="shared" si="14"/>
        <v/>
      </c>
      <c r="T42" s="681" t="str">
        <f t="shared" si="14"/>
        <v/>
      </c>
      <c r="U42" s="681" t="str">
        <f t="shared" si="14"/>
        <v/>
      </c>
      <c r="V42" s="681" t="str">
        <f t="shared" si="14"/>
        <v/>
      </c>
      <c r="W42" s="755" t="str">
        <f t="shared" si="14"/>
        <v/>
      </c>
      <c r="X42" s="755" t="str">
        <f t="shared" si="14"/>
        <v/>
      </c>
      <c r="Y42" s="755" t="str">
        <f t="shared" si="14"/>
        <v/>
      </c>
      <c r="Z42" s="681" t="str">
        <f t="shared" si="14"/>
        <v/>
      </c>
      <c r="AA42" s="681" t="str">
        <f t="shared" si="14"/>
        <v/>
      </c>
      <c r="AB42" s="681" t="str">
        <f t="shared" si="14"/>
        <v/>
      </c>
      <c r="AC42" s="681" t="str">
        <f t="shared" si="15"/>
        <v/>
      </c>
      <c r="AD42" s="681" t="str">
        <f t="shared" si="7"/>
        <v/>
      </c>
      <c r="AE42" s="681" t="str">
        <f t="shared" ref="AE42:AR42" si="16">FlowSet(AE$1,$A42,AE$4,AE$5,AE$6,AE$7,AverageMeterTemp,AverageMeterPress,BaroPress,OPF)</f>
        <v/>
      </c>
      <c r="AF42" s="681" t="str">
        <f t="shared" si="16"/>
        <v/>
      </c>
      <c r="AG42" s="681" t="str">
        <f t="shared" si="16"/>
        <v/>
      </c>
      <c r="AH42" s="681" t="str">
        <f t="shared" si="16"/>
        <v/>
      </c>
      <c r="AI42" s="681" t="str">
        <f t="shared" si="16"/>
        <v/>
      </c>
      <c r="AJ42" s="681" t="str">
        <f t="shared" si="16"/>
        <v/>
      </c>
      <c r="AK42" s="681" t="str">
        <f t="shared" si="16"/>
        <v/>
      </c>
      <c r="AL42" s="681" t="str">
        <f t="shared" si="16"/>
        <v/>
      </c>
      <c r="AM42" s="681" t="str">
        <f t="shared" si="16"/>
        <v/>
      </c>
      <c r="AN42" s="681" t="str">
        <f t="shared" si="16"/>
        <v/>
      </c>
      <c r="AO42" s="681" t="str">
        <f t="shared" si="16"/>
        <v/>
      </c>
      <c r="AP42" s="681" t="str">
        <f t="shared" si="16"/>
        <v/>
      </c>
      <c r="AQ42" s="681" t="str">
        <f t="shared" si="16"/>
        <v/>
      </c>
      <c r="AR42" s="681" t="str">
        <f t="shared" si="16"/>
        <v/>
      </c>
      <c r="AS42" s="681" t="str">
        <f t="shared" si="11"/>
        <v/>
      </c>
      <c r="AT42" s="681" t="str">
        <f t="shared" si="11"/>
        <v/>
      </c>
      <c r="AU42" s="681" t="str">
        <f t="shared" si="11"/>
        <v/>
      </c>
      <c r="AV42" s="681" t="str">
        <f t="shared" si="11"/>
        <v/>
      </c>
      <c r="AW42" s="681" t="str">
        <f t="shared" si="11"/>
        <v/>
      </c>
      <c r="AX42" s="681" t="str">
        <f t="shared" si="11"/>
        <v/>
      </c>
      <c r="AY42" s="681" t="str">
        <f t="shared" si="11"/>
        <v/>
      </c>
      <c r="AZ42" s="681" t="str">
        <f t="shared" si="11"/>
        <v/>
      </c>
      <c r="BA42" s="681" t="str">
        <f t="shared" si="11"/>
        <v/>
      </c>
      <c r="BB42" s="1922"/>
      <c r="BC42" s="1922"/>
      <c r="BD42" s="690"/>
      <c r="BE42" s="685">
        <v>33</v>
      </c>
    </row>
    <row r="43" spans="1:57" ht="12.75" customHeight="1">
      <c r="A43" s="751">
        <v>34</v>
      </c>
      <c r="B43" s="746" t="str">
        <f t="shared" si="12"/>
        <v/>
      </c>
      <c r="C43" s="681" t="str">
        <f t="shared" si="12"/>
        <v/>
      </c>
      <c r="D43" s="681" t="str">
        <f t="shared" si="12"/>
        <v/>
      </c>
      <c r="E43" s="681"/>
      <c r="F43" s="681"/>
      <c r="G43" s="681" t="str">
        <f t="shared" si="13"/>
        <v/>
      </c>
      <c r="H43" s="681" t="str">
        <f t="shared" si="13"/>
        <v/>
      </c>
      <c r="I43" s="681" t="str">
        <f t="shared" si="13"/>
        <v/>
      </c>
      <c r="J43" s="681" t="str">
        <f t="shared" si="13"/>
        <v/>
      </c>
      <c r="K43" s="681"/>
      <c r="L43" s="681" t="str">
        <f t="shared" si="14"/>
        <v/>
      </c>
      <c r="M43" s="681" t="str">
        <f t="shared" si="14"/>
        <v/>
      </c>
      <c r="N43" s="681" t="str">
        <f t="shared" si="14"/>
        <v/>
      </c>
      <c r="O43" s="681" t="str">
        <f t="shared" si="14"/>
        <v/>
      </c>
      <c r="P43" s="681" t="str">
        <f t="shared" si="14"/>
        <v/>
      </c>
      <c r="Q43" s="681" t="str">
        <f t="shared" si="14"/>
        <v/>
      </c>
      <c r="R43" s="681" t="str">
        <f t="shared" si="14"/>
        <v/>
      </c>
      <c r="S43" s="681" t="str">
        <f t="shared" si="14"/>
        <v/>
      </c>
      <c r="T43" s="681" t="str">
        <f t="shared" si="14"/>
        <v/>
      </c>
      <c r="U43" s="681" t="str">
        <f t="shared" si="14"/>
        <v/>
      </c>
      <c r="V43" s="681" t="str">
        <f t="shared" si="14"/>
        <v/>
      </c>
      <c r="W43" s="755" t="str">
        <f t="shared" si="14"/>
        <v/>
      </c>
      <c r="X43" s="755" t="str">
        <f t="shared" si="14"/>
        <v/>
      </c>
      <c r="Y43" s="755" t="str">
        <f t="shared" si="14"/>
        <v/>
      </c>
      <c r="Z43" s="681" t="str">
        <f t="shared" si="14"/>
        <v/>
      </c>
      <c r="AA43" s="681" t="str">
        <f t="shared" si="14"/>
        <v/>
      </c>
      <c r="AB43" s="681" t="str">
        <f t="shared" si="14"/>
        <v/>
      </c>
      <c r="AC43" s="681" t="str">
        <f t="shared" si="15"/>
        <v/>
      </c>
      <c r="AD43" s="681" t="str">
        <f t="shared" si="7"/>
        <v/>
      </c>
      <c r="AE43" s="681" t="str">
        <f t="shared" si="11"/>
        <v/>
      </c>
      <c r="AF43" s="681" t="str">
        <f t="shared" si="11"/>
        <v/>
      </c>
      <c r="AG43" s="681" t="str">
        <f t="shared" si="11"/>
        <v/>
      </c>
      <c r="AH43" s="681" t="str">
        <f t="shared" si="11"/>
        <v/>
      </c>
      <c r="AI43" s="681" t="str">
        <f t="shared" si="11"/>
        <v/>
      </c>
      <c r="AJ43" s="681" t="str">
        <f t="shared" si="11"/>
        <v/>
      </c>
      <c r="AK43" s="681" t="str">
        <f t="shared" si="11"/>
        <v/>
      </c>
      <c r="AL43" s="681" t="str">
        <f t="shared" si="11"/>
        <v/>
      </c>
      <c r="AM43" s="681" t="str">
        <f t="shared" si="11"/>
        <v/>
      </c>
      <c r="AN43" s="681" t="str">
        <f t="shared" si="11"/>
        <v/>
      </c>
      <c r="AO43" s="681" t="str">
        <f t="shared" si="11"/>
        <v/>
      </c>
      <c r="AP43" s="681" t="str">
        <f t="shared" si="11"/>
        <v/>
      </c>
      <c r="AQ43" s="681" t="str">
        <f t="shared" si="11"/>
        <v/>
      </c>
      <c r="AR43" s="681" t="str">
        <f t="shared" si="11"/>
        <v/>
      </c>
      <c r="AS43" s="681" t="str">
        <f t="shared" si="11"/>
        <v/>
      </c>
      <c r="AT43" s="681" t="str">
        <f t="shared" si="11"/>
        <v/>
      </c>
      <c r="AU43" s="681" t="str">
        <f t="shared" si="11"/>
        <v/>
      </c>
      <c r="AV43" s="681" t="str">
        <f t="shared" si="11"/>
        <v/>
      </c>
      <c r="AW43" s="681" t="str">
        <f t="shared" si="11"/>
        <v/>
      </c>
      <c r="AX43" s="681" t="str">
        <f t="shared" si="11"/>
        <v/>
      </c>
      <c r="AY43" s="681" t="str">
        <f t="shared" si="11"/>
        <v/>
      </c>
      <c r="AZ43" s="681" t="str">
        <f t="shared" si="11"/>
        <v/>
      </c>
      <c r="BA43" s="681" t="str">
        <f t="shared" si="11"/>
        <v/>
      </c>
      <c r="BB43" s="1922"/>
      <c r="BC43" s="1922"/>
      <c r="BD43" s="690"/>
      <c r="BE43" s="685">
        <v>34</v>
      </c>
    </row>
    <row r="44" spans="1:57" ht="12.75" customHeight="1">
      <c r="A44" s="751">
        <v>35</v>
      </c>
      <c r="B44" s="746" t="str">
        <f t="shared" si="12"/>
        <v/>
      </c>
      <c r="C44" s="681" t="str">
        <f t="shared" si="12"/>
        <v/>
      </c>
      <c r="D44" s="681" t="str">
        <f t="shared" si="12"/>
        <v/>
      </c>
      <c r="E44" s="681"/>
      <c r="F44" s="681"/>
      <c r="G44" s="681" t="str">
        <f t="shared" si="13"/>
        <v/>
      </c>
      <c r="H44" s="681" t="str">
        <f t="shared" si="13"/>
        <v/>
      </c>
      <c r="I44" s="681" t="str">
        <f t="shared" si="13"/>
        <v/>
      </c>
      <c r="J44" s="681" t="str">
        <f t="shared" si="13"/>
        <v/>
      </c>
      <c r="K44" s="681"/>
      <c r="L44" s="681" t="str">
        <f t="shared" si="14"/>
        <v/>
      </c>
      <c r="M44" s="681" t="str">
        <f t="shared" si="14"/>
        <v/>
      </c>
      <c r="N44" s="681" t="str">
        <f t="shared" si="14"/>
        <v/>
      </c>
      <c r="O44" s="681" t="str">
        <f t="shared" si="14"/>
        <v/>
      </c>
      <c r="P44" s="681" t="str">
        <f t="shared" si="14"/>
        <v/>
      </c>
      <c r="Q44" s="681" t="str">
        <f t="shared" si="14"/>
        <v/>
      </c>
      <c r="R44" s="681" t="str">
        <f t="shared" si="14"/>
        <v/>
      </c>
      <c r="S44" s="681" t="str">
        <f t="shared" si="14"/>
        <v/>
      </c>
      <c r="T44" s="681" t="str">
        <f t="shared" si="14"/>
        <v/>
      </c>
      <c r="U44" s="681" t="str">
        <f t="shared" si="14"/>
        <v/>
      </c>
      <c r="V44" s="681" t="str">
        <f t="shared" si="14"/>
        <v/>
      </c>
      <c r="W44" s="755" t="str">
        <f t="shared" si="14"/>
        <v/>
      </c>
      <c r="X44" s="755" t="str">
        <f t="shared" si="14"/>
        <v/>
      </c>
      <c r="Y44" s="755" t="str">
        <f t="shared" si="14"/>
        <v/>
      </c>
      <c r="Z44" s="681" t="str">
        <f t="shared" si="14"/>
        <v/>
      </c>
      <c r="AA44" s="681" t="str">
        <f t="shared" si="14"/>
        <v/>
      </c>
      <c r="AB44" s="681" t="str">
        <f t="shared" si="14"/>
        <v/>
      </c>
      <c r="AC44" s="681" t="str">
        <f t="shared" si="15"/>
        <v/>
      </c>
      <c r="AD44" s="681" t="str">
        <f t="shared" si="7"/>
        <v/>
      </c>
      <c r="AE44" s="681" t="str">
        <f t="shared" si="11"/>
        <v/>
      </c>
      <c r="AF44" s="681" t="str">
        <f t="shared" si="11"/>
        <v/>
      </c>
      <c r="AG44" s="681" t="str">
        <f t="shared" si="11"/>
        <v/>
      </c>
      <c r="AH44" s="681" t="str">
        <f t="shared" si="11"/>
        <v/>
      </c>
      <c r="AI44" s="681" t="str">
        <f t="shared" si="11"/>
        <v/>
      </c>
      <c r="AJ44" s="681" t="str">
        <f t="shared" si="11"/>
        <v/>
      </c>
      <c r="AK44" s="681" t="str">
        <f t="shared" si="11"/>
        <v/>
      </c>
      <c r="AL44" s="681" t="str">
        <f t="shared" si="11"/>
        <v/>
      </c>
      <c r="AM44" s="681" t="str">
        <f t="shared" si="11"/>
        <v/>
      </c>
      <c r="AN44" s="681" t="str">
        <f t="shared" si="11"/>
        <v/>
      </c>
      <c r="AO44" s="681" t="str">
        <f t="shared" si="11"/>
        <v/>
      </c>
      <c r="AP44" s="681" t="str">
        <f t="shared" si="11"/>
        <v/>
      </c>
      <c r="AQ44" s="681" t="str">
        <f t="shared" si="11"/>
        <v/>
      </c>
      <c r="AR44" s="681" t="str">
        <f t="shared" si="11"/>
        <v/>
      </c>
      <c r="AS44" s="681" t="str">
        <f t="shared" si="11"/>
        <v/>
      </c>
      <c r="AT44" s="681" t="str">
        <f t="shared" si="11"/>
        <v/>
      </c>
      <c r="AU44" s="681" t="str">
        <f t="shared" si="11"/>
        <v/>
      </c>
      <c r="AV44" s="681" t="str">
        <f t="shared" si="11"/>
        <v/>
      </c>
      <c r="AW44" s="681" t="str">
        <f t="shared" si="11"/>
        <v/>
      </c>
      <c r="AX44" s="681" t="str">
        <f t="shared" si="11"/>
        <v/>
      </c>
      <c r="AY44" s="681" t="str">
        <f t="shared" si="11"/>
        <v/>
      </c>
      <c r="AZ44" s="681" t="str">
        <f t="shared" si="11"/>
        <v/>
      </c>
      <c r="BA44" s="681" t="str">
        <f t="shared" si="11"/>
        <v/>
      </c>
      <c r="BB44" s="1922"/>
      <c r="BC44" s="1922"/>
      <c r="BD44" s="690"/>
      <c r="BE44" s="685">
        <v>35</v>
      </c>
    </row>
    <row r="45" spans="1:57" ht="12.75" customHeight="1">
      <c r="A45" s="751">
        <v>36</v>
      </c>
      <c r="B45" s="746" t="str">
        <f t="shared" si="12"/>
        <v/>
      </c>
      <c r="C45" s="681" t="str">
        <f t="shared" si="12"/>
        <v/>
      </c>
      <c r="D45" s="681" t="str">
        <f t="shared" si="12"/>
        <v/>
      </c>
      <c r="E45" s="681"/>
      <c r="F45" s="681"/>
      <c r="G45" s="681" t="str">
        <f t="shared" si="13"/>
        <v/>
      </c>
      <c r="H45" s="681" t="str">
        <f t="shared" si="13"/>
        <v/>
      </c>
      <c r="I45" s="681" t="str">
        <f t="shared" si="13"/>
        <v/>
      </c>
      <c r="J45" s="681" t="str">
        <f t="shared" si="13"/>
        <v/>
      </c>
      <c r="K45" s="681"/>
      <c r="L45" s="681" t="str">
        <f t="shared" ref="L45:AC59" si="17">FlowSet(L$1,$A45,L$4,L$5,L$6,L$7,AverageMeterTemp,AverageMeterPress,BaroPress,OPF)</f>
        <v/>
      </c>
      <c r="M45" s="681" t="str">
        <f t="shared" si="17"/>
        <v/>
      </c>
      <c r="N45" s="681" t="str">
        <f t="shared" si="17"/>
        <v/>
      </c>
      <c r="O45" s="681" t="str">
        <f t="shared" si="17"/>
        <v/>
      </c>
      <c r="P45" s="681" t="str">
        <f t="shared" si="17"/>
        <v/>
      </c>
      <c r="Q45" s="681" t="str">
        <f t="shared" si="17"/>
        <v/>
      </c>
      <c r="R45" s="681" t="str">
        <f t="shared" si="17"/>
        <v/>
      </c>
      <c r="S45" s="681" t="str">
        <f t="shared" si="17"/>
        <v/>
      </c>
      <c r="T45" s="681" t="str">
        <f t="shared" si="17"/>
        <v/>
      </c>
      <c r="U45" s="681" t="str">
        <f t="shared" si="17"/>
        <v/>
      </c>
      <c r="V45" s="681" t="str">
        <f t="shared" si="17"/>
        <v/>
      </c>
      <c r="W45" s="755" t="str">
        <f t="shared" si="14"/>
        <v/>
      </c>
      <c r="X45" s="755" t="str">
        <f t="shared" si="14"/>
        <v/>
      </c>
      <c r="Y45" s="755" t="str">
        <f t="shared" si="14"/>
        <v/>
      </c>
      <c r="Z45" s="681" t="str">
        <f t="shared" si="17"/>
        <v/>
      </c>
      <c r="AA45" s="681" t="str">
        <f t="shared" si="17"/>
        <v/>
      </c>
      <c r="AB45" s="681" t="str">
        <f t="shared" si="17"/>
        <v/>
      </c>
      <c r="AC45" s="681" t="str">
        <f t="shared" si="17"/>
        <v/>
      </c>
      <c r="AD45" s="681" t="str">
        <f t="shared" si="7"/>
        <v/>
      </c>
      <c r="AE45" s="681" t="str">
        <f t="shared" si="11"/>
        <v/>
      </c>
      <c r="AF45" s="681" t="str">
        <f t="shared" si="11"/>
        <v/>
      </c>
      <c r="AG45" s="681" t="str">
        <f t="shared" ref="AE45:BA56" si="18">FlowSet(AG$1,$A45,AG$4,AG$5,AG$6,AG$7,AverageMeterTemp,AverageMeterPress,BaroPress,OPF)</f>
        <v/>
      </c>
      <c r="AH45" s="681" t="str">
        <f t="shared" si="18"/>
        <v/>
      </c>
      <c r="AI45" s="681" t="str">
        <f t="shared" si="18"/>
        <v/>
      </c>
      <c r="AJ45" s="681" t="str">
        <f t="shared" si="18"/>
        <v/>
      </c>
      <c r="AK45" s="681" t="str">
        <f t="shared" si="18"/>
        <v/>
      </c>
      <c r="AL45" s="681" t="str">
        <f t="shared" si="18"/>
        <v/>
      </c>
      <c r="AM45" s="681" t="str">
        <f t="shared" si="18"/>
        <v/>
      </c>
      <c r="AN45" s="681" t="str">
        <f t="shared" si="18"/>
        <v/>
      </c>
      <c r="AO45" s="681" t="str">
        <f t="shared" si="18"/>
        <v/>
      </c>
      <c r="AP45" s="681" t="str">
        <f t="shared" si="18"/>
        <v/>
      </c>
      <c r="AQ45" s="681" t="str">
        <f t="shared" si="18"/>
        <v/>
      </c>
      <c r="AR45" s="681" t="str">
        <f t="shared" si="18"/>
        <v/>
      </c>
      <c r="AS45" s="681" t="str">
        <f t="shared" si="18"/>
        <v/>
      </c>
      <c r="AT45" s="681" t="str">
        <f t="shared" si="18"/>
        <v/>
      </c>
      <c r="AU45" s="681" t="str">
        <f t="shared" si="18"/>
        <v/>
      </c>
      <c r="AV45" s="681" t="str">
        <f t="shared" si="18"/>
        <v/>
      </c>
      <c r="AW45" s="681" t="str">
        <f t="shared" si="18"/>
        <v/>
      </c>
      <c r="AX45" s="681" t="str">
        <f t="shared" si="18"/>
        <v/>
      </c>
      <c r="AY45" s="681" t="str">
        <f t="shared" si="18"/>
        <v/>
      </c>
      <c r="AZ45" s="681" t="str">
        <f t="shared" si="18"/>
        <v/>
      </c>
      <c r="BA45" s="681" t="str">
        <f t="shared" si="18"/>
        <v/>
      </c>
      <c r="BB45" s="1922"/>
      <c r="BC45" s="1922"/>
      <c r="BD45" s="690"/>
      <c r="BE45" s="685">
        <v>36</v>
      </c>
    </row>
    <row r="46" spans="1:57" ht="12.75" customHeight="1">
      <c r="A46" s="751">
        <v>37</v>
      </c>
      <c r="B46" s="746" t="str">
        <f t="shared" si="12"/>
        <v/>
      </c>
      <c r="C46" s="681" t="str">
        <f t="shared" si="12"/>
        <v/>
      </c>
      <c r="D46" s="681" t="str">
        <f t="shared" si="12"/>
        <v/>
      </c>
      <c r="E46" s="681"/>
      <c r="F46" s="681"/>
      <c r="G46" s="681" t="str">
        <f t="shared" si="13"/>
        <v/>
      </c>
      <c r="H46" s="681" t="str">
        <f t="shared" si="13"/>
        <v/>
      </c>
      <c r="I46" s="681" t="str">
        <f t="shared" si="13"/>
        <v/>
      </c>
      <c r="J46" s="681" t="str">
        <f t="shared" si="13"/>
        <v/>
      </c>
      <c r="K46" s="681"/>
      <c r="L46" s="681" t="str">
        <f t="shared" si="17"/>
        <v/>
      </c>
      <c r="M46" s="681" t="str">
        <f t="shared" si="17"/>
        <v/>
      </c>
      <c r="N46" s="681" t="str">
        <f t="shared" si="17"/>
        <v/>
      </c>
      <c r="O46" s="681" t="str">
        <f t="shared" si="17"/>
        <v/>
      </c>
      <c r="P46" s="681" t="str">
        <f t="shared" si="17"/>
        <v/>
      </c>
      <c r="Q46" s="681" t="str">
        <f t="shared" si="17"/>
        <v/>
      </c>
      <c r="R46" s="681" t="str">
        <f t="shared" si="17"/>
        <v/>
      </c>
      <c r="S46" s="681" t="str">
        <f t="shared" si="17"/>
        <v/>
      </c>
      <c r="T46" s="681" t="str">
        <f t="shared" si="17"/>
        <v/>
      </c>
      <c r="U46" s="681" t="str">
        <f t="shared" si="17"/>
        <v/>
      </c>
      <c r="V46" s="681" t="str">
        <f t="shared" si="17"/>
        <v/>
      </c>
      <c r="W46" s="755" t="str">
        <f t="shared" si="14"/>
        <v/>
      </c>
      <c r="X46" s="755" t="str">
        <f t="shared" si="14"/>
        <v/>
      </c>
      <c r="Y46" s="755" t="str">
        <f t="shared" si="14"/>
        <v/>
      </c>
      <c r="Z46" s="681" t="str">
        <f t="shared" si="17"/>
        <v/>
      </c>
      <c r="AA46" s="681" t="str">
        <f t="shared" si="17"/>
        <v/>
      </c>
      <c r="AB46" s="681" t="str">
        <f t="shared" si="17"/>
        <v/>
      </c>
      <c r="AC46" s="681" t="str">
        <f t="shared" ref="AC46:AC59" si="19">FlowSet(AC$1,$A46,AC$4,AC$5,AC$6,AC$7,AverageMeterTemp,AverageMeterPress,BaroPress,OPF)</f>
        <v/>
      </c>
      <c r="AD46" s="681" t="str">
        <f t="shared" si="7"/>
        <v/>
      </c>
      <c r="AE46" s="681" t="str">
        <f t="shared" si="18"/>
        <v/>
      </c>
      <c r="AF46" s="681" t="str">
        <f t="shared" si="18"/>
        <v/>
      </c>
      <c r="AG46" s="681" t="str">
        <f t="shared" si="18"/>
        <v/>
      </c>
      <c r="AH46" s="681" t="str">
        <f t="shared" si="18"/>
        <v/>
      </c>
      <c r="AI46" s="681" t="str">
        <f t="shared" si="18"/>
        <v/>
      </c>
      <c r="AJ46" s="681" t="str">
        <f t="shared" si="18"/>
        <v/>
      </c>
      <c r="AK46" s="681" t="str">
        <f t="shared" si="18"/>
        <v/>
      </c>
      <c r="AL46" s="681" t="str">
        <f t="shared" si="18"/>
        <v/>
      </c>
      <c r="AM46" s="681" t="str">
        <f t="shared" si="18"/>
        <v/>
      </c>
      <c r="AN46" s="681" t="str">
        <f t="shared" si="18"/>
        <v/>
      </c>
      <c r="AO46" s="681" t="str">
        <f t="shared" si="18"/>
        <v/>
      </c>
      <c r="AP46" s="681" t="str">
        <f t="shared" si="18"/>
        <v/>
      </c>
      <c r="AQ46" s="681" t="str">
        <f t="shared" si="18"/>
        <v/>
      </c>
      <c r="AR46" s="681" t="str">
        <f t="shared" si="18"/>
        <v/>
      </c>
      <c r="AS46" s="681" t="str">
        <f t="shared" si="18"/>
        <v/>
      </c>
      <c r="AT46" s="681" t="str">
        <f t="shared" si="18"/>
        <v/>
      </c>
      <c r="AU46" s="681" t="str">
        <f t="shared" si="18"/>
        <v/>
      </c>
      <c r="AV46" s="681" t="str">
        <f t="shared" si="18"/>
        <v/>
      </c>
      <c r="AW46" s="681" t="str">
        <f t="shared" si="18"/>
        <v/>
      </c>
      <c r="AX46" s="681" t="str">
        <f t="shared" si="18"/>
        <v/>
      </c>
      <c r="AY46" s="681" t="str">
        <f t="shared" si="18"/>
        <v/>
      </c>
      <c r="AZ46" s="681" t="str">
        <f t="shared" si="18"/>
        <v/>
      </c>
      <c r="BA46" s="681" t="str">
        <f t="shared" si="18"/>
        <v/>
      </c>
      <c r="BB46" s="1922"/>
      <c r="BC46" s="1922"/>
      <c r="BD46" s="690"/>
      <c r="BE46" s="685">
        <v>37</v>
      </c>
    </row>
    <row r="47" spans="1:57" ht="12.75" customHeight="1">
      <c r="A47" s="751">
        <v>38</v>
      </c>
      <c r="B47" s="746" t="str">
        <f t="shared" si="12"/>
        <v/>
      </c>
      <c r="C47" s="681" t="str">
        <f t="shared" si="12"/>
        <v/>
      </c>
      <c r="D47" s="681" t="str">
        <f t="shared" si="12"/>
        <v/>
      </c>
      <c r="E47" s="681"/>
      <c r="F47" s="681"/>
      <c r="G47" s="681" t="str">
        <f t="shared" si="13"/>
        <v/>
      </c>
      <c r="H47" s="681" t="str">
        <f t="shared" si="13"/>
        <v/>
      </c>
      <c r="I47" s="681" t="str">
        <f t="shared" si="13"/>
        <v/>
      </c>
      <c r="J47" s="681" t="str">
        <f t="shared" si="13"/>
        <v/>
      </c>
      <c r="K47" s="681"/>
      <c r="L47" s="681" t="str">
        <f t="shared" si="17"/>
        <v/>
      </c>
      <c r="M47" s="681" t="str">
        <f t="shared" si="17"/>
        <v/>
      </c>
      <c r="N47" s="681" t="str">
        <f t="shared" si="17"/>
        <v/>
      </c>
      <c r="O47" s="681" t="str">
        <f t="shared" si="17"/>
        <v/>
      </c>
      <c r="P47" s="681" t="str">
        <f t="shared" si="17"/>
        <v/>
      </c>
      <c r="Q47" s="681" t="str">
        <f t="shared" si="17"/>
        <v/>
      </c>
      <c r="R47" s="681" t="str">
        <f t="shared" si="17"/>
        <v/>
      </c>
      <c r="S47" s="681" t="str">
        <f t="shared" si="17"/>
        <v/>
      </c>
      <c r="T47" s="681" t="str">
        <f t="shared" si="17"/>
        <v/>
      </c>
      <c r="U47" s="681" t="str">
        <f t="shared" si="17"/>
        <v/>
      </c>
      <c r="V47" s="681" t="str">
        <f t="shared" si="17"/>
        <v/>
      </c>
      <c r="W47" s="755" t="str">
        <f t="shared" si="14"/>
        <v/>
      </c>
      <c r="X47" s="755" t="str">
        <f t="shared" si="14"/>
        <v/>
      </c>
      <c r="Y47" s="755" t="str">
        <f t="shared" si="14"/>
        <v/>
      </c>
      <c r="Z47" s="681" t="str">
        <f t="shared" si="17"/>
        <v/>
      </c>
      <c r="AA47" s="681" t="str">
        <f t="shared" si="17"/>
        <v/>
      </c>
      <c r="AB47" s="681" t="str">
        <f t="shared" si="17"/>
        <v/>
      </c>
      <c r="AC47" s="681" t="str">
        <f t="shared" si="19"/>
        <v/>
      </c>
      <c r="AD47" s="681" t="str">
        <f t="shared" si="7"/>
        <v/>
      </c>
      <c r="AE47" s="681" t="str">
        <f t="shared" si="18"/>
        <v/>
      </c>
      <c r="AF47" s="681" t="str">
        <f t="shared" si="18"/>
        <v/>
      </c>
      <c r="AG47" s="681" t="str">
        <f t="shared" si="18"/>
        <v/>
      </c>
      <c r="AH47" s="681" t="str">
        <f t="shared" si="18"/>
        <v/>
      </c>
      <c r="AI47" s="681" t="str">
        <f t="shared" si="18"/>
        <v/>
      </c>
      <c r="AJ47" s="681" t="str">
        <f t="shared" si="18"/>
        <v/>
      </c>
      <c r="AK47" s="681" t="str">
        <f t="shared" si="18"/>
        <v/>
      </c>
      <c r="AL47" s="681" t="str">
        <f t="shared" si="18"/>
        <v/>
      </c>
      <c r="AM47" s="681" t="str">
        <f t="shared" si="18"/>
        <v/>
      </c>
      <c r="AN47" s="681" t="str">
        <f t="shared" si="18"/>
        <v/>
      </c>
      <c r="AO47" s="681" t="str">
        <f t="shared" si="18"/>
        <v/>
      </c>
      <c r="AP47" s="681" t="str">
        <f t="shared" si="18"/>
        <v/>
      </c>
      <c r="AQ47" s="681" t="str">
        <f t="shared" si="18"/>
        <v/>
      </c>
      <c r="AR47" s="681" t="str">
        <f t="shared" si="18"/>
        <v/>
      </c>
      <c r="AS47" s="681" t="str">
        <f t="shared" si="18"/>
        <v/>
      </c>
      <c r="AT47" s="681" t="str">
        <f t="shared" si="18"/>
        <v/>
      </c>
      <c r="AU47" s="681" t="str">
        <f t="shared" si="18"/>
        <v/>
      </c>
      <c r="AV47" s="681" t="str">
        <f t="shared" si="18"/>
        <v/>
      </c>
      <c r="AW47" s="681" t="str">
        <f t="shared" si="18"/>
        <v/>
      </c>
      <c r="AX47" s="681" t="str">
        <f t="shared" si="18"/>
        <v/>
      </c>
      <c r="AY47" s="681" t="str">
        <f t="shared" si="18"/>
        <v/>
      </c>
      <c r="AZ47" s="681" t="str">
        <f t="shared" si="18"/>
        <v/>
      </c>
      <c r="BA47" s="681" t="str">
        <f t="shared" si="18"/>
        <v/>
      </c>
      <c r="BB47" s="1922"/>
      <c r="BC47" s="1922"/>
      <c r="BD47" s="690"/>
      <c r="BE47" s="685">
        <v>38</v>
      </c>
    </row>
    <row r="48" spans="1:57" ht="12.75" customHeight="1">
      <c r="A48" s="751">
        <v>39</v>
      </c>
      <c r="B48" s="746" t="str">
        <f t="shared" si="12"/>
        <v/>
      </c>
      <c r="C48" s="681" t="str">
        <f t="shared" si="12"/>
        <v/>
      </c>
      <c r="D48" s="681" t="str">
        <f t="shared" si="12"/>
        <v/>
      </c>
      <c r="E48" s="681"/>
      <c r="F48" s="681"/>
      <c r="G48" s="681" t="str">
        <f t="shared" si="13"/>
        <v/>
      </c>
      <c r="H48" s="681" t="str">
        <f t="shared" si="13"/>
        <v/>
      </c>
      <c r="I48" s="681" t="str">
        <f t="shared" si="13"/>
        <v/>
      </c>
      <c r="J48" s="681" t="str">
        <f t="shared" si="13"/>
        <v/>
      </c>
      <c r="K48" s="681"/>
      <c r="L48" s="681" t="str">
        <f t="shared" si="17"/>
        <v/>
      </c>
      <c r="M48" s="681" t="str">
        <f t="shared" si="17"/>
        <v/>
      </c>
      <c r="N48" s="681" t="str">
        <f t="shared" si="17"/>
        <v/>
      </c>
      <c r="O48" s="681" t="str">
        <f t="shared" si="17"/>
        <v/>
      </c>
      <c r="P48" s="681" t="str">
        <f t="shared" si="17"/>
        <v/>
      </c>
      <c r="Q48" s="681" t="str">
        <f t="shared" si="17"/>
        <v/>
      </c>
      <c r="R48" s="681" t="str">
        <f t="shared" si="17"/>
        <v/>
      </c>
      <c r="S48" s="681" t="str">
        <f t="shared" si="17"/>
        <v/>
      </c>
      <c r="T48" s="681" t="str">
        <f t="shared" si="17"/>
        <v/>
      </c>
      <c r="U48" s="681" t="str">
        <f t="shared" si="17"/>
        <v/>
      </c>
      <c r="V48" s="681" t="str">
        <f t="shared" si="17"/>
        <v/>
      </c>
      <c r="W48" s="755" t="str">
        <f t="shared" si="14"/>
        <v/>
      </c>
      <c r="X48" s="755" t="str">
        <f t="shared" si="14"/>
        <v/>
      </c>
      <c r="Y48" s="755" t="str">
        <f t="shared" si="14"/>
        <v/>
      </c>
      <c r="Z48" s="681" t="str">
        <f t="shared" si="17"/>
        <v/>
      </c>
      <c r="AA48" s="681" t="str">
        <f t="shared" si="17"/>
        <v/>
      </c>
      <c r="AB48" s="681" t="str">
        <f t="shared" si="17"/>
        <v/>
      </c>
      <c r="AC48" s="681" t="str">
        <f t="shared" si="19"/>
        <v/>
      </c>
      <c r="AD48" s="681" t="str">
        <f t="shared" si="7"/>
        <v/>
      </c>
      <c r="AE48" s="681" t="str">
        <f t="shared" si="18"/>
        <v/>
      </c>
      <c r="AF48" s="681" t="str">
        <f t="shared" si="18"/>
        <v/>
      </c>
      <c r="AG48" s="681" t="str">
        <f t="shared" si="18"/>
        <v/>
      </c>
      <c r="AH48" s="681" t="str">
        <f t="shared" si="18"/>
        <v/>
      </c>
      <c r="AI48" s="681" t="str">
        <f t="shared" si="18"/>
        <v/>
      </c>
      <c r="AJ48" s="681" t="str">
        <f t="shared" si="18"/>
        <v/>
      </c>
      <c r="AK48" s="681" t="str">
        <f t="shared" si="18"/>
        <v/>
      </c>
      <c r="AL48" s="681" t="str">
        <f t="shared" si="18"/>
        <v/>
      </c>
      <c r="AM48" s="681" t="str">
        <f t="shared" si="18"/>
        <v/>
      </c>
      <c r="AN48" s="681" t="str">
        <f t="shared" si="18"/>
        <v/>
      </c>
      <c r="AO48" s="681" t="str">
        <f t="shared" si="18"/>
        <v/>
      </c>
      <c r="AP48" s="681" t="str">
        <f t="shared" si="18"/>
        <v/>
      </c>
      <c r="AQ48" s="681" t="str">
        <f t="shared" si="18"/>
        <v/>
      </c>
      <c r="AR48" s="681" t="str">
        <f t="shared" si="18"/>
        <v/>
      </c>
      <c r="AS48" s="681" t="str">
        <f t="shared" si="18"/>
        <v/>
      </c>
      <c r="AT48" s="681" t="str">
        <f t="shared" si="18"/>
        <v/>
      </c>
      <c r="AU48" s="681" t="str">
        <f t="shared" si="18"/>
        <v/>
      </c>
      <c r="AV48" s="681" t="str">
        <f t="shared" si="18"/>
        <v/>
      </c>
      <c r="AW48" s="681" t="str">
        <f t="shared" si="18"/>
        <v/>
      </c>
      <c r="AX48" s="681" t="str">
        <f t="shared" si="18"/>
        <v/>
      </c>
      <c r="AY48" s="681" t="str">
        <f t="shared" si="18"/>
        <v/>
      </c>
      <c r="AZ48" s="681" t="str">
        <f t="shared" si="18"/>
        <v/>
      </c>
      <c r="BA48" s="681" t="str">
        <f t="shared" si="18"/>
        <v/>
      </c>
      <c r="BB48" s="1922"/>
      <c r="BC48" s="1922"/>
      <c r="BD48" s="690"/>
      <c r="BE48" s="685">
        <v>39</v>
      </c>
    </row>
    <row r="49" spans="1:57" ht="12.75" customHeight="1">
      <c r="A49" s="751">
        <v>40</v>
      </c>
      <c r="B49" s="746" t="str">
        <f t="shared" si="12"/>
        <v/>
      </c>
      <c r="C49" s="681" t="str">
        <f t="shared" si="12"/>
        <v/>
      </c>
      <c r="D49" s="681" t="str">
        <f t="shared" si="12"/>
        <v/>
      </c>
      <c r="E49" s="681"/>
      <c r="F49" s="681"/>
      <c r="G49" s="681" t="str">
        <f t="shared" si="13"/>
        <v/>
      </c>
      <c r="H49" s="681" t="str">
        <f t="shared" si="13"/>
        <v/>
      </c>
      <c r="I49" s="681" t="str">
        <f t="shared" si="13"/>
        <v/>
      </c>
      <c r="J49" s="681" t="str">
        <f t="shared" si="13"/>
        <v/>
      </c>
      <c r="K49" s="681"/>
      <c r="L49" s="681" t="str">
        <f t="shared" si="17"/>
        <v/>
      </c>
      <c r="M49" s="681" t="str">
        <f t="shared" si="17"/>
        <v/>
      </c>
      <c r="N49" s="681" t="str">
        <f t="shared" si="17"/>
        <v/>
      </c>
      <c r="O49" s="681" t="str">
        <f t="shared" si="17"/>
        <v/>
      </c>
      <c r="P49" s="681" t="str">
        <f t="shared" si="17"/>
        <v/>
      </c>
      <c r="Q49" s="681" t="str">
        <f t="shared" si="17"/>
        <v/>
      </c>
      <c r="R49" s="681" t="str">
        <f t="shared" si="17"/>
        <v/>
      </c>
      <c r="S49" s="681" t="str">
        <f t="shared" si="17"/>
        <v/>
      </c>
      <c r="T49" s="681" t="str">
        <f t="shared" si="17"/>
        <v/>
      </c>
      <c r="U49" s="681" t="str">
        <f t="shared" si="17"/>
        <v/>
      </c>
      <c r="V49" s="681" t="str">
        <f t="shared" si="17"/>
        <v/>
      </c>
      <c r="W49" s="755" t="str">
        <f t="shared" si="14"/>
        <v/>
      </c>
      <c r="X49" s="755" t="str">
        <f t="shared" si="14"/>
        <v/>
      </c>
      <c r="Y49" s="755" t="str">
        <f t="shared" si="14"/>
        <v/>
      </c>
      <c r="Z49" s="681" t="str">
        <f t="shared" si="17"/>
        <v/>
      </c>
      <c r="AA49" s="681" t="str">
        <f t="shared" si="17"/>
        <v/>
      </c>
      <c r="AB49" s="681" t="str">
        <f t="shared" si="17"/>
        <v/>
      </c>
      <c r="AC49" s="681" t="str">
        <f t="shared" si="19"/>
        <v/>
      </c>
      <c r="AD49" s="681" t="str">
        <f t="shared" si="7"/>
        <v/>
      </c>
      <c r="AE49" s="681" t="str">
        <f t="shared" si="18"/>
        <v/>
      </c>
      <c r="AF49" s="681" t="str">
        <f t="shared" si="18"/>
        <v/>
      </c>
      <c r="AG49" s="681" t="str">
        <f t="shared" si="18"/>
        <v/>
      </c>
      <c r="AH49" s="681" t="str">
        <f t="shared" si="18"/>
        <v/>
      </c>
      <c r="AI49" s="681" t="str">
        <f t="shared" si="18"/>
        <v/>
      </c>
      <c r="AJ49" s="681" t="str">
        <f t="shared" si="18"/>
        <v/>
      </c>
      <c r="AK49" s="681" t="str">
        <f t="shared" si="18"/>
        <v/>
      </c>
      <c r="AL49" s="681" t="str">
        <f t="shared" si="18"/>
        <v/>
      </c>
      <c r="AM49" s="681" t="str">
        <f t="shared" si="18"/>
        <v/>
      </c>
      <c r="AN49" s="681" t="str">
        <f t="shared" si="18"/>
        <v/>
      </c>
      <c r="AO49" s="681" t="str">
        <f t="shared" si="18"/>
        <v/>
      </c>
      <c r="AP49" s="681" t="str">
        <f t="shared" si="18"/>
        <v/>
      </c>
      <c r="AQ49" s="681" t="str">
        <f t="shared" si="18"/>
        <v/>
      </c>
      <c r="AR49" s="681" t="str">
        <f t="shared" si="18"/>
        <v/>
      </c>
      <c r="AS49" s="681" t="str">
        <f t="shared" si="18"/>
        <v/>
      </c>
      <c r="AT49" s="681" t="str">
        <f t="shared" si="18"/>
        <v/>
      </c>
      <c r="AU49" s="681" t="str">
        <f t="shared" si="18"/>
        <v/>
      </c>
      <c r="AV49" s="681" t="str">
        <f t="shared" si="18"/>
        <v/>
      </c>
      <c r="AW49" s="681" t="str">
        <f t="shared" si="18"/>
        <v/>
      </c>
      <c r="AX49" s="681" t="str">
        <f t="shared" si="18"/>
        <v/>
      </c>
      <c r="AY49" s="681" t="str">
        <f t="shared" si="18"/>
        <v/>
      </c>
      <c r="AZ49" s="681" t="str">
        <f t="shared" si="18"/>
        <v/>
      </c>
      <c r="BA49" s="681" t="str">
        <f t="shared" si="18"/>
        <v/>
      </c>
      <c r="BB49" s="1922"/>
      <c r="BC49" s="1922"/>
      <c r="BD49" s="690"/>
      <c r="BE49" s="685">
        <v>40</v>
      </c>
    </row>
    <row r="50" spans="1:57" ht="12.75" customHeight="1">
      <c r="A50" s="751">
        <v>41</v>
      </c>
      <c r="B50" s="746" t="str">
        <f t="shared" si="12"/>
        <v/>
      </c>
      <c r="C50" s="681" t="str">
        <f t="shared" si="12"/>
        <v/>
      </c>
      <c r="D50" s="681" t="str">
        <f t="shared" si="12"/>
        <v/>
      </c>
      <c r="E50" s="681"/>
      <c r="F50" s="681"/>
      <c r="G50" s="681" t="str">
        <f t="shared" si="13"/>
        <v/>
      </c>
      <c r="H50" s="681" t="str">
        <f t="shared" si="13"/>
        <v/>
      </c>
      <c r="I50" s="681" t="str">
        <f t="shared" si="13"/>
        <v/>
      </c>
      <c r="J50" s="681" t="str">
        <f t="shared" si="13"/>
        <v/>
      </c>
      <c r="K50" s="681"/>
      <c r="L50" s="681" t="str">
        <f t="shared" si="17"/>
        <v/>
      </c>
      <c r="M50" s="681" t="str">
        <f t="shared" si="17"/>
        <v/>
      </c>
      <c r="N50" s="681" t="str">
        <f t="shared" si="17"/>
        <v/>
      </c>
      <c r="O50" s="681" t="str">
        <f t="shared" si="17"/>
        <v/>
      </c>
      <c r="P50" s="681" t="str">
        <f t="shared" si="17"/>
        <v/>
      </c>
      <c r="Q50" s="681" t="str">
        <f t="shared" si="17"/>
        <v/>
      </c>
      <c r="R50" s="681" t="str">
        <f t="shared" si="17"/>
        <v/>
      </c>
      <c r="S50" s="681" t="str">
        <f t="shared" si="17"/>
        <v/>
      </c>
      <c r="T50" s="681" t="str">
        <f t="shared" si="17"/>
        <v/>
      </c>
      <c r="U50" s="681" t="str">
        <f t="shared" si="17"/>
        <v/>
      </c>
      <c r="V50" s="681" t="str">
        <f t="shared" si="17"/>
        <v/>
      </c>
      <c r="W50" s="755" t="str">
        <f t="shared" si="14"/>
        <v/>
      </c>
      <c r="X50" s="755" t="str">
        <f t="shared" si="14"/>
        <v/>
      </c>
      <c r="Y50" s="755" t="str">
        <f t="shared" si="14"/>
        <v/>
      </c>
      <c r="Z50" s="681" t="str">
        <f t="shared" si="17"/>
        <v/>
      </c>
      <c r="AA50" s="681" t="str">
        <f t="shared" si="17"/>
        <v/>
      </c>
      <c r="AB50" s="681" t="str">
        <f t="shared" si="17"/>
        <v/>
      </c>
      <c r="AC50" s="681" t="str">
        <f t="shared" si="19"/>
        <v/>
      </c>
      <c r="AD50" s="681" t="str">
        <f t="shared" si="7"/>
        <v/>
      </c>
      <c r="AE50" s="681" t="str">
        <f t="shared" si="18"/>
        <v/>
      </c>
      <c r="AF50" s="681" t="str">
        <f t="shared" si="18"/>
        <v/>
      </c>
      <c r="AG50" s="681" t="str">
        <f t="shared" si="18"/>
        <v/>
      </c>
      <c r="AH50" s="681" t="str">
        <f t="shared" si="18"/>
        <v/>
      </c>
      <c r="AI50" s="681" t="str">
        <f t="shared" si="18"/>
        <v/>
      </c>
      <c r="AJ50" s="681" t="str">
        <f t="shared" si="18"/>
        <v/>
      </c>
      <c r="AK50" s="681" t="str">
        <f t="shared" si="18"/>
        <v/>
      </c>
      <c r="AL50" s="681" t="str">
        <f t="shared" si="18"/>
        <v/>
      </c>
      <c r="AM50" s="681" t="str">
        <f t="shared" si="18"/>
        <v/>
      </c>
      <c r="AN50" s="681" t="str">
        <f t="shared" si="18"/>
        <v/>
      </c>
      <c r="AO50" s="681" t="str">
        <f t="shared" si="18"/>
        <v/>
      </c>
      <c r="AP50" s="681" t="str">
        <f t="shared" si="18"/>
        <v/>
      </c>
      <c r="AQ50" s="681" t="str">
        <f t="shared" si="18"/>
        <v/>
      </c>
      <c r="AR50" s="681" t="str">
        <f t="shared" si="18"/>
        <v/>
      </c>
      <c r="AS50" s="681" t="str">
        <f t="shared" si="18"/>
        <v/>
      </c>
      <c r="AT50" s="681" t="str">
        <f t="shared" si="18"/>
        <v/>
      </c>
      <c r="AU50" s="681" t="str">
        <f t="shared" si="18"/>
        <v/>
      </c>
      <c r="AV50" s="681" t="str">
        <f t="shared" si="18"/>
        <v/>
      </c>
      <c r="AW50" s="681" t="str">
        <f t="shared" si="18"/>
        <v/>
      </c>
      <c r="AX50" s="681" t="str">
        <f t="shared" si="18"/>
        <v/>
      </c>
      <c r="AY50" s="681" t="str">
        <f t="shared" si="18"/>
        <v/>
      </c>
      <c r="AZ50" s="681" t="str">
        <f t="shared" si="18"/>
        <v/>
      </c>
      <c r="BA50" s="681" t="str">
        <f t="shared" si="18"/>
        <v/>
      </c>
      <c r="BB50" s="1922"/>
      <c r="BC50" s="1922"/>
      <c r="BD50" s="690"/>
      <c r="BE50" s="685">
        <v>41</v>
      </c>
    </row>
    <row r="51" spans="1:57" ht="12.75" customHeight="1">
      <c r="A51" s="751">
        <v>42</v>
      </c>
      <c r="B51" s="746" t="str">
        <f t="shared" si="12"/>
        <v/>
      </c>
      <c r="C51" s="681" t="str">
        <f t="shared" si="12"/>
        <v/>
      </c>
      <c r="D51" s="681" t="str">
        <f t="shared" si="12"/>
        <v/>
      </c>
      <c r="E51" s="681"/>
      <c r="F51" s="681"/>
      <c r="G51" s="681" t="str">
        <f t="shared" si="13"/>
        <v/>
      </c>
      <c r="H51" s="681" t="str">
        <f t="shared" si="13"/>
        <v/>
      </c>
      <c r="I51" s="681" t="str">
        <f t="shared" si="13"/>
        <v/>
      </c>
      <c r="J51" s="681" t="str">
        <f t="shared" si="13"/>
        <v/>
      </c>
      <c r="K51" s="681"/>
      <c r="L51" s="681" t="str">
        <f t="shared" si="17"/>
        <v/>
      </c>
      <c r="M51" s="681" t="str">
        <f t="shared" si="17"/>
        <v/>
      </c>
      <c r="N51" s="681" t="str">
        <f t="shared" si="17"/>
        <v/>
      </c>
      <c r="O51" s="681" t="str">
        <f t="shared" si="17"/>
        <v/>
      </c>
      <c r="P51" s="681" t="str">
        <f t="shared" si="17"/>
        <v/>
      </c>
      <c r="Q51" s="681" t="str">
        <f t="shared" si="17"/>
        <v/>
      </c>
      <c r="R51" s="681" t="str">
        <f t="shared" si="17"/>
        <v/>
      </c>
      <c r="S51" s="681" t="str">
        <f t="shared" si="17"/>
        <v/>
      </c>
      <c r="T51" s="681" t="str">
        <f t="shared" si="17"/>
        <v/>
      </c>
      <c r="U51" s="681" t="str">
        <f t="shared" si="17"/>
        <v/>
      </c>
      <c r="V51" s="681" t="str">
        <f t="shared" si="17"/>
        <v/>
      </c>
      <c r="W51" s="755" t="str">
        <f t="shared" si="17"/>
        <v/>
      </c>
      <c r="X51" s="755" t="str">
        <f t="shared" si="17"/>
        <v/>
      </c>
      <c r="Y51" s="755" t="str">
        <f t="shared" ref="Y51:Y58" si="20">FlowSet(Y$1,$A51,Y$4,Y$5,Y$6,Y$7,AverageMeterTemp,AverageMeterPress,BaroPress,OPF)</f>
        <v/>
      </c>
      <c r="Z51" s="681" t="str">
        <f t="shared" si="17"/>
        <v/>
      </c>
      <c r="AA51" s="681" t="str">
        <f t="shared" si="17"/>
        <v/>
      </c>
      <c r="AB51" s="681" t="str">
        <f t="shared" si="17"/>
        <v/>
      </c>
      <c r="AC51" s="681" t="str">
        <f t="shared" si="19"/>
        <v/>
      </c>
      <c r="AD51" s="681" t="str">
        <f t="shared" si="7"/>
        <v/>
      </c>
      <c r="AE51" s="681" t="str">
        <f t="shared" si="18"/>
        <v/>
      </c>
      <c r="AF51" s="681" t="str">
        <f t="shared" si="18"/>
        <v/>
      </c>
      <c r="AG51" s="681" t="str">
        <f t="shared" si="18"/>
        <v/>
      </c>
      <c r="AH51" s="681" t="str">
        <f t="shared" si="18"/>
        <v/>
      </c>
      <c r="AI51" s="681" t="str">
        <f t="shared" si="18"/>
        <v/>
      </c>
      <c r="AJ51" s="681" t="str">
        <f t="shared" si="18"/>
        <v/>
      </c>
      <c r="AK51" s="681" t="str">
        <f t="shared" si="18"/>
        <v/>
      </c>
      <c r="AL51" s="681" t="str">
        <f t="shared" si="18"/>
        <v/>
      </c>
      <c r="AM51" s="681" t="str">
        <f t="shared" si="18"/>
        <v/>
      </c>
      <c r="AN51" s="681" t="str">
        <f t="shared" si="18"/>
        <v/>
      </c>
      <c r="AO51" s="681" t="str">
        <f t="shared" si="18"/>
        <v/>
      </c>
      <c r="AP51" s="681" t="str">
        <f t="shared" si="18"/>
        <v/>
      </c>
      <c r="AQ51" s="681" t="str">
        <f t="shared" si="18"/>
        <v/>
      </c>
      <c r="AR51" s="681" t="str">
        <f t="shared" si="18"/>
        <v/>
      </c>
      <c r="AS51" s="681" t="str">
        <f t="shared" si="18"/>
        <v/>
      </c>
      <c r="AT51" s="681" t="str">
        <f t="shared" si="18"/>
        <v/>
      </c>
      <c r="AU51" s="681" t="str">
        <f t="shared" si="18"/>
        <v/>
      </c>
      <c r="AV51" s="681" t="str">
        <f t="shared" si="18"/>
        <v/>
      </c>
      <c r="AW51" s="681" t="str">
        <f t="shared" si="18"/>
        <v/>
      </c>
      <c r="AX51" s="681" t="str">
        <f t="shared" si="18"/>
        <v/>
      </c>
      <c r="AY51" s="681" t="str">
        <f t="shared" si="18"/>
        <v/>
      </c>
      <c r="AZ51" s="681" t="str">
        <f t="shared" si="18"/>
        <v/>
      </c>
      <c r="BA51" s="681" t="str">
        <f t="shared" si="18"/>
        <v/>
      </c>
      <c r="BB51" s="1922"/>
      <c r="BC51" s="1922"/>
      <c r="BD51" s="690"/>
      <c r="BE51" s="685">
        <v>42</v>
      </c>
    </row>
    <row r="52" spans="1:57" ht="12.75" customHeight="1">
      <c r="A52" s="751">
        <v>43</v>
      </c>
      <c r="B52" s="746" t="str">
        <f t="shared" si="12"/>
        <v/>
      </c>
      <c r="C52" s="681" t="str">
        <f t="shared" si="12"/>
        <v/>
      </c>
      <c r="D52" s="681" t="str">
        <f t="shared" si="12"/>
        <v/>
      </c>
      <c r="E52" s="681"/>
      <c r="F52" s="681"/>
      <c r="G52" s="681" t="str">
        <f t="shared" si="13"/>
        <v/>
      </c>
      <c r="H52" s="681" t="str">
        <f t="shared" si="13"/>
        <v/>
      </c>
      <c r="I52" s="681" t="str">
        <f t="shared" si="13"/>
        <v/>
      </c>
      <c r="J52" s="681" t="str">
        <f t="shared" si="13"/>
        <v/>
      </c>
      <c r="K52" s="681"/>
      <c r="L52" s="681" t="str">
        <f t="shared" si="17"/>
        <v/>
      </c>
      <c r="M52" s="681" t="str">
        <f t="shared" si="17"/>
        <v/>
      </c>
      <c r="N52" s="681" t="str">
        <f t="shared" si="17"/>
        <v/>
      </c>
      <c r="O52" s="681" t="str">
        <f t="shared" si="17"/>
        <v/>
      </c>
      <c r="P52" s="681" t="str">
        <f t="shared" si="17"/>
        <v/>
      </c>
      <c r="Q52" s="681" t="str">
        <f t="shared" si="17"/>
        <v/>
      </c>
      <c r="R52" s="681" t="str">
        <f t="shared" si="17"/>
        <v/>
      </c>
      <c r="S52" s="681" t="str">
        <f t="shared" si="17"/>
        <v/>
      </c>
      <c r="T52" s="681" t="str">
        <f t="shared" si="17"/>
        <v/>
      </c>
      <c r="U52" s="681" t="str">
        <f t="shared" si="17"/>
        <v/>
      </c>
      <c r="V52" s="681" t="str">
        <f t="shared" si="17"/>
        <v/>
      </c>
      <c r="W52" s="755" t="str">
        <f t="shared" si="17"/>
        <v/>
      </c>
      <c r="X52" s="755" t="str">
        <f t="shared" si="17"/>
        <v/>
      </c>
      <c r="Y52" s="755" t="str">
        <f t="shared" si="20"/>
        <v/>
      </c>
      <c r="Z52" s="681" t="str">
        <f t="shared" si="17"/>
        <v/>
      </c>
      <c r="AA52" s="681" t="str">
        <f t="shared" si="17"/>
        <v/>
      </c>
      <c r="AB52" s="681" t="str">
        <f t="shared" si="17"/>
        <v/>
      </c>
      <c r="AC52" s="681" t="str">
        <f t="shared" si="19"/>
        <v/>
      </c>
      <c r="AD52" s="681" t="str">
        <f t="shared" si="7"/>
        <v/>
      </c>
      <c r="AE52" s="681" t="str">
        <f t="shared" si="18"/>
        <v/>
      </c>
      <c r="AF52" s="681" t="str">
        <f t="shared" si="18"/>
        <v/>
      </c>
      <c r="AG52" s="681" t="str">
        <f t="shared" si="18"/>
        <v/>
      </c>
      <c r="AH52" s="681" t="str">
        <f t="shared" si="18"/>
        <v/>
      </c>
      <c r="AI52" s="681" t="str">
        <f t="shared" si="18"/>
        <v/>
      </c>
      <c r="AJ52" s="681" t="str">
        <f t="shared" si="18"/>
        <v/>
      </c>
      <c r="AK52" s="681" t="str">
        <f t="shared" si="18"/>
        <v/>
      </c>
      <c r="AL52" s="681" t="str">
        <f t="shared" si="18"/>
        <v/>
      </c>
      <c r="AM52" s="681" t="str">
        <f t="shared" si="18"/>
        <v/>
      </c>
      <c r="AN52" s="681" t="str">
        <f t="shared" si="18"/>
        <v/>
      </c>
      <c r="AO52" s="681" t="str">
        <f t="shared" si="18"/>
        <v/>
      </c>
      <c r="AP52" s="681" t="str">
        <f t="shared" si="18"/>
        <v/>
      </c>
      <c r="AQ52" s="681" t="str">
        <f t="shared" si="18"/>
        <v/>
      </c>
      <c r="AR52" s="681" t="str">
        <f t="shared" si="18"/>
        <v/>
      </c>
      <c r="AS52" s="681" t="str">
        <f t="shared" si="18"/>
        <v/>
      </c>
      <c r="AT52" s="681" t="str">
        <f t="shared" si="18"/>
        <v/>
      </c>
      <c r="AU52" s="681" t="str">
        <f t="shared" si="18"/>
        <v/>
      </c>
      <c r="AV52" s="681" t="str">
        <f t="shared" si="18"/>
        <v/>
      </c>
      <c r="AW52" s="681" t="str">
        <f t="shared" si="18"/>
        <v/>
      </c>
      <c r="AX52" s="681" t="str">
        <f t="shared" si="18"/>
        <v/>
      </c>
      <c r="AY52" s="681" t="str">
        <f t="shared" si="18"/>
        <v/>
      </c>
      <c r="AZ52" s="681" t="str">
        <f t="shared" si="18"/>
        <v/>
      </c>
      <c r="BA52" s="681" t="str">
        <f t="shared" si="18"/>
        <v/>
      </c>
      <c r="BB52" s="1922"/>
      <c r="BC52" s="1922"/>
      <c r="BD52" s="690"/>
      <c r="BE52" s="685">
        <v>43</v>
      </c>
    </row>
    <row r="53" spans="1:57" ht="12.75" customHeight="1">
      <c r="A53" s="751">
        <v>44</v>
      </c>
      <c r="B53" s="746" t="str">
        <f t="shared" si="12"/>
        <v/>
      </c>
      <c r="C53" s="681" t="str">
        <f t="shared" si="12"/>
        <v/>
      </c>
      <c r="D53" s="681" t="str">
        <f t="shared" si="12"/>
        <v/>
      </c>
      <c r="E53" s="681"/>
      <c r="F53" s="681"/>
      <c r="G53" s="681" t="str">
        <f t="shared" si="13"/>
        <v/>
      </c>
      <c r="H53" s="681" t="str">
        <f t="shared" si="13"/>
        <v/>
      </c>
      <c r="I53" s="681" t="str">
        <f t="shared" si="13"/>
        <v/>
      </c>
      <c r="J53" s="681" t="str">
        <f t="shared" si="13"/>
        <v/>
      </c>
      <c r="K53" s="681"/>
      <c r="L53" s="681" t="str">
        <f t="shared" si="17"/>
        <v/>
      </c>
      <c r="M53" s="681" t="str">
        <f t="shared" si="17"/>
        <v/>
      </c>
      <c r="N53" s="681" t="str">
        <f t="shared" si="17"/>
        <v/>
      </c>
      <c r="O53" s="681" t="str">
        <f t="shared" si="17"/>
        <v/>
      </c>
      <c r="P53" s="681" t="str">
        <f t="shared" si="17"/>
        <v/>
      </c>
      <c r="Q53" s="681" t="str">
        <f t="shared" si="17"/>
        <v/>
      </c>
      <c r="R53" s="681" t="str">
        <f t="shared" si="17"/>
        <v/>
      </c>
      <c r="S53" s="681" t="str">
        <f t="shared" si="17"/>
        <v/>
      </c>
      <c r="T53" s="681" t="str">
        <f t="shared" si="17"/>
        <v/>
      </c>
      <c r="U53" s="681" t="str">
        <f t="shared" si="17"/>
        <v/>
      </c>
      <c r="V53" s="681" t="str">
        <f t="shared" si="17"/>
        <v/>
      </c>
      <c r="W53" s="755" t="str">
        <f t="shared" si="17"/>
        <v/>
      </c>
      <c r="X53" s="755" t="str">
        <f t="shared" si="17"/>
        <v/>
      </c>
      <c r="Y53" s="755" t="str">
        <f t="shared" si="20"/>
        <v/>
      </c>
      <c r="Z53" s="681" t="str">
        <f t="shared" si="17"/>
        <v/>
      </c>
      <c r="AA53" s="681" t="str">
        <f t="shared" si="17"/>
        <v/>
      </c>
      <c r="AB53" s="681" t="str">
        <f t="shared" si="17"/>
        <v/>
      </c>
      <c r="AC53" s="681" t="str">
        <f t="shared" si="19"/>
        <v/>
      </c>
      <c r="AD53" s="681" t="str">
        <f t="shared" si="7"/>
        <v/>
      </c>
      <c r="AE53" s="681" t="str">
        <f t="shared" si="18"/>
        <v/>
      </c>
      <c r="AF53" s="681" t="str">
        <f t="shared" si="18"/>
        <v/>
      </c>
      <c r="AG53" s="681" t="str">
        <f t="shared" si="18"/>
        <v/>
      </c>
      <c r="AH53" s="681" t="str">
        <f t="shared" si="18"/>
        <v/>
      </c>
      <c r="AI53" s="681" t="str">
        <f t="shared" si="18"/>
        <v/>
      </c>
      <c r="AJ53" s="681" t="str">
        <f t="shared" si="18"/>
        <v/>
      </c>
      <c r="AK53" s="681" t="str">
        <f t="shared" si="18"/>
        <v/>
      </c>
      <c r="AL53" s="681" t="str">
        <f t="shared" si="18"/>
        <v/>
      </c>
      <c r="AM53" s="681" t="str">
        <f t="shared" si="18"/>
        <v/>
      </c>
      <c r="AN53" s="681" t="str">
        <f t="shared" si="18"/>
        <v/>
      </c>
      <c r="AO53" s="681" t="str">
        <f t="shared" si="18"/>
        <v/>
      </c>
      <c r="AP53" s="681" t="str">
        <f t="shared" si="18"/>
        <v/>
      </c>
      <c r="AQ53" s="681" t="str">
        <f t="shared" si="18"/>
        <v/>
      </c>
      <c r="AR53" s="681" t="str">
        <f t="shared" si="18"/>
        <v/>
      </c>
      <c r="AS53" s="681" t="str">
        <f t="shared" si="18"/>
        <v/>
      </c>
      <c r="AT53" s="681" t="str">
        <f t="shared" si="18"/>
        <v/>
      </c>
      <c r="AU53" s="681" t="str">
        <f t="shared" si="18"/>
        <v/>
      </c>
      <c r="AV53" s="681" t="str">
        <f t="shared" si="18"/>
        <v/>
      </c>
      <c r="AW53" s="681" t="str">
        <f t="shared" si="18"/>
        <v/>
      </c>
      <c r="AX53" s="681" t="str">
        <f t="shared" si="18"/>
        <v/>
      </c>
      <c r="AY53" s="681" t="str">
        <f t="shared" si="18"/>
        <v/>
      </c>
      <c r="AZ53" s="681" t="str">
        <f t="shared" si="18"/>
        <v/>
      </c>
      <c r="BA53" s="681" t="str">
        <f t="shared" si="18"/>
        <v/>
      </c>
      <c r="BB53" s="1922"/>
      <c r="BC53" s="1922"/>
      <c r="BD53" s="690"/>
      <c r="BE53" s="685">
        <v>44</v>
      </c>
    </row>
    <row r="54" spans="1:57" ht="12.75" customHeight="1">
      <c r="A54" s="751">
        <v>45</v>
      </c>
      <c r="B54" s="746" t="str">
        <f t="shared" si="12"/>
        <v/>
      </c>
      <c r="C54" s="681" t="str">
        <f t="shared" si="12"/>
        <v/>
      </c>
      <c r="D54" s="681" t="str">
        <f t="shared" si="12"/>
        <v/>
      </c>
      <c r="E54" s="681"/>
      <c r="F54" s="681"/>
      <c r="G54" s="681" t="str">
        <f t="shared" si="13"/>
        <v/>
      </c>
      <c r="H54" s="681" t="str">
        <f t="shared" si="13"/>
        <v/>
      </c>
      <c r="I54" s="681" t="str">
        <f t="shared" si="13"/>
        <v/>
      </c>
      <c r="J54" s="681" t="str">
        <f t="shared" si="13"/>
        <v/>
      </c>
      <c r="K54" s="681"/>
      <c r="L54" s="681" t="str">
        <f t="shared" si="17"/>
        <v/>
      </c>
      <c r="M54" s="681" t="str">
        <f t="shared" si="17"/>
        <v/>
      </c>
      <c r="N54" s="681" t="str">
        <f t="shared" si="17"/>
        <v/>
      </c>
      <c r="O54" s="681" t="str">
        <f t="shared" si="17"/>
        <v/>
      </c>
      <c r="P54" s="681" t="str">
        <f t="shared" si="17"/>
        <v/>
      </c>
      <c r="Q54" s="681" t="str">
        <f t="shared" si="17"/>
        <v/>
      </c>
      <c r="R54" s="681" t="str">
        <f t="shared" si="17"/>
        <v/>
      </c>
      <c r="S54" s="681" t="str">
        <f t="shared" si="17"/>
        <v/>
      </c>
      <c r="T54" s="681" t="str">
        <f t="shared" si="17"/>
        <v/>
      </c>
      <c r="U54" s="681" t="str">
        <f t="shared" si="17"/>
        <v/>
      </c>
      <c r="V54" s="681" t="str">
        <f t="shared" si="17"/>
        <v/>
      </c>
      <c r="W54" s="755" t="str">
        <f t="shared" si="17"/>
        <v/>
      </c>
      <c r="X54" s="755" t="str">
        <f t="shared" si="17"/>
        <v/>
      </c>
      <c r="Y54" s="755" t="str">
        <f t="shared" si="20"/>
        <v/>
      </c>
      <c r="Z54" s="681" t="str">
        <f t="shared" si="17"/>
        <v/>
      </c>
      <c r="AA54" s="681" t="str">
        <f t="shared" si="17"/>
        <v/>
      </c>
      <c r="AB54" s="681" t="str">
        <f t="shared" si="17"/>
        <v/>
      </c>
      <c r="AC54" s="681" t="str">
        <f t="shared" si="19"/>
        <v/>
      </c>
      <c r="AD54" s="681" t="str">
        <f t="shared" si="7"/>
        <v/>
      </c>
      <c r="AE54" s="681" t="str">
        <f t="shared" si="18"/>
        <v/>
      </c>
      <c r="AF54" s="681" t="str">
        <f t="shared" si="18"/>
        <v/>
      </c>
      <c r="AG54" s="681" t="str">
        <f t="shared" si="18"/>
        <v/>
      </c>
      <c r="AH54" s="681" t="str">
        <f t="shared" si="18"/>
        <v/>
      </c>
      <c r="AI54" s="681" t="str">
        <f t="shared" si="18"/>
        <v/>
      </c>
      <c r="AJ54" s="681" t="str">
        <f t="shared" si="18"/>
        <v/>
      </c>
      <c r="AK54" s="681" t="str">
        <f t="shared" si="18"/>
        <v/>
      </c>
      <c r="AL54" s="681" t="str">
        <f t="shared" si="18"/>
        <v/>
      </c>
      <c r="AM54" s="681" t="str">
        <f t="shared" si="18"/>
        <v/>
      </c>
      <c r="AN54" s="681" t="str">
        <f t="shared" si="18"/>
        <v/>
      </c>
      <c r="AO54" s="681" t="str">
        <f t="shared" si="18"/>
        <v/>
      </c>
      <c r="AP54" s="681" t="str">
        <f t="shared" si="18"/>
        <v/>
      </c>
      <c r="AQ54" s="681" t="str">
        <f t="shared" si="18"/>
        <v/>
      </c>
      <c r="AR54" s="681" t="str">
        <f t="shared" si="18"/>
        <v/>
      </c>
      <c r="AS54" s="681" t="str">
        <f t="shared" si="18"/>
        <v/>
      </c>
      <c r="AT54" s="681" t="str">
        <f t="shared" si="18"/>
        <v/>
      </c>
      <c r="AU54" s="681" t="str">
        <f t="shared" si="18"/>
        <v/>
      </c>
      <c r="AV54" s="681" t="str">
        <f t="shared" si="18"/>
        <v/>
      </c>
      <c r="AW54" s="681" t="str">
        <f t="shared" si="18"/>
        <v/>
      </c>
      <c r="AX54" s="681" t="str">
        <f t="shared" si="18"/>
        <v/>
      </c>
      <c r="AY54" s="681" t="str">
        <f t="shared" si="18"/>
        <v/>
      </c>
      <c r="AZ54" s="681" t="str">
        <f t="shared" si="18"/>
        <v/>
      </c>
      <c r="BA54" s="681" t="str">
        <f t="shared" si="18"/>
        <v/>
      </c>
      <c r="BB54" s="1922"/>
      <c r="BC54" s="1922"/>
      <c r="BD54" s="690"/>
      <c r="BE54" s="685">
        <v>45</v>
      </c>
    </row>
    <row r="55" spans="1:57" ht="12.75" customHeight="1">
      <c r="A55" s="751">
        <v>46</v>
      </c>
      <c r="B55" s="746" t="str">
        <f t="shared" si="12"/>
        <v/>
      </c>
      <c r="C55" s="681" t="str">
        <f t="shared" si="12"/>
        <v/>
      </c>
      <c r="D55" s="681" t="str">
        <f t="shared" si="12"/>
        <v/>
      </c>
      <c r="E55" s="681"/>
      <c r="F55" s="681"/>
      <c r="G55" s="681" t="str">
        <f t="shared" si="13"/>
        <v/>
      </c>
      <c r="H55" s="681" t="str">
        <f t="shared" si="13"/>
        <v/>
      </c>
      <c r="I55" s="681" t="str">
        <f t="shared" si="13"/>
        <v/>
      </c>
      <c r="J55" s="681" t="str">
        <f t="shared" si="13"/>
        <v/>
      </c>
      <c r="K55" s="681"/>
      <c r="L55" s="681" t="str">
        <f t="shared" si="17"/>
        <v/>
      </c>
      <c r="M55" s="681" t="str">
        <f t="shared" si="17"/>
        <v/>
      </c>
      <c r="N55" s="681" t="str">
        <f t="shared" si="17"/>
        <v/>
      </c>
      <c r="O55" s="681" t="str">
        <f t="shared" si="17"/>
        <v/>
      </c>
      <c r="P55" s="681" t="str">
        <f t="shared" si="17"/>
        <v/>
      </c>
      <c r="Q55" s="681" t="str">
        <f t="shared" si="17"/>
        <v/>
      </c>
      <c r="R55" s="681" t="str">
        <f t="shared" si="17"/>
        <v/>
      </c>
      <c r="S55" s="681" t="str">
        <f t="shared" si="17"/>
        <v/>
      </c>
      <c r="T55" s="681" t="str">
        <f t="shared" si="17"/>
        <v/>
      </c>
      <c r="U55" s="681" t="str">
        <f t="shared" si="17"/>
        <v/>
      </c>
      <c r="V55" s="681" t="str">
        <f t="shared" si="17"/>
        <v/>
      </c>
      <c r="W55" s="755" t="str">
        <f t="shared" si="17"/>
        <v/>
      </c>
      <c r="X55" s="755" t="str">
        <f t="shared" si="17"/>
        <v/>
      </c>
      <c r="Y55" s="755" t="str">
        <f t="shared" si="20"/>
        <v/>
      </c>
      <c r="Z55" s="681" t="str">
        <f t="shared" si="17"/>
        <v/>
      </c>
      <c r="AA55" s="681" t="str">
        <f t="shared" si="17"/>
        <v/>
      </c>
      <c r="AB55" s="681" t="str">
        <f t="shared" si="17"/>
        <v/>
      </c>
      <c r="AC55" s="681" t="str">
        <f t="shared" si="19"/>
        <v/>
      </c>
      <c r="AD55" s="681" t="str">
        <f t="shared" si="7"/>
        <v/>
      </c>
      <c r="AE55" s="681" t="str">
        <f t="shared" si="18"/>
        <v/>
      </c>
      <c r="AF55" s="681" t="str">
        <f t="shared" si="18"/>
        <v/>
      </c>
      <c r="AG55" s="681" t="str">
        <f t="shared" si="18"/>
        <v/>
      </c>
      <c r="AH55" s="681" t="str">
        <f t="shared" si="18"/>
        <v/>
      </c>
      <c r="AI55" s="681" t="str">
        <f t="shared" si="18"/>
        <v/>
      </c>
      <c r="AJ55" s="681" t="str">
        <f t="shared" si="18"/>
        <v/>
      </c>
      <c r="AK55" s="681" t="str">
        <f t="shared" si="18"/>
        <v/>
      </c>
      <c r="AL55" s="681" t="str">
        <f t="shared" si="18"/>
        <v/>
      </c>
      <c r="AM55" s="681" t="str">
        <f t="shared" si="18"/>
        <v/>
      </c>
      <c r="AN55" s="681" t="str">
        <f t="shared" si="18"/>
        <v/>
      </c>
      <c r="AO55" s="681" t="str">
        <f t="shared" si="18"/>
        <v/>
      </c>
      <c r="AP55" s="681" t="str">
        <f t="shared" si="18"/>
        <v/>
      </c>
      <c r="AQ55" s="681" t="str">
        <f t="shared" si="18"/>
        <v/>
      </c>
      <c r="AR55" s="681" t="str">
        <f t="shared" si="18"/>
        <v/>
      </c>
      <c r="AS55" s="681" t="str">
        <f t="shared" si="18"/>
        <v/>
      </c>
      <c r="AT55" s="681" t="str">
        <f t="shared" si="18"/>
        <v/>
      </c>
      <c r="AU55" s="681" t="str">
        <f t="shared" si="18"/>
        <v/>
      </c>
      <c r="AV55" s="681" t="str">
        <f t="shared" si="18"/>
        <v/>
      </c>
      <c r="AW55" s="681" t="str">
        <f t="shared" si="18"/>
        <v/>
      </c>
      <c r="AX55" s="681" t="str">
        <f t="shared" si="18"/>
        <v/>
      </c>
      <c r="AY55" s="681" t="str">
        <f t="shared" si="18"/>
        <v/>
      </c>
      <c r="AZ55" s="681" t="str">
        <f t="shared" si="18"/>
        <v/>
      </c>
      <c r="BA55" s="681" t="str">
        <f t="shared" si="18"/>
        <v/>
      </c>
      <c r="BB55" s="1922"/>
      <c r="BC55" s="1922"/>
      <c r="BD55" s="690"/>
      <c r="BE55" s="685">
        <v>46</v>
      </c>
    </row>
    <row r="56" spans="1:57" ht="12.75" customHeight="1">
      <c r="A56" s="751">
        <v>47</v>
      </c>
      <c r="B56" s="746" t="str">
        <f t="shared" si="12"/>
        <v/>
      </c>
      <c r="C56" s="681" t="str">
        <f t="shared" si="12"/>
        <v/>
      </c>
      <c r="D56" s="681" t="str">
        <f t="shared" si="12"/>
        <v/>
      </c>
      <c r="E56" s="681"/>
      <c r="F56" s="681"/>
      <c r="G56" s="681" t="str">
        <f t="shared" si="13"/>
        <v/>
      </c>
      <c r="H56" s="681" t="str">
        <f t="shared" si="13"/>
        <v/>
      </c>
      <c r="I56" s="681" t="str">
        <f t="shared" si="13"/>
        <v/>
      </c>
      <c r="J56" s="681" t="str">
        <f t="shared" si="13"/>
        <v/>
      </c>
      <c r="K56" s="681"/>
      <c r="L56" s="681" t="str">
        <f t="shared" si="17"/>
        <v/>
      </c>
      <c r="M56" s="681" t="str">
        <f t="shared" si="17"/>
        <v/>
      </c>
      <c r="N56" s="681" t="str">
        <f t="shared" si="17"/>
        <v/>
      </c>
      <c r="O56" s="681" t="str">
        <f t="shared" si="17"/>
        <v/>
      </c>
      <c r="P56" s="681" t="str">
        <f t="shared" si="17"/>
        <v/>
      </c>
      <c r="Q56" s="681" t="str">
        <f t="shared" si="17"/>
        <v/>
      </c>
      <c r="R56" s="681" t="str">
        <f t="shared" si="17"/>
        <v/>
      </c>
      <c r="S56" s="681" t="str">
        <f t="shared" si="17"/>
        <v/>
      </c>
      <c r="T56" s="681" t="str">
        <f t="shared" si="17"/>
        <v/>
      </c>
      <c r="U56" s="681" t="str">
        <f t="shared" si="17"/>
        <v/>
      </c>
      <c r="V56" s="681" t="str">
        <f t="shared" si="17"/>
        <v/>
      </c>
      <c r="W56" s="755" t="str">
        <f t="shared" si="17"/>
        <v/>
      </c>
      <c r="X56" s="755" t="str">
        <f t="shared" si="17"/>
        <v/>
      </c>
      <c r="Y56" s="755" t="str">
        <f t="shared" si="20"/>
        <v/>
      </c>
      <c r="Z56" s="681" t="str">
        <f t="shared" si="17"/>
        <v/>
      </c>
      <c r="AA56" s="681" t="str">
        <f t="shared" si="17"/>
        <v/>
      </c>
      <c r="AB56" s="681" t="str">
        <f t="shared" si="17"/>
        <v/>
      </c>
      <c r="AC56" s="681" t="str">
        <f t="shared" si="19"/>
        <v/>
      </c>
      <c r="AD56" s="681" t="str">
        <f t="shared" si="7"/>
        <v/>
      </c>
      <c r="AE56" s="681" t="str">
        <f t="shared" si="18"/>
        <v/>
      </c>
      <c r="AF56" s="681" t="str">
        <f t="shared" si="18"/>
        <v/>
      </c>
      <c r="AG56" s="681" t="str">
        <f t="shared" si="18"/>
        <v/>
      </c>
      <c r="AH56" s="681" t="str">
        <f t="shared" si="18"/>
        <v/>
      </c>
      <c r="AI56" s="681" t="str">
        <f t="shared" ref="AE56:BA59" si="21">FlowSet(AI$1,$A56,AI$4,AI$5,AI$6,AI$7,AverageMeterTemp,AverageMeterPress,BaroPress,OPF)</f>
        <v/>
      </c>
      <c r="AJ56" s="681" t="str">
        <f t="shared" si="21"/>
        <v/>
      </c>
      <c r="AK56" s="681" t="str">
        <f t="shared" si="21"/>
        <v/>
      </c>
      <c r="AL56" s="681" t="str">
        <f t="shared" si="21"/>
        <v/>
      </c>
      <c r="AM56" s="681" t="str">
        <f t="shared" si="21"/>
        <v/>
      </c>
      <c r="AN56" s="681" t="str">
        <f t="shared" si="21"/>
        <v/>
      </c>
      <c r="AO56" s="681" t="str">
        <f t="shared" si="21"/>
        <v/>
      </c>
      <c r="AP56" s="681" t="str">
        <f t="shared" si="21"/>
        <v/>
      </c>
      <c r="AQ56" s="681" t="str">
        <f t="shared" si="21"/>
        <v/>
      </c>
      <c r="AR56" s="681" t="str">
        <f t="shared" si="21"/>
        <v/>
      </c>
      <c r="AS56" s="681" t="str">
        <f t="shared" si="21"/>
        <v/>
      </c>
      <c r="AT56" s="681" t="str">
        <f t="shared" si="21"/>
        <v/>
      </c>
      <c r="AU56" s="681" t="str">
        <f t="shared" si="21"/>
        <v/>
      </c>
      <c r="AV56" s="681" t="str">
        <f t="shared" si="21"/>
        <v/>
      </c>
      <c r="AW56" s="681" t="str">
        <f t="shared" si="21"/>
        <v/>
      </c>
      <c r="AX56" s="681" t="str">
        <f t="shared" si="21"/>
        <v/>
      </c>
      <c r="AY56" s="681" t="str">
        <f t="shared" si="21"/>
        <v/>
      </c>
      <c r="AZ56" s="681" t="str">
        <f t="shared" si="21"/>
        <v/>
      </c>
      <c r="BA56" s="681" t="str">
        <f t="shared" si="21"/>
        <v/>
      </c>
      <c r="BB56" s="1922"/>
      <c r="BC56" s="1922"/>
      <c r="BD56" s="690"/>
      <c r="BE56" s="685">
        <v>47</v>
      </c>
    </row>
    <row r="57" spans="1:57" ht="12.75" customHeight="1">
      <c r="A57" s="751">
        <v>48</v>
      </c>
      <c r="B57" s="746" t="str">
        <f t="shared" si="12"/>
        <v/>
      </c>
      <c r="C57" s="681" t="str">
        <f t="shared" si="12"/>
        <v/>
      </c>
      <c r="D57" s="681" t="str">
        <f t="shared" si="12"/>
        <v/>
      </c>
      <c r="E57" s="681"/>
      <c r="F57" s="681"/>
      <c r="G57" s="681" t="str">
        <f t="shared" si="13"/>
        <v/>
      </c>
      <c r="H57" s="681" t="str">
        <f t="shared" si="13"/>
        <v/>
      </c>
      <c r="I57" s="681" t="str">
        <f t="shared" si="13"/>
        <v/>
      </c>
      <c r="J57" s="681" t="str">
        <f t="shared" si="13"/>
        <v/>
      </c>
      <c r="K57" s="681"/>
      <c r="L57" s="681" t="str">
        <f t="shared" si="17"/>
        <v/>
      </c>
      <c r="M57" s="681" t="str">
        <f t="shared" si="17"/>
        <v/>
      </c>
      <c r="N57" s="681" t="str">
        <f t="shared" si="17"/>
        <v/>
      </c>
      <c r="O57" s="681" t="str">
        <f t="shared" si="17"/>
        <v/>
      </c>
      <c r="P57" s="681" t="str">
        <f t="shared" si="17"/>
        <v/>
      </c>
      <c r="Q57" s="681" t="str">
        <f t="shared" si="17"/>
        <v/>
      </c>
      <c r="R57" s="681" t="str">
        <f t="shared" si="17"/>
        <v/>
      </c>
      <c r="S57" s="681" t="str">
        <f t="shared" si="17"/>
        <v/>
      </c>
      <c r="T57" s="681" t="str">
        <f t="shared" si="17"/>
        <v/>
      </c>
      <c r="U57" s="681" t="str">
        <f t="shared" si="17"/>
        <v/>
      </c>
      <c r="V57" s="681" t="str">
        <f t="shared" si="17"/>
        <v/>
      </c>
      <c r="W57" s="755" t="str">
        <f t="shared" si="17"/>
        <v/>
      </c>
      <c r="X57" s="755" t="str">
        <f t="shared" si="17"/>
        <v/>
      </c>
      <c r="Y57" s="755" t="str">
        <f t="shared" si="20"/>
        <v/>
      </c>
      <c r="Z57" s="681" t="str">
        <f t="shared" si="17"/>
        <v/>
      </c>
      <c r="AA57" s="681" t="str">
        <f t="shared" si="17"/>
        <v/>
      </c>
      <c r="AB57" s="681" t="str">
        <f t="shared" si="17"/>
        <v/>
      </c>
      <c r="AC57" s="681" t="str">
        <f t="shared" si="19"/>
        <v/>
      </c>
      <c r="AD57" s="681" t="str">
        <f t="shared" si="7"/>
        <v/>
      </c>
      <c r="AE57" s="681" t="str">
        <f t="shared" si="21"/>
        <v/>
      </c>
      <c r="AF57" s="681" t="str">
        <f t="shared" si="21"/>
        <v/>
      </c>
      <c r="AG57" s="681" t="str">
        <f t="shared" si="21"/>
        <v/>
      </c>
      <c r="AH57" s="681" t="str">
        <f t="shared" si="21"/>
        <v/>
      </c>
      <c r="AI57" s="681" t="str">
        <f t="shared" si="21"/>
        <v/>
      </c>
      <c r="AJ57" s="681" t="str">
        <f t="shared" si="21"/>
        <v/>
      </c>
      <c r="AK57" s="681" t="str">
        <f t="shared" si="21"/>
        <v/>
      </c>
      <c r="AL57" s="681" t="str">
        <f t="shared" si="21"/>
        <v/>
      </c>
      <c r="AM57" s="681" t="str">
        <f t="shared" si="21"/>
        <v/>
      </c>
      <c r="AN57" s="681" t="str">
        <f t="shared" si="21"/>
        <v/>
      </c>
      <c r="AO57" s="681" t="str">
        <f t="shared" si="21"/>
        <v/>
      </c>
      <c r="AP57" s="681" t="str">
        <f t="shared" si="21"/>
        <v/>
      </c>
      <c r="AQ57" s="681" t="str">
        <f t="shared" si="21"/>
        <v/>
      </c>
      <c r="AR57" s="681" t="str">
        <f t="shared" si="21"/>
        <v/>
      </c>
      <c r="AS57" s="681" t="str">
        <f t="shared" si="21"/>
        <v/>
      </c>
      <c r="AT57" s="681" t="str">
        <f t="shared" si="21"/>
        <v/>
      </c>
      <c r="AU57" s="681" t="str">
        <f t="shared" si="21"/>
        <v/>
      </c>
      <c r="AV57" s="681" t="str">
        <f t="shared" si="21"/>
        <v/>
      </c>
      <c r="AW57" s="681" t="str">
        <f t="shared" si="21"/>
        <v/>
      </c>
      <c r="AX57" s="681" t="str">
        <f t="shared" si="21"/>
        <v/>
      </c>
      <c r="AY57" s="681" t="str">
        <f t="shared" si="21"/>
        <v/>
      </c>
      <c r="AZ57" s="681" t="str">
        <f t="shared" si="21"/>
        <v/>
      </c>
      <c r="BA57" s="681" t="str">
        <f t="shared" si="21"/>
        <v/>
      </c>
      <c r="BB57" s="1922"/>
      <c r="BC57" s="1922"/>
      <c r="BD57" s="690"/>
      <c r="BE57" s="685">
        <v>48</v>
      </c>
    </row>
    <row r="58" spans="1:57" ht="12.75" customHeight="1">
      <c r="A58" s="751">
        <v>49</v>
      </c>
      <c r="B58" s="746" t="str">
        <f t="shared" si="12"/>
        <v/>
      </c>
      <c r="C58" s="681" t="str">
        <f t="shared" si="12"/>
        <v/>
      </c>
      <c r="D58" s="681" t="str">
        <f t="shared" si="12"/>
        <v/>
      </c>
      <c r="E58" s="681"/>
      <c r="F58" s="681"/>
      <c r="G58" s="681" t="str">
        <f t="shared" si="13"/>
        <v/>
      </c>
      <c r="H58" s="681" t="str">
        <f t="shared" si="13"/>
        <v/>
      </c>
      <c r="I58" s="681" t="str">
        <f t="shared" si="13"/>
        <v/>
      </c>
      <c r="J58" s="681" t="str">
        <f t="shared" si="13"/>
        <v/>
      </c>
      <c r="K58" s="681"/>
      <c r="L58" s="681" t="str">
        <f t="shared" si="17"/>
        <v/>
      </c>
      <c r="M58" s="681" t="str">
        <f t="shared" si="17"/>
        <v/>
      </c>
      <c r="N58" s="681" t="str">
        <f t="shared" si="17"/>
        <v/>
      </c>
      <c r="O58" s="681" t="str">
        <f t="shared" si="17"/>
        <v/>
      </c>
      <c r="P58" s="681" t="str">
        <f t="shared" si="17"/>
        <v/>
      </c>
      <c r="Q58" s="681" t="str">
        <f t="shared" si="17"/>
        <v/>
      </c>
      <c r="R58" s="681" t="str">
        <f t="shared" si="17"/>
        <v/>
      </c>
      <c r="S58" s="681" t="str">
        <f t="shared" si="17"/>
        <v/>
      </c>
      <c r="T58" s="681" t="str">
        <f t="shared" si="17"/>
        <v/>
      </c>
      <c r="U58" s="681" t="str">
        <f t="shared" si="17"/>
        <v/>
      </c>
      <c r="V58" s="681" t="str">
        <f t="shared" si="17"/>
        <v/>
      </c>
      <c r="W58" s="755" t="str">
        <f t="shared" si="17"/>
        <v/>
      </c>
      <c r="X58" s="755" t="str">
        <f t="shared" si="17"/>
        <v/>
      </c>
      <c r="Y58" s="755" t="str">
        <f t="shared" si="20"/>
        <v/>
      </c>
      <c r="Z58" s="681" t="str">
        <f t="shared" si="17"/>
        <v/>
      </c>
      <c r="AA58" s="681" t="str">
        <f t="shared" si="17"/>
        <v/>
      </c>
      <c r="AB58" s="681" t="str">
        <f t="shared" si="17"/>
        <v/>
      </c>
      <c r="AC58" s="681" t="str">
        <f t="shared" si="19"/>
        <v/>
      </c>
      <c r="AD58" s="681" t="str">
        <f t="shared" si="7"/>
        <v/>
      </c>
      <c r="AE58" s="681" t="str">
        <f t="shared" si="21"/>
        <v/>
      </c>
      <c r="AF58" s="681" t="str">
        <f t="shared" si="21"/>
        <v/>
      </c>
      <c r="AG58" s="681" t="str">
        <f t="shared" si="21"/>
        <v/>
      </c>
      <c r="AH58" s="681" t="str">
        <f t="shared" si="21"/>
        <v/>
      </c>
      <c r="AI58" s="681" t="str">
        <f t="shared" si="21"/>
        <v/>
      </c>
      <c r="AJ58" s="681" t="str">
        <f t="shared" si="21"/>
        <v/>
      </c>
      <c r="AK58" s="681" t="str">
        <f t="shared" si="21"/>
        <v/>
      </c>
      <c r="AL58" s="681" t="str">
        <f t="shared" si="21"/>
        <v/>
      </c>
      <c r="AM58" s="681" t="str">
        <f t="shared" si="21"/>
        <v/>
      </c>
      <c r="AN58" s="681" t="str">
        <f t="shared" si="21"/>
        <v/>
      </c>
      <c r="AO58" s="681" t="str">
        <f t="shared" si="21"/>
        <v/>
      </c>
      <c r="AP58" s="681" t="str">
        <f t="shared" si="21"/>
        <v/>
      </c>
      <c r="AQ58" s="681" t="str">
        <f t="shared" si="21"/>
        <v/>
      </c>
      <c r="AR58" s="681" t="str">
        <f t="shared" si="21"/>
        <v/>
      </c>
      <c r="AS58" s="681" t="str">
        <f t="shared" si="21"/>
        <v/>
      </c>
      <c r="AT58" s="681" t="str">
        <f t="shared" si="21"/>
        <v/>
      </c>
      <c r="AU58" s="681" t="str">
        <f t="shared" si="21"/>
        <v/>
      </c>
      <c r="AV58" s="681" t="str">
        <f t="shared" si="21"/>
        <v/>
      </c>
      <c r="AW58" s="681" t="str">
        <f t="shared" si="21"/>
        <v/>
      </c>
      <c r="AX58" s="681" t="str">
        <f t="shared" si="21"/>
        <v/>
      </c>
      <c r="AY58" s="681" t="str">
        <f t="shared" si="21"/>
        <v/>
      </c>
      <c r="AZ58" s="681" t="str">
        <f t="shared" si="21"/>
        <v/>
      </c>
      <c r="BA58" s="681" t="str">
        <f t="shared" si="21"/>
        <v/>
      </c>
      <c r="BB58" s="1922"/>
      <c r="BC58" s="1922"/>
      <c r="BD58" s="690"/>
      <c r="BE58" s="685">
        <v>49</v>
      </c>
    </row>
    <row r="59" spans="1:57" ht="12.75" customHeight="1" thickBot="1">
      <c r="A59" s="752">
        <v>50</v>
      </c>
      <c r="B59" s="747" t="str">
        <f t="shared" si="12"/>
        <v/>
      </c>
      <c r="C59" s="682" t="str">
        <f t="shared" si="12"/>
        <v/>
      </c>
      <c r="D59" s="682" t="str">
        <f t="shared" si="12"/>
        <v/>
      </c>
      <c r="E59" s="682"/>
      <c r="F59" s="682"/>
      <c r="G59" s="682" t="str">
        <f t="shared" si="13"/>
        <v/>
      </c>
      <c r="H59" s="682" t="str">
        <f t="shared" si="13"/>
        <v/>
      </c>
      <c r="I59" s="682" t="str">
        <f t="shared" si="13"/>
        <v/>
      </c>
      <c r="J59" s="682" t="str">
        <f t="shared" si="13"/>
        <v/>
      </c>
      <c r="K59" s="682"/>
      <c r="L59" s="682" t="str">
        <f t="shared" si="17"/>
        <v/>
      </c>
      <c r="M59" s="682" t="str">
        <f t="shared" si="17"/>
        <v/>
      </c>
      <c r="N59" s="682" t="str">
        <f t="shared" si="17"/>
        <v/>
      </c>
      <c r="O59" s="682" t="str">
        <f t="shared" si="17"/>
        <v/>
      </c>
      <c r="P59" s="682" t="str">
        <f t="shared" si="17"/>
        <v/>
      </c>
      <c r="Q59" s="682" t="str">
        <f t="shared" si="17"/>
        <v/>
      </c>
      <c r="R59" s="682" t="str">
        <f t="shared" si="17"/>
        <v/>
      </c>
      <c r="S59" s="682" t="str">
        <f t="shared" si="17"/>
        <v/>
      </c>
      <c r="T59" s="682" t="str">
        <f t="shared" si="17"/>
        <v/>
      </c>
      <c r="U59" s="682" t="str">
        <f t="shared" si="17"/>
        <v/>
      </c>
      <c r="V59" s="682" t="str">
        <f t="shared" si="17"/>
        <v/>
      </c>
      <c r="W59" s="951" t="str">
        <f t="shared" si="17"/>
        <v/>
      </c>
      <c r="X59" s="951" t="str">
        <f t="shared" si="17"/>
        <v/>
      </c>
      <c r="Y59" s="951" t="str">
        <f t="shared" si="17"/>
        <v/>
      </c>
      <c r="Z59" s="682" t="str">
        <f t="shared" si="17"/>
        <v/>
      </c>
      <c r="AA59" s="682" t="str">
        <f t="shared" si="17"/>
        <v/>
      </c>
      <c r="AB59" s="682" t="str">
        <f t="shared" si="17"/>
        <v/>
      </c>
      <c r="AC59" s="682" t="str">
        <f t="shared" si="19"/>
        <v/>
      </c>
      <c r="AD59" s="682" t="str">
        <f t="shared" si="7"/>
        <v/>
      </c>
      <c r="AE59" s="682" t="str">
        <f t="shared" si="21"/>
        <v/>
      </c>
      <c r="AF59" s="682" t="str">
        <f t="shared" si="21"/>
        <v/>
      </c>
      <c r="AG59" s="682" t="str">
        <f t="shared" si="21"/>
        <v/>
      </c>
      <c r="AH59" s="682" t="str">
        <f t="shared" si="21"/>
        <v/>
      </c>
      <c r="AI59" s="682" t="str">
        <f t="shared" si="21"/>
        <v/>
      </c>
      <c r="AJ59" s="682" t="str">
        <f t="shared" si="21"/>
        <v/>
      </c>
      <c r="AK59" s="682" t="str">
        <f t="shared" si="21"/>
        <v/>
      </c>
      <c r="AL59" s="682" t="str">
        <f t="shared" si="21"/>
        <v/>
      </c>
      <c r="AM59" s="682" t="str">
        <f t="shared" si="21"/>
        <v/>
      </c>
      <c r="AN59" s="682" t="str">
        <f t="shared" si="21"/>
        <v/>
      </c>
      <c r="AO59" s="682" t="str">
        <f t="shared" si="21"/>
        <v/>
      </c>
      <c r="AP59" s="682" t="str">
        <f t="shared" si="21"/>
        <v/>
      </c>
      <c r="AQ59" s="682" t="str">
        <f t="shared" si="21"/>
        <v/>
      </c>
      <c r="AR59" s="682" t="str">
        <f t="shared" si="21"/>
        <v/>
      </c>
      <c r="AS59" s="682" t="str">
        <f t="shared" si="21"/>
        <v/>
      </c>
      <c r="AT59" s="682" t="str">
        <f t="shared" si="21"/>
        <v/>
      </c>
      <c r="AU59" s="682" t="str">
        <f t="shared" si="21"/>
        <v/>
      </c>
      <c r="AV59" s="682" t="str">
        <f t="shared" si="21"/>
        <v/>
      </c>
      <c r="AW59" s="682" t="str">
        <f t="shared" si="21"/>
        <v/>
      </c>
      <c r="AX59" s="682" t="str">
        <f t="shared" si="21"/>
        <v/>
      </c>
      <c r="AY59" s="682" t="str">
        <f t="shared" si="21"/>
        <v/>
      </c>
      <c r="AZ59" s="682" t="str">
        <f t="shared" si="21"/>
        <v/>
      </c>
      <c r="BA59" s="682" t="str">
        <f t="shared" si="21"/>
        <v/>
      </c>
      <c r="BB59" s="1923"/>
      <c r="BC59" s="1923"/>
      <c r="BD59" s="691"/>
      <c r="BE59" s="686">
        <v>50</v>
      </c>
    </row>
    <row r="60" spans="1:57" ht="12.75" customHeight="1">
      <c r="C60" s="16"/>
    </row>
    <row r="61" spans="1:57" ht="12.75" customHeight="1">
      <c r="C61" s="16"/>
    </row>
    <row r="62" spans="1:57" ht="12.75" customHeight="1">
      <c r="C62" s="16"/>
    </row>
    <row r="63" spans="1:57" ht="12.75" customHeight="1">
      <c r="C63" s="16"/>
    </row>
    <row r="64" spans="1:57" ht="12.75" customHeight="1">
      <c r="C64" s="16"/>
    </row>
    <row r="65" spans="3:3" ht="12.75" customHeight="1">
      <c r="C65" s="16"/>
    </row>
    <row r="66" spans="3:3" ht="12.75" customHeight="1">
      <c r="C66" s="16"/>
    </row>
    <row r="67" spans="3:3" ht="12.75" customHeight="1">
      <c r="C67" s="16"/>
    </row>
    <row r="68" spans="3:3" ht="12.75" customHeight="1">
      <c r="C68" s="16"/>
    </row>
    <row r="69" spans="3:3" ht="12.75" customHeight="1">
      <c r="C69" s="16"/>
    </row>
    <row r="70" spans="3:3" ht="12.75" customHeight="1">
      <c r="C70" s="16"/>
    </row>
    <row r="71" spans="3:3" ht="12.75" customHeight="1">
      <c r="C71" s="16"/>
    </row>
    <row r="72" spans="3:3" ht="12.75" customHeight="1">
      <c r="C72" s="16"/>
    </row>
    <row r="73" spans="3:3" ht="12.75" customHeight="1">
      <c r="C73" s="16"/>
    </row>
    <row r="74" spans="3:3" ht="12.75" customHeight="1">
      <c r="C74" s="16"/>
    </row>
    <row r="75" spans="3:3" ht="12.75" customHeight="1">
      <c r="C75" s="16"/>
    </row>
    <row r="76" spans="3:3" ht="12.75" customHeight="1">
      <c r="C76" s="16"/>
    </row>
    <row r="77" spans="3:3" ht="12.75" customHeight="1">
      <c r="C77" s="16"/>
    </row>
    <row r="78" spans="3:3" ht="12.75" customHeight="1">
      <c r="C78" s="16"/>
    </row>
    <row r="79" spans="3:3" ht="12.75" customHeight="1">
      <c r="C79" s="16"/>
    </row>
    <row r="80" spans="3:3" ht="12.75" customHeight="1">
      <c r="C80" s="16"/>
    </row>
    <row r="81" spans="3:3" ht="12.75" customHeight="1">
      <c r="C81" s="16"/>
    </row>
    <row r="82" spans="3:3" ht="12.75" customHeight="1">
      <c r="C82" s="16"/>
    </row>
    <row r="83" spans="3:3" ht="12.75" customHeight="1">
      <c r="C83" s="16"/>
    </row>
    <row r="84" spans="3:3" ht="12.75" customHeight="1">
      <c r="C84" s="16"/>
    </row>
  </sheetData>
  <sheetProtection algorithmName="SHA-512" hashValue="WWUQXBu3Sk5VfoRMNa42acLn2VM5OZVKbJcGlhG0OCrJlSN1ovLE9N6JLXJI3RQdi9CmaZMYk5riC5LIZufm5Q==" saltValue="eaJm2/bGawvXFNF+CX0R6w==" spinCount="100000" sheet="1" objects="1" scenarios="1"/>
  <phoneticPr fontId="0" type="noConversion"/>
  <printOptions horizontalCentered="1"/>
  <pageMargins left="0.5" right="0.5" top="1" bottom="0.7" header="0.5" footer="0.35"/>
  <pageSetup paperSize="9" scale="69" fitToHeight="0" orientation="landscape" horizontalDpi="300" verticalDpi="300"/>
  <headerFooter alignWithMargins="0">
    <oddHeader>&amp;C&amp;"MS Sans Serif,Bold"&amp;16&amp;A</oddHeader>
    <oddFooter>&amp;L&amp;8&amp;F&amp;R&amp;8&amp;D  &amp;T</oddFooter>
  </headerFooter>
  <legacyDrawing r:id="rId1"/>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theme="5" tint="0.59999389629810485"/>
  </sheetPr>
  <dimension ref="A1:AC131"/>
  <sheetViews>
    <sheetView topLeftCell="A24" workbookViewId="0">
      <selection activeCell="K40" sqref="K40"/>
    </sheetView>
  </sheetViews>
  <sheetFormatPr baseColWidth="10" defaultColWidth="8.7109375" defaultRowHeight="13" x14ac:dyDescent="0"/>
  <cols>
    <col min="1" max="14" width="8.7109375" style="1"/>
    <col min="15" max="15" width="10.85546875" style="1" customWidth="1"/>
    <col min="16" max="16384" width="8.7109375" style="1"/>
  </cols>
  <sheetData>
    <row r="1" spans="1:29">
      <c r="A1" s="172"/>
      <c r="B1" s="2877" t="s">
        <v>649</v>
      </c>
      <c r="C1" s="2877"/>
      <c r="D1" s="172"/>
      <c r="E1" s="2877" t="s">
        <v>536</v>
      </c>
      <c r="F1" s="2877"/>
      <c r="G1" s="172"/>
      <c r="H1" s="2877" t="s">
        <v>537</v>
      </c>
      <c r="I1" s="2877"/>
      <c r="J1" s="172"/>
      <c r="K1" s="225"/>
      <c r="L1" s="226" t="s">
        <v>1217</v>
      </c>
      <c r="M1" s="226" t="s">
        <v>1216</v>
      </c>
      <c r="O1" s="225" t="s">
        <v>1361</v>
      </c>
      <c r="P1" s="172"/>
      <c r="Q1" s="224" t="s">
        <v>1362</v>
      </c>
      <c r="R1" s="172"/>
      <c r="S1" s="992" t="s">
        <v>1148</v>
      </c>
      <c r="AC1" s="172" t="s">
        <v>1078</v>
      </c>
    </row>
    <row r="2" spans="1:29">
      <c r="A2" s="172"/>
      <c r="B2" s="763" t="s">
        <v>650</v>
      </c>
      <c r="C2" s="764" t="s">
        <v>1207</v>
      </c>
      <c r="D2" s="172"/>
      <c r="E2" s="2875" t="s">
        <v>22</v>
      </c>
      <c r="F2" s="2876"/>
      <c r="G2" s="172"/>
      <c r="H2" s="2875" t="s">
        <v>1214</v>
      </c>
      <c r="I2" s="2876"/>
      <c r="J2" s="172"/>
      <c r="K2" s="1019" t="s">
        <v>141</v>
      </c>
      <c r="L2" s="1020">
        <v>3</v>
      </c>
      <c r="M2" s="1021">
        <v>8</v>
      </c>
      <c r="O2" s="1029" t="s">
        <v>376</v>
      </c>
      <c r="P2" s="172"/>
      <c r="Q2" s="167" t="s">
        <v>1363</v>
      </c>
      <c r="R2" s="172"/>
      <c r="S2" s="993">
        <v>1</v>
      </c>
      <c r="U2" s="1032" t="s">
        <v>69</v>
      </c>
      <c r="V2" s="1033"/>
      <c r="W2" s="497"/>
      <c r="X2" s="497"/>
      <c r="Y2" s="1034"/>
      <c r="Z2" s="1033"/>
      <c r="AA2" s="500"/>
      <c r="AB2" s="172"/>
      <c r="AC2" s="1010" t="s">
        <v>1079</v>
      </c>
    </row>
    <row r="3" spans="1:29">
      <c r="A3" s="172"/>
      <c r="B3" s="765">
        <v>1</v>
      </c>
      <c r="C3" s="766" t="s">
        <v>1339</v>
      </c>
      <c r="D3" s="172"/>
      <c r="E3" s="549" t="s">
        <v>1378</v>
      </c>
      <c r="F3" s="550" t="s">
        <v>1380</v>
      </c>
      <c r="G3" s="172"/>
      <c r="H3" s="549" t="s">
        <v>1378</v>
      </c>
      <c r="I3" s="550" t="s">
        <v>1321</v>
      </c>
      <c r="J3" s="172"/>
      <c r="K3" s="1022" t="s">
        <v>142</v>
      </c>
      <c r="L3" s="1023">
        <v>3</v>
      </c>
      <c r="M3" s="1024">
        <v>6</v>
      </c>
      <c r="O3" s="1030" t="s">
        <v>377</v>
      </c>
      <c r="P3" s="172"/>
      <c r="Q3" s="168" t="s">
        <v>1364</v>
      </c>
      <c r="R3" s="172"/>
      <c r="S3" s="994">
        <v>2</v>
      </c>
      <c r="U3" s="1035" t="s">
        <v>70</v>
      </c>
      <c r="V3" s="1036"/>
      <c r="W3" s="492"/>
      <c r="X3" s="492"/>
      <c r="Y3" s="108"/>
      <c r="Z3" s="1036"/>
      <c r="AA3" s="502"/>
      <c r="AB3" s="172"/>
      <c r="AC3" s="1011" t="s">
        <v>1077</v>
      </c>
    </row>
    <row r="4" spans="1:29">
      <c r="A4" s="172"/>
      <c r="B4" s="765">
        <v>2</v>
      </c>
      <c r="C4" s="766">
        <v>0.82</v>
      </c>
      <c r="D4" s="172"/>
      <c r="E4" s="549" t="s">
        <v>23</v>
      </c>
      <c r="F4" s="550">
        <v>9.8692300000000001E-4</v>
      </c>
      <c r="G4" s="172"/>
      <c r="H4" s="549" t="s">
        <v>1385</v>
      </c>
      <c r="I4" s="550">
        <v>3.28084</v>
      </c>
      <c r="J4" s="172"/>
      <c r="K4" s="1022" t="s">
        <v>143</v>
      </c>
      <c r="L4" s="1023">
        <v>2</v>
      </c>
      <c r="M4" s="1024">
        <v>6</v>
      </c>
      <c r="O4" s="1392" t="s">
        <v>1631</v>
      </c>
      <c r="P4" s="172"/>
      <c r="Q4" s="168" t="s">
        <v>1365</v>
      </c>
      <c r="R4" s="172"/>
      <c r="S4" s="994">
        <v>3</v>
      </c>
      <c r="U4" s="1035" t="s">
        <v>572</v>
      </c>
      <c r="V4" s="1036"/>
      <c r="W4" s="492"/>
      <c r="X4" s="492"/>
      <c r="Y4" s="108"/>
      <c r="Z4" s="108"/>
      <c r="AA4" s="502"/>
      <c r="AB4" s="172"/>
      <c r="AC4" s="1011" t="s">
        <v>1424</v>
      </c>
    </row>
    <row r="5" spans="1:29">
      <c r="A5" s="172"/>
      <c r="B5" s="765">
        <v>3</v>
      </c>
      <c r="C5" s="766">
        <v>0.84</v>
      </c>
      <c r="D5" s="172"/>
      <c r="E5" s="549" t="s">
        <v>24</v>
      </c>
      <c r="F5" s="550">
        <v>1E-3</v>
      </c>
      <c r="G5" s="172"/>
      <c r="H5" s="549" t="s">
        <v>633</v>
      </c>
      <c r="I5" s="550">
        <v>3.6</v>
      </c>
      <c r="J5" s="172"/>
      <c r="K5" s="1022" t="s">
        <v>144</v>
      </c>
      <c r="L5" s="1023">
        <v>2</v>
      </c>
      <c r="M5" s="1024">
        <v>6</v>
      </c>
      <c r="O5" s="1030" t="s">
        <v>378</v>
      </c>
      <c r="P5" s="172"/>
      <c r="Q5" s="168" t="s">
        <v>1366</v>
      </c>
      <c r="R5" s="172"/>
      <c r="S5" s="994">
        <v>4</v>
      </c>
      <c r="U5" s="1035" t="s">
        <v>94</v>
      </c>
      <c r="V5" s="1036"/>
      <c r="W5" s="492"/>
      <c r="X5" s="492"/>
      <c r="Y5" s="108"/>
      <c r="Z5" s="1036"/>
      <c r="AA5" s="502"/>
      <c r="AB5" s="172"/>
      <c r="AC5" s="1012" t="s">
        <v>1926</v>
      </c>
    </row>
    <row r="6" spans="1:29">
      <c r="A6" s="172"/>
      <c r="B6" s="765">
        <v>4</v>
      </c>
      <c r="C6" s="766">
        <v>0.81</v>
      </c>
      <c r="D6" s="172"/>
      <c r="E6" s="549" t="s">
        <v>21</v>
      </c>
      <c r="F6" s="550">
        <v>1</v>
      </c>
      <c r="G6" s="172"/>
      <c r="H6" s="549" t="s">
        <v>1218</v>
      </c>
      <c r="I6" s="550">
        <v>1</v>
      </c>
      <c r="J6" s="172"/>
      <c r="K6" s="1022" t="s">
        <v>145</v>
      </c>
      <c r="L6" s="1023">
        <v>3</v>
      </c>
      <c r="M6" s="1024">
        <v>6</v>
      </c>
      <c r="O6" s="1392" t="s">
        <v>1632</v>
      </c>
      <c r="P6" s="172"/>
      <c r="Q6" s="1402" t="s">
        <v>2013</v>
      </c>
      <c r="R6" s="172"/>
      <c r="S6" s="994" t="s">
        <v>1146</v>
      </c>
      <c r="U6" s="1035" t="s">
        <v>67</v>
      </c>
      <c r="V6" s="1036"/>
      <c r="W6" s="492"/>
      <c r="X6" s="492"/>
      <c r="Y6" s="108"/>
      <c r="Z6" s="1036"/>
      <c r="AA6" s="502"/>
      <c r="AB6" s="172"/>
    </row>
    <row r="7" spans="1:29">
      <c r="A7" s="172"/>
      <c r="B7" s="765">
        <v>5</v>
      </c>
      <c r="C7" s="766">
        <v>1</v>
      </c>
      <c r="D7" s="172"/>
      <c r="E7" s="549" t="s">
        <v>20</v>
      </c>
      <c r="F7" s="550">
        <v>0.75006399999999995</v>
      </c>
      <c r="G7" s="172"/>
      <c r="H7" s="555"/>
      <c r="I7" s="556"/>
      <c r="J7" s="172"/>
      <c r="K7" s="1022" t="s">
        <v>146</v>
      </c>
      <c r="L7" s="1023">
        <v>3</v>
      </c>
      <c r="M7" s="1024">
        <v>6</v>
      </c>
      <c r="O7" s="1392" t="s">
        <v>1633</v>
      </c>
      <c r="P7" s="172"/>
      <c r="Q7" s="168" t="s">
        <v>1367</v>
      </c>
      <c r="R7" s="172"/>
      <c r="S7" s="995" t="s">
        <v>1147</v>
      </c>
      <c r="U7" s="1037" t="s">
        <v>68</v>
      </c>
      <c r="V7" s="1036"/>
      <c r="W7" s="492"/>
      <c r="X7" s="492"/>
      <c r="Y7" s="108"/>
      <c r="Z7" s="1036"/>
      <c r="AA7" s="502"/>
      <c r="AB7" s="172"/>
      <c r="AC7" s="226" t="s">
        <v>87</v>
      </c>
    </row>
    <row r="8" spans="1:29">
      <c r="A8" s="172"/>
      <c r="B8" s="765">
        <v>6</v>
      </c>
      <c r="C8" s="766">
        <v>0.8</v>
      </c>
      <c r="D8" s="172"/>
      <c r="E8" s="558" t="str">
        <f>BPU</f>
        <v>hPa</v>
      </c>
      <c r="F8" s="559">
        <f>VLOOKUP(BPU,BPTable,2)</f>
        <v>1</v>
      </c>
      <c r="G8" s="172"/>
      <c r="H8" s="558" t="str">
        <f>VU</f>
        <v>m/s</v>
      </c>
      <c r="I8" s="559">
        <f>VLOOKUP(VU,VelocityTable,2)</f>
        <v>1</v>
      </c>
      <c r="J8" s="172"/>
      <c r="K8" s="1022" t="s">
        <v>147</v>
      </c>
      <c r="L8" s="1023">
        <v>2</v>
      </c>
      <c r="M8" s="1024">
        <v>6</v>
      </c>
      <c r="O8" s="1030" t="s">
        <v>379</v>
      </c>
      <c r="P8" s="172"/>
      <c r="Q8" s="170" t="s">
        <v>1369</v>
      </c>
      <c r="R8" s="172"/>
      <c r="U8" s="1038"/>
      <c r="V8" s="1039"/>
      <c r="W8" s="1040"/>
      <c r="X8" s="1040"/>
      <c r="Y8" s="1041"/>
      <c r="Z8" s="1039"/>
      <c r="AA8" s="1042"/>
      <c r="AB8" s="172"/>
      <c r="AC8" s="1013" t="s">
        <v>88</v>
      </c>
    </row>
    <row r="9" spans="1:29">
      <c r="A9" s="172"/>
      <c r="B9" s="765">
        <v>7</v>
      </c>
      <c r="C9" s="766">
        <v>1</v>
      </c>
      <c r="D9" s="172"/>
      <c r="E9" s="2875" t="s">
        <v>508</v>
      </c>
      <c r="F9" s="2876"/>
      <c r="G9" s="172"/>
      <c r="H9" s="2875" t="s">
        <v>1371</v>
      </c>
      <c r="I9" s="2876"/>
      <c r="J9" s="172"/>
      <c r="K9" s="1022" t="s">
        <v>148</v>
      </c>
      <c r="L9" s="1023">
        <v>2</v>
      </c>
      <c r="M9" s="1024">
        <v>6</v>
      </c>
      <c r="O9" s="1030" t="s">
        <v>380</v>
      </c>
      <c r="P9" s="172"/>
      <c r="Q9" s="171" t="s">
        <v>1370</v>
      </c>
      <c r="R9" s="172"/>
      <c r="S9" s="227" t="s">
        <v>671</v>
      </c>
      <c r="V9" s="230"/>
      <c r="Y9" s="172"/>
      <c r="AB9" s="172"/>
      <c r="AC9" s="1014" t="s">
        <v>89</v>
      </c>
    </row>
    <row r="10" spans="1:29">
      <c r="A10" s="172"/>
      <c r="B10" s="765">
        <v>8</v>
      </c>
      <c r="C10" s="766">
        <v>0.84</v>
      </c>
      <c r="D10" s="172"/>
      <c r="E10" s="549" t="s">
        <v>1378</v>
      </c>
      <c r="F10" s="550" t="s">
        <v>1380</v>
      </c>
      <c r="G10" s="172"/>
      <c r="H10" s="549" t="s">
        <v>1378</v>
      </c>
      <c r="I10" s="550" t="s">
        <v>1321</v>
      </c>
      <c r="J10" s="172"/>
      <c r="K10" s="1025" t="s">
        <v>149</v>
      </c>
      <c r="L10" s="1023">
        <v>2</v>
      </c>
      <c r="M10" s="1024">
        <v>6</v>
      </c>
      <c r="O10" s="1392" t="s">
        <v>1634</v>
      </c>
      <c r="P10" s="172"/>
      <c r="Q10" s="172"/>
      <c r="R10" s="172"/>
      <c r="S10" s="1010" t="s">
        <v>672</v>
      </c>
      <c r="U10" s="172"/>
      <c r="W10" s="230"/>
      <c r="Y10" s="172"/>
      <c r="AB10" s="172"/>
      <c r="AC10" s="1014" t="s">
        <v>90</v>
      </c>
    </row>
    <row r="11" spans="1:29">
      <c r="A11" s="172"/>
      <c r="B11" s="765">
        <v>9</v>
      </c>
      <c r="C11" s="766">
        <v>1.01</v>
      </c>
      <c r="D11" s="172"/>
      <c r="E11" s="549" t="s">
        <v>21</v>
      </c>
      <c r="F11" s="550">
        <v>0.01</v>
      </c>
      <c r="G11" s="172"/>
      <c r="H11" s="549" t="s">
        <v>1201</v>
      </c>
      <c r="I11" s="550">
        <v>100</v>
      </c>
      <c r="J11" s="172"/>
      <c r="K11" s="1022" t="s">
        <v>150</v>
      </c>
      <c r="L11" s="1023">
        <v>3</v>
      </c>
      <c r="M11" s="1024">
        <v>8</v>
      </c>
      <c r="O11" s="1392" t="s">
        <v>381</v>
      </c>
      <c r="P11" s="172"/>
      <c r="Q11" s="227" t="s">
        <v>1033</v>
      </c>
      <c r="R11" s="172"/>
      <c r="S11" s="1011" t="s">
        <v>673</v>
      </c>
      <c r="U11" s="172"/>
      <c r="W11" s="230"/>
      <c r="Y11" s="172"/>
      <c r="AB11" s="172"/>
      <c r="AC11" s="1014" t="s">
        <v>93</v>
      </c>
    </row>
    <row r="12" spans="1:29">
      <c r="A12" s="172"/>
      <c r="B12" s="765">
        <v>12</v>
      </c>
      <c r="C12" s="766">
        <v>1</v>
      </c>
      <c r="D12" s="172"/>
      <c r="E12" s="549" t="s">
        <v>19</v>
      </c>
      <c r="F12" s="550">
        <v>4.0146299999999999E-3</v>
      </c>
      <c r="G12" s="172"/>
      <c r="H12" s="549" t="s">
        <v>947</v>
      </c>
      <c r="I12" s="551">
        <v>1000000</v>
      </c>
      <c r="J12" s="172"/>
      <c r="K12" s="1022" t="s">
        <v>151</v>
      </c>
      <c r="L12" s="1023">
        <v>3</v>
      </c>
      <c r="M12" s="1024">
        <v>6</v>
      </c>
      <c r="O12" s="1392" t="s">
        <v>1635</v>
      </c>
      <c r="P12" s="172"/>
      <c r="Q12" s="175" t="s">
        <v>166</v>
      </c>
      <c r="R12" s="172"/>
      <c r="S12" s="1012" t="s">
        <v>674</v>
      </c>
      <c r="U12" s="248"/>
      <c r="V12" s="108"/>
      <c r="W12" s="248"/>
      <c r="X12" s="248"/>
      <c r="Y12" s="248"/>
      <c r="Z12" s="108"/>
      <c r="AB12" s="172"/>
      <c r="AC12" s="1012" t="s">
        <v>170</v>
      </c>
    </row>
    <row r="13" spans="1:29">
      <c r="A13" s="172"/>
      <c r="B13" s="765">
        <v>13</v>
      </c>
      <c r="C13" s="766">
        <v>1</v>
      </c>
      <c r="D13" s="172"/>
      <c r="E13" s="780" t="s">
        <v>862</v>
      </c>
      <c r="F13" s="550">
        <v>2.9530000000000002E-4</v>
      </c>
      <c r="G13" s="172"/>
      <c r="H13" s="549" t="s">
        <v>45</v>
      </c>
      <c r="I13" s="551">
        <v>1000000000</v>
      </c>
      <c r="J13" s="172"/>
      <c r="K13" s="1022" t="s">
        <v>152</v>
      </c>
      <c r="L13" s="1023">
        <v>3</v>
      </c>
      <c r="M13" s="1024">
        <v>6</v>
      </c>
      <c r="O13" s="1392" t="s">
        <v>1636</v>
      </c>
      <c r="P13" s="172"/>
      <c r="Q13" s="168" t="s">
        <v>167</v>
      </c>
      <c r="R13" s="172"/>
      <c r="U13" s="242" t="s">
        <v>1466</v>
      </c>
      <c r="V13" s="243" t="s">
        <v>15</v>
      </c>
      <c r="W13" s="243" t="s">
        <v>1214</v>
      </c>
      <c r="X13" s="243" t="s">
        <v>16</v>
      </c>
      <c r="Y13" s="243" t="s">
        <v>1292</v>
      </c>
      <c r="Z13" s="244" t="s">
        <v>17</v>
      </c>
      <c r="AB13" s="172"/>
    </row>
    <row r="14" spans="1:29">
      <c r="A14" s="172"/>
      <c r="B14" s="765">
        <v>14</v>
      </c>
      <c r="C14" s="766">
        <v>1</v>
      </c>
      <c r="D14" s="172"/>
      <c r="E14" s="549" t="s">
        <v>326</v>
      </c>
      <c r="F14" s="550">
        <v>1E-3</v>
      </c>
      <c r="G14" s="172"/>
      <c r="H14" s="549" t="s">
        <v>1383</v>
      </c>
      <c r="I14" s="550">
        <v>1</v>
      </c>
      <c r="J14" s="172"/>
      <c r="K14" s="1022" t="s">
        <v>153</v>
      </c>
      <c r="L14" s="1023">
        <v>2</v>
      </c>
      <c r="M14" s="1024">
        <v>6</v>
      </c>
      <c r="O14" s="1030" t="s">
        <v>382</v>
      </c>
      <c r="P14" s="172"/>
      <c r="Q14" s="171" t="s">
        <v>168</v>
      </c>
      <c r="R14" s="172"/>
      <c r="S14" s="227" t="s">
        <v>667</v>
      </c>
      <c r="U14" s="245" t="s">
        <v>1242</v>
      </c>
      <c r="V14" s="239" t="e">
        <f>AVERAGE('Flows &amp; Isokinetics'!$G$15:$G$74)</f>
        <v>#DIV/0!</v>
      </c>
      <c r="W14" s="239" t="e">
        <f>AVERAGE('Flows &amp; Isokinetics'!$P$15:$P$74)</f>
        <v>#DIV/0!</v>
      </c>
      <c r="X14" s="239" t="e">
        <f>AVERAGE('Flows &amp; Isokinetics'!$M$15:$M$74)</f>
        <v>#DIV/0!</v>
      </c>
      <c r="Y14" s="239" t="e">
        <f>AVERAGE('Flows &amp; Isokinetics'!$H$15:$H$74)+273.15</f>
        <v>#DIV/0!</v>
      </c>
      <c r="Z14" s="246">
        <v>0</v>
      </c>
      <c r="AB14" s="172"/>
      <c r="AC14" s="1016" t="s">
        <v>1357</v>
      </c>
    </row>
    <row r="15" spans="1:29">
      <c r="A15" s="172"/>
      <c r="B15" s="765">
        <v>15</v>
      </c>
      <c r="C15" s="766">
        <v>1</v>
      </c>
      <c r="D15" s="172"/>
      <c r="E15" s="549" t="s">
        <v>861</v>
      </c>
      <c r="F15" s="550">
        <v>0.10197000000000001</v>
      </c>
      <c r="G15" s="172"/>
      <c r="H15" s="549" t="s">
        <v>1376</v>
      </c>
      <c r="I15" s="550">
        <v>1000</v>
      </c>
      <c r="J15" s="172"/>
      <c r="K15" s="1022" t="s">
        <v>371</v>
      </c>
      <c r="L15" s="1023">
        <v>2</v>
      </c>
      <c r="M15" s="1024">
        <v>6</v>
      </c>
      <c r="O15" s="1030" t="s">
        <v>383</v>
      </c>
      <c r="P15" s="172"/>
      <c r="Q15" s="172"/>
      <c r="R15" s="172"/>
      <c r="S15" s="1010" t="s">
        <v>666</v>
      </c>
      <c r="U15" s="245" t="s">
        <v>1267</v>
      </c>
      <c r="V15" s="239">
        <f>MIN('Flows &amp; Isokinetics'!$G$15:$G$74)</f>
        <v>0</v>
      </c>
      <c r="W15" s="239">
        <f>IF(W16=0,999999,MIN('Flows &amp; Isokinetics'!$P$15:$P$74))</f>
        <v>999999</v>
      </c>
      <c r="X15" s="239">
        <f>MIN('Flows &amp; Isokinetics'!$M$15:$M$74)</f>
        <v>0</v>
      </c>
      <c r="Y15" s="239">
        <f>MIN('Flows &amp; Isokinetics'!$H$15:$H$74)+273.15</f>
        <v>273.14999999999998</v>
      </c>
      <c r="Z15" s="240"/>
      <c r="AA15" s="172"/>
      <c r="AB15" s="172"/>
      <c r="AC15" s="1015" t="s">
        <v>1358</v>
      </c>
    </row>
    <row r="16" spans="1:29">
      <c r="A16" s="172"/>
      <c r="B16" s="765">
        <v>16</v>
      </c>
      <c r="C16" s="766">
        <v>1</v>
      </c>
      <c r="D16" s="172"/>
      <c r="E16" s="549" t="s">
        <v>20</v>
      </c>
      <c r="F16" s="550">
        <v>7.5006400000000003E-3</v>
      </c>
      <c r="G16" s="172"/>
      <c r="H16" s="549" t="s">
        <v>1353</v>
      </c>
      <c r="I16" s="550">
        <v>1000</v>
      </c>
      <c r="J16" s="172"/>
      <c r="K16" s="1025" t="s">
        <v>275</v>
      </c>
      <c r="L16" s="1023">
        <v>2</v>
      </c>
      <c r="M16" s="1024">
        <v>6</v>
      </c>
      <c r="O16" s="1392" t="s">
        <v>1637</v>
      </c>
      <c r="P16" s="172"/>
      <c r="Q16" s="227" t="s">
        <v>1031</v>
      </c>
      <c r="R16" s="172"/>
      <c r="S16" s="1011" t="s">
        <v>675</v>
      </c>
      <c r="U16" s="245" t="s">
        <v>1268</v>
      </c>
      <c r="V16" s="239">
        <f>MAX('Flows &amp; Isokinetics'!$G$15:$G$74)</f>
        <v>0</v>
      </c>
      <c r="W16" s="239">
        <f>MAX('Flows &amp; Isokinetics'!$P$15:$P$74)</f>
        <v>0</v>
      </c>
      <c r="X16" s="239">
        <f>MAX('Flows &amp; Isokinetics'!$M$15:$M$74)</f>
        <v>0</v>
      </c>
      <c r="Y16" s="239">
        <f>MAX('Flows &amp; Isokinetics'!$H$15:$H$74)+273.15</f>
        <v>273.14999999999998</v>
      </c>
      <c r="Z16" s="240"/>
      <c r="AB16" s="248"/>
      <c r="AC16" s="1017" t="s">
        <v>159</v>
      </c>
    </row>
    <row r="17" spans="1:29">
      <c r="A17" s="172"/>
      <c r="B17" s="765">
        <v>17</v>
      </c>
      <c r="C17" s="766">
        <v>0.83</v>
      </c>
      <c r="D17" s="172"/>
      <c r="E17" s="549" t="s">
        <v>1245</v>
      </c>
      <c r="F17" s="550">
        <v>1</v>
      </c>
      <c r="G17" s="172"/>
      <c r="H17" s="549" t="s">
        <v>1377</v>
      </c>
      <c r="I17" s="551">
        <v>1000000</v>
      </c>
      <c r="J17" s="172"/>
      <c r="K17" s="1022" t="s">
        <v>154</v>
      </c>
      <c r="L17" s="1023">
        <v>2</v>
      </c>
      <c r="M17" s="1024">
        <v>6</v>
      </c>
      <c r="O17" s="1392" t="s">
        <v>384</v>
      </c>
      <c r="P17" s="172"/>
      <c r="Q17" s="175" t="s">
        <v>1034</v>
      </c>
      <c r="R17" s="172"/>
      <c r="S17" s="1012" t="s">
        <v>670</v>
      </c>
      <c r="U17" s="247" t="s">
        <v>50</v>
      </c>
      <c r="V17" s="254">
        <f>IF(OR(V15=0,V16=0),0,V16/V15)</f>
        <v>0</v>
      </c>
      <c r="W17" s="254">
        <f>IF(OR(W15=0,W16=0),0,W16/W15)</f>
        <v>0</v>
      </c>
      <c r="X17" s="253"/>
      <c r="Y17" s="254" t="e">
        <f>IF(AND(Y15=0,Y16=0),0,MAX(ABS(Y14-Y15+273.15)/(Y14+273.15),ABS(Y16-Y14+273.15)/(Y14+273.15)))</f>
        <v>#DIV/0!</v>
      </c>
      <c r="Z17" s="241"/>
      <c r="AB17" s="249"/>
      <c r="AC17" s="1017" t="s">
        <v>160</v>
      </c>
    </row>
    <row r="18" spans="1:29">
      <c r="A18" s="172"/>
      <c r="B18" s="765">
        <v>18</v>
      </c>
      <c r="C18" s="766">
        <v>1.02</v>
      </c>
      <c r="D18" s="172"/>
      <c r="E18" s="558" t="str">
        <f>DPU</f>
        <v>Pa</v>
      </c>
      <c r="F18" s="559">
        <f>VLOOKUP(DPU,DPTable,2)</f>
        <v>1</v>
      </c>
      <c r="G18" s="172"/>
      <c r="H18" s="549" t="s">
        <v>46</v>
      </c>
      <c r="I18" s="551">
        <v>1000000000000</v>
      </c>
      <c r="J18" s="172"/>
      <c r="K18" s="1022" t="s">
        <v>155</v>
      </c>
      <c r="L18" s="1023">
        <v>3</v>
      </c>
      <c r="M18" s="1024">
        <v>6</v>
      </c>
      <c r="O18" s="1392" t="s">
        <v>1638</v>
      </c>
      <c r="P18" s="172"/>
      <c r="Q18" s="171" t="s">
        <v>1035</v>
      </c>
      <c r="R18" s="172"/>
      <c r="U18" s="172"/>
      <c r="V18" s="172"/>
      <c r="W18" s="172"/>
      <c r="X18" s="172"/>
      <c r="Y18" s="172"/>
      <c r="Z18" s="172"/>
      <c r="AB18" s="251"/>
      <c r="AC18" s="1017" t="s">
        <v>161</v>
      </c>
    </row>
    <row r="19" spans="1:29">
      <c r="A19" s="172"/>
      <c r="B19" s="765">
        <v>19</v>
      </c>
      <c r="C19" s="766">
        <v>1.01</v>
      </c>
      <c r="D19" s="172"/>
      <c r="E19" s="2875" t="s">
        <v>617</v>
      </c>
      <c r="F19" s="2876"/>
      <c r="G19" s="172"/>
      <c r="H19" s="549" t="s">
        <v>945</v>
      </c>
      <c r="I19" s="551">
        <v>1000000000000000</v>
      </c>
      <c r="J19" s="172"/>
      <c r="K19" s="1022" t="s">
        <v>156</v>
      </c>
      <c r="L19" s="1023">
        <v>3</v>
      </c>
      <c r="M19" s="1024">
        <v>6</v>
      </c>
      <c r="O19" s="1392" t="s">
        <v>1639</v>
      </c>
      <c r="P19" s="172"/>
      <c r="R19" s="172"/>
      <c r="S19" s="227" t="s">
        <v>350</v>
      </c>
      <c r="U19" s="172"/>
      <c r="V19" s="172"/>
      <c r="W19" s="172"/>
      <c r="X19" s="172"/>
      <c r="Y19" s="172"/>
      <c r="Z19" s="172"/>
      <c r="AB19" s="251"/>
      <c r="AC19" s="1017" t="s">
        <v>162</v>
      </c>
    </row>
    <row r="20" spans="1:29">
      <c r="A20" s="172"/>
      <c r="B20" s="765">
        <v>20</v>
      </c>
      <c r="C20" s="766">
        <v>0.84</v>
      </c>
      <c r="D20" s="172"/>
      <c r="E20" s="549" t="s">
        <v>1378</v>
      </c>
      <c r="F20" s="550" t="s">
        <v>1380</v>
      </c>
      <c r="G20" s="172"/>
      <c r="H20" s="549" t="s">
        <v>259</v>
      </c>
      <c r="I20" s="551">
        <v>1000000000</v>
      </c>
      <c r="J20" s="172"/>
      <c r="K20" s="1022" t="s">
        <v>157</v>
      </c>
      <c r="L20" s="1023">
        <v>3</v>
      </c>
      <c r="M20" s="1024">
        <v>6</v>
      </c>
      <c r="O20" s="1030" t="s">
        <v>385</v>
      </c>
      <c r="P20" s="172"/>
      <c r="Q20" s="227" t="s">
        <v>331</v>
      </c>
      <c r="R20" s="172"/>
      <c r="S20" s="1401" t="s">
        <v>349</v>
      </c>
      <c r="U20" s="242" t="s">
        <v>1467</v>
      </c>
      <c r="V20" s="243" t="s">
        <v>15</v>
      </c>
      <c r="W20" s="243" t="s">
        <v>1214</v>
      </c>
      <c r="X20" s="243" t="s">
        <v>16</v>
      </c>
      <c r="Y20" s="243" t="s">
        <v>1292</v>
      </c>
      <c r="Z20" s="244" t="s">
        <v>17</v>
      </c>
      <c r="AB20" s="251"/>
      <c r="AC20" s="1017" t="s">
        <v>370</v>
      </c>
    </row>
    <row r="21" spans="1:29">
      <c r="A21" s="172"/>
      <c r="B21" s="765">
        <v>22</v>
      </c>
      <c r="C21" s="766">
        <v>0.84</v>
      </c>
      <c r="D21" s="172"/>
      <c r="E21" s="549" t="s">
        <v>21</v>
      </c>
      <c r="F21" s="550">
        <v>0.01</v>
      </c>
      <c r="G21" s="172"/>
      <c r="H21" s="549" t="s">
        <v>1200</v>
      </c>
      <c r="I21" s="551">
        <v>1000000</v>
      </c>
      <c r="J21" s="172"/>
      <c r="K21" s="1022" t="s">
        <v>158</v>
      </c>
      <c r="L21" s="1023">
        <v>3</v>
      </c>
      <c r="M21" s="1024">
        <v>6</v>
      </c>
      <c r="O21" s="1030" t="s">
        <v>386</v>
      </c>
      <c r="P21" s="172"/>
      <c r="Q21" s="175" t="s">
        <v>1462</v>
      </c>
      <c r="R21" s="172"/>
      <c r="S21" s="1402" t="s">
        <v>1658</v>
      </c>
      <c r="U21" s="245" t="s">
        <v>1242</v>
      </c>
      <c r="V21" s="239" t="e">
        <f>AVERAGE('Flows &amp; Isokinetics'!$G$81:$G$140)</f>
        <v>#DIV/0!</v>
      </c>
      <c r="W21" s="239" t="e">
        <f>AVERAGE('Flows &amp; Isokinetics'!$P$81:$P$140)</f>
        <v>#DIV/0!</v>
      </c>
      <c r="X21" s="239" t="e">
        <f>AVERAGE('Flows &amp; Isokinetics'!$M$81:$M$140)</f>
        <v>#DIV/0!</v>
      </c>
      <c r="Y21" s="239" t="e">
        <f>AVERAGE('Flows &amp; Isokinetics'!$H$81:$H$140)+273.15</f>
        <v>#DIV/0!</v>
      </c>
      <c r="Z21" s="246">
        <v>0</v>
      </c>
      <c r="AB21" s="251"/>
      <c r="AC21" s="1017" t="s">
        <v>163</v>
      </c>
    </row>
    <row r="22" spans="1:29">
      <c r="A22" s="172"/>
      <c r="B22" s="765">
        <v>23</v>
      </c>
      <c r="C22" s="766">
        <v>0.84</v>
      </c>
      <c r="D22" s="172"/>
      <c r="E22" s="549" t="s">
        <v>19</v>
      </c>
      <c r="F22" s="550">
        <v>4.0146299999999999E-3</v>
      </c>
      <c r="G22" s="172"/>
      <c r="H22" s="549" t="s">
        <v>946</v>
      </c>
      <c r="I22" s="551">
        <v>1000000000000</v>
      </c>
      <c r="J22" s="172"/>
      <c r="K22" s="1026"/>
      <c r="L22" s="1027">
        <v>2</v>
      </c>
      <c r="M22" s="1028">
        <v>6</v>
      </c>
      <c r="O22" s="1392" t="s">
        <v>1640</v>
      </c>
      <c r="P22" s="172"/>
      <c r="Q22" s="168" t="s">
        <v>1281</v>
      </c>
      <c r="R22" s="172"/>
      <c r="S22" s="171"/>
      <c r="U22" s="245" t="s">
        <v>1267</v>
      </c>
      <c r="V22" s="239">
        <f>MIN('Flows &amp; Isokinetics'!$G$81:$G$140)</f>
        <v>0</v>
      </c>
      <c r="W22" s="239">
        <f>IF(W23=0,999999,MIN('Flows &amp; Isokinetics'!$P$81:$P$140))</f>
        <v>999999</v>
      </c>
      <c r="X22" s="239">
        <f>MIN('Flows &amp; Isokinetics'!$M$81:$M$140)</f>
        <v>0</v>
      </c>
      <c r="Y22" s="239">
        <f>MIN('Flows &amp; Isokinetics'!$H$81:$H$140)+273.15</f>
        <v>273.14999999999998</v>
      </c>
      <c r="Z22" s="240"/>
      <c r="AB22" s="251"/>
      <c r="AC22" s="1017" t="s">
        <v>1359</v>
      </c>
    </row>
    <row r="23" spans="1:29">
      <c r="A23" s="172"/>
      <c r="B23" s="765">
        <v>25</v>
      </c>
      <c r="C23" s="766">
        <v>0.84</v>
      </c>
      <c r="D23" s="172"/>
      <c r="E23" s="549" t="s">
        <v>20</v>
      </c>
      <c r="F23" s="550">
        <v>7.5006400000000003E-3</v>
      </c>
      <c r="G23" s="172"/>
      <c r="H23" s="558" t="str">
        <f>CU</f>
        <v>mg/m³</v>
      </c>
      <c r="I23" s="559">
        <f>VLOOKUP(CU,ConcTable,2)</f>
        <v>1000000</v>
      </c>
      <c r="J23" s="172"/>
      <c r="O23" s="1392" t="s">
        <v>387</v>
      </c>
      <c r="Q23" s="171"/>
      <c r="U23" s="245" t="s">
        <v>1268</v>
      </c>
      <c r="V23" s="239">
        <f>MAX('Flows &amp; Isokinetics'!$G$81:$G$140)</f>
        <v>0</v>
      </c>
      <c r="W23" s="239">
        <f>MAX('Flows &amp; Isokinetics'!$P$81:$P$140)</f>
        <v>0</v>
      </c>
      <c r="X23" s="239">
        <f>MAX('Flows &amp; Isokinetics'!$M$81:$M$140)</f>
        <v>0</v>
      </c>
      <c r="Y23" s="239">
        <f>MAX('Flows &amp; Isokinetics'!$H$81:$H$140)+273.15</f>
        <v>273.14999999999998</v>
      </c>
      <c r="Z23" s="240"/>
      <c r="AB23" s="108"/>
      <c r="AC23" s="1017" t="s">
        <v>1360</v>
      </c>
    </row>
    <row r="24" spans="1:29">
      <c r="A24" s="172"/>
      <c r="B24" s="765">
        <v>27</v>
      </c>
      <c r="C24" s="766">
        <v>0.8</v>
      </c>
      <c r="D24" s="172"/>
      <c r="E24" s="549" t="s">
        <v>1245</v>
      </c>
      <c r="F24" s="550">
        <v>1</v>
      </c>
      <c r="G24" s="172"/>
      <c r="H24" s="2875" t="s">
        <v>330</v>
      </c>
      <c r="I24" s="2876"/>
      <c r="J24" s="172"/>
      <c r="K24" s="2207" t="s">
        <v>2019</v>
      </c>
      <c r="O24" s="1392" t="s">
        <v>1641</v>
      </c>
      <c r="U24" s="247" t="s">
        <v>50</v>
      </c>
      <c r="V24" s="254">
        <f>IF(OR(V22=0,V23=0),0,V23/V22)</f>
        <v>0</v>
      </c>
      <c r="W24" s="254">
        <f>IF(OR(W22=0,W23=0),0,W23/W22)</f>
        <v>0</v>
      </c>
      <c r="X24" s="253"/>
      <c r="Y24" s="254" t="e">
        <f>IF(AND(Y22=0,Y23=0),0,MAX(ABS(Y21-Y22+273.15)/(Y21+273.15),ABS(Y23-Y21+273.15)/(Y21+273.15)))</f>
        <v>#DIV/0!</v>
      </c>
      <c r="Z24" s="241"/>
      <c r="AB24" s="108"/>
      <c r="AC24" s="1017" t="s">
        <v>366</v>
      </c>
    </row>
    <row r="25" spans="1:29">
      <c r="A25" s="172"/>
      <c r="B25" s="765">
        <v>28</v>
      </c>
      <c r="C25" s="766">
        <v>0.76</v>
      </c>
      <c r="D25" s="172"/>
      <c r="E25" s="558" t="str">
        <f>OPU</f>
        <v>Pa</v>
      </c>
      <c r="F25" s="559">
        <f>VLOOKUP(OPU,OPTable,2)</f>
        <v>1</v>
      </c>
      <c r="G25" s="172"/>
      <c r="H25" s="549" t="s">
        <v>1378</v>
      </c>
      <c r="I25" s="550" t="s">
        <v>1321</v>
      </c>
      <c r="J25" s="172"/>
      <c r="K25" s="1">
        <v>1</v>
      </c>
      <c r="L25" s="2208">
        <v>1</v>
      </c>
      <c r="O25" s="1392" t="s">
        <v>1642</v>
      </c>
      <c r="Q25" s="1585"/>
      <c r="S25" s="227" t="s">
        <v>2101</v>
      </c>
      <c r="U25" s="172"/>
      <c r="V25" s="172"/>
      <c r="W25" s="172"/>
      <c r="X25" s="172"/>
      <c r="Y25" s="172"/>
      <c r="Z25" s="172"/>
      <c r="AB25" s="248"/>
      <c r="AC25" s="1017" t="s">
        <v>164</v>
      </c>
    </row>
    <row r="26" spans="1:29">
      <c r="A26" s="172"/>
      <c r="B26" s="765">
        <v>29</v>
      </c>
      <c r="C26" s="766">
        <v>0.89</v>
      </c>
      <c r="D26" s="172"/>
      <c r="E26" s="2875" t="s">
        <v>1379</v>
      </c>
      <c r="F26" s="2876"/>
      <c r="G26" s="172"/>
      <c r="H26" s="549" t="s">
        <v>1387</v>
      </c>
      <c r="I26" s="550">
        <v>2118.8820000000001</v>
      </c>
      <c r="J26" s="172"/>
      <c r="K26" s="1">
        <v>2</v>
      </c>
      <c r="L26" s="2208">
        <v>10</v>
      </c>
      <c r="O26" s="1030" t="s">
        <v>388</v>
      </c>
      <c r="S26" s="1401" t="s">
        <v>460</v>
      </c>
      <c r="U26" s="172"/>
      <c r="V26" s="172"/>
      <c r="W26" s="172"/>
      <c r="X26" s="172"/>
      <c r="Y26" s="172"/>
      <c r="Z26" s="172"/>
      <c r="AB26" s="249"/>
      <c r="AC26" s="1017" t="s">
        <v>165</v>
      </c>
    </row>
    <row r="27" spans="1:29">
      <c r="A27" s="172"/>
      <c r="B27" s="765">
        <v>30</v>
      </c>
      <c r="C27" s="766">
        <v>0.88</v>
      </c>
      <c r="D27" s="172"/>
      <c r="E27" s="549" t="s">
        <v>1378</v>
      </c>
      <c r="F27" s="550" t="s">
        <v>1380</v>
      </c>
      <c r="G27" s="172"/>
      <c r="H27" s="549" t="s">
        <v>1386</v>
      </c>
      <c r="I27" s="550">
        <v>35.314700000000002</v>
      </c>
      <c r="J27" s="172"/>
      <c r="K27" s="1">
        <v>3</v>
      </c>
      <c r="L27" s="2208">
        <v>100</v>
      </c>
      <c r="O27" s="1030" t="s">
        <v>389</v>
      </c>
      <c r="S27" s="1402" t="s">
        <v>360</v>
      </c>
      <c r="U27" s="242" t="s">
        <v>1458</v>
      </c>
      <c r="V27" s="243" t="s">
        <v>15</v>
      </c>
      <c r="W27" s="243" t="s">
        <v>1214</v>
      </c>
      <c r="X27" s="243" t="s">
        <v>16</v>
      </c>
      <c r="Y27" s="243" t="s">
        <v>1292</v>
      </c>
      <c r="Z27" s="244" t="s">
        <v>17</v>
      </c>
      <c r="AB27" s="251"/>
      <c r="AC27" s="1018"/>
    </row>
    <row r="28" spans="1:29">
      <c r="A28" s="172"/>
      <c r="B28" s="765">
        <v>31</v>
      </c>
      <c r="C28" s="766">
        <v>0.81</v>
      </c>
      <c r="D28" s="172"/>
      <c r="E28" s="549" t="s">
        <v>1197</v>
      </c>
      <c r="F28" s="550">
        <v>0</v>
      </c>
      <c r="G28" s="172"/>
      <c r="H28" s="549" t="s">
        <v>559</v>
      </c>
      <c r="I28" s="551">
        <v>3600000</v>
      </c>
      <c r="J28" s="172"/>
      <c r="K28" s="1">
        <v>4</v>
      </c>
      <c r="L28" s="2208">
        <v>1000</v>
      </c>
      <c r="O28" s="1392" t="s">
        <v>1643</v>
      </c>
      <c r="S28" s="1402" t="s">
        <v>2095</v>
      </c>
      <c r="U28" s="245" t="s">
        <v>1242</v>
      </c>
      <c r="V28" s="239" t="e">
        <f>AVERAGE('PM10 &amp; 2.5'!$C$15:$C$74)</f>
        <v>#DIV/0!</v>
      </c>
      <c r="W28" s="239" t="e">
        <f>AVERAGE('PM10 &amp; 2.5'!$S$15:$S$74)</f>
        <v>#DIV/0!</v>
      </c>
      <c r="X28" s="239" t="e">
        <f>AVERAGE('PM10 &amp; 2.5'!$J$15:$J$74)</f>
        <v>#DIV/0!</v>
      </c>
      <c r="Y28" s="239" t="e">
        <f>AVERAGE('PM10 &amp; 2.5'!$E$15:$E$74)+273.15</f>
        <v>#DIV/0!</v>
      </c>
      <c r="Z28" s="246">
        <v>0</v>
      </c>
      <c r="AB28" s="251"/>
      <c r="AC28" s="172"/>
    </row>
    <row r="29" spans="1:29">
      <c r="A29" s="172"/>
      <c r="B29" s="765">
        <v>32</v>
      </c>
      <c r="C29" s="766">
        <v>0.85</v>
      </c>
      <c r="D29" s="172"/>
      <c r="E29" s="549" t="s">
        <v>1231</v>
      </c>
      <c r="F29" s="550">
        <v>273.14999999999998</v>
      </c>
      <c r="G29" s="172"/>
      <c r="H29" s="549" t="s">
        <v>1265</v>
      </c>
      <c r="I29" s="550">
        <v>60000</v>
      </c>
      <c r="J29" s="172"/>
      <c r="K29" s="1">
        <v>5</v>
      </c>
      <c r="L29" s="2208">
        <v>10000</v>
      </c>
      <c r="O29" s="1392" t="s">
        <v>390</v>
      </c>
      <c r="S29" s="1402" t="s">
        <v>2094</v>
      </c>
      <c r="U29" s="245" t="s">
        <v>1267</v>
      </c>
      <c r="V29" s="239">
        <f>MIN('PM10 &amp; 2.5'!$C$15:$C$74)</f>
        <v>0</v>
      </c>
      <c r="W29" s="239">
        <f>IF(W30=0,999999,MIN('PM10 &amp; 2.5'!$S$15:$S$74))</f>
        <v>999999</v>
      </c>
      <c r="X29" s="239">
        <f>MIN('PM10 &amp; 2.5'!$J$15:$J$74)</f>
        <v>0</v>
      </c>
      <c r="Y29" s="239">
        <f>MIN('PM10 &amp; 2.5'!$E$15:$E$74)+273.15</f>
        <v>273.14999999999998</v>
      </c>
      <c r="Z29" s="240"/>
      <c r="AB29" s="251"/>
      <c r="AC29" s="172" t="s">
        <v>1623</v>
      </c>
    </row>
    <row r="30" spans="1:29">
      <c r="A30" s="172"/>
      <c r="B30" s="765">
        <v>33</v>
      </c>
      <c r="C30" s="766">
        <v>0.83</v>
      </c>
      <c r="D30" s="172"/>
      <c r="E30" s="555"/>
      <c r="F30" s="556"/>
      <c r="G30" s="172"/>
      <c r="H30" s="549" t="s">
        <v>1350</v>
      </c>
      <c r="I30" s="550">
        <v>1000</v>
      </c>
      <c r="J30" s="172"/>
      <c r="K30" s="1">
        <v>6</v>
      </c>
      <c r="L30" s="2208">
        <v>100000</v>
      </c>
      <c r="O30" s="1392" t="s">
        <v>1644</v>
      </c>
      <c r="S30" s="1402" t="s">
        <v>461</v>
      </c>
      <c r="U30" s="245" t="s">
        <v>1268</v>
      </c>
      <c r="V30" s="239">
        <f>MAX('PM10 &amp; 2.5'!$C$15:$C$74)</f>
        <v>0</v>
      </c>
      <c r="W30" s="239">
        <f>MAX('PM10 &amp; 2.5'!$S$15:$S$74)</f>
        <v>0</v>
      </c>
      <c r="X30" s="239">
        <f>MAX('PM10 &amp; 2.5'!$J$15:$J$74)</f>
        <v>0</v>
      </c>
      <c r="Y30" s="239">
        <f>MAX('PM10 &amp; 2.5'!$E$15:$E$74)+273.15</f>
        <v>273.14999999999998</v>
      </c>
      <c r="Z30" s="240"/>
      <c r="AB30" s="251"/>
      <c r="AC30" s="1010" t="s">
        <v>1622</v>
      </c>
    </row>
    <row r="31" spans="1:29">
      <c r="A31" s="172"/>
      <c r="B31" s="765">
        <v>34</v>
      </c>
      <c r="C31" s="766">
        <v>0.81</v>
      </c>
      <c r="D31" s="172"/>
      <c r="E31" s="549"/>
      <c r="F31" s="550"/>
      <c r="G31" s="172"/>
      <c r="H31" s="549" t="s">
        <v>560</v>
      </c>
      <c r="I31" s="550">
        <v>3600</v>
      </c>
      <c r="J31" s="172"/>
      <c r="O31" s="1392" t="s">
        <v>1645</v>
      </c>
      <c r="S31" s="1402" t="s">
        <v>2100</v>
      </c>
      <c r="U31" s="247" t="s">
        <v>50</v>
      </c>
      <c r="V31" s="254">
        <f>IF(OR(V29=0,V30=0),0,V30/V29)</f>
        <v>0</v>
      </c>
      <c r="W31" s="254">
        <f>IF(OR(W29=0,W30=0),0,W30/W29)</f>
        <v>0</v>
      </c>
      <c r="X31" s="253"/>
      <c r="Y31" s="254" t="e">
        <f>IF(AND(Y29=0,Y30=0),0,MAX(ABS(Y28-Y29+273.15)/(Y28+273.15),ABS(Y30-Y28+273.15)/(Y28+273.15)))</f>
        <v>#DIV/0!</v>
      </c>
      <c r="Z31" s="241"/>
      <c r="AB31" s="251"/>
      <c r="AC31" s="1011" t="s">
        <v>1925</v>
      </c>
    </row>
    <row r="32" spans="1:29">
      <c r="A32" s="172"/>
      <c r="B32" s="765">
        <v>36</v>
      </c>
      <c r="C32" s="766">
        <v>0.77</v>
      </c>
      <c r="D32" s="172"/>
      <c r="E32" s="558" t="str">
        <f>TU</f>
        <v>°C</v>
      </c>
      <c r="F32" s="559">
        <f>VLOOKUP(TU,TempTable,2)</f>
        <v>0</v>
      </c>
      <c r="G32" s="172"/>
      <c r="H32" s="549" t="s">
        <v>1373</v>
      </c>
      <c r="I32" s="550">
        <v>60</v>
      </c>
      <c r="J32" s="172"/>
      <c r="O32" s="1030" t="s">
        <v>391</v>
      </c>
      <c r="S32" s="1402" t="s">
        <v>2096</v>
      </c>
      <c r="U32" s="172"/>
      <c r="V32" s="172"/>
      <c r="W32" s="172"/>
      <c r="X32" s="172"/>
      <c r="Y32" s="172"/>
      <c r="Z32" s="172"/>
      <c r="AB32" s="108"/>
      <c r="AC32" s="1011" t="s">
        <v>1671</v>
      </c>
    </row>
    <row r="33" spans="1:29">
      <c r="A33" s="172"/>
      <c r="B33" s="765">
        <v>37</v>
      </c>
      <c r="C33" s="766">
        <v>0.84</v>
      </c>
      <c r="D33" s="172"/>
      <c r="E33" s="2875" t="s">
        <v>318</v>
      </c>
      <c r="F33" s="2876"/>
      <c r="G33" s="172"/>
      <c r="H33" s="549" t="s">
        <v>1372</v>
      </c>
      <c r="I33" s="550">
        <v>1</v>
      </c>
      <c r="J33" s="172"/>
      <c r="O33" s="1030" t="s">
        <v>392</v>
      </c>
      <c r="S33" s="2251"/>
      <c r="U33" s="172"/>
      <c r="V33" s="172"/>
      <c r="W33" s="172"/>
      <c r="X33" s="172"/>
      <c r="Y33" s="172"/>
      <c r="Z33" s="172"/>
      <c r="AB33" s="172"/>
      <c r="AC33" s="1011" t="s">
        <v>1672</v>
      </c>
    </row>
    <row r="34" spans="1:29">
      <c r="A34" s="172"/>
      <c r="B34" s="765">
        <v>39</v>
      </c>
      <c r="C34" s="766">
        <v>0.84</v>
      </c>
      <c r="D34" s="172"/>
      <c r="E34" s="549" t="s">
        <v>1378</v>
      </c>
      <c r="F34" s="550" t="s">
        <v>1321</v>
      </c>
      <c r="G34" s="172"/>
      <c r="H34" s="558" t="str">
        <f>FU</f>
        <v>m³/min</v>
      </c>
      <c r="I34" s="559">
        <f>VLOOKUP(FU,FlowTable,2)</f>
        <v>60</v>
      </c>
      <c r="J34" s="172"/>
      <c r="O34" s="1392" t="s">
        <v>1646</v>
      </c>
      <c r="U34" s="242" t="s">
        <v>1459</v>
      </c>
      <c r="V34" s="243" t="s">
        <v>15</v>
      </c>
      <c r="W34" s="243" t="s">
        <v>1214</v>
      </c>
      <c r="X34" s="243" t="s">
        <v>16</v>
      </c>
      <c r="Y34" s="243" t="s">
        <v>1292</v>
      </c>
      <c r="Z34" s="244" t="s">
        <v>17</v>
      </c>
      <c r="AB34" s="172"/>
      <c r="AC34" s="1012" t="s">
        <v>1624</v>
      </c>
    </row>
    <row r="35" spans="1:29">
      <c r="A35" s="172"/>
      <c r="B35" s="765">
        <v>41</v>
      </c>
      <c r="C35" s="766">
        <v>0.84</v>
      </c>
      <c r="D35" s="172"/>
      <c r="E35" s="549" t="s">
        <v>319</v>
      </c>
      <c r="F35" s="553">
        <v>100</v>
      </c>
      <c r="G35" s="172"/>
      <c r="H35" s="2875" t="s">
        <v>1202</v>
      </c>
      <c r="I35" s="2876"/>
      <c r="J35" s="172"/>
      <c r="O35" s="1392" t="s">
        <v>393</v>
      </c>
      <c r="S35" s="1585" t="s">
        <v>2120</v>
      </c>
      <c r="U35" s="245" t="s">
        <v>1242</v>
      </c>
      <c r="V35" s="239" t="e">
        <f>AVERAGE('PM10 &amp; 2.5'!$C$81:$C$140)</f>
        <v>#DIV/0!</v>
      </c>
      <c r="W35" s="239" t="e">
        <f>AVERAGE('PM10 &amp; 2.5'!$S$81:$S$140)</f>
        <v>#DIV/0!</v>
      </c>
      <c r="X35" s="239" t="e">
        <f>AVERAGE('PM10 &amp; 2.5'!$J$81:$J$140)</f>
        <v>#DIV/0!</v>
      </c>
      <c r="Y35" s="239" t="e">
        <f>AVERAGE('PM10 &amp; 2.5'!$E$81:$E$140)+273.15</f>
        <v>#DIV/0!</v>
      </c>
      <c r="Z35" s="246">
        <v>0</v>
      </c>
      <c r="AB35" s="172"/>
      <c r="AC35" s="172"/>
    </row>
    <row r="36" spans="1:29">
      <c r="A36" s="172"/>
      <c r="B36" s="765">
        <v>43</v>
      </c>
      <c r="C36" s="766">
        <v>0.84</v>
      </c>
      <c r="D36" s="172"/>
      <c r="E36" s="549" t="s">
        <v>320</v>
      </c>
      <c r="F36" s="550">
        <v>3.28084</v>
      </c>
      <c r="G36" s="172"/>
      <c r="H36" s="549" t="s">
        <v>1378</v>
      </c>
      <c r="I36" s="550" t="s">
        <v>1321</v>
      </c>
      <c r="J36" s="172"/>
      <c r="O36" s="1392" t="s">
        <v>1647</v>
      </c>
      <c r="S36" s="2367" t="s">
        <v>364</v>
      </c>
      <c r="U36" s="245" t="s">
        <v>1267</v>
      </c>
      <c r="V36" s="239">
        <f>MIN('PM10 &amp; 2.5'!$C$81:$C$140)</f>
        <v>0</v>
      </c>
      <c r="W36" s="239">
        <f>IF(W37=0,999999,MIN('PM10 &amp; 2.5'!$S$81:$S$140))</f>
        <v>999999</v>
      </c>
      <c r="X36" s="239">
        <f>MIN('PM10 &amp; 2.5'!$J$81:$J$140)</f>
        <v>0</v>
      </c>
      <c r="Y36" s="239">
        <f>MIN('PM10 &amp; 2.5'!$E$81:$E$140)+273.15</f>
        <v>273.14999999999998</v>
      </c>
      <c r="Z36" s="240"/>
      <c r="AB36" s="172"/>
      <c r="AC36" s="172" t="s">
        <v>2017</v>
      </c>
    </row>
    <row r="37" spans="1:29">
      <c r="A37" s="172"/>
      <c r="B37" s="765">
        <v>44</v>
      </c>
      <c r="C37" s="766">
        <v>0.78</v>
      </c>
      <c r="D37" s="172"/>
      <c r="E37" s="549" t="s">
        <v>322</v>
      </c>
      <c r="F37" s="550">
        <v>1</v>
      </c>
      <c r="G37" s="172"/>
      <c r="H37" s="549" t="s">
        <v>47</v>
      </c>
      <c r="I37" s="551">
        <v>60000000</v>
      </c>
      <c r="J37" s="230"/>
      <c r="O37" s="1392" t="s">
        <v>1648</v>
      </c>
      <c r="S37" s="2368" t="s">
        <v>460</v>
      </c>
      <c r="U37" s="245" t="s">
        <v>1268</v>
      </c>
      <c r="V37" s="239">
        <f>MAX('PM10 &amp; 2.5'!$C$81:$C$140)</f>
        <v>0</v>
      </c>
      <c r="W37" s="239">
        <f>MAX('PM10 &amp; 2.5'!$S$81:$S$140)</f>
        <v>0</v>
      </c>
      <c r="X37" s="239">
        <f>MAX('PM10 &amp; 2.5'!$J$81:$J$140)</f>
        <v>0</v>
      </c>
      <c r="Y37" s="239">
        <f>MAX('PM10 &amp; 2.5'!$E$81:$E$140)+273.15</f>
        <v>273.14999999999998</v>
      </c>
      <c r="Z37" s="240"/>
      <c r="AB37" s="172"/>
      <c r="AC37" s="172"/>
    </row>
    <row r="38" spans="1:29">
      <c r="A38" s="172"/>
      <c r="B38" s="765">
        <v>45</v>
      </c>
      <c r="C38" s="766">
        <v>0.83</v>
      </c>
      <c r="D38" s="172"/>
      <c r="E38" s="552" t="s">
        <v>117</v>
      </c>
      <c r="F38" s="553">
        <v>1000</v>
      </c>
      <c r="G38" s="172"/>
      <c r="H38" s="549" t="s">
        <v>48</v>
      </c>
      <c r="I38" s="551">
        <v>1000000</v>
      </c>
      <c r="J38" s="230"/>
      <c r="O38" s="1030" t="s">
        <v>396</v>
      </c>
      <c r="S38" s="2368" t="s">
        <v>461</v>
      </c>
      <c r="U38" s="247" t="s">
        <v>50</v>
      </c>
      <c r="V38" s="254">
        <f>IF(OR(V36=0,V37=0),0,V37/V36)</f>
        <v>0</v>
      </c>
      <c r="W38" s="254">
        <f>IF(OR(W36=0,W37=0),0,W37/W36)</f>
        <v>0</v>
      </c>
      <c r="X38" s="253"/>
      <c r="Y38" s="254" t="e">
        <f>IF(AND(Y36=0,Y37=0),0,MAX(ABS(Y35-Y36+273.15)/(Y35+273.15),ABS(Y37-Y35+273.15)/(Y35+273.15)))</f>
        <v>#DIV/0!</v>
      </c>
      <c r="Z38" s="241"/>
      <c r="AB38" s="172"/>
      <c r="AC38" s="172"/>
    </row>
    <row r="39" spans="1:29">
      <c r="A39" s="172"/>
      <c r="B39" s="765">
        <v>46</v>
      </c>
      <c r="C39" s="766">
        <v>0.84</v>
      </c>
      <c r="D39" s="172"/>
      <c r="E39" s="566" t="s">
        <v>117</v>
      </c>
      <c r="F39" s="559">
        <f>VLOOKUP(LU,LengthTable,2)</f>
        <v>1000</v>
      </c>
      <c r="G39" s="172"/>
      <c r="H39" s="1581" t="s">
        <v>1219</v>
      </c>
      <c r="I39" s="550">
        <v>3.6</v>
      </c>
      <c r="J39" s="230"/>
      <c r="O39" s="1030" t="s">
        <v>394</v>
      </c>
      <c r="S39" s="2368" t="s">
        <v>360</v>
      </c>
      <c r="U39" s="172"/>
      <c r="V39" s="172"/>
      <c r="W39" s="172"/>
      <c r="X39" s="172"/>
      <c r="Y39" s="172"/>
      <c r="Z39" s="172"/>
      <c r="AB39" s="172"/>
      <c r="AC39" s="172"/>
    </row>
    <row r="40" spans="1:29">
      <c r="A40" s="172"/>
      <c r="B40" s="765">
        <v>47</v>
      </c>
      <c r="C40" s="766">
        <v>0.85</v>
      </c>
      <c r="D40" s="172"/>
      <c r="E40" s="2875" t="s">
        <v>1236</v>
      </c>
      <c r="F40" s="2876"/>
      <c r="G40" s="172"/>
      <c r="H40" s="549" t="s">
        <v>414</v>
      </c>
      <c r="I40" s="550">
        <v>3600</v>
      </c>
      <c r="J40" s="230"/>
      <c r="O40" s="1392" t="s">
        <v>1649</v>
      </c>
      <c r="S40" s="2368" t="s">
        <v>361</v>
      </c>
      <c r="U40" s="172"/>
      <c r="V40" s="172"/>
      <c r="W40" s="172"/>
      <c r="X40" s="172"/>
      <c r="Y40" s="172"/>
      <c r="Z40" s="172"/>
      <c r="AB40" s="172"/>
      <c r="AC40" s="172"/>
    </row>
    <row r="41" spans="1:29">
      <c r="A41" s="172"/>
      <c r="B41" s="765">
        <v>48</v>
      </c>
      <c r="C41" s="766">
        <v>0.82</v>
      </c>
      <c r="D41" s="172"/>
      <c r="E41" s="549" t="s">
        <v>1378</v>
      </c>
      <c r="F41" s="550" t="s">
        <v>1321</v>
      </c>
      <c r="G41" s="172"/>
      <c r="H41" s="549" t="s">
        <v>1375</v>
      </c>
      <c r="I41" s="550">
        <v>60</v>
      </c>
      <c r="J41" s="230"/>
      <c r="O41" s="1392" t="s">
        <v>395</v>
      </c>
      <c r="S41" s="2368" t="s">
        <v>362</v>
      </c>
      <c r="U41" s="242" t="s">
        <v>294</v>
      </c>
      <c r="V41" s="243" t="s">
        <v>15</v>
      </c>
      <c r="W41" s="243" t="s">
        <v>1214</v>
      </c>
      <c r="X41" s="243" t="s">
        <v>16</v>
      </c>
      <c r="Y41" s="243" t="s">
        <v>1292</v>
      </c>
      <c r="Z41" s="244" t="s">
        <v>17</v>
      </c>
      <c r="AB41" s="172"/>
      <c r="AC41" s="172"/>
    </row>
    <row r="42" spans="1:29">
      <c r="A42" s="172"/>
      <c r="B42" s="765">
        <v>49</v>
      </c>
      <c r="C42" s="766">
        <v>0.8</v>
      </c>
      <c r="D42" s="172"/>
      <c r="E42" s="549" t="s">
        <v>315</v>
      </c>
      <c r="F42" s="550">
        <v>86400</v>
      </c>
      <c r="G42" s="172"/>
      <c r="H42" s="549" t="s">
        <v>1374</v>
      </c>
      <c r="I42" s="550">
        <v>1</v>
      </c>
      <c r="J42" s="230"/>
      <c r="O42" s="1392" t="s">
        <v>1650</v>
      </c>
      <c r="S42" s="2368" t="s">
        <v>363</v>
      </c>
      <c r="U42" s="245" t="s">
        <v>1242</v>
      </c>
      <c r="V42" s="239" t="e">
        <f>AVERAGE(Afterflows!$D$14:$D$73)</f>
        <v>#DIV/0!</v>
      </c>
      <c r="W42" s="239" t="e">
        <f>AVERAGE(Afterflows!$L$14:$L$73)</f>
        <v>#DIV/0!</v>
      </c>
      <c r="X42" s="239" t="e">
        <f>AVERAGE(Afterflows!$G$14:$G$73)</f>
        <v>#DIV/0!</v>
      </c>
      <c r="Y42" s="239" t="e">
        <f>AVERAGE(Afterflows!$F$14:$F$73)+273.15</f>
        <v>#DIV/0!</v>
      </c>
      <c r="Z42" s="246">
        <v>0</v>
      </c>
      <c r="AB42" s="172"/>
      <c r="AC42" s="172"/>
    </row>
    <row r="43" spans="1:29">
      <c r="A43" s="172"/>
      <c r="B43" s="765">
        <v>51</v>
      </c>
      <c r="C43" s="766">
        <v>0.84</v>
      </c>
      <c r="D43" s="172"/>
      <c r="E43" s="549" t="s">
        <v>316</v>
      </c>
      <c r="F43" s="550">
        <v>3600</v>
      </c>
      <c r="G43" s="172"/>
      <c r="H43" s="549" t="s">
        <v>1384</v>
      </c>
      <c r="I43" s="550">
        <v>86.4</v>
      </c>
      <c r="J43" s="230"/>
      <c r="O43" s="1392" t="s">
        <v>1651</v>
      </c>
      <c r="S43" s="2368" t="s">
        <v>2102</v>
      </c>
      <c r="U43" s="245" t="s">
        <v>1267</v>
      </c>
      <c r="V43" s="239">
        <f>MIN(Afterflows!$D$14:$D$73)</f>
        <v>0</v>
      </c>
      <c r="W43" s="239">
        <f>IF(W44=0,999999,MIN(Afterflows!$L$14:$L$73))</f>
        <v>999999</v>
      </c>
      <c r="X43" s="239">
        <f>MIN(Afterflows!$G$14:$G$73)</f>
        <v>0</v>
      </c>
      <c r="Y43" s="239">
        <f>MIN(Afterflows!$F$14:$F$73)+273.15</f>
        <v>273.14999999999998</v>
      </c>
      <c r="Z43" s="240"/>
      <c r="AB43" s="172"/>
      <c r="AC43" s="172"/>
    </row>
    <row r="44" spans="1:29">
      <c r="A44" s="172"/>
      <c r="B44" s="765">
        <v>52</v>
      </c>
      <c r="C44" s="766">
        <v>0.84</v>
      </c>
      <c r="D44" s="172"/>
      <c r="E44" s="549" t="s">
        <v>1203</v>
      </c>
      <c r="F44" s="550">
        <v>60</v>
      </c>
      <c r="G44" s="172"/>
      <c r="H44" s="549" t="s">
        <v>561</v>
      </c>
      <c r="I44" s="550">
        <v>60000</v>
      </c>
      <c r="J44" s="230"/>
      <c r="O44" s="1031"/>
      <c r="S44" s="2368" t="s">
        <v>462</v>
      </c>
      <c r="U44" s="245" t="s">
        <v>1268</v>
      </c>
      <c r="V44" s="239">
        <f>MAX(Afterflows!$D$14:$D$73)</f>
        <v>0</v>
      </c>
      <c r="W44" s="239">
        <f>MAX(Afterflows!$L$14:$L$73)</f>
        <v>0</v>
      </c>
      <c r="X44" s="239">
        <f>MAX(Afterflows!$G$14:$G$73)</f>
        <v>0</v>
      </c>
      <c r="Y44" s="239">
        <f>MAX(Afterflows!$F$14:$F$73)+273.15</f>
        <v>273.14999999999998</v>
      </c>
      <c r="Z44" s="240"/>
      <c r="AB44" s="172"/>
      <c r="AC44" s="172"/>
    </row>
    <row r="45" spans="1:29">
      <c r="A45" s="172"/>
      <c r="B45" s="765">
        <v>53</v>
      </c>
      <c r="C45" s="766">
        <v>0.84</v>
      </c>
      <c r="D45" s="172"/>
      <c r="E45" s="549" t="s">
        <v>317</v>
      </c>
      <c r="F45" s="550">
        <v>1</v>
      </c>
      <c r="G45" s="172"/>
      <c r="H45" s="549" t="s">
        <v>562</v>
      </c>
      <c r="I45" s="550">
        <v>1000</v>
      </c>
      <c r="J45" s="172"/>
      <c r="O45" s="1072"/>
      <c r="S45" s="2368" t="s">
        <v>2096</v>
      </c>
      <c r="U45" s="247" t="s">
        <v>50</v>
      </c>
      <c r="V45" s="254">
        <f>IF(OR(V43=0,V44=0),0,V44/V43)</f>
        <v>0</v>
      </c>
      <c r="W45" s="254">
        <f>IF(OR(W43=0,W44=0),0,W44/W43)</f>
        <v>0</v>
      </c>
      <c r="X45" s="253"/>
      <c r="Y45" s="254" t="e">
        <f>IF(AND(Y43=0,Y44=0),0,MAX(ABS(Y42-Y43+273.15)/(Y42+273.15),ABS(Y44-Y42+273.15)/(Y42+273.15)))</f>
        <v>#DIV/0!</v>
      </c>
      <c r="Z45" s="241"/>
      <c r="AB45" s="172"/>
      <c r="AC45" s="172"/>
    </row>
    <row r="46" spans="1:29">
      <c r="A46" s="172"/>
      <c r="B46" s="765">
        <v>54</v>
      </c>
      <c r="C46" s="766">
        <v>0.84</v>
      </c>
      <c r="D46" s="172"/>
      <c r="E46" s="566" t="s">
        <v>1203</v>
      </c>
      <c r="F46" s="559">
        <f>VLOOKUP(TiU,TimeTable,2)</f>
        <v>60</v>
      </c>
      <c r="G46" s="172"/>
      <c r="H46" s="549" t="s">
        <v>950</v>
      </c>
      <c r="I46" s="551">
        <v>60000000000</v>
      </c>
      <c r="J46" s="172"/>
      <c r="O46" s="1072"/>
      <c r="S46" s="2369"/>
      <c r="U46" s="172"/>
      <c r="V46" s="172"/>
      <c r="W46" s="172"/>
      <c r="X46" s="172"/>
      <c r="Y46" s="172"/>
      <c r="Z46" s="172"/>
      <c r="AB46" s="172"/>
      <c r="AC46" s="172"/>
    </row>
    <row r="47" spans="1:29">
      <c r="A47" s="172"/>
      <c r="B47" s="765">
        <v>55</v>
      </c>
      <c r="C47" s="766">
        <v>0.84</v>
      </c>
      <c r="D47" s="172"/>
      <c r="E47" s="2875" t="s">
        <v>323</v>
      </c>
      <c r="F47" s="2876"/>
      <c r="G47" s="172"/>
      <c r="H47" s="549" t="s">
        <v>934</v>
      </c>
      <c r="I47" s="551">
        <v>1000000000</v>
      </c>
      <c r="J47" s="172"/>
      <c r="O47" s="1072"/>
      <c r="U47" s="172"/>
      <c r="V47" s="172"/>
      <c r="W47" s="172"/>
      <c r="X47" s="172"/>
      <c r="Y47" s="172"/>
      <c r="Z47" s="172"/>
      <c r="AB47" s="172"/>
      <c r="AC47" s="172"/>
    </row>
    <row r="48" spans="1:29">
      <c r="A48" s="172"/>
      <c r="B48" s="765">
        <v>56</v>
      </c>
      <c r="C48" s="766">
        <v>0.85</v>
      </c>
      <c r="D48" s="172"/>
      <c r="E48" s="549" t="s">
        <v>1378</v>
      </c>
      <c r="F48" s="550" t="s">
        <v>1321</v>
      </c>
      <c r="G48" s="172"/>
      <c r="H48" s="558" t="str">
        <f>MRU</f>
        <v>g/min</v>
      </c>
      <c r="I48" s="559">
        <f>VLOOKUP(MRU,MassRateTable,2,FALSE)</f>
        <v>60</v>
      </c>
      <c r="J48" s="172"/>
      <c r="O48" s="1072"/>
      <c r="U48" s="242" t="s">
        <v>295</v>
      </c>
      <c r="V48" s="243" t="s">
        <v>15</v>
      </c>
      <c r="W48" s="243" t="s">
        <v>1214</v>
      </c>
      <c r="X48" s="243" t="s">
        <v>16</v>
      </c>
      <c r="Y48" s="243" t="s">
        <v>1292</v>
      </c>
      <c r="Z48" s="244" t="s">
        <v>17</v>
      </c>
      <c r="AB48" s="172"/>
      <c r="AC48" s="172"/>
    </row>
    <row r="49" spans="1:29">
      <c r="A49" s="172"/>
      <c r="B49" s="765">
        <v>57</v>
      </c>
      <c r="C49" s="766">
        <v>0.84</v>
      </c>
      <c r="D49" s="172"/>
      <c r="E49" s="549" t="s">
        <v>1427</v>
      </c>
      <c r="F49" s="551">
        <v>1000000</v>
      </c>
      <c r="G49" s="172"/>
      <c r="H49" s="2875" t="s">
        <v>262</v>
      </c>
      <c r="I49" s="2876"/>
      <c r="J49" s="172"/>
      <c r="U49" s="245" t="s">
        <v>1242</v>
      </c>
      <c r="V49" s="239" t="e">
        <f>AVERAGE(Afterflows!$D$80:$D$139)</f>
        <v>#DIV/0!</v>
      </c>
      <c r="W49" s="239" t="e">
        <f>AVERAGE(Afterflows!$L$80:$L$139)</f>
        <v>#DIV/0!</v>
      </c>
      <c r="X49" s="239" t="e">
        <f>AVERAGE(Afterflows!$G$80:$G$139)</f>
        <v>#DIV/0!</v>
      </c>
      <c r="Y49" s="239" t="e">
        <f>AVERAGE(Afterflows!$F$80:$F$139)+273.15</f>
        <v>#DIV/0!</v>
      </c>
      <c r="Z49" s="246">
        <v>0</v>
      </c>
      <c r="AB49" s="172"/>
      <c r="AC49" s="172"/>
    </row>
    <row r="50" spans="1:29">
      <c r="A50" s="172"/>
      <c r="B50" s="765">
        <v>58</v>
      </c>
      <c r="C50" s="766">
        <v>0.84</v>
      </c>
      <c r="D50" s="172"/>
      <c r="E50" s="549" t="s">
        <v>324</v>
      </c>
      <c r="F50" s="550">
        <v>1</v>
      </c>
      <c r="G50" s="172"/>
      <c r="H50" s="549" t="s">
        <v>1378</v>
      </c>
      <c r="I50" s="550" t="s">
        <v>1321</v>
      </c>
      <c r="J50" s="172"/>
      <c r="U50" s="245" t="s">
        <v>1267</v>
      </c>
      <c r="V50" s="239">
        <f>MIN(Afterflows!$D$80:$D$139)</f>
        <v>0</v>
      </c>
      <c r="W50" s="239">
        <f>IF(W51=0,999999,MIN(Afterflows!$L$80:$L$139))</f>
        <v>999999</v>
      </c>
      <c r="X50" s="239">
        <f>MIN(Afterflows!$G$80:$G$139)</f>
        <v>0</v>
      </c>
      <c r="Y50" s="239">
        <f>MIN(Afterflows!$F$80:$F$139)+273.15</f>
        <v>273.14999999999998</v>
      </c>
      <c r="Z50" s="240"/>
      <c r="AB50" s="172"/>
      <c r="AC50" s="172"/>
    </row>
    <row r="51" spans="1:29">
      <c r="A51" s="172"/>
      <c r="B51" s="765">
        <v>59</v>
      </c>
      <c r="C51" s="766">
        <v>0.84</v>
      </c>
      <c r="D51" s="172"/>
      <c r="E51" s="549" t="s">
        <v>1355</v>
      </c>
      <c r="F51" s="554">
        <v>1000</v>
      </c>
      <c r="G51" s="172"/>
      <c r="H51" s="549" t="s">
        <v>1381</v>
      </c>
      <c r="I51" s="550">
        <v>60</v>
      </c>
      <c r="J51" s="172"/>
      <c r="U51" s="245" t="s">
        <v>1268</v>
      </c>
      <c r="V51" s="239">
        <f>MAX(Afterflows!$D$80:$D$139)</f>
        <v>0</v>
      </c>
      <c r="W51" s="239">
        <f>MAX(Afterflows!$L$80:$L$139)</f>
        <v>0</v>
      </c>
      <c r="X51" s="239">
        <f>MAX(Afterflows!$G$80:$G$139)</f>
        <v>0</v>
      </c>
      <c r="Y51" s="239">
        <f>MAX(Afterflows!$F$80:$F$139)+273.15</f>
        <v>273.14999999999998</v>
      </c>
      <c r="Z51" s="240"/>
      <c r="AB51" s="172"/>
      <c r="AC51" s="172"/>
    </row>
    <row r="52" spans="1:29">
      <c r="A52" s="172"/>
      <c r="B52" s="765">
        <v>60</v>
      </c>
      <c r="C52" s="766">
        <v>0.84</v>
      </c>
      <c r="D52" s="172"/>
      <c r="E52" s="549" t="s">
        <v>325</v>
      </c>
      <c r="F52" s="551">
        <v>1000000000</v>
      </c>
      <c r="G52" s="172"/>
      <c r="H52" s="549" t="s">
        <v>1382</v>
      </c>
      <c r="I52" s="550">
        <v>1</v>
      </c>
      <c r="J52" s="172"/>
      <c r="U52" s="247" t="s">
        <v>50</v>
      </c>
      <c r="V52" s="254">
        <f>IF(OR(V50=0,V51=0),0,V51/V50)</f>
        <v>0</v>
      </c>
      <c r="W52" s="254">
        <f>IF(OR(W50=0,W51=0),0,W51/W50)</f>
        <v>0</v>
      </c>
      <c r="X52" s="253"/>
      <c r="Y52" s="254" t="e">
        <f>IF(AND(Y50=0,Y51=0),0,MAX(ABS(Y49-Y50+273.15)/(Y49+273.15),ABS(Y51-Y49+273.15)/(Y49+273.15)))</f>
        <v>#DIV/0!</v>
      </c>
      <c r="Z52" s="241"/>
      <c r="AB52" s="172"/>
      <c r="AC52" s="172"/>
    </row>
    <row r="53" spans="1:29">
      <c r="A53" s="172"/>
      <c r="B53" s="765">
        <v>61</v>
      </c>
      <c r="C53" s="766">
        <v>0.84</v>
      </c>
      <c r="D53" s="172"/>
      <c r="E53" s="549" t="s">
        <v>944</v>
      </c>
      <c r="F53" s="551">
        <v>1000000000000</v>
      </c>
      <c r="G53" s="172"/>
      <c r="H53" s="555"/>
      <c r="I53" s="556"/>
      <c r="J53" s="172"/>
      <c r="U53" s="172"/>
      <c r="V53" s="172"/>
      <c r="W53" s="172"/>
      <c r="X53" s="172"/>
      <c r="Y53" s="172"/>
      <c r="Z53" s="172"/>
      <c r="AB53" s="172"/>
      <c r="AC53" s="172"/>
    </row>
    <row r="54" spans="1:29">
      <c r="A54" s="172"/>
      <c r="B54" s="765">
        <v>62</v>
      </c>
      <c r="C54" s="766">
        <v>0.81</v>
      </c>
      <c r="D54" s="172"/>
      <c r="E54" s="566" t="s">
        <v>1355</v>
      </c>
      <c r="F54" s="559">
        <f>VLOOKUP(MU,MassTable,2)</f>
        <v>1000</v>
      </c>
      <c r="G54" s="172"/>
      <c r="H54" s="555"/>
      <c r="I54" s="556"/>
      <c r="J54" s="172"/>
      <c r="U54" s="172"/>
      <c r="V54" s="172"/>
      <c r="W54" s="172"/>
      <c r="X54" s="172"/>
      <c r="Y54" s="172"/>
      <c r="Z54" s="172"/>
      <c r="AB54" s="172"/>
      <c r="AC54" s="172"/>
    </row>
    <row r="55" spans="1:29">
      <c r="A55" s="172"/>
      <c r="B55" s="765">
        <v>63</v>
      </c>
      <c r="C55" s="766">
        <v>0.84</v>
      </c>
      <c r="D55" s="172"/>
      <c r="E55" s="2875" t="s">
        <v>1281</v>
      </c>
      <c r="F55" s="2876"/>
      <c r="G55" s="172"/>
      <c r="H55" s="558" t="str">
        <f>ORU</f>
        <v>oum³/min</v>
      </c>
      <c r="I55" s="559">
        <f>VLOOKUP(ORU,OdourRateTable,2)</f>
        <v>60</v>
      </c>
      <c r="J55" s="172"/>
      <c r="U55" s="242" t="s">
        <v>49</v>
      </c>
      <c r="V55" s="243" t="s">
        <v>15</v>
      </c>
      <c r="W55" s="243" t="s">
        <v>1214</v>
      </c>
      <c r="X55" s="243" t="s">
        <v>16</v>
      </c>
      <c r="Y55" s="243" t="s">
        <v>1292</v>
      </c>
      <c r="Z55" s="244" t="s">
        <v>17</v>
      </c>
      <c r="AB55" s="172"/>
      <c r="AC55" s="172"/>
    </row>
    <row r="56" spans="1:29">
      <c r="A56" s="172"/>
      <c r="B56" s="765">
        <v>64</v>
      </c>
      <c r="C56" s="766">
        <v>0.84</v>
      </c>
      <c r="D56" s="172"/>
      <c r="E56" s="549" t="s">
        <v>1378</v>
      </c>
      <c r="F56" s="550" t="s">
        <v>1321</v>
      </c>
      <c r="G56" s="172"/>
      <c r="H56" s="2875" t="s">
        <v>413</v>
      </c>
      <c r="I56" s="2876"/>
      <c r="J56" s="172"/>
      <c r="U56" s="245" t="s">
        <v>1242</v>
      </c>
      <c r="V56" s="239" t="e">
        <f>AVERAGE(V14,V21,V28,V35,V42,V49)</f>
        <v>#DIV/0!</v>
      </c>
      <c r="W56" s="239" t="e">
        <f>AVERAGE(W14,W21,W28,W35,W42,W49)</f>
        <v>#DIV/0!</v>
      </c>
      <c r="X56" s="239" t="e">
        <f>AVERAGE(X14,X21,X28,X35,X42,X49)</f>
        <v>#DIV/0!</v>
      </c>
      <c r="Y56" s="239" t="e">
        <f>AVERAGE(Y14,Y21,Y28,Y35,Y42,Y49)</f>
        <v>#DIV/0!</v>
      </c>
      <c r="Z56" s="246">
        <v>0</v>
      </c>
      <c r="AB56" s="172"/>
      <c r="AC56" s="172"/>
    </row>
    <row r="57" spans="1:29">
      <c r="A57" s="172"/>
      <c r="B57" s="765">
        <v>65</v>
      </c>
      <c r="C57" s="766">
        <v>0.83</v>
      </c>
      <c r="D57" s="172"/>
      <c r="E57" s="549" t="s">
        <v>313</v>
      </c>
      <c r="F57" s="550">
        <v>100</v>
      </c>
      <c r="G57" s="172"/>
      <c r="H57" s="549" t="s">
        <v>1378</v>
      </c>
      <c r="I57" s="550" t="s">
        <v>1321</v>
      </c>
      <c r="J57" s="172"/>
      <c r="U57" s="245" t="s">
        <v>1267</v>
      </c>
      <c r="V57" s="239">
        <f>MIN(V15,V22,V29,V36,V43,V50)</f>
        <v>0</v>
      </c>
      <c r="W57" s="239">
        <f>MIN(W15,W22,W29,W36,W43,W50)</f>
        <v>999999</v>
      </c>
      <c r="X57" s="239">
        <f>MIN(X15,X22,X29,X36,X43,X50)</f>
        <v>0</v>
      </c>
      <c r="Y57" s="239">
        <f>MIN(Y15,Y22,Y29,Y36,Y43,Y50)</f>
        <v>273.14999999999998</v>
      </c>
      <c r="Z57" s="240"/>
      <c r="AB57" s="172"/>
      <c r="AC57" s="172"/>
    </row>
    <row r="58" spans="1:29">
      <c r="A58" s="172"/>
      <c r="B58" s="765">
        <v>66</v>
      </c>
      <c r="C58" s="766">
        <v>0.84</v>
      </c>
      <c r="D58" s="172"/>
      <c r="E58" s="549" t="s">
        <v>1266</v>
      </c>
      <c r="F58" s="550">
        <v>1</v>
      </c>
      <c r="G58" s="172"/>
      <c r="H58" s="549" t="s">
        <v>414</v>
      </c>
      <c r="I58" s="554">
        <v>3600</v>
      </c>
      <c r="J58" s="172"/>
      <c r="U58" s="245" t="s">
        <v>1268</v>
      </c>
      <c r="V58" s="239">
        <f>MAX(V16,V23,V30,V37,V44,V51)</f>
        <v>0</v>
      </c>
      <c r="W58" s="239">
        <f>MAX(W16,W23,W30,W37,W44,W51)</f>
        <v>0</v>
      </c>
      <c r="X58" s="239">
        <f>MAX(X16,X23,X30,X37,X44,X51)</f>
        <v>0</v>
      </c>
      <c r="Y58" s="239">
        <f>MAX(Y16,Y23,Y30,Y37,Y44,Y51)</f>
        <v>273.14999999999998</v>
      </c>
      <c r="Z58" s="240"/>
      <c r="AB58" s="172"/>
      <c r="AC58" s="172"/>
    </row>
    <row r="59" spans="1:29">
      <c r="A59" s="172"/>
      <c r="B59" s="765">
        <v>67</v>
      </c>
      <c r="C59" s="766">
        <v>0.84</v>
      </c>
      <c r="D59" s="172"/>
      <c r="E59" s="549" t="s">
        <v>314</v>
      </c>
      <c r="F59" s="550">
        <v>1E-3</v>
      </c>
      <c r="G59" s="172"/>
      <c r="H59" s="549" t="s">
        <v>1375</v>
      </c>
      <c r="I59" s="550">
        <v>60</v>
      </c>
      <c r="J59" s="172"/>
      <c r="U59" s="247" t="s">
        <v>50</v>
      </c>
      <c r="V59" s="254">
        <f>MAX(V17,V24,V31,V38,V45,V52)</f>
        <v>0</v>
      </c>
      <c r="W59" s="254">
        <f>MAX(W17,W24,W31,W38,W45,W52)</f>
        <v>0</v>
      </c>
      <c r="X59" s="253"/>
      <c r="Y59" s="254" t="e">
        <f>MAX(Y17,Y24,Y31,Y38,Y45,Y52)</f>
        <v>#DIV/0!</v>
      </c>
      <c r="Z59" s="241"/>
      <c r="AB59" s="172"/>
      <c r="AC59" s="172"/>
    </row>
    <row r="60" spans="1:29">
      <c r="A60" s="172"/>
      <c r="B60" s="765">
        <v>68</v>
      </c>
      <c r="C60" s="766">
        <v>0.84</v>
      </c>
      <c r="D60" s="172"/>
      <c r="E60" s="552" t="s">
        <v>312</v>
      </c>
      <c r="F60" s="550">
        <v>1000</v>
      </c>
      <c r="G60" s="172"/>
      <c r="H60" s="549" t="s">
        <v>1374</v>
      </c>
      <c r="I60" s="550">
        <v>1</v>
      </c>
      <c r="J60" s="172"/>
      <c r="AC60" s="172"/>
    </row>
    <row r="61" spans="1:29">
      <c r="A61" s="172"/>
      <c r="B61" s="765">
        <v>69</v>
      </c>
      <c r="C61" s="766">
        <v>1</v>
      </c>
      <c r="D61" s="172"/>
      <c r="E61" s="566" t="s">
        <v>1266</v>
      </c>
      <c r="F61" s="559">
        <f>VLOOKUP(VoU,VolumeTable,2)</f>
        <v>1</v>
      </c>
      <c r="G61" s="172"/>
      <c r="H61" s="549" t="s">
        <v>1384</v>
      </c>
      <c r="I61" s="550">
        <v>86.4</v>
      </c>
      <c r="J61" s="172"/>
      <c r="AC61" s="172"/>
    </row>
    <row r="62" spans="1:29">
      <c r="A62" s="172"/>
      <c r="B62" s="765">
        <v>70</v>
      </c>
      <c r="C62" s="766">
        <v>0.84</v>
      </c>
      <c r="D62" s="172"/>
      <c r="E62" s="2875" t="s">
        <v>329</v>
      </c>
      <c r="F62" s="2876"/>
      <c r="G62" s="172"/>
      <c r="H62" s="549" t="s">
        <v>1219</v>
      </c>
      <c r="I62" s="550">
        <v>3.6</v>
      </c>
      <c r="J62" s="172"/>
    </row>
    <row r="63" spans="1:29">
      <c r="A63" s="172"/>
      <c r="B63" s="765">
        <v>71</v>
      </c>
      <c r="C63" s="766">
        <v>0.84</v>
      </c>
      <c r="D63" s="172"/>
      <c r="E63" s="549" t="s">
        <v>1378</v>
      </c>
      <c r="F63" s="550" t="s">
        <v>1321</v>
      </c>
      <c r="G63" s="172"/>
      <c r="H63" s="549" t="s">
        <v>415</v>
      </c>
      <c r="I63" s="551">
        <v>0.06</v>
      </c>
      <c r="J63" s="172"/>
    </row>
    <row r="64" spans="1:29">
      <c r="A64" s="172"/>
      <c r="B64" s="765">
        <v>1019</v>
      </c>
      <c r="C64" s="766">
        <v>0.84</v>
      </c>
      <c r="D64" s="172"/>
      <c r="E64" s="549" t="s">
        <v>1387</v>
      </c>
      <c r="F64" s="550">
        <v>2.1188820000000002</v>
      </c>
      <c r="G64" s="172"/>
      <c r="H64" s="549" t="s">
        <v>416</v>
      </c>
      <c r="I64" s="551">
        <v>1E-3</v>
      </c>
      <c r="J64" s="172"/>
    </row>
    <row r="65" spans="1:10">
      <c r="A65" s="172"/>
      <c r="B65" s="765">
        <v>1020</v>
      </c>
      <c r="C65" s="766">
        <v>0.84</v>
      </c>
      <c r="D65" s="172"/>
      <c r="E65" s="549" t="s">
        <v>1386</v>
      </c>
      <c r="F65" s="550">
        <v>3.5314699999999997E-2</v>
      </c>
      <c r="G65" s="172"/>
      <c r="H65" s="549"/>
      <c r="I65" s="557"/>
      <c r="J65" s="172"/>
    </row>
    <row r="66" spans="1:10">
      <c r="A66" s="172"/>
      <c r="B66" s="765">
        <v>1043</v>
      </c>
      <c r="C66" s="766">
        <v>0.84</v>
      </c>
      <c r="D66" s="172"/>
      <c r="E66" s="549" t="s">
        <v>1265</v>
      </c>
      <c r="F66" s="550">
        <v>60</v>
      </c>
      <c r="G66" s="172"/>
      <c r="H66" s="664" t="s">
        <v>1219</v>
      </c>
      <c r="I66" s="559">
        <f>VLOOKUP(MFRU,MassFlowrateTable,2)</f>
        <v>3.6</v>
      </c>
      <c r="J66" s="172"/>
    </row>
    <row r="67" spans="1:10">
      <c r="A67" s="172"/>
      <c r="B67" s="765">
        <v>1044</v>
      </c>
      <c r="C67" s="766">
        <v>0.84</v>
      </c>
      <c r="D67" s="172"/>
      <c r="E67" s="549" t="s">
        <v>1350</v>
      </c>
      <c r="F67" s="550">
        <v>1</v>
      </c>
      <c r="G67" s="172"/>
      <c r="H67" s="172"/>
      <c r="I67" s="172"/>
      <c r="J67" s="172"/>
    </row>
    <row r="68" spans="1:10">
      <c r="A68" s="172"/>
      <c r="B68" s="765">
        <v>1066</v>
      </c>
      <c r="C68" s="766">
        <v>0.84</v>
      </c>
      <c r="D68" s="172"/>
      <c r="E68" s="549" t="s">
        <v>1373</v>
      </c>
      <c r="F68" s="550">
        <v>0.06</v>
      </c>
      <c r="G68" s="172"/>
      <c r="H68" s="172"/>
      <c r="I68" s="172"/>
      <c r="J68" s="172"/>
    </row>
    <row r="69" spans="1:10">
      <c r="A69" s="172"/>
      <c r="B69" s="765">
        <v>1067</v>
      </c>
      <c r="C69" s="766">
        <v>0.82</v>
      </c>
      <c r="D69" s="172"/>
      <c r="E69" s="549" t="s">
        <v>1372</v>
      </c>
      <c r="F69" s="550">
        <v>1E-3</v>
      </c>
      <c r="G69" s="172"/>
      <c r="H69" s="2875" t="s">
        <v>552</v>
      </c>
      <c r="I69" s="2876"/>
      <c r="J69" s="172"/>
    </row>
    <row r="70" spans="1:10">
      <c r="A70" s="172"/>
      <c r="B70" s="765">
        <v>1088</v>
      </c>
      <c r="C70" s="766">
        <v>0.84</v>
      </c>
      <c r="D70" s="172"/>
      <c r="E70" s="549" t="s">
        <v>327</v>
      </c>
      <c r="F70" s="550">
        <v>60000</v>
      </c>
      <c r="G70" s="172"/>
      <c r="H70" s="549" t="s">
        <v>1209</v>
      </c>
      <c r="I70" s="550" t="s">
        <v>676</v>
      </c>
      <c r="J70" s="172"/>
    </row>
    <row r="71" spans="1:10">
      <c r="A71" s="172"/>
      <c r="B71" s="765">
        <v>1089</v>
      </c>
      <c r="C71" s="766">
        <v>0.84</v>
      </c>
      <c r="D71" s="133"/>
      <c r="E71" s="549" t="s">
        <v>328</v>
      </c>
      <c r="F71" s="550">
        <v>1000</v>
      </c>
      <c r="G71" s="172"/>
      <c r="H71" s="549" t="s">
        <v>1243</v>
      </c>
      <c r="I71" s="550">
        <v>64</v>
      </c>
      <c r="J71" s="172"/>
    </row>
    <row r="72" spans="1:10">
      <c r="A72" s="172"/>
      <c r="B72" s="765">
        <v>1103</v>
      </c>
      <c r="C72" s="766">
        <v>0.81</v>
      </c>
      <c r="E72" s="566" t="s">
        <v>1265</v>
      </c>
      <c r="F72" s="559">
        <f>VLOOKUP(SFU,SFlowTable,2)</f>
        <v>60</v>
      </c>
      <c r="H72" s="549" t="s">
        <v>554</v>
      </c>
      <c r="I72" s="550">
        <v>77</v>
      </c>
      <c r="J72" s="172"/>
    </row>
    <row r="73" spans="1:10">
      <c r="A73" s="172"/>
      <c r="B73" s="765">
        <v>1104</v>
      </c>
      <c r="C73" s="766">
        <v>0.83</v>
      </c>
      <c r="E73" s="2875" t="s">
        <v>1757</v>
      </c>
      <c r="F73" s="2876"/>
      <c r="H73" s="549" t="s">
        <v>1244</v>
      </c>
      <c r="I73" s="550">
        <v>48</v>
      </c>
      <c r="J73" s="172"/>
    </row>
    <row r="74" spans="1:10">
      <c r="A74" s="172"/>
      <c r="B74" s="765" t="s">
        <v>1480</v>
      </c>
      <c r="C74" s="766">
        <v>1</v>
      </c>
      <c r="E74" s="549" t="s">
        <v>1378</v>
      </c>
      <c r="F74" s="550" t="s">
        <v>1321</v>
      </c>
      <c r="H74" s="549" t="s">
        <v>553</v>
      </c>
      <c r="I74" s="550">
        <v>28</v>
      </c>
      <c r="J74" s="172"/>
    </row>
    <row r="75" spans="1:10">
      <c r="A75" s="172"/>
      <c r="B75" s="765" t="s">
        <v>1482</v>
      </c>
      <c r="C75" s="766">
        <v>1</v>
      </c>
      <c r="E75" s="549" t="s">
        <v>947</v>
      </c>
      <c r="F75" s="550">
        <v>1000000</v>
      </c>
      <c r="H75" s="1043"/>
      <c r="I75" s="1044"/>
      <c r="J75" s="172"/>
    </row>
    <row r="76" spans="1:10">
      <c r="B76" s="765" t="s">
        <v>1476</v>
      </c>
      <c r="C76" s="766">
        <v>0.84</v>
      </c>
      <c r="E76" s="549" t="s">
        <v>1383</v>
      </c>
      <c r="F76" s="550">
        <v>1</v>
      </c>
      <c r="I76" s="172"/>
      <c r="J76" s="172"/>
    </row>
    <row r="77" spans="1:10">
      <c r="B77" s="765" t="s">
        <v>1477</v>
      </c>
      <c r="C77" s="766">
        <v>0.84</v>
      </c>
      <c r="E77" s="549" t="s">
        <v>1353</v>
      </c>
      <c r="F77" s="550">
        <v>1000</v>
      </c>
      <c r="I77" s="172"/>
      <c r="J77" s="172"/>
    </row>
    <row r="78" spans="1:10">
      <c r="B78" s="765" t="s">
        <v>1479</v>
      </c>
      <c r="C78" s="766">
        <v>0.84</v>
      </c>
      <c r="E78" s="549" t="s">
        <v>1709</v>
      </c>
      <c r="F78" s="550">
        <v>1000000000</v>
      </c>
      <c r="I78" s="172"/>
      <c r="J78" s="172"/>
    </row>
    <row r="79" spans="1:10">
      <c r="B79" s="765" t="s">
        <v>1478</v>
      </c>
      <c r="C79" s="766">
        <v>0.84</v>
      </c>
      <c r="E79" s="1686" t="str">
        <f>CU</f>
        <v>mg/m³</v>
      </c>
      <c r="F79" s="1687">
        <f>VLOOKUP(CU,E75:F78,2)</f>
        <v>1000</v>
      </c>
      <c r="I79" s="172"/>
      <c r="J79" s="172"/>
    </row>
    <row r="80" spans="1:10">
      <c r="B80" s="765" t="s">
        <v>1481</v>
      </c>
      <c r="C80" s="766">
        <v>0.84</v>
      </c>
      <c r="I80" s="172"/>
      <c r="J80" s="172"/>
    </row>
    <row r="81" spans="2:19">
      <c r="B81" s="765" t="s">
        <v>1489</v>
      </c>
      <c r="C81" s="766">
        <v>0.84</v>
      </c>
      <c r="I81" s="172"/>
      <c r="J81" s="172"/>
    </row>
    <row r="82" spans="2:19">
      <c r="B82" s="765" t="s">
        <v>1490</v>
      </c>
      <c r="C82" s="766">
        <v>0.84</v>
      </c>
      <c r="I82" s="172"/>
      <c r="J82" s="172"/>
    </row>
    <row r="83" spans="2:19">
      <c r="B83" s="765" t="s">
        <v>1491</v>
      </c>
      <c r="C83" s="766">
        <v>0.84</v>
      </c>
      <c r="I83" s="172"/>
      <c r="J83" s="172"/>
    </row>
    <row r="84" spans="2:19">
      <c r="B84" s="765" t="s">
        <v>1492</v>
      </c>
      <c r="C84" s="766">
        <v>0.84</v>
      </c>
      <c r="I84" s="172"/>
      <c r="J84" s="172"/>
    </row>
    <row r="85" spans="2:19">
      <c r="B85" s="765" t="s">
        <v>1506</v>
      </c>
      <c r="C85" s="766">
        <v>0.84</v>
      </c>
      <c r="I85" s="172"/>
      <c r="J85" s="172"/>
      <c r="S85" s="172"/>
    </row>
    <row r="86" spans="2:19">
      <c r="B86" s="765" t="s">
        <v>1493</v>
      </c>
      <c r="C86" s="766">
        <v>0.84</v>
      </c>
      <c r="E86" s="776" t="s">
        <v>874</v>
      </c>
      <c r="S86" s="172"/>
    </row>
    <row r="87" spans="2:19">
      <c r="B87" s="765" t="s">
        <v>1494</v>
      </c>
      <c r="C87" s="766">
        <v>0.84</v>
      </c>
      <c r="E87" s="781" t="s">
        <v>650</v>
      </c>
      <c r="F87" s="785" t="s">
        <v>853</v>
      </c>
      <c r="G87" s="785" t="s">
        <v>851</v>
      </c>
      <c r="H87" s="785" t="s">
        <v>852</v>
      </c>
      <c r="I87" s="782" t="s">
        <v>864</v>
      </c>
      <c r="K87" s="172"/>
      <c r="L87" s="172"/>
      <c r="M87" s="172"/>
      <c r="N87" s="172"/>
      <c r="P87" s="172"/>
      <c r="R87" s="172"/>
      <c r="S87" s="172"/>
    </row>
    <row r="88" spans="2:19">
      <c r="B88" s="765" t="s">
        <v>1495</v>
      </c>
      <c r="C88" s="766">
        <v>0.84</v>
      </c>
      <c r="E88" s="810" t="s">
        <v>856</v>
      </c>
      <c r="F88" s="644">
        <v>-21.701000000000001</v>
      </c>
      <c r="G88" s="644"/>
      <c r="H88" s="644"/>
      <c r="I88" s="783"/>
      <c r="K88" s="172"/>
      <c r="L88" s="172"/>
      <c r="M88" s="172"/>
      <c r="N88" s="172"/>
      <c r="P88" s="172"/>
      <c r="R88" s="172"/>
      <c r="S88" s="172"/>
    </row>
    <row r="89" spans="2:19">
      <c r="B89" s="765" t="s">
        <v>1496</v>
      </c>
      <c r="C89" s="766">
        <v>0.84</v>
      </c>
      <c r="E89" s="810" t="s">
        <v>850</v>
      </c>
      <c r="F89" s="644">
        <v>-2.2999999999999998</v>
      </c>
      <c r="G89" s="644"/>
      <c r="H89" s="644"/>
      <c r="I89" s="786"/>
      <c r="K89" s="172"/>
      <c r="R89" s="172"/>
      <c r="S89" s="172"/>
    </row>
    <row r="90" spans="2:19">
      <c r="B90" s="765" t="s">
        <v>1497</v>
      </c>
      <c r="C90" s="766">
        <v>0.84</v>
      </c>
      <c r="E90" s="810" t="s">
        <v>841</v>
      </c>
      <c r="F90" s="644">
        <v>63.837000000000003</v>
      </c>
      <c r="G90" s="644"/>
      <c r="H90" s="644"/>
      <c r="I90" s="783"/>
      <c r="K90" s="172"/>
      <c r="R90" s="172"/>
      <c r="S90" s="172"/>
    </row>
    <row r="91" spans="2:19">
      <c r="B91" s="765" t="s">
        <v>1498</v>
      </c>
      <c r="C91" s="766">
        <v>0.84</v>
      </c>
      <c r="E91" s="811" t="s">
        <v>610</v>
      </c>
      <c r="F91" s="787">
        <v>3.7437999999999998</v>
      </c>
      <c r="G91" s="787"/>
      <c r="H91" s="787"/>
      <c r="I91" s="784"/>
      <c r="K91" s="172"/>
      <c r="R91" s="172"/>
      <c r="S91" s="172"/>
    </row>
    <row r="92" spans="2:19">
      <c r="B92" s="765" t="s">
        <v>1499</v>
      </c>
      <c r="C92" s="766">
        <v>0.84</v>
      </c>
      <c r="E92" s="172"/>
      <c r="F92" s="172"/>
      <c r="G92" s="172"/>
      <c r="H92" s="172"/>
      <c r="I92" s="172"/>
      <c r="K92" s="172"/>
      <c r="R92" s="172"/>
      <c r="S92" s="172"/>
    </row>
    <row r="93" spans="2:19">
      <c r="B93" s="765" t="s">
        <v>1483</v>
      </c>
      <c r="C93" s="766">
        <v>0.84</v>
      </c>
      <c r="E93" s="172"/>
      <c r="F93" s="172"/>
      <c r="G93" s="172"/>
      <c r="H93" s="172"/>
      <c r="I93" s="172"/>
      <c r="K93" s="172"/>
      <c r="L93" s="172"/>
      <c r="M93" s="172"/>
      <c r="N93" s="172"/>
      <c r="P93" s="172"/>
      <c r="R93" s="172"/>
      <c r="S93" s="172"/>
    </row>
    <row r="94" spans="2:19">
      <c r="B94" s="765" t="s">
        <v>1510</v>
      </c>
      <c r="C94" s="766">
        <v>0.84</v>
      </c>
      <c r="E94" s="776" t="s">
        <v>875</v>
      </c>
      <c r="F94" s="133"/>
      <c r="G94" s="133"/>
      <c r="H94" s="133"/>
      <c r="I94" s="133"/>
      <c r="K94" s="172"/>
      <c r="L94" s="172"/>
      <c r="M94" s="172"/>
      <c r="N94" s="172"/>
      <c r="P94" s="172"/>
      <c r="Q94" s="172"/>
      <c r="R94" s="172"/>
      <c r="S94" s="172"/>
    </row>
    <row r="95" spans="2:19">
      <c r="B95" s="765" t="s">
        <v>1507</v>
      </c>
      <c r="C95" s="766">
        <v>0.84</v>
      </c>
      <c r="E95" s="781" t="s">
        <v>650</v>
      </c>
      <c r="F95" s="785" t="s">
        <v>853</v>
      </c>
      <c r="G95" s="785" t="s">
        <v>851</v>
      </c>
      <c r="H95" s="785" t="s">
        <v>852</v>
      </c>
      <c r="I95" s="782" t="s">
        <v>864</v>
      </c>
      <c r="K95" s="172"/>
      <c r="L95" s="172"/>
      <c r="M95" s="172"/>
      <c r="N95" s="172"/>
      <c r="P95" s="172"/>
      <c r="Q95" s="172"/>
      <c r="R95" s="172"/>
    </row>
    <row r="96" spans="2:19">
      <c r="B96" s="765" t="s">
        <v>1500</v>
      </c>
      <c r="C96" s="766">
        <v>0.84</v>
      </c>
      <c r="E96" s="810" t="s">
        <v>856</v>
      </c>
      <c r="F96" s="644">
        <v>9.9999999999999995E-7</v>
      </c>
      <c r="G96" s="644"/>
      <c r="H96" s="644"/>
      <c r="I96" s="783"/>
      <c r="Q96" s="172"/>
    </row>
    <row r="97" spans="1:15">
      <c r="A97" s="172"/>
      <c r="B97" s="765" t="s">
        <v>1501</v>
      </c>
      <c r="C97" s="766">
        <v>0.84</v>
      </c>
      <c r="E97" s="810" t="s">
        <v>850</v>
      </c>
      <c r="F97" s="644">
        <v>6.9999999999999994E-5</v>
      </c>
      <c r="G97" s="644"/>
      <c r="H97" s="644"/>
      <c r="I97" s="786"/>
    </row>
    <row r="98" spans="1:15">
      <c r="A98" s="172"/>
      <c r="B98" s="765" t="s">
        <v>1502</v>
      </c>
      <c r="C98" s="766">
        <v>0.84</v>
      </c>
      <c r="E98" s="810" t="s">
        <v>841</v>
      </c>
      <c r="F98" s="644">
        <v>-2.8999999999999998E-3</v>
      </c>
      <c r="G98" s="644"/>
      <c r="H98" s="644"/>
      <c r="I98" s="783"/>
    </row>
    <row r="99" spans="1:15">
      <c r="A99" s="172"/>
      <c r="B99" s="765" t="s">
        <v>1503</v>
      </c>
      <c r="C99" s="766">
        <v>0.84</v>
      </c>
      <c r="E99" s="811" t="s">
        <v>610</v>
      </c>
      <c r="F99" s="787">
        <v>0.99939999999999996</v>
      </c>
      <c r="G99" s="787"/>
      <c r="H99" s="787"/>
      <c r="I99" s="784"/>
    </row>
    <row r="100" spans="1:15">
      <c r="A100" s="172"/>
      <c r="B100" s="765" t="s">
        <v>1504</v>
      </c>
      <c r="C100" s="766">
        <v>0.84</v>
      </c>
    </row>
    <row r="101" spans="1:15">
      <c r="A101" s="172"/>
      <c r="B101" s="765" t="s">
        <v>1505</v>
      </c>
      <c r="C101" s="766">
        <v>0.84</v>
      </c>
    </row>
    <row r="102" spans="1:15">
      <c r="A102" s="172"/>
      <c r="B102" s="765" t="s">
        <v>1508</v>
      </c>
      <c r="C102" s="766">
        <v>1</v>
      </c>
      <c r="E102" s="776" t="s">
        <v>878</v>
      </c>
      <c r="F102" s="133"/>
      <c r="G102" s="133"/>
      <c r="H102" s="133"/>
      <c r="I102" s="133"/>
    </row>
    <row r="103" spans="1:15">
      <c r="A103" s="172"/>
      <c r="B103" s="765" t="s">
        <v>1509</v>
      </c>
      <c r="C103" s="766">
        <v>1</v>
      </c>
      <c r="E103" s="781" t="s">
        <v>650</v>
      </c>
      <c r="F103" s="785" t="s">
        <v>853</v>
      </c>
      <c r="G103" s="785" t="s">
        <v>851</v>
      </c>
      <c r="H103" s="785" t="s">
        <v>852</v>
      </c>
      <c r="I103" s="782" t="s">
        <v>864</v>
      </c>
    </row>
    <row r="104" spans="1:15">
      <c r="A104" s="172"/>
      <c r="B104" s="765" t="s">
        <v>1484</v>
      </c>
      <c r="C104" s="766">
        <v>0.84</v>
      </c>
      <c r="E104" s="811" t="s">
        <v>876</v>
      </c>
      <c r="F104" s="787">
        <v>-6.95</v>
      </c>
      <c r="G104" s="787"/>
      <c r="H104" s="787"/>
      <c r="I104" s="784"/>
    </row>
    <row r="105" spans="1:15">
      <c r="A105" s="172"/>
      <c r="B105" s="765" t="s">
        <v>1485</v>
      </c>
      <c r="C105" s="766">
        <v>0.84</v>
      </c>
    </row>
    <row r="106" spans="1:15">
      <c r="A106" s="172"/>
      <c r="B106" s="765" t="s">
        <v>1486</v>
      </c>
      <c r="C106" s="766">
        <v>0.84</v>
      </c>
    </row>
    <row r="107" spans="1:15">
      <c r="A107" s="172"/>
      <c r="B107" s="765" t="s">
        <v>1487</v>
      </c>
      <c r="C107" s="766">
        <v>0.84</v>
      </c>
    </row>
    <row r="108" spans="1:15">
      <c r="A108" s="172"/>
      <c r="B108" s="765" t="s">
        <v>1488</v>
      </c>
      <c r="C108" s="766">
        <v>0.84</v>
      </c>
      <c r="O108" s="172"/>
    </row>
    <row r="109" spans="1:15">
      <c r="A109" s="172"/>
      <c r="B109" s="765" t="s">
        <v>1511</v>
      </c>
      <c r="C109" s="766">
        <v>0.84</v>
      </c>
      <c r="O109" s="172"/>
    </row>
    <row r="110" spans="1:15">
      <c r="A110" s="172"/>
      <c r="B110" s="765" t="s">
        <v>1722</v>
      </c>
      <c r="C110" s="766" t="s">
        <v>1208</v>
      </c>
    </row>
    <row r="111" spans="1:15">
      <c r="B111" s="765" t="s">
        <v>1723</v>
      </c>
      <c r="C111" s="766" t="s">
        <v>1208</v>
      </c>
    </row>
    <row r="112" spans="1:15">
      <c r="B112" s="765" t="s">
        <v>853</v>
      </c>
      <c r="C112" s="766" t="s">
        <v>849</v>
      </c>
    </row>
    <row r="113" spans="2:15">
      <c r="B113" s="765" t="s">
        <v>975</v>
      </c>
      <c r="C113" s="766">
        <v>0.84</v>
      </c>
    </row>
    <row r="114" spans="2:15">
      <c r="B114" s="767" t="s">
        <v>539</v>
      </c>
      <c r="C114" s="766">
        <v>1</v>
      </c>
      <c r="O114" s="172"/>
    </row>
    <row r="115" spans="2:15">
      <c r="B115" s="767" t="s">
        <v>540</v>
      </c>
      <c r="C115" s="766">
        <v>0.99</v>
      </c>
      <c r="O115" s="172"/>
    </row>
    <row r="116" spans="2:15">
      <c r="B116" s="767" t="s">
        <v>541</v>
      </c>
      <c r="C116" s="766">
        <v>0.99</v>
      </c>
      <c r="O116" s="172"/>
    </row>
    <row r="117" spans="2:15">
      <c r="B117" s="767" t="s">
        <v>542</v>
      </c>
      <c r="C117" s="766">
        <v>0.84</v>
      </c>
    </row>
    <row r="118" spans="2:15">
      <c r="B118" s="767" t="s">
        <v>543</v>
      </c>
      <c r="C118" s="766">
        <v>0.84</v>
      </c>
    </row>
    <row r="119" spans="2:15">
      <c r="B119" s="767" t="s">
        <v>544</v>
      </c>
      <c r="C119" s="766">
        <v>0.84</v>
      </c>
    </row>
    <row r="120" spans="2:15">
      <c r="B120" s="767" t="s">
        <v>545</v>
      </c>
      <c r="C120" s="766">
        <v>0.84</v>
      </c>
    </row>
    <row r="121" spans="2:15">
      <c r="B121" s="767" t="s">
        <v>546</v>
      </c>
      <c r="C121" s="766">
        <v>0.84</v>
      </c>
    </row>
    <row r="122" spans="2:15">
      <c r="B122" s="767" t="s">
        <v>547</v>
      </c>
      <c r="C122" s="766">
        <v>0.84</v>
      </c>
    </row>
    <row r="123" spans="2:15">
      <c r="B123" s="767" t="s">
        <v>525</v>
      </c>
      <c r="C123" s="766">
        <v>0.84</v>
      </c>
    </row>
    <row r="124" spans="2:15">
      <c r="B124" s="767" t="s">
        <v>526</v>
      </c>
      <c r="C124" s="766">
        <v>0.84</v>
      </c>
    </row>
    <row r="125" spans="2:15">
      <c r="B125" s="767" t="s">
        <v>527</v>
      </c>
      <c r="C125" s="766">
        <v>0.84</v>
      </c>
    </row>
    <row r="126" spans="2:15">
      <c r="B126" s="767" t="s">
        <v>528</v>
      </c>
      <c r="C126" s="766">
        <v>0.84</v>
      </c>
    </row>
    <row r="127" spans="2:15">
      <c r="B127" s="767" t="s">
        <v>529</v>
      </c>
      <c r="C127" s="766">
        <v>0.84</v>
      </c>
    </row>
    <row r="128" spans="2:15">
      <c r="B128" s="767" t="s">
        <v>530</v>
      </c>
      <c r="C128" s="766">
        <v>0.84</v>
      </c>
    </row>
    <row r="129" spans="2:3">
      <c r="B129" s="767" t="s">
        <v>531</v>
      </c>
      <c r="C129" s="766">
        <v>0.84</v>
      </c>
    </row>
    <row r="130" spans="2:3">
      <c r="B130" s="2206" t="s">
        <v>974</v>
      </c>
      <c r="C130" s="768">
        <v>0.84</v>
      </c>
    </row>
    <row r="131" spans="2:3">
      <c r="B131" s="997"/>
      <c r="C131" s="998"/>
    </row>
  </sheetData>
  <mergeCells count="20">
    <mergeCell ref="H9:I9"/>
    <mergeCell ref="B1:C1"/>
    <mergeCell ref="E1:F1"/>
    <mergeCell ref="E2:F2"/>
    <mergeCell ref="E9:F9"/>
    <mergeCell ref="H1:I1"/>
    <mergeCell ref="H2:I2"/>
    <mergeCell ref="E73:F73"/>
    <mergeCell ref="H69:I69"/>
    <mergeCell ref="E19:F19"/>
    <mergeCell ref="E26:F26"/>
    <mergeCell ref="E33:F33"/>
    <mergeCell ref="E40:F40"/>
    <mergeCell ref="H35:I35"/>
    <mergeCell ref="E47:F47"/>
    <mergeCell ref="H49:I49"/>
    <mergeCell ref="H56:I56"/>
    <mergeCell ref="E62:F62"/>
    <mergeCell ref="E55:F55"/>
    <mergeCell ref="H24:I24"/>
  </mergeCells>
  <phoneticPr fontId="0" type="noConversion"/>
  <dataValidations count="6">
    <dataValidation type="list" allowBlank="1" showInputMessage="1" showErrorMessage="1" sqref="H66">
      <formula1>MassFlowrateUnits</formula1>
    </dataValidation>
    <dataValidation type="list" allowBlank="1" showInputMessage="1" showErrorMessage="1" sqref="E54">
      <formula1>MassUnits</formula1>
    </dataValidation>
    <dataValidation type="list" allowBlank="1" showInputMessage="1" showErrorMessage="1" sqref="E61">
      <formula1>VolumeUnits</formula1>
    </dataValidation>
    <dataValidation type="list" allowBlank="1" showInputMessage="1" showErrorMessage="1" sqref="E72">
      <formula1>SFlowUnits</formula1>
    </dataValidation>
    <dataValidation type="list" allowBlank="1" showInputMessage="1" showErrorMessage="1" sqref="E39">
      <formula1>LengthUnits</formula1>
    </dataValidation>
    <dataValidation type="list" allowBlank="1" showInputMessage="1" showErrorMessage="1" sqref="E46">
      <formula1>TimeUnits</formula1>
    </dataValidation>
  </dataValidations>
  <printOptions horizontalCentered="1"/>
  <pageMargins left="0.35433070866141736" right="0.35433070866141736" top="0.98425196850393704" bottom="0.78740157480314965" header="0.51181102362204722" footer="0.31496062992125984"/>
  <pageSetup paperSize="9" orientation="portrait" horizontalDpi="300" verticalDpi="300"/>
  <headerFooter alignWithMargins="0">
    <oddHeader>&amp;C&amp;"MS Sans Serif,Bold"&amp;16&amp;A</oddHeader>
    <oddFooter>&amp;L&amp;8&amp;F&amp;R&amp;8&amp;D  &amp;T</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Charts</vt:lpstr>
      </vt:variant>
      <vt:variant>
        <vt:i4>1</vt:i4>
      </vt:variant>
    </vt:vector>
  </HeadingPairs>
  <TitlesOfParts>
    <vt:vector size="25" baseType="lpstr">
      <vt:lpstr>Amendments</vt:lpstr>
      <vt:lpstr>Velocity Profile</vt:lpstr>
      <vt:lpstr>Report</vt:lpstr>
      <vt:lpstr>PM &amp; Metals</vt:lpstr>
      <vt:lpstr>Details</vt:lpstr>
      <vt:lpstr>Flows &amp; Isokinetics</vt:lpstr>
      <vt:lpstr>Afterflows</vt:lpstr>
      <vt:lpstr>PM10 &amp; 2.5</vt:lpstr>
      <vt:lpstr>Non-Isokinetic</vt:lpstr>
      <vt:lpstr>Odour</vt:lpstr>
      <vt:lpstr>Gases</vt:lpstr>
      <vt:lpstr>VOC &amp; S Gases</vt:lpstr>
      <vt:lpstr>ResultsExport</vt:lpstr>
      <vt:lpstr>Dioxins</vt:lpstr>
      <vt:lpstr>Results Entry</vt:lpstr>
      <vt:lpstr>PQLs</vt:lpstr>
      <vt:lpstr>Drift Test</vt:lpstr>
      <vt:lpstr>Horiba Data</vt:lpstr>
      <vt:lpstr>Testo, JUM &amp; MRU Data</vt:lpstr>
      <vt:lpstr>Thermo Data</vt:lpstr>
      <vt:lpstr>Compound Lists</vt:lpstr>
      <vt:lpstr>Nozzles</vt:lpstr>
      <vt:lpstr>Flowmeters</vt:lpstr>
      <vt:lpstr>Pitots</vt:lpstr>
      <vt:lpstr>Gases Chart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Stack Testing</dc:title>
  <dc:subject>Isokinetic Stack Testing</dc:subject>
  <dc:creator>David Corbett</dc:creator>
  <cp:lastModifiedBy>Travis Reading</cp:lastModifiedBy>
  <cp:lastPrinted>2015-09-02T04:07:23Z</cp:lastPrinted>
  <dcterms:created xsi:type="dcterms:W3CDTF">1997-10-28T00:28:11Z</dcterms:created>
  <dcterms:modified xsi:type="dcterms:W3CDTF">2015-12-01T03:40:02Z</dcterms:modified>
</cp:coreProperties>
</file>